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queryTables/queryTable2.xml" ContentType="application/vnd.openxmlformats-officedocument.spreadsheetml.query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codeName="ThisWorkbook" hidePivotFieldList="1" autoCompressPictures="0"/>
  <mc:AlternateContent xmlns:mc="http://schemas.openxmlformats.org/markup-compatibility/2006">
    <mc:Choice Requires="x15">
      <x15ac:absPath xmlns:x15ac="http://schemas.microsoft.com/office/spreadsheetml/2010/11/ac" url="/Users/patrickdelaroque/Library/Mobile Documents/com~apple~CloudDocs/01 - Partage RB/"/>
    </mc:Choice>
  </mc:AlternateContent>
  <xr:revisionPtr revIDLastSave="0" documentId="13_ncr:1_{0E1080A0-FBD6-2E48-9A05-18752F045239}" xr6:coauthVersionLast="47" xr6:coauthVersionMax="47" xr10:uidLastSave="{00000000-0000-0000-0000-000000000000}"/>
  <bookViews>
    <workbookView xWindow="0" yWindow="0" windowWidth="44800" windowHeight="25200" tabRatio="912" activeTab="3" xr2:uid="{BBC9762F-8D28-425D-938B-126A59C6DB62}"/>
  </bookViews>
  <sheets>
    <sheet name="Tab Dyn CA et EBE" sheetId="39" state="hidden" r:id="rId1"/>
    <sheet name="Tab Dyn Productivité" sheetId="41" state="hidden" r:id="rId2"/>
    <sheet name="Seg Société sélectionnée" sheetId="42" state="hidden" r:id="rId3"/>
    <sheet name="Base de données" sheetId="1" r:id="rId4"/>
    <sheet name="Réf cellules RB" sheetId="38" state="hidden" r:id="rId5"/>
    <sheet name="Dirigeants" sheetId="43" r:id="rId6"/>
    <sheet name="Synthèse" sheetId="18" r:id="rId7"/>
    <sheet name="Liste unique Société" sheetId="46" state="hidden" r:id="rId8"/>
    <sheet name="Liste des sociétés" sheetId="2" state="hidden" r:id="rId9"/>
    <sheet name="Secteur" sheetId="37" state="hidden" r:id="rId10"/>
  </sheets>
  <definedNames>
    <definedName name="_xlnm._FilterDatabase" localSheetId="3" hidden="1">'Base de données'!$A$2:$K$2</definedName>
    <definedName name="_xlnm._FilterDatabase" localSheetId="8" hidden="1">'Liste des sociétés'!$C$1:$C$389</definedName>
    <definedName name="_xlnm._FilterDatabase" localSheetId="6" hidden="1">Synthèse!#REF!</definedName>
    <definedName name="_xlcn.WorksheetConnection_01Listedestitresvifs.xlsxListe_unique_Société1" hidden="1">Liste_unique_Société[]</definedName>
    <definedName name="_xlcn.WorksheetConnection_01Listedestitresvifs.xlsxTableau31" hidden="1">Tableau3[]</definedName>
    <definedName name="_xlcn.WorksheetConnection_01Listedestitresvifs.xlsxTableau41" hidden="1">Tableau4[]</definedName>
    <definedName name="_xlcn.WorksheetConnection_ModificationRB.xlsxTableau11" hidden="1">Tableau1[]</definedName>
    <definedName name="DonnéesExternes_1" localSheetId="9" hidden="1">Secteur!$C$1:$AP$316</definedName>
    <definedName name="DonnéesExternes_2" localSheetId="7" hidden="1">'Liste unique Société'!$A$1:$AB$329</definedName>
    <definedName name="MmExcelLinker_4442AF60_EF3F_4BBC_ACF1_397AF8C015C0">'Base de données'!$A$4418:$A$4418</definedName>
    <definedName name="Segment_Nom_de_la_société">#N/A</definedName>
  </definedNames>
  <calcPr calcId="191028"/>
  <pivotCaches>
    <pivotCache cacheId="13" r:id="rId11"/>
  </pivotCaches>
  <extLst>
    <ext xmlns:x14="http://schemas.microsoft.com/office/spreadsheetml/2009/9/main" uri="{BBE1A952-AA13-448e-AADC-164F8A28A991}">
      <x14:slicerCaches>
        <x14:slicerCache r:id="rId12"/>
      </x14:slicerCaches>
    </ex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au1" name="Tableau1" connection="WorksheetConnection_Modification RB.xlsx!Tableau1"/>
          <x15:modelTable id="Tableau4" name="Tableau4" connection="WorksheetConnection_01 -  Liste des titres vifs.xlsx!Tableau4"/>
          <x15:modelTable id="Tableau3" name="Tableau3" connection="WorksheetConnection_01 -  Liste des titres vifs.xlsx!Tableau3"/>
          <x15:modelTable id="Liste_unique_Société" name="Liste_unique_Société" connection="WorksheetConnection_01 -  Liste des titres vifs.xlsx!Liste_unique_Société"/>
        </x15:modelTables>
        <x15:modelRelationships>
          <x15:modelRelationship fromTable="Tableau4" fromColumn="Isin" toTable="Liste_unique_Société" toColumn="Isin"/>
          <x15:modelRelationship fromTable="Tableau3" fromColumn="Isin" toTable="Liste_unique_Société" toColumn="Isin"/>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 i="2" l="1"/>
  <c r="AF7" i="2"/>
  <c r="AF11" i="2"/>
  <c r="AF12" i="2"/>
  <c r="AF16" i="2"/>
  <c r="AF17" i="2"/>
  <c r="AF18" i="2"/>
  <c r="AF22" i="2"/>
  <c r="AF23" i="2"/>
  <c r="AF29" i="2"/>
  <c r="AF34" i="2"/>
  <c r="AF38" i="2"/>
  <c r="AF39" i="2"/>
  <c r="AF40" i="2"/>
  <c r="AF44" i="2"/>
  <c r="AF45" i="2"/>
  <c r="AF51" i="2"/>
  <c r="AF56" i="2"/>
  <c r="AF60" i="2"/>
  <c r="AF61" i="2"/>
  <c r="AF62" i="2"/>
  <c r="AF66" i="2"/>
  <c r="AF67" i="2"/>
  <c r="AF73" i="2"/>
  <c r="AF78" i="2"/>
  <c r="AF82" i="2"/>
  <c r="AF83" i="2"/>
  <c r="AF84" i="2"/>
  <c r="AF88" i="2"/>
  <c r="AF89" i="2"/>
  <c r="AF95" i="2"/>
  <c r="AF100" i="2"/>
  <c r="AF104" i="2"/>
  <c r="AF105" i="2"/>
  <c r="AF106" i="2"/>
  <c r="AF110" i="2"/>
  <c r="AF111" i="2"/>
  <c r="AF117" i="2"/>
  <c r="AF122" i="2"/>
  <c r="AF126" i="2"/>
  <c r="AF127" i="2"/>
  <c r="AF128" i="2"/>
  <c r="AF132" i="2"/>
  <c r="AF133" i="2"/>
  <c r="AF139" i="2"/>
  <c r="AF144" i="2"/>
  <c r="AF148" i="2"/>
  <c r="AF149" i="2"/>
  <c r="AF150" i="2"/>
  <c r="AF154" i="2"/>
  <c r="AF155" i="2"/>
  <c r="AF161" i="2"/>
  <c r="AF166" i="2"/>
  <c r="AF170" i="2"/>
  <c r="AF171" i="2"/>
  <c r="AF172" i="2"/>
  <c r="AF176" i="2"/>
  <c r="AF177" i="2"/>
  <c r="AF183" i="2"/>
  <c r="AF188" i="2"/>
  <c r="AF192" i="2"/>
  <c r="AF193" i="2"/>
  <c r="AF194" i="2"/>
  <c r="AF198" i="2"/>
  <c r="AF199" i="2"/>
  <c r="AF205" i="2"/>
  <c r="AF210" i="2"/>
  <c r="AF214" i="2"/>
  <c r="AF215" i="2"/>
  <c r="AF216" i="2"/>
  <c r="AF220" i="2"/>
  <c r="AF221" i="2"/>
  <c r="AF227" i="2"/>
  <c r="AF232" i="2"/>
  <c r="AF236" i="2"/>
  <c r="AF237" i="2"/>
  <c r="AF238" i="2"/>
  <c r="AF242" i="2"/>
  <c r="AF243" i="2"/>
  <c r="AF249" i="2"/>
  <c r="AF254" i="2"/>
  <c r="AF258" i="2"/>
  <c r="AF259" i="2"/>
  <c r="AF260" i="2"/>
  <c r="AF264" i="2"/>
  <c r="AF265" i="2"/>
  <c r="AF271" i="2"/>
  <c r="AF276" i="2"/>
  <c r="AF280" i="2"/>
  <c r="AF281" i="2"/>
  <c r="AF282" i="2"/>
  <c r="AF286" i="2"/>
  <c r="AF287" i="2"/>
  <c r="AF293" i="2"/>
  <c r="AF298" i="2"/>
  <c r="AF302" i="2"/>
  <c r="AF303" i="2"/>
  <c r="AF304" i="2"/>
  <c r="AF308" i="2"/>
  <c r="AF309" i="2"/>
  <c r="AF315" i="2"/>
  <c r="AF320" i="2"/>
  <c r="AF324" i="2"/>
  <c r="AF325" i="2"/>
  <c r="AF326" i="2"/>
  <c r="AF330" i="2"/>
  <c r="AF331" i="2"/>
  <c r="AF337" i="2"/>
  <c r="AF342" i="2"/>
  <c r="AF346" i="2"/>
  <c r="AF347" i="2"/>
  <c r="AF348" i="2"/>
  <c r="AF352" i="2"/>
  <c r="AF353" i="2"/>
  <c r="AD2" i="2"/>
  <c r="AD3" i="2"/>
  <c r="AD4" i="2"/>
  <c r="AD5" i="2"/>
  <c r="AD6" i="2"/>
  <c r="AD7" i="2"/>
  <c r="AD8" i="2"/>
  <c r="AD9" i="2"/>
  <c r="AD10" i="2"/>
  <c r="AD11" i="2"/>
  <c r="AD12" i="2"/>
  <c r="AD13" i="2"/>
  <c r="AD14" i="2"/>
  <c r="AD15" i="2"/>
  <c r="AD16" i="2"/>
  <c r="AD17" i="2"/>
  <c r="AD18" i="2"/>
  <c r="AD19" i="2"/>
  <c r="AF19" i="2" s="1"/>
  <c r="AD20" i="2"/>
  <c r="AD21" i="2"/>
  <c r="AD22" i="2"/>
  <c r="AD23" i="2"/>
  <c r="AD24" i="2"/>
  <c r="AD25" i="2"/>
  <c r="AD26" i="2"/>
  <c r="AD27" i="2"/>
  <c r="AD28" i="2"/>
  <c r="AD29" i="2"/>
  <c r="AD30" i="2"/>
  <c r="AD31" i="2"/>
  <c r="AD32" i="2"/>
  <c r="AD33" i="2"/>
  <c r="AD34" i="2"/>
  <c r="AD35" i="2"/>
  <c r="AD36" i="2"/>
  <c r="AD37" i="2"/>
  <c r="AD38" i="2"/>
  <c r="AD39" i="2"/>
  <c r="AD40" i="2"/>
  <c r="AD41" i="2"/>
  <c r="AF41" i="2" s="1"/>
  <c r="AD42" i="2"/>
  <c r="AD43" i="2"/>
  <c r="AD44" i="2"/>
  <c r="AD45" i="2"/>
  <c r="AD46" i="2"/>
  <c r="AD47" i="2"/>
  <c r="AD48" i="2"/>
  <c r="AD49" i="2"/>
  <c r="AD50" i="2"/>
  <c r="AD51" i="2"/>
  <c r="AD52" i="2"/>
  <c r="AD53" i="2"/>
  <c r="AD54" i="2"/>
  <c r="AD55" i="2"/>
  <c r="AD56" i="2"/>
  <c r="AD57" i="2"/>
  <c r="AD58" i="2"/>
  <c r="AD59" i="2"/>
  <c r="AD60" i="2"/>
  <c r="AD61" i="2"/>
  <c r="AD62" i="2"/>
  <c r="AD63" i="2"/>
  <c r="AF63" i="2" s="1"/>
  <c r="AD64" i="2"/>
  <c r="AD65" i="2"/>
  <c r="AD66" i="2"/>
  <c r="AD67" i="2"/>
  <c r="AD68" i="2"/>
  <c r="AD69" i="2"/>
  <c r="AD70" i="2"/>
  <c r="AD71" i="2"/>
  <c r="AD72" i="2"/>
  <c r="AD73" i="2"/>
  <c r="AD74" i="2"/>
  <c r="AD75" i="2"/>
  <c r="AD76" i="2"/>
  <c r="AD77" i="2"/>
  <c r="AD78" i="2"/>
  <c r="AD79" i="2"/>
  <c r="AD80" i="2"/>
  <c r="AD81" i="2"/>
  <c r="AD82" i="2"/>
  <c r="AD83" i="2"/>
  <c r="AD84" i="2"/>
  <c r="AD85" i="2"/>
  <c r="AF85" i="2" s="1"/>
  <c r="AD86" i="2"/>
  <c r="AD87" i="2"/>
  <c r="AD88" i="2"/>
  <c r="AD89" i="2"/>
  <c r="AD90" i="2"/>
  <c r="AD91" i="2"/>
  <c r="AD92" i="2"/>
  <c r="AD93" i="2"/>
  <c r="AD94" i="2"/>
  <c r="AD95" i="2"/>
  <c r="AD96" i="2"/>
  <c r="AD97" i="2"/>
  <c r="AD98" i="2"/>
  <c r="AD99" i="2"/>
  <c r="AD100" i="2"/>
  <c r="AD101" i="2"/>
  <c r="AD102" i="2"/>
  <c r="AD103" i="2"/>
  <c r="AD104" i="2"/>
  <c r="AD105" i="2"/>
  <c r="AD106" i="2"/>
  <c r="AD107" i="2"/>
  <c r="AF107" i="2" s="1"/>
  <c r="AD108" i="2"/>
  <c r="AD109" i="2"/>
  <c r="AD110" i="2"/>
  <c r="AD111" i="2"/>
  <c r="AD112" i="2"/>
  <c r="AD113" i="2"/>
  <c r="AD114" i="2"/>
  <c r="AD115" i="2"/>
  <c r="AD116" i="2"/>
  <c r="AD117" i="2"/>
  <c r="AD118" i="2"/>
  <c r="AD119" i="2"/>
  <c r="AD120" i="2"/>
  <c r="AD121" i="2"/>
  <c r="AD122" i="2"/>
  <c r="AD123" i="2"/>
  <c r="AD124" i="2"/>
  <c r="AD125" i="2"/>
  <c r="AD126" i="2"/>
  <c r="AD127" i="2"/>
  <c r="AD128" i="2"/>
  <c r="AD129" i="2"/>
  <c r="AF129" i="2" s="1"/>
  <c r="AD130" i="2"/>
  <c r="AD131" i="2"/>
  <c r="AD132" i="2"/>
  <c r="AD133" i="2"/>
  <c r="AD134" i="2"/>
  <c r="AD135" i="2"/>
  <c r="AD136" i="2"/>
  <c r="AD137" i="2"/>
  <c r="AD138" i="2"/>
  <c r="AD139" i="2"/>
  <c r="AD140" i="2"/>
  <c r="AD141" i="2"/>
  <c r="AD142" i="2"/>
  <c r="AD143" i="2"/>
  <c r="AD144" i="2"/>
  <c r="AD145" i="2"/>
  <c r="AD146" i="2"/>
  <c r="AD147" i="2"/>
  <c r="AD148" i="2"/>
  <c r="AD149" i="2"/>
  <c r="AD150" i="2"/>
  <c r="AD151" i="2"/>
  <c r="AF151" i="2" s="1"/>
  <c r="AD152" i="2"/>
  <c r="AD153" i="2"/>
  <c r="AD154" i="2"/>
  <c r="AD155" i="2"/>
  <c r="AD156" i="2"/>
  <c r="AD157" i="2"/>
  <c r="AD158" i="2"/>
  <c r="AD159" i="2"/>
  <c r="AD160" i="2"/>
  <c r="AD161" i="2"/>
  <c r="AD162" i="2"/>
  <c r="AD163" i="2"/>
  <c r="AD164" i="2"/>
  <c r="AD165" i="2"/>
  <c r="AD166" i="2"/>
  <c r="AD167" i="2"/>
  <c r="AD168" i="2"/>
  <c r="AD169" i="2"/>
  <c r="AD170" i="2"/>
  <c r="AD171" i="2"/>
  <c r="AD172" i="2"/>
  <c r="AD173" i="2"/>
  <c r="AF173" i="2" s="1"/>
  <c r="AD174" i="2"/>
  <c r="AD175" i="2"/>
  <c r="AD176" i="2"/>
  <c r="AD177" i="2"/>
  <c r="AD178" i="2"/>
  <c r="AD179" i="2"/>
  <c r="AD180" i="2"/>
  <c r="AD181" i="2"/>
  <c r="AD182" i="2"/>
  <c r="AD183" i="2"/>
  <c r="AD184" i="2"/>
  <c r="AD185" i="2"/>
  <c r="AD186" i="2"/>
  <c r="AD187" i="2"/>
  <c r="AD188" i="2"/>
  <c r="AD189" i="2"/>
  <c r="AD190" i="2"/>
  <c r="AD191" i="2"/>
  <c r="AD192" i="2"/>
  <c r="AD193" i="2"/>
  <c r="AD194" i="2"/>
  <c r="AD195" i="2"/>
  <c r="AF195" i="2" s="1"/>
  <c r="AD196" i="2"/>
  <c r="AD197" i="2"/>
  <c r="AD198" i="2"/>
  <c r="AD199" i="2"/>
  <c r="AD200" i="2"/>
  <c r="AD201" i="2"/>
  <c r="AD202" i="2"/>
  <c r="AD203" i="2"/>
  <c r="AD204" i="2"/>
  <c r="AD205" i="2"/>
  <c r="AD206" i="2"/>
  <c r="AD207" i="2"/>
  <c r="AD208" i="2"/>
  <c r="AD209" i="2"/>
  <c r="AD210" i="2"/>
  <c r="AD211" i="2"/>
  <c r="AD212" i="2"/>
  <c r="AD213" i="2"/>
  <c r="AD214" i="2"/>
  <c r="AD215" i="2"/>
  <c r="AD216" i="2"/>
  <c r="AD217" i="2"/>
  <c r="AF217" i="2" s="1"/>
  <c r="AD218" i="2"/>
  <c r="AD219" i="2"/>
  <c r="AD220" i="2"/>
  <c r="AD221" i="2"/>
  <c r="AD222" i="2"/>
  <c r="AD223" i="2"/>
  <c r="AD224" i="2"/>
  <c r="AD225" i="2"/>
  <c r="AD226" i="2"/>
  <c r="AD227" i="2"/>
  <c r="AD228" i="2"/>
  <c r="AD229" i="2"/>
  <c r="AD230" i="2"/>
  <c r="AD231" i="2"/>
  <c r="AD232" i="2"/>
  <c r="AD233" i="2"/>
  <c r="AD234" i="2"/>
  <c r="AD235" i="2"/>
  <c r="AD236" i="2"/>
  <c r="AD237" i="2"/>
  <c r="AD238" i="2"/>
  <c r="AD239" i="2"/>
  <c r="AF239" i="2" s="1"/>
  <c r="AD240" i="2"/>
  <c r="AD241" i="2"/>
  <c r="AD242" i="2"/>
  <c r="AD243" i="2"/>
  <c r="AD244" i="2"/>
  <c r="AD245" i="2"/>
  <c r="AD246" i="2"/>
  <c r="AD247" i="2"/>
  <c r="AD248" i="2"/>
  <c r="AD249" i="2"/>
  <c r="AD250" i="2"/>
  <c r="AD251" i="2"/>
  <c r="AD252" i="2"/>
  <c r="AD253" i="2"/>
  <c r="AD254" i="2"/>
  <c r="AD255" i="2"/>
  <c r="AD256" i="2"/>
  <c r="AD257" i="2"/>
  <c r="AD258" i="2"/>
  <c r="AD259" i="2"/>
  <c r="AD260" i="2"/>
  <c r="AD261" i="2"/>
  <c r="AF261" i="2" s="1"/>
  <c r="AD262" i="2"/>
  <c r="AD263" i="2"/>
  <c r="AD264" i="2"/>
  <c r="AD265" i="2"/>
  <c r="AD266" i="2"/>
  <c r="AD267" i="2"/>
  <c r="AD268" i="2"/>
  <c r="AD269" i="2"/>
  <c r="AD270" i="2"/>
  <c r="AD271" i="2"/>
  <c r="AD272" i="2"/>
  <c r="AD273" i="2"/>
  <c r="AD274" i="2"/>
  <c r="AD275" i="2"/>
  <c r="AD276" i="2"/>
  <c r="AD277" i="2"/>
  <c r="AD278" i="2"/>
  <c r="AD279" i="2"/>
  <c r="AD280" i="2"/>
  <c r="AD281" i="2"/>
  <c r="AD282" i="2"/>
  <c r="AD283" i="2"/>
  <c r="AF283" i="2" s="1"/>
  <c r="AD284" i="2"/>
  <c r="AD285" i="2"/>
  <c r="AD286" i="2"/>
  <c r="AD287" i="2"/>
  <c r="AD288" i="2"/>
  <c r="AD289" i="2"/>
  <c r="AD290" i="2"/>
  <c r="AD291" i="2"/>
  <c r="AD292" i="2"/>
  <c r="AD293" i="2"/>
  <c r="AD294" i="2"/>
  <c r="AD295" i="2"/>
  <c r="AD296" i="2"/>
  <c r="AD297" i="2"/>
  <c r="AD298" i="2"/>
  <c r="AD299" i="2"/>
  <c r="AD300" i="2"/>
  <c r="AD301" i="2"/>
  <c r="AD302" i="2"/>
  <c r="AD303" i="2"/>
  <c r="AD304" i="2"/>
  <c r="AD305" i="2"/>
  <c r="AF305" i="2" s="1"/>
  <c r="AD306" i="2"/>
  <c r="AD307" i="2"/>
  <c r="AD308" i="2"/>
  <c r="AD309" i="2"/>
  <c r="AD310" i="2"/>
  <c r="AD311" i="2"/>
  <c r="AD312" i="2"/>
  <c r="AD313" i="2"/>
  <c r="AD314" i="2"/>
  <c r="AD315" i="2"/>
  <c r="AD316" i="2"/>
  <c r="AD317" i="2"/>
  <c r="AD318" i="2"/>
  <c r="AD319" i="2"/>
  <c r="AD320" i="2"/>
  <c r="AD321" i="2"/>
  <c r="AD322" i="2"/>
  <c r="AD323" i="2"/>
  <c r="AD324" i="2"/>
  <c r="AD325" i="2"/>
  <c r="AD326" i="2"/>
  <c r="AD327" i="2"/>
  <c r="AF327" i="2" s="1"/>
  <c r="AD328" i="2"/>
  <c r="AD329" i="2"/>
  <c r="AD330" i="2"/>
  <c r="AD331" i="2"/>
  <c r="AD332" i="2"/>
  <c r="AD333" i="2"/>
  <c r="AD334" i="2"/>
  <c r="AD335" i="2"/>
  <c r="AD336" i="2"/>
  <c r="AD337" i="2"/>
  <c r="AD338" i="2"/>
  <c r="AD339" i="2"/>
  <c r="AD340" i="2"/>
  <c r="AD341" i="2"/>
  <c r="AD342" i="2"/>
  <c r="AD343" i="2"/>
  <c r="AD344" i="2"/>
  <c r="AD345" i="2"/>
  <c r="AD346" i="2"/>
  <c r="AD347" i="2"/>
  <c r="AD348" i="2"/>
  <c r="AD349" i="2"/>
  <c r="AF349" i="2" s="1"/>
  <c r="AD350" i="2"/>
  <c r="AD351" i="2"/>
  <c r="AD352" i="2"/>
  <c r="AD353" i="2"/>
  <c r="AD354" i="2"/>
  <c r="AD355" i="2"/>
  <c r="AD356" i="2"/>
  <c r="AD357" i="2"/>
  <c r="AE19" i="2"/>
  <c r="AE2" i="2"/>
  <c r="AF2" i="2" s="1"/>
  <c r="AE3" i="2"/>
  <c r="AF3" i="2" s="1"/>
  <c r="AE4" i="2"/>
  <c r="AF4" i="2" s="1"/>
  <c r="AE5" i="2"/>
  <c r="AF5" i="2" s="1"/>
  <c r="AE6" i="2"/>
  <c r="AE7" i="2"/>
  <c r="AE8" i="2"/>
  <c r="AF8" i="2" s="1"/>
  <c r="AE9" i="2"/>
  <c r="AF9" i="2" s="1"/>
  <c r="AE10" i="2"/>
  <c r="AF10" i="2" s="1"/>
  <c r="AE11" i="2"/>
  <c r="AE12" i="2"/>
  <c r="AE13" i="2"/>
  <c r="AF13" i="2" s="1"/>
  <c r="AE14" i="2"/>
  <c r="AF14" i="2" s="1"/>
  <c r="AE15" i="2"/>
  <c r="AF15" i="2" s="1"/>
  <c r="AE16" i="2"/>
  <c r="AE17" i="2"/>
  <c r="AE18" i="2"/>
  <c r="AE20" i="2"/>
  <c r="AF20" i="2" s="1"/>
  <c r="AE21" i="2"/>
  <c r="AF21" i="2" s="1"/>
  <c r="AE22" i="2"/>
  <c r="AE23" i="2"/>
  <c r="AE24" i="2"/>
  <c r="AF24" i="2" s="1"/>
  <c r="AE25" i="2"/>
  <c r="AF25" i="2" s="1"/>
  <c r="AE26" i="2"/>
  <c r="AF26" i="2" s="1"/>
  <c r="AE27" i="2"/>
  <c r="AF27" i="2" s="1"/>
  <c r="AE28" i="2"/>
  <c r="AF28" i="2" s="1"/>
  <c r="AE29" i="2"/>
  <c r="AE30" i="2"/>
  <c r="AF30" i="2" s="1"/>
  <c r="AE31" i="2"/>
  <c r="AF31" i="2" s="1"/>
  <c r="AE32" i="2"/>
  <c r="AF32" i="2" s="1"/>
  <c r="AE33" i="2"/>
  <c r="AF33" i="2" s="1"/>
  <c r="AE34" i="2"/>
  <c r="AE35" i="2"/>
  <c r="AF35" i="2" s="1"/>
  <c r="AE36" i="2"/>
  <c r="AF36" i="2" s="1"/>
  <c r="AE37" i="2"/>
  <c r="AF37" i="2" s="1"/>
  <c r="AE38" i="2"/>
  <c r="AE39" i="2"/>
  <c r="AE40" i="2"/>
  <c r="AE41" i="2"/>
  <c r="AE42" i="2"/>
  <c r="AF42" i="2" s="1"/>
  <c r="AE43" i="2"/>
  <c r="AF43" i="2" s="1"/>
  <c r="AE44" i="2"/>
  <c r="AE45" i="2"/>
  <c r="AE46" i="2"/>
  <c r="AF46" i="2" s="1"/>
  <c r="AE47" i="2"/>
  <c r="AF47" i="2" s="1"/>
  <c r="AE48" i="2"/>
  <c r="AF48" i="2" s="1"/>
  <c r="AE49" i="2"/>
  <c r="AF49" i="2" s="1"/>
  <c r="AE50" i="2"/>
  <c r="AF50" i="2" s="1"/>
  <c r="AE51" i="2"/>
  <c r="AE52" i="2"/>
  <c r="AF52" i="2" s="1"/>
  <c r="AE53" i="2"/>
  <c r="AF53" i="2" s="1"/>
  <c r="AE54" i="2"/>
  <c r="AF54" i="2" s="1"/>
  <c r="AE55" i="2"/>
  <c r="AF55" i="2" s="1"/>
  <c r="AE56" i="2"/>
  <c r="AE57" i="2"/>
  <c r="AF57" i="2" s="1"/>
  <c r="AE58" i="2"/>
  <c r="AF58" i="2" s="1"/>
  <c r="AE59" i="2"/>
  <c r="AF59" i="2" s="1"/>
  <c r="AE60" i="2"/>
  <c r="AE61" i="2"/>
  <c r="AE62" i="2"/>
  <c r="AE63" i="2"/>
  <c r="AE64" i="2"/>
  <c r="AF64" i="2" s="1"/>
  <c r="AE65" i="2"/>
  <c r="AF65" i="2" s="1"/>
  <c r="AE66" i="2"/>
  <c r="AE67" i="2"/>
  <c r="AE68" i="2"/>
  <c r="AF68" i="2" s="1"/>
  <c r="AE69" i="2"/>
  <c r="AF69" i="2" s="1"/>
  <c r="AE70" i="2"/>
  <c r="AF70" i="2" s="1"/>
  <c r="AE71" i="2"/>
  <c r="AF71" i="2" s="1"/>
  <c r="AE72" i="2"/>
  <c r="AF72" i="2" s="1"/>
  <c r="AE73" i="2"/>
  <c r="AE74" i="2"/>
  <c r="AF74" i="2" s="1"/>
  <c r="AE75" i="2"/>
  <c r="AF75" i="2" s="1"/>
  <c r="AE76" i="2"/>
  <c r="AF76" i="2" s="1"/>
  <c r="AE77" i="2"/>
  <c r="AF77" i="2" s="1"/>
  <c r="AE78" i="2"/>
  <c r="AE79" i="2"/>
  <c r="AF79" i="2" s="1"/>
  <c r="AE80" i="2"/>
  <c r="AF80" i="2" s="1"/>
  <c r="AE81" i="2"/>
  <c r="AF81" i="2" s="1"/>
  <c r="AE82" i="2"/>
  <c r="AE83" i="2"/>
  <c r="AE84" i="2"/>
  <c r="AE85" i="2"/>
  <c r="AE86" i="2"/>
  <c r="AF86" i="2" s="1"/>
  <c r="AE87" i="2"/>
  <c r="AF87" i="2" s="1"/>
  <c r="AE88" i="2"/>
  <c r="AE89" i="2"/>
  <c r="AE90" i="2"/>
  <c r="AF90" i="2" s="1"/>
  <c r="AE91" i="2"/>
  <c r="AF91" i="2" s="1"/>
  <c r="AE92" i="2"/>
  <c r="AF92" i="2" s="1"/>
  <c r="AE93" i="2"/>
  <c r="AF93" i="2" s="1"/>
  <c r="AE94" i="2"/>
  <c r="AF94" i="2" s="1"/>
  <c r="AE95" i="2"/>
  <c r="AE96" i="2"/>
  <c r="AF96" i="2" s="1"/>
  <c r="AE97" i="2"/>
  <c r="AF97" i="2" s="1"/>
  <c r="AE98" i="2"/>
  <c r="AF98" i="2" s="1"/>
  <c r="AE99" i="2"/>
  <c r="AF99" i="2" s="1"/>
  <c r="AE100" i="2"/>
  <c r="AE101" i="2"/>
  <c r="AF101" i="2" s="1"/>
  <c r="AE102" i="2"/>
  <c r="AF102" i="2" s="1"/>
  <c r="AE103" i="2"/>
  <c r="AF103" i="2" s="1"/>
  <c r="AE104" i="2"/>
  <c r="AE105" i="2"/>
  <c r="AE106" i="2"/>
  <c r="AE107" i="2"/>
  <c r="AE108" i="2"/>
  <c r="AF108" i="2" s="1"/>
  <c r="AE109" i="2"/>
  <c r="AF109" i="2" s="1"/>
  <c r="AE110" i="2"/>
  <c r="AE111" i="2"/>
  <c r="AE112" i="2"/>
  <c r="AF112" i="2" s="1"/>
  <c r="AE113" i="2"/>
  <c r="AF113" i="2" s="1"/>
  <c r="AE114" i="2"/>
  <c r="AF114" i="2" s="1"/>
  <c r="AE115" i="2"/>
  <c r="AF115" i="2" s="1"/>
  <c r="AE116" i="2"/>
  <c r="AF116" i="2" s="1"/>
  <c r="AE117" i="2"/>
  <c r="AE118" i="2"/>
  <c r="AF118" i="2" s="1"/>
  <c r="AE119" i="2"/>
  <c r="AF119" i="2" s="1"/>
  <c r="AE120" i="2"/>
  <c r="AF120" i="2" s="1"/>
  <c r="AE121" i="2"/>
  <c r="AF121" i="2" s="1"/>
  <c r="AE122" i="2"/>
  <c r="AE123" i="2"/>
  <c r="AF123" i="2" s="1"/>
  <c r="AE124" i="2"/>
  <c r="AF124" i="2" s="1"/>
  <c r="AE125" i="2"/>
  <c r="AF125" i="2" s="1"/>
  <c r="AE126" i="2"/>
  <c r="AE127" i="2"/>
  <c r="AE128" i="2"/>
  <c r="AE129" i="2"/>
  <c r="AE130" i="2"/>
  <c r="AF130" i="2" s="1"/>
  <c r="AE131" i="2"/>
  <c r="AF131" i="2" s="1"/>
  <c r="AE132" i="2"/>
  <c r="AE133" i="2"/>
  <c r="AE134" i="2"/>
  <c r="AF134" i="2" s="1"/>
  <c r="AE135" i="2"/>
  <c r="AF135" i="2" s="1"/>
  <c r="AE136" i="2"/>
  <c r="AF136" i="2" s="1"/>
  <c r="AE137" i="2"/>
  <c r="AF137" i="2" s="1"/>
  <c r="AE138" i="2"/>
  <c r="AF138" i="2" s="1"/>
  <c r="AE139" i="2"/>
  <c r="AE140" i="2"/>
  <c r="AF140" i="2" s="1"/>
  <c r="AE141" i="2"/>
  <c r="AF141" i="2" s="1"/>
  <c r="AE142" i="2"/>
  <c r="AF142" i="2" s="1"/>
  <c r="AE143" i="2"/>
  <c r="AF143" i="2" s="1"/>
  <c r="AE144" i="2"/>
  <c r="AE145" i="2"/>
  <c r="AF145" i="2" s="1"/>
  <c r="AE146" i="2"/>
  <c r="AF146" i="2" s="1"/>
  <c r="AE147" i="2"/>
  <c r="AF147" i="2" s="1"/>
  <c r="AE148" i="2"/>
  <c r="AE149" i="2"/>
  <c r="AE150" i="2"/>
  <c r="AE151" i="2"/>
  <c r="AE152" i="2"/>
  <c r="AF152" i="2" s="1"/>
  <c r="AE153" i="2"/>
  <c r="AF153" i="2" s="1"/>
  <c r="AE154" i="2"/>
  <c r="AE155" i="2"/>
  <c r="AE156" i="2"/>
  <c r="AF156" i="2" s="1"/>
  <c r="AE157" i="2"/>
  <c r="AF157" i="2" s="1"/>
  <c r="AE158" i="2"/>
  <c r="AF158" i="2" s="1"/>
  <c r="AE159" i="2"/>
  <c r="AF159" i="2" s="1"/>
  <c r="AE160" i="2"/>
  <c r="AF160" i="2" s="1"/>
  <c r="AE161" i="2"/>
  <c r="AE162" i="2"/>
  <c r="AF162" i="2" s="1"/>
  <c r="AE163" i="2"/>
  <c r="AF163" i="2" s="1"/>
  <c r="AE164" i="2"/>
  <c r="AF164" i="2" s="1"/>
  <c r="AE165" i="2"/>
  <c r="AF165" i="2" s="1"/>
  <c r="AE166" i="2"/>
  <c r="AE167" i="2"/>
  <c r="AF167" i="2" s="1"/>
  <c r="AE168" i="2"/>
  <c r="AF168" i="2" s="1"/>
  <c r="AE169" i="2"/>
  <c r="AF169" i="2" s="1"/>
  <c r="AE170" i="2"/>
  <c r="AE171" i="2"/>
  <c r="AE172" i="2"/>
  <c r="AE173" i="2"/>
  <c r="AE174" i="2"/>
  <c r="AF174" i="2" s="1"/>
  <c r="AE175" i="2"/>
  <c r="AF175" i="2" s="1"/>
  <c r="AE176" i="2"/>
  <c r="AE177" i="2"/>
  <c r="AE178" i="2"/>
  <c r="AF178" i="2" s="1"/>
  <c r="AE179" i="2"/>
  <c r="AF179" i="2" s="1"/>
  <c r="AE180" i="2"/>
  <c r="AF180" i="2" s="1"/>
  <c r="AE181" i="2"/>
  <c r="AF181" i="2" s="1"/>
  <c r="AE182" i="2"/>
  <c r="AF182" i="2" s="1"/>
  <c r="AE183" i="2"/>
  <c r="AE184" i="2"/>
  <c r="AF184" i="2" s="1"/>
  <c r="AE185" i="2"/>
  <c r="AF185" i="2" s="1"/>
  <c r="AE186" i="2"/>
  <c r="AF186" i="2" s="1"/>
  <c r="AE187" i="2"/>
  <c r="AF187" i="2" s="1"/>
  <c r="AE188" i="2"/>
  <c r="AE189" i="2"/>
  <c r="AF189" i="2" s="1"/>
  <c r="AE190" i="2"/>
  <c r="AF190" i="2" s="1"/>
  <c r="AE191" i="2"/>
  <c r="AF191" i="2" s="1"/>
  <c r="AE192" i="2"/>
  <c r="AE193" i="2"/>
  <c r="AE194" i="2"/>
  <c r="AE195" i="2"/>
  <c r="AE196" i="2"/>
  <c r="AF196" i="2" s="1"/>
  <c r="AE197" i="2"/>
  <c r="AF197" i="2" s="1"/>
  <c r="AE198" i="2"/>
  <c r="AE199" i="2"/>
  <c r="AE200" i="2"/>
  <c r="AF200" i="2" s="1"/>
  <c r="AE201" i="2"/>
  <c r="AF201" i="2" s="1"/>
  <c r="AE202" i="2"/>
  <c r="AF202" i="2" s="1"/>
  <c r="AE203" i="2"/>
  <c r="AF203" i="2" s="1"/>
  <c r="AE204" i="2"/>
  <c r="AF204" i="2" s="1"/>
  <c r="AE205" i="2"/>
  <c r="AE206" i="2"/>
  <c r="AF206" i="2" s="1"/>
  <c r="AE207" i="2"/>
  <c r="AF207" i="2" s="1"/>
  <c r="AE208" i="2"/>
  <c r="AF208" i="2" s="1"/>
  <c r="AE209" i="2"/>
  <c r="AF209" i="2" s="1"/>
  <c r="AE210" i="2"/>
  <c r="AE211" i="2"/>
  <c r="AF211" i="2" s="1"/>
  <c r="AE212" i="2"/>
  <c r="AF212" i="2" s="1"/>
  <c r="AE213" i="2"/>
  <c r="AF213" i="2" s="1"/>
  <c r="AE214" i="2"/>
  <c r="AE215" i="2"/>
  <c r="AE216" i="2"/>
  <c r="AE217" i="2"/>
  <c r="AE218" i="2"/>
  <c r="AF218" i="2" s="1"/>
  <c r="AE219" i="2"/>
  <c r="AF219" i="2" s="1"/>
  <c r="AE220" i="2"/>
  <c r="AE221" i="2"/>
  <c r="AE222" i="2"/>
  <c r="AF222" i="2" s="1"/>
  <c r="AE223" i="2"/>
  <c r="AF223" i="2" s="1"/>
  <c r="AE224" i="2"/>
  <c r="AF224" i="2" s="1"/>
  <c r="AE225" i="2"/>
  <c r="AF225" i="2" s="1"/>
  <c r="AE226" i="2"/>
  <c r="AF226" i="2" s="1"/>
  <c r="AE227" i="2"/>
  <c r="AE228" i="2"/>
  <c r="AF228" i="2" s="1"/>
  <c r="AE229" i="2"/>
  <c r="AF229" i="2" s="1"/>
  <c r="AE230" i="2"/>
  <c r="AF230" i="2" s="1"/>
  <c r="AE231" i="2"/>
  <c r="AF231" i="2" s="1"/>
  <c r="AE232" i="2"/>
  <c r="AE233" i="2"/>
  <c r="AF233" i="2" s="1"/>
  <c r="AE234" i="2"/>
  <c r="AF234" i="2" s="1"/>
  <c r="AE235" i="2"/>
  <c r="AF235" i="2" s="1"/>
  <c r="AE236" i="2"/>
  <c r="AE237" i="2"/>
  <c r="AE238" i="2"/>
  <c r="AE239" i="2"/>
  <c r="AE240" i="2"/>
  <c r="AF240" i="2" s="1"/>
  <c r="AE241" i="2"/>
  <c r="AF241" i="2" s="1"/>
  <c r="AE242" i="2"/>
  <c r="AE243" i="2"/>
  <c r="AE244" i="2"/>
  <c r="AF244" i="2" s="1"/>
  <c r="AE245" i="2"/>
  <c r="AF245" i="2" s="1"/>
  <c r="AE246" i="2"/>
  <c r="AF246" i="2" s="1"/>
  <c r="AE247" i="2"/>
  <c r="AF247" i="2" s="1"/>
  <c r="AE248" i="2"/>
  <c r="AF248" i="2" s="1"/>
  <c r="AE249" i="2"/>
  <c r="AE250" i="2"/>
  <c r="AF250" i="2" s="1"/>
  <c r="AE251" i="2"/>
  <c r="AF251" i="2" s="1"/>
  <c r="AE252" i="2"/>
  <c r="AF252" i="2" s="1"/>
  <c r="AE253" i="2"/>
  <c r="AF253" i="2" s="1"/>
  <c r="AE254" i="2"/>
  <c r="AE255" i="2"/>
  <c r="AF255" i="2" s="1"/>
  <c r="AE256" i="2"/>
  <c r="AF256" i="2" s="1"/>
  <c r="AE257" i="2"/>
  <c r="AF257" i="2" s="1"/>
  <c r="AE258" i="2"/>
  <c r="AE259" i="2"/>
  <c r="AE260" i="2"/>
  <c r="AE261" i="2"/>
  <c r="AE262" i="2"/>
  <c r="AF262" i="2" s="1"/>
  <c r="AE263" i="2"/>
  <c r="AF263" i="2" s="1"/>
  <c r="AE264" i="2"/>
  <c r="AE265" i="2"/>
  <c r="AE266" i="2"/>
  <c r="AF266" i="2" s="1"/>
  <c r="AE267" i="2"/>
  <c r="AF267" i="2" s="1"/>
  <c r="AE268" i="2"/>
  <c r="AF268" i="2" s="1"/>
  <c r="AE269" i="2"/>
  <c r="AF269" i="2" s="1"/>
  <c r="AE270" i="2"/>
  <c r="AF270" i="2" s="1"/>
  <c r="AE271" i="2"/>
  <c r="AE272" i="2"/>
  <c r="AF272" i="2" s="1"/>
  <c r="AE273" i="2"/>
  <c r="AF273" i="2" s="1"/>
  <c r="AE274" i="2"/>
  <c r="AF274" i="2" s="1"/>
  <c r="AE275" i="2"/>
  <c r="AF275" i="2" s="1"/>
  <c r="AE276" i="2"/>
  <c r="AE277" i="2"/>
  <c r="AF277" i="2" s="1"/>
  <c r="AE278" i="2"/>
  <c r="AF278" i="2" s="1"/>
  <c r="AE279" i="2"/>
  <c r="AF279" i="2" s="1"/>
  <c r="AE280" i="2"/>
  <c r="AE281" i="2"/>
  <c r="AE282" i="2"/>
  <c r="AE283" i="2"/>
  <c r="AE284" i="2"/>
  <c r="AF284" i="2" s="1"/>
  <c r="AE285" i="2"/>
  <c r="AF285" i="2" s="1"/>
  <c r="AE286" i="2"/>
  <c r="AE287" i="2"/>
  <c r="AE288" i="2"/>
  <c r="AF288" i="2" s="1"/>
  <c r="AE289" i="2"/>
  <c r="AF289" i="2" s="1"/>
  <c r="AE290" i="2"/>
  <c r="AF290" i="2" s="1"/>
  <c r="AE291" i="2"/>
  <c r="AF291" i="2" s="1"/>
  <c r="AE292" i="2"/>
  <c r="AF292" i="2" s="1"/>
  <c r="AE293" i="2"/>
  <c r="AE294" i="2"/>
  <c r="AF294" i="2" s="1"/>
  <c r="AE295" i="2"/>
  <c r="AF295" i="2" s="1"/>
  <c r="AE296" i="2"/>
  <c r="AF296" i="2" s="1"/>
  <c r="AE297" i="2"/>
  <c r="AF297" i="2" s="1"/>
  <c r="AE298" i="2"/>
  <c r="AE299" i="2"/>
  <c r="AF299" i="2" s="1"/>
  <c r="AE300" i="2"/>
  <c r="AF300" i="2" s="1"/>
  <c r="AE301" i="2"/>
  <c r="AF301" i="2" s="1"/>
  <c r="AE302" i="2"/>
  <c r="AE303" i="2"/>
  <c r="AE304" i="2"/>
  <c r="AE305" i="2"/>
  <c r="AE306" i="2"/>
  <c r="AF306" i="2" s="1"/>
  <c r="AE307" i="2"/>
  <c r="AF307" i="2" s="1"/>
  <c r="AE308" i="2"/>
  <c r="AE309" i="2"/>
  <c r="AE310" i="2"/>
  <c r="AF310" i="2" s="1"/>
  <c r="AE311" i="2"/>
  <c r="AF311" i="2" s="1"/>
  <c r="AE312" i="2"/>
  <c r="AF312" i="2" s="1"/>
  <c r="AE313" i="2"/>
  <c r="AF313" i="2" s="1"/>
  <c r="AE314" i="2"/>
  <c r="AF314" i="2" s="1"/>
  <c r="AE315" i="2"/>
  <c r="AE316" i="2"/>
  <c r="AF316" i="2" s="1"/>
  <c r="AE317" i="2"/>
  <c r="AF317" i="2" s="1"/>
  <c r="AE318" i="2"/>
  <c r="AF318" i="2" s="1"/>
  <c r="AE319" i="2"/>
  <c r="AF319" i="2" s="1"/>
  <c r="AE320" i="2"/>
  <c r="AE321" i="2"/>
  <c r="AF321" i="2" s="1"/>
  <c r="AE322" i="2"/>
  <c r="AF322" i="2" s="1"/>
  <c r="AE323" i="2"/>
  <c r="AF323" i="2" s="1"/>
  <c r="AE324" i="2"/>
  <c r="AE325" i="2"/>
  <c r="AE326" i="2"/>
  <c r="AE327" i="2"/>
  <c r="AE328" i="2"/>
  <c r="AF328" i="2" s="1"/>
  <c r="AE329" i="2"/>
  <c r="AF329" i="2" s="1"/>
  <c r="AE330" i="2"/>
  <c r="AE331" i="2"/>
  <c r="AE332" i="2"/>
  <c r="AF332" i="2" s="1"/>
  <c r="AE333" i="2"/>
  <c r="AF333" i="2" s="1"/>
  <c r="AE334" i="2"/>
  <c r="AF334" i="2" s="1"/>
  <c r="AE335" i="2"/>
  <c r="AF335" i="2" s="1"/>
  <c r="AE336" i="2"/>
  <c r="AF336" i="2" s="1"/>
  <c r="AE337" i="2"/>
  <c r="AE338" i="2"/>
  <c r="AF338" i="2" s="1"/>
  <c r="AE339" i="2"/>
  <c r="AF339" i="2" s="1"/>
  <c r="AE340" i="2"/>
  <c r="AF340" i="2" s="1"/>
  <c r="AE341" i="2"/>
  <c r="AF341" i="2" s="1"/>
  <c r="AE342" i="2"/>
  <c r="AE343" i="2"/>
  <c r="AF343" i="2" s="1"/>
  <c r="AE344" i="2"/>
  <c r="AF344" i="2" s="1"/>
  <c r="AE345" i="2"/>
  <c r="AF345" i="2" s="1"/>
  <c r="AE346" i="2"/>
  <c r="AE347" i="2"/>
  <c r="AE348" i="2"/>
  <c r="AE349" i="2"/>
  <c r="AE350" i="2"/>
  <c r="AF350" i="2" s="1"/>
  <c r="AE351" i="2"/>
  <c r="AF351" i="2" s="1"/>
  <c r="AE352" i="2"/>
  <c r="AE353" i="2"/>
  <c r="AE354" i="2"/>
  <c r="AF354" i="2" s="1"/>
  <c r="AE355" i="2"/>
  <c r="AF355" i="2" s="1"/>
  <c r="AE356" i="2"/>
  <c r="AF356" i="2" s="1"/>
  <c r="AE357" i="2"/>
  <c r="AF357" i="2" s="1"/>
  <c r="Q4362" i="1"/>
  <c r="O4362" i="1"/>
  <c r="N4362" i="1"/>
  <c r="M4362" i="1"/>
  <c r="J4363" i="1"/>
  <c r="I4363" i="1"/>
  <c r="G4362" i="1"/>
  <c r="G4363" i="1" s="1"/>
  <c r="O4366" i="1"/>
  <c r="O4364" i="1"/>
  <c r="H4362" i="1" l="1"/>
  <c r="H4363" i="1" s="1"/>
  <c r="Z4362" i="1"/>
  <c r="S4362" i="1"/>
  <c r="R4362" i="1"/>
  <c r="H2093" i="1"/>
  <c r="G2093" i="1"/>
  <c r="I2093" i="1" s="1"/>
  <c r="O145" i="1"/>
  <c r="Q1681" i="1"/>
  <c r="S1681" i="1" s="1"/>
  <c r="J1682" i="1"/>
  <c r="I1682" i="1"/>
  <c r="H1682" i="1"/>
  <c r="G1682" i="1"/>
  <c r="J1684" i="1"/>
  <c r="I1684" i="1"/>
  <c r="H1684" i="1"/>
  <c r="G1684" i="1"/>
  <c r="O1683" i="1"/>
  <c r="N1683" i="1"/>
  <c r="M1683" i="1"/>
  <c r="O1681" i="1"/>
  <c r="N1681" i="1"/>
  <c r="M1681" i="1"/>
  <c r="N1685" i="1"/>
  <c r="Q3084" i="1"/>
  <c r="Q3100" i="1"/>
  <c r="M3086" i="1"/>
  <c r="M3088" i="1"/>
  <c r="H456" i="1"/>
  <c r="O455" i="1"/>
  <c r="N455" i="1"/>
  <c r="M455" i="1"/>
  <c r="Q455" i="1"/>
  <c r="R455" i="1" s="1"/>
  <c r="I456" i="1"/>
  <c r="J456" i="1"/>
  <c r="G456" i="1"/>
  <c r="V129" i="43"/>
  <c r="O1351" i="1"/>
  <c r="N1351" i="1"/>
  <c r="M1351" i="1"/>
  <c r="I1352" i="1"/>
  <c r="J1352" i="1"/>
  <c r="G1352" i="1"/>
  <c r="Q97" i="1"/>
  <c r="S97" i="1" s="1"/>
  <c r="Q95" i="1"/>
  <c r="S95" i="1" s="1"/>
  <c r="Q93" i="1"/>
  <c r="S93" i="1" s="1"/>
  <c r="Q91" i="1"/>
  <c r="S91" i="1" s="1"/>
  <c r="Q89" i="1"/>
  <c r="S89" i="1" s="1"/>
  <c r="O97" i="1"/>
  <c r="N97" i="1"/>
  <c r="M97" i="1"/>
  <c r="O95" i="1"/>
  <c r="N95" i="1"/>
  <c r="M95" i="1"/>
  <c r="O93" i="1"/>
  <c r="N93" i="1"/>
  <c r="M93" i="1"/>
  <c r="O91" i="1"/>
  <c r="N91" i="1"/>
  <c r="M91" i="1"/>
  <c r="O89" i="1"/>
  <c r="N89" i="1"/>
  <c r="M89" i="1"/>
  <c r="O37" i="1"/>
  <c r="N37" i="1"/>
  <c r="N76" i="1"/>
  <c r="N79" i="1"/>
  <c r="O64" i="1"/>
  <c r="N64" i="1"/>
  <c r="J90" i="1"/>
  <c r="I90" i="1"/>
  <c r="H90" i="1"/>
  <c r="G90" i="1"/>
  <c r="Z90" i="1" s="1"/>
  <c r="J92" i="1"/>
  <c r="I92" i="1"/>
  <c r="H92" i="1"/>
  <c r="G92" i="1"/>
  <c r="Z92" i="1" s="1"/>
  <c r="J94" i="1"/>
  <c r="I94" i="1"/>
  <c r="H94" i="1"/>
  <c r="G94" i="1"/>
  <c r="Z94" i="1" s="1"/>
  <c r="J96" i="1"/>
  <c r="I96" i="1"/>
  <c r="H96" i="1"/>
  <c r="G96" i="1"/>
  <c r="Z96" i="1" s="1"/>
  <c r="U1675" i="1"/>
  <c r="U1676" i="1"/>
  <c r="V1675" i="1"/>
  <c r="V1676" i="1"/>
  <c r="Z1675" i="1"/>
  <c r="Z1676" i="1"/>
  <c r="U2047" i="1"/>
  <c r="V2047" i="1"/>
  <c r="Z2047" i="1"/>
  <c r="U4565" i="1"/>
  <c r="V4565" i="1"/>
  <c r="Z4565" i="1"/>
  <c r="U4564" i="1"/>
  <c r="V4564" i="1"/>
  <c r="Z4564" i="1"/>
  <c r="U4563" i="1"/>
  <c r="V4563" i="1"/>
  <c r="Z4563" i="1"/>
  <c r="U4566" i="1"/>
  <c r="V4566" i="1"/>
  <c r="Z4566" i="1"/>
  <c r="J4463" i="1"/>
  <c r="I4463" i="1"/>
  <c r="H4463" i="1"/>
  <c r="G4463" i="1"/>
  <c r="U87" i="1"/>
  <c r="U88" i="1"/>
  <c r="U89" i="1"/>
  <c r="U90" i="1"/>
  <c r="U91" i="1"/>
  <c r="U92" i="1"/>
  <c r="U93" i="1"/>
  <c r="U94" i="1"/>
  <c r="U95" i="1"/>
  <c r="U96" i="1"/>
  <c r="U97" i="1"/>
  <c r="U98" i="1"/>
  <c r="U99" i="1"/>
  <c r="U100" i="1"/>
  <c r="V87" i="1"/>
  <c r="V88" i="1"/>
  <c r="V89" i="1"/>
  <c r="V90" i="1"/>
  <c r="V91" i="1"/>
  <c r="V92" i="1"/>
  <c r="V93" i="1"/>
  <c r="V94" i="1"/>
  <c r="V95" i="1"/>
  <c r="V96" i="1"/>
  <c r="V97" i="1"/>
  <c r="V98" i="1"/>
  <c r="V99" i="1"/>
  <c r="V100" i="1"/>
  <c r="Z87" i="1"/>
  <c r="Z88" i="1"/>
  <c r="Z89" i="1"/>
  <c r="Z91" i="1"/>
  <c r="Z93" i="1"/>
  <c r="Z95" i="1"/>
  <c r="Z97" i="1"/>
  <c r="Z98" i="1"/>
  <c r="Z99" i="1"/>
  <c r="Z100" i="1"/>
  <c r="U919" i="1"/>
  <c r="U920" i="1"/>
  <c r="U921" i="1"/>
  <c r="U922" i="1"/>
  <c r="U923" i="1"/>
  <c r="U924" i="1"/>
  <c r="U925" i="1"/>
  <c r="U926" i="1"/>
  <c r="U927" i="1"/>
  <c r="U928" i="1"/>
  <c r="U929" i="1"/>
  <c r="U930" i="1"/>
  <c r="U931" i="1"/>
  <c r="U932" i="1"/>
  <c r="V919" i="1"/>
  <c r="V920" i="1"/>
  <c r="V921" i="1"/>
  <c r="V922" i="1"/>
  <c r="V923" i="1"/>
  <c r="V924" i="1"/>
  <c r="V925" i="1"/>
  <c r="V926" i="1"/>
  <c r="V927" i="1"/>
  <c r="V928" i="1"/>
  <c r="V929" i="1"/>
  <c r="V930" i="1"/>
  <c r="V931" i="1"/>
  <c r="V932" i="1"/>
  <c r="Z919" i="1"/>
  <c r="Z920" i="1"/>
  <c r="Z921" i="1"/>
  <c r="Z922" i="1"/>
  <c r="Z923" i="1"/>
  <c r="Z924" i="1"/>
  <c r="Z925" i="1"/>
  <c r="Z926" i="1"/>
  <c r="Z927" i="1"/>
  <c r="Z928" i="1"/>
  <c r="Z929" i="1"/>
  <c r="Z930" i="1"/>
  <c r="Z931" i="1"/>
  <c r="Z932" i="1"/>
  <c r="U2854" i="1"/>
  <c r="U2855" i="1"/>
  <c r="U2856" i="1"/>
  <c r="V2854" i="1"/>
  <c r="V2855" i="1"/>
  <c r="V2856" i="1"/>
  <c r="Z2854" i="1"/>
  <c r="Z2855" i="1"/>
  <c r="Z2856" i="1"/>
  <c r="U4586" i="1"/>
  <c r="V4586" i="1"/>
  <c r="Z4586" i="1"/>
  <c r="U4587" i="1"/>
  <c r="V4587" i="1"/>
  <c r="Z4587" i="1"/>
  <c r="U4588" i="1"/>
  <c r="V4588" i="1"/>
  <c r="Z4588" i="1"/>
  <c r="U4589" i="1"/>
  <c r="V4589" i="1"/>
  <c r="Z4589" i="1"/>
  <c r="U4590" i="1"/>
  <c r="V4590" i="1"/>
  <c r="Z4590" i="1"/>
  <c r="M4591" i="1"/>
  <c r="N4591" i="1"/>
  <c r="O4591" i="1"/>
  <c r="Q4591" i="1"/>
  <c r="R4591" i="1" s="1"/>
  <c r="U4591" i="1"/>
  <c r="V4591" i="1"/>
  <c r="Z4591" i="1"/>
  <c r="G4592" i="1"/>
  <c r="Z4592" i="1" s="1"/>
  <c r="H4592" i="1"/>
  <c r="I4592" i="1"/>
  <c r="J4592" i="1"/>
  <c r="U4592" i="1"/>
  <c r="V4592" i="1"/>
  <c r="M4593" i="1"/>
  <c r="N4593" i="1"/>
  <c r="O4593" i="1"/>
  <c r="Q4593" i="1"/>
  <c r="R4593" i="1" s="1"/>
  <c r="U4593" i="1"/>
  <c r="V4593" i="1"/>
  <c r="Z4593" i="1"/>
  <c r="G4594" i="1"/>
  <c r="Z4594" i="1" s="1"/>
  <c r="H4594" i="1"/>
  <c r="I4594" i="1"/>
  <c r="J4594" i="1"/>
  <c r="V4594" i="1"/>
  <c r="M4595" i="1"/>
  <c r="N4595" i="1"/>
  <c r="O4595" i="1"/>
  <c r="Q4595" i="1"/>
  <c r="R4595" i="1" s="1"/>
  <c r="U4595" i="1"/>
  <c r="V4595" i="1"/>
  <c r="Z4595" i="1"/>
  <c r="G4596" i="1"/>
  <c r="Z4596" i="1" s="1"/>
  <c r="H4596" i="1"/>
  <c r="I4596" i="1"/>
  <c r="J4596" i="1"/>
  <c r="U4596" i="1"/>
  <c r="V4596" i="1"/>
  <c r="M4597" i="1"/>
  <c r="N4597" i="1"/>
  <c r="O4597" i="1"/>
  <c r="Q4597" i="1"/>
  <c r="R4597" i="1" s="1"/>
  <c r="U4597" i="1"/>
  <c r="V4597" i="1"/>
  <c r="Z4597" i="1"/>
  <c r="G4598" i="1"/>
  <c r="Z4598" i="1" s="1"/>
  <c r="H4598" i="1"/>
  <c r="I4598" i="1"/>
  <c r="J4598" i="1"/>
  <c r="U4598" i="1"/>
  <c r="V4598" i="1"/>
  <c r="M4599" i="1"/>
  <c r="N4599" i="1"/>
  <c r="O4599" i="1"/>
  <c r="Q4599" i="1"/>
  <c r="S4599" i="1" s="1"/>
  <c r="U4599" i="1"/>
  <c r="V4599" i="1"/>
  <c r="Z4599" i="1"/>
  <c r="G4600" i="1"/>
  <c r="Z4600" i="1" s="1"/>
  <c r="H4600" i="1"/>
  <c r="I4600" i="1"/>
  <c r="J4600" i="1"/>
  <c r="U4600" i="1"/>
  <c r="V4600" i="1"/>
  <c r="M4601" i="1"/>
  <c r="N4601" i="1"/>
  <c r="O4601" i="1"/>
  <c r="Q4601" i="1"/>
  <c r="S4601" i="1" s="1"/>
  <c r="U4601" i="1"/>
  <c r="V4601" i="1"/>
  <c r="Z4601" i="1"/>
  <c r="G4602" i="1"/>
  <c r="Z4602" i="1" s="1"/>
  <c r="H4602" i="1"/>
  <c r="I4602" i="1"/>
  <c r="J4602" i="1"/>
  <c r="U4602" i="1"/>
  <c r="V4602" i="1"/>
  <c r="M4603" i="1"/>
  <c r="N4603" i="1"/>
  <c r="O4603" i="1"/>
  <c r="Q4603" i="1"/>
  <c r="S4603" i="1" s="1"/>
  <c r="U4603" i="1"/>
  <c r="V4603" i="1"/>
  <c r="Z4603" i="1"/>
  <c r="G4604" i="1"/>
  <c r="Z4604" i="1" s="1"/>
  <c r="H4604" i="1"/>
  <c r="I4604" i="1"/>
  <c r="J4604" i="1"/>
  <c r="U4604" i="1"/>
  <c r="V4604" i="1"/>
  <c r="M4605" i="1"/>
  <c r="N4605" i="1"/>
  <c r="O4605" i="1"/>
  <c r="Q4605" i="1"/>
  <c r="R4605" i="1" s="1"/>
  <c r="U4605" i="1"/>
  <c r="V4605" i="1"/>
  <c r="Z4605" i="1"/>
  <c r="J2029" i="1"/>
  <c r="I2029" i="1"/>
  <c r="H2029" i="1"/>
  <c r="G2029" i="1"/>
  <c r="Q2028" i="1"/>
  <c r="S2028" i="1" s="1"/>
  <c r="N2032" i="1"/>
  <c r="M2032" i="1"/>
  <c r="O2032" i="1" s="1"/>
  <c r="N2030" i="1"/>
  <c r="M2030" i="1"/>
  <c r="O2030" i="1" s="1"/>
  <c r="N2028" i="1"/>
  <c r="M2028" i="1"/>
  <c r="O2028" i="1" s="1"/>
  <c r="O1646" i="1"/>
  <c r="N1646" i="1"/>
  <c r="Q3487" i="1"/>
  <c r="V61" i="43"/>
  <c r="O3491" i="1"/>
  <c r="O3493" i="1"/>
  <c r="O3495" i="1"/>
  <c r="O3497" i="1"/>
  <c r="O3499" i="1"/>
  <c r="O3501" i="1"/>
  <c r="O3503" i="1"/>
  <c r="O3505" i="1"/>
  <c r="O3507" i="1"/>
  <c r="O3509" i="1"/>
  <c r="O3511" i="1"/>
  <c r="O3513" i="1"/>
  <c r="O3515" i="1"/>
  <c r="O3489" i="1"/>
  <c r="N3489" i="1"/>
  <c r="G3487" i="1"/>
  <c r="G3488" i="1" s="1"/>
  <c r="H3488" i="1"/>
  <c r="Q3493" i="1"/>
  <c r="S3493" i="1" s="1"/>
  <c r="N3491" i="1"/>
  <c r="N3493" i="1"/>
  <c r="M3489" i="1"/>
  <c r="M3491" i="1"/>
  <c r="M3493" i="1"/>
  <c r="J3490" i="1"/>
  <c r="J3492" i="1"/>
  <c r="J3494" i="1"/>
  <c r="I3490" i="1"/>
  <c r="I3492" i="1"/>
  <c r="I3494" i="1"/>
  <c r="H3490" i="1"/>
  <c r="H3492" i="1"/>
  <c r="G3490" i="1"/>
  <c r="G3492" i="1"/>
  <c r="G3494" i="1"/>
  <c r="Q3489" i="1"/>
  <c r="S3489" i="1" s="1"/>
  <c r="Q3491" i="1"/>
  <c r="S3491" i="1" s="1"/>
  <c r="N596" i="1"/>
  <c r="M596" i="1"/>
  <c r="O626" i="1"/>
  <c r="N624" i="1"/>
  <c r="N622" i="1"/>
  <c r="N620" i="1"/>
  <c r="N618" i="1"/>
  <c r="N616" i="1"/>
  <c r="N614" i="1"/>
  <c r="N612" i="1"/>
  <c r="N610" i="1"/>
  <c r="N608" i="1"/>
  <c r="N606" i="1"/>
  <c r="N604" i="1"/>
  <c r="N602" i="1"/>
  <c r="N600" i="1"/>
  <c r="N598" i="1"/>
  <c r="O624" i="1"/>
  <c r="O622" i="1"/>
  <c r="O620" i="1"/>
  <c r="O618" i="1"/>
  <c r="O616" i="1"/>
  <c r="O614" i="1"/>
  <c r="O612" i="1"/>
  <c r="O610" i="1"/>
  <c r="O608" i="1"/>
  <c r="O604" i="1"/>
  <c r="O602" i="1"/>
  <c r="O600" i="1"/>
  <c r="O598" i="1"/>
  <c r="Q596" i="1"/>
  <c r="R596" i="1" s="1"/>
  <c r="J597" i="1"/>
  <c r="G596" i="1"/>
  <c r="G701" i="1"/>
  <c r="G702" i="1" s="1"/>
  <c r="N701" i="1"/>
  <c r="O701" i="1"/>
  <c r="M701" i="1"/>
  <c r="J702" i="1"/>
  <c r="I702" i="1"/>
  <c r="V31" i="43"/>
  <c r="U2747" i="1"/>
  <c r="J2776" i="1"/>
  <c r="I2776" i="1"/>
  <c r="H2776" i="1"/>
  <c r="G2776" i="1"/>
  <c r="N2797" i="1"/>
  <c r="O2795" i="1"/>
  <c r="N2795" i="1"/>
  <c r="O2793" i="1"/>
  <c r="N2793" i="1"/>
  <c r="O2791" i="1"/>
  <c r="N2791" i="1"/>
  <c r="O2789" i="1"/>
  <c r="N2789" i="1"/>
  <c r="O2787" i="1"/>
  <c r="N2787" i="1"/>
  <c r="O2785" i="1"/>
  <c r="N2785" i="1"/>
  <c r="O2783" i="1"/>
  <c r="N2783" i="1"/>
  <c r="O2781" i="1"/>
  <c r="N2781" i="1"/>
  <c r="O2779" i="1"/>
  <c r="N2779" i="1"/>
  <c r="O2777" i="1"/>
  <c r="N2777" i="1"/>
  <c r="O2775" i="1"/>
  <c r="M2779" i="1"/>
  <c r="M2777" i="1"/>
  <c r="M2775" i="1"/>
  <c r="N2775" i="1"/>
  <c r="O2797" i="1"/>
  <c r="O4267" i="1"/>
  <c r="N4267" i="1"/>
  <c r="O4265" i="1"/>
  <c r="N4265" i="1"/>
  <c r="O4263" i="1"/>
  <c r="N4263" i="1"/>
  <c r="O4261" i="1"/>
  <c r="N4261" i="1"/>
  <c r="O4259" i="1"/>
  <c r="N4259" i="1"/>
  <c r="O4257" i="1"/>
  <c r="N4257" i="1"/>
  <c r="O4255" i="1"/>
  <c r="N4255" i="1"/>
  <c r="O4253" i="1"/>
  <c r="N4253" i="1"/>
  <c r="O4251" i="1"/>
  <c r="N4251" i="1"/>
  <c r="O4249" i="1"/>
  <c r="N4249" i="1"/>
  <c r="O4247" i="1"/>
  <c r="N4247" i="1"/>
  <c r="O4245" i="1"/>
  <c r="N4245" i="1"/>
  <c r="O4243" i="1"/>
  <c r="N4243" i="1"/>
  <c r="O4241" i="1"/>
  <c r="N4241" i="1"/>
  <c r="O4239" i="1"/>
  <c r="N4239" i="1"/>
  <c r="M4237" i="1"/>
  <c r="Q4237" i="1"/>
  <c r="R4237" i="1" s="1"/>
  <c r="J4237" i="1"/>
  <c r="J4238" i="1" s="1"/>
  <c r="I4237" i="1"/>
  <c r="I4238" i="1" s="1"/>
  <c r="H4237" i="1"/>
  <c r="H4238" i="1" s="1"/>
  <c r="G4237" i="1"/>
  <c r="G4238" i="1" s="1"/>
  <c r="G4240" i="1"/>
  <c r="U1135" i="1"/>
  <c r="U1136" i="1"/>
  <c r="V1135" i="1"/>
  <c r="V1136" i="1"/>
  <c r="Z1135" i="1"/>
  <c r="Z1136" i="1"/>
  <c r="Q4617" i="1"/>
  <c r="R4617" i="1" s="1"/>
  <c r="Q4615" i="1"/>
  <c r="R4615" i="1" s="1"/>
  <c r="Q4613" i="1"/>
  <c r="S4613" i="1" s="1"/>
  <c r="Q4611" i="1"/>
  <c r="S4611" i="1" s="1"/>
  <c r="Q4609" i="1"/>
  <c r="S4609" i="1" s="1"/>
  <c r="Q4607" i="1"/>
  <c r="S4607" i="1" s="1"/>
  <c r="V1149" i="1"/>
  <c r="I1148" i="1"/>
  <c r="G1148" i="1"/>
  <c r="I1150" i="1"/>
  <c r="G1150" i="1"/>
  <c r="Q1151" i="1"/>
  <c r="S1151" i="1" s="1"/>
  <c r="Q1149" i="1"/>
  <c r="S1149" i="1" s="1"/>
  <c r="Q1147" i="1"/>
  <c r="R1147" i="1" s="1"/>
  <c r="O1151" i="1"/>
  <c r="N1151" i="1"/>
  <c r="M1151" i="1"/>
  <c r="O1149" i="1"/>
  <c r="N1149" i="1"/>
  <c r="M1149" i="1"/>
  <c r="O1147" i="1"/>
  <c r="N1147" i="1"/>
  <c r="M1147" i="1"/>
  <c r="J180" i="1"/>
  <c r="I180" i="1"/>
  <c r="H180" i="1"/>
  <c r="G180" i="1"/>
  <c r="Q179" i="1"/>
  <c r="S179" i="1" s="1"/>
  <c r="O179" i="1"/>
  <c r="N179" i="1"/>
  <c r="M179" i="1"/>
  <c r="J884" i="1"/>
  <c r="I884" i="1"/>
  <c r="G884" i="1"/>
  <c r="M654" i="1"/>
  <c r="Q654" i="1"/>
  <c r="J654" i="1"/>
  <c r="N654" i="1" s="1"/>
  <c r="I654" i="1"/>
  <c r="I655" i="1" s="1"/>
  <c r="H656" i="1"/>
  <c r="G654" i="1"/>
  <c r="G655" i="1" s="1"/>
  <c r="O674" i="1"/>
  <c r="N674" i="1"/>
  <c r="N672" i="1"/>
  <c r="O670" i="1"/>
  <c r="O668" i="1"/>
  <c r="N668" i="1"/>
  <c r="O666" i="1"/>
  <c r="N666" i="1"/>
  <c r="O664" i="1"/>
  <c r="N664" i="1"/>
  <c r="N662" i="1"/>
  <c r="O660" i="1"/>
  <c r="N660" i="1"/>
  <c r="O658" i="1"/>
  <c r="N658" i="1"/>
  <c r="O656" i="1"/>
  <c r="N656" i="1"/>
  <c r="R1681" i="1" l="1"/>
  <c r="S455" i="1"/>
  <c r="R89" i="1"/>
  <c r="R93" i="1"/>
  <c r="R95" i="1"/>
  <c r="R97" i="1"/>
  <c r="R91" i="1"/>
  <c r="S4595" i="1"/>
  <c r="R4603" i="1"/>
  <c r="S4593" i="1"/>
  <c r="R4599" i="1"/>
  <c r="R4601" i="1"/>
  <c r="R3489" i="1"/>
  <c r="S4605" i="1"/>
  <c r="S4591" i="1"/>
  <c r="R3491" i="1"/>
  <c r="S4597" i="1"/>
  <c r="R4611" i="1"/>
  <c r="R4613" i="1"/>
  <c r="R3493" i="1"/>
  <c r="R2028" i="1"/>
  <c r="H596" i="1"/>
  <c r="S596" i="1" s="1"/>
  <c r="I596" i="1"/>
  <c r="O596" i="1" s="1"/>
  <c r="N4237" i="1"/>
  <c r="O4237" i="1"/>
  <c r="S4237" i="1"/>
  <c r="S4615" i="1"/>
  <c r="H654" i="1"/>
  <c r="H655" i="1" s="1"/>
  <c r="J655" i="1"/>
  <c r="S4617" i="1"/>
  <c r="R179" i="1"/>
  <c r="R4607" i="1"/>
  <c r="R4609" i="1"/>
  <c r="O654" i="1"/>
  <c r="S1147" i="1"/>
  <c r="R1149" i="1"/>
  <c r="R1151" i="1"/>
  <c r="R654" i="1"/>
  <c r="Q3437" i="1"/>
  <c r="S3437" i="1" s="1"/>
  <c r="O3437" i="1"/>
  <c r="N3437" i="1"/>
  <c r="M3437" i="1"/>
  <c r="Q3439" i="1"/>
  <c r="S3439" i="1" s="1"/>
  <c r="O3439" i="1"/>
  <c r="N3439" i="1"/>
  <c r="M3439" i="1"/>
  <c r="Q4538" i="1"/>
  <c r="S4538" i="1" s="1"/>
  <c r="Q4540" i="1"/>
  <c r="S4540" i="1" s="1"/>
  <c r="Q4542" i="1"/>
  <c r="S4542" i="1" s="1"/>
  <c r="O4538" i="1"/>
  <c r="O4540" i="1"/>
  <c r="O4542" i="1"/>
  <c r="N4538" i="1"/>
  <c r="N4540" i="1"/>
  <c r="N4542" i="1"/>
  <c r="M4538" i="1"/>
  <c r="M4540" i="1"/>
  <c r="M4542" i="1"/>
  <c r="J4539" i="1"/>
  <c r="J4541" i="1"/>
  <c r="J4543" i="1"/>
  <c r="I4543" i="1"/>
  <c r="I4539" i="1"/>
  <c r="I4541" i="1"/>
  <c r="H4539" i="1"/>
  <c r="H4541" i="1"/>
  <c r="H4543" i="1"/>
  <c r="G4539" i="1"/>
  <c r="G4541" i="1"/>
  <c r="G4543" i="1"/>
  <c r="I3438" i="1"/>
  <c r="I3440" i="1"/>
  <c r="J3438" i="1"/>
  <c r="J3440" i="1"/>
  <c r="H3438" i="1"/>
  <c r="H3440" i="1"/>
  <c r="Q2450" i="1"/>
  <c r="Q2452" i="1"/>
  <c r="R2452" i="1" s="1"/>
  <c r="N2452" i="1"/>
  <c r="M2452" i="1"/>
  <c r="O2452" i="1" s="1"/>
  <c r="J2453" i="1"/>
  <c r="I2453" i="1"/>
  <c r="H2453" i="1"/>
  <c r="O1131" i="1"/>
  <c r="N1131" i="1"/>
  <c r="O1129" i="1"/>
  <c r="N1129" i="1"/>
  <c r="O1127" i="1"/>
  <c r="N1127" i="1"/>
  <c r="O1125" i="1"/>
  <c r="N1125" i="1"/>
  <c r="O1123" i="1"/>
  <c r="N1123" i="1"/>
  <c r="O1121" i="1"/>
  <c r="N1121" i="1"/>
  <c r="O1119" i="1"/>
  <c r="N1119" i="1"/>
  <c r="O1117" i="1"/>
  <c r="N1117" i="1"/>
  <c r="O1115" i="1"/>
  <c r="N1115" i="1"/>
  <c r="O1113" i="1"/>
  <c r="N1113" i="1"/>
  <c r="O1111" i="1"/>
  <c r="N1111" i="1"/>
  <c r="O1109" i="1"/>
  <c r="N1109" i="1"/>
  <c r="O1107" i="1"/>
  <c r="N1107" i="1"/>
  <c r="O1105" i="1"/>
  <c r="N1105" i="1"/>
  <c r="Q1103" i="1"/>
  <c r="S1103" i="1" s="1"/>
  <c r="M1103" i="1"/>
  <c r="J1103" i="1"/>
  <c r="J1104" i="1" s="1"/>
  <c r="I1103" i="1"/>
  <c r="I1104" i="1" s="1"/>
  <c r="H1104" i="1"/>
  <c r="G1104" i="1"/>
  <c r="I597" i="1" l="1"/>
  <c r="S654" i="1"/>
  <c r="R3437" i="1"/>
  <c r="R4542" i="1"/>
  <c r="R4540" i="1"/>
  <c r="R4538" i="1"/>
  <c r="O1103" i="1"/>
  <c r="N1103" i="1"/>
  <c r="R3439" i="1"/>
  <c r="S2452" i="1"/>
  <c r="R1103" i="1"/>
  <c r="Q2711" i="1"/>
  <c r="S2711" i="1" s="1"/>
  <c r="Q2713" i="1"/>
  <c r="S2713" i="1" s="1"/>
  <c r="Q2715" i="1"/>
  <c r="S2715" i="1" s="1"/>
  <c r="M2711" i="1"/>
  <c r="O2711" i="1" s="1"/>
  <c r="R2711" i="1"/>
  <c r="N2711" i="1"/>
  <c r="N2713" i="1"/>
  <c r="M2713" i="1"/>
  <c r="O2713" i="1" s="1"/>
  <c r="N2715" i="1"/>
  <c r="M2715" i="1"/>
  <c r="O2715" i="1" s="1"/>
  <c r="N2717" i="1"/>
  <c r="M2717" i="1"/>
  <c r="O2717" i="1" s="1"/>
  <c r="U3222" i="1"/>
  <c r="V3222" i="1"/>
  <c r="Z3222" i="1"/>
  <c r="O405" i="1"/>
  <c r="O407" i="1"/>
  <c r="U4535" i="1"/>
  <c r="V4535" i="1"/>
  <c r="Z4535" i="1"/>
  <c r="Z2231" i="1"/>
  <c r="V2231" i="1"/>
  <c r="U2231" i="1"/>
  <c r="Z2230" i="1"/>
  <c r="V2230" i="1"/>
  <c r="U2230" i="1"/>
  <c r="Z2229" i="1"/>
  <c r="V2229" i="1"/>
  <c r="U2229" i="1"/>
  <c r="Q2229" i="1"/>
  <c r="S2229" i="1" s="1"/>
  <c r="N2229" i="1"/>
  <c r="M2229" i="1"/>
  <c r="O2229" i="1" s="1"/>
  <c r="V2228" i="1"/>
  <c r="U2228" i="1"/>
  <c r="J2228" i="1"/>
  <c r="I2228" i="1"/>
  <c r="H2228" i="1"/>
  <c r="G2228" i="1"/>
  <c r="Z2228" i="1" s="1"/>
  <c r="Z2227" i="1"/>
  <c r="V2227" i="1"/>
  <c r="U2227" i="1"/>
  <c r="Q2227" i="1"/>
  <c r="S2227" i="1" s="1"/>
  <c r="N2227" i="1"/>
  <c r="M2227" i="1"/>
  <c r="O2227" i="1" s="1"/>
  <c r="V2226" i="1"/>
  <c r="U2226" i="1"/>
  <c r="J2226" i="1"/>
  <c r="I2226" i="1"/>
  <c r="H2226" i="1"/>
  <c r="G2226" i="1"/>
  <c r="Z2226" i="1" s="1"/>
  <c r="Z2225" i="1"/>
  <c r="V2225" i="1"/>
  <c r="U2225" i="1"/>
  <c r="Q2225" i="1"/>
  <c r="S2225" i="1" s="1"/>
  <c r="N2225" i="1"/>
  <c r="M2225" i="1"/>
  <c r="O2225" i="1" s="1"/>
  <c r="V2224" i="1"/>
  <c r="U2224" i="1"/>
  <c r="J2224" i="1"/>
  <c r="I2224" i="1"/>
  <c r="H2224" i="1"/>
  <c r="G2224" i="1"/>
  <c r="Z2224" i="1" s="1"/>
  <c r="Z2223" i="1"/>
  <c r="V2223" i="1"/>
  <c r="U2223" i="1"/>
  <c r="Q2223" i="1"/>
  <c r="R2223" i="1" s="1"/>
  <c r="N2223" i="1"/>
  <c r="M2223" i="1"/>
  <c r="O2223" i="1" s="1"/>
  <c r="V2222" i="1"/>
  <c r="U2222" i="1"/>
  <c r="J2222" i="1"/>
  <c r="I2222" i="1"/>
  <c r="H2222" i="1"/>
  <c r="G2222" i="1"/>
  <c r="Z2222" i="1" s="1"/>
  <c r="Z2221" i="1"/>
  <c r="V2221" i="1"/>
  <c r="U2221" i="1"/>
  <c r="Q2221" i="1"/>
  <c r="R2221" i="1" s="1"/>
  <c r="N2221" i="1"/>
  <c r="M2221" i="1"/>
  <c r="O2221" i="1" s="1"/>
  <c r="Z2220" i="1"/>
  <c r="V2220" i="1"/>
  <c r="U2220" i="1"/>
  <c r="Z2219" i="1"/>
  <c r="V2219" i="1"/>
  <c r="U2219" i="1"/>
  <c r="Q2219" i="1"/>
  <c r="U2232" i="1"/>
  <c r="U2233" i="1"/>
  <c r="U2234" i="1"/>
  <c r="V2232" i="1"/>
  <c r="V2233" i="1"/>
  <c r="V2234" i="1"/>
  <c r="Z2232" i="1"/>
  <c r="Z2233" i="1"/>
  <c r="Z2234" i="1"/>
  <c r="Q1628" i="1"/>
  <c r="S1628" i="1" s="1"/>
  <c r="N1628" i="1"/>
  <c r="M1628" i="1"/>
  <c r="O1628" i="1" s="1"/>
  <c r="N1630" i="1"/>
  <c r="J1629" i="1"/>
  <c r="I1629" i="1"/>
  <c r="H1629" i="1"/>
  <c r="G1629" i="1"/>
  <c r="J1631" i="1"/>
  <c r="I1631" i="1"/>
  <c r="H1631" i="1"/>
  <c r="G1631" i="1"/>
  <c r="J1633" i="1"/>
  <c r="I1633" i="1"/>
  <c r="H1633" i="1"/>
  <c r="G1633" i="1"/>
  <c r="Q3757" i="1"/>
  <c r="S3757" i="1" s="1"/>
  <c r="O3757" i="1"/>
  <c r="N3757" i="1"/>
  <c r="M3757" i="1"/>
  <c r="J3758" i="1"/>
  <c r="I3758" i="1"/>
  <c r="G3758" i="1"/>
  <c r="Z3758" i="1" s="1"/>
  <c r="U3757" i="1"/>
  <c r="U3758" i="1"/>
  <c r="V3757" i="1"/>
  <c r="V3758" i="1"/>
  <c r="Z3757" i="1"/>
  <c r="O143" i="1"/>
  <c r="N143" i="1"/>
  <c r="M143" i="1"/>
  <c r="J144" i="1"/>
  <c r="I144" i="1"/>
  <c r="H144" i="1"/>
  <c r="G144" i="1"/>
  <c r="N145" i="1"/>
  <c r="R2713" i="1" l="1"/>
  <c r="R2715" i="1"/>
  <c r="R2229" i="1"/>
  <c r="R2227" i="1"/>
  <c r="S2221" i="1"/>
  <c r="S2223" i="1"/>
  <c r="R2225" i="1"/>
  <c r="R1628" i="1"/>
  <c r="R3757" i="1"/>
  <c r="G1784" i="1"/>
  <c r="I1784" i="1" s="1"/>
  <c r="N933" i="1"/>
  <c r="N935" i="1"/>
  <c r="N937" i="1"/>
  <c r="N939" i="1"/>
  <c r="N941" i="1"/>
  <c r="N943" i="1"/>
  <c r="N945" i="1"/>
  <c r="N947" i="1"/>
  <c r="N949" i="1"/>
  <c r="N951" i="1"/>
  <c r="N953" i="1"/>
  <c r="N955" i="1"/>
  <c r="N957" i="1"/>
  <c r="O957" i="1"/>
  <c r="O955" i="1"/>
  <c r="O953" i="1"/>
  <c r="O951" i="1"/>
  <c r="O949" i="1"/>
  <c r="O947" i="1"/>
  <c r="O945" i="1"/>
  <c r="O943" i="1"/>
  <c r="O941" i="1"/>
  <c r="O939" i="1"/>
  <c r="O937" i="1"/>
  <c r="O935" i="1"/>
  <c r="M935" i="1"/>
  <c r="N2018" i="1"/>
  <c r="N2016" i="1"/>
  <c r="N2014" i="1"/>
  <c r="N2012" i="1"/>
  <c r="N2010" i="1"/>
  <c r="N2008" i="1"/>
  <c r="N2006" i="1"/>
  <c r="N2002" i="1"/>
  <c r="N2004" i="1"/>
  <c r="N2000" i="1"/>
  <c r="N1998" i="1"/>
  <c r="N1996" i="1"/>
  <c r="O1994" i="1"/>
  <c r="N1994" i="1"/>
  <c r="M1994" i="1"/>
  <c r="H1995" i="1"/>
  <c r="H1997" i="1"/>
  <c r="O3291" i="1"/>
  <c r="O3289" i="1"/>
  <c r="Q3289" i="1"/>
  <c r="S3289" i="1" s="1"/>
  <c r="N3289" i="1"/>
  <c r="M3289" i="1"/>
  <c r="G3" i="1"/>
  <c r="G4" i="1" s="1"/>
  <c r="G6" i="1"/>
  <c r="G8" i="1"/>
  <c r="G10" i="1"/>
  <c r="G12" i="1"/>
  <c r="G14" i="1"/>
  <c r="G16" i="1"/>
  <c r="G18" i="1"/>
  <c r="G20" i="1"/>
  <c r="G22" i="1"/>
  <c r="G35" i="1"/>
  <c r="G36" i="1" s="1"/>
  <c r="G38" i="1"/>
  <c r="G40" i="1"/>
  <c r="G42" i="1"/>
  <c r="G44" i="1"/>
  <c r="G46" i="1"/>
  <c r="G48" i="1"/>
  <c r="G56" i="1"/>
  <c r="G59" i="1"/>
  <c r="G62" i="1"/>
  <c r="G65" i="1"/>
  <c r="G68" i="1"/>
  <c r="G71" i="1"/>
  <c r="G74" i="1"/>
  <c r="G77" i="1"/>
  <c r="G80" i="1"/>
  <c r="G101" i="1"/>
  <c r="G102" i="1" s="1"/>
  <c r="G104" i="1"/>
  <c r="G106" i="1"/>
  <c r="G109" i="1"/>
  <c r="G108" i="1" s="1"/>
  <c r="G112" i="1"/>
  <c r="G114" i="1"/>
  <c r="G130" i="1"/>
  <c r="G132" i="1"/>
  <c r="G134" i="1"/>
  <c r="G136" i="1"/>
  <c r="G138" i="1"/>
  <c r="G146" i="1"/>
  <c r="G148" i="1"/>
  <c r="G150" i="1"/>
  <c r="G152" i="1"/>
  <c r="G154" i="1"/>
  <c r="G156" i="1"/>
  <c r="G158" i="1"/>
  <c r="G160" i="1"/>
  <c r="G162" i="1"/>
  <c r="G166" i="1"/>
  <c r="G182" i="1"/>
  <c r="G184" i="1"/>
  <c r="G186" i="1"/>
  <c r="G188" i="1"/>
  <c r="G190" i="1"/>
  <c r="G212" i="1"/>
  <c r="G213" i="1" s="1"/>
  <c r="G215" i="1"/>
  <c r="G217" i="1"/>
  <c r="G219" i="1"/>
  <c r="G221" i="1"/>
  <c r="G224" i="1"/>
  <c r="G223" i="1" s="1"/>
  <c r="G227" i="1"/>
  <c r="G229" i="1"/>
  <c r="G240" i="1"/>
  <c r="G241" i="1" s="1"/>
  <c r="G243" i="1"/>
  <c r="G245" i="1"/>
  <c r="G247" i="1"/>
  <c r="G249" i="1"/>
  <c r="G251" i="1"/>
  <c r="G253" i="1"/>
  <c r="G269" i="1"/>
  <c r="G270" i="1" s="1"/>
  <c r="G272" i="1"/>
  <c r="G274" i="1"/>
  <c r="G276" i="1"/>
  <c r="G278" i="1"/>
  <c r="G280" i="1"/>
  <c r="G282" i="1"/>
  <c r="G284" i="1"/>
  <c r="G286" i="1"/>
  <c r="G288" i="1"/>
  <c r="G290" i="1"/>
  <c r="G292" i="1"/>
  <c r="G294" i="1"/>
  <c r="G296" i="1"/>
  <c r="G301" i="1"/>
  <c r="G302" i="1" s="1"/>
  <c r="G304" i="1"/>
  <c r="G306" i="1"/>
  <c r="G308" i="1"/>
  <c r="G316" i="1"/>
  <c r="G318" i="1"/>
  <c r="G320" i="1"/>
  <c r="G322" i="1"/>
  <c r="G327" i="1"/>
  <c r="G328" i="1" s="1"/>
  <c r="G330" i="1"/>
  <c r="G332" i="1"/>
  <c r="G334" i="1"/>
  <c r="G336" i="1"/>
  <c r="G338" i="1"/>
  <c r="G340" i="1"/>
  <c r="G342" i="1"/>
  <c r="G344" i="1"/>
  <c r="G346" i="1"/>
  <c r="G348" i="1"/>
  <c r="G350" i="1"/>
  <c r="G365" i="1"/>
  <c r="G367" i="1"/>
  <c r="G369" i="1"/>
  <c r="G373" i="1"/>
  <c r="G371" i="1" s="1"/>
  <c r="G372" i="1" s="1"/>
  <c r="G375" i="1"/>
  <c r="G377" i="1"/>
  <c r="G384" i="1"/>
  <c r="G386" i="1"/>
  <c r="G388" i="1"/>
  <c r="G390" i="1"/>
  <c r="G392" i="1"/>
  <c r="G394" i="1"/>
  <c r="G396" i="1"/>
  <c r="G406" i="1"/>
  <c r="G408" i="1"/>
  <c r="G410" i="1"/>
  <c r="G412" i="1"/>
  <c r="G414" i="1"/>
  <c r="G416" i="1"/>
  <c r="G418" i="1"/>
  <c r="G420" i="1"/>
  <c r="G422" i="1"/>
  <c r="G424" i="1"/>
  <c r="G434" i="1"/>
  <c r="G436" i="1"/>
  <c r="G438" i="1"/>
  <c r="G440" i="1"/>
  <c r="G442" i="1"/>
  <c r="G444" i="1"/>
  <c r="G446" i="1"/>
  <c r="G448" i="1"/>
  <c r="G458" i="1"/>
  <c r="G460" i="1"/>
  <c r="G462" i="1"/>
  <c r="G464" i="1"/>
  <c r="G466" i="1"/>
  <c r="G468" i="1"/>
  <c r="G470" i="1"/>
  <c r="G472" i="1"/>
  <c r="G480" i="1"/>
  <c r="G483" i="1"/>
  <c r="G482" i="1" s="1"/>
  <c r="G486" i="1"/>
  <c r="G488" i="1"/>
  <c r="G490" i="1"/>
  <c r="G492" i="1"/>
  <c r="G494" i="1"/>
  <c r="G496" i="1"/>
  <c r="G498" i="1"/>
  <c r="G500" i="1"/>
  <c r="G506" i="1"/>
  <c r="G508" i="1"/>
  <c r="G511" i="1"/>
  <c r="G510" i="1" s="1"/>
  <c r="G514" i="1"/>
  <c r="G516" i="1"/>
  <c r="G518" i="1"/>
  <c r="G520" i="1"/>
  <c r="G528" i="1"/>
  <c r="G530" i="1"/>
  <c r="G532" i="1"/>
  <c r="G534" i="1"/>
  <c r="G536" i="1"/>
  <c r="G538" i="1"/>
  <c r="G540" i="1"/>
  <c r="G542" i="1"/>
  <c r="G544" i="1"/>
  <c r="G546" i="1"/>
  <c r="G548" i="1"/>
  <c r="G556" i="1"/>
  <c r="G558" i="1"/>
  <c r="G560" i="1"/>
  <c r="G562" i="1"/>
  <c r="G564" i="1"/>
  <c r="G566" i="1"/>
  <c r="G568" i="1"/>
  <c r="G570" i="1"/>
  <c r="G572" i="1"/>
  <c r="G574" i="1"/>
  <c r="G581" i="1"/>
  <c r="G583" i="1"/>
  <c r="G585" i="1"/>
  <c r="G587" i="1"/>
  <c r="G598" i="1"/>
  <c r="G597" i="1" s="1"/>
  <c r="G600" i="1"/>
  <c r="G603" i="1"/>
  <c r="G605" i="1"/>
  <c r="G607" i="1"/>
  <c r="G609" i="1"/>
  <c r="G611" i="1"/>
  <c r="G613" i="1"/>
  <c r="G615" i="1"/>
  <c r="G617" i="1"/>
  <c r="G619" i="1"/>
  <c r="G621" i="1"/>
  <c r="G623" i="1"/>
  <c r="G625" i="1"/>
  <c r="G635" i="1"/>
  <c r="G637" i="1"/>
  <c r="G639" i="1"/>
  <c r="G641" i="1"/>
  <c r="G643" i="1"/>
  <c r="G645" i="1"/>
  <c r="G647" i="1"/>
  <c r="G649" i="1"/>
  <c r="G657" i="1"/>
  <c r="G659" i="1"/>
  <c r="G661" i="1"/>
  <c r="G663" i="1"/>
  <c r="G665" i="1"/>
  <c r="G667" i="1"/>
  <c r="G669" i="1"/>
  <c r="G671" i="1"/>
  <c r="G673" i="1"/>
  <c r="G675" i="1"/>
  <c r="G704" i="1"/>
  <c r="G706" i="1"/>
  <c r="G708" i="1"/>
  <c r="G710" i="1"/>
  <c r="G712" i="1"/>
  <c r="G714" i="1"/>
  <c r="G716" i="1"/>
  <c r="G718" i="1"/>
  <c r="G720" i="1"/>
  <c r="G728" i="1"/>
  <c r="G730" i="1"/>
  <c r="G732" i="1"/>
  <c r="G734" i="1"/>
  <c r="G736" i="1"/>
  <c r="G738" i="1"/>
  <c r="G740" i="1"/>
  <c r="G742" i="1"/>
  <c r="G744" i="1"/>
  <c r="G760" i="1"/>
  <c r="G762" i="1"/>
  <c r="G764" i="1"/>
  <c r="G766" i="1"/>
  <c r="G768" i="1"/>
  <c r="G770" i="1"/>
  <c r="G772" i="1"/>
  <c r="G774" i="1"/>
  <c r="G776" i="1"/>
  <c r="G792" i="1"/>
  <c r="G794" i="1"/>
  <c r="G796" i="1"/>
  <c r="G799" i="1"/>
  <c r="G798" i="1" s="1"/>
  <c r="G802" i="1"/>
  <c r="G886" i="1"/>
  <c r="G888" i="1"/>
  <c r="G890" i="1"/>
  <c r="G892" i="1"/>
  <c r="G894" i="1"/>
  <c r="G896" i="1"/>
  <c r="G898" i="1"/>
  <c r="G900" i="1"/>
  <c r="G902" i="1"/>
  <c r="G904" i="1"/>
  <c r="G906" i="1"/>
  <c r="G908" i="1"/>
  <c r="G910" i="1"/>
  <c r="G912" i="1"/>
  <c r="G816" i="1"/>
  <c r="G818" i="1"/>
  <c r="G831" i="1"/>
  <c r="G834" i="1"/>
  <c r="G836" i="1"/>
  <c r="G838" i="1"/>
  <c r="G840" i="1"/>
  <c r="G842" i="1"/>
  <c r="G844" i="1"/>
  <c r="G846" i="1"/>
  <c r="G858" i="1"/>
  <c r="G860" i="1"/>
  <c r="G862" i="1"/>
  <c r="G864" i="1"/>
  <c r="G866" i="1"/>
  <c r="G868" i="1"/>
  <c r="G968" i="1"/>
  <c r="G970" i="1"/>
  <c r="G972" i="1"/>
  <c r="G974" i="1"/>
  <c r="G986" i="1"/>
  <c r="G988" i="1"/>
  <c r="G990" i="1"/>
  <c r="G992" i="1"/>
  <c r="G994" i="1"/>
  <c r="G996" i="1"/>
  <c r="G1010" i="1"/>
  <c r="G1012" i="1"/>
  <c r="G1014" i="1"/>
  <c r="G1016" i="1"/>
  <c r="G1018" i="1"/>
  <c r="G1020" i="1"/>
  <c r="G1028" i="1"/>
  <c r="G1030" i="1"/>
  <c r="G1032" i="1"/>
  <c r="G1042" i="1"/>
  <c r="G1044" i="1"/>
  <c r="G1046" i="1"/>
  <c r="G1048" i="1"/>
  <c r="G1050" i="1"/>
  <c r="G1052" i="1"/>
  <c r="G1054" i="1"/>
  <c r="G1056" i="1"/>
  <c r="G1058" i="1"/>
  <c r="G1060" i="1"/>
  <c r="G1062" i="1"/>
  <c r="G1064" i="1"/>
  <c r="G1066" i="1"/>
  <c r="G1068" i="1"/>
  <c r="G1070" i="1"/>
  <c r="G1072" i="1"/>
  <c r="G1079" i="1"/>
  <c r="G1081" i="1"/>
  <c r="G1083" i="1"/>
  <c r="G1085" i="1"/>
  <c r="G1087" i="1"/>
  <c r="G1089" i="1"/>
  <c r="G1091" i="1"/>
  <c r="G1093" i="1"/>
  <c r="G1095" i="1"/>
  <c r="G1106" i="1"/>
  <c r="G1108" i="1"/>
  <c r="G1110" i="1"/>
  <c r="G1112" i="1"/>
  <c r="G1114" i="1"/>
  <c r="G1116" i="1"/>
  <c r="G1118" i="1"/>
  <c r="G1120" i="1"/>
  <c r="G1122" i="1"/>
  <c r="G1124" i="1"/>
  <c r="G1126" i="1"/>
  <c r="G1128" i="1"/>
  <c r="G1130" i="1"/>
  <c r="G1132" i="1"/>
  <c r="G1175" i="1"/>
  <c r="G1177" i="1"/>
  <c r="G1179" i="1"/>
  <c r="G1181" i="1"/>
  <c r="G1183" i="1"/>
  <c r="G1185" i="1"/>
  <c r="G1187" i="1"/>
  <c r="G1197" i="1"/>
  <c r="G1200" i="1"/>
  <c r="G1199" i="1" s="1"/>
  <c r="G1203" i="1"/>
  <c r="G1205" i="1"/>
  <c r="G1207" i="1"/>
  <c r="G1209" i="1"/>
  <c r="G1211" i="1"/>
  <c r="G1213" i="1"/>
  <c r="G1215" i="1"/>
  <c r="G1217" i="1"/>
  <c r="G1219" i="1"/>
  <c r="G1231" i="1"/>
  <c r="G1232" i="1" s="1"/>
  <c r="G1234" i="1"/>
  <c r="G1237" i="1"/>
  <c r="G1236" i="1" s="1"/>
  <c r="G1240" i="1"/>
  <c r="G1242" i="1"/>
  <c r="G1255" i="1"/>
  <c r="G1257" i="1"/>
  <c r="G1259" i="1"/>
  <c r="G1261" i="1"/>
  <c r="G1263" i="1"/>
  <c r="G1273" i="1"/>
  <c r="G1274" i="1" s="1"/>
  <c r="G1276" i="1"/>
  <c r="G1278" i="1"/>
  <c r="G1280" i="1"/>
  <c r="G1283" i="1"/>
  <c r="G1282" i="1" s="1"/>
  <c r="G1286" i="1"/>
  <c r="G1288" i="1"/>
  <c r="G1302" i="1"/>
  <c r="G1304" i="1"/>
  <c r="G1307" i="1"/>
  <c r="G1306" i="1" s="1"/>
  <c r="G1310" i="1"/>
  <c r="G1312" i="1"/>
  <c r="G1314" i="1"/>
  <c r="G1316" i="1"/>
  <c r="G1318" i="1"/>
  <c r="G1333" i="1"/>
  <c r="G1331" i="1" s="1"/>
  <c r="G1332" i="1" s="1"/>
  <c r="G1336" i="1"/>
  <c r="G1338" i="1"/>
  <c r="G1340" i="1"/>
  <c r="G1342" i="1"/>
  <c r="G1354" i="1"/>
  <c r="G1356" i="1"/>
  <c r="G1358" i="1"/>
  <c r="G1360" i="1"/>
  <c r="G1362" i="1"/>
  <c r="G1364" i="1"/>
  <c r="G1366" i="1"/>
  <c r="G1368" i="1"/>
  <c r="G1388" i="1"/>
  <c r="G1390" i="1"/>
  <c r="G1392" i="1"/>
  <c r="G1395" i="1"/>
  <c r="G1394" i="1" s="1"/>
  <c r="G1398" i="1"/>
  <c r="G1406" i="1"/>
  <c r="G1408" i="1"/>
  <c r="G1418" i="1"/>
  <c r="G1420" i="1"/>
  <c r="G1422" i="1"/>
  <c r="G1424" i="1"/>
  <c r="G1426" i="1"/>
  <c r="G1428" i="1"/>
  <c r="G1430" i="1"/>
  <c r="G1432" i="1"/>
  <c r="G1434" i="1"/>
  <c r="G1436" i="1"/>
  <c r="G1438" i="1"/>
  <c r="G1440" i="1"/>
  <c r="G1442" i="1"/>
  <c r="G1503" i="1"/>
  <c r="G1505" i="1"/>
  <c r="G1515" i="1"/>
  <c r="G1522" i="1"/>
  <c r="G1523" i="1" s="1"/>
  <c r="G1525" i="1"/>
  <c r="G1527" i="1"/>
  <c r="G1529" i="1"/>
  <c r="G1531" i="1"/>
  <c r="G1533" i="1"/>
  <c r="G1535" i="1"/>
  <c r="G1537" i="1"/>
  <c r="G1539" i="1"/>
  <c r="G1548" i="1"/>
  <c r="G1550" i="1"/>
  <c r="G1552" i="1"/>
  <c r="G1554" i="1"/>
  <c r="G1556" i="1"/>
  <c r="G1558" i="1"/>
  <c r="G1560" i="1"/>
  <c r="G1562" i="1"/>
  <c r="G1564" i="1"/>
  <c r="G1566" i="1"/>
  <c r="G1580" i="1"/>
  <c r="G1582" i="1"/>
  <c r="G1593" i="1"/>
  <c r="G1595" i="1"/>
  <c r="G1597" i="1"/>
  <c r="G1599" i="1"/>
  <c r="G1601" i="1"/>
  <c r="G1603" i="1"/>
  <c r="G1606" i="1"/>
  <c r="G1605" i="1" s="1"/>
  <c r="G1609" i="1"/>
  <c r="G1611" i="1"/>
  <c r="G1615" i="1"/>
  <c r="G1646" i="1"/>
  <c r="G1644" i="1" s="1"/>
  <c r="G1645" i="1" s="1"/>
  <c r="G1650" i="1"/>
  <c r="G1648" i="1" s="1"/>
  <c r="G1649" i="1" s="1"/>
  <c r="G1653" i="1"/>
  <c r="G1655" i="1"/>
  <c r="G1657" i="1"/>
  <c r="G1659" i="1"/>
  <c r="G1661" i="1"/>
  <c r="G1663" i="1"/>
  <c r="G1665" i="1"/>
  <c r="G1667" i="1"/>
  <c r="G1669" i="1"/>
  <c r="G1671" i="1"/>
  <c r="G1686" i="1"/>
  <c r="G1688" i="1"/>
  <c r="G1690" i="1"/>
  <c r="G1692" i="1"/>
  <c r="G1694" i="1"/>
  <c r="G1696" i="1"/>
  <c r="G1698" i="1"/>
  <c r="G1704" i="1"/>
  <c r="G1706" i="1"/>
  <c r="G1708" i="1"/>
  <c r="G1710" i="1"/>
  <c r="G1712" i="1"/>
  <c r="G1714" i="1"/>
  <c r="G1716" i="1"/>
  <c r="G1718" i="1"/>
  <c r="G1720" i="1"/>
  <c r="G1722" i="1"/>
  <c r="G1724" i="1"/>
  <c r="G1726" i="1"/>
  <c r="G1728" i="1"/>
  <c r="G1734" i="1"/>
  <c r="G1736" i="1"/>
  <c r="G1738" i="1"/>
  <c r="G1740" i="1"/>
  <c r="G1742" i="1"/>
  <c r="G1744" i="1"/>
  <c r="G1746" i="1"/>
  <c r="G1748" i="1"/>
  <c r="G1750" i="1"/>
  <c r="G1752" i="1"/>
  <c r="G1754" i="1"/>
  <c r="G1756" i="1"/>
  <c r="G1758" i="1"/>
  <c r="G1760" i="1"/>
  <c r="G1766" i="1"/>
  <c r="G1768" i="1"/>
  <c r="G1770" i="1"/>
  <c r="G1772" i="1"/>
  <c r="G1774" i="1"/>
  <c r="G1776" i="1"/>
  <c r="G1778" i="1"/>
  <c r="G1787" i="1"/>
  <c r="G1789" i="1"/>
  <c r="G1791" i="1"/>
  <c r="G1793" i="1"/>
  <c r="G1795" i="1"/>
  <c r="G1797" i="1"/>
  <c r="G1799" i="1"/>
  <c r="G1801" i="1"/>
  <c r="G1803" i="1"/>
  <c r="G1805" i="1"/>
  <c r="G1807" i="1"/>
  <c r="G1809" i="1"/>
  <c r="G1811" i="1"/>
  <c r="G1813" i="1"/>
  <c r="G1815" i="1"/>
  <c r="G1817" i="1"/>
  <c r="G1824" i="1"/>
  <c r="G1825" i="1" s="1"/>
  <c r="G1827" i="1"/>
  <c r="G1829" i="1"/>
  <c r="G1831" i="1"/>
  <c r="G1833" i="1"/>
  <c r="G1835" i="1"/>
  <c r="G1857" i="1"/>
  <c r="G1859" i="1"/>
  <c r="G1861" i="1"/>
  <c r="G1863" i="1"/>
  <c r="G1865" i="1"/>
  <c r="G1874" i="1"/>
  <c r="G1873" i="1" s="1"/>
  <c r="G1878" i="1"/>
  <c r="G1877" i="1" s="1"/>
  <c r="G1881" i="1"/>
  <c r="G1883" i="1"/>
  <c r="G1892" i="1"/>
  <c r="G1894" i="1"/>
  <c r="G1896" i="1"/>
  <c r="G1898" i="1"/>
  <c r="G1905" i="1"/>
  <c r="G1906" i="1" s="1"/>
  <c r="G1908" i="1"/>
  <c r="G1910" i="1"/>
  <c r="G1917" i="1"/>
  <c r="G1918" i="1" s="1"/>
  <c r="G1920" i="1"/>
  <c r="G1922" i="1"/>
  <c r="G1928" i="1"/>
  <c r="G1930" i="1"/>
  <c r="G1932" i="1"/>
  <c r="G1934" i="1"/>
  <c r="G1936" i="1"/>
  <c r="G1938" i="1"/>
  <c r="G1940" i="1"/>
  <c r="G1942" i="1"/>
  <c r="G1944" i="1"/>
  <c r="G1955" i="1"/>
  <c r="G1963" i="1"/>
  <c r="G1970" i="1"/>
  <c r="G1972" i="1"/>
  <c r="G1974" i="1"/>
  <c r="G1976" i="1"/>
  <c r="G1978" i="1"/>
  <c r="G1980" i="1"/>
  <c r="G1982" i="1"/>
  <c r="G1984" i="1"/>
  <c r="G1986" i="1"/>
  <c r="G1995" i="1"/>
  <c r="G1997" i="1"/>
  <c r="G1999" i="1"/>
  <c r="G2001" i="1"/>
  <c r="G2003" i="1"/>
  <c r="G2005" i="1"/>
  <c r="G2007" i="1"/>
  <c r="G2009" i="1"/>
  <c r="G2011" i="1"/>
  <c r="G2013" i="1"/>
  <c r="G2015" i="1"/>
  <c r="G2017" i="1"/>
  <c r="G2031" i="1"/>
  <c r="G2033" i="1"/>
  <c r="G2035" i="1"/>
  <c r="G2037" i="1"/>
  <c r="G2039" i="1"/>
  <c r="G2041" i="1"/>
  <c r="G2043" i="1"/>
  <c r="G2072" i="1"/>
  <c r="G2075" i="1"/>
  <c r="G2074" i="1" s="1"/>
  <c r="G2078" i="1"/>
  <c r="G2080" i="1"/>
  <c r="G2094" i="1"/>
  <c r="G2096" i="1"/>
  <c r="G2098" i="1"/>
  <c r="G2100" i="1"/>
  <c r="G2103" i="1"/>
  <c r="G2102" i="1" s="1"/>
  <c r="G2106" i="1"/>
  <c r="G2108" i="1"/>
  <c r="G2110" i="1"/>
  <c r="G2112" i="1"/>
  <c r="G2114" i="1"/>
  <c r="G2116" i="1"/>
  <c r="G2118" i="1"/>
  <c r="G2120" i="1"/>
  <c r="G2122" i="1"/>
  <c r="G2137" i="1"/>
  <c r="G2139" i="1"/>
  <c r="G2141" i="1"/>
  <c r="G2143" i="1"/>
  <c r="G4545" i="1"/>
  <c r="G4547" i="1"/>
  <c r="G4549" i="1"/>
  <c r="G2153" i="1"/>
  <c r="G2155" i="1"/>
  <c r="G2157" i="1"/>
  <c r="G2159" i="1"/>
  <c r="G2161" i="1"/>
  <c r="G2163" i="1"/>
  <c r="G2165" i="1"/>
  <c r="G2167" i="1"/>
  <c r="G2169" i="1"/>
  <c r="G2171" i="1"/>
  <c r="G2173" i="1"/>
  <c r="G2188" i="1"/>
  <c r="G2189" i="1" s="1"/>
  <c r="G2191" i="1"/>
  <c r="G2194" i="1"/>
  <c r="G2193" i="1" s="1"/>
  <c r="G2197" i="1"/>
  <c r="G2199" i="1"/>
  <c r="G2201" i="1"/>
  <c r="G2203" i="1"/>
  <c r="G2205" i="1"/>
  <c r="G2207" i="1"/>
  <c r="G2237" i="1"/>
  <c r="G2238" i="1" s="1"/>
  <c r="G2241" i="1"/>
  <c r="G2240" i="1" s="1"/>
  <c r="G2244" i="1"/>
  <c r="G2246" i="1"/>
  <c r="G2256" i="1"/>
  <c r="G2258" i="1"/>
  <c r="G2260" i="1"/>
  <c r="G2262" i="1"/>
  <c r="G2264" i="1"/>
  <c r="G2266" i="1"/>
  <c r="G2268" i="1"/>
  <c r="G2270" i="1"/>
  <c r="G2272" i="1"/>
  <c r="G2274" i="1"/>
  <c r="G2276" i="1"/>
  <c r="G2278" i="1"/>
  <c r="G2280" i="1"/>
  <c r="G2282" i="1"/>
  <c r="G2304" i="1"/>
  <c r="G2306" i="1"/>
  <c r="G2308" i="1"/>
  <c r="G2310" i="1"/>
  <c r="G2312" i="1"/>
  <c r="G2314" i="1"/>
  <c r="G2316" i="1"/>
  <c r="G2318" i="1"/>
  <c r="G2320" i="1"/>
  <c r="G2322" i="1"/>
  <c r="G2324" i="1"/>
  <c r="G2332" i="1"/>
  <c r="G2334" i="1"/>
  <c r="G2336" i="1"/>
  <c r="G2343" i="1"/>
  <c r="G2345" i="1"/>
  <c r="G2347" i="1"/>
  <c r="G2349" i="1"/>
  <c r="G2351" i="1"/>
  <c r="G2353" i="1"/>
  <c r="G2355" i="1"/>
  <c r="G2357" i="1"/>
  <c r="G2368" i="1"/>
  <c r="G2370" i="1"/>
  <c r="G2372" i="1"/>
  <c r="G2374" i="1"/>
  <c r="G2376" i="1"/>
  <c r="G2378" i="1"/>
  <c r="G2380" i="1"/>
  <c r="G2382" i="1"/>
  <c r="G2384" i="1"/>
  <c r="G2386" i="1"/>
  <c r="G2391" i="1"/>
  <c r="G2392" i="1" s="1"/>
  <c r="G2394" i="1"/>
  <c r="G2396" i="1"/>
  <c r="G2398" i="1"/>
  <c r="G2400" i="1"/>
  <c r="G2402" i="1"/>
  <c r="G2417" i="1"/>
  <c r="G2419" i="1"/>
  <c r="G2421" i="1"/>
  <c r="G2435" i="1"/>
  <c r="G2439" i="1"/>
  <c r="G2454" i="1"/>
  <c r="G2457" i="1"/>
  <c r="G2459" i="1"/>
  <c r="G2461" i="1"/>
  <c r="G2464" i="1"/>
  <c r="G2463" i="1" s="1"/>
  <c r="G2467" i="1"/>
  <c r="G2469" i="1"/>
  <c r="G2471" i="1"/>
  <c r="G2473" i="1"/>
  <c r="G2475" i="1"/>
  <c r="G2477" i="1"/>
  <c r="G2492" i="1"/>
  <c r="G2494" i="1"/>
  <c r="G2496" i="1"/>
  <c r="G2498" i="1"/>
  <c r="G2500" i="1"/>
  <c r="G2502" i="1"/>
  <c r="G2504" i="1"/>
  <c r="G2506" i="1"/>
  <c r="G2508" i="1"/>
  <c r="G2510" i="1"/>
  <c r="G2520" i="1"/>
  <c r="G2534" i="1"/>
  <c r="G2537" i="1"/>
  <c r="G2536" i="1" s="1"/>
  <c r="G2540" i="1"/>
  <c r="G2542" i="1"/>
  <c r="G2544" i="1"/>
  <c r="G2546" i="1"/>
  <c r="G2548" i="1"/>
  <c r="G2556" i="1"/>
  <c r="G2558" i="1"/>
  <c r="G2560" i="1"/>
  <c r="G2562" i="1"/>
  <c r="G2564" i="1"/>
  <c r="G2566" i="1"/>
  <c r="G2568" i="1"/>
  <c r="G2570" i="1"/>
  <c r="G2572" i="1"/>
  <c r="G2577" i="1"/>
  <c r="G2578" i="1" s="1"/>
  <c r="G2580" i="1"/>
  <c r="G2582" i="1"/>
  <c r="G2584" i="1"/>
  <c r="G2586" i="1"/>
  <c r="G2588" i="1"/>
  <c r="G2590" i="1"/>
  <c r="G2594" i="1"/>
  <c r="G2606" i="1"/>
  <c r="G2607" i="1" s="1"/>
  <c r="G2609" i="1"/>
  <c r="G2611" i="1"/>
  <c r="G2613" i="1"/>
  <c r="G2615" i="1"/>
  <c r="G2617" i="1"/>
  <c r="G2619" i="1"/>
  <c r="G2621" i="1"/>
  <c r="G2623" i="1"/>
  <c r="G2625" i="1"/>
  <c r="G2636" i="1"/>
  <c r="G2637" i="1" s="1"/>
  <c r="G2639" i="1"/>
  <c r="G2642" i="1"/>
  <c r="G2641" i="1" s="1"/>
  <c r="G2645" i="1"/>
  <c r="G2647" i="1"/>
  <c r="G2649" i="1"/>
  <c r="G2651" i="1"/>
  <c r="G2653" i="1"/>
  <c r="G2655" i="1"/>
  <c r="G2657" i="1"/>
  <c r="G4568" i="1"/>
  <c r="G4569" i="1" s="1"/>
  <c r="G4571" i="1"/>
  <c r="G4573" i="1"/>
  <c r="G4575" i="1"/>
  <c r="G4577" i="1"/>
  <c r="G2674" i="1"/>
  <c r="G2676" i="1"/>
  <c r="G2678" i="1"/>
  <c r="G2680" i="1"/>
  <c r="G2682" i="1"/>
  <c r="G2684" i="1"/>
  <c r="G2686" i="1"/>
  <c r="G2688" i="1"/>
  <c r="G2690" i="1"/>
  <c r="G2692" i="1"/>
  <c r="G2694" i="1"/>
  <c r="G2696" i="1"/>
  <c r="G2698" i="1"/>
  <c r="G2700" i="1"/>
  <c r="G2702" i="1"/>
  <c r="G2704" i="1"/>
  <c r="G2712" i="1"/>
  <c r="G2714" i="1"/>
  <c r="G2716" i="1"/>
  <c r="G2718" i="1"/>
  <c r="G2720" i="1"/>
  <c r="G2723" i="1"/>
  <c r="G2722" i="1" s="1"/>
  <c r="G2726" i="1"/>
  <c r="G2728" i="1"/>
  <c r="G2730" i="1"/>
  <c r="G2732" i="1"/>
  <c r="G2734" i="1"/>
  <c r="G2750" i="1"/>
  <c r="G2752" i="1"/>
  <c r="G2754" i="1"/>
  <c r="G2756" i="1"/>
  <c r="G2758" i="1"/>
  <c r="G2760" i="1"/>
  <c r="G2762" i="1"/>
  <c r="G2764" i="1"/>
  <c r="G2766" i="1"/>
  <c r="G2768" i="1"/>
  <c r="G2778" i="1"/>
  <c r="G2780" i="1"/>
  <c r="G2782" i="1"/>
  <c r="G2784" i="1"/>
  <c r="G2786" i="1"/>
  <c r="G2788" i="1"/>
  <c r="G2790" i="1"/>
  <c r="G2792" i="1"/>
  <c r="G2794" i="1"/>
  <c r="G2796" i="1"/>
  <c r="G2802" i="1"/>
  <c r="G2804" i="1"/>
  <c r="G2806" i="1"/>
  <c r="G2808" i="1"/>
  <c r="G2810" i="1"/>
  <c r="G2812" i="1"/>
  <c r="G2817" i="1"/>
  <c r="G2818" i="1" s="1"/>
  <c r="G2820" i="1"/>
  <c r="G2822" i="1"/>
  <c r="G2825" i="1"/>
  <c r="G2824" i="1" s="1"/>
  <c r="G2828" i="1"/>
  <c r="G2831" i="1"/>
  <c r="G2830" i="1" s="1"/>
  <c r="G2834" i="1"/>
  <c r="G2836" i="1"/>
  <c r="G2838" i="1"/>
  <c r="G2840" i="1"/>
  <c r="G2842" i="1"/>
  <c r="G2844" i="1"/>
  <c r="G2846" i="1"/>
  <c r="G2848" i="1"/>
  <c r="G2898" i="1"/>
  <c r="G2900" i="1"/>
  <c r="G2902" i="1"/>
  <c r="G2904" i="1"/>
  <c r="G2912" i="1"/>
  <c r="G2915" i="1"/>
  <c r="G2914" i="1" s="1"/>
  <c r="G2918" i="1"/>
  <c r="G2920" i="1"/>
  <c r="G2922" i="1"/>
  <c r="G2924" i="1"/>
  <c r="G2926" i="1"/>
  <c r="G2928" i="1"/>
  <c r="G2930" i="1"/>
  <c r="G2932" i="1"/>
  <c r="G2936" i="1"/>
  <c r="G2938" i="1"/>
  <c r="G2963" i="1"/>
  <c r="G2966" i="1"/>
  <c r="G2968" i="1"/>
  <c r="G2976" i="1"/>
  <c r="G2978" i="1"/>
  <c r="G2980" i="1"/>
  <c r="G2982" i="1"/>
  <c r="G2984" i="1"/>
  <c r="G2986" i="1"/>
  <c r="G2988" i="1"/>
  <c r="G2990" i="1"/>
  <c r="G2992" i="1"/>
  <c r="G2994" i="1"/>
  <c r="G2996" i="1"/>
  <c r="G3013" i="1"/>
  <c r="G3014" i="1" s="1"/>
  <c r="G3016" i="1"/>
  <c r="G3018" i="1"/>
  <c r="G3020" i="1"/>
  <c r="G3022" i="1"/>
  <c r="G3024" i="1"/>
  <c r="G3026" i="1"/>
  <c r="G3028" i="1"/>
  <c r="G3030" i="1"/>
  <c r="G3048" i="1"/>
  <c r="G3050" i="1"/>
  <c r="G3052" i="1"/>
  <c r="G3054" i="1"/>
  <c r="G3056" i="1"/>
  <c r="G3058" i="1"/>
  <c r="G3060" i="1"/>
  <c r="G3062" i="1"/>
  <c r="G3064" i="1"/>
  <c r="G3066" i="1"/>
  <c r="G3068" i="1"/>
  <c r="G3070" i="1"/>
  <c r="G3072" i="1"/>
  <c r="G3074" i="1"/>
  <c r="G3076" i="1"/>
  <c r="G3113" i="1"/>
  <c r="G3115" i="1"/>
  <c r="G3117" i="1"/>
  <c r="G3119" i="1"/>
  <c r="G3139" i="1"/>
  <c r="G3141" i="1"/>
  <c r="G3143" i="1"/>
  <c r="G3145" i="1"/>
  <c r="G3147" i="1"/>
  <c r="G3149" i="1"/>
  <c r="G3151" i="1"/>
  <c r="G3153" i="1"/>
  <c r="G3163" i="1"/>
  <c r="G3165" i="1"/>
  <c r="G3167" i="1"/>
  <c r="G3169" i="1"/>
  <c r="G3171" i="1"/>
  <c r="G3173" i="1"/>
  <c r="G3183" i="1"/>
  <c r="G3185" i="1"/>
  <c r="G3188" i="1"/>
  <c r="G3187" i="1" s="1"/>
  <c r="G3191" i="1"/>
  <c r="G3193" i="1"/>
  <c r="G3195" i="1"/>
  <c r="G3204" i="1"/>
  <c r="G3206" i="1"/>
  <c r="G3208" i="1"/>
  <c r="G3210" i="1"/>
  <c r="G3212" i="1"/>
  <c r="G3214" i="1"/>
  <c r="G3216" i="1"/>
  <c r="G3218" i="1"/>
  <c r="G3228" i="1"/>
  <c r="G3230" i="1"/>
  <c r="G3232" i="1"/>
  <c r="G3234" i="1"/>
  <c r="G3236" i="1"/>
  <c r="G3238" i="1"/>
  <c r="G3240" i="1"/>
  <c r="G3242" i="1"/>
  <c r="G3244" i="1"/>
  <c r="G3256" i="1"/>
  <c r="G3258" i="1"/>
  <c r="G3260" i="1"/>
  <c r="G3262" i="1"/>
  <c r="G3264" i="1"/>
  <c r="G3266" i="1"/>
  <c r="G3268" i="1"/>
  <c r="G3270" i="1"/>
  <c r="G3272" i="1"/>
  <c r="G3274" i="1"/>
  <c r="G3276" i="1"/>
  <c r="G3278" i="1"/>
  <c r="G3280" i="1"/>
  <c r="G3289" i="1"/>
  <c r="G3290" i="1" s="1"/>
  <c r="G3292" i="1"/>
  <c r="G3294" i="1"/>
  <c r="G3296" i="1"/>
  <c r="G3298" i="1"/>
  <c r="G3300" i="1"/>
  <c r="G3302" i="1"/>
  <c r="G3304" i="1"/>
  <c r="G3306" i="1"/>
  <c r="G3308" i="1"/>
  <c r="G3310" i="1"/>
  <c r="G3312" i="1"/>
  <c r="G3325" i="1"/>
  <c r="G3327" i="1"/>
  <c r="G3329" i="1"/>
  <c r="G3331" i="1"/>
  <c r="G3333" i="1"/>
  <c r="G3335" i="1"/>
  <c r="G3337" i="1"/>
  <c r="G3339" i="1"/>
  <c r="G3341" i="1"/>
  <c r="G3343" i="1"/>
  <c r="G3355" i="1"/>
  <c r="G3357" i="1"/>
  <c r="G3359" i="1"/>
  <c r="G3361" i="1"/>
  <c r="G3363" i="1"/>
  <c r="G3378" i="1"/>
  <c r="G3379" i="1" s="1"/>
  <c r="G3381" i="1"/>
  <c r="G3383" i="1"/>
  <c r="G3385" i="1"/>
  <c r="G3387" i="1"/>
  <c r="G3389" i="1"/>
  <c r="G3391" i="1"/>
  <c r="G3393" i="1"/>
  <c r="G3402" i="1"/>
  <c r="G3404" i="1"/>
  <c r="G3406" i="1"/>
  <c r="G3408" i="1"/>
  <c r="G3410" i="1"/>
  <c r="G3412" i="1"/>
  <c r="G3414" i="1"/>
  <c r="G3416" i="1"/>
  <c r="G3418" i="1"/>
  <c r="G3420" i="1"/>
  <c r="G3422" i="1"/>
  <c r="G3424" i="1"/>
  <c r="G3426" i="1"/>
  <c r="G3428" i="1"/>
  <c r="G3438" i="1"/>
  <c r="G3440" i="1"/>
  <c r="G3442" i="1"/>
  <c r="G3444" i="1"/>
  <c r="G3446" i="1"/>
  <c r="G3448" i="1"/>
  <c r="G3450" i="1"/>
  <c r="G3452" i="1"/>
  <c r="G3454" i="1"/>
  <c r="G3456" i="1"/>
  <c r="G3458" i="1"/>
  <c r="G3473" i="1"/>
  <c r="G3474" i="1" s="1"/>
  <c r="G3476" i="1"/>
  <c r="G3478" i="1"/>
  <c r="G3480" i="1"/>
  <c r="G3482" i="1"/>
  <c r="G3496" i="1"/>
  <c r="G3498" i="1"/>
  <c r="G3500" i="1"/>
  <c r="G3502" i="1"/>
  <c r="G3504" i="1"/>
  <c r="G3506" i="1"/>
  <c r="G3508" i="1"/>
  <c r="G3510" i="1"/>
  <c r="G3512" i="1"/>
  <c r="G3514" i="1"/>
  <c r="G3516" i="1"/>
  <c r="G3524" i="1"/>
  <c r="G3526" i="1"/>
  <c r="G3528" i="1"/>
  <c r="G3530" i="1"/>
  <c r="G3532" i="1"/>
  <c r="G3534" i="1"/>
  <c r="G3536" i="1"/>
  <c r="G3538" i="1"/>
  <c r="G3540" i="1"/>
  <c r="G3542" i="1"/>
  <c r="G3544" i="1"/>
  <c r="G3546" i="1"/>
  <c r="G3548" i="1"/>
  <c r="G3550" i="1"/>
  <c r="G3555" i="1"/>
  <c r="G3556" i="1" s="1"/>
  <c r="G3558" i="1"/>
  <c r="G3560" i="1"/>
  <c r="G3562" i="1"/>
  <c r="G3564" i="1"/>
  <c r="G3566" i="1"/>
  <c r="G3582" i="1"/>
  <c r="G3584" i="1"/>
  <c r="G3586" i="1"/>
  <c r="G3588" i="1"/>
  <c r="G3596" i="1"/>
  <c r="G3598" i="1"/>
  <c r="G3600" i="1"/>
  <c r="G3610" i="1"/>
  <c r="G3612" i="1"/>
  <c r="G3614" i="1"/>
  <c r="G3616" i="1"/>
  <c r="G3618" i="1"/>
  <c r="G3620" i="1"/>
  <c r="G3638" i="1"/>
  <c r="G3640" i="1"/>
  <c r="G3642" i="1"/>
  <c r="G3644" i="1"/>
  <c r="G3646" i="1"/>
  <c r="G3648" i="1"/>
  <c r="G3658" i="1"/>
  <c r="G3660" i="1"/>
  <c r="G3662" i="1"/>
  <c r="G3664" i="1"/>
  <c r="G3666" i="1"/>
  <c r="G3668" i="1"/>
  <c r="G3670" i="1"/>
  <c r="G3672" i="1"/>
  <c r="G3674" i="1"/>
  <c r="G3676" i="1"/>
  <c r="G3678" i="1"/>
  <c r="G3680" i="1"/>
  <c r="G3682" i="1"/>
  <c r="G3684" i="1"/>
  <c r="G3695" i="1"/>
  <c r="G3697" i="1"/>
  <c r="G3699" i="1"/>
  <c r="G3701" i="1"/>
  <c r="G3703" i="1"/>
  <c r="G3705" i="1"/>
  <c r="G3732" i="1"/>
  <c r="G3734" i="1"/>
  <c r="G3746" i="1"/>
  <c r="G3748" i="1"/>
  <c r="G3750" i="1"/>
  <c r="G3752" i="1"/>
  <c r="G3760" i="1"/>
  <c r="G3762" i="1"/>
  <c r="G3764" i="1"/>
  <c r="G3766" i="1"/>
  <c r="G3768" i="1"/>
  <c r="G3770" i="1"/>
  <c r="G3772" i="1"/>
  <c r="G3774" i="1"/>
  <c r="G3776" i="1"/>
  <c r="G3785" i="1"/>
  <c r="G3787" i="1"/>
  <c r="G3789" i="1"/>
  <c r="G3791" i="1"/>
  <c r="G3794" i="1"/>
  <c r="G3796" i="1"/>
  <c r="G3798" i="1"/>
  <c r="G3800" i="1"/>
  <c r="G3802" i="1"/>
  <c r="G3804" i="1"/>
  <c r="G3806" i="1"/>
  <c r="G3808" i="1"/>
  <c r="G3814" i="1"/>
  <c r="G3816" i="1"/>
  <c r="G3818" i="1"/>
  <c r="G3820" i="1"/>
  <c r="G3822" i="1"/>
  <c r="G3824" i="1"/>
  <c r="G3834" i="1"/>
  <c r="G3836" i="1"/>
  <c r="G3838" i="1"/>
  <c r="G3840" i="1"/>
  <c r="G3842" i="1"/>
  <c r="G3844" i="1"/>
  <c r="G3846" i="1"/>
  <c r="G3848" i="1"/>
  <c r="G3850" i="1"/>
  <c r="G3860" i="1"/>
  <c r="G3862" i="1"/>
  <c r="G3864" i="1"/>
  <c r="G3866" i="1"/>
  <c r="G3868" i="1"/>
  <c r="G3876" i="1"/>
  <c r="G3878" i="1"/>
  <c r="G3880" i="1"/>
  <c r="G3882" i="1"/>
  <c r="G3884" i="1"/>
  <c r="G3886" i="1"/>
  <c r="G3888" i="1"/>
  <c r="G3890" i="1"/>
  <c r="G3892" i="1"/>
  <c r="G3894" i="1"/>
  <c r="G3896" i="1"/>
  <c r="G3898" i="1"/>
  <c r="G3900" i="1"/>
  <c r="G3902" i="1"/>
  <c r="G3910" i="1"/>
  <c r="G3912" i="1"/>
  <c r="G3914" i="1"/>
  <c r="G3916" i="1"/>
  <c r="G3918" i="1"/>
  <c r="G3920" i="1"/>
  <c r="G3922" i="1"/>
  <c r="G3924" i="1"/>
  <c r="G3926" i="1"/>
  <c r="G3934" i="1"/>
  <c r="G3936" i="1"/>
  <c r="G3944" i="1"/>
  <c r="G3946" i="1"/>
  <c r="G3948" i="1"/>
  <c r="G3950" i="1"/>
  <c r="G3952" i="1"/>
  <c r="G3954" i="1"/>
  <c r="G3956" i="1"/>
  <c r="G3958" i="1"/>
  <c r="G3960" i="1"/>
  <c r="G3962" i="1"/>
  <c r="G3964" i="1"/>
  <c r="G3966" i="1"/>
  <c r="G3983" i="1"/>
  <c r="G3985" i="1"/>
  <c r="G3987" i="1"/>
  <c r="G3989" i="1"/>
  <c r="G3991" i="1"/>
  <c r="G3993" i="1"/>
  <c r="G3995" i="1"/>
  <c r="G3997" i="1"/>
  <c r="G3999" i="1"/>
  <c r="G4007" i="1"/>
  <c r="G4009" i="1"/>
  <c r="G4011" i="1"/>
  <c r="G4013" i="1"/>
  <c r="G4015" i="1"/>
  <c r="G4017" i="1"/>
  <c r="G4019" i="1"/>
  <c r="G4021" i="1"/>
  <c r="G4023" i="1"/>
  <c r="G4025" i="1"/>
  <c r="G4027" i="1"/>
  <c r="G4036" i="1"/>
  <c r="G4038" i="1"/>
  <c r="G4040" i="1"/>
  <c r="G4051" i="1"/>
  <c r="G4053" i="1"/>
  <c r="G4055" i="1"/>
  <c r="G4057" i="1"/>
  <c r="G4059" i="1"/>
  <c r="G4061" i="1"/>
  <c r="G4063" i="1"/>
  <c r="G4065" i="1"/>
  <c r="G4075" i="1"/>
  <c r="G4077" i="1"/>
  <c r="G4079" i="1"/>
  <c r="G4081" i="1"/>
  <c r="G4083" i="1"/>
  <c r="G4085" i="1"/>
  <c r="G4092" i="1"/>
  <c r="G4093" i="1" s="1"/>
  <c r="G4095" i="1"/>
  <c r="G4097" i="1"/>
  <c r="G4100" i="1"/>
  <c r="G4101" i="1" s="1"/>
  <c r="G4103" i="1"/>
  <c r="G4105" i="1"/>
  <c r="G4107" i="1"/>
  <c r="G4109" i="1"/>
  <c r="G4111" i="1"/>
  <c r="G4113" i="1"/>
  <c r="G4115" i="1"/>
  <c r="G4117" i="1"/>
  <c r="G4119" i="1"/>
  <c r="G4121" i="1"/>
  <c r="G4123" i="1"/>
  <c r="G4125" i="1"/>
  <c r="G4127" i="1"/>
  <c r="G4129" i="1"/>
  <c r="G4142" i="1"/>
  <c r="G4144" i="1"/>
  <c r="G4146" i="1"/>
  <c r="G4148" i="1"/>
  <c r="G4150" i="1"/>
  <c r="G4152" i="1"/>
  <c r="G4154" i="1"/>
  <c r="G4156" i="1"/>
  <c r="G4158" i="1"/>
  <c r="G4160" i="1"/>
  <c r="G4162" i="1"/>
  <c r="G4164" i="1"/>
  <c r="G4166" i="1"/>
  <c r="G4176" i="1"/>
  <c r="G4178" i="1"/>
  <c r="G4180" i="1"/>
  <c r="G4182" i="1"/>
  <c r="G4184" i="1"/>
  <c r="G4186" i="1"/>
  <c r="G4204" i="1"/>
  <c r="G4206" i="1"/>
  <c r="G4224" i="1"/>
  <c r="G4226" i="1"/>
  <c r="G4228" i="1"/>
  <c r="G4230" i="1"/>
  <c r="G4242" i="1"/>
  <c r="G4244" i="1"/>
  <c r="G4246" i="1"/>
  <c r="G4248" i="1"/>
  <c r="G4250" i="1"/>
  <c r="G4252" i="1"/>
  <c r="G4254" i="1"/>
  <c r="G4256" i="1"/>
  <c r="G4258" i="1"/>
  <c r="G4260" i="1"/>
  <c r="G4262" i="1"/>
  <c r="G4264" i="1"/>
  <c r="G4266" i="1"/>
  <c r="G4284" i="1"/>
  <c r="G934" i="1"/>
  <c r="G936" i="1"/>
  <c r="G938" i="1"/>
  <c r="G940" i="1"/>
  <c r="G942" i="1"/>
  <c r="G944" i="1"/>
  <c r="G946" i="1"/>
  <c r="G948" i="1"/>
  <c r="G950" i="1"/>
  <c r="G952" i="1"/>
  <c r="G954" i="1"/>
  <c r="G956" i="1"/>
  <c r="G958" i="1"/>
  <c r="G4298" i="1"/>
  <c r="G4299" i="1" s="1"/>
  <c r="G4301" i="1"/>
  <c r="G4303" i="1"/>
  <c r="G4305" i="1"/>
  <c r="G4307" i="1"/>
  <c r="G4309" i="1"/>
  <c r="G4311" i="1"/>
  <c r="G4331" i="1"/>
  <c r="G4333" i="1"/>
  <c r="G4335" i="1"/>
  <c r="G4337" i="1"/>
  <c r="G4339" i="1"/>
  <c r="G4341" i="1"/>
  <c r="G4343" i="1"/>
  <c r="G4345" i="1"/>
  <c r="G4347" i="1"/>
  <c r="G4349" i="1"/>
  <c r="G4351" i="1"/>
  <c r="G4353" i="1"/>
  <c r="G4355" i="1"/>
  <c r="G4357" i="1"/>
  <c r="G4365" i="1"/>
  <c r="G4367" i="1"/>
  <c r="G4369" i="1"/>
  <c r="G4371" i="1"/>
  <c r="G4373" i="1"/>
  <c r="G4375" i="1"/>
  <c r="G4377" i="1"/>
  <c r="G4379" i="1"/>
  <c r="G4381" i="1"/>
  <c r="G4383" i="1"/>
  <c r="G4385" i="1"/>
  <c r="G4387" i="1"/>
  <c r="G4399" i="1"/>
  <c r="G4401" i="1"/>
  <c r="G4403" i="1"/>
  <c r="G4405" i="1"/>
  <c r="G4407" i="1"/>
  <c r="G4409" i="1"/>
  <c r="G4425" i="1"/>
  <c r="G4427" i="1"/>
  <c r="G4429" i="1"/>
  <c r="G4445" i="1"/>
  <c r="G4447" i="1"/>
  <c r="G4449" i="1"/>
  <c r="G4465" i="1"/>
  <c r="G4467" i="1"/>
  <c r="G4469" i="1"/>
  <c r="G4471" i="1"/>
  <c r="G4473" i="1"/>
  <c r="G4481" i="1"/>
  <c r="G4483" i="1"/>
  <c r="G4485" i="1"/>
  <c r="G4487" i="1"/>
  <c r="G4489" i="1"/>
  <c r="G4491" i="1"/>
  <c r="G4500" i="1"/>
  <c r="G4502" i="1"/>
  <c r="G4504" i="1"/>
  <c r="G4506" i="1"/>
  <c r="G4508" i="1"/>
  <c r="G4510" i="1"/>
  <c r="G4606" i="1"/>
  <c r="G4608" i="1"/>
  <c r="G4610" i="1"/>
  <c r="G4612" i="1"/>
  <c r="G4614" i="1"/>
  <c r="G4616" i="1"/>
  <c r="G4624" i="1"/>
  <c r="G4626" i="1"/>
  <c r="G4628" i="1"/>
  <c r="G4630" i="1"/>
  <c r="G4632" i="1"/>
  <c r="G4634" i="1"/>
  <c r="G4636" i="1"/>
  <c r="G4638" i="1"/>
  <c r="G4640" i="1"/>
  <c r="G4642" i="1"/>
  <c r="G4644" i="1"/>
  <c r="G4646" i="1"/>
  <c r="G4648" i="1"/>
  <c r="J3292" i="1"/>
  <c r="I3292" i="1"/>
  <c r="H3292" i="1"/>
  <c r="J3290" i="1"/>
  <c r="I3290" i="1"/>
  <c r="H3290" i="1"/>
  <c r="O3309" i="1"/>
  <c r="O3311" i="1"/>
  <c r="N3311" i="1"/>
  <c r="N3309" i="1"/>
  <c r="O3307" i="1"/>
  <c r="N3307" i="1"/>
  <c r="O3305" i="1"/>
  <c r="N3305" i="1"/>
  <c r="O3303" i="1"/>
  <c r="N3303" i="1"/>
  <c r="O3301" i="1"/>
  <c r="N3301" i="1"/>
  <c r="O3299" i="1"/>
  <c r="N3299" i="1"/>
  <c r="O3297" i="1"/>
  <c r="N3297" i="1"/>
  <c r="O3295" i="1"/>
  <c r="N3295" i="1"/>
  <c r="O3293" i="1"/>
  <c r="N3293" i="1"/>
  <c r="N3291" i="1"/>
  <c r="Q2911" i="1"/>
  <c r="S2911" i="1" s="1"/>
  <c r="O2911" i="1"/>
  <c r="N2911" i="1"/>
  <c r="M2911" i="1"/>
  <c r="I2912" i="1"/>
  <c r="H2912" i="1"/>
  <c r="H4093" i="1"/>
  <c r="Q4092" i="1"/>
  <c r="S4092" i="1" s="1"/>
  <c r="O4092" i="1"/>
  <c r="N4092" i="1"/>
  <c r="M4092" i="1"/>
  <c r="J4093" i="1"/>
  <c r="I4093" i="1"/>
  <c r="O3203" i="1"/>
  <c r="N3203" i="1"/>
  <c r="M3203" i="1"/>
  <c r="U1161" i="1"/>
  <c r="V1161" i="1"/>
  <c r="U1151" i="1"/>
  <c r="U1152" i="1"/>
  <c r="U1153" i="1"/>
  <c r="U1154" i="1"/>
  <c r="U1155" i="1"/>
  <c r="U1156" i="1"/>
  <c r="U1157" i="1"/>
  <c r="U1158" i="1"/>
  <c r="U1159" i="1"/>
  <c r="U1160" i="1"/>
  <c r="U1162" i="1"/>
  <c r="U1163" i="1"/>
  <c r="V1151" i="1"/>
  <c r="V1152" i="1"/>
  <c r="V1153" i="1"/>
  <c r="V1154" i="1"/>
  <c r="V1155" i="1"/>
  <c r="V1156" i="1"/>
  <c r="V1157" i="1"/>
  <c r="V1158" i="1"/>
  <c r="V1159" i="1"/>
  <c r="V1160" i="1"/>
  <c r="V1162" i="1"/>
  <c r="V1163" i="1"/>
  <c r="U1145" i="1"/>
  <c r="U1146" i="1"/>
  <c r="U1147" i="1"/>
  <c r="U1148" i="1"/>
  <c r="U1149" i="1"/>
  <c r="U1150" i="1"/>
  <c r="U1164" i="1"/>
  <c r="U1165" i="1"/>
  <c r="U1166" i="1"/>
  <c r="U1167" i="1"/>
  <c r="U1168" i="1"/>
  <c r="U1169" i="1"/>
  <c r="U1170" i="1"/>
  <c r="U1171" i="1"/>
  <c r="V1145" i="1"/>
  <c r="V1146" i="1"/>
  <c r="V1147" i="1"/>
  <c r="V1148" i="1"/>
  <c r="V1150" i="1"/>
  <c r="V1164" i="1"/>
  <c r="V1165" i="1"/>
  <c r="V1166" i="1"/>
  <c r="V1167" i="1"/>
  <c r="V1168" i="1"/>
  <c r="V1169" i="1"/>
  <c r="V1170" i="1"/>
  <c r="V1171" i="1"/>
  <c r="O883" i="1"/>
  <c r="N883" i="1"/>
  <c r="M883" i="1"/>
  <c r="V918" i="1"/>
  <c r="U918" i="1"/>
  <c r="V917" i="1"/>
  <c r="U917" i="1"/>
  <c r="V916" i="1"/>
  <c r="U916" i="1"/>
  <c r="V915" i="1"/>
  <c r="U915" i="1"/>
  <c r="V914" i="1"/>
  <c r="U914" i="1"/>
  <c r="V913" i="1"/>
  <c r="U913" i="1"/>
  <c r="Q913" i="1"/>
  <c r="R913" i="1" s="1"/>
  <c r="O913" i="1"/>
  <c r="N913" i="1"/>
  <c r="M913" i="1"/>
  <c r="V912" i="1"/>
  <c r="U912" i="1"/>
  <c r="J912" i="1"/>
  <c r="I912" i="1"/>
  <c r="V911" i="1"/>
  <c r="U911" i="1"/>
  <c r="Q911" i="1"/>
  <c r="R911" i="1" s="1"/>
  <c r="O911" i="1"/>
  <c r="N911" i="1"/>
  <c r="M911" i="1"/>
  <c r="V910" i="1"/>
  <c r="U910" i="1"/>
  <c r="J910" i="1"/>
  <c r="I910" i="1"/>
  <c r="V909" i="1"/>
  <c r="U909" i="1"/>
  <c r="Q909" i="1"/>
  <c r="R909" i="1" s="1"/>
  <c r="O909" i="1"/>
  <c r="N909" i="1"/>
  <c r="M909" i="1"/>
  <c r="V908" i="1"/>
  <c r="U908" i="1"/>
  <c r="J908" i="1"/>
  <c r="I908" i="1"/>
  <c r="V907" i="1"/>
  <c r="U907" i="1"/>
  <c r="Q907" i="1"/>
  <c r="R907" i="1" s="1"/>
  <c r="O907" i="1"/>
  <c r="N907" i="1"/>
  <c r="M907" i="1"/>
  <c r="V906" i="1"/>
  <c r="U906" i="1"/>
  <c r="J906" i="1"/>
  <c r="I906" i="1"/>
  <c r="V905" i="1"/>
  <c r="U905" i="1"/>
  <c r="Q905" i="1"/>
  <c r="R905" i="1" s="1"/>
  <c r="O905" i="1"/>
  <c r="N905" i="1"/>
  <c r="M905" i="1"/>
  <c r="V904" i="1"/>
  <c r="U904" i="1"/>
  <c r="J904" i="1"/>
  <c r="I904" i="1"/>
  <c r="V903" i="1"/>
  <c r="U903" i="1"/>
  <c r="Q903" i="1"/>
  <c r="R903" i="1" s="1"/>
  <c r="O903" i="1"/>
  <c r="N903" i="1"/>
  <c r="M903" i="1"/>
  <c r="V902" i="1"/>
  <c r="U902" i="1"/>
  <c r="J902" i="1"/>
  <c r="I902" i="1"/>
  <c r="V901" i="1"/>
  <c r="U901" i="1"/>
  <c r="Q901" i="1"/>
  <c r="R901" i="1" s="1"/>
  <c r="O901" i="1"/>
  <c r="N901" i="1"/>
  <c r="M901" i="1"/>
  <c r="V900" i="1"/>
  <c r="U900" i="1"/>
  <c r="J900" i="1"/>
  <c r="I900" i="1"/>
  <c r="V899" i="1"/>
  <c r="U899" i="1"/>
  <c r="Q899" i="1"/>
  <c r="R899" i="1" s="1"/>
  <c r="O899" i="1"/>
  <c r="N899" i="1"/>
  <c r="M899" i="1"/>
  <c r="V898" i="1"/>
  <c r="U898" i="1"/>
  <c r="J898" i="1"/>
  <c r="I898" i="1"/>
  <c r="V897" i="1"/>
  <c r="U897" i="1"/>
  <c r="Q897" i="1"/>
  <c r="R897" i="1" s="1"/>
  <c r="O897" i="1"/>
  <c r="N897" i="1"/>
  <c r="M897" i="1"/>
  <c r="V896" i="1"/>
  <c r="U896" i="1"/>
  <c r="J896" i="1"/>
  <c r="I896" i="1"/>
  <c r="V895" i="1"/>
  <c r="U895" i="1"/>
  <c r="Q895" i="1"/>
  <c r="R895" i="1" s="1"/>
  <c r="O895" i="1"/>
  <c r="N895" i="1"/>
  <c r="M895" i="1"/>
  <c r="V894" i="1"/>
  <c r="U894" i="1"/>
  <c r="J894" i="1"/>
  <c r="I894" i="1"/>
  <c r="V893" i="1"/>
  <c r="U893" i="1"/>
  <c r="Q893" i="1"/>
  <c r="R893" i="1" s="1"/>
  <c r="O893" i="1"/>
  <c r="N893" i="1"/>
  <c r="M893" i="1"/>
  <c r="V892" i="1"/>
  <c r="U892" i="1"/>
  <c r="J892" i="1"/>
  <c r="I892" i="1"/>
  <c r="V891" i="1"/>
  <c r="U891" i="1"/>
  <c r="Q891" i="1"/>
  <c r="R891" i="1" s="1"/>
  <c r="O891" i="1"/>
  <c r="N891" i="1"/>
  <c r="M891" i="1"/>
  <c r="V890" i="1"/>
  <c r="U890" i="1"/>
  <c r="J890" i="1"/>
  <c r="I890" i="1"/>
  <c r="V889" i="1"/>
  <c r="U889" i="1"/>
  <c r="Q889" i="1"/>
  <c r="R889" i="1" s="1"/>
  <c r="O889" i="1"/>
  <c r="N889" i="1"/>
  <c r="M889" i="1"/>
  <c r="V888" i="1"/>
  <c r="U888" i="1"/>
  <c r="J888" i="1"/>
  <c r="I888" i="1"/>
  <c r="V887" i="1"/>
  <c r="U887" i="1"/>
  <c r="Q887" i="1"/>
  <c r="R887" i="1" s="1"/>
  <c r="O887" i="1"/>
  <c r="N887" i="1"/>
  <c r="M887" i="1"/>
  <c r="V886" i="1"/>
  <c r="U886" i="1"/>
  <c r="J886" i="1"/>
  <c r="I886" i="1"/>
  <c r="V885" i="1"/>
  <c r="U885" i="1"/>
  <c r="Q885" i="1"/>
  <c r="R885" i="1" s="1"/>
  <c r="O885" i="1"/>
  <c r="N885" i="1"/>
  <c r="M885" i="1"/>
  <c r="V884" i="1"/>
  <c r="U884" i="1"/>
  <c r="V883" i="1"/>
  <c r="U883" i="1"/>
  <c r="Q883" i="1"/>
  <c r="R883" i="1" s="1"/>
  <c r="V882" i="1"/>
  <c r="U882" i="1"/>
  <c r="V881" i="1"/>
  <c r="U881" i="1"/>
  <c r="V810" i="1"/>
  <c r="U810" i="1"/>
  <c r="V809" i="1"/>
  <c r="U809" i="1"/>
  <c r="V808" i="1"/>
  <c r="U808" i="1"/>
  <c r="V807" i="1"/>
  <c r="U807" i="1"/>
  <c r="Q807" i="1"/>
  <c r="S807" i="1" s="1"/>
  <c r="M807" i="1"/>
  <c r="V806" i="1"/>
  <c r="U806" i="1"/>
  <c r="V805" i="1"/>
  <c r="U805" i="1"/>
  <c r="Q805" i="1"/>
  <c r="S805" i="1" s="1"/>
  <c r="M805" i="1"/>
  <c r="V804" i="1"/>
  <c r="U804" i="1"/>
  <c r="V803" i="1"/>
  <c r="U803" i="1"/>
  <c r="Q803" i="1"/>
  <c r="S803" i="1" s="1"/>
  <c r="O803" i="1"/>
  <c r="N803" i="1"/>
  <c r="M803" i="1"/>
  <c r="V802" i="1"/>
  <c r="U802" i="1"/>
  <c r="J802" i="1"/>
  <c r="I802" i="1"/>
  <c r="H802" i="1"/>
  <c r="V801" i="1"/>
  <c r="U801" i="1"/>
  <c r="Q801" i="1"/>
  <c r="R801" i="1" s="1"/>
  <c r="O801" i="1"/>
  <c r="N801" i="1"/>
  <c r="M801" i="1"/>
  <c r="V800" i="1"/>
  <c r="U800" i="1"/>
  <c r="J800" i="1"/>
  <c r="I800" i="1"/>
  <c r="H800" i="1"/>
  <c r="V799" i="1"/>
  <c r="U799" i="1"/>
  <c r="Q799" i="1"/>
  <c r="S799" i="1" s="1"/>
  <c r="O799" i="1"/>
  <c r="N799" i="1"/>
  <c r="M799" i="1"/>
  <c r="V798" i="1"/>
  <c r="U798" i="1"/>
  <c r="J798" i="1"/>
  <c r="I798" i="1"/>
  <c r="H798" i="1"/>
  <c r="V797" i="1"/>
  <c r="U797" i="1"/>
  <c r="Q797" i="1"/>
  <c r="S797" i="1" s="1"/>
  <c r="O797" i="1"/>
  <c r="N797" i="1"/>
  <c r="M797" i="1"/>
  <c r="V796" i="1"/>
  <c r="U796" i="1"/>
  <c r="J796" i="1"/>
  <c r="I796" i="1"/>
  <c r="H796" i="1"/>
  <c r="V795" i="1"/>
  <c r="U795" i="1"/>
  <c r="Q795" i="1"/>
  <c r="S795" i="1" s="1"/>
  <c r="O795" i="1"/>
  <c r="N795" i="1"/>
  <c r="M795" i="1"/>
  <c r="V794" i="1"/>
  <c r="U794" i="1"/>
  <c r="J794" i="1"/>
  <c r="I794" i="1"/>
  <c r="H794" i="1"/>
  <c r="V793" i="1"/>
  <c r="U793" i="1"/>
  <c r="Q793" i="1"/>
  <c r="R793" i="1" s="1"/>
  <c r="O793" i="1"/>
  <c r="N793" i="1"/>
  <c r="M793" i="1"/>
  <c r="V792" i="1"/>
  <c r="U792" i="1"/>
  <c r="J792" i="1"/>
  <c r="I792" i="1"/>
  <c r="H792" i="1"/>
  <c r="V791" i="1"/>
  <c r="U791" i="1"/>
  <c r="Q791" i="1"/>
  <c r="R791" i="1" s="1"/>
  <c r="O791" i="1"/>
  <c r="N791" i="1"/>
  <c r="M791" i="1"/>
  <c r="V790" i="1"/>
  <c r="U790" i="1"/>
  <c r="V789" i="1"/>
  <c r="U789" i="1"/>
  <c r="Q789" i="1"/>
  <c r="J4357" i="1"/>
  <c r="I4357" i="1"/>
  <c r="H4357" i="1"/>
  <c r="J4355" i="1"/>
  <c r="I4355" i="1"/>
  <c r="H4355" i="1"/>
  <c r="J4353" i="1"/>
  <c r="I4353" i="1"/>
  <c r="H4353" i="1"/>
  <c r="U4357" i="1"/>
  <c r="U4358" i="1"/>
  <c r="V4357" i="1"/>
  <c r="V4358" i="1"/>
  <c r="U3223" i="1"/>
  <c r="V3223" i="1"/>
  <c r="J3524" i="1"/>
  <c r="I3524" i="1"/>
  <c r="H3524" i="1"/>
  <c r="J3526" i="1"/>
  <c r="I3526" i="1"/>
  <c r="H3526" i="1"/>
  <c r="Q3525" i="1"/>
  <c r="S3525" i="1" s="1"/>
  <c r="Q3523" i="1"/>
  <c r="S3523" i="1" s="1"/>
  <c r="M3527" i="1"/>
  <c r="O3525" i="1"/>
  <c r="N3525" i="1"/>
  <c r="M3525" i="1"/>
  <c r="O3523" i="1"/>
  <c r="N3523" i="1"/>
  <c r="M3523" i="1"/>
  <c r="O4623" i="1"/>
  <c r="N4623" i="1"/>
  <c r="M4623" i="1"/>
  <c r="Q4621" i="1"/>
  <c r="Q4623" i="1"/>
  <c r="S4623" i="1" s="1"/>
  <c r="J4624" i="1"/>
  <c r="I4624" i="1"/>
  <c r="H4624" i="1"/>
  <c r="U4651" i="1"/>
  <c r="V4651" i="1"/>
  <c r="O228" i="1"/>
  <c r="N228" i="1"/>
  <c r="O226" i="1"/>
  <c r="N226" i="1"/>
  <c r="O224" i="1"/>
  <c r="N224" i="1"/>
  <c r="O222" i="1"/>
  <c r="N222" i="1"/>
  <c r="O220" i="1"/>
  <c r="N220" i="1"/>
  <c r="O218" i="1"/>
  <c r="N218" i="1"/>
  <c r="O216" i="1"/>
  <c r="N216" i="1"/>
  <c r="O214" i="1"/>
  <c r="N214" i="1"/>
  <c r="O212" i="1"/>
  <c r="N212" i="1"/>
  <c r="M212" i="1"/>
  <c r="W212" i="1"/>
  <c r="U212" i="1"/>
  <c r="Q212" i="1"/>
  <c r="S212" i="1" s="1"/>
  <c r="J213" i="1"/>
  <c r="I213" i="1"/>
  <c r="H213" i="1"/>
  <c r="N2658" i="1"/>
  <c r="O2656" i="1"/>
  <c r="N2656" i="1"/>
  <c r="O2654" i="1"/>
  <c r="N2654" i="1"/>
  <c r="O2652" i="1"/>
  <c r="N2652" i="1"/>
  <c r="O2650" i="1"/>
  <c r="N2650" i="1"/>
  <c r="O2648" i="1"/>
  <c r="N2648" i="1"/>
  <c r="O2646" i="1"/>
  <c r="N2646" i="1"/>
  <c r="O2644" i="1"/>
  <c r="N2644" i="1"/>
  <c r="O2642" i="1"/>
  <c r="N2642" i="1"/>
  <c r="O2640" i="1"/>
  <c r="N2640" i="1"/>
  <c r="O2636" i="1"/>
  <c r="N2636" i="1"/>
  <c r="N2638" i="1"/>
  <c r="O2638" i="1"/>
  <c r="Q327" i="1"/>
  <c r="O327" i="1"/>
  <c r="N327" i="1"/>
  <c r="M327" i="1"/>
  <c r="O351" i="1"/>
  <c r="O349" i="1"/>
  <c r="O347" i="1"/>
  <c r="O345" i="1"/>
  <c r="O343" i="1"/>
  <c r="O341" i="1"/>
  <c r="O337" i="1"/>
  <c r="O335" i="1"/>
  <c r="O333" i="1"/>
  <c r="O331" i="1"/>
  <c r="O329" i="1"/>
  <c r="J328" i="1"/>
  <c r="I328" i="1"/>
  <c r="N351" i="1"/>
  <c r="N349" i="1"/>
  <c r="N347" i="1"/>
  <c r="N345" i="1"/>
  <c r="N343" i="1"/>
  <c r="N341" i="1"/>
  <c r="O339" i="1"/>
  <c r="N339" i="1"/>
  <c r="N337" i="1"/>
  <c r="N335" i="1"/>
  <c r="N333" i="1"/>
  <c r="N331" i="1"/>
  <c r="N329" i="1"/>
  <c r="N4330" i="1"/>
  <c r="Q3322" i="1"/>
  <c r="K3324" i="1"/>
  <c r="O3324" i="1"/>
  <c r="N3324" i="1"/>
  <c r="N2819" i="1"/>
  <c r="G3790" i="1" l="1"/>
  <c r="G366" i="1"/>
  <c r="G1785" i="1"/>
  <c r="G3786" i="1"/>
  <c r="G3788" i="1"/>
  <c r="G2455" i="1"/>
  <c r="G2453" i="1"/>
  <c r="G599" i="1"/>
  <c r="G376" i="1"/>
  <c r="H1784" i="1"/>
  <c r="G2242" i="1"/>
  <c r="G1879" i="1"/>
  <c r="G3792" i="1"/>
  <c r="G2826" i="1"/>
  <c r="G374" i="1"/>
  <c r="G1308" i="1"/>
  <c r="G512" i="1"/>
  <c r="G2104" i="1"/>
  <c r="G1651" i="1"/>
  <c r="G3376" i="1"/>
  <c r="G3377" i="1" s="1"/>
  <c r="G1238" i="1"/>
  <c r="G800" i="1"/>
  <c r="G1334" i="1"/>
  <c r="G601" i="1"/>
  <c r="G484" i="1"/>
  <c r="G2465" i="1"/>
  <c r="G110" i="1"/>
  <c r="G368" i="1"/>
  <c r="G1875" i="1"/>
  <c r="G1284" i="1"/>
  <c r="G225" i="1"/>
  <c r="R3289" i="1"/>
  <c r="G4099" i="1"/>
  <c r="G3189" i="1"/>
  <c r="G2916" i="1"/>
  <c r="G2832" i="1"/>
  <c r="G2643" i="1"/>
  <c r="G2538" i="1"/>
  <c r="G2195" i="1"/>
  <c r="G1647" i="1"/>
  <c r="G1396" i="1"/>
  <c r="G1201" i="1"/>
  <c r="G370" i="1"/>
  <c r="G2724" i="1"/>
  <c r="G2076" i="1"/>
  <c r="R2911" i="1"/>
  <c r="R4092" i="1"/>
  <c r="S801" i="1"/>
  <c r="R797" i="1"/>
  <c r="R795" i="1"/>
  <c r="S791" i="1"/>
  <c r="S793" i="1"/>
  <c r="R803" i="1"/>
  <c r="R799" i="1"/>
  <c r="R3523" i="1"/>
  <c r="R3525" i="1"/>
  <c r="R4623" i="1"/>
  <c r="R212" i="1"/>
  <c r="R327" i="1"/>
  <c r="Q3253" i="1"/>
  <c r="N3283" i="1"/>
  <c r="O3283" i="1"/>
  <c r="O3281" i="1"/>
  <c r="N3281" i="1"/>
  <c r="O3279" i="1"/>
  <c r="N3279" i="1"/>
  <c r="O3277" i="1"/>
  <c r="N3277" i="1"/>
  <c r="O3275" i="1"/>
  <c r="N3275" i="1"/>
  <c r="O3273" i="1"/>
  <c r="N3273" i="1"/>
  <c r="O3271" i="1"/>
  <c r="N3271" i="1"/>
  <c r="O3269" i="1"/>
  <c r="N3269" i="1"/>
  <c r="O3267" i="1"/>
  <c r="N3267" i="1"/>
  <c r="O3265" i="1"/>
  <c r="N3265" i="1"/>
  <c r="O3263" i="1"/>
  <c r="N3263" i="1"/>
  <c r="O3261" i="1"/>
  <c r="N3261" i="1"/>
  <c r="O3259" i="1"/>
  <c r="N3259" i="1"/>
  <c r="O3255" i="1"/>
  <c r="N3255" i="1"/>
  <c r="M3255" i="1"/>
  <c r="O3257" i="1"/>
  <c r="N3257" i="1"/>
  <c r="J3256" i="1"/>
  <c r="I3256" i="1"/>
  <c r="H3256" i="1"/>
  <c r="N1729" i="1"/>
  <c r="N1727" i="1"/>
  <c r="N1725" i="1"/>
  <c r="O1723" i="1"/>
  <c r="N1723" i="1"/>
  <c r="N1721" i="1"/>
  <c r="N1719" i="1"/>
  <c r="O1717" i="1"/>
  <c r="N1717" i="1"/>
  <c r="O1715" i="1"/>
  <c r="N1715" i="1"/>
  <c r="O1713" i="1"/>
  <c r="N1713" i="1"/>
  <c r="O1705" i="1"/>
  <c r="N1705" i="1"/>
  <c r="O1707" i="1"/>
  <c r="N1707" i="1"/>
  <c r="O1709" i="1"/>
  <c r="N1709" i="1"/>
  <c r="O1711" i="1"/>
  <c r="N1711" i="1"/>
  <c r="M1705" i="1"/>
  <c r="M1707" i="1"/>
  <c r="M1709" i="1"/>
  <c r="V1707" i="1"/>
  <c r="Q1703" i="1"/>
  <c r="J1704" i="1"/>
  <c r="O2997" i="1"/>
  <c r="O2995" i="1"/>
  <c r="O2993" i="1"/>
  <c r="O2991" i="1"/>
  <c r="O2989" i="1"/>
  <c r="O2987" i="1"/>
  <c r="O2985" i="1"/>
  <c r="O2983" i="1"/>
  <c r="O2981" i="1"/>
  <c r="N2981" i="1"/>
  <c r="O2979" i="1"/>
  <c r="O2977" i="1"/>
  <c r="N2979" i="1"/>
  <c r="N2977" i="1"/>
  <c r="N2985" i="1"/>
  <c r="N2983" i="1"/>
  <c r="N2975" i="1"/>
  <c r="O2975" i="1"/>
  <c r="J2976" i="1"/>
  <c r="I2976" i="1"/>
  <c r="H2976" i="1"/>
  <c r="M2975" i="1"/>
  <c r="H2990" i="1"/>
  <c r="H2988" i="1"/>
  <c r="H2986" i="1"/>
  <c r="H2984" i="1"/>
  <c r="H2982" i="1"/>
  <c r="H2980" i="1"/>
  <c r="H2978" i="1"/>
  <c r="Q2975" i="1"/>
  <c r="O4627" i="1"/>
  <c r="O4629" i="1"/>
  <c r="O4631" i="1"/>
  <c r="O4633" i="1"/>
  <c r="O4635" i="1"/>
  <c r="O4637" i="1"/>
  <c r="O4639" i="1"/>
  <c r="O4641" i="1"/>
  <c r="O4643" i="1"/>
  <c r="O4645" i="1"/>
  <c r="O4647" i="1"/>
  <c r="J4648" i="1"/>
  <c r="I4648" i="1"/>
  <c r="H4648" i="1"/>
  <c r="J4646" i="1"/>
  <c r="I4646" i="1"/>
  <c r="H4646" i="1"/>
  <c r="J4644" i="1"/>
  <c r="I4644" i="1"/>
  <c r="H4644" i="1"/>
  <c r="J4642" i="1"/>
  <c r="I4642" i="1"/>
  <c r="H4642" i="1"/>
  <c r="J4640" i="1"/>
  <c r="I4640" i="1"/>
  <c r="H4640" i="1"/>
  <c r="J4638" i="1"/>
  <c r="I4638" i="1"/>
  <c r="H4638" i="1"/>
  <c r="J4636" i="1"/>
  <c r="I4636" i="1"/>
  <c r="H4636" i="1"/>
  <c r="J4634" i="1"/>
  <c r="I4634" i="1"/>
  <c r="H4634" i="1"/>
  <c r="J4632" i="1"/>
  <c r="I4632" i="1"/>
  <c r="H4632" i="1"/>
  <c r="J4630" i="1"/>
  <c r="I4630" i="1"/>
  <c r="H4630" i="1"/>
  <c r="J4628" i="1"/>
  <c r="I4628" i="1"/>
  <c r="H4628" i="1"/>
  <c r="J4626" i="1"/>
  <c r="I4626" i="1"/>
  <c r="H4626" i="1"/>
  <c r="O4625" i="1"/>
  <c r="N4627" i="1"/>
  <c r="N4629" i="1"/>
  <c r="N4631" i="1"/>
  <c r="N4633" i="1"/>
  <c r="N4635" i="1"/>
  <c r="N4637" i="1"/>
  <c r="N4639" i="1"/>
  <c r="N4641" i="1"/>
  <c r="N4643" i="1"/>
  <c r="N4645" i="1"/>
  <c r="N4647" i="1"/>
  <c r="N4649" i="1"/>
  <c r="N4625" i="1"/>
  <c r="M4627" i="1"/>
  <c r="M4629" i="1"/>
  <c r="M4631" i="1"/>
  <c r="M4633" i="1"/>
  <c r="M4635" i="1"/>
  <c r="M4637" i="1"/>
  <c r="M4639" i="1"/>
  <c r="M4641" i="1"/>
  <c r="M4643" i="1"/>
  <c r="M4645" i="1"/>
  <c r="M4647" i="1"/>
  <c r="M4649" i="1"/>
  <c r="M4625" i="1"/>
  <c r="U4629" i="1"/>
  <c r="V4629" i="1"/>
  <c r="Q4639" i="1"/>
  <c r="S4639" i="1" s="1"/>
  <c r="Q4627" i="1"/>
  <c r="R4627" i="1" s="1"/>
  <c r="Q4629" i="1"/>
  <c r="S4629" i="1" s="1"/>
  <c r="Q4631" i="1"/>
  <c r="S4631" i="1" s="1"/>
  <c r="Q4633" i="1"/>
  <c r="R4633" i="1" s="1"/>
  <c r="Q4635" i="1"/>
  <c r="S4635" i="1" s="1"/>
  <c r="Q4637" i="1"/>
  <c r="S4637" i="1" s="1"/>
  <c r="Q4641" i="1"/>
  <c r="R4641" i="1" s="1"/>
  <c r="Q4643" i="1"/>
  <c r="S4643" i="1" s="1"/>
  <c r="Q4645" i="1"/>
  <c r="S4645" i="1" s="1"/>
  <c r="Q4647" i="1"/>
  <c r="R4647" i="1" s="1"/>
  <c r="Q4649" i="1"/>
  <c r="S4649" i="1" s="1"/>
  <c r="Q4625" i="1"/>
  <c r="R4625" i="1" s="1"/>
  <c r="Q240" i="1"/>
  <c r="R240" i="1" s="1"/>
  <c r="O240" i="1"/>
  <c r="N240" i="1"/>
  <c r="M240" i="1"/>
  <c r="J241" i="1"/>
  <c r="I241" i="1"/>
  <c r="Q725" i="1"/>
  <c r="Q2817" i="1"/>
  <c r="J2712" i="1"/>
  <c r="I2712" i="1"/>
  <c r="H2712" i="1"/>
  <c r="J2714" i="1"/>
  <c r="I2714" i="1"/>
  <c r="H2714" i="1"/>
  <c r="U4632" i="1"/>
  <c r="U4633" i="1"/>
  <c r="U4634" i="1"/>
  <c r="U4635" i="1"/>
  <c r="U4636" i="1"/>
  <c r="U4637" i="1"/>
  <c r="U4638" i="1"/>
  <c r="U4639" i="1"/>
  <c r="U4640" i="1"/>
  <c r="U4641" i="1"/>
  <c r="U4642" i="1"/>
  <c r="U4643" i="1"/>
  <c r="U4644" i="1"/>
  <c r="U4645" i="1"/>
  <c r="U4646" i="1"/>
  <c r="U4647" i="1"/>
  <c r="U4648" i="1"/>
  <c r="U4649" i="1"/>
  <c r="U4650" i="1"/>
  <c r="V4632" i="1"/>
  <c r="V4633" i="1"/>
  <c r="V4634" i="1"/>
  <c r="V4635" i="1"/>
  <c r="V4636" i="1"/>
  <c r="V4637" i="1"/>
  <c r="V4638" i="1"/>
  <c r="V4639" i="1"/>
  <c r="V4640" i="1"/>
  <c r="V4641" i="1"/>
  <c r="V4642" i="1"/>
  <c r="V4643" i="1"/>
  <c r="V4644" i="1"/>
  <c r="V4645" i="1"/>
  <c r="V4646" i="1"/>
  <c r="V4647" i="1"/>
  <c r="V4648" i="1"/>
  <c r="V4649" i="1"/>
  <c r="V4650" i="1"/>
  <c r="U4536" i="1"/>
  <c r="V4536" i="1"/>
  <c r="U4537" i="1"/>
  <c r="V4537" i="1"/>
  <c r="U4538" i="1"/>
  <c r="V4538" i="1"/>
  <c r="U4539" i="1"/>
  <c r="V4539" i="1"/>
  <c r="U4540" i="1"/>
  <c r="V4540" i="1"/>
  <c r="U4541" i="1"/>
  <c r="V4541" i="1"/>
  <c r="Q3907" i="1"/>
  <c r="N2837" i="1"/>
  <c r="N2835" i="1"/>
  <c r="N2833" i="1"/>
  <c r="N2827" i="1"/>
  <c r="N2825" i="1"/>
  <c r="N2823" i="1"/>
  <c r="N2821" i="1"/>
  <c r="M2819" i="1"/>
  <c r="M2821" i="1"/>
  <c r="N1041" i="1"/>
  <c r="M1041" i="1"/>
  <c r="Q1041" i="1"/>
  <c r="J1042" i="1"/>
  <c r="H1042" i="1"/>
  <c r="O1043" i="1"/>
  <c r="N1043" i="1"/>
  <c r="J4399" i="1"/>
  <c r="I4399" i="1"/>
  <c r="V4398" i="1"/>
  <c r="O4398" i="1"/>
  <c r="N4398" i="1"/>
  <c r="M4398" i="1"/>
  <c r="T3785" i="1"/>
  <c r="K3785" i="1"/>
  <c r="L3785" i="1"/>
  <c r="W3785" i="1"/>
  <c r="J3785" i="1"/>
  <c r="I3785" i="1"/>
  <c r="J760" i="1"/>
  <c r="I760" i="1"/>
  <c r="O777" i="1"/>
  <c r="O775" i="1"/>
  <c r="O773" i="1"/>
  <c r="O771" i="1"/>
  <c r="O769" i="1"/>
  <c r="O767" i="1"/>
  <c r="O765" i="1"/>
  <c r="O763" i="1"/>
  <c r="O761" i="1"/>
  <c r="O759" i="1"/>
  <c r="N759" i="1"/>
  <c r="N4094" i="1"/>
  <c r="N703" i="1"/>
  <c r="Q701" i="1"/>
  <c r="R701" i="1" s="1"/>
  <c r="N1644" i="1"/>
  <c r="M1644" i="1"/>
  <c r="Q1644" i="1"/>
  <c r="S1644" i="1" s="1"/>
  <c r="H1645" i="1"/>
  <c r="J1645" i="1"/>
  <c r="Q2342" i="1"/>
  <c r="R2342" i="1" s="1"/>
  <c r="O2342" i="1"/>
  <c r="N2342" i="1"/>
  <c r="M2342" i="1"/>
  <c r="J2343" i="1"/>
  <c r="I2343" i="1"/>
  <c r="R1041" i="1" l="1"/>
  <c r="AA1041" i="1"/>
  <c r="S1041" i="1"/>
  <c r="S240" i="1"/>
  <c r="R2975" i="1"/>
  <c r="R4639" i="1"/>
  <c r="R4635" i="1"/>
  <c r="R4643" i="1"/>
  <c r="R4637" i="1"/>
  <c r="R4629" i="1"/>
  <c r="S4641" i="1"/>
  <c r="S4633" i="1"/>
  <c r="R4645" i="1"/>
  <c r="S4647" i="1"/>
  <c r="R4649" i="1"/>
  <c r="S4625" i="1"/>
  <c r="R4631" i="1"/>
  <c r="S4627" i="1"/>
  <c r="R1644" i="1"/>
  <c r="J2924" i="1"/>
  <c r="J2926" i="1"/>
  <c r="I3208" i="1"/>
  <c r="I3210" i="1"/>
  <c r="O3209" i="1"/>
  <c r="N3209" i="1"/>
  <c r="M3209" i="1"/>
  <c r="N189" i="1"/>
  <c r="M191" i="1"/>
  <c r="M189" i="1"/>
  <c r="Q181" i="1"/>
  <c r="S181" i="1" s="1"/>
  <c r="J190" i="1"/>
  <c r="I190" i="1"/>
  <c r="H190" i="1"/>
  <c r="J188" i="1"/>
  <c r="I188" i="1"/>
  <c r="H188" i="1"/>
  <c r="J186" i="1"/>
  <c r="I186" i="1"/>
  <c r="H186" i="1"/>
  <c r="J184" i="1"/>
  <c r="I184" i="1"/>
  <c r="H184" i="1"/>
  <c r="J182" i="1"/>
  <c r="I182" i="1"/>
  <c r="H182" i="1"/>
  <c r="Q191" i="1"/>
  <c r="S191" i="1" s="1"/>
  <c r="Q189" i="1"/>
  <c r="S189" i="1" s="1"/>
  <c r="Q187" i="1"/>
  <c r="R187" i="1" s="1"/>
  <c r="Q185" i="1"/>
  <c r="S185" i="1" s="1"/>
  <c r="Q183" i="1"/>
  <c r="S183" i="1" s="1"/>
  <c r="O189" i="1"/>
  <c r="O187" i="1"/>
  <c r="N187" i="1"/>
  <c r="M187" i="1"/>
  <c r="O185" i="1"/>
  <c r="N185" i="1"/>
  <c r="M185" i="1"/>
  <c r="O183" i="1"/>
  <c r="N183" i="1"/>
  <c r="M183" i="1"/>
  <c r="O181" i="1"/>
  <c r="N181" i="1"/>
  <c r="M181" i="1"/>
  <c r="O165" i="1"/>
  <c r="N165" i="1"/>
  <c r="M165" i="1"/>
  <c r="U197" i="1"/>
  <c r="U198" i="1"/>
  <c r="U199" i="1"/>
  <c r="U200" i="1"/>
  <c r="U201" i="1"/>
  <c r="U202" i="1"/>
  <c r="U203" i="1"/>
  <c r="U204" i="1"/>
  <c r="U205" i="1"/>
  <c r="U206" i="1"/>
  <c r="U207" i="1"/>
  <c r="U208" i="1"/>
  <c r="U209" i="1"/>
  <c r="U210" i="1"/>
  <c r="U211" i="1"/>
  <c r="V197" i="1"/>
  <c r="V198" i="1"/>
  <c r="V199" i="1"/>
  <c r="V200" i="1"/>
  <c r="V201" i="1"/>
  <c r="V202" i="1"/>
  <c r="V203" i="1"/>
  <c r="V204" i="1"/>
  <c r="V205" i="1"/>
  <c r="V206" i="1"/>
  <c r="V207" i="1"/>
  <c r="V208" i="1"/>
  <c r="V209" i="1"/>
  <c r="V210" i="1"/>
  <c r="V211" i="1"/>
  <c r="J4176" i="1"/>
  <c r="I4176" i="1"/>
  <c r="H4176" i="1"/>
  <c r="J4178" i="1"/>
  <c r="I4178" i="1"/>
  <c r="H4178" i="1"/>
  <c r="Q143" i="1"/>
  <c r="E509" i="1"/>
  <c r="E511" i="1"/>
  <c r="E513" i="1"/>
  <c r="E515" i="1"/>
  <c r="E517" i="1"/>
  <c r="E519" i="1"/>
  <c r="E521" i="1"/>
  <c r="E833" i="1"/>
  <c r="E835" i="1"/>
  <c r="E837" i="1"/>
  <c r="E839" i="1"/>
  <c r="E841" i="1"/>
  <c r="E843" i="1"/>
  <c r="E845" i="1"/>
  <c r="E1581" i="1"/>
  <c r="E1583" i="1"/>
  <c r="E1964" i="1"/>
  <c r="E1969" i="1"/>
  <c r="E2188" i="1"/>
  <c r="E2331" i="1"/>
  <c r="E2333" i="1"/>
  <c r="E2335" i="1"/>
  <c r="E2337" i="1"/>
  <c r="E2671" i="1"/>
  <c r="E4257" i="1"/>
  <c r="E4259" i="1"/>
  <c r="E4261" i="1"/>
  <c r="E4263" i="1"/>
  <c r="E4265" i="1"/>
  <c r="E4267" i="1"/>
  <c r="M4175" i="1"/>
  <c r="Q4175" i="1"/>
  <c r="S4175" i="1" s="1"/>
  <c r="M4177" i="1"/>
  <c r="O4185" i="1"/>
  <c r="N4185" i="1"/>
  <c r="O4183" i="1"/>
  <c r="N4183" i="1"/>
  <c r="O4181" i="1"/>
  <c r="N4181" i="1"/>
  <c r="O4177" i="1"/>
  <c r="N4177" i="1"/>
  <c r="O4175" i="1"/>
  <c r="N4175" i="1"/>
  <c r="O4179" i="1"/>
  <c r="N4179" i="1"/>
  <c r="U4188" i="1"/>
  <c r="U4189" i="1"/>
  <c r="U4190" i="1"/>
  <c r="U4191" i="1"/>
  <c r="U4192" i="1"/>
  <c r="U4193" i="1"/>
  <c r="U4194" i="1"/>
  <c r="U4195" i="1"/>
  <c r="U4196" i="1"/>
  <c r="U4197" i="1"/>
  <c r="V4188" i="1"/>
  <c r="V4189" i="1"/>
  <c r="V4190" i="1"/>
  <c r="V4191" i="1"/>
  <c r="V4192" i="1"/>
  <c r="V4193" i="1"/>
  <c r="V4194" i="1"/>
  <c r="V4195" i="1"/>
  <c r="V4196" i="1"/>
  <c r="V4197" i="1"/>
  <c r="U177" i="1"/>
  <c r="U178" i="1"/>
  <c r="U179" i="1"/>
  <c r="U180" i="1"/>
  <c r="U181" i="1"/>
  <c r="U182" i="1"/>
  <c r="U183" i="1"/>
  <c r="U184" i="1"/>
  <c r="U185" i="1"/>
  <c r="U186" i="1"/>
  <c r="U187" i="1"/>
  <c r="U188" i="1"/>
  <c r="U189" i="1"/>
  <c r="U190" i="1"/>
  <c r="U191" i="1"/>
  <c r="U192" i="1"/>
  <c r="U193" i="1"/>
  <c r="U194" i="1"/>
  <c r="U195" i="1"/>
  <c r="U196" i="1"/>
  <c r="V177" i="1"/>
  <c r="V178" i="1"/>
  <c r="V179" i="1"/>
  <c r="V180" i="1"/>
  <c r="V181" i="1"/>
  <c r="V182" i="1"/>
  <c r="V183" i="1"/>
  <c r="V184" i="1"/>
  <c r="V185" i="1"/>
  <c r="V186" i="1"/>
  <c r="V187" i="1"/>
  <c r="V188" i="1"/>
  <c r="V189" i="1"/>
  <c r="V190" i="1"/>
  <c r="V191" i="1"/>
  <c r="V192" i="1"/>
  <c r="V193" i="1"/>
  <c r="V194" i="1"/>
  <c r="V195" i="1"/>
  <c r="V196" i="1"/>
  <c r="J4616" i="1"/>
  <c r="I4616" i="1"/>
  <c r="H4616" i="1"/>
  <c r="J4614" i="1"/>
  <c r="I4614" i="1"/>
  <c r="H4614" i="1"/>
  <c r="J4612" i="1"/>
  <c r="I4612" i="1"/>
  <c r="H4612" i="1"/>
  <c r="J4610" i="1"/>
  <c r="I4610" i="1"/>
  <c r="H4610" i="1"/>
  <c r="J4608" i="1"/>
  <c r="I4608" i="1"/>
  <c r="H4608" i="1"/>
  <c r="J4606" i="1"/>
  <c r="I4606" i="1"/>
  <c r="H4606" i="1"/>
  <c r="O4617" i="1"/>
  <c r="N4617" i="1"/>
  <c r="M4617" i="1"/>
  <c r="O4615" i="1"/>
  <c r="N4615" i="1"/>
  <c r="M4615" i="1"/>
  <c r="O4613" i="1"/>
  <c r="N4613" i="1"/>
  <c r="M4613" i="1"/>
  <c r="O4611" i="1"/>
  <c r="N4611" i="1"/>
  <c r="M4611" i="1"/>
  <c r="O4609" i="1"/>
  <c r="N4609" i="1"/>
  <c r="M4609" i="1"/>
  <c r="O4607" i="1"/>
  <c r="N4607" i="1"/>
  <c r="M4607" i="1"/>
  <c r="U4607" i="1"/>
  <c r="V4607" i="1"/>
  <c r="U4608" i="1"/>
  <c r="V4608" i="1"/>
  <c r="U4609" i="1"/>
  <c r="V4609" i="1"/>
  <c r="U4610" i="1"/>
  <c r="V4610" i="1"/>
  <c r="U4611" i="1"/>
  <c r="V4611" i="1"/>
  <c r="U4612" i="1"/>
  <c r="V4612" i="1"/>
  <c r="U4613" i="1"/>
  <c r="V4613" i="1"/>
  <c r="U4614" i="1"/>
  <c r="V4614" i="1"/>
  <c r="U4615" i="1"/>
  <c r="V4615" i="1"/>
  <c r="U4616" i="1"/>
  <c r="V4616" i="1"/>
  <c r="U4617" i="1"/>
  <c r="V4617" i="1"/>
  <c r="U4618" i="1"/>
  <c r="V4618" i="1"/>
  <c r="U4619" i="1"/>
  <c r="V4619" i="1"/>
  <c r="U4620" i="1"/>
  <c r="V4620" i="1"/>
  <c r="U4621" i="1"/>
  <c r="V4621" i="1"/>
  <c r="U4622" i="1"/>
  <c r="V4622" i="1"/>
  <c r="U4623" i="1"/>
  <c r="V4623" i="1"/>
  <c r="U4624" i="1"/>
  <c r="V4624" i="1"/>
  <c r="U4625" i="1"/>
  <c r="V4625" i="1"/>
  <c r="U4626" i="1"/>
  <c r="V4626" i="1"/>
  <c r="U4627" i="1"/>
  <c r="V4627" i="1"/>
  <c r="U4628" i="1"/>
  <c r="V4628" i="1"/>
  <c r="U4630" i="1"/>
  <c r="V4630" i="1"/>
  <c r="U4631" i="1"/>
  <c r="V4631" i="1"/>
  <c r="I1424" i="1"/>
  <c r="J1418" i="1"/>
  <c r="I1418" i="1"/>
  <c r="O1417" i="1"/>
  <c r="N1417" i="1"/>
  <c r="M1417" i="1"/>
  <c r="U1445" i="1"/>
  <c r="U1446" i="1"/>
  <c r="V1445" i="1"/>
  <c r="V1446" i="1"/>
  <c r="U1447" i="1"/>
  <c r="U1448" i="1"/>
  <c r="V1447" i="1"/>
  <c r="V1448" i="1"/>
  <c r="O1441" i="1"/>
  <c r="O1439" i="1"/>
  <c r="O1437" i="1"/>
  <c r="O1435" i="1"/>
  <c r="O1433" i="1"/>
  <c r="O1431" i="1"/>
  <c r="O1429" i="1"/>
  <c r="O1427" i="1"/>
  <c r="O1425" i="1"/>
  <c r="O1423" i="1"/>
  <c r="O1421" i="1"/>
  <c r="O1419" i="1"/>
  <c r="N1419" i="1"/>
  <c r="N1441" i="1"/>
  <c r="N1439" i="1"/>
  <c r="N1437" i="1"/>
  <c r="N1435" i="1"/>
  <c r="N1433" i="1"/>
  <c r="N1431" i="1"/>
  <c r="N1429" i="1"/>
  <c r="N1427" i="1"/>
  <c r="N1425" i="1"/>
  <c r="N1423" i="1"/>
  <c r="N1421" i="1"/>
  <c r="O1407" i="1"/>
  <c r="O1409" i="1"/>
  <c r="Q1423" i="1"/>
  <c r="J2637" i="1"/>
  <c r="Q2093" i="1"/>
  <c r="N2093" i="1"/>
  <c r="M2093" i="1"/>
  <c r="J2094" i="1"/>
  <c r="Q1784" i="1"/>
  <c r="N1784" i="1"/>
  <c r="M1784" i="1"/>
  <c r="J1785" i="1"/>
  <c r="U1422" i="1"/>
  <c r="U1421" i="1"/>
  <c r="U1420" i="1"/>
  <c r="U1419" i="1"/>
  <c r="U1418" i="1"/>
  <c r="U1417" i="1"/>
  <c r="Q1443" i="1"/>
  <c r="S1443" i="1" s="1"/>
  <c r="Q1441" i="1"/>
  <c r="S1441" i="1" s="1"/>
  <c r="Q1439" i="1"/>
  <c r="R1439" i="1" s="1"/>
  <c r="Q1437" i="1"/>
  <c r="R1437" i="1" s="1"/>
  <c r="M1443" i="1"/>
  <c r="M1441" i="1"/>
  <c r="M1439" i="1"/>
  <c r="M1437" i="1"/>
  <c r="J1442" i="1"/>
  <c r="I1442" i="1"/>
  <c r="H1442" i="1"/>
  <c r="J1440" i="1"/>
  <c r="I1440" i="1"/>
  <c r="H1440" i="1"/>
  <c r="J1438" i="1"/>
  <c r="I1438" i="1"/>
  <c r="H1438" i="1"/>
  <c r="J1436" i="1"/>
  <c r="I1436" i="1"/>
  <c r="H1436" i="1"/>
  <c r="AB3230" i="1"/>
  <c r="AB3232" i="1"/>
  <c r="AB3234" i="1"/>
  <c r="AB3236" i="1"/>
  <c r="AB3238" i="1"/>
  <c r="AB3240" i="1"/>
  <c r="AB3242" i="1"/>
  <c r="AB3244" i="1"/>
  <c r="AB3246" i="1"/>
  <c r="AB3248" i="1"/>
  <c r="U3249" i="1"/>
  <c r="U3250" i="1"/>
  <c r="V3249" i="1"/>
  <c r="V3250" i="1"/>
  <c r="U3251" i="1"/>
  <c r="V3251" i="1"/>
  <c r="U3252" i="1"/>
  <c r="V3252" i="1"/>
  <c r="R143" i="1" l="1"/>
  <c r="S143" i="1"/>
  <c r="R181" i="1"/>
  <c r="S187" i="1"/>
  <c r="R183" i="1"/>
  <c r="R185" i="1"/>
  <c r="R189" i="1"/>
  <c r="R191" i="1"/>
  <c r="R4175" i="1"/>
  <c r="R2093" i="1"/>
  <c r="R1784" i="1"/>
  <c r="S1439" i="1"/>
  <c r="S1437" i="1"/>
  <c r="R1441" i="1"/>
  <c r="R1443" i="1"/>
  <c r="J3" i="43"/>
  <c r="J6" i="43"/>
  <c r="J7" i="43"/>
  <c r="J59" i="43"/>
  <c r="J60" i="43"/>
  <c r="J8" i="43"/>
  <c r="J9" i="43"/>
  <c r="J67" i="43"/>
  <c r="J68" i="43"/>
  <c r="J10" i="43"/>
  <c r="J11" i="43"/>
  <c r="J13" i="43"/>
  <c r="J14" i="43"/>
  <c r="J15" i="43"/>
  <c r="J16" i="43"/>
  <c r="J96" i="43"/>
  <c r="J97" i="43"/>
  <c r="J17" i="43"/>
  <c r="J18" i="43"/>
  <c r="J19" i="43"/>
  <c r="J20" i="43"/>
  <c r="J21" i="43"/>
  <c r="J22" i="43"/>
  <c r="J23" i="43"/>
  <c r="J24" i="43"/>
  <c r="J25" i="43"/>
  <c r="J26" i="43"/>
  <c r="J27" i="43"/>
  <c r="J28" i="43"/>
  <c r="J29" i="43"/>
  <c r="J30" i="43"/>
  <c r="J31" i="43"/>
  <c r="J32" i="43"/>
  <c r="J33" i="43"/>
  <c r="J34" i="43"/>
  <c r="J35" i="43"/>
  <c r="J36" i="43"/>
  <c r="J37" i="43"/>
  <c r="J38" i="43"/>
  <c r="J39" i="43"/>
  <c r="J40" i="43"/>
  <c r="J41" i="43"/>
  <c r="J42" i="43"/>
  <c r="J43" i="43"/>
  <c r="J44" i="43"/>
  <c r="J45" i="43"/>
  <c r="J57" i="43"/>
  <c r="J58" i="43"/>
  <c r="J4" i="43"/>
  <c r="J5" i="43"/>
  <c r="J77" i="43"/>
  <c r="J78" i="43"/>
  <c r="J106" i="43"/>
  <c r="J107" i="43"/>
  <c r="J108" i="43"/>
  <c r="J52" i="43"/>
  <c r="J53" i="43"/>
  <c r="J54" i="43"/>
  <c r="J55" i="43"/>
  <c r="J56" i="43"/>
  <c r="J63" i="43"/>
  <c r="J64" i="43"/>
  <c r="J65" i="43"/>
  <c r="J66" i="43"/>
  <c r="J71" i="43"/>
  <c r="J72" i="43"/>
  <c r="J73" i="43"/>
  <c r="J74" i="43"/>
  <c r="J75" i="43"/>
  <c r="J76" i="43"/>
  <c r="J46" i="43"/>
  <c r="J47" i="43"/>
  <c r="J79" i="43"/>
  <c r="J80" i="43"/>
  <c r="J81" i="43"/>
  <c r="J82" i="43"/>
  <c r="J83" i="43"/>
  <c r="J84" i="43"/>
  <c r="J87" i="43"/>
  <c r="J88" i="43"/>
  <c r="J89" i="43"/>
  <c r="J90" i="43"/>
  <c r="J91" i="43"/>
  <c r="J92" i="43"/>
  <c r="J93" i="43"/>
  <c r="J94" i="43"/>
  <c r="J95" i="43"/>
  <c r="J98" i="43"/>
  <c r="J99" i="43"/>
  <c r="J100" i="43"/>
  <c r="J101" i="43"/>
  <c r="J102" i="43"/>
  <c r="J103" i="43"/>
  <c r="J104" i="43"/>
  <c r="J105" i="43"/>
  <c r="J109" i="43"/>
  <c r="J110" i="43"/>
  <c r="J111" i="43"/>
  <c r="J112" i="43"/>
  <c r="J113" i="43"/>
  <c r="J114" i="43"/>
  <c r="J115" i="43"/>
  <c r="J116" i="43"/>
  <c r="J117" i="43"/>
  <c r="J118" i="43"/>
  <c r="J119" i="43"/>
  <c r="J120" i="43"/>
  <c r="J48" i="43"/>
  <c r="J49" i="43"/>
  <c r="J50" i="43"/>
  <c r="J51" i="43"/>
  <c r="J123" i="43"/>
  <c r="J124" i="43"/>
  <c r="J125" i="43"/>
  <c r="J126" i="43"/>
  <c r="J127" i="43"/>
  <c r="J128" i="43"/>
  <c r="J129" i="43"/>
  <c r="J130" i="43"/>
  <c r="J131" i="43"/>
  <c r="J132" i="43"/>
  <c r="J133" i="43"/>
  <c r="J134" i="43"/>
  <c r="J135" i="43"/>
  <c r="J136" i="43"/>
  <c r="J139" i="43"/>
  <c r="J140" i="43"/>
  <c r="J141" i="43"/>
  <c r="J142" i="43"/>
  <c r="J143" i="43"/>
  <c r="J144" i="43"/>
  <c r="J145" i="43"/>
  <c r="J146" i="43"/>
  <c r="J147" i="43"/>
  <c r="J148" i="43"/>
  <c r="J149" i="43"/>
  <c r="J150" i="43"/>
  <c r="J151" i="43"/>
  <c r="J152" i="43"/>
  <c r="J153" i="43"/>
  <c r="J154" i="43"/>
  <c r="J155" i="43"/>
  <c r="J156" i="43"/>
  <c r="J157" i="43"/>
  <c r="J158" i="43"/>
  <c r="J159" i="43"/>
  <c r="J61" i="43"/>
  <c r="J62" i="43"/>
  <c r="J160" i="43"/>
  <c r="J161" i="43"/>
  <c r="J162" i="43"/>
  <c r="J163" i="43"/>
  <c r="J164" i="43"/>
  <c r="J69" i="43"/>
  <c r="J70" i="43"/>
  <c r="J165" i="43"/>
  <c r="J166" i="43"/>
  <c r="J167" i="43"/>
  <c r="J168" i="43"/>
  <c r="J169" i="43"/>
  <c r="J170" i="43"/>
  <c r="J171" i="43"/>
  <c r="J172" i="43"/>
  <c r="J173" i="43"/>
  <c r="J174" i="43"/>
  <c r="J175" i="43"/>
  <c r="J176" i="43"/>
  <c r="J177" i="43"/>
  <c r="J178" i="43"/>
  <c r="J179" i="43"/>
  <c r="J180" i="43"/>
  <c r="J181" i="43"/>
  <c r="J182" i="43"/>
  <c r="J183" i="43"/>
  <c r="J184" i="43"/>
  <c r="J185" i="43"/>
  <c r="J186" i="43"/>
  <c r="J187" i="43"/>
  <c r="J188" i="43"/>
  <c r="J189" i="43"/>
  <c r="J190" i="43"/>
  <c r="J191" i="43"/>
  <c r="J192" i="43"/>
  <c r="J193" i="43"/>
  <c r="J194" i="43"/>
  <c r="J195" i="43"/>
  <c r="J196" i="43"/>
  <c r="J197" i="43"/>
  <c r="J198" i="43"/>
  <c r="J199" i="43"/>
  <c r="J200" i="43"/>
  <c r="J201" i="43"/>
  <c r="J202" i="43"/>
  <c r="J203" i="43"/>
  <c r="J204" i="43"/>
  <c r="J205" i="43"/>
  <c r="J206" i="43"/>
  <c r="J207" i="43"/>
  <c r="J208" i="43"/>
  <c r="J209" i="43"/>
  <c r="J210" i="43"/>
  <c r="J211" i="43"/>
  <c r="J212" i="43"/>
  <c r="J213" i="43"/>
  <c r="J214" i="43"/>
  <c r="J215" i="43"/>
  <c r="J216" i="43"/>
  <c r="J217" i="43"/>
  <c r="J218" i="43"/>
  <c r="J219" i="43"/>
  <c r="J220" i="43"/>
  <c r="J221" i="43"/>
  <c r="J222" i="43"/>
  <c r="J223" i="43"/>
  <c r="J224" i="43"/>
  <c r="J225" i="43"/>
  <c r="J226" i="43"/>
  <c r="J227" i="43"/>
  <c r="J228" i="43"/>
  <c r="J229" i="43"/>
  <c r="J230" i="43"/>
  <c r="J231" i="43"/>
  <c r="J232" i="43"/>
  <c r="J233" i="43"/>
  <c r="J236" i="43"/>
  <c r="J237" i="43"/>
  <c r="J238" i="43"/>
  <c r="J239" i="43"/>
  <c r="J240" i="43"/>
  <c r="J241" i="43"/>
  <c r="J242" i="43"/>
  <c r="J243" i="43"/>
  <c r="J244" i="43"/>
  <c r="J245" i="43"/>
  <c r="J246" i="43"/>
  <c r="J247" i="43"/>
  <c r="J137" i="43"/>
  <c r="J138" i="43"/>
  <c r="J248" i="43"/>
  <c r="J249" i="43"/>
  <c r="J250" i="43"/>
  <c r="J251" i="43"/>
  <c r="J252" i="43"/>
  <c r="J253" i="43"/>
  <c r="J254" i="43"/>
  <c r="J255" i="43"/>
  <c r="J121" i="43"/>
  <c r="J122" i="43"/>
  <c r="J256" i="43"/>
  <c r="J257" i="43"/>
  <c r="J85" i="43"/>
  <c r="J234" i="43"/>
  <c r="J235" i="43"/>
  <c r="J86" i="43"/>
  <c r="J258" i="43"/>
  <c r="J259" i="43"/>
  <c r="J260" i="43"/>
  <c r="J261" i="43"/>
  <c r="J262" i="43"/>
  <c r="J3232" i="1"/>
  <c r="I3232" i="1"/>
  <c r="I21" i="43"/>
  <c r="V21" i="43"/>
  <c r="Q3203" i="1"/>
  <c r="R3203" i="1" s="1"/>
  <c r="V3205" i="1"/>
  <c r="I3204" i="1"/>
  <c r="Q3209" i="1"/>
  <c r="Q3207" i="1"/>
  <c r="S3207" i="1" s="1"/>
  <c r="Q3205" i="1"/>
  <c r="Q3211" i="1"/>
  <c r="N3211" i="1"/>
  <c r="O3207" i="1"/>
  <c r="N3207" i="1"/>
  <c r="M3207" i="1"/>
  <c r="O3205" i="1"/>
  <c r="N3205" i="1"/>
  <c r="M3205" i="1"/>
  <c r="I3206" i="1"/>
  <c r="O3231" i="1"/>
  <c r="N3231" i="1"/>
  <c r="M3231" i="1"/>
  <c r="O3229" i="1"/>
  <c r="N3229" i="1"/>
  <c r="M3229" i="1"/>
  <c r="O3227" i="1"/>
  <c r="N3227" i="1"/>
  <c r="M3227" i="1"/>
  <c r="Q3231" i="1"/>
  <c r="R3231" i="1" s="1"/>
  <c r="Q3229" i="1"/>
  <c r="S3229" i="1" s="1"/>
  <c r="Q3227" i="1"/>
  <c r="R3227" i="1" s="1"/>
  <c r="J3228" i="1"/>
  <c r="I3228" i="1"/>
  <c r="V27" i="43"/>
  <c r="F18" i="2"/>
  <c r="G18" i="2"/>
  <c r="U18" i="2" a="1"/>
  <c r="U18" i="2" s="1"/>
  <c r="V18" i="2" a="1"/>
  <c r="V18" i="2" s="1"/>
  <c r="X18" i="2" s="1"/>
  <c r="Y18" i="2" a="1"/>
  <c r="Y18" i="2" s="1"/>
  <c r="Z18" i="2" a="1"/>
  <c r="Z18" i="2" s="1"/>
  <c r="AO18" i="2" a="1"/>
  <c r="AO18" i="2" s="1"/>
  <c r="BA18" i="2" a="1"/>
  <c r="BA18" i="2" s="1"/>
  <c r="BM18" i="2" a="1"/>
  <c r="BM18" i="2" s="1"/>
  <c r="V1080" i="1"/>
  <c r="Q1080" i="1"/>
  <c r="R1080" i="1" s="1"/>
  <c r="O1080" i="1"/>
  <c r="N1080" i="1"/>
  <c r="M1080" i="1"/>
  <c r="J1081" i="1"/>
  <c r="I1081" i="1"/>
  <c r="O271" i="1"/>
  <c r="U1449" i="1"/>
  <c r="V1449" i="1"/>
  <c r="Q297" i="1"/>
  <c r="R297" i="1" s="1"/>
  <c r="Q295" i="1"/>
  <c r="R295" i="1" s="1"/>
  <c r="Q293" i="1"/>
  <c r="R293" i="1" s="1"/>
  <c r="Q291" i="1"/>
  <c r="R291" i="1" s="1"/>
  <c r="Q289" i="1"/>
  <c r="R289" i="1" s="1"/>
  <c r="Q287" i="1"/>
  <c r="R287" i="1" s="1"/>
  <c r="Q285" i="1"/>
  <c r="R285" i="1" s="1"/>
  <c r="Q283" i="1"/>
  <c r="R283" i="1" s="1"/>
  <c r="Q281" i="1"/>
  <c r="R281" i="1" s="1"/>
  <c r="O297" i="1"/>
  <c r="N297" i="1"/>
  <c r="M297" i="1"/>
  <c r="O295" i="1"/>
  <c r="N295" i="1"/>
  <c r="M295" i="1"/>
  <c r="O293" i="1"/>
  <c r="N293" i="1"/>
  <c r="M293" i="1"/>
  <c r="O291" i="1"/>
  <c r="N291" i="1"/>
  <c r="M291" i="1"/>
  <c r="O289" i="1"/>
  <c r="N289" i="1"/>
  <c r="M289" i="1"/>
  <c r="O287" i="1"/>
  <c r="N287" i="1"/>
  <c r="M287" i="1"/>
  <c r="O285" i="1"/>
  <c r="N285" i="1"/>
  <c r="M285" i="1"/>
  <c r="O283" i="1"/>
  <c r="N283" i="1"/>
  <c r="M283" i="1"/>
  <c r="J296" i="1"/>
  <c r="I296" i="1"/>
  <c r="J294" i="1"/>
  <c r="I294" i="1"/>
  <c r="J292" i="1"/>
  <c r="I292" i="1"/>
  <c r="J290" i="1"/>
  <c r="I290" i="1"/>
  <c r="J288" i="1"/>
  <c r="I288" i="1"/>
  <c r="J286" i="1"/>
  <c r="I286" i="1"/>
  <c r="J284" i="1"/>
  <c r="I284" i="1"/>
  <c r="J282" i="1"/>
  <c r="I282" i="1"/>
  <c r="O281" i="1"/>
  <c r="N281" i="1"/>
  <c r="M281" i="1"/>
  <c r="O279" i="1"/>
  <c r="N279" i="1"/>
  <c r="M279" i="1"/>
  <c r="O277" i="1"/>
  <c r="N277" i="1"/>
  <c r="M277" i="1"/>
  <c r="O275" i="1"/>
  <c r="N275" i="1"/>
  <c r="M275" i="1"/>
  <c r="J280" i="1"/>
  <c r="I280" i="1"/>
  <c r="J278" i="1"/>
  <c r="I278" i="1"/>
  <c r="J276" i="1"/>
  <c r="I276" i="1"/>
  <c r="J274" i="1"/>
  <c r="I274" i="1"/>
  <c r="Q269" i="1"/>
  <c r="J270" i="1"/>
  <c r="J272" i="1"/>
  <c r="I272" i="1"/>
  <c r="Q279" i="1"/>
  <c r="R279" i="1" s="1"/>
  <c r="Q277" i="1"/>
  <c r="R277" i="1" s="1"/>
  <c r="Q275" i="1"/>
  <c r="R275" i="1" s="1"/>
  <c r="Q273" i="1"/>
  <c r="R273" i="1" s="1"/>
  <c r="Q271" i="1"/>
  <c r="R271" i="1" s="1"/>
  <c r="M271" i="1"/>
  <c r="N271" i="1"/>
  <c r="N273" i="1"/>
  <c r="O273" i="1"/>
  <c r="M273" i="1"/>
  <c r="O248" i="1"/>
  <c r="N4366" i="1"/>
  <c r="M4366" i="1"/>
  <c r="M216" i="1"/>
  <c r="M250" i="1"/>
  <c r="N248" i="1"/>
  <c r="U266" i="1"/>
  <c r="V266" i="1"/>
  <c r="Q4364" i="1"/>
  <c r="N4364" i="1"/>
  <c r="M4364" i="1"/>
  <c r="J4365" i="1"/>
  <c r="U274" i="1"/>
  <c r="U275" i="1"/>
  <c r="U276" i="1"/>
  <c r="U277" i="1"/>
  <c r="U278" i="1"/>
  <c r="U279" i="1"/>
  <c r="U280" i="1"/>
  <c r="V274" i="1"/>
  <c r="V275" i="1"/>
  <c r="V276" i="1"/>
  <c r="V277" i="1"/>
  <c r="V278" i="1"/>
  <c r="V279" i="1"/>
  <c r="V280" i="1"/>
  <c r="U281" i="1"/>
  <c r="U282" i="1"/>
  <c r="U283" i="1"/>
  <c r="U284" i="1"/>
  <c r="U285" i="1"/>
  <c r="U286" i="1"/>
  <c r="U287" i="1"/>
  <c r="V281" i="1"/>
  <c r="V282" i="1"/>
  <c r="V283" i="1"/>
  <c r="V284" i="1"/>
  <c r="V285" i="1"/>
  <c r="V286" i="1"/>
  <c r="V287" i="1"/>
  <c r="U288" i="1"/>
  <c r="U289" i="1"/>
  <c r="U290" i="1"/>
  <c r="U291" i="1"/>
  <c r="U292" i="1"/>
  <c r="U293" i="1"/>
  <c r="U294" i="1"/>
  <c r="V288" i="1"/>
  <c r="V289" i="1"/>
  <c r="V290" i="1"/>
  <c r="V291" i="1"/>
  <c r="V292" i="1"/>
  <c r="V293" i="1"/>
  <c r="V294" i="1"/>
  <c r="U295" i="1"/>
  <c r="U296" i="1"/>
  <c r="U297" i="1"/>
  <c r="U298" i="1"/>
  <c r="U299" i="1"/>
  <c r="U300" i="1"/>
  <c r="V295" i="1"/>
  <c r="V296" i="1"/>
  <c r="V297" i="1"/>
  <c r="V298" i="1"/>
  <c r="V299" i="1"/>
  <c r="V300" i="1"/>
  <c r="U269" i="1"/>
  <c r="U270" i="1"/>
  <c r="U271" i="1"/>
  <c r="U272" i="1"/>
  <c r="U273" i="1"/>
  <c r="V269" i="1"/>
  <c r="V270" i="1"/>
  <c r="V271" i="1"/>
  <c r="V272" i="1"/>
  <c r="V273" i="1"/>
  <c r="R3205" i="1" l="1"/>
  <c r="S3205" i="1"/>
  <c r="R3209" i="1"/>
  <c r="S3209" i="1"/>
  <c r="S3231" i="1"/>
  <c r="S3227" i="1"/>
  <c r="R3229" i="1"/>
  <c r="S271" i="1"/>
  <c r="D18" i="2"/>
  <c r="R3207" i="1"/>
  <c r="BL18" i="2"/>
  <c r="AA18" i="2"/>
  <c r="R4364" i="1"/>
  <c r="O4384" i="1"/>
  <c r="O4388" i="1"/>
  <c r="N4388" i="1"/>
  <c r="O4380" i="1"/>
  <c r="N4380" i="1"/>
  <c r="M4388" i="1"/>
  <c r="O4386" i="1"/>
  <c r="N4386" i="1"/>
  <c r="M4386" i="1"/>
  <c r="N4384" i="1"/>
  <c r="M4384" i="1"/>
  <c r="O4382" i="1"/>
  <c r="N4382" i="1"/>
  <c r="M4382" i="1"/>
  <c r="M4380" i="1"/>
  <c r="O4378" i="1"/>
  <c r="N4378" i="1"/>
  <c r="M4378" i="1"/>
  <c r="O4376" i="1"/>
  <c r="N4376" i="1"/>
  <c r="M4376" i="1"/>
  <c r="O4374" i="1"/>
  <c r="N4374" i="1"/>
  <c r="M4374" i="1"/>
  <c r="O4372" i="1"/>
  <c r="N4372" i="1"/>
  <c r="M4372" i="1"/>
  <c r="O4370" i="1"/>
  <c r="N4370" i="1"/>
  <c r="M4370" i="1"/>
  <c r="O4368" i="1"/>
  <c r="N4368" i="1"/>
  <c r="M4368" i="1"/>
  <c r="Q4388" i="1"/>
  <c r="R4388" i="1" s="1"/>
  <c r="J4387" i="1"/>
  <c r="I4387" i="1"/>
  <c r="H4387" i="1"/>
  <c r="J4385" i="1"/>
  <c r="I4385" i="1"/>
  <c r="H4385" i="1"/>
  <c r="J4383" i="1"/>
  <c r="I4383" i="1"/>
  <c r="H4383" i="1"/>
  <c r="J4381" i="1"/>
  <c r="I4381" i="1"/>
  <c r="H4381" i="1"/>
  <c r="J4379" i="1"/>
  <c r="I4379" i="1"/>
  <c r="H4379" i="1"/>
  <c r="J4377" i="1"/>
  <c r="I4377" i="1"/>
  <c r="H4377" i="1"/>
  <c r="J4375" i="1"/>
  <c r="I4375" i="1"/>
  <c r="H4375" i="1"/>
  <c r="J4373" i="1"/>
  <c r="I4373" i="1"/>
  <c r="H4373" i="1"/>
  <c r="J4371" i="1"/>
  <c r="I4371" i="1"/>
  <c r="H4371" i="1"/>
  <c r="J4369" i="1"/>
  <c r="I4369" i="1"/>
  <c r="H4369" i="1"/>
  <c r="J4367" i="1"/>
  <c r="I4367" i="1"/>
  <c r="H4367" i="1"/>
  <c r="U4353" i="1"/>
  <c r="U4354" i="1"/>
  <c r="U4355" i="1"/>
  <c r="U4356" i="1"/>
  <c r="V4353" i="1"/>
  <c r="V4354" i="1"/>
  <c r="V4355" i="1"/>
  <c r="V4356" i="1"/>
  <c r="U4314" i="1"/>
  <c r="U4315" i="1"/>
  <c r="U4316" i="1"/>
  <c r="U4317" i="1"/>
  <c r="U4318" i="1"/>
  <c r="U4319" i="1"/>
  <c r="U4320" i="1"/>
  <c r="V4314" i="1"/>
  <c r="V4315" i="1"/>
  <c r="V4316" i="1"/>
  <c r="V4317" i="1"/>
  <c r="V4318" i="1"/>
  <c r="V4319" i="1"/>
  <c r="V4320" i="1"/>
  <c r="Q4382" i="1"/>
  <c r="R4382" i="1" s="1"/>
  <c r="Q4380" i="1"/>
  <c r="R4380" i="1" s="1"/>
  <c r="Q4378" i="1"/>
  <c r="R4378" i="1" s="1"/>
  <c r="Q4376" i="1"/>
  <c r="Q4374" i="1"/>
  <c r="Q4372" i="1"/>
  <c r="Q4370" i="1"/>
  <c r="Q4368" i="1"/>
  <c r="Q4366" i="1"/>
  <c r="Q4384" i="1"/>
  <c r="R4384" i="1" s="1"/>
  <c r="Q4386" i="1"/>
  <c r="R4386" i="1" s="1"/>
  <c r="U4393" i="1"/>
  <c r="V4393" i="1"/>
  <c r="U4387" i="1"/>
  <c r="U4388" i="1"/>
  <c r="U4389" i="1"/>
  <c r="V4387" i="1"/>
  <c r="V4388" i="1"/>
  <c r="V4389" i="1"/>
  <c r="U4392" i="1"/>
  <c r="V4392" i="1"/>
  <c r="U4394" i="1"/>
  <c r="V4394" i="1"/>
  <c r="Q4330" i="1"/>
  <c r="M4330" i="1"/>
  <c r="O4350" i="1"/>
  <c r="N4350" i="1"/>
  <c r="O4348" i="1"/>
  <c r="N4348" i="1"/>
  <c r="O4346" i="1"/>
  <c r="N4346" i="1"/>
  <c r="O4344" i="1"/>
  <c r="N4344" i="1"/>
  <c r="O4342" i="1"/>
  <c r="N4342" i="1"/>
  <c r="O4340" i="1"/>
  <c r="N4340" i="1"/>
  <c r="O4338" i="1"/>
  <c r="N4338" i="1"/>
  <c r="O4336" i="1"/>
  <c r="N4336" i="1"/>
  <c r="O4334" i="1"/>
  <c r="N4334" i="1"/>
  <c r="O4332" i="1"/>
  <c r="N4332" i="1"/>
  <c r="J4331" i="1"/>
  <c r="M3" i="1"/>
  <c r="Q3" i="1"/>
  <c r="O21" i="1"/>
  <c r="N21" i="1"/>
  <c r="O19" i="1"/>
  <c r="N19" i="1"/>
  <c r="O17" i="1"/>
  <c r="N17" i="1"/>
  <c r="O15" i="1"/>
  <c r="N15" i="1"/>
  <c r="O13" i="1"/>
  <c r="N13" i="1"/>
  <c r="O11" i="1"/>
  <c r="N11" i="1"/>
  <c r="O9" i="1"/>
  <c r="N9" i="1"/>
  <c r="O7" i="1"/>
  <c r="N7" i="1"/>
  <c r="O5" i="1"/>
  <c r="N5" i="1"/>
  <c r="Q2671" i="1"/>
  <c r="J2672" i="1"/>
  <c r="Q3813" i="1"/>
  <c r="J4351" i="1"/>
  <c r="I4351" i="1"/>
  <c r="H4351" i="1"/>
  <c r="J4349" i="1"/>
  <c r="I4349" i="1"/>
  <c r="H4349" i="1"/>
  <c r="J4347" i="1"/>
  <c r="I4347" i="1"/>
  <c r="H4347" i="1"/>
  <c r="J4345" i="1"/>
  <c r="I4345" i="1"/>
  <c r="H4345" i="1"/>
  <c r="J4343" i="1"/>
  <c r="I4343" i="1"/>
  <c r="H4343" i="1"/>
  <c r="J4341" i="1"/>
  <c r="I4341" i="1"/>
  <c r="H4341" i="1"/>
  <c r="J4339" i="1"/>
  <c r="I4339" i="1"/>
  <c r="H4339" i="1"/>
  <c r="J4337" i="1"/>
  <c r="I4337" i="1"/>
  <c r="H4337" i="1"/>
  <c r="J4335" i="1"/>
  <c r="I4335" i="1"/>
  <c r="H4335" i="1"/>
  <c r="J4333" i="1"/>
  <c r="I4333" i="1"/>
  <c r="H4333" i="1"/>
  <c r="Q4352" i="1"/>
  <c r="S4352" i="1" s="1"/>
  <c r="Q4350" i="1"/>
  <c r="S4350" i="1" s="1"/>
  <c r="Q4348" i="1"/>
  <c r="S4348" i="1" s="1"/>
  <c r="Q4346" i="1"/>
  <c r="R4346" i="1" s="1"/>
  <c r="Q4344" i="1"/>
  <c r="S4344" i="1" s="1"/>
  <c r="Q4342" i="1"/>
  <c r="R4342" i="1" s="1"/>
  <c r="Q4340" i="1"/>
  <c r="S4340" i="1" s="1"/>
  <c r="Q4338" i="1"/>
  <c r="R4338" i="1" s="1"/>
  <c r="Q4336" i="1"/>
  <c r="R4336" i="1" s="1"/>
  <c r="Q4334" i="1"/>
  <c r="R4334" i="1" s="1"/>
  <c r="Q4332" i="1"/>
  <c r="R4332" i="1" s="1"/>
  <c r="O4352" i="1"/>
  <c r="N4352" i="1"/>
  <c r="M4352" i="1"/>
  <c r="M4350" i="1"/>
  <c r="M4348" i="1"/>
  <c r="M4346" i="1"/>
  <c r="M4344" i="1"/>
  <c r="M4342" i="1"/>
  <c r="M4340" i="1"/>
  <c r="M4338" i="1"/>
  <c r="M4336" i="1"/>
  <c r="M4334" i="1"/>
  <c r="M4332" i="1"/>
  <c r="U4343" i="1"/>
  <c r="U4344" i="1"/>
  <c r="U4345" i="1"/>
  <c r="U4346" i="1"/>
  <c r="U4347" i="1"/>
  <c r="U4348" i="1"/>
  <c r="U4349" i="1"/>
  <c r="V4343" i="1"/>
  <c r="V4344" i="1"/>
  <c r="V4345" i="1"/>
  <c r="V4346" i="1"/>
  <c r="V4347" i="1"/>
  <c r="V4348" i="1"/>
  <c r="V4349" i="1"/>
  <c r="U4378" i="1"/>
  <c r="U4379" i="1"/>
  <c r="U4380" i="1"/>
  <c r="U4381" i="1"/>
  <c r="U4382" i="1"/>
  <c r="U4383" i="1"/>
  <c r="V4378" i="1"/>
  <c r="V4379" i="1"/>
  <c r="V4380" i="1"/>
  <c r="V4381" i="1"/>
  <c r="V4382" i="1"/>
  <c r="V4383" i="1"/>
  <c r="U3829" i="1"/>
  <c r="V3829" i="1"/>
  <c r="U3830" i="1"/>
  <c r="V3830" i="1"/>
  <c r="J3814" i="1"/>
  <c r="O3759" i="1"/>
  <c r="N3759" i="1"/>
  <c r="M3759" i="1"/>
  <c r="O3761" i="1"/>
  <c r="N3761" i="1"/>
  <c r="M3761" i="1"/>
  <c r="O3763" i="1"/>
  <c r="N3763" i="1"/>
  <c r="M3763" i="1"/>
  <c r="O3765" i="1"/>
  <c r="N3765" i="1"/>
  <c r="M3765" i="1"/>
  <c r="Q3759" i="1"/>
  <c r="S3759" i="1" s="1"/>
  <c r="Q3761" i="1"/>
  <c r="S3761" i="1" s="1"/>
  <c r="Q3763" i="1"/>
  <c r="R3763" i="1" s="1"/>
  <c r="I3760" i="1"/>
  <c r="I3762" i="1"/>
  <c r="J3760" i="1"/>
  <c r="J3762" i="1"/>
  <c r="J3764" i="1"/>
  <c r="I3764" i="1"/>
  <c r="J3766" i="1"/>
  <c r="I3766" i="1"/>
  <c r="Q1351" i="1"/>
  <c r="U4328" i="1"/>
  <c r="U4329" i="1"/>
  <c r="U4331" i="1"/>
  <c r="U4332" i="1"/>
  <c r="U4333" i="1"/>
  <c r="U4334" i="1"/>
  <c r="U4335" i="1"/>
  <c r="U4336" i="1"/>
  <c r="U4337" i="1"/>
  <c r="U4338" i="1"/>
  <c r="U4339" i="1"/>
  <c r="U4340" i="1"/>
  <c r="U4341" i="1"/>
  <c r="U4342" i="1"/>
  <c r="U4350" i="1"/>
  <c r="U4351" i="1"/>
  <c r="U4352" i="1"/>
  <c r="U4359" i="1"/>
  <c r="U4360" i="1"/>
  <c r="U4361" i="1"/>
  <c r="V4328" i="1"/>
  <c r="V4329" i="1"/>
  <c r="V4330" i="1"/>
  <c r="V4331" i="1"/>
  <c r="V4332" i="1"/>
  <c r="V4333" i="1"/>
  <c r="V4334" i="1"/>
  <c r="V4335" i="1"/>
  <c r="V4336" i="1"/>
  <c r="V4337" i="1"/>
  <c r="V4338" i="1"/>
  <c r="V4339" i="1"/>
  <c r="V4340" i="1"/>
  <c r="V4341" i="1"/>
  <c r="V4342" i="1"/>
  <c r="V4350" i="1"/>
  <c r="V4351" i="1"/>
  <c r="V4352" i="1"/>
  <c r="V4359" i="1"/>
  <c r="U4362" i="1"/>
  <c r="U4363" i="1"/>
  <c r="U4365" i="1"/>
  <c r="U4366" i="1"/>
  <c r="U4367" i="1"/>
  <c r="U4368" i="1"/>
  <c r="U4369" i="1"/>
  <c r="U4370" i="1"/>
  <c r="U4371" i="1"/>
  <c r="U4372" i="1"/>
  <c r="U4373" i="1"/>
  <c r="U4374" i="1"/>
  <c r="U4375" i="1"/>
  <c r="U4376" i="1"/>
  <c r="U4377" i="1"/>
  <c r="U4384" i="1"/>
  <c r="U4385" i="1"/>
  <c r="U4386" i="1"/>
  <c r="U4390" i="1"/>
  <c r="U4391" i="1"/>
  <c r="U4395" i="1"/>
  <c r="V4363" i="1"/>
  <c r="V4364" i="1"/>
  <c r="V4365" i="1"/>
  <c r="V4366" i="1"/>
  <c r="V4367" i="1"/>
  <c r="V4368" i="1"/>
  <c r="V4369" i="1"/>
  <c r="V4370" i="1"/>
  <c r="V4371" i="1"/>
  <c r="V4372" i="1"/>
  <c r="V4373" i="1"/>
  <c r="V4374" i="1"/>
  <c r="V4375" i="1"/>
  <c r="V4376" i="1"/>
  <c r="V4377" i="1"/>
  <c r="V4384" i="1"/>
  <c r="V4385" i="1"/>
  <c r="V4386" i="1"/>
  <c r="V4390" i="1"/>
  <c r="V4391" i="1"/>
  <c r="V4395" i="1"/>
  <c r="J3944" i="1"/>
  <c r="I3944" i="1"/>
  <c r="H3944" i="1"/>
  <c r="Q3943" i="1"/>
  <c r="S3943" i="1" s="1"/>
  <c r="O3943" i="1"/>
  <c r="N3943" i="1"/>
  <c r="M3943" i="1"/>
  <c r="H3951" i="1"/>
  <c r="H3953" i="1"/>
  <c r="Q214" i="1"/>
  <c r="S1351" i="1" l="1"/>
  <c r="R1351" i="1"/>
  <c r="S4366" i="1"/>
  <c r="R4366" i="1"/>
  <c r="S4368" i="1"/>
  <c r="R4368" i="1"/>
  <c r="S4370" i="1"/>
  <c r="R4370" i="1"/>
  <c r="S4372" i="1"/>
  <c r="R4372" i="1"/>
  <c r="S4374" i="1"/>
  <c r="R4374" i="1"/>
  <c r="S4376" i="1"/>
  <c r="R4376" i="1"/>
  <c r="S4378" i="1"/>
  <c r="S4380" i="1"/>
  <c r="S4382" i="1"/>
  <c r="S4384" i="1"/>
  <c r="S4386" i="1"/>
  <c r="R4330" i="1"/>
  <c r="R3" i="1"/>
  <c r="R4348" i="1"/>
  <c r="S4342" i="1"/>
  <c r="S4338" i="1"/>
  <c r="R4340" i="1"/>
  <c r="R4344" i="1"/>
  <c r="S4346" i="1"/>
  <c r="S4334" i="1"/>
  <c r="R4350" i="1"/>
  <c r="S4336" i="1"/>
  <c r="S4332" i="1"/>
  <c r="R4352" i="1"/>
  <c r="R3759" i="1"/>
  <c r="S3763" i="1"/>
  <c r="R3761" i="1"/>
  <c r="R3943" i="1"/>
  <c r="J3946" i="1"/>
  <c r="I3946" i="1"/>
  <c r="H3946" i="1"/>
  <c r="J2778" i="1"/>
  <c r="I2778" i="1"/>
  <c r="H2778" i="1"/>
  <c r="J2780" i="1"/>
  <c r="I2780" i="1"/>
  <c r="H2780" i="1"/>
  <c r="Q2775" i="1"/>
  <c r="R2775" i="1" s="1"/>
  <c r="Q2777" i="1"/>
  <c r="R2777" i="1" s="1"/>
  <c r="Q2779" i="1"/>
  <c r="R2779" i="1" s="1"/>
  <c r="H934" i="1" l="1"/>
  <c r="Q933" i="1"/>
  <c r="S933" i="1" s="1"/>
  <c r="M933" i="1"/>
  <c r="M361" i="1"/>
  <c r="Q361" i="1"/>
  <c r="S361" i="1" s="1"/>
  <c r="Q363" i="1"/>
  <c r="S363" i="1" s="1"/>
  <c r="N2190" i="1"/>
  <c r="N2188" i="1"/>
  <c r="J2189" i="1"/>
  <c r="H2189" i="1"/>
  <c r="V2188" i="1"/>
  <c r="U2188" i="1"/>
  <c r="M2188" i="1"/>
  <c r="Q2188" i="1"/>
  <c r="S2188" i="1" s="1"/>
  <c r="Q1451" i="1"/>
  <c r="R1451" i="1" s="1"/>
  <c r="M1451" i="1"/>
  <c r="M1455" i="1"/>
  <c r="M1457" i="1"/>
  <c r="N3875" i="1"/>
  <c r="M3875" i="1"/>
  <c r="R933" i="1" l="1"/>
  <c r="R361" i="1"/>
  <c r="R363" i="1"/>
  <c r="R2188" i="1"/>
  <c r="J3846" i="1"/>
  <c r="I3846" i="1"/>
  <c r="J3844" i="1"/>
  <c r="I3844" i="1"/>
  <c r="Q3845" i="1"/>
  <c r="O3845" i="1"/>
  <c r="N3845" i="1"/>
  <c r="M3845" i="1"/>
  <c r="O3843" i="1"/>
  <c r="N3843" i="1"/>
  <c r="M3843" i="1"/>
  <c r="Q3851" i="1"/>
  <c r="Q3849" i="1"/>
  <c r="Q3847" i="1"/>
  <c r="O3851" i="1"/>
  <c r="N3851" i="1"/>
  <c r="M3851" i="1"/>
  <c r="O3849" i="1"/>
  <c r="N3849" i="1"/>
  <c r="M3849" i="1"/>
  <c r="O3847" i="1"/>
  <c r="N3847" i="1"/>
  <c r="M3847" i="1"/>
  <c r="J3850" i="1"/>
  <c r="I3850" i="1"/>
  <c r="J3848" i="1"/>
  <c r="I3848" i="1"/>
  <c r="U3851" i="1"/>
  <c r="U3852" i="1"/>
  <c r="U3853" i="1"/>
  <c r="U3854" i="1"/>
  <c r="V3851" i="1"/>
  <c r="V3852" i="1"/>
  <c r="V3853" i="1"/>
  <c r="V3854" i="1"/>
  <c r="O3376" i="1"/>
  <c r="N3376" i="1"/>
  <c r="M3376" i="1"/>
  <c r="J3377" i="1"/>
  <c r="I3377" i="1"/>
  <c r="Q3376" i="1"/>
  <c r="Q2253" i="1"/>
  <c r="J2256" i="1"/>
  <c r="I2256" i="1"/>
  <c r="H2256" i="1"/>
  <c r="O2255" i="1"/>
  <c r="N2255" i="1"/>
  <c r="M2255" i="1"/>
  <c r="V2255" i="1"/>
  <c r="U2255" i="1"/>
  <c r="U4497" i="1"/>
  <c r="V4497" i="1"/>
  <c r="U4498" i="1"/>
  <c r="V4498" i="1"/>
  <c r="U4460" i="1"/>
  <c r="V4460" i="1"/>
  <c r="U4461" i="1"/>
  <c r="V4461" i="1"/>
  <c r="U4442" i="1"/>
  <c r="V4442" i="1"/>
  <c r="U4443" i="1"/>
  <c r="V4443" i="1"/>
  <c r="U4418" i="1"/>
  <c r="V4418" i="1"/>
  <c r="U4419" i="1"/>
  <c r="V4419" i="1"/>
  <c r="U4396" i="1"/>
  <c r="V4396" i="1"/>
  <c r="U4397" i="1"/>
  <c r="V4397" i="1"/>
  <c r="U4296" i="1"/>
  <c r="V4296" i="1"/>
  <c r="U4297" i="1"/>
  <c r="V4297" i="1"/>
  <c r="U933" i="1"/>
  <c r="V933" i="1"/>
  <c r="U934" i="1"/>
  <c r="V934" i="1"/>
  <c r="U4275" i="1"/>
  <c r="V4275" i="1"/>
  <c r="U4276" i="1"/>
  <c r="V4276" i="1"/>
  <c r="U4237" i="1"/>
  <c r="V4237" i="1"/>
  <c r="U4238" i="1"/>
  <c r="V4238" i="1"/>
  <c r="U4171" i="1"/>
  <c r="V4171" i="1"/>
  <c r="U4172" i="1"/>
  <c r="V4172" i="1"/>
  <c r="U4092" i="1"/>
  <c r="V4092" i="1"/>
  <c r="U4093" i="1"/>
  <c r="V4093" i="1"/>
  <c r="U4004" i="1"/>
  <c r="V4004" i="1"/>
  <c r="U4005" i="1"/>
  <c r="V4005" i="1"/>
  <c r="U3976" i="1"/>
  <c r="V3976" i="1"/>
  <c r="U3977" i="1"/>
  <c r="V3977" i="1"/>
  <c r="U3907" i="1"/>
  <c r="V3907" i="1"/>
  <c r="U3908" i="1"/>
  <c r="V3908" i="1"/>
  <c r="U3873" i="1"/>
  <c r="V3873" i="1"/>
  <c r="U3874" i="1"/>
  <c r="V3874" i="1"/>
  <c r="U3855" i="1"/>
  <c r="V3855" i="1"/>
  <c r="U3856" i="1"/>
  <c r="V3856" i="1"/>
  <c r="U3833" i="1"/>
  <c r="V3833" i="1"/>
  <c r="U3834" i="1"/>
  <c r="V3834" i="1"/>
  <c r="U3813" i="1"/>
  <c r="V3813" i="1"/>
  <c r="U3814" i="1"/>
  <c r="V3814" i="1"/>
  <c r="U3783" i="1"/>
  <c r="V3783" i="1"/>
  <c r="U3784" i="1"/>
  <c r="V3784" i="1"/>
  <c r="U3741" i="1"/>
  <c r="V3741" i="1"/>
  <c r="U3742" i="1"/>
  <c r="V3742" i="1"/>
  <c r="U3721" i="1"/>
  <c r="V3721" i="1"/>
  <c r="U3722" i="1"/>
  <c r="V3722" i="1"/>
  <c r="U3692" i="1"/>
  <c r="V3692" i="1"/>
  <c r="U3693" i="1"/>
  <c r="V3693" i="1"/>
  <c r="U3655" i="1"/>
  <c r="V3655" i="1"/>
  <c r="U3656" i="1"/>
  <c r="V3656" i="1"/>
  <c r="U3521" i="1"/>
  <c r="V3521" i="1"/>
  <c r="U3522" i="1"/>
  <c r="V3522" i="1"/>
  <c r="U3487" i="1"/>
  <c r="V3487" i="1"/>
  <c r="U3488" i="1"/>
  <c r="V3488" i="1"/>
  <c r="U3463" i="1"/>
  <c r="V3463" i="1"/>
  <c r="U3464" i="1"/>
  <c r="V3464" i="1"/>
  <c r="U3435" i="1"/>
  <c r="V3435" i="1"/>
  <c r="U3436" i="1"/>
  <c r="V3436" i="1"/>
  <c r="U3399" i="1"/>
  <c r="V3399" i="1"/>
  <c r="U3400" i="1"/>
  <c r="V3400" i="1"/>
  <c r="V3376" i="1"/>
  <c r="U3377" i="1"/>
  <c r="V3377" i="1"/>
  <c r="U3322" i="1"/>
  <c r="V3322" i="1"/>
  <c r="U3323" i="1"/>
  <c r="V3323" i="1"/>
  <c r="U3289" i="1"/>
  <c r="V3289" i="1"/>
  <c r="U3290" i="1"/>
  <c r="V3290" i="1"/>
  <c r="U3253" i="1"/>
  <c r="V3253" i="1"/>
  <c r="U3254" i="1"/>
  <c r="V3254" i="1"/>
  <c r="U3225" i="1"/>
  <c r="V3225" i="1"/>
  <c r="U3226" i="1"/>
  <c r="V3226" i="1"/>
  <c r="U3201" i="1"/>
  <c r="V3201" i="1"/>
  <c r="U3202" i="1"/>
  <c r="V3202" i="1"/>
  <c r="U3178" i="1"/>
  <c r="V3178" i="1"/>
  <c r="U3179" i="1"/>
  <c r="V3179" i="1"/>
  <c r="U3110" i="1"/>
  <c r="V3110" i="1"/>
  <c r="U3111" i="1"/>
  <c r="V3111" i="1"/>
  <c r="U3084" i="1"/>
  <c r="V3084" i="1"/>
  <c r="U3085" i="1"/>
  <c r="V3085" i="1"/>
  <c r="U3045" i="1"/>
  <c r="V3045" i="1"/>
  <c r="U3046" i="1"/>
  <c r="V3046" i="1"/>
  <c r="U2975" i="1"/>
  <c r="V2975" i="1"/>
  <c r="U2976" i="1"/>
  <c r="V2976" i="1"/>
  <c r="U2911" i="1"/>
  <c r="V2911" i="1"/>
  <c r="U2912" i="1"/>
  <c r="V2912" i="1"/>
  <c r="U2817" i="1"/>
  <c r="V2817" i="1"/>
  <c r="U2818" i="1"/>
  <c r="V2818" i="1"/>
  <c r="U2773" i="1"/>
  <c r="V2773" i="1"/>
  <c r="U2774" i="1"/>
  <c r="V2774" i="1"/>
  <c r="V2747" i="1"/>
  <c r="U2748" i="1"/>
  <c r="V2748" i="1"/>
  <c r="U2709" i="1"/>
  <c r="V2709" i="1"/>
  <c r="U2710" i="1"/>
  <c r="V2710" i="1"/>
  <c r="R3376" i="1" l="1"/>
  <c r="U2671" i="1"/>
  <c r="V2671" i="1"/>
  <c r="U2672" i="1"/>
  <c r="V2672" i="1"/>
  <c r="V2636" i="1"/>
  <c r="U2637" i="1"/>
  <c r="V2637" i="1"/>
  <c r="U2600" i="1" l="1"/>
  <c r="V2600" i="1"/>
  <c r="U2601" i="1"/>
  <c r="V2601" i="1"/>
  <c r="U2527" i="1"/>
  <c r="V2527" i="1"/>
  <c r="U2528" i="1"/>
  <c r="V2528" i="1"/>
  <c r="U2450" i="1"/>
  <c r="V2450" i="1"/>
  <c r="U2451" i="1"/>
  <c r="V2451" i="1"/>
  <c r="U2363" i="1"/>
  <c r="V2363" i="1"/>
  <c r="U2364" i="1"/>
  <c r="V2364" i="1"/>
  <c r="U2342" i="1" l="1"/>
  <c r="V2342" i="1"/>
  <c r="U2343" i="1"/>
  <c r="V2343" i="1"/>
  <c r="U2295" i="1"/>
  <c r="V2295" i="1"/>
  <c r="U2296" i="1"/>
  <c r="V2296" i="1"/>
  <c r="U2253" i="1"/>
  <c r="V2253" i="1"/>
  <c r="U2254" i="1"/>
  <c r="V2254" i="1"/>
  <c r="U4515" i="1"/>
  <c r="V4515" i="1"/>
  <c r="U4516" i="1"/>
  <c r="V4516" i="1"/>
  <c r="U2235" i="1"/>
  <c r="V2235" i="1"/>
  <c r="U2236" i="1"/>
  <c r="V2236" i="1"/>
  <c r="U2189" i="1"/>
  <c r="V2189" i="1"/>
  <c r="V2093" i="1"/>
  <c r="U2094" i="1"/>
  <c r="V2094" i="1"/>
  <c r="U2049" i="1"/>
  <c r="V2049" i="1"/>
  <c r="U2050" i="1"/>
  <c r="V2050" i="1"/>
  <c r="U2026" i="1"/>
  <c r="V2026" i="1"/>
  <c r="U2027" i="1"/>
  <c r="V2027" i="1"/>
  <c r="U1992" i="1"/>
  <c r="V1992" i="1"/>
  <c r="U1993" i="1"/>
  <c r="V1993" i="1"/>
  <c r="U1822" i="1"/>
  <c r="V1822" i="1"/>
  <c r="U1823" i="1"/>
  <c r="V1823" i="1"/>
  <c r="V1784" i="1"/>
  <c r="U1785" i="1"/>
  <c r="V1785" i="1"/>
  <c r="U1703" i="1"/>
  <c r="V1703" i="1"/>
  <c r="U1704" i="1"/>
  <c r="V1704" i="1"/>
  <c r="U1679" i="1"/>
  <c r="V1679" i="1"/>
  <c r="U1680" i="1"/>
  <c r="V1680" i="1"/>
  <c r="U1644" i="1"/>
  <c r="V1644" i="1"/>
  <c r="U1645" i="1"/>
  <c r="V1645" i="1"/>
  <c r="U1626" i="1"/>
  <c r="V1626" i="1"/>
  <c r="U1627" i="1"/>
  <c r="V1627" i="1"/>
  <c r="U1590" i="1"/>
  <c r="V1590" i="1"/>
  <c r="U1591" i="1"/>
  <c r="V1591" i="1"/>
  <c r="U1520" i="1"/>
  <c r="V1520" i="1"/>
  <c r="U1521" i="1"/>
  <c r="V1521" i="1"/>
  <c r="U1451" i="1"/>
  <c r="V1451" i="1"/>
  <c r="U1452" i="1"/>
  <c r="V1452" i="1"/>
  <c r="U1415" i="1"/>
  <c r="V1415" i="1"/>
  <c r="U1416" i="1"/>
  <c r="V1416" i="1"/>
  <c r="U1349" i="1"/>
  <c r="V1349" i="1"/>
  <c r="U1350" i="1"/>
  <c r="V1350" i="1"/>
  <c r="U1297" i="1"/>
  <c r="V1297" i="1"/>
  <c r="U1298" i="1"/>
  <c r="V1298" i="1"/>
  <c r="U1229" i="1"/>
  <c r="V1229" i="1"/>
  <c r="U1230" i="1"/>
  <c r="V1230" i="1"/>
  <c r="U1194" i="1"/>
  <c r="V1194" i="1"/>
  <c r="U1195" i="1"/>
  <c r="V1195" i="1"/>
  <c r="U1172" i="1"/>
  <c r="V1172" i="1"/>
  <c r="U1173" i="1"/>
  <c r="V1173" i="1"/>
  <c r="U1103" i="1"/>
  <c r="V1103" i="1"/>
  <c r="U1104" i="1"/>
  <c r="V1104" i="1"/>
  <c r="U1078" i="1"/>
  <c r="V1078" i="1"/>
  <c r="U1079" i="1"/>
  <c r="V1079" i="1"/>
  <c r="U1041" i="1"/>
  <c r="V1041" i="1"/>
  <c r="U1042" i="1"/>
  <c r="V1042" i="1"/>
  <c r="U1007" i="1"/>
  <c r="V1007" i="1"/>
  <c r="U1008" i="1"/>
  <c r="V1008" i="1"/>
  <c r="U979" i="1"/>
  <c r="V979" i="1"/>
  <c r="U980" i="1"/>
  <c r="V980" i="1"/>
  <c r="U759" i="1"/>
  <c r="V759" i="1"/>
  <c r="U760" i="1"/>
  <c r="V760" i="1"/>
  <c r="U701" i="1"/>
  <c r="V701" i="1"/>
  <c r="U702" i="1"/>
  <c r="V702" i="1"/>
  <c r="U654" i="1"/>
  <c r="V654" i="1"/>
  <c r="U655" i="1"/>
  <c r="V655" i="1"/>
  <c r="U725" i="1"/>
  <c r="V725" i="1"/>
  <c r="U726" i="1"/>
  <c r="V726" i="1"/>
  <c r="U630" i="1"/>
  <c r="V630" i="1"/>
  <c r="U631" i="1"/>
  <c r="V631" i="1"/>
  <c r="H4399" i="1" l="1"/>
  <c r="J4401" i="1"/>
  <c r="I4401" i="1"/>
  <c r="H4401" i="1"/>
  <c r="O4400" i="1"/>
  <c r="N4400" i="1"/>
  <c r="M4400" i="1"/>
  <c r="Q4398" i="1"/>
  <c r="Q4400" i="1"/>
  <c r="S4400" i="1" s="1"/>
  <c r="O1196" i="1"/>
  <c r="N1196" i="1"/>
  <c r="M1196" i="1"/>
  <c r="J1197" i="1"/>
  <c r="I1197" i="1"/>
  <c r="Q1196" i="1"/>
  <c r="R1196" i="1" s="1"/>
  <c r="R4398" i="1" l="1"/>
  <c r="S4398" i="1"/>
  <c r="R4400" i="1"/>
  <c r="Q4444" i="1"/>
  <c r="S4444" i="1" s="1"/>
  <c r="O4444" i="1"/>
  <c r="N4444" i="1"/>
  <c r="M4444" i="1"/>
  <c r="J4445" i="1"/>
  <c r="I4445" i="1"/>
  <c r="H4445" i="1"/>
  <c r="Q3843" i="1"/>
  <c r="Q3841" i="1"/>
  <c r="Q3835" i="1"/>
  <c r="Q3837" i="1"/>
  <c r="O1176" i="1"/>
  <c r="N1176" i="1"/>
  <c r="M1176" i="1"/>
  <c r="O1178" i="1"/>
  <c r="N1178" i="1"/>
  <c r="M1178" i="1"/>
  <c r="J3836" i="1"/>
  <c r="I3836" i="1"/>
  <c r="H3836" i="1"/>
  <c r="J3838" i="1"/>
  <c r="I3838" i="1"/>
  <c r="J3840" i="1"/>
  <c r="I3840" i="1"/>
  <c r="J3842" i="1"/>
  <c r="I3842" i="1"/>
  <c r="H3695" i="1"/>
  <c r="M3694" i="1"/>
  <c r="J3695" i="1"/>
  <c r="I3695" i="1"/>
  <c r="V3697" i="1"/>
  <c r="U3697" i="1"/>
  <c r="V3696" i="1"/>
  <c r="U3696" i="1"/>
  <c r="V3695" i="1"/>
  <c r="U3695" i="1"/>
  <c r="V3694" i="1"/>
  <c r="U3694" i="1"/>
  <c r="Q3694" i="1"/>
  <c r="R3694" i="1" s="1"/>
  <c r="Q3696" i="1"/>
  <c r="S3696" i="1" s="1"/>
  <c r="O3694" i="1"/>
  <c r="N3694" i="1"/>
  <c r="O3696" i="1"/>
  <c r="N3696" i="1"/>
  <c r="M3696" i="1"/>
  <c r="J3697" i="1"/>
  <c r="I3697" i="1"/>
  <c r="H3697" i="1"/>
  <c r="J3658" i="1"/>
  <c r="I3658" i="1"/>
  <c r="H3658" i="1"/>
  <c r="J3660" i="1"/>
  <c r="I3660" i="1"/>
  <c r="H3660" i="1"/>
  <c r="U3658" i="1"/>
  <c r="U3657" i="1"/>
  <c r="Q3657" i="1"/>
  <c r="S3657" i="1" s="1"/>
  <c r="U3660" i="1"/>
  <c r="U3659" i="1"/>
  <c r="Q3659" i="1"/>
  <c r="S3659" i="1" s="1"/>
  <c r="O3657" i="1"/>
  <c r="N3657" i="1"/>
  <c r="M3657" i="1"/>
  <c r="O3659" i="1"/>
  <c r="N3659" i="1"/>
  <c r="M3659" i="1"/>
  <c r="U1621" i="1"/>
  <c r="U1622" i="1"/>
  <c r="V1621" i="1"/>
  <c r="V1622" i="1"/>
  <c r="U1623" i="1"/>
  <c r="V1623" i="1"/>
  <c r="O555" i="1"/>
  <c r="N555" i="1"/>
  <c r="M555" i="1"/>
  <c r="O557" i="1"/>
  <c r="N557" i="1"/>
  <c r="M557" i="1"/>
  <c r="J556" i="1"/>
  <c r="I556" i="1"/>
  <c r="Q555" i="1"/>
  <c r="J558" i="1"/>
  <c r="I558" i="1"/>
  <c r="H558" i="1"/>
  <c r="V59" i="43"/>
  <c r="L59" i="43"/>
  <c r="J1010" i="1"/>
  <c r="H1010" i="1"/>
  <c r="O1009" i="1"/>
  <c r="N1009" i="1"/>
  <c r="M1009" i="1"/>
  <c r="R4444" i="1" l="1"/>
  <c r="R3696" i="1"/>
  <c r="S3694" i="1"/>
  <c r="R3657" i="1"/>
  <c r="R3659" i="1"/>
  <c r="R555" i="1"/>
  <c r="U3233" i="1"/>
  <c r="J3355" i="1"/>
  <c r="I3355" i="1"/>
  <c r="H3355" i="1"/>
  <c r="J3357" i="1"/>
  <c r="I3357" i="1"/>
  <c r="H3357" i="1"/>
  <c r="U2175" i="1"/>
  <c r="U2176" i="1"/>
  <c r="U2177" i="1"/>
  <c r="U2178" i="1"/>
  <c r="U2179" i="1"/>
  <c r="U2180" i="1"/>
  <c r="U2181" i="1"/>
  <c r="U2182" i="1"/>
  <c r="U2183" i="1"/>
  <c r="U2184" i="1"/>
  <c r="V2175" i="1"/>
  <c r="V2176" i="1"/>
  <c r="V2177" i="1"/>
  <c r="V2178" i="1"/>
  <c r="V2179" i="1"/>
  <c r="V2180" i="1"/>
  <c r="V2181" i="1"/>
  <c r="V2182" i="1"/>
  <c r="V2183" i="1"/>
  <c r="V2184" i="1"/>
  <c r="U3357" i="1"/>
  <c r="U3356" i="1"/>
  <c r="U3355" i="1"/>
  <c r="U3354" i="1"/>
  <c r="U3353" i="1"/>
  <c r="U3352" i="1"/>
  <c r="U3351" i="1"/>
  <c r="U3350" i="1"/>
  <c r="Q3356" i="1"/>
  <c r="S3356" i="1" s="1"/>
  <c r="Q3354" i="1"/>
  <c r="Q3352" i="1"/>
  <c r="S3352" i="1" s="1"/>
  <c r="Q3350" i="1"/>
  <c r="S3350" i="1" s="1"/>
  <c r="N3354" i="1"/>
  <c r="O3356" i="1"/>
  <c r="N3356" i="1"/>
  <c r="M3356" i="1"/>
  <c r="O3354" i="1"/>
  <c r="M3354" i="1"/>
  <c r="S3354" i="1" l="1"/>
  <c r="R3354" i="1"/>
  <c r="R3350" i="1"/>
  <c r="R3352" i="1"/>
  <c r="R3356" i="1"/>
  <c r="V3350" i="1"/>
  <c r="V3351" i="1"/>
  <c r="Q1176" i="1"/>
  <c r="R1176" i="1" s="1"/>
  <c r="Q1174" i="1"/>
  <c r="R1174" i="1" s="1"/>
  <c r="J1177" i="1"/>
  <c r="I1177" i="1"/>
  <c r="U596" i="1"/>
  <c r="V596" i="1"/>
  <c r="U597" i="1"/>
  <c r="V597" i="1"/>
  <c r="U553" i="1"/>
  <c r="V553" i="1"/>
  <c r="U554" i="1"/>
  <c r="V554" i="1"/>
  <c r="U453" i="1"/>
  <c r="V453" i="1"/>
  <c r="U454" i="1"/>
  <c r="V454" i="1"/>
  <c r="U403" i="1"/>
  <c r="V403" i="1"/>
  <c r="U404" i="1"/>
  <c r="V404" i="1"/>
  <c r="U357" i="1"/>
  <c r="V357" i="1"/>
  <c r="U358" i="1"/>
  <c r="V358" i="1"/>
  <c r="V327" i="1"/>
  <c r="U328" i="1"/>
  <c r="V328" i="1"/>
  <c r="U240" i="1"/>
  <c r="V240" i="1"/>
  <c r="U241" i="1"/>
  <c r="V241" i="1"/>
  <c r="V212" i="1"/>
  <c r="U213" i="1"/>
  <c r="V213" i="1"/>
  <c r="U143" i="1"/>
  <c r="V143" i="1"/>
  <c r="U144" i="1"/>
  <c r="V144" i="1"/>
  <c r="U53" i="1"/>
  <c r="V53" i="1"/>
  <c r="U54" i="1"/>
  <c r="V54" i="1"/>
  <c r="V3" i="1"/>
  <c r="U4" i="1"/>
  <c r="V4" i="1"/>
  <c r="Q4474" i="1"/>
  <c r="Q4478" i="1"/>
  <c r="J4481" i="1"/>
  <c r="I4481" i="1"/>
  <c r="H4481" i="1"/>
  <c r="V4481" i="1"/>
  <c r="U4481" i="1"/>
  <c r="V4480" i="1"/>
  <c r="U4480" i="1"/>
  <c r="Q4480" i="1"/>
  <c r="S4480" i="1" s="1"/>
  <c r="O4480" i="1"/>
  <c r="N4480" i="1"/>
  <c r="M4480" i="1"/>
  <c r="U4478" i="1"/>
  <c r="V4478" i="1"/>
  <c r="Q3743" i="1"/>
  <c r="Q632" i="1"/>
  <c r="U624" i="1"/>
  <c r="U622" i="1"/>
  <c r="V616" i="1"/>
  <c r="V614" i="1"/>
  <c r="V612" i="1"/>
  <c r="V610" i="1"/>
  <c r="V609" i="1"/>
  <c r="V611" i="1"/>
  <c r="V613" i="1"/>
  <c r="V615" i="1"/>
  <c r="J625" i="1"/>
  <c r="I625" i="1"/>
  <c r="H625" i="1"/>
  <c r="J623" i="1"/>
  <c r="I623" i="1"/>
  <c r="H623" i="1"/>
  <c r="J621" i="1"/>
  <c r="I621" i="1"/>
  <c r="M624" i="1"/>
  <c r="Q624" i="1"/>
  <c r="S624" i="1" s="1"/>
  <c r="Q622" i="1"/>
  <c r="S622" i="1" s="1"/>
  <c r="M622" i="1"/>
  <c r="Q620" i="1"/>
  <c r="Q618" i="1"/>
  <c r="R618" i="1" s="1"/>
  <c r="M620" i="1"/>
  <c r="M618" i="1"/>
  <c r="J619" i="1"/>
  <c r="I619" i="1"/>
  <c r="J617" i="1"/>
  <c r="I617" i="1"/>
  <c r="V139" i="43"/>
  <c r="N423" i="1"/>
  <c r="N3112" i="1"/>
  <c r="M3112" i="1"/>
  <c r="U4561" i="1"/>
  <c r="V4561" i="1"/>
  <c r="U2149" i="1"/>
  <c r="V2149" i="1"/>
  <c r="J2173" i="1"/>
  <c r="I2173" i="1"/>
  <c r="H2173" i="1"/>
  <c r="J2171" i="1"/>
  <c r="I2171" i="1"/>
  <c r="H2171" i="1"/>
  <c r="J2169" i="1"/>
  <c r="I2169" i="1"/>
  <c r="H2169" i="1"/>
  <c r="Q2174" i="1"/>
  <c r="S2174" i="1" s="1"/>
  <c r="Q2172" i="1"/>
  <c r="S2172" i="1" s="1"/>
  <c r="Q2170" i="1"/>
  <c r="S2170" i="1" s="1"/>
  <c r="O2174" i="1"/>
  <c r="N2174" i="1"/>
  <c r="M2174" i="1"/>
  <c r="O2172" i="1"/>
  <c r="N2172" i="1"/>
  <c r="M2172" i="1"/>
  <c r="O2170" i="1"/>
  <c r="N2170" i="1"/>
  <c r="M2170" i="1"/>
  <c r="U2186" i="1"/>
  <c r="V2186" i="1"/>
  <c r="U2169" i="1"/>
  <c r="U2170" i="1"/>
  <c r="U2171" i="1"/>
  <c r="U2172" i="1"/>
  <c r="V2169" i="1"/>
  <c r="V2170" i="1"/>
  <c r="V2171" i="1"/>
  <c r="V2172" i="1"/>
  <c r="U2173" i="1"/>
  <c r="U2174" i="1"/>
  <c r="V2173" i="1"/>
  <c r="V2174" i="1"/>
  <c r="V4006" i="1"/>
  <c r="O4006" i="1"/>
  <c r="N4006" i="1"/>
  <c r="M4006" i="1"/>
  <c r="J4007" i="1"/>
  <c r="I4007" i="1"/>
  <c r="H4007" i="1"/>
  <c r="U4008" i="1"/>
  <c r="O4008" i="1"/>
  <c r="N4008" i="1"/>
  <c r="M4008" i="1"/>
  <c r="J4009" i="1"/>
  <c r="I4009" i="1"/>
  <c r="H4009" i="1"/>
  <c r="Q4006" i="1"/>
  <c r="R4006" i="1" s="1"/>
  <c r="Q4008" i="1"/>
  <c r="R4008" i="1" s="1"/>
  <c r="M2168" i="1"/>
  <c r="M2166" i="1"/>
  <c r="Q2168" i="1"/>
  <c r="S2168" i="1" s="1"/>
  <c r="Q2166" i="1"/>
  <c r="S2166" i="1" s="1"/>
  <c r="H2167" i="1"/>
  <c r="H2165" i="1"/>
  <c r="O2168" i="1"/>
  <c r="N2168" i="1"/>
  <c r="O2166" i="1"/>
  <c r="N2166" i="1"/>
  <c r="J2167" i="1"/>
  <c r="I2167" i="1"/>
  <c r="J2165" i="1"/>
  <c r="I2165" i="1"/>
  <c r="Q3255" i="1"/>
  <c r="S3255" i="1" s="1"/>
  <c r="N626" i="1"/>
  <c r="M626" i="1"/>
  <c r="Q626" i="1"/>
  <c r="R626" i="1" s="1"/>
  <c r="J4510" i="1"/>
  <c r="I4510" i="1"/>
  <c r="H4510" i="1"/>
  <c r="J4508" i="1"/>
  <c r="I4508" i="1"/>
  <c r="H4508" i="1"/>
  <c r="J4506" i="1"/>
  <c r="I4506" i="1"/>
  <c r="H4506" i="1"/>
  <c r="J4504" i="1"/>
  <c r="I4504" i="1"/>
  <c r="H4504" i="1"/>
  <c r="J4502" i="1"/>
  <c r="I4502" i="1"/>
  <c r="H4502" i="1"/>
  <c r="J4500" i="1"/>
  <c r="I4500" i="1"/>
  <c r="H4500" i="1"/>
  <c r="Q4501" i="1"/>
  <c r="S4501" i="1" s="1"/>
  <c r="Q4499" i="1"/>
  <c r="S4499" i="1" s="1"/>
  <c r="O4501" i="1"/>
  <c r="N4501" i="1"/>
  <c r="M4501" i="1"/>
  <c r="O4499" i="1"/>
  <c r="N4499" i="1"/>
  <c r="M4499" i="1"/>
  <c r="J3752" i="1"/>
  <c r="I3752" i="1"/>
  <c r="H3752" i="1"/>
  <c r="J3750" i="1"/>
  <c r="I3750" i="1"/>
  <c r="H3750" i="1"/>
  <c r="J3748" i="1"/>
  <c r="I3748" i="1"/>
  <c r="H3748" i="1"/>
  <c r="J3746" i="1"/>
  <c r="I3746" i="1"/>
  <c r="H3746" i="1"/>
  <c r="J3705" i="1"/>
  <c r="I3705" i="1"/>
  <c r="H3705" i="1"/>
  <c r="J3703" i="1"/>
  <c r="I3703" i="1"/>
  <c r="H3703" i="1"/>
  <c r="J3701" i="1"/>
  <c r="I3701" i="1"/>
  <c r="H3701" i="1"/>
  <c r="J3699" i="1"/>
  <c r="I3699" i="1"/>
  <c r="H3699" i="1"/>
  <c r="O1082" i="1"/>
  <c r="N1082" i="1"/>
  <c r="M1082" i="1"/>
  <c r="N3637" i="1"/>
  <c r="O3637" i="1"/>
  <c r="N3639" i="1"/>
  <c r="U3637" i="1"/>
  <c r="V3637" i="1"/>
  <c r="M3637" i="1"/>
  <c r="M3639" i="1"/>
  <c r="M3641" i="1"/>
  <c r="J3638" i="1"/>
  <c r="I3638" i="1"/>
  <c r="H3638" i="1"/>
  <c r="U3759" i="1"/>
  <c r="V3759" i="1"/>
  <c r="U3760" i="1"/>
  <c r="V3760" i="1"/>
  <c r="Q254" i="1"/>
  <c r="R254" i="1" s="1"/>
  <c r="Q252" i="1"/>
  <c r="R252" i="1" s="1"/>
  <c r="M242" i="1"/>
  <c r="O254" i="1"/>
  <c r="M254" i="1"/>
  <c r="O252" i="1"/>
  <c r="N252" i="1"/>
  <c r="M252" i="1"/>
  <c r="O250" i="1"/>
  <c r="N250" i="1"/>
  <c r="Q244" i="1"/>
  <c r="Q246" i="1"/>
  <c r="Q248" i="1"/>
  <c r="R248" i="1" s="1"/>
  <c r="Q250" i="1"/>
  <c r="R250" i="1" s="1"/>
  <c r="Q262" i="1"/>
  <c r="R262" i="1" s="1"/>
  <c r="Q242" i="1"/>
  <c r="S242" i="1" s="1"/>
  <c r="J253" i="1"/>
  <c r="I253" i="1"/>
  <c r="J251" i="1"/>
  <c r="I251" i="1"/>
  <c r="J249" i="1"/>
  <c r="I249" i="1"/>
  <c r="J247" i="1"/>
  <c r="I247" i="1"/>
  <c r="M248" i="1"/>
  <c r="J243" i="1"/>
  <c r="I243" i="1"/>
  <c r="N246" i="1"/>
  <c r="N244" i="1"/>
  <c r="N242" i="1"/>
  <c r="O246" i="1"/>
  <c r="O244" i="1"/>
  <c r="O242" i="1"/>
  <c r="U247" i="1"/>
  <c r="U246" i="1"/>
  <c r="U245" i="1"/>
  <c r="U244" i="1"/>
  <c r="U243" i="1"/>
  <c r="U242" i="1"/>
  <c r="Q224" i="1"/>
  <c r="R224" i="1" s="1"/>
  <c r="U238" i="1"/>
  <c r="V238" i="1"/>
  <c r="U253" i="1"/>
  <c r="U254" i="1"/>
  <c r="U255" i="1"/>
  <c r="U256" i="1"/>
  <c r="U257" i="1"/>
  <c r="U258" i="1"/>
  <c r="U259" i="1"/>
  <c r="U260" i="1"/>
  <c r="U261" i="1"/>
  <c r="U262" i="1"/>
  <c r="U263" i="1"/>
  <c r="U264" i="1"/>
  <c r="V253" i="1"/>
  <c r="V254" i="1"/>
  <c r="V255" i="1"/>
  <c r="V256" i="1"/>
  <c r="V257" i="1"/>
  <c r="V258" i="1"/>
  <c r="V259" i="1"/>
  <c r="V260" i="1"/>
  <c r="V261" i="1"/>
  <c r="V262" i="1"/>
  <c r="V263" i="1"/>
  <c r="V264" i="1"/>
  <c r="M246" i="1"/>
  <c r="M244" i="1"/>
  <c r="J245" i="1"/>
  <c r="I245" i="1"/>
  <c r="U248" i="1"/>
  <c r="U249" i="1"/>
  <c r="U250" i="1"/>
  <c r="U251" i="1"/>
  <c r="U252" i="1"/>
  <c r="U265" i="1"/>
  <c r="U267" i="1"/>
  <c r="U268" i="1"/>
  <c r="V242" i="1"/>
  <c r="V243" i="1"/>
  <c r="V244" i="1"/>
  <c r="V245" i="1"/>
  <c r="V246" i="1"/>
  <c r="V247" i="1"/>
  <c r="V248" i="1"/>
  <c r="V249" i="1"/>
  <c r="V250" i="1"/>
  <c r="V251" i="1"/>
  <c r="V252" i="1"/>
  <c r="V265" i="1"/>
  <c r="V267" i="1"/>
  <c r="V268" i="1"/>
  <c r="U4135" i="1"/>
  <c r="V4135" i="1"/>
  <c r="U3781" i="1"/>
  <c r="V3781" i="1"/>
  <c r="U3397" i="1"/>
  <c r="V3397" i="1"/>
  <c r="U3200" i="1"/>
  <c r="V3200" i="1"/>
  <c r="U3136" i="1"/>
  <c r="V3136" i="1"/>
  <c r="U3009" i="1"/>
  <c r="V3009" i="1"/>
  <c r="U3010" i="1"/>
  <c r="V3010" i="1"/>
  <c r="U3011" i="1"/>
  <c r="V3011" i="1"/>
  <c r="U2361" i="1"/>
  <c r="V2361" i="1"/>
  <c r="U2217" i="1"/>
  <c r="V2217" i="1"/>
  <c r="U2068" i="1"/>
  <c r="V2068" i="1"/>
  <c r="U2069" i="1"/>
  <c r="V2069" i="1"/>
  <c r="U1677" i="1"/>
  <c r="V1677" i="1"/>
  <c r="U1492" i="1"/>
  <c r="V1492" i="1"/>
  <c r="U1075" i="1"/>
  <c r="V1075" i="1"/>
  <c r="U1076" i="1"/>
  <c r="V1076" i="1"/>
  <c r="U237" i="1"/>
  <c r="V237" i="1"/>
  <c r="U33" i="1"/>
  <c r="V33" i="1"/>
  <c r="O717" i="1"/>
  <c r="O715" i="1"/>
  <c r="O713" i="1"/>
  <c r="O711" i="1"/>
  <c r="O709" i="1"/>
  <c r="O707" i="1"/>
  <c r="O705" i="1"/>
  <c r="O703" i="1"/>
  <c r="J720" i="1"/>
  <c r="I720" i="1"/>
  <c r="J704" i="1"/>
  <c r="I704" i="1"/>
  <c r="J706" i="1"/>
  <c r="I706" i="1"/>
  <c r="J708" i="1"/>
  <c r="J710" i="1"/>
  <c r="J712" i="1"/>
  <c r="J714" i="1"/>
  <c r="J716" i="1"/>
  <c r="J718" i="1"/>
  <c r="Q703" i="1"/>
  <c r="R703" i="1" s="1"/>
  <c r="M703" i="1"/>
  <c r="Q705" i="1"/>
  <c r="R705" i="1" s="1"/>
  <c r="N705" i="1"/>
  <c r="M705" i="1"/>
  <c r="O23" i="1"/>
  <c r="O39" i="1"/>
  <c r="O41" i="1"/>
  <c r="O43" i="1"/>
  <c r="O45" i="1"/>
  <c r="O47" i="1"/>
  <c r="O49" i="1"/>
  <c r="O55" i="1"/>
  <c r="O58" i="1"/>
  <c r="O61" i="1"/>
  <c r="O67" i="1"/>
  <c r="O70" i="1"/>
  <c r="O73" i="1"/>
  <c r="O79" i="1"/>
  <c r="O82" i="1"/>
  <c r="O101" i="1"/>
  <c r="O103" i="1"/>
  <c r="O105" i="1"/>
  <c r="O107" i="1"/>
  <c r="O109" i="1"/>
  <c r="O111" i="1"/>
  <c r="O113" i="1"/>
  <c r="O115" i="1"/>
  <c r="O129" i="1"/>
  <c r="O131" i="1"/>
  <c r="O133" i="1"/>
  <c r="O135" i="1"/>
  <c r="O137" i="1"/>
  <c r="O139" i="1"/>
  <c r="O147" i="1"/>
  <c r="O149" i="1"/>
  <c r="O151" i="1"/>
  <c r="O153" i="1"/>
  <c r="O157" i="1"/>
  <c r="O159" i="1"/>
  <c r="O161" i="1"/>
  <c r="O163" i="1"/>
  <c r="O167" i="1"/>
  <c r="O230" i="1"/>
  <c r="O303" i="1"/>
  <c r="O305" i="1"/>
  <c r="O307" i="1"/>
  <c r="O309" i="1"/>
  <c r="O315" i="1"/>
  <c r="O317" i="1"/>
  <c r="O319" i="1"/>
  <c r="O321" i="1"/>
  <c r="O323" i="1"/>
  <c r="O353" i="1"/>
  <c r="O383" i="1"/>
  <c r="O385" i="1"/>
  <c r="O387" i="1"/>
  <c r="O389" i="1"/>
  <c r="O409" i="1"/>
  <c r="O411" i="1"/>
  <c r="O413" i="1"/>
  <c r="O415" i="1"/>
  <c r="O417" i="1"/>
  <c r="O419" i="1"/>
  <c r="O421" i="1"/>
  <c r="O423" i="1"/>
  <c r="O433" i="1"/>
  <c r="O437" i="1"/>
  <c r="O439" i="1"/>
  <c r="O441" i="1"/>
  <c r="O443" i="1"/>
  <c r="O457" i="1"/>
  <c r="O459" i="1"/>
  <c r="O461" i="1"/>
  <c r="O465" i="1"/>
  <c r="O467" i="1"/>
  <c r="O469" i="1"/>
  <c r="O471" i="1"/>
  <c r="O473" i="1"/>
  <c r="O479" i="1"/>
  <c r="O481" i="1"/>
  <c r="O485" i="1"/>
  <c r="O487" i="1"/>
  <c r="O489" i="1"/>
  <c r="O491" i="1"/>
  <c r="O493" i="1"/>
  <c r="O495" i="1"/>
  <c r="O497" i="1"/>
  <c r="O499" i="1"/>
  <c r="O501" i="1"/>
  <c r="O505" i="1"/>
  <c r="O507" i="1"/>
  <c r="O509" i="1"/>
  <c r="O511" i="1"/>
  <c r="O513" i="1"/>
  <c r="O515" i="1"/>
  <c r="O517" i="1"/>
  <c r="O519" i="1"/>
  <c r="O521" i="1"/>
  <c r="O527" i="1"/>
  <c r="O529" i="1"/>
  <c r="O531" i="1"/>
  <c r="O533" i="1"/>
  <c r="O535" i="1"/>
  <c r="O537" i="1"/>
  <c r="O539" i="1"/>
  <c r="O541" i="1"/>
  <c r="O543" i="1"/>
  <c r="O545" i="1"/>
  <c r="O547" i="1"/>
  <c r="O549" i="1"/>
  <c r="O559" i="1"/>
  <c r="O561" i="1"/>
  <c r="O563" i="1"/>
  <c r="O565" i="1"/>
  <c r="O567" i="1"/>
  <c r="O569" i="1"/>
  <c r="O571" i="1"/>
  <c r="O573" i="1"/>
  <c r="O580" i="1"/>
  <c r="O582" i="1"/>
  <c r="O584" i="1"/>
  <c r="O586" i="1"/>
  <c r="O588" i="1"/>
  <c r="O634" i="1"/>
  <c r="O636" i="1"/>
  <c r="O638" i="1"/>
  <c r="O640" i="1"/>
  <c r="O642" i="1"/>
  <c r="O644" i="1"/>
  <c r="O646" i="1"/>
  <c r="O648" i="1"/>
  <c r="O650" i="1"/>
  <c r="O676" i="1"/>
  <c r="O719" i="1"/>
  <c r="O727" i="1"/>
  <c r="O729" i="1"/>
  <c r="O731" i="1"/>
  <c r="O733" i="1"/>
  <c r="O735" i="1"/>
  <c r="O737" i="1"/>
  <c r="O739" i="1"/>
  <c r="O741" i="1"/>
  <c r="O743" i="1"/>
  <c r="O745" i="1"/>
  <c r="O813" i="1"/>
  <c r="O815" i="1"/>
  <c r="O817" i="1"/>
  <c r="O819" i="1"/>
  <c r="O833" i="1"/>
  <c r="O835" i="1"/>
  <c r="O837" i="1"/>
  <c r="O839" i="1"/>
  <c r="O841" i="1"/>
  <c r="O843" i="1"/>
  <c r="O845" i="1"/>
  <c r="O847" i="1"/>
  <c r="O855" i="1"/>
  <c r="O857" i="1"/>
  <c r="O859" i="1"/>
  <c r="O861" i="1"/>
  <c r="O875" i="1"/>
  <c r="O877" i="1"/>
  <c r="O965" i="1"/>
  <c r="O967" i="1"/>
  <c r="O969" i="1"/>
  <c r="O971" i="1"/>
  <c r="O973" i="1"/>
  <c r="O975" i="1"/>
  <c r="O985" i="1"/>
  <c r="O987" i="1"/>
  <c r="O1011" i="1"/>
  <c r="O1013" i="1"/>
  <c r="O1015" i="1"/>
  <c r="O1017" i="1"/>
  <c r="O1019" i="1"/>
  <c r="O1021" i="1"/>
  <c r="O1027" i="1"/>
  <c r="O1029" i="1"/>
  <c r="O1031" i="1"/>
  <c r="O1045" i="1"/>
  <c r="O1047" i="1"/>
  <c r="O1049" i="1"/>
  <c r="O1051" i="1"/>
  <c r="O1053" i="1"/>
  <c r="O1055" i="1"/>
  <c r="O1057" i="1"/>
  <c r="O1059" i="1"/>
  <c r="O1061" i="1"/>
  <c r="O1063" i="1"/>
  <c r="O1065" i="1"/>
  <c r="O1067" i="1"/>
  <c r="O1069" i="1"/>
  <c r="O1071" i="1"/>
  <c r="O1073" i="1"/>
  <c r="O1086" i="1"/>
  <c r="O1088" i="1"/>
  <c r="O1090" i="1"/>
  <c r="O1092" i="1"/>
  <c r="O1094" i="1"/>
  <c r="O1096" i="1"/>
  <c r="O1098" i="1"/>
  <c r="O1133" i="1"/>
  <c r="O1180" i="1"/>
  <c r="O1182" i="1"/>
  <c r="O1184" i="1"/>
  <c r="O1186" i="1"/>
  <c r="O1188" i="1"/>
  <c r="O1198" i="1"/>
  <c r="O1200" i="1"/>
  <c r="O1202" i="1"/>
  <c r="O1204" i="1"/>
  <c r="O1206" i="1"/>
  <c r="O1208" i="1"/>
  <c r="O1210" i="1"/>
  <c r="O1212" i="1"/>
  <c r="O1214" i="1"/>
  <c r="O1216" i="1"/>
  <c r="O1218" i="1"/>
  <c r="O1220" i="1"/>
  <c r="O1233" i="1"/>
  <c r="O1235" i="1"/>
  <c r="O1237" i="1"/>
  <c r="O1239" i="1"/>
  <c r="O1241" i="1"/>
  <c r="O1243" i="1"/>
  <c r="O1256" i="1"/>
  <c r="O1258" i="1"/>
  <c r="O1260" i="1"/>
  <c r="O1262" i="1"/>
  <c r="O1264" i="1"/>
  <c r="O1277" i="1"/>
  <c r="O1279" i="1"/>
  <c r="O1281" i="1"/>
  <c r="O1285" i="1"/>
  <c r="O1287" i="1"/>
  <c r="O1289" i="1"/>
  <c r="O1303" i="1"/>
  <c r="O1305" i="1"/>
  <c r="O1307" i="1"/>
  <c r="O1309" i="1"/>
  <c r="O1311" i="1"/>
  <c r="O1313" i="1"/>
  <c r="O1315" i="1"/>
  <c r="O1317" i="1"/>
  <c r="O1319" i="1"/>
  <c r="O1321" i="1"/>
  <c r="O1323" i="1"/>
  <c r="O1325" i="1"/>
  <c r="O1327" i="1"/>
  <c r="O1335" i="1"/>
  <c r="O1337" i="1"/>
  <c r="O1339" i="1"/>
  <c r="O1341" i="1"/>
  <c r="O1353" i="1"/>
  <c r="O1355" i="1"/>
  <c r="O1357" i="1"/>
  <c r="O1359" i="1"/>
  <c r="O1361" i="1"/>
  <c r="O1363" i="1"/>
  <c r="O1365" i="1"/>
  <c r="O1367" i="1"/>
  <c r="O1369" i="1"/>
  <c r="O1387" i="1"/>
  <c r="O1389" i="1"/>
  <c r="O1391" i="1"/>
  <c r="O1393" i="1"/>
  <c r="O1395" i="1"/>
  <c r="O1397" i="1"/>
  <c r="O1399" i="1"/>
  <c r="O1405" i="1"/>
  <c r="O1522" i="1"/>
  <c r="O1524" i="1"/>
  <c r="O1526" i="1"/>
  <c r="O1528" i="1"/>
  <c r="O1530" i="1"/>
  <c r="O1532" i="1"/>
  <c r="O1534" i="1"/>
  <c r="O1536" i="1"/>
  <c r="O1538" i="1"/>
  <c r="O1540" i="1"/>
  <c r="O1592" i="1"/>
  <c r="O1594" i="1"/>
  <c r="O1596" i="1"/>
  <c r="O1598" i="1"/>
  <c r="O1600" i="1"/>
  <c r="O1648" i="1"/>
  <c r="O1650" i="1"/>
  <c r="O1652" i="1"/>
  <c r="O1654" i="1"/>
  <c r="O1656" i="1"/>
  <c r="O1658" i="1"/>
  <c r="O1660" i="1"/>
  <c r="O1662" i="1"/>
  <c r="O1664" i="1"/>
  <c r="O1666" i="1"/>
  <c r="O1668" i="1"/>
  <c r="O1670" i="1"/>
  <c r="O1685" i="1"/>
  <c r="O1687" i="1"/>
  <c r="O1689" i="1"/>
  <c r="O1691" i="1"/>
  <c r="O1693" i="1"/>
  <c r="O1695" i="1"/>
  <c r="O1697" i="1"/>
  <c r="O1699" i="1"/>
  <c r="O1765" i="1"/>
  <c r="O1767" i="1"/>
  <c r="O1769" i="1"/>
  <c r="O1771" i="1"/>
  <c r="O1773" i="1"/>
  <c r="O1775" i="1"/>
  <c r="O1777" i="1"/>
  <c r="O1779" i="1"/>
  <c r="O1824" i="1"/>
  <c r="O1826" i="1"/>
  <c r="O1830" i="1"/>
  <c r="O1832" i="1"/>
  <c r="O1834" i="1"/>
  <c r="O1996" i="1"/>
  <c r="O1998" i="1"/>
  <c r="O2000" i="1"/>
  <c r="O2002" i="1"/>
  <c r="O2004" i="1"/>
  <c r="O2006" i="1"/>
  <c r="O2008" i="1"/>
  <c r="O2010" i="1"/>
  <c r="O2012" i="1"/>
  <c r="O2014" i="1"/>
  <c r="O2016" i="1"/>
  <c r="O2018" i="1"/>
  <c r="O4544" i="1"/>
  <c r="O4546" i="1"/>
  <c r="O4548" i="1"/>
  <c r="O4550" i="1"/>
  <c r="O2152" i="1"/>
  <c r="O2154" i="1"/>
  <c r="O2156" i="1"/>
  <c r="O2158" i="1"/>
  <c r="O2160" i="1"/>
  <c r="O2162" i="1"/>
  <c r="O2164" i="1"/>
  <c r="O2190" i="1"/>
  <c r="O2192" i="1"/>
  <c r="O2196" i="1"/>
  <c r="O2198" i="1"/>
  <c r="O2200" i="1"/>
  <c r="O2202" i="1"/>
  <c r="O2204" i="1"/>
  <c r="O2239" i="1"/>
  <c r="O2241" i="1"/>
  <c r="O2243" i="1"/>
  <c r="O2245" i="1"/>
  <c r="O2257" i="1"/>
  <c r="O2259" i="1"/>
  <c r="O2261" i="1"/>
  <c r="O2263" i="1"/>
  <c r="O2265" i="1"/>
  <c r="O2267" i="1"/>
  <c r="O2269" i="1"/>
  <c r="O2271" i="1"/>
  <c r="O2273" i="1"/>
  <c r="O2275" i="1"/>
  <c r="O2277" i="1"/>
  <c r="O2279" i="1"/>
  <c r="O2281" i="1"/>
  <c r="O2283" i="1"/>
  <c r="O2344" i="1"/>
  <c r="O2346" i="1"/>
  <c r="O2348" i="1"/>
  <c r="O2354" i="1"/>
  <c r="O2356" i="1"/>
  <c r="O2456" i="1"/>
  <c r="O2458" i="1"/>
  <c r="O2460" i="1"/>
  <c r="O2462" i="1"/>
  <c r="O2464" i="1"/>
  <c r="O2466" i="1"/>
  <c r="O2468" i="1"/>
  <c r="O2470" i="1"/>
  <c r="O2472" i="1"/>
  <c r="O2474" i="1"/>
  <c r="O2749" i="1"/>
  <c r="O2751" i="1"/>
  <c r="O2753" i="1"/>
  <c r="O2755" i="1"/>
  <c r="O2757" i="1"/>
  <c r="O2759" i="1"/>
  <c r="O2761" i="1"/>
  <c r="O2763" i="1"/>
  <c r="O2765" i="1"/>
  <c r="O2767" i="1"/>
  <c r="O2769" i="1"/>
  <c r="O2913" i="1"/>
  <c r="O2915" i="1"/>
  <c r="O2917" i="1"/>
  <c r="O2919" i="1"/>
  <c r="O2921" i="1"/>
  <c r="O2923" i="1"/>
  <c r="O2925" i="1"/>
  <c r="O2927" i="1"/>
  <c r="O2929" i="1"/>
  <c r="O2931" i="1"/>
  <c r="O2933" i="1"/>
  <c r="O2935" i="1"/>
  <c r="O2937" i="1"/>
  <c r="O2965" i="1"/>
  <c r="O2967" i="1"/>
  <c r="O2969" i="1"/>
  <c r="O3013" i="1"/>
  <c r="O3015" i="1"/>
  <c r="O3017" i="1"/>
  <c r="O3019" i="1"/>
  <c r="O3021" i="1"/>
  <c r="O3025" i="1"/>
  <c r="O3114" i="1"/>
  <c r="O3118" i="1"/>
  <c r="O3138" i="1"/>
  <c r="O3140" i="1"/>
  <c r="O3142" i="1"/>
  <c r="O3144" i="1"/>
  <c r="O3146" i="1"/>
  <c r="O3148" i="1"/>
  <c r="O3150" i="1"/>
  <c r="O3152" i="1"/>
  <c r="O3154" i="1"/>
  <c r="O3162" i="1"/>
  <c r="O3164" i="1"/>
  <c r="O3166" i="1"/>
  <c r="O3168" i="1"/>
  <c r="O3170" i="1"/>
  <c r="O3172" i="1"/>
  <c r="O3174" i="1"/>
  <c r="O3186" i="1"/>
  <c r="O3188" i="1"/>
  <c r="O3190" i="1"/>
  <c r="O3192" i="1"/>
  <c r="O3194" i="1"/>
  <c r="O3196" i="1"/>
  <c r="O3211" i="1"/>
  <c r="O3213" i="1"/>
  <c r="O3215" i="1"/>
  <c r="O3217" i="1"/>
  <c r="O3219" i="1"/>
  <c r="O3233" i="1"/>
  <c r="O3235" i="1"/>
  <c r="O3237" i="1"/>
  <c r="O3239" i="1"/>
  <c r="O3241" i="1"/>
  <c r="O3243" i="1"/>
  <c r="O3245" i="1"/>
  <c r="O3313" i="1"/>
  <c r="O3326" i="1"/>
  <c r="O3328" i="1"/>
  <c r="O3358" i="1"/>
  <c r="O3360" i="1"/>
  <c r="O3362" i="1"/>
  <c r="O3378" i="1"/>
  <c r="O3380" i="1"/>
  <c r="O3382" i="1"/>
  <c r="O3384" i="1"/>
  <c r="O3441" i="1"/>
  <c r="O3445" i="1"/>
  <c r="O3447" i="1"/>
  <c r="O3449" i="1"/>
  <c r="O3451" i="1"/>
  <c r="O3453" i="1"/>
  <c r="O3455" i="1"/>
  <c r="O3457" i="1"/>
  <c r="O3459" i="1"/>
  <c r="O3473" i="1"/>
  <c r="O3475" i="1"/>
  <c r="O3477" i="1"/>
  <c r="O3479" i="1"/>
  <c r="O3481" i="1"/>
  <c r="O3483" i="1"/>
  <c r="O3517" i="1"/>
  <c r="O3527" i="1"/>
  <c r="O3529" i="1"/>
  <c r="O3531" i="1"/>
  <c r="O3533" i="1"/>
  <c r="O3535" i="1"/>
  <c r="O3537" i="1"/>
  <c r="O3539" i="1"/>
  <c r="O3541" i="1"/>
  <c r="O3543" i="1"/>
  <c r="O3545" i="1"/>
  <c r="O3547" i="1"/>
  <c r="O3549" i="1"/>
  <c r="O3551" i="1"/>
  <c r="O3555" i="1"/>
  <c r="O3557" i="1"/>
  <c r="O3559" i="1"/>
  <c r="O3561" i="1"/>
  <c r="O3563" i="1"/>
  <c r="O3565" i="1"/>
  <c r="O3575" i="1"/>
  <c r="O3577" i="1"/>
  <c r="O3579" i="1"/>
  <c r="O3581" i="1"/>
  <c r="O3583" i="1"/>
  <c r="O3585" i="1"/>
  <c r="O3587" i="1"/>
  <c r="O3589" i="1"/>
  <c r="O3597" i="1"/>
  <c r="O3609" i="1"/>
  <c r="O3611" i="1"/>
  <c r="O3613" i="1"/>
  <c r="O3615" i="1"/>
  <c r="O3617" i="1"/>
  <c r="O3619" i="1"/>
  <c r="O3621" i="1"/>
  <c r="O3639" i="1"/>
  <c r="O3641" i="1"/>
  <c r="O3643" i="1"/>
  <c r="O3645" i="1"/>
  <c r="O3647" i="1"/>
  <c r="O3649" i="1"/>
  <c r="O3661" i="1"/>
  <c r="O3663" i="1"/>
  <c r="O3665" i="1"/>
  <c r="O3667" i="1"/>
  <c r="O3669" i="1"/>
  <c r="O3671" i="1"/>
  <c r="O3673" i="1"/>
  <c r="O3675" i="1"/>
  <c r="O3677" i="1"/>
  <c r="O3679" i="1"/>
  <c r="O3681" i="1"/>
  <c r="O3683" i="1"/>
  <c r="O3685" i="1"/>
  <c r="O3698" i="1"/>
  <c r="O3700" i="1"/>
  <c r="O3702" i="1"/>
  <c r="O3704" i="1"/>
  <c r="O3706" i="1"/>
  <c r="O3729" i="1"/>
  <c r="O3745" i="1"/>
  <c r="O3747" i="1"/>
  <c r="O3749" i="1"/>
  <c r="O3751" i="1"/>
  <c r="O3753" i="1"/>
  <c r="O3767" i="1"/>
  <c r="O3769" i="1"/>
  <c r="O3771" i="1"/>
  <c r="O3773" i="1"/>
  <c r="O3775" i="1"/>
  <c r="O3777" i="1"/>
  <c r="O3793" i="1"/>
  <c r="O3795" i="1"/>
  <c r="O3797" i="1"/>
  <c r="O3799" i="1"/>
  <c r="O3801" i="1"/>
  <c r="O3805" i="1"/>
  <c r="O3807" i="1"/>
  <c r="O3809" i="1"/>
  <c r="O3815" i="1"/>
  <c r="O3817" i="1"/>
  <c r="O3819" i="1"/>
  <c r="O3821" i="1"/>
  <c r="O3823" i="1"/>
  <c r="O3825" i="1"/>
  <c r="O3835" i="1"/>
  <c r="O3837" i="1"/>
  <c r="O3839" i="1"/>
  <c r="O3841" i="1"/>
  <c r="O3859" i="1"/>
  <c r="O3861" i="1"/>
  <c r="O3863" i="1"/>
  <c r="O3865" i="1"/>
  <c r="O3867" i="1"/>
  <c r="O3869" i="1"/>
  <c r="O3877" i="1"/>
  <c r="O3879" i="1"/>
  <c r="O3881" i="1"/>
  <c r="O3883" i="1"/>
  <c r="O3885" i="1"/>
  <c r="O3887" i="1"/>
  <c r="O3889" i="1"/>
  <c r="O3891" i="1"/>
  <c r="O3893" i="1"/>
  <c r="O3895" i="1"/>
  <c r="O3897" i="1"/>
  <c r="O3899" i="1"/>
  <c r="O3901" i="1"/>
  <c r="O3903" i="1"/>
  <c r="O3911" i="1"/>
  <c r="O3913" i="1"/>
  <c r="O3915" i="1"/>
  <c r="O3917" i="1"/>
  <c r="O3919" i="1"/>
  <c r="O3921" i="1"/>
  <c r="O3923" i="1"/>
  <c r="O3925" i="1"/>
  <c r="O3927" i="1"/>
  <c r="O3933" i="1"/>
  <c r="O3935" i="1"/>
  <c r="O3937" i="1"/>
  <c r="O3945" i="1"/>
  <c r="O3947" i="1"/>
  <c r="O3949" i="1"/>
  <c r="O3951" i="1"/>
  <c r="O3953" i="1"/>
  <c r="O3955" i="1"/>
  <c r="O3957" i="1"/>
  <c r="O3959" i="1"/>
  <c r="O3961" i="1"/>
  <c r="O3963" i="1"/>
  <c r="O3965" i="1"/>
  <c r="O3967" i="1"/>
  <c r="O3982" i="1"/>
  <c r="O3984" i="1"/>
  <c r="O3986" i="1"/>
  <c r="O3988" i="1"/>
  <c r="O3990" i="1"/>
  <c r="O3992" i="1"/>
  <c r="O3994" i="1"/>
  <c r="O3996" i="1"/>
  <c r="O3998" i="1"/>
  <c r="O4000" i="1"/>
  <c r="O4010" i="1"/>
  <c r="O4012" i="1"/>
  <c r="O4014" i="1"/>
  <c r="O4016" i="1"/>
  <c r="O4018" i="1"/>
  <c r="O4020" i="1"/>
  <c r="O4022" i="1"/>
  <c r="O4024" i="1"/>
  <c r="O4026" i="1"/>
  <c r="O4028" i="1"/>
  <c r="O4035" i="1"/>
  <c r="O4037" i="1"/>
  <c r="O4039" i="1"/>
  <c r="O4041" i="1"/>
  <c r="O4050" i="1"/>
  <c r="O4052" i="1"/>
  <c r="O4054" i="1"/>
  <c r="O4056" i="1"/>
  <c r="O4058" i="1"/>
  <c r="O4060" i="1"/>
  <c r="O4062" i="1"/>
  <c r="O4064" i="1"/>
  <c r="O4066" i="1"/>
  <c r="O4074" i="1"/>
  <c r="O4076" i="1"/>
  <c r="O4078" i="1"/>
  <c r="O4080" i="1"/>
  <c r="O4082" i="1"/>
  <c r="O4084" i="1"/>
  <c r="O4096" i="1"/>
  <c r="O4098" i="1"/>
  <c r="O4100" i="1"/>
  <c r="O4102" i="1"/>
  <c r="O4104" i="1"/>
  <c r="O4106" i="1"/>
  <c r="O4108" i="1"/>
  <c r="O4110" i="1"/>
  <c r="O4112" i="1"/>
  <c r="O4114" i="1"/>
  <c r="O4116" i="1"/>
  <c r="O4118" i="1"/>
  <c r="O4120" i="1"/>
  <c r="O4122" i="1"/>
  <c r="O4124" i="1"/>
  <c r="O4126" i="1"/>
  <c r="O4128" i="1"/>
  <c r="O4130" i="1"/>
  <c r="O4143" i="1"/>
  <c r="O4145" i="1"/>
  <c r="O4147" i="1"/>
  <c r="O4149" i="1"/>
  <c r="O4151" i="1"/>
  <c r="O4153" i="1"/>
  <c r="O4155" i="1"/>
  <c r="O4157" i="1"/>
  <c r="O4159" i="1"/>
  <c r="O4161" i="1"/>
  <c r="O4163" i="1"/>
  <c r="O4165" i="1"/>
  <c r="O4167" i="1"/>
  <c r="O4203" i="1"/>
  <c r="O4205" i="1"/>
  <c r="O4207" i="1"/>
  <c r="O4223" i="1"/>
  <c r="O4225" i="1"/>
  <c r="O4227" i="1"/>
  <c r="O4229" i="1"/>
  <c r="O4283" i="1"/>
  <c r="O4285" i="1"/>
  <c r="O4298" i="1"/>
  <c r="O4300" i="1"/>
  <c r="O4302" i="1"/>
  <c r="O4304" i="1"/>
  <c r="O4306" i="1"/>
  <c r="O4308" i="1"/>
  <c r="O4310" i="1"/>
  <c r="O4312" i="1"/>
  <c r="O4402" i="1"/>
  <c r="O4404" i="1"/>
  <c r="O4406" i="1"/>
  <c r="O4408" i="1"/>
  <c r="O4410" i="1"/>
  <c r="O4414" i="1"/>
  <c r="O4424" i="1"/>
  <c r="O4426" i="1"/>
  <c r="O4428" i="1"/>
  <c r="O4430" i="1"/>
  <c r="O4446" i="1"/>
  <c r="O4448" i="1"/>
  <c r="O4450" i="1"/>
  <c r="O4464" i="1"/>
  <c r="O4482" i="1"/>
  <c r="O4484" i="1"/>
  <c r="O4486" i="1"/>
  <c r="O4488" i="1"/>
  <c r="O4490" i="1"/>
  <c r="O4492" i="1"/>
  <c r="O4503" i="1"/>
  <c r="O4505" i="1"/>
  <c r="O4507" i="1"/>
  <c r="O4509" i="1"/>
  <c r="O4511" i="1"/>
  <c r="Q1009" i="1"/>
  <c r="N1011" i="1"/>
  <c r="M1011" i="1"/>
  <c r="V123" i="43"/>
  <c r="Q1994" i="1"/>
  <c r="M1996" i="1"/>
  <c r="J1995" i="1"/>
  <c r="I1995" i="1"/>
  <c r="N3753" i="1"/>
  <c r="M3753" i="1"/>
  <c r="N3751" i="1"/>
  <c r="M3751" i="1"/>
  <c r="N3749" i="1"/>
  <c r="M3749" i="1"/>
  <c r="N3747" i="1"/>
  <c r="M3747" i="1"/>
  <c r="N3745" i="1"/>
  <c r="M3745" i="1"/>
  <c r="Q3753" i="1"/>
  <c r="S3753" i="1" s="1"/>
  <c r="Q3751" i="1"/>
  <c r="R3751" i="1" s="1"/>
  <c r="Q3749" i="1"/>
  <c r="S3749" i="1" s="1"/>
  <c r="Q3747" i="1"/>
  <c r="S3747" i="1" s="1"/>
  <c r="Q3745" i="1"/>
  <c r="R3745" i="1" s="1"/>
  <c r="U3755" i="1"/>
  <c r="U3756" i="1"/>
  <c r="V3755" i="1"/>
  <c r="V3756" i="1"/>
  <c r="U3743" i="1"/>
  <c r="U3744" i="1"/>
  <c r="U3745" i="1"/>
  <c r="U3746" i="1"/>
  <c r="U3747" i="1"/>
  <c r="U3748" i="1"/>
  <c r="U3749" i="1"/>
  <c r="U3750" i="1"/>
  <c r="U3751" i="1"/>
  <c r="U3752" i="1"/>
  <c r="U3753" i="1"/>
  <c r="U3754" i="1"/>
  <c r="V3743" i="1"/>
  <c r="V3744" i="1"/>
  <c r="V3745" i="1"/>
  <c r="V3746" i="1"/>
  <c r="V3747" i="1"/>
  <c r="V3748" i="1"/>
  <c r="V3749" i="1"/>
  <c r="V3750" i="1"/>
  <c r="V3751" i="1"/>
  <c r="V3752" i="1"/>
  <c r="V3753" i="1"/>
  <c r="V3754" i="1"/>
  <c r="R1994" i="1" l="1"/>
  <c r="S1994" i="1"/>
  <c r="M115" i="2"/>
  <c r="S1009" i="1"/>
  <c r="R1009" i="1"/>
  <c r="R4480" i="1"/>
  <c r="R624" i="1"/>
  <c r="R622" i="1"/>
  <c r="R620" i="1"/>
  <c r="R2172" i="1"/>
  <c r="R2170" i="1"/>
  <c r="R2174" i="1"/>
  <c r="S4006" i="1"/>
  <c r="R4499" i="1"/>
  <c r="S4008" i="1"/>
  <c r="S626" i="1"/>
  <c r="R2168" i="1"/>
  <c r="R2166" i="1"/>
  <c r="R3255" i="1"/>
  <c r="R4501" i="1"/>
  <c r="R242" i="1"/>
  <c r="S224" i="1"/>
  <c r="R244" i="1"/>
  <c r="R246" i="1"/>
  <c r="S3745" i="1"/>
  <c r="S3751" i="1"/>
  <c r="R3747" i="1"/>
  <c r="R3753" i="1"/>
  <c r="R3749" i="1"/>
  <c r="N1592" i="1"/>
  <c r="M1592" i="1"/>
  <c r="J1593" i="1"/>
  <c r="I1593" i="1"/>
  <c r="H1593" i="1"/>
  <c r="M2823" i="1" l="1"/>
  <c r="M2825" i="1"/>
  <c r="M2827" i="1"/>
  <c r="M2829" i="1"/>
  <c r="M2833" i="1"/>
  <c r="M2835" i="1"/>
  <c r="M2837" i="1"/>
  <c r="M2839" i="1"/>
  <c r="M2841" i="1"/>
  <c r="M2843" i="1"/>
  <c r="M2845" i="1"/>
  <c r="M2847" i="1"/>
  <c r="M2849" i="1"/>
  <c r="I2820" i="1"/>
  <c r="H2820" i="1"/>
  <c r="J2820" i="1"/>
  <c r="N761" i="1"/>
  <c r="M761" i="1"/>
  <c r="J762" i="1"/>
  <c r="I762" i="1"/>
  <c r="N4298" i="1"/>
  <c r="M4298" i="1"/>
  <c r="N4300" i="1"/>
  <c r="M4300" i="1"/>
  <c r="Q4298" i="1"/>
  <c r="S4298" i="1" s="1"/>
  <c r="Q4300" i="1"/>
  <c r="S4300" i="1" s="1"/>
  <c r="J4299" i="1"/>
  <c r="I4299" i="1"/>
  <c r="H4299" i="1"/>
  <c r="J4301" i="1"/>
  <c r="I4301" i="1"/>
  <c r="H4301" i="1"/>
  <c r="J2386" i="1"/>
  <c r="I2386" i="1"/>
  <c r="H2386" i="1"/>
  <c r="J2384" i="1"/>
  <c r="I2384" i="1"/>
  <c r="H2384" i="1"/>
  <c r="J2382" i="1"/>
  <c r="I2382" i="1"/>
  <c r="H2382" i="1"/>
  <c r="J2380" i="1"/>
  <c r="I2380" i="1"/>
  <c r="H2380" i="1"/>
  <c r="J2378" i="1"/>
  <c r="I2378" i="1"/>
  <c r="H2378" i="1"/>
  <c r="J2376" i="1"/>
  <c r="I2376" i="1"/>
  <c r="H2376" i="1"/>
  <c r="J2374" i="1"/>
  <c r="I2374" i="1"/>
  <c r="H2374" i="1"/>
  <c r="J2372" i="1"/>
  <c r="I2372" i="1"/>
  <c r="H2372" i="1"/>
  <c r="J2370" i="1"/>
  <c r="I2370" i="1"/>
  <c r="H2370" i="1"/>
  <c r="J2368" i="1"/>
  <c r="I2368" i="1"/>
  <c r="H2368" i="1"/>
  <c r="N3841" i="1"/>
  <c r="M3841" i="1"/>
  <c r="N3839" i="1"/>
  <c r="M3839" i="1"/>
  <c r="N3837" i="1"/>
  <c r="M3837" i="1"/>
  <c r="N3835" i="1"/>
  <c r="M3835" i="1"/>
  <c r="J1302" i="1"/>
  <c r="I1302" i="1"/>
  <c r="Q1301" i="1"/>
  <c r="S1301" i="1" s="1"/>
  <c r="Q1299" i="1"/>
  <c r="S1299" i="1" s="1"/>
  <c r="U1299" i="1"/>
  <c r="U1300" i="1"/>
  <c r="U1301" i="1"/>
  <c r="U1302" i="1"/>
  <c r="V1299" i="1"/>
  <c r="V1300" i="1"/>
  <c r="V1301" i="1"/>
  <c r="V1302" i="1"/>
  <c r="N3047" i="1"/>
  <c r="M3047" i="1"/>
  <c r="Q3047" i="1"/>
  <c r="R3047" i="1" s="1"/>
  <c r="J3048" i="1"/>
  <c r="H56" i="1"/>
  <c r="R4298" i="1" l="1"/>
  <c r="R4300" i="1"/>
  <c r="R1299" i="1"/>
  <c r="R1301" i="1"/>
  <c r="J1012" i="1"/>
  <c r="H1012" i="1"/>
  <c r="U2167" i="1"/>
  <c r="V2167" i="1"/>
  <c r="J2153" i="1"/>
  <c r="I2153" i="1"/>
  <c r="H2153" i="1"/>
  <c r="N2152" i="1"/>
  <c r="M2152" i="1"/>
  <c r="Q2152" i="1"/>
  <c r="R2152" i="1" s="1"/>
  <c r="V3765" i="1"/>
  <c r="P3767" i="1"/>
  <c r="Q2387" i="1"/>
  <c r="S2387" i="1" s="1"/>
  <c r="Q2385" i="1"/>
  <c r="S2385" i="1" s="1"/>
  <c r="Q2383" i="1"/>
  <c r="S2383" i="1" s="1"/>
  <c r="Q2381" i="1"/>
  <c r="S2381" i="1" s="1"/>
  <c r="Q2379" i="1"/>
  <c r="S2379" i="1" s="1"/>
  <c r="Q2377" i="1"/>
  <c r="S2377" i="1" s="1"/>
  <c r="Q2375" i="1"/>
  <c r="S2375" i="1" s="1"/>
  <c r="Q2373" i="1"/>
  <c r="S2373" i="1" s="1"/>
  <c r="Q2371" i="1"/>
  <c r="R2371" i="1" s="1"/>
  <c r="Q2369" i="1"/>
  <c r="S2369" i="1" s="1"/>
  <c r="Q2367" i="1"/>
  <c r="S2367" i="1" s="1"/>
  <c r="Q2365" i="1"/>
  <c r="S2365" i="1" s="1"/>
  <c r="N2387" i="1"/>
  <c r="M2387" i="1"/>
  <c r="O2387" i="1" s="1"/>
  <c r="N2385" i="1"/>
  <c r="M2385" i="1"/>
  <c r="O2385" i="1" s="1"/>
  <c r="N2383" i="1"/>
  <c r="M2383" i="1"/>
  <c r="O2383" i="1" s="1"/>
  <c r="N2381" i="1"/>
  <c r="M2381" i="1"/>
  <c r="O2381" i="1" s="1"/>
  <c r="N2379" i="1"/>
  <c r="M2379" i="1"/>
  <c r="O2379" i="1" s="1"/>
  <c r="N2377" i="1"/>
  <c r="M2377" i="1"/>
  <c r="O2377" i="1" s="1"/>
  <c r="N2375" i="1"/>
  <c r="M2375" i="1"/>
  <c r="O2375" i="1" s="1"/>
  <c r="N2373" i="1"/>
  <c r="M2373" i="1"/>
  <c r="O2373" i="1" s="1"/>
  <c r="N2371" i="1"/>
  <c r="M2371" i="1"/>
  <c r="O2371" i="1" s="1"/>
  <c r="N2369" i="1"/>
  <c r="M2369" i="1"/>
  <c r="O2369" i="1" s="1"/>
  <c r="N2367" i="1"/>
  <c r="M2367" i="1"/>
  <c r="O2367" i="1" s="1"/>
  <c r="N2365" i="1"/>
  <c r="M2365" i="1"/>
  <c r="O2365" i="1" s="1"/>
  <c r="U2380" i="1"/>
  <c r="U2381" i="1"/>
  <c r="U2382" i="1"/>
  <c r="U2383" i="1"/>
  <c r="V2380" i="1"/>
  <c r="V2381" i="1"/>
  <c r="V2382" i="1"/>
  <c r="V2383" i="1"/>
  <c r="U2384" i="1"/>
  <c r="U2385" i="1"/>
  <c r="U2386" i="1"/>
  <c r="U2387" i="1"/>
  <c r="V2384" i="1"/>
  <c r="V2385" i="1"/>
  <c r="V2386" i="1"/>
  <c r="V2387" i="1"/>
  <c r="U3641" i="1"/>
  <c r="U3639" i="1"/>
  <c r="N2673" i="1"/>
  <c r="M2673" i="1"/>
  <c r="O2673" i="1" s="1"/>
  <c r="J2674" i="1"/>
  <c r="I2674" i="1"/>
  <c r="Q2673" i="1"/>
  <c r="S2673" i="1" s="1"/>
  <c r="Q2675" i="1"/>
  <c r="S2675" i="1" s="1"/>
  <c r="N2675" i="1"/>
  <c r="M2675" i="1"/>
  <c r="O2675" i="1" s="1"/>
  <c r="J2676" i="1"/>
  <c r="I2676" i="1"/>
  <c r="U3943" i="1"/>
  <c r="V3943" i="1"/>
  <c r="U3944" i="1"/>
  <c r="V3944" i="1"/>
  <c r="S2152" i="1" l="1"/>
  <c r="S2371" i="1"/>
  <c r="R2387" i="1"/>
  <c r="R2373" i="1"/>
  <c r="R2375" i="1"/>
  <c r="R2377" i="1"/>
  <c r="R2379" i="1"/>
  <c r="R2365" i="1"/>
  <c r="R2381" i="1"/>
  <c r="R2367" i="1"/>
  <c r="R2383" i="1"/>
  <c r="R2369" i="1"/>
  <c r="R2385" i="1"/>
  <c r="R2673" i="1"/>
  <c r="R2675" i="1"/>
  <c r="U2365" i="1"/>
  <c r="U2366" i="1"/>
  <c r="U2367" i="1"/>
  <c r="U2368" i="1"/>
  <c r="U2369" i="1"/>
  <c r="U2370" i="1"/>
  <c r="U2371" i="1"/>
  <c r="U2372" i="1"/>
  <c r="U2373" i="1"/>
  <c r="U2374" i="1"/>
  <c r="U2375" i="1"/>
  <c r="U2376" i="1"/>
  <c r="U2377" i="1"/>
  <c r="U2378" i="1"/>
  <c r="U2379" i="1"/>
  <c r="U2388" i="1"/>
  <c r="U2389" i="1"/>
  <c r="U2390" i="1"/>
  <c r="V2365" i="1"/>
  <c r="V2366" i="1"/>
  <c r="V2367" i="1"/>
  <c r="V2368" i="1"/>
  <c r="V2369" i="1"/>
  <c r="V2370" i="1"/>
  <c r="V2371" i="1"/>
  <c r="V2372" i="1"/>
  <c r="V2373" i="1"/>
  <c r="V2374" i="1"/>
  <c r="V2375" i="1"/>
  <c r="V2376" i="1"/>
  <c r="V2377" i="1"/>
  <c r="V2378" i="1"/>
  <c r="V2379" i="1"/>
  <c r="V2388" i="1"/>
  <c r="V2389" i="1"/>
  <c r="V2390" i="1"/>
  <c r="J1044" i="1"/>
  <c r="I1044" i="1"/>
  <c r="H1044" i="1"/>
  <c r="M1043" i="1" l="1"/>
  <c r="N1073" i="1"/>
  <c r="U3396" i="1"/>
  <c r="V3396" i="1"/>
  <c r="J1072" i="1"/>
  <c r="I1072" i="1"/>
  <c r="J1070" i="1"/>
  <c r="I1070" i="1"/>
  <c r="J1068" i="1"/>
  <c r="I1068" i="1"/>
  <c r="J1066" i="1"/>
  <c r="I1066" i="1"/>
  <c r="Q1073" i="1"/>
  <c r="Q1071" i="1"/>
  <c r="R1071" i="1" s="1"/>
  <c r="Q1069" i="1"/>
  <c r="Q1067" i="1"/>
  <c r="R1067" i="1" s="1"/>
  <c r="Q1065" i="1"/>
  <c r="Q1063" i="1"/>
  <c r="Q1061" i="1"/>
  <c r="S1061" i="1" s="1"/>
  <c r="Q1059" i="1"/>
  <c r="R1059" i="1" s="1"/>
  <c r="Q1057" i="1"/>
  <c r="S1057" i="1" s="1"/>
  <c r="Q1055" i="1"/>
  <c r="S1055" i="1" s="1"/>
  <c r="Q1053" i="1"/>
  <c r="S1053" i="1" s="1"/>
  <c r="Q1051" i="1"/>
  <c r="S1051" i="1" s="1"/>
  <c r="Q1049" i="1"/>
  <c r="S1049" i="1" s="1"/>
  <c r="Q1047" i="1"/>
  <c r="S1047" i="1" s="1"/>
  <c r="Q1045" i="1"/>
  <c r="S1045" i="1" s="1"/>
  <c r="Q1043" i="1"/>
  <c r="S1043" i="1" s="1"/>
  <c r="N1071" i="1"/>
  <c r="N1069" i="1"/>
  <c r="N1067" i="1"/>
  <c r="N1065" i="1"/>
  <c r="N1063" i="1"/>
  <c r="M1073" i="1"/>
  <c r="U1074" i="1"/>
  <c r="V1074" i="1"/>
  <c r="M1065" i="1"/>
  <c r="M1071" i="1"/>
  <c r="M1069" i="1"/>
  <c r="M1067" i="1"/>
  <c r="M1063" i="1"/>
  <c r="M1061" i="1"/>
  <c r="M1059" i="1"/>
  <c r="M1057" i="1"/>
  <c r="M1055" i="1"/>
  <c r="M1053" i="1"/>
  <c r="M1051" i="1"/>
  <c r="M1049" i="1"/>
  <c r="M1047" i="1"/>
  <c r="M1045" i="1"/>
  <c r="J1064" i="1"/>
  <c r="I1064" i="1"/>
  <c r="J1062" i="1"/>
  <c r="I1062" i="1"/>
  <c r="H1062" i="1"/>
  <c r="J1060" i="1"/>
  <c r="I1060" i="1"/>
  <c r="H1060" i="1"/>
  <c r="J1058" i="1"/>
  <c r="I1058" i="1"/>
  <c r="H1058" i="1"/>
  <c r="J1056" i="1"/>
  <c r="I1056" i="1"/>
  <c r="H1056" i="1"/>
  <c r="J1054" i="1"/>
  <c r="I1054" i="1"/>
  <c r="H1054" i="1"/>
  <c r="J1052" i="1"/>
  <c r="I1052" i="1"/>
  <c r="H1052" i="1"/>
  <c r="J1050" i="1"/>
  <c r="I1050" i="1"/>
  <c r="H1050" i="1"/>
  <c r="J1048" i="1"/>
  <c r="I1048" i="1"/>
  <c r="H1048" i="1"/>
  <c r="J1046" i="1"/>
  <c r="I1046" i="1"/>
  <c r="H1046" i="1"/>
  <c r="N1061" i="1"/>
  <c r="N1059" i="1"/>
  <c r="N1057" i="1"/>
  <c r="N1055" i="1"/>
  <c r="N1053" i="1"/>
  <c r="N1051" i="1"/>
  <c r="N1049" i="1"/>
  <c r="N1047" i="1"/>
  <c r="N1045" i="1"/>
  <c r="N1027" i="1"/>
  <c r="N1029" i="1"/>
  <c r="N1031" i="1"/>
  <c r="N1033" i="1"/>
  <c r="Q2344" i="1"/>
  <c r="R2344" i="1" s="1"/>
  <c r="Q2346" i="1"/>
  <c r="R2346" i="1" s="1"/>
  <c r="N2344" i="1"/>
  <c r="M2344" i="1"/>
  <c r="M2346" i="1"/>
  <c r="J2345" i="1"/>
  <c r="I2345" i="1"/>
  <c r="N2358" i="1"/>
  <c r="N2356" i="1"/>
  <c r="N2354" i="1"/>
  <c r="N2352" i="1"/>
  <c r="N2350" i="1"/>
  <c r="N2348" i="1"/>
  <c r="N2346" i="1"/>
  <c r="J2347" i="1"/>
  <c r="I2347" i="1"/>
  <c r="J2349" i="1"/>
  <c r="I2349" i="1"/>
  <c r="N3641" i="1"/>
  <c r="N3643" i="1"/>
  <c r="N3645" i="1"/>
  <c r="N3647" i="1"/>
  <c r="Q3637" i="1"/>
  <c r="S3637" i="1" s="1"/>
  <c r="Q3639" i="1"/>
  <c r="S3639" i="1" s="1"/>
  <c r="J3640" i="1"/>
  <c r="I3640" i="1"/>
  <c r="H3640" i="1"/>
  <c r="J3642" i="1"/>
  <c r="I3642" i="1"/>
  <c r="H3642" i="1"/>
  <c r="J3644" i="1"/>
  <c r="I3644" i="1"/>
  <c r="H3644" i="1"/>
  <c r="J3646" i="1"/>
  <c r="I3646" i="1"/>
  <c r="H3646" i="1"/>
  <c r="V3639" i="1"/>
  <c r="V3641" i="1"/>
  <c r="I146" i="43"/>
  <c r="X146" i="43"/>
  <c r="Z146" i="43"/>
  <c r="I147" i="43"/>
  <c r="X147" i="43"/>
  <c r="Z147" i="43"/>
  <c r="I153" i="43"/>
  <c r="X153" i="43"/>
  <c r="Z153" i="43"/>
  <c r="I154" i="43"/>
  <c r="X154" i="43"/>
  <c r="Z154" i="43"/>
  <c r="I155" i="43"/>
  <c r="N155" i="43"/>
  <c r="V155" i="43"/>
  <c r="X155" i="43"/>
  <c r="Z155" i="43"/>
  <c r="I156" i="43"/>
  <c r="X156" i="43"/>
  <c r="Z156" i="43"/>
  <c r="I157" i="43"/>
  <c r="X157" i="43"/>
  <c r="Z157" i="43"/>
  <c r="L86" i="18"/>
  <c r="L83" i="18"/>
  <c r="Q3815" i="1"/>
  <c r="S3815" i="1" s="1"/>
  <c r="N3815" i="1"/>
  <c r="M3815" i="1"/>
  <c r="J3816" i="1"/>
  <c r="I3816" i="1"/>
  <c r="H3816" i="1"/>
  <c r="V5" i="1"/>
  <c r="W7" i="1"/>
  <c r="J6" i="1"/>
  <c r="I6" i="1"/>
  <c r="H6" i="1"/>
  <c r="M5" i="1"/>
  <c r="Q5" i="1"/>
  <c r="S5" i="1" s="1"/>
  <c r="I3393" i="1"/>
  <c r="I3391" i="1"/>
  <c r="I3389" i="1"/>
  <c r="I3387" i="1"/>
  <c r="I3385" i="1"/>
  <c r="U3387" i="1"/>
  <c r="U3388" i="1"/>
  <c r="U3389" i="1"/>
  <c r="U3390" i="1"/>
  <c r="U3391" i="1"/>
  <c r="V3387" i="1"/>
  <c r="V3388" i="1"/>
  <c r="V3389" i="1"/>
  <c r="V3390" i="1"/>
  <c r="V3391" i="1"/>
  <c r="U3392" i="1"/>
  <c r="U3393" i="1"/>
  <c r="U3394" i="1"/>
  <c r="U3395" i="1"/>
  <c r="U3398" i="1"/>
  <c r="V3392" i="1"/>
  <c r="V3393" i="1"/>
  <c r="V3394" i="1"/>
  <c r="V3395" i="1"/>
  <c r="V3398" i="1"/>
  <c r="Q3945" i="1"/>
  <c r="S3945" i="1" s="1"/>
  <c r="N3945" i="1"/>
  <c r="M3945" i="1"/>
  <c r="Q55" i="1"/>
  <c r="R1053" i="1" l="1"/>
  <c r="R1049" i="1"/>
  <c r="R1045" i="1"/>
  <c r="R1047" i="1"/>
  <c r="R1055" i="1"/>
  <c r="R1043" i="1"/>
  <c r="S1059" i="1"/>
  <c r="R1065" i="1"/>
  <c r="R1069" i="1"/>
  <c r="R1061" i="1"/>
  <c r="R1063" i="1"/>
  <c r="R1051" i="1"/>
  <c r="R1073" i="1"/>
  <c r="R1057" i="1"/>
  <c r="S1063" i="1"/>
  <c r="R3639" i="1"/>
  <c r="R3637" i="1"/>
  <c r="R5" i="1"/>
  <c r="R3815" i="1"/>
  <c r="R3945" i="1"/>
  <c r="Q1453" i="1"/>
  <c r="R1453" i="1" s="1"/>
  <c r="Q405" i="1"/>
  <c r="N421" i="1"/>
  <c r="N419" i="1"/>
  <c r="N417" i="1"/>
  <c r="N415" i="1"/>
  <c r="N413" i="1"/>
  <c r="N411" i="1"/>
  <c r="N409" i="1"/>
  <c r="N407" i="1"/>
  <c r="N405" i="1"/>
  <c r="H406" i="1"/>
  <c r="J406" i="1"/>
  <c r="I406" i="1"/>
  <c r="N3621" i="1"/>
  <c r="N3619" i="1"/>
  <c r="N3617" i="1"/>
  <c r="N3615" i="1"/>
  <c r="N3613" i="1"/>
  <c r="N3611" i="1"/>
  <c r="N3609" i="1"/>
  <c r="J1523" i="1"/>
  <c r="I1523" i="1"/>
  <c r="H1523" i="1"/>
  <c r="N1522" i="1"/>
  <c r="M1522" i="1"/>
  <c r="Q1522" i="1"/>
  <c r="S1522" i="1" s="1"/>
  <c r="L9" i="18"/>
  <c r="Q957" i="1"/>
  <c r="S957" i="1" s="1"/>
  <c r="Q955" i="1"/>
  <c r="S955" i="1" s="1"/>
  <c r="Q953" i="1"/>
  <c r="S953" i="1" s="1"/>
  <c r="Q951" i="1"/>
  <c r="S951" i="1" s="1"/>
  <c r="Q949" i="1"/>
  <c r="S949" i="1" s="1"/>
  <c r="M957" i="1"/>
  <c r="M955" i="1"/>
  <c r="M953" i="1"/>
  <c r="M951" i="1"/>
  <c r="M949" i="1"/>
  <c r="M947" i="1"/>
  <c r="J958" i="1"/>
  <c r="I958" i="1"/>
  <c r="H958" i="1"/>
  <c r="J956" i="1"/>
  <c r="I956" i="1"/>
  <c r="H956" i="1"/>
  <c r="J954" i="1"/>
  <c r="I954" i="1"/>
  <c r="H954" i="1"/>
  <c r="J952" i="1"/>
  <c r="I952" i="1"/>
  <c r="H952" i="1"/>
  <c r="J950" i="1"/>
  <c r="I950" i="1"/>
  <c r="H950" i="1"/>
  <c r="J948" i="1"/>
  <c r="I948" i="1"/>
  <c r="H948" i="1"/>
  <c r="U961" i="1"/>
  <c r="V961" i="1"/>
  <c r="U954" i="1"/>
  <c r="U955" i="1"/>
  <c r="U956" i="1"/>
  <c r="U957" i="1"/>
  <c r="V954" i="1"/>
  <c r="V955" i="1"/>
  <c r="V956" i="1"/>
  <c r="V957" i="1"/>
  <c r="U958" i="1"/>
  <c r="U959" i="1"/>
  <c r="V958" i="1"/>
  <c r="V959" i="1"/>
  <c r="M4094" i="1"/>
  <c r="J4095" i="1"/>
  <c r="H4095" i="1"/>
  <c r="V67" i="43"/>
  <c r="V96" i="43"/>
  <c r="V17" i="43"/>
  <c r="V19" i="43"/>
  <c r="V23" i="43"/>
  <c r="V210" i="43"/>
  <c r="V25" i="43"/>
  <c r="V35" i="43"/>
  <c r="Q1592" i="1"/>
  <c r="S1592" i="1" s="1"/>
  <c r="M3401" i="1"/>
  <c r="M3403" i="1"/>
  <c r="J3402" i="1"/>
  <c r="I3402" i="1"/>
  <c r="Q3401" i="1"/>
  <c r="U1231" i="1"/>
  <c r="Q1231" i="1"/>
  <c r="J1232" i="1"/>
  <c r="I1232" i="1"/>
  <c r="J3379" i="1"/>
  <c r="I3379" i="1"/>
  <c r="Q935" i="1"/>
  <c r="R935" i="1" s="1"/>
  <c r="Q937" i="1"/>
  <c r="R937" i="1" s="1"/>
  <c r="Q939" i="1"/>
  <c r="S939" i="1" s="1"/>
  <c r="M937" i="1"/>
  <c r="M939" i="1"/>
  <c r="V935" i="1"/>
  <c r="V937" i="1"/>
  <c r="U935" i="1"/>
  <c r="U937" i="1"/>
  <c r="H936" i="1"/>
  <c r="L12" i="18"/>
  <c r="V10" i="43"/>
  <c r="V37" i="43"/>
  <c r="F245" i="2"/>
  <c r="G245" i="2"/>
  <c r="U245" i="2" a="1"/>
  <c r="U245" i="2" s="1"/>
  <c r="V245" i="2" a="1"/>
  <c r="V245" i="2" s="1"/>
  <c r="X245" i="2" s="1"/>
  <c r="Y245" i="2" a="1"/>
  <c r="Y245" i="2" s="1"/>
  <c r="Z245" i="2" a="1"/>
  <c r="Z245" i="2" s="1"/>
  <c r="AO245" i="2" a="1"/>
  <c r="AO245" i="2" s="1"/>
  <c r="BA245" i="2" a="1"/>
  <c r="BA245" i="2" s="1"/>
  <c r="BM245" i="2" a="1"/>
  <c r="BM245" i="2" s="1"/>
  <c r="Z1455" i="1"/>
  <c r="D245" i="2" l="1"/>
  <c r="R1522" i="1"/>
  <c r="R949" i="1"/>
  <c r="R951" i="1"/>
  <c r="R953" i="1"/>
  <c r="R955" i="1"/>
  <c r="R957" i="1"/>
  <c r="S937" i="1"/>
  <c r="R939" i="1"/>
  <c r="R1592" i="1"/>
  <c r="S935" i="1"/>
  <c r="BL245" i="2"/>
  <c r="AA245" i="2"/>
  <c r="R2821" i="1"/>
  <c r="U1082" i="1"/>
  <c r="Q1082" i="1"/>
  <c r="R1082" i="1" s="1"/>
  <c r="U1046" i="1"/>
  <c r="U1045" i="1"/>
  <c r="D357" i="2"/>
  <c r="F357" i="2"/>
  <c r="G357" i="2"/>
  <c r="U357" i="2" a="1"/>
  <c r="U357" i="2" s="1"/>
  <c r="V357" i="2" a="1"/>
  <c r="V357" i="2" s="1"/>
  <c r="X357" i="2" s="1"/>
  <c r="Y357" i="2" a="1"/>
  <c r="Y357" i="2" s="1"/>
  <c r="Z357" i="2" a="1"/>
  <c r="Z357" i="2" s="1"/>
  <c r="AO357" i="2" a="1"/>
  <c r="AO357" i="2" s="1"/>
  <c r="BA357" i="2" a="1"/>
  <c r="BA357" i="2" s="1"/>
  <c r="BM357" i="2" a="1"/>
  <c r="BM357" i="2" s="1"/>
  <c r="M3100" i="1"/>
  <c r="R3100" i="1" s="1"/>
  <c r="M3098" i="1"/>
  <c r="R3098" i="1" s="1"/>
  <c r="M3096" i="1"/>
  <c r="R3096" i="1" s="1"/>
  <c r="M3094" i="1"/>
  <c r="R3094" i="1" s="1"/>
  <c r="M3090" i="1"/>
  <c r="R3090" i="1" s="1"/>
  <c r="R3088" i="1"/>
  <c r="Q3098" i="1"/>
  <c r="Q3096" i="1"/>
  <c r="R3092" i="1"/>
  <c r="R3086" i="1"/>
  <c r="Q3086" i="1"/>
  <c r="Q2949" i="1"/>
  <c r="Q2951" i="1"/>
  <c r="L2097" i="1"/>
  <c r="N1648" i="1"/>
  <c r="U4239" i="1"/>
  <c r="Q4239" i="1"/>
  <c r="M4239" i="1"/>
  <c r="J4240" i="1"/>
  <c r="J4447" i="1"/>
  <c r="I4447" i="1"/>
  <c r="H4447" i="1"/>
  <c r="N4446" i="1"/>
  <c r="M4446" i="1"/>
  <c r="Q4446" i="1"/>
  <c r="S4446" i="1" s="1"/>
  <c r="J1083" i="1"/>
  <c r="H1083" i="1"/>
  <c r="H1085" i="1"/>
  <c r="J635" i="1"/>
  <c r="I635" i="1"/>
  <c r="H635" i="1"/>
  <c r="N634" i="1"/>
  <c r="M634" i="1"/>
  <c r="Q634" i="1"/>
  <c r="S634" i="1" s="1"/>
  <c r="V634" i="1"/>
  <c r="U410" i="1"/>
  <c r="M407" i="1"/>
  <c r="M405" i="1"/>
  <c r="Q407" i="1"/>
  <c r="R407" i="1" s="1"/>
  <c r="S405" i="1"/>
  <c r="J408" i="1"/>
  <c r="I408" i="1"/>
  <c r="H408" i="1"/>
  <c r="Q145" i="1"/>
  <c r="S145" i="1" s="1"/>
  <c r="M145" i="1"/>
  <c r="J146" i="1"/>
  <c r="I146" i="1"/>
  <c r="H146" i="1"/>
  <c r="Q3403" i="1"/>
  <c r="J3404" i="1"/>
  <c r="I3404" i="1"/>
  <c r="H3404" i="1"/>
  <c r="N1786" i="1"/>
  <c r="M1786" i="1"/>
  <c r="J1787" i="1"/>
  <c r="Q1786" i="1"/>
  <c r="Q4094" i="1"/>
  <c r="S4094" i="1" s="1"/>
  <c r="R4094" i="1" l="1"/>
  <c r="S3403" i="1"/>
  <c r="S407" i="1"/>
  <c r="R4446" i="1"/>
  <c r="BL357" i="2"/>
  <c r="AA357" i="2"/>
  <c r="R4239" i="1"/>
  <c r="R634" i="1"/>
  <c r="R405" i="1"/>
  <c r="R145" i="1"/>
  <c r="R1786" i="1"/>
  <c r="Q3609" i="1"/>
  <c r="S3609" i="1" s="1"/>
  <c r="M3609" i="1"/>
  <c r="J3610" i="1"/>
  <c r="I3610" i="1"/>
  <c r="H3610" i="1"/>
  <c r="N2767" i="1"/>
  <c r="N2765" i="1"/>
  <c r="N2763" i="1"/>
  <c r="N2761" i="1"/>
  <c r="N2759" i="1"/>
  <c r="N2757" i="1"/>
  <c r="N2755" i="1"/>
  <c r="N2753" i="1"/>
  <c r="N2751" i="1"/>
  <c r="N2749" i="1"/>
  <c r="Q2749" i="1"/>
  <c r="S2749" i="1" s="1"/>
  <c r="M2749" i="1"/>
  <c r="J2750" i="1"/>
  <c r="I2750" i="1"/>
  <c r="H2750" i="1"/>
  <c r="M3291" i="1"/>
  <c r="Q3291" i="1"/>
  <c r="S3291" i="1" s="1"/>
  <c r="J3294" i="1"/>
  <c r="I3294" i="1"/>
  <c r="H3294" i="1"/>
  <c r="J3296" i="1"/>
  <c r="I3296" i="1"/>
  <c r="H3296" i="1"/>
  <c r="H3298" i="1"/>
  <c r="Q3180" i="1"/>
  <c r="R3180" i="1" s="1"/>
  <c r="J3183" i="1"/>
  <c r="I3183" i="1"/>
  <c r="J3185" i="1"/>
  <c r="I3185" i="1"/>
  <c r="Q3765" i="1"/>
  <c r="S3765" i="1" l="1"/>
  <c r="R3765" i="1"/>
  <c r="R3609" i="1"/>
  <c r="R2749" i="1"/>
  <c r="R3291" i="1"/>
  <c r="Q457" i="1"/>
  <c r="R457" i="1" s="1"/>
  <c r="J458" i="1"/>
  <c r="I458" i="1"/>
  <c r="H458" i="1"/>
  <c r="N457" i="1"/>
  <c r="M457" i="1"/>
  <c r="J2914" i="1"/>
  <c r="I2914" i="1"/>
  <c r="Q2913" i="1"/>
  <c r="N2913" i="1"/>
  <c r="M2913" i="1"/>
  <c r="J460" i="1"/>
  <c r="I460" i="1"/>
  <c r="H460" i="1"/>
  <c r="J462" i="1"/>
  <c r="Q461" i="1"/>
  <c r="S461" i="1" s="1"/>
  <c r="Q459" i="1"/>
  <c r="S459" i="1" s="1"/>
  <c r="N461" i="1"/>
  <c r="M461" i="1"/>
  <c r="N459" i="1"/>
  <c r="M459" i="1"/>
  <c r="J4465" i="1"/>
  <c r="I4465" i="1"/>
  <c r="H4465" i="1"/>
  <c r="Q4464" i="1"/>
  <c r="R4464" i="1" s="1"/>
  <c r="N4464" i="1"/>
  <c r="M4464" i="1"/>
  <c r="J1420" i="1"/>
  <c r="I1420" i="1"/>
  <c r="J1422" i="1"/>
  <c r="I1422" i="1"/>
  <c r="J1424" i="1"/>
  <c r="H1424" i="1"/>
  <c r="Q1417" i="1"/>
  <c r="Q1419" i="1"/>
  <c r="S1419" i="1" s="1"/>
  <c r="M1419" i="1"/>
  <c r="M1421" i="1"/>
  <c r="J3113" i="1"/>
  <c r="Q3112" i="1"/>
  <c r="R3112" i="1" s="1"/>
  <c r="N1834" i="1"/>
  <c r="N1832" i="1"/>
  <c r="N1830" i="1"/>
  <c r="N1828" i="1"/>
  <c r="N1826" i="1"/>
  <c r="N1824" i="1"/>
  <c r="M1836" i="1"/>
  <c r="O1836" i="1" s="1"/>
  <c r="M1834" i="1"/>
  <c r="M1832" i="1"/>
  <c r="M1830" i="1"/>
  <c r="M1828" i="1"/>
  <c r="M1826" i="1"/>
  <c r="M1824" i="1"/>
  <c r="Q1824" i="1"/>
  <c r="I1825" i="1"/>
  <c r="J1825" i="1"/>
  <c r="R1419" i="1" l="1"/>
  <c r="S1417" i="1"/>
  <c r="R1417" i="1"/>
  <c r="H2914" i="1"/>
  <c r="S4464" i="1"/>
  <c r="H1825" i="1"/>
  <c r="R2913" i="1"/>
  <c r="S457" i="1"/>
  <c r="R461" i="1"/>
  <c r="R459" i="1"/>
  <c r="R1824" i="1"/>
  <c r="S2913" i="1" l="1"/>
  <c r="S1824" i="1"/>
  <c r="M214" i="1"/>
  <c r="H215" i="1"/>
  <c r="J215" i="1"/>
  <c r="I215" i="1"/>
  <c r="Q2030" i="1"/>
  <c r="S2030" i="1" s="1"/>
  <c r="Q2032" i="1"/>
  <c r="R2032" i="1" s="1"/>
  <c r="J2031" i="1"/>
  <c r="I2031" i="1"/>
  <c r="H2031" i="1"/>
  <c r="J2033" i="1"/>
  <c r="I2033" i="1"/>
  <c r="H2033" i="1"/>
  <c r="J1997" i="1"/>
  <c r="I1997" i="1"/>
  <c r="Q1996" i="1"/>
  <c r="S1996" i="1" s="1"/>
  <c r="Q216" i="1"/>
  <c r="S216" i="1" s="1"/>
  <c r="J217" i="1"/>
  <c r="I217" i="1"/>
  <c r="H217" i="1"/>
  <c r="U215" i="1"/>
  <c r="V214" i="1"/>
  <c r="V215" i="1"/>
  <c r="U216" i="1"/>
  <c r="U217" i="1"/>
  <c r="V216" i="1"/>
  <c r="V217" i="1"/>
  <c r="V3257" i="1"/>
  <c r="M3257" i="1"/>
  <c r="J1595" i="1"/>
  <c r="I1595" i="1"/>
  <c r="H1595" i="1"/>
  <c r="Q1594" i="1"/>
  <c r="R1594" i="1" s="1"/>
  <c r="N1594" i="1"/>
  <c r="M1594" i="1"/>
  <c r="N3859" i="1"/>
  <c r="M3859" i="1"/>
  <c r="Q3859" i="1"/>
  <c r="R3859" i="1" s="1"/>
  <c r="J3860" i="1"/>
  <c r="I3860" i="1"/>
  <c r="H3860" i="1"/>
  <c r="Q3324" i="1"/>
  <c r="S3324" i="1" s="1"/>
  <c r="M3324" i="1"/>
  <c r="J3325" i="1"/>
  <c r="I3325" i="1"/>
  <c r="H3325" i="1"/>
  <c r="Q1705" i="1"/>
  <c r="R1705" i="1" s="1"/>
  <c r="J1706" i="1"/>
  <c r="Q1707" i="1"/>
  <c r="R1707" i="1" s="1"/>
  <c r="J1708" i="1"/>
  <c r="I1708" i="1"/>
  <c r="J1710" i="1"/>
  <c r="I1710" i="1"/>
  <c r="J330" i="1"/>
  <c r="I330" i="1"/>
  <c r="Q329" i="1"/>
  <c r="M329" i="1"/>
  <c r="N353" i="1"/>
  <c r="N3384" i="1"/>
  <c r="N3382" i="1"/>
  <c r="N3378" i="1"/>
  <c r="N3380" i="1"/>
  <c r="M3378" i="1"/>
  <c r="Q3378" i="1"/>
  <c r="J3381" i="1"/>
  <c r="I3381" i="1"/>
  <c r="H3381" i="1"/>
  <c r="J3383" i="1"/>
  <c r="I3383" i="1"/>
  <c r="H3383" i="1"/>
  <c r="K1733" i="1"/>
  <c r="N1733" i="1"/>
  <c r="M1733" i="1"/>
  <c r="J1734" i="1"/>
  <c r="I1734" i="1"/>
  <c r="H1734" i="1"/>
  <c r="J3862" i="1"/>
  <c r="I3862" i="1"/>
  <c r="H3862" i="1"/>
  <c r="J3864" i="1"/>
  <c r="I3864" i="1"/>
  <c r="H3864" i="1"/>
  <c r="J3866" i="1"/>
  <c r="I3866" i="1"/>
  <c r="H3866" i="1"/>
  <c r="J3868" i="1"/>
  <c r="I3868" i="1"/>
  <c r="H3868" i="1"/>
  <c r="Q3869" i="1"/>
  <c r="S3869" i="1" s="1"/>
  <c r="Q3867" i="1"/>
  <c r="S3867" i="1" s="1"/>
  <c r="Q3865" i="1"/>
  <c r="S3865" i="1" s="1"/>
  <c r="Q3863" i="1"/>
  <c r="R3863" i="1" s="1"/>
  <c r="Q3861" i="1"/>
  <c r="S3861" i="1" s="1"/>
  <c r="N3869" i="1"/>
  <c r="M3869" i="1"/>
  <c r="N3867" i="1"/>
  <c r="M3867" i="1"/>
  <c r="N3865" i="1"/>
  <c r="M3865" i="1"/>
  <c r="N3863" i="1"/>
  <c r="M3863" i="1"/>
  <c r="N3861" i="1"/>
  <c r="M3861" i="1"/>
  <c r="U3870" i="1"/>
  <c r="V3870" i="1"/>
  <c r="U3871" i="1"/>
  <c r="V3871" i="1"/>
  <c r="U3857" i="1"/>
  <c r="U3858" i="1"/>
  <c r="U3859" i="1"/>
  <c r="U3860" i="1"/>
  <c r="U3861" i="1"/>
  <c r="U3862" i="1"/>
  <c r="U3863" i="1"/>
  <c r="U3864" i="1"/>
  <c r="U3865" i="1"/>
  <c r="U3866" i="1"/>
  <c r="U3867" i="1"/>
  <c r="U3868" i="1"/>
  <c r="U3869" i="1"/>
  <c r="U3872" i="1"/>
  <c r="V3857" i="1"/>
  <c r="V3858" i="1"/>
  <c r="V3859" i="1"/>
  <c r="V3860" i="1"/>
  <c r="V3861" i="1"/>
  <c r="V3862" i="1"/>
  <c r="V3863" i="1"/>
  <c r="V3864" i="1"/>
  <c r="V3865" i="1"/>
  <c r="V3866" i="1"/>
  <c r="V3867" i="1"/>
  <c r="V3868" i="1"/>
  <c r="V3869" i="1"/>
  <c r="V3872" i="1"/>
  <c r="J3824" i="1"/>
  <c r="I3824" i="1"/>
  <c r="H3824" i="1"/>
  <c r="J3822" i="1"/>
  <c r="I3822" i="1"/>
  <c r="H3822" i="1"/>
  <c r="J3820" i="1"/>
  <c r="I3820" i="1"/>
  <c r="H3820" i="1"/>
  <c r="J3818" i="1"/>
  <c r="I3818" i="1"/>
  <c r="H3818" i="1"/>
  <c r="M1524" i="1"/>
  <c r="I2978" i="1"/>
  <c r="M2977" i="1"/>
  <c r="Q2977" i="1"/>
  <c r="J2980" i="1"/>
  <c r="I2980" i="1"/>
  <c r="J2982" i="1"/>
  <c r="I2982" i="1"/>
  <c r="R1996" i="1" l="1"/>
  <c r="R3378" i="1"/>
  <c r="O1733" i="1"/>
  <c r="U214" i="1"/>
  <c r="S2032" i="1"/>
  <c r="S214" i="1"/>
  <c r="R214" i="1"/>
  <c r="R2030" i="1"/>
  <c r="R216" i="1"/>
  <c r="S1594" i="1"/>
  <c r="S3859" i="1"/>
  <c r="R3324" i="1"/>
  <c r="R329" i="1"/>
  <c r="R3861" i="1"/>
  <c r="S3863" i="1"/>
  <c r="R3865" i="1"/>
  <c r="R3867" i="1"/>
  <c r="R3869" i="1"/>
  <c r="R2977" i="1"/>
  <c r="Q1524" i="1"/>
  <c r="N1526" i="1"/>
  <c r="N1524" i="1"/>
  <c r="U2237" i="1"/>
  <c r="J2237" i="1"/>
  <c r="J2238" i="1" s="1"/>
  <c r="Q2095" i="1"/>
  <c r="N2095" i="1"/>
  <c r="M2095" i="1"/>
  <c r="O2095" i="1" s="1"/>
  <c r="J2096" i="1"/>
  <c r="I2096" i="1"/>
  <c r="Q2237" i="1"/>
  <c r="O3909" i="1"/>
  <c r="Q2819" i="1"/>
  <c r="U2166" i="1"/>
  <c r="V2166" i="1"/>
  <c r="U2165" i="1"/>
  <c r="V2165" i="1"/>
  <c r="U3379" i="1"/>
  <c r="U3380" i="1"/>
  <c r="U3381" i="1"/>
  <c r="U3382" i="1"/>
  <c r="U3383" i="1"/>
  <c r="U3384" i="1"/>
  <c r="U3385" i="1"/>
  <c r="U3386" i="1"/>
  <c r="V3378" i="1"/>
  <c r="V3379" i="1"/>
  <c r="V3380" i="1"/>
  <c r="V3381" i="1"/>
  <c r="V3382" i="1"/>
  <c r="V3383" i="1"/>
  <c r="V3384" i="1"/>
  <c r="V3385" i="1"/>
  <c r="V3386" i="1"/>
  <c r="M2154" i="1"/>
  <c r="Q2255" i="1"/>
  <c r="J2155" i="1"/>
  <c r="I2155" i="1"/>
  <c r="H2155" i="1"/>
  <c r="J2157" i="1"/>
  <c r="I2157" i="1"/>
  <c r="H2157" i="1"/>
  <c r="J2159" i="1"/>
  <c r="I2159" i="1"/>
  <c r="H2159" i="1"/>
  <c r="J2161" i="1"/>
  <c r="I2161" i="1"/>
  <c r="H2161" i="1"/>
  <c r="J2163" i="1"/>
  <c r="I2163" i="1"/>
  <c r="H2163" i="1"/>
  <c r="F79" i="2"/>
  <c r="G79" i="2"/>
  <c r="U79" i="2" a="1"/>
  <c r="U79" i="2" s="1"/>
  <c r="V79" i="2" a="1"/>
  <c r="V79" i="2" s="1"/>
  <c r="X79" i="2" s="1"/>
  <c r="Y79" i="2" a="1"/>
  <c r="Y79" i="2" s="1"/>
  <c r="Z79" i="2" a="1"/>
  <c r="Z79" i="2" s="1"/>
  <c r="AO79" i="2" a="1"/>
  <c r="AO79" i="2" s="1"/>
  <c r="BA79" i="2" a="1"/>
  <c r="BA79" i="2" s="1"/>
  <c r="BM79" i="2" a="1"/>
  <c r="BM79" i="2" s="1"/>
  <c r="U2147" i="1"/>
  <c r="V2147" i="1"/>
  <c r="N2164" i="1"/>
  <c r="M2164" i="1"/>
  <c r="N2162" i="1"/>
  <c r="M2162" i="1"/>
  <c r="N2160" i="1"/>
  <c r="M2160" i="1"/>
  <c r="N2158" i="1"/>
  <c r="M2158" i="1"/>
  <c r="N2156" i="1"/>
  <c r="M2156" i="1"/>
  <c r="N2154" i="1"/>
  <c r="Q2164" i="1"/>
  <c r="S2164" i="1" s="1"/>
  <c r="Q2162" i="1"/>
  <c r="S2162" i="1" s="1"/>
  <c r="Q2160" i="1"/>
  <c r="S2160" i="1" s="1"/>
  <c r="Q2158" i="1"/>
  <c r="S2158" i="1" s="1"/>
  <c r="Q2156" i="1"/>
  <c r="R2156" i="1" s="1"/>
  <c r="Q2154" i="1"/>
  <c r="R2154" i="1" s="1"/>
  <c r="J3926" i="1"/>
  <c r="I3926" i="1"/>
  <c r="H3926" i="1"/>
  <c r="J3924" i="1"/>
  <c r="I3924" i="1"/>
  <c r="H3924" i="1"/>
  <c r="J3922" i="1"/>
  <c r="I3922" i="1"/>
  <c r="H3922" i="1"/>
  <c r="J3920" i="1"/>
  <c r="I3920" i="1"/>
  <c r="H3920" i="1"/>
  <c r="J3918" i="1"/>
  <c r="I3918" i="1"/>
  <c r="H3918" i="1"/>
  <c r="Q3927" i="1"/>
  <c r="S3927" i="1" s="1"/>
  <c r="Q3925" i="1"/>
  <c r="S3925" i="1" s="1"/>
  <c r="Q3923" i="1"/>
  <c r="S3923" i="1" s="1"/>
  <c r="Q3921" i="1"/>
  <c r="S3921" i="1" s="1"/>
  <c r="Q3919" i="1"/>
  <c r="R3919" i="1" s="1"/>
  <c r="N3927" i="1"/>
  <c r="M3927" i="1"/>
  <c r="N3925" i="1"/>
  <c r="M3925" i="1"/>
  <c r="N3923" i="1"/>
  <c r="M3923" i="1"/>
  <c r="N3921" i="1"/>
  <c r="M3921" i="1"/>
  <c r="N3919" i="1"/>
  <c r="M3919" i="1"/>
  <c r="U3919" i="1"/>
  <c r="U3920" i="1"/>
  <c r="U3921" i="1"/>
  <c r="V3919" i="1"/>
  <c r="V3920" i="1"/>
  <c r="V3921" i="1"/>
  <c r="U3922" i="1"/>
  <c r="U3923" i="1"/>
  <c r="U3924" i="1"/>
  <c r="V3922" i="1"/>
  <c r="V3923" i="1"/>
  <c r="V3924" i="1"/>
  <c r="U3925" i="1"/>
  <c r="U3926" i="1"/>
  <c r="U3927" i="1"/>
  <c r="V3925" i="1"/>
  <c r="V3926" i="1"/>
  <c r="V3927" i="1"/>
  <c r="Q761" i="1"/>
  <c r="R761" i="1" s="1"/>
  <c r="Q763" i="1"/>
  <c r="S763" i="1" s="1"/>
  <c r="N763" i="1"/>
  <c r="M763" i="1"/>
  <c r="J764" i="1"/>
  <c r="I764" i="1"/>
  <c r="N3785" i="1"/>
  <c r="K3787" i="1"/>
  <c r="K3789" i="1"/>
  <c r="L3787" i="1"/>
  <c r="M3787" i="1" s="1"/>
  <c r="L3789" i="1"/>
  <c r="W3787" i="1"/>
  <c r="W3789" i="1"/>
  <c r="T3787" i="1"/>
  <c r="Q3785" i="1"/>
  <c r="Q3787" i="1"/>
  <c r="L3791" i="1"/>
  <c r="T3791" i="1"/>
  <c r="K3791" i="1"/>
  <c r="T3789" i="1"/>
  <c r="J3787" i="1"/>
  <c r="J3786" i="1" s="1"/>
  <c r="I3787" i="1"/>
  <c r="R2255" i="1" l="1"/>
  <c r="S2255" i="1"/>
  <c r="O3787" i="1"/>
  <c r="S3787" i="1"/>
  <c r="S3785" i="1"/>
  <c r="D79" i="2"/>
  <c r="R2095" i="1"/>
  <c r="BL79" i="2"/>
  <c r="AA79" i="2"/>
  <c r="R2158" i="1"/>
  <c r="S2154" i="1"/>
  <c r="R2162" i="1"/>
  <c r="S2156" i="1"/>
  <c r="R2160" i="1"/>
  <c r="R2164" i="1"/>
  <c r="R3921" i="1"/>
  <c r="R3923" i="1"/>
  <c r="R3925" i="1"/>
  <c r="S3919" i="1"/>
  <c r="R3927" i="1"/>
  <c r="R3785" i="1"/>
  <c r="R763" i="1"/>
  <c r="M3785" i="1"/>
  <c r="N3787" i="1"/>
  <c r="R3787" i="1"/>
  <c r="J4483" i="1"/>
  <c r="I4483" i="1"/>
  <c r="H4483" i="1"/>
  <c r="J4485" i="1"/>
  <c r="I4485" i="1"/>
  <c r="H4485" i="1"/>
  <c r="J4487" i="1"/>
  <c r="I4487" i="1"/>
  <c r="H4487" i="1"/>
  <c r="J4489" i="1"/>
  <c r="I4489" i="1"/>
  <c r="H4489" i="1"/>
  <c r="J4491" i="1"/>
  <c r="I4491" i="1"/>
  <c r="H4491" i="1"/>
  <c r="I938" i="1"/>
  <c r="J938" i="1"/>
  <c r="H938" i="1"/>
  <c r="N1198" i="1"/>
  <c r="M1198" i="1"/>
  <c r="J1199" i="1"/>
  <c r="I1199" i="1"/>
  <c r="Q656" i="1"/>
  <c r="R656" i="1" s="1"/>
  <c r="M656" i="1"/>
  <c r="J657" i="1"/>
  <c r="I657" i="1"/>
  <c r="J56" i="1"/>
  <c r="I56" i="1"/>
  <c r="V58" i="1"/>
  <c r="N55" i="1"/>
  <c r="J80" i="1"/>
  <c r="I80" i="1"/>
  <c r="H80" i="1"/>
  <c r="J77" i="1"/>
  <c r="J74" i="1"/>
  <c r="J71" i="1"/>
  <c r="I71" i="1"/>
  <c r="H71" i="1"/>
  <c r="J68" i="1"/>
  <c r="I68" i="1"/>
  <c r="H68" i="1"/>
  <c r="J65" i="1"/>
  <c r="I65" i="1"/>
  <c r="H65" i="1"/>
  <c r="J62" i="1"/>
  <c r="I62" i="1"/>
  <c r="H62" i="1"/>
  <c r="Q598" i="1"/>
  <c r="M598" i="1"/>
  <c r="J599" i="1"/>
  <c r="M7" i="1"/>
  <c r="M9" i="1"/>
  <c r="M13" i="1"/>
  <c r="M15" i="1"/>
  <c r="M17" i="1"/>
  <c r="M19" i="1"/>
  <c r="M21" i="1"/>
  <c r="M23" i="1"/>
  <c r="M35" i="1"/>
  <c r="M37" i="1"/>
  <c r="M39" i="1"/>
  <c r="M41" i="1"/>
  <c r="M43" i="1"/>
  <c r="M45" i="1"/>
  <c r="M47" i="1"/>
  <c r="M49" i="1"/>
  <c r="M73" i="1"/>
  <c r="M101" i="1"/>
  <c r="N101" i="1" s="1"/>
  <c r="M103" i="1"/>
  <c r="M105" i="1"/>
  <c r="M107" i="1"/>
  <c r="M109" i="1"/>
  <c r="M111" i="1"/>
  <c r="M113" i="1"/>
  <c r="M115" i="1"/>
  <c r="M129" i="1"/>
  <c r="M131" i="1"/>
  <c r="M133" i="1"/>
  <c r="M135" i="1"/>
  <c r="M137" i="1"/>
  <c r="M139" i="1"/>
  <c r="M147" i="1"/>
  <c r="M149" i="1"/>
  <c r="M151" i="1"/>
  <c r="M155" i="1"/>
  <c r="M157" i="1"/>
  <c r="M159" i="1"/>
  <c r="M161" i="1"/>
  <c r="M163" i="1"/>
  <c r="M167" i="1"/>
  <c r="M218" i="1"/>
  <c r="M220" i="1"/>
  <c r="M222" i="1"/>
  <c r="M224" i="1"/>
  <c r="M301" i="1"/>
  <c r="M303" i="1"/>
  <c r="M305" i="1"/>
  <c r="M307" i="1"/>
  <c r="M309" i="1"/>
  <c r="M315" i="1"/>
  <c r="M317" i="1"/>
  <c r="M319" i="1"/>
  <c r="M321" i="1"/>
  <c r="M323" i="1"/>
  <c r="M331" i="1"/>
  <c r="M333" i="1"/>
  <c r="M335" i="1"/>
  <c r="M337" i="1"/>
  <c r="M339" i="1"/>
  <c r="M341" i="1"/>
  <c r="M343" i="1"/>
  <c r="M345" i="1"/>
  <c r="M347" i="1"/>
  <c r="M349" i="1"/>
  <c r="M351" i="1"/>
  <c r="M353" i="1"/>
  <c r="M385" i="1"/>
  <c r="M387" i="1"/>
  <c r="M389" i="1"/>
  <c r="M391" i="1"/>
  <c r="M393" i="1"/>
  <c r="M395" i="1"/>
  <c r="M397" i="1"/>
  <c r="M409" i="1"/>
  <c r="M411" i="1"/>
  <c r="M413" i="1"/>
  <c r="M415" i="1"/>
  <c r="M417" i="1"/>
  <c r="M419" i="1"/>
  <c r="M421" i="1"/>
  <c r="M423" i="1"/>
  <c r="M425" i="1"/>
  <c r="M433" i="1"/>
  <c r="M435" i="1"/>
  <c r="M437" i="1"/>
  <c r="M439" i="1"/>
  <c r="M441" i="1"/>
  <c r="M443" i="1"/>
  <c r="M465" i="1"/>
  <c r="M467" i="1"/>
  <c r="M469" i="1"/>
  <c r="M471" i="1"/>
  <c r="M473" i="1"/>
  <c r="M479" i="1"/>
  <c r="M481" i="1"/>
  <c r="M483" i="1"/>
  <c r="M485" i="1"/>
  <c r="M487" i="1"/>
  <c r="M489" i="1"/>
  <c r="M491" i="1"/>
  <c r="M493" i="1"/>
  <c r="M495" i="1"/>
  <c r="M497" i="1"/>
  <c r="M499" i="1"/>
  <c r="M501" i="1"/>
  <c r="M505" i="1"/>
  <c r="M507" i="1"/>
  <c r="M509" i="1"/>
  <c r="M511" i="1"/>
  <c r="M513" i="1"/>
  <c r="M515" i="1"/>
  <c r="M517" i="1"/>
  <c r="M519" i="1"/>
  <c r="M521" i="1"/>
  <c r="M527" i="1"/>
  <c r="M529" i="1"/>
  <c r="M531" i="1"/>
  <c r="M533" i="1"/>
  <c r="M535" i="1"/>
  <c r="M537" i="1"/>
  <c r="M539" i="1"/>
  <c r="M541" i="1"/>
  <c r="M543" i="1"/>
  <c r="M545" i="1"/>
  <c r="M547" i="1"/>
  <c r="M549" i="1"/>
  <c r="M559" i="1"/>
  <c r="M580" i="1"/>
  <c r="M582" i="1"/>
  <c r="M584" i="1"/>
  <c r="M586" i="1"/>
  <c r="M588" i="1"/>
  <c r="M600" i="1"/>
  <c r="M602" i="1"/>
  <c r="M604" i="1"/>
  <c r="M606" i="1"/>
  <c r="M608" i="1"/>
  <c r="M610" i="1"/>
  <c r="M612" i="1"/>
  <c r="M614" i="1"/>
  <c r="M616" i="1"/>
  <c r="M636" i="1"/>
  <c r="M638" i="1"/>
  <c r="M640" i="1"/>
  <c r="M642" i="1"/>
  <c r="M644" i="1"/>
  <c r="M646" i="1"/>
  <c r="M648" i="1"/>
  <c r="M650" i="1"/>
  <c r="M658" i="1"/>
  <c r="M660" i="1"/>
  <c r="M662" i="1"/>
  <c r="M664" i="1"/>
  <c r="M666" i="1"/>
  <c r="M668" i="1"/>
  <c r="M670" i="1"/>
  <c r="M674" i="1"/>
  <c r="M676" i="1"/>
  <c r="M707" i="1"/>
  <c r="M709" i="1"/>
  <c r="M711" i="1"/>
  <c r="M713" i="1"/>
  <c r="M715" i="1"/>
  <c r="M717" i="1"/>
  <c r="M719" i="1"/>
  <c r="M727" i="1"/>
  <c r="M729" i="1"/>
  <c r="M731" i="1"/>
  <c r="M733" i="1"/>
  <c r="M735" i="1"/>
  <c r="M737" i="1"/>
  <c r="M739" i="1"/>
  <c r="M741" i="1"/>
  <c r="M743" i="1"/>
  <c r="M745" i="1"/>
  <c r="M765" i="1"/>
  <c r="M767" i="1"/>
  <c r="M769" i="1"/>
  <c r="M771" i="1"/>
  <c r="M773" i="1"/>
  <c r="M775" i="1"/>
  <c r="M777" i="1"/>
  <c r="M813" i="1"/>
  <c r="M815" i="1"/>
  <c r="M817" i="1"/>
  <c r="M819" i="1"/>
  <c r="M831" i="1"/>
  <c r="M833" i="1"/>
  <c r="M835" i="1"/>
  <c r="M837" i="1"/>
  <c r="M839" i="1"/>
  <c r="M841" i="1"/>
  <c r="M843" i="1"/>
  <c r="M845" i="1"/>
  <c r="M847" i="1"/>
  <c r="M855" i="1"/>
  <c r="M857" i="1"/>
  <c r="M859" i="1"/>
  <c r="M861" i="1"/>
  <c r="M875" i="1"/>
  <c r="M877" i="1"/>
  <c r="M965" i="1"/>
  <c r="M967" i="1"/>
  <c r="M969" i="1"/>
  <c r="M971" i="1"/>
  <c r="M973" i="1"/>
  <c r="M975" i="1"/>
  <c r="M985" i="1"/>
  <c r="M987" i="1"/>
  <c r="M989" i="1"/>
  <c r="O989" i="1" s="1"/>
  <c r="M991" i="1"/>
  <c r="O991" i="1" s="1"/>
  <c r="M993" i="1"/>
  <c r="O993" i="1" s="1"/>
  <c r="M995" i="1"/>
  <c r="O995" i="1" s="1"/>
  <c r="M997" i="1"/>
  <c r="O997" i="1" s="1"/>
  <c r="M1013" i="1"/>
  <c r="M1015" i="1"/>
  <c r="M1017" i="1"/>
  <c r="M1019" i="1"/>
  <c r="M1021" i="1"/>
  <c r="M1027" i="1"/>
  <c r="M1029" i="1"/>
  <c r="M1031" i="1"/>
  <c r="M1033" i="1"/>
  <c r="O1033" i="1" s="1"/>
  <c r="M1084" i="1"/>
  <c r="M1086" i="1"/>
  <c r="M1088" i="1"/>
  <c r="M1090" i="1"/>
  <c r="M1092" i="1"/>
  <c r="M1094" i="1"/>
  <c r="M1096" i="1"/>
  <c r="M1098" i="1"/>
  <c r="M1105" i="1"/>
  <c r="M1107" i="1"/>
  <c r="M1109" i="1"/>
  <c r="M1111" i="1"/>
  <c r="M1113" i="1"/>
  <c r="M1115" i="1"/>
  <c r="M1117" i="1"/>
  <c r="M1119" i="1"/>
  <c r="M1121" i="1"/>
  <c r="M1123" i="1"/>
  <c r="M1125" i="1"/>
  <c r="M1127" i="1"/>
  <c r="M1129" i="1"/>
  <c r="M1131" i="1"/>
  <c r="M1133" i="1"/>
  <c r="M1180" i="1"/>
  <c r="M1182" i="1"/>
  <c r="M1184" i="1"/>
  <c r="M1200" i="1"/>
  <c r="M1202" i="1"/>
  <c r="M1204" i="1"/>
  <c r="M1206" i="1"/>
  <c r="M1208" i="1"/>
  <c r="M1210" i="1"/>
  <c r="M1212" i="1"/>
  <c r="M1214" i="1"/>
  <c r="M1216" i="1"/>
  <c r="M1218" i="1"/>
  <c r="M1220" i="1"/>
  <c r="M1233" i="1"/>
  <c r="M1235" i="1"/>
  <c r="M1237" i="1"/>
  <c r="M1254" i="1"/>
  <c r="M1256" i="1"/>
  <c r="M1258" i="1"/>
  <c r="M1260" i="1"/>
  <c r="M1262" i="1"/>
  <c r="M1264" i="1"/>
  <c r="M1273" i="1"/>
  <c r="M1277" i="1"/>
  <c r="M1279" i="1"/>
  <c r="M1281" i="1"/>
  <c r="M1283" i="1"/>
  <c r="M1285" i="1"/>
  <c r="M1287" i="1"/>
  <c r="M1289" i="1"/>
  <c r="M1303" i="1"/>
  <c r="M1305" i="1"/>
  <c r="M1307" i="1"/>
  <c r="M1309" i="1"/>
  <c r="M1311" i="1"/>
  <c r="M1313" i="1"/>
  <c r="M1315" i="1"/>
  <c r="M1317" i="1"/>
  <c r="M1319" i="1"/>
  <c r="M1321" i="1"/>
  <c r="M1323" i="1"/>
  <c r="M1325" i="1"/>
  <c r="M1327" i="1"/>
  <c r="M1335" i="1"/>
  <c r="M1337" i="1"/>
  <c r="M1339" i="1"/>
  <c r="M1341" i="1"/>
  <c r="M1353" i="1"/>
  <c r="M1355" i="1"/>
  <c r="M1357" i="1"/>
  <c r="M1359" i="1"/>
  <c r="M1361" i="1"/>
  <c r="M1363" i="1"/>
  <c r="M1365" i="1"/>
  <c r="M1367" i="1"/>
  <c r="M1369" i="1"/>
  <c r="M1387" i="1"/>
  <c r="M1389" i="1"/>
  <c r="M1391" i="1"/>
  <c r="M1393" i="1"/>
  <c r="M1395" i="1"/>
  <c r="M1397" i="1"/>
  <c r="M1399" i="1"/>
  <c r="M1405" i="1"/>
  <c r="M1407" i="1"/>
  <c r="M1409" i="1"/>
  <c r="M1423" i="1"/>
  <c r="M1425" i="1"/>
  <c r="M1427" i="1"/>
  <c r="M1429" i="1"/>
  <c r="M1431" i="1"/>
  <c r="M1433" i="1"/>
  <c r="M1435" i="1"/>
  <c r="M1459" i="1"/>
  <c r="M1461" i="1"/>
  <c r="M1463" i="1"/>
  <c r="M1467" i="1"/>
  <c r="M1469" i="1"/>
  <c r="M1471" i="1"/>
  <c r="M1473" i="1"/>
  <c r="M1475" i="1"/>
  <c r="M1502" i="1"/>
  <c r="O1502" i="1" s="1"/>
  <c r="M1504" i="1"/>
  <c r="O1504" i="1" s="1"/>
  <c r="M1506" i="1"/>
  <c r="O1506" i="1" s="1"/>
  <c r="M1526" i="1"/>
  <c r="M1528" i="1"/>
  <c r="M1530" i="1"/>
  <c r="M1532" i="1"/>
  <c r="M1534" i="1"/>
  <c r="M1536" i="1"/>
  <c r="M1538" i="1"/>
  <c r="M1540" i="1"/>
  <c r="M1557" i="1"/>
  <c r="O1557" i="1" s="1"/>
  <c r="M1559" i="1"/>
  <c r="O1559" i="1" s="1"/>
  <c r="M1561" i="1"/>
  <c r="O1561" i="1" s="1"/>
  <c r="M1563" i="1"/>
  <c r="O1563" i="1" s="1"/>
  <c r="M1565" i="1"/>
  <c r="O1565" i="1" s="1"/>
  <c r="M1567" i="1"/>
  <c r="O1567" i="1" s="1"/>
  <c r="M1569" i="1"/>
  <c r="O1569" i="1" s="1"/>
  <c r="M1579" i="1"/>
  <c r="O1579" i="1" s="1"/>
  <c r="M1581" i="1"/>
  <c r="O1581" i="1" s="1"/>
  <c r="M1583" i="1"/>
  <c r="O1583" i="1" s="1"/>
  <c r="M1596" i="1"/>
  <c r="M1598" i="1"/>
  <c r="M1600" i="1"/>
  <c r="M1602" i="1"/>
  <c r="O1602" i="1" s="1"/>
  <c r="M1604" i="1"/>
  <c r="O1604" i="1" s="1"/>
  <c r="M1606" i="1"/>
  <c r="M1608" i="1"/>
  <c r="O1608" i="1" s="1"/>
  <c r="M1610" i="1"/>
  <c r="O1610" i="1" s="1"/>
  <c r="M1612" i="1"/>
  <c r="O1612" i="1" s="1"/>
  <c r="M1614" i="1"/>
  <c r="O1614" i="1" s="1"/>
  <c r="M1616" i="1"/>
  <c r="O1616" i="1" s="1"/>
  <c r="M1630" i="1"/>
  <c r="O1630" i="1" s="1"/>
  <c r="M1632" i="1"/>
  <c r="O1632" i="1" s="1"/>
  <c r="M1634" i="1"/>
  <c r="O1634" i="1" s="1"/>
  <c r="M1646" i="1"/>
  <c r="M1648" i="1"/>
  <c r="M1650" i="1"/>
  <c r="M1652" i="1"/>
  <c r="M1654" i="1"/>
  <c r="M1656" i="1"/>
  <c r="M1658" i="1"/>
  <c r="M1660" i="1"/>
  <c r="M1662" i="1"/>
  <c r="M1664" i="1"/>
  <c r="M1666" i="1"/>
  <c r="M1668" i="1"/>
  <c r="M1670" i="1"/>
  <c r="M1672" i="1"/>
  <c r="O1672" i="1" s="1"/>
  <c r="M1685" i="1"/>
  <c r="M1687" i="1"/>
  <c r="M1689" i="1"/>
  <c r="M1691" i="1"/>
  <c r="M1693" i="1"/>
  <c r="M1695" i="1"/>
  <c r="M1697" i="1"/>
  <c r="M1699" i="1"/>
  <c r="M1711" i="1"/>
  <c r="M1713" i="1"/>
  <c r="M1715" i="1"/>
  <c r="M1717" i="1"/>
  <c r="M1719" i="1"/>
  <c r="M1721" i="1"/>
  <c r="M1723" i="1"/>
  <c r="M1725" i="1"/>
  <c r="M1727" i="1"/>
  <c r="M1729" i="1"/>
  <c r="M1735" i="1"/>
  <c r="O1735" i="1" s="1"/>
  <c r="M1737" i="1"/>
  <c r="O1737" i="1" s="1"/>
  <c r="M1739" i="1"/>
  <c r="O1739" i="1" s="1"/>
  <c r="M1741" i="1"/>
  <c r="O1741" i="1" s="1"/>
  <c r="M1743" i="1"/>
  <c r="O1743" i="1" s="1"/>
  <c r="M1745" i="1"/>
  <c r="O1745" i="1" s="1"/>
  <c r="M1747" i="1"/>
  <c r="O1747" i="1" s="1"/>
  <c r="M1749" i="1"/>
  <c r="O1749" i="1" s="1"/>
  <c r="M1751" i="1"/>
  <c r="O1751" i="1" s="1"/>
  <c r="M1753" i="1"/>
  <c r="O1753" i="1" s="1"/>
  <c r="M1755" i="1"/>
  <c r="O1755" i="1" s="1"/>
  <c r="M1757" i="1"/>
  <c r="O1757" i="1" s="1"/>
  <c r="M1759" i="1"/>
  <c r="O1759" i="1" s="1"/>
  <c r="M1761" i="1"/>
  <c r="O1761" i="1" s="1"/>
  <c r="M1765" i="1"/>
  <c r="M1767" i="1"/>
  <c r="M1769" i="1"/>
  <c r="M1771" i="1"/>
  <c r="M1773" i="1"/>
  <c r="M1775" i="1"/>
  <c r="M1777" i="1"/>
  <c r="M1779" i="1"/>
  <c r="M1788" i="1"/>
  <c r="O1788" i="1" s="1"/>
  <c r="M1790" i="1"/>
  <c r="O1790" i="1" s="1"/>
  <c r="M1792" i="1"/>
  <c r="O1792" i="1" s="1"/>
  <c r="M1794" i="1"/>
  <c r="O1794" i="1" s="1"/>
  <c r="M1796" i="1"/>
  <c r="O1796" i="1" s="1"/>
  <c r="M1798" i="1"/>
  <c r="O1798" i="1" s="1"/>
  <c r="M1800" i="1"/>
  <c r="O1800" i="1" s="1"/>
  <c r="M1802" i="1"/>
  <c r="O1802" i="1" s="1"/>
  <c r="M1804" i="1"/>
  <c r="O1804" i="1" s="1"/>
  <c r="M1806" i="1"/>
  <c r="O1806" i="1" s="1"/>
  <c r="M1808" i="1"/>
  <c r="O1808" i="1" s="1"/>
  <c r="M1810" i="1"/>
  <c r="O1810" i="1" s="1"/>
  <c r="M1812" i="1"/>
  <c r="O1812" i="1" s="1"/>
  <c r="M1814" i="1"/>
  <c r="O1814" i="1" s="1"/>
  <c r="M1816" i="1"/>
  <c r="O1816" i="1" s="1"/>
  <c r="M1818" i="1"/>
  <c r="O1818" i="1" s="1"/>
  <c r="M1856" i="1"/>
  <c r="O1856" i="1" s="1"/>
  <c r="M1858" i="1"/>
  <c r="O1858" i="1" s="1"/>
  <c r="M1860" i="1"/>
  <c r="O1860" i="1" s="1"/>
  <c r="M1862" i="1"/>
  <c r="O1862" i="1" s="1"/>
  <c r="M1864" i="1"/>
  <c r="O1864" i="1" s="1"/>
  <c r="M1866" i="1"/>
  <c r="M1868" i="1"/>
  <c r="M1872" i="1"/>
  <c r="O1872" i="1" s="1"/>
  <c r="M1876" i="1"/>
  <c r="O1876" i="1" s="1"/>
  <c r="M1878" i="1"/>
  <c r="O1878" i="1" s="1"/>
  <c r="M1880" i="1"/>
  <c r="O1880" i="1" s="1"/>
  <c r="M1882" i="1"/>
  <c r="O1882" i="1" s="1"/>
  <c r="M1884" i="1"/>
  <c r="O1884" i="1" s="1"/>
  <c r="M1891" i="1"/>
  <c r="O1891" i="1" s="1"/>
  <c r="M1893" i="1"/>
  <c r="O1893" i="1" s="1"/>
  <c r="M1895" i="1"/>
  <c r="O1895" i="1" s="1"/>
  <c r="M1897" i="1"/>
  <c r="O1897" i="1" s="1"/>
  <c r="M1899" i="1"/>
  <c r="O1899" i="1" s="1"/>
  <c r="M1905" i="1"/>
  <c r="O1905" i="1" s="1"/>
  <c r="M1907" i="1"/>
  <c r="O1907" i="1" s="1"/>
  <c r="M1909" i="1"/>
  <c r="O1909" i="1" s="1"/>
  <c r="M1911" i="1"/>
  <c r="O1911" i="1" s="1"/>
  <c r="M1917" i="1"/>
  <c r="M1919" i="1"/>
  <c r="O1919" i="1" s="1"/>
  <c r="M1921" i="1"/>
  <c r="O1921" i="1" s="1"/>
  <c r="M1923" i="1"/>
  <c r="O1923" i="1" s="1"/>
  <c r="M1933" i="1"/>
  <c r="O1933" i="1" s="1"/>
  <c r="M1935" i="1"/>
  <c r="O1935" i="1" s="1"/>
  <c r="M1937" i="1"/>
  <c r="O1937" i="1" s="1"/>
  <c r="M1939" i="1"/>
  <c r="O1939" i="1" s="1"/>
  <c r="M1941" i="1"/>
  <c r="O1941" i="1" s="1"/>
  <c r="M1943" i="1"/>
  <c r="O1943" i="1" s="1"/>
  <c r="M1945" i="1"/>
  <c r="O1945" i="1" s="1"/>
  <c r="M1962" i="1"/>
  <c r="M1964" i="1"/>
  <c r="O1964" i="1" s="1"/>
  <c r="M1979" i="1"/>
  <c r="O1979" i="1" s="1"/>
  <c r="M1981" i="1"/>
  <c r="O1981" i="1" s="1"/>
  <c r="M1983" i="1"/>
  <c r="O1983" i="1" s="1"/>
  <c r="M1985" i="1"/>
  <c r="O1985" i="1" s="1"/>
  <c r="M1998" i="1"/>
  <c r="M2000" i="1"/>
  <c r="M2002" i="1"/>
  <c r="M2004" i="1"/>
  <c r="M2006" i="1"/>
  <c r="M2008" i="1"/>
  <c r="M2010" i="1"/>
  <c r="M2012" i="1"/>
  <c r="M2014" i="1"/>
  <c r="M2016" i="1"/>
  <c r="M2018" i="1"/>
  <c r="M2034" i="1"/>
  <c r="O2034" i="1" s="1"/>
  <c r="M2036" i="1"/>
  <c r="O2036" i="1" s="1"/>
  <c r="M2038" i="1"/>
  <c r="O2038" i="1" s="1"/>
  <c r="M2040" i="1"/>
  <c r="O2040" i="1" s="1"/>
  <c r="M2042" i="1"/>
  <c r="O2042" i="1" s="1"/>
  <c r="M2044" i="1"/>
  <c r="O2044" i="1" s="1"/>
  <c r="M2071" i="1"/>
  <c r="O2071" i="1" s="1"/>
  <c r="M2073" i="1"/>
  <c r="O2073" i="1" s="1"/>
  <c r="M2075" i="1"/>
  <c r="O2075" i="1" s="1"/>
  <c r="M2077" i="1"/>
  <c r="O2077" i="1" s="1"/>
  <c r="M2079" i="1"/>
  <c r="M2081" i="1"/>
  <c r="M2099" i="1"/>
  <c r="O2099" i="1" s="1"/>
  <c r="M2101" i="1"/>
  <c r="O2101" i="1" s="1"/>
  <c r="M2103" i="1"/>
  <c r="O2103" i="1" s="1"/>
  <c r="M2107" i="1"/>
  <c r="O2107" i="1" s="1"/>
  <c r="M2109" i="1"/>
  <c r="O2109" i="1" s="1"/>
  <c r="M2111" i="1"/>
  <c r="O2111" i="1" s="1"/>
  <c r="M2113" i="1"/>
  <c r="O2113" i="1" s="1"/>
  <c r="M2115" i="1"/>
  <c r="O2115" i="1" s="1"/>
  <c r="M2117" i="1"/>
  <c r="O2117" i="1" s="1"/>
  <c r="M2119" i="1"/>
  <c r="O2119" i="1" s="1"/>
  <c r="M2121" i="1"/>
  <c r="O2121" i="1" s="1"/>
  <c r="M2123" i="1"/>
  <c r="O2123" i="1" s="1"/>
  <c r="M2136" i="1"/>
  <c r="O2136" i="1" s="1"/>
  <c r="M2138" i="1"/>
  <c r="O2138" i="1" s="1"/>
  <c r="M2140" i="1"/>
  <c r="O2140" i="1" s="1"/>
  <c r="M2142" i="1"/>
  <c r="O2142" i="1" s="1"/>
  <c r="M2144" i="1"/>
  <c r="O2144" i="1" s="1"/>
  <c r="M2190" i="1"/>
  <c r="M2192" i="1"/>
  <c r="M2194" i="1"/>
  <c r="M2198" i="1"/>
  <c r="M2200" i="1"/>
  <c r="M2202" i="1"/>
  <c r="M2239" i="1"/>
  <c r="M2241" i="1"/>
  <c r="M2243" i="1"/>
  <c r="M2257" i="1"/>
  <c r="M2259" i="1"/>
  <c r="M2261" i="1"/>
  <c r="M2263" i="1"/>
  <c r="M2265" i="1"/>
  <c r="M2267" i="1"/>
  <c r="M2269" i="1"/>
  <c r="M2271" i="1"/>
  <c r="M2273" i="1"/>
  <c r="M2275" i="1"/>
  <c r="M2277" i="1"/>
  <c r="M2279" i="1"/>
  <c r="M2281" i="1"/>
  <c r="M2283" i="1"/>
  <c r="M2305" i="1"/>
  <c r="O2305" i="1" s="1"/>
  <c r="M2307" i="1"/>
  <c r="O2307" i="1" s="1"/>
  <c r="M2309" i="1"/>
  <c r="O2309" i="1" s="1"/>
  <c r="M2311" i="1"/>
  <c r="O2311" i="1" s="1"/>
  <c r="M2313" i="1"/>
  <c r="O2313" i="1" s="1"/>
  <c r="M2315" i="1"/>
  <c r="O2315" i="1" s="1"/>
  <c r="M2317" i="1"/>
  <c r="O2317" i="1" s="1"/>
  <c r="M2319" i="1"/>
  <c r="O2319" i="1" s="1"/>
  <c r="M2321" i="1"/>
  <c r="O2321" i="1" s="1"/>
  <c r="M2323" i="1"/>
  <c r="O2323" i="1" s="1"/>
  <c r="M2325" i="1"/>
  <c r="O2325" i="1" s="1"/>
  <c r="M2333" i="1"/>
  <c r="O2333" i="1" s="1"/>
  <c r="M2335" i="1"/>
  <c r="O2335" i="1" s="1"/>
  <c r="M2337" i="1"/>
  <c r="O2337" i="1" s="1"/>
  <c r="M2352" i="1"/>
  <c r="M2354" i="1"/>
  <c r="M2356" i="1"/>
  <c r="M2358" i="1"/>
  <c r="O2358" i="1" s="1"/>
  <c r="M2391" i="1"/>
  <c r="M2393" i="1"/>
  <c r="O2393" i="1" s="1"/>
  <c r="M2395" i="1"/>
  <c r="O2395" i="1" s="1"/>
  <c r="M2397" i="1"/>
  <c r="O2397" i="1" s="1"/>
  <c r="M2399" i="1"/>
  <c r="O2399" i="1" s="1"/>
  <c r="M2401" i="1"/>
  <c r="O2401" i="1" s="1"/>
  <c r="M2403" i="1"/>
  <c r="O2403" i="1" s="1"/>
  <c r="M2416" i="1"/>
  <c r="O2416" i="1" s="1"/>
  <c r="M2418" i="1"/>
  <c r="O2418" i="1" s="1"/>
  <c r="M2420" i="1"/>
  <c r="O2420" i="1" s="1"/>
  <c r="M2434" i="1"/>
  <c r="O2434" i="1" s="1"/>
  <c r="M2436" i="1"/>
  <c r="M2438" i="1"/>
  <c r="O2438" i="1" s="1"/>
  <c r="M2440" i="1"/>
  <c r="O2440" i="1" s="1"/>
  <c r="M2454" i="1"/>
  <c r="O2454" i="1" s="1"/>
  <c r="M2456" i="1"/>
  <c r="M2458" i="1"/>
  <c r="M2460" i="1"/>
  <c r="M2462" i="1"/>
  <c r="M2464" i="1"/>
  <c r="M2466" i="1"/>
  <c r="M2468" i="1"/>
  <c r="M2470" i="1"/>
  <c r="M2472" i="1"/>
  <c r="M2474" i="1"/>
  <c r="M2476" i="1"/>
  <c r="O2476" i="1" s="1"/>
  <c r="M2478" i="1"/>
  <c r="O2478" i="1" s="1"/>
  <c r="M2491" i="1"/>
  <c r="O2491" i="1" s="1"/>
  <c r="M2497" i="1"/>
  <c r="O2497" i="1" s="1"/>
  <c r="M2499" i="1"/>
  <c r="O2499" i="1" s="1"/>
  <c r="M2501" i="1"/>
  <c r="O2501" i="1" s="1"/>
  <c r="M2503" i="1"/>
  <c r="O2503" i="1" s="1"/>
  <c r="M2505" i="1"/>
  <c r="O2505" i="1" s="1"/>
  <c r="M2507" i="1"/>
  <c r="O2507" i="1" s="1"/>
  <c r="M2509" i="1"/>
  <c r="O2509" i="1" s="1"/>
  <c r="M2511" i="1"/>
  <c r="O2511" i="1" s="1"/>
  <c r="M2537" i="1"/>
  <c r="O2537" i="1" s="1"/>
  <c r="M2539" i="1"/>
  <c r="O2539" i="1" s="1"/>
  <c r="M2541" i="1"/>
  <c r="O2541" i="1" s="1"/>
  <c r="M2543" i="1"/>
  <c r="O2543" i="1" s="1"/>
  <c r="M2545" i="1"/>
  <c r="O2545" i="1" s="1"/>
  <c r="M2547" i="1"/>
  <c r="O2547" i="1" s="1"/>
  <c r="M2549" i="1"/>
  <c r="O2549" i="1" s="1"/>
  <c r="M2555" i="1"/>
  <c r="O2555" i="1" s="1"/>
  <c r="M2557" i="1"/>
  <c r="O2557" i="1" s="1"/>
  <c r="M2559" i="1"/>
  <c r="O2559" i="1" s="1"/>
  <c r="M2561" i="1"/>
  <c r="O2561" i="1" s="1"/>
  <c r="M2563" i="1"/>
  <c r="O2563" i="1" s="1"/>
  <c r="M2565" i="1"/>
  <c r="O2565" i="1" s="1"/>
  <c r="M2567" i="1"/>
  <c r="O2567" i="1" s="1"/>
  <c r="M2569" i="1"/>
  <c r="O2569" i="1" s="1"/>
  <c r="M2577" i="1"/>
  <c r="O2577" i="1" s="1"/>
  <c r="M2579" i="1"/>
  <c r="O2579" i="1" s="1"/>
  <c r="M2581" i="1"/>
  <c r="O2581" i="1" s="1"/>
  <c r="M2583" i="1"/>
  <c r="O2583" i="1" s="1"/>
  <c r="M2585" i="1"/>
  <c r="O2585" i="1" s="1"/>
  <c r="M2587" i="1"/>
  <c r="O2587" i="1" s="1"/>
  <c r="M2589" i="1"/>
  <c r="O2589" i="1" s="1"/>
  <c r="M2591" i="1"/>
  <c r="O2591" i="1" s="1"/>
  <c r="M2593" i="1"/>
  <c r="M2595" i="1"/>
  <c r="M2606" i="1"/>
  <c r="O2606" i="1" s="1"/>
  <c r="M2608" i="1"/>
  <c r="O2608" i="1" s="1"/>
  <c r="M2610" i="1"/>
  <c r="O2610" i="1" s="1"/>
  <c r="M2612" i="1"/>
  <c r="O2612" i="1" s="1"/>
  <c r="M2614" i="1"/>
  <c r="O2614" i="1" s="1"/>
  <c r="M2616" i="1"/>
  <c r="O2616" i="1" s="1"/>
  <c r="M2618" i="1"/>
  <c r="O2618" i="1" s="1"/>
  <c r="M2620" i="1"/>
  <c r="O2620" i="1" s="1"/>
  <c r="M2622" i="1"/>
  <c r="O2622" i="1" s="1"/>
  <c r="M2624" i="1"/>
  <c r="O2624" i="1" s="1"/>
  <c r="M2626" i="1"/>
  <c r="O2626" i="1" s="1"/>
  <c r="M2630" i="1"/>
  <c r="O2630" i="1" s="1"/>
  <c r="M2644" i="1"/>
  <c r="M2646" i="1"/>
  <c r="M2648" i="1"/>
  <c r="M2650" i="1"/>
  <c r="M2652" i="1"/>
  <c r="M2654" i="1"/>
  <c r="M2656" i="1"/>
  <c r="M2658" i="1"/>
  <c r="O2658" i="1" s="1"/>
  <c r="M2677" i="1"/>
  <c r="O2677" i="1" s="1"/>
  <c r="M2679" i="1"/>
  <c r="O2679" i="1" s="1"/>
  <c r="M2681" i="1"/>
  <c r="O2681" i="1" s="1"/>
  <c r="M2683" i="1"/>
  <c r="O2683" i="1" s="1"/>
  <c r="M2685" i="1"/>
  <c r="O2685" i="1" s="1"/>
  <c r="M2687" i="1"/>
  <c r="O2687" i="1" s="1"/>
  <c r="M2689" i="1"/>
  <c r="O2689" i="1" s="1"/>
  <c r="M2691" i="1"/>
  <c r="O2691" i="1" s="1"/>
  <c r="M2693" i="1"/>
  <c r="O2693" i="1" s="1"/>
  <c r="M2695" i="1"/>
  <c r="O2695" i="1" s="1"/>
  <c r="M2697" i="1"/>
  <c r="O2697" i="1" s="1"/>
  <c r="M2699" i="1"/>
  <c r="O2699" i="1" s="1"/>
  <c r="M2701" i="1"/>
  <c r="O2701" i="1" s="1"/>
  <c r="M2703" i="1"/>
  <c r="O2703" i="1" s="1"/>
  <c r="M2705" i="1"/>
  <c r="O2705" i="1" s="1"/>
  <c r="M2719" i="1"/>
  <c r="O2719" i="1" s="1"/>
  <c r="M2721" i="1"/>
  <c r="O2721" i="1" s="1"/>
  <c r="M2723" i="1"/>
  <c r="O2723" i="1" s="1"/>
  <c r="M2725" i="1"/>
  <c r="O2725" i="1" s="1"/>
  <c r="M2727" i="1"/>
  <c r="O2727" i="1" s="1"/>
  <c r="M2729" i="1"/>
  <c r="O2729" i="1" s="1"/>
  <c r="M2731" i="1"/>
  <c r="O2731" i="1" s="1"/>
  <c r="M2733" i="1"/>
  <c r="O2733" i="1" s="1"/>
  <c r="M2735" i="1"/>
  <c r="O2735" i="1" s="1"/>
  <c r="M2751" i="1"/>
  <c r="M2753" i="1"/>
  <c r="M2755" i="1"/>
  <c r="M2757" i="1"/>
  <c r="M2759" i="1"/>
  <c r="M2761" i="1"/>
  <c r="M2763" i="1"/>
  <c r="M2765" i="1"/>
  <c r="M2767" i="1"/>
  <c r="M2769" i="1"/>
  <c r="M2781" i="1"/>
  <c r="M2783" i="1"/>
  <c r="M2785" i="1"/>
  <c r="M2787" i="1"/>
  <c r="M2789" i="1"/>
  <c r="M2791" i="1"/>
  <c r="M2793" i="1"/>
  <c r="M2795" i="1"/>
  <c r="M2797" i="1"/>
  <c r="M2803" i="1"/>
  <c r="O2803" i="1" s="1"/>
  <c r="M2805" i="1"/>
  <c r="O2805" i="1" s="1"/>
  <c r="M2807" i="1"/>
  <c r="O2807" i="1" s="1"/>
  <c r="M2809" i="1"/>
  <c r="O2809" i="1" s="1"/>
  <c r="M2811" i="1"/>
  <c r="O2811" i="1" s="1"/>
  <c r="M2813" i="1"/>
  <c r="O2813" i="1" s="1"/>
  <c r="M2895" i="1"/>
  <c r="O2895" i="1" s="1"/>
  <c r="M2897" i="1"/>
  <c r="O2897" i="1" s="1"/>
  <c r="M2915" i="1"/>
  <c r="M2917" i="1"/>
  <c r="M2919" i="1"/>
  <c r="M2921" i="1"/>
  <c r="M2923" i="1"/>
  <c r="M2925" i="1"/>
  <c r="M2927" i="1"/>
  <c r="M2929" i="1"/>
  <c r="M2931" i="1"/>
  <c r="M2933" i="1"/>
  <c r="M2935" i="1"/>
  <c r="M2937" i="1"/>
  <c r="M2939" i="1"/>
  <c r="O2939" i="1" s="1"/>
  <c r="M2955" i="1"/>
  <c r="M2957" i="1"/>
  <c r="M2979" i="1"/>
  <c r="M2981" i="1"/>
  <c r="M2983" i="1"/>
  <c r="M2985" i="1"/>
  <c r="M2987" i="1"/>
  <c r="M2989" i="1"/>
  <c r="M2991" i="1"/>
  <c r="M2993" i="1"/>
  <c r="M2995" i="1"/>
  <c r="M2997" i="1"/>
  <c r="M2999" i="1"/>
  <c r="M3001" i="1"/>
  <c r="M3003" i="1"/>
  <c r="M3005" i="1"/>
  <c r="M3013" i="1"/>
  <c r="M3015" i="1"/>
  <c r="M3017" i="1"/>
  <c r="M3019" i="1"/>
  <c r="M3021" i="1"/>
  <c r="M3025" i="1"/>
  <c r="M3049" i="1"/>
  <c r="M3051" i="1"/>
  <c r="M3053" i="1"/>
  <c r="M3055" i="1"/>
  <c r="M3057" i="1"/>
  <c r="M3059" i="1"/>
  <c r="M3061" i="1"/>
  <c r="M3063" i="1"/>
  <c r="M3065" i="1"/>
  <c r="M3067" i="1"/>
  <c r="M3069" i="1"/>
  <c r="M3071" i="1"/>
  <c r="M3073" i="1"/>
  <c r="M3075" i="1"/>
  <c r="M3077" i="1"/>
  <c r="M3114" i="1"/>
  <c r="M3116" i="1"/>
  <c r="M3118" i="1"/>
  <c r="M3138" i="1"/>
  <c r="M3140" i="1"/>
  <c r="M3142" i="1"/>
  <c r="M3144" i="1"/>
  <c r="M3146" i="1"/>
  <c r="M3148" i="1"/>
  <c r="M3150" i="1"/>
  <c r="M3152" i="1"/>
  <c r="M3154" i="1"/>
  <c r="M3162" i="1"/>
  <c r="M3164" i="1"/>
  <c r="M3166" i="1"/>
  <c r="M3168" i="1"/>
  <c r="M3170" i="1"/>
  <c r="M3172" i="1"/>
  <c r="M3174" i="1"/>
  <c r="M3186" i="1"/>
  <c r="M3188" i="1"/>
  <c r="M3190" i="1"/>
  <c r="M3192" i="1"/>
  <c r="M3194" i="1"/>
  <c r="M3196" i="1"/>
  <c r="M3211" i="1"/>
  <c r="M3213" i="1"/>
  <c r="M3215" i="1"/>
  <c r="M3217" i="1"/>
  <c r="M3219" i="1"/>
  <c r="M3233" i="1"/>
  <c r="M3235" i="1"/>
  <c r="M3237" i="1"/>
  <c r="M3239" i="1"/>
  <c r="M3241" i="1"/>
  <c r="M3243" i="1"/>
  <c r="M3245" i="1"/>
  <c r="M3259" i="1"/>
  <c r="M3261" i="1"/>
  <c r="M3263" i="1"/>
  <c r="M3265" i="1"/>
  <c r="M3267" i="1"/>
  <c r="M3269" i="1"/>
  <c r="M3271" i="1"/>
  <c r="M3273" i="1"/>
  <c r="M3275" i="1"/>
  <c r="M3277" i="1"/>
  <c r="M3279" i="1"/>
  <c r="M3281" i="1"/>
  <c r="M3283" i="1"/>
  <c r="M3293" i="1"/>
  <c r="M3295" i="1"/>
  <c r="M3297" i="1"/>
  <c r="M3299" i="1"/>
  <c r="M3301" i="1"/>
  <c r="M3303" i="1"/>
  <c r="M3305" i="1"/>
  <c r="M3307" i="1"/>
  <c r="M3309" i="1"/>
  <c r="M3311" i="1"/>
  <c r="M3326" i="1"/>
  <c r="M3328" i="1"/>
  <c r="M3330" i="1"/>
  <c r="M3334" i="1"/>
  <c r="M3336" i="1"/>
  <c r="M3338" i="1"/>
  <c r="M3340" i="1"/>
  <c r="M3342" i="1"/>
  <c r="M3344" i="1"/>
  <c r="M3358" i="1"/>
  <c r="M3360" i="1"/>
  <c r="M3362" i="1"/>
  <c r="M3405" i="1"/>
  <c r="M3407" i="1"/>
  <c r="M3409" i="1"/>
  <c r="M3411" i="1"/>
  <c r="M3413" i="1"/>
  <c r="M3415" i="1"/>
  <c r="M3417" i="1"/>
  <c r="M3419" i="1"/>
  <c r="M3421" i="1"/>
  <c r="M3423" i="1"/>
  <c r="M3425" i="1"/>
  <c r="M3427" i="1"/>
  <c r="M3429" i="1"/>
  <c r="M3441" i="1"/>
  <c r="M3443" i="1"/>
  <c r="M3445" i="1"/>
  <c r="M3447" i="1"/>
  <c r="M3449" i="1"/>
  <c r="M3451" i="1"/>
  <c r="M3453" i="1"/>
  <c r="M3455" i="1"/>
  <c r="M3457" i="1"/>
  <c r="M3459" i="1"/>
  <c r="M3473" i="1"/>
  <c r="M3475" i="1"/>
  <c r="M3477" i="1"/>
  <c r="M3479" i="1"/>
  <c r="M3481" i="1"/>
  <c r="M3483" i="1"/>
  <c r="M3495" i="1"/>
  <c r="M3497" i="1"/>
  <c r="M3499" i="1"/>
  <c r="M3501" i="1"/>
  <c r="M3503" i="1"/>
  <c r="M3505" i="1"/>
  <c r="M3507" i="1"/>
  <c r="M3509" i="1"/>
  <c r="M3511" i="1"/>
  <c r="M3513" i="1"/>
  <c r="M3515" i="1"/>
  <c r="M3517" i="1"/>
  <c r="M3529" i="1"/>
  <c r="M3531" i="1"/>
  <c r="M3533" i="1"/>
  <c r="M3535" i="1"/>
  <c r="M3537" i="1"/>
  <c r="M3539" i="1"/>
  <c r="M3541" i="1"/>
  <c r="M3543" i="1"/>
  <c r="M3545" i="1"/>
  <c r="M3547" i="1"/>
  <c r="M3549" i="1"/>
  <c r="M3551" i="1"/>
  <c r="M3555" i="1"/>
  <c r="M3557" i="1"/>
  <c r="M3559" i="1"/>
  <c r="M3561" i="1"/>
  <c r="M3563" i="1"/>
  <c r="M3565" i="1"/>
  <c r="M3575" i="1"/>
  <c r="M3577" i="1"/>
  <c r="M3579" i="1"/>
  <c r="M3581" i="1"/>
  <c r="M3583" i="1"/>
  <c r="M3585" i="1"/>
  <c r="M3587" i="1"/>
  <c r="M3589" i="1"/>
  <c r="M3595" i="1"/>
  <c r="M3597" i="1"/>
  <c r="M4544" i="1"/>
  <c r="M4546" i="1"/>
  <c r="M4548" i="1"/>
  <c r="M4550" i="1"/>
  <c r="M3611" i="1"/>
  <c r="M3613" i="1"/>
  <c r="M3615" i="1"/>
  <c r="M3617" i="1"/>
  <c r="M3619" i="1"/>
  <c r="M3621" i="1"/>
  <c r="M3643" i="1"/>
  <c r="M3645" i="1"/>
  <c r="M3647" i="1"/>
  <c r="M3661" i="1"/>
  <c r="M3663" i="1"/>
  <c r="M3665" i="1"/>
  <c r="M3667" i="1"/>
  <c r="M3669" i="1"/>
  <c r="M3671" i="1"/>
  <c r="M3673" i="1"/>
  <c r="M3675" i="1"/>
  <c r="M3677" i="1"/>
  <c r="M3679" i="1"/>
  <c r="M3681" i="1"/>
  <c r="M3683" i="1"/>
  <c r="M3685" i="1"/>
  <c r="M3698" i="1"/>
  <c r="M3700" i="1"/>
  <c r="M3702" i="1"/>
  <c r="M3704" i="1"/>
  <c r="M3706" i="1"/>
  <c r="M3729" i="1"/>
  <c r="M3769" i="1"/>
  <c r="M3771" i="1"/>
  <c r="M3773" i="1"/>
  <c r="M3775" i="1"/>
  <c r="M3777" i="1"/>
  <c r="M3789" i="1"/>
  <c r="M3791" i="1"/>
  <c r="M3793" i="1"/>
  <c r="M3795" i="1"/>
  <c r="M3797" i="1"/>
  <c r="M3799" i="1"/>
  <c r="M3801" i="1"/>
  <c r="M3803" i="1"/>
  <c r="M3805" i="1"/>
  <c r="M3807" i="1"/>
  <c r="M3809" i="1"/>
  <c r="M3817" i="1"/>
  <c r="M3819" i="1"/>
  <c r="M3821" i="1"/>
  <c r="M3823" i="1"/>
  <c r="M3825" i="1"/>
  <c r="M3877" i="1"/>
  <c r="M3879" i="1"/>
  <c r="M3881" i="1"/>
  <c r="M3883" i="1"/>
  <c r="M3885" i="1"/>
  <c r="M3887" i="1"/>
  <c r="M3889" i="1"/>
  <c r="M3891" i="1"/>
  <c r="M3893" i="1"/>
  <c r="M3895" i="1"/>
  <c r="M3897" i="1"/>
  <c r="M3899" i="1"/>
  <c r="M3901" i="1"/>
  <c r="M3903" i="1"/>
  <c r="M3909" i="1"/>
  <c r="M3911" i="1"/>
  <c r="M3913" i="1"/>
  <c r="M3915" i="1"/>
  <c r="M3917" i="1"/>
  <c r="M3933" i="1"/>
  <c r="M3935" i="1"/>
  <c r="M3937" i="1"/>
  <c r="M3947" i="1"/>
  <c r="M3949" i="1"/>
  <c r="M3951" i="1"/>
  <c r="M3953" i="1"/>
  <c r="M3955" i="1"/>
  <c r="M3957" i="1"/>
  <c r="M3959" i="1"/>
  <c r="M3961" i="1"/>
  <c r="M3963" i="1"/>
  <c r="M3965" i="1"/>
  <c r="M3967" i="1"/>
  <c r="M3982" i="1"/>
  <c r="M3984" i="1"/>
  <c r="M3986" i="1"/>
  <c r="M3988" i="1"/>
  <c r="M3990" i="1"/>
  <c r="M3992" i="1"/>
  <c r="M3994" i="1"/>
  <c r="M3996" i="1"/>
  <c r="M3998" i="1"/>
  <c r="M4000" i="1"/>
  <c r="M4010" i="1"/>
  <c r="M4012" i="1"/>
  <c r="M4014" i="1"/>
  <c r="M4016" i="1"/>
  <c r="M4018" i="1"/>
  <c r="M4020" i="1"/>
  <c r="M4022" i="1"/>
  <c r="M4024" i="1"/>
  <c r="M4026" i="1"/>
  <c r="M4028" i="1"/>
  <c r="M4035" i="1"/>
  <c r="M4037" i="1"/>
  <c r="M4039" i="1"/>
  <c r="M4041" i="1"/>
  <c r="M4050" i="1"/>
  <c r="M4052" i="1"/>
  <c r="M4054" i="1"/>
  <c r="M4056" i="1"/>
  <c r="M4058" i="1"/>
  <c r="M4060" i="1"/>
  <c r="M4062" i="1"/>
  <c r="M4064" i="1"/>
  <c r="M4066" i="1"/>
  <c r="M4074" i="1"/>
  <c r="M4076" i="1"/>
  <c r="M4078" i="1"/>
  <c r="M4080" i="1"/>
  <c r="M4082" i="1"/>
  <c r="M4084" i="1"/>
  <c r="M4096" i="1"/>
  <c r="M4098" i="1"/>
  <c r="M4100" i="1"/>
  <c r="M4102" i="1"/>
  <c r="M4104" i="1"/>
  <c r="M4106" i="1"/>
  <c r="M4108" i="1"/>
  <c r="M4110" i="1"/>
  <c r="M4112" i="1"/>
  <c r="M4114" i="1"/>
  <c r="M4116" i="1"/>
  <c r="M4118" i="1"/>
  <c r="M4120" i="1"/>
  <c r="M4122" i="1"/>
  <c r="M4124" i="1"/>
  <c r="M4126" i="1"/>
  <c r="M4128" i="1"/>
  <c r="M4130" i="1"/>
  <c r="M4141" i="1"/>
  <c r="M4143" i="1"/>
  <c r="M4145" i="1"/>
  <c r="M4147" i="1"/>
  <c r="M4149" i="1"/>
  <c r="M4151" i="1"/>
  <c r="M4153" i="1"/>
  <c r="M4155" i="1"/>
  <c r="M4157" i="1"/>
  <c r="M4159" i="1"/>
  <c r="M4161" i="1"/>
  <c r="M4163" i="1"/>
  <c r="M4165" i="1"/>
  <c r="M4167" i="1"/>
  <c r="M4179" i="1"/>
  <c r="M4181" i="1"/>
  <c r="M4183" i="1"/>
  <c r="M4185" i="1"/>
  <c r="M4187" i="1"/>
  <c r="M4203" i="1"/>
  <c r="M4205" i="1"/>
  <c r="M4207" i="1"/>
  <c r="M4223" i="1"/>
  <c r="M4225" i="1"/>
  <c r="M4227" i="1"/>
  <c r="M4229" i="1"/>
  <c r="M4241" i="1"/>
  <c r="M4243" i="1"/>
  <c r="M4245" i="1"/>
  <c r="M4247" i="1"/>
  <c r="M4249" i="1"/>
  <c r="M4251" i="1"/>
  <c r="M4253" i="1"/>
  <c r="M4255" i="1"/>
  <c r="M4257" i="1"/>
  <c r="M4259" i="1"/>
  <c r="M4261" i="1"/>
  <c r="M4263" i="1"/>
  <c r="M4265" i="1"/>
  <c r="M4267" i="1"/>
  <c r="M4283" i="1"/>
  <c r="M4285" i="1"/>
  <c r="M941" i="1"/>
  <c r="M943" i="1"/>
  <c r="M945" i="1"/>
  <c r="M4302" i="1"/>
  <c r="M4304" i="1"/>
  <c r="M4306" i="1"/>
  <c r="M4308" i="1"/>
  <c r="M4310" i="1"/>
  <c r="M4312" i="1"/>
  <c r="M4402" i="1"/>
  <c r="M4404" i="1"/>
  <c r="M4406" i="1"/>
  <c r="M4424" i="1"/>
  <c r="M4426" i="1"/>
  <c r="M4428" i="1"/>
  <c r="M4430" i="1"/>
  <c r="M4448" i="1"/>
  <c r="M4450" i="1"/>
  <c r="M4466" i="1"/>
  <c r="M4468" i="1"/>
  <c r="M4470" i="1"/>
  <c r="M4472" i="1"/>
  <c r="M4474" i="1"/>
  <c r="M4482" i="1"/>
  <c r="M4484" i="1"/>
  <c r="M4486" i="1"/>
  <c r="M4488" i="1"/>
  <c r="M4490" i="1"/>
  <c r="M4492" i="1"/>
  <c r="M4503" i="1"/>
  <c r="M4505" i="1"/>
  <c r="M4507" i="1"/>
  <c r="M4509" i="1"/>
  <c r="M4511" i="1"/>
  <c r="N727" i="1"/>
  <c r="J728" i="1"/>
  <c r="I728" i="1"/>
  <c r="H728" i="1"/>
  <c r="Q727" i="1"/>
  <c r="S727" i="1" s="1"/>
  <c r="Q1105" i="1"/>
  <c r="J1106" i="1"/>
  <c r="I1106" i="1"/>
  <c r="J3902" i="1"/>
  <c r="J3900" i="1"/>
  <c r="J3898" i="1"/>
  <c r="V3899" i="1"/>
  <c r="V3901" i="1"/>
  <c r="V3903" i="1"/>
  <c r="I3902" i="1"/>
  <c r="H3902" i="1"/>
  <c r="J3876" i="1"/>
  <c r="H3876" i="1"/>
  <c r="Q3875" i="1"/>
  <c r="R3875" i="1" s="1"/>
  <c r="Q3877" i="1"/>
  <c r="R3877" i="1" s="1"/>
  <c r="N3877" i="1"/>
  <c r="I3878" i="1"/>
  <c r="H3878" i="1"/>
  <c r="J3878" i="1"/>
  <c r="I3900" i="1"/>
  <c r="H3900" i="1"/>
  <c r="Q2190" i="1"/>
  <c r="S2190" i="1" s="1"/>
  <c r="J2191" i="1"/>
  <c r="I2191" i="1"/>
  <c r="H2191" i="1"/>
  <c r="N3909" i="1"/>
  <c r="Q3909" i="1"/>
  <c r="J3910" i="1"/>
  <c r="I3910" i="1"/>
  <c r="N3911" i="1"/>
  <c r="J3912" i="1"/>
  <c r="I3912" i="1"/>
  <c r="H3912" i="1"/>
  <c r="J3914" i="1"/>
  <c r="I3914" i="1"/>
  <c r="H3914" i="1"/>
  <c r="J3916" i="1"/>
  <c r="I3916" i="1"/>
  <c r="H3916" i="1"/>
  <c r="Q3257" i="1"/>
  <c r="S3257" i="1" s="1"/>
  <c r="Q3182" i="1"/>
  <c r="R3182" i="1" s="1"/>
  <c r="Q3184" i="1"/>
  <c r="R3184" i="1" s="1"/>
  <c r="Q1683" i="1"/>
  <c r="R1683" i="1" l="1"/>
  <c r="S1683" i="1"/>
  <c r="S55" i="1"/>
  <c r="R55" i="1"/>
  <c r="S3877" i="1"/>
  <c r="S3875" i="1"/>
  <c r="R727" i="1"/>
  <c r="R598" i="1"/>
  <c r="R1105" i="1"/>
  <c r="R2190" i="1"/>
  <c r="R3909" i="1"/>
  <c r="R3257" i="1"/>
  <c r="U4493" i="1"/>
  <c r="U4492" i="1"/>
  <c r="U4491" i="1"/>
  <c r="U4490" i="1"/>
  <c r="U4489" i="1"/>
  <c r="U4488" i="1"/>
  <c r="U4487" i="1"/>
  <c r="U4486" i="1"/>
  <c r="Q4492" i="1"/>
  <c r="S4492" i="1" s="1"/>
  <c r="Q4490" i="1"/>
  <c r="R4490" i="1" s="1"/>
  <c r="Q4488" i="1"/>
  <c r="S4488" i="1" s="1"/>
  <c r="Q4486" i="1"/>
  <c r="S4486" i="1" s="1"/>
  <c r="Q4484" i="1"/>
  <c r="R4484" i="1" s="1"/>
  <c r="Q4482" i="1"/>
  <c r="R4482" i="1" s="1"/>
  <c r="N4492" i="1"/>
  <c r="N4490" i="1"/>
  <c r="N4488" i="1"/>
  <c r="N4486" i="1"/>
  <c r="N4484" i="1"/>
  <c r="N4482" i="1"/>
  <c r="J4473" i="1"/>
  <c r="I4473" i="1"/>
  <c r="H4473" i="1"/>
  <c r="J4471" i="1"/>
  <c r="I4471" i="1"/>
  <c r="H4471" i="1"/>
  <c r="J4469" i="1"/>
  <c r="I4469" i="1"/>
  <c r="H4469" i="1"/>
  <c r="J4467" i="1"/>
  <c r="I4467" i="1"/>
  <c r="H4467" i="1"/>
  <c r="J4449" i="1"/>
  <c r="I4449" i="1"/>
  <c r="H4449" i="1"/>
  <c r="J4429" i="1"/>
  <c r="I4429" i="1"/>
  <c r="H4429" i="1"/>
  <c r="J4427" i="1"/>
  <c r="I4427" i="1"/>
  <c r="H4427" i="1"/>
  <c r="J4425" i="1"/>
  <c r="I4425" i="1"/>
  <c r="H4425" i="1"/>
  <c r="U4479" i="1"/>
  <c r="U4482" i="1"/>
  <c r="U4483" i="1"/>
  <c r="U4484" i="1"/>
  <c r="U4485" i="1"/>
  <c r="U4496" i="1"/>
  <c r="V4479" i="1"/>
  <c r="V4482" i="1"/>
  <c r="V4483" i="1"/>
  <c r="V4484" i="1"/>
  <c r="V4485" i="1"/>
  <c r="V4486" i="1"/>
  <c r="V4487" i="1"/>
  <c r="V4488" i="1"/>
  <c r="V4489" i="1"/>
  <c r="V4490" i="1"/>
  <c r="V4491" i="1"/>
  <c r="V4492" i="1"/>
  <c r="V4493" i="1"/>
  <c r="V4496" i="1"/>
  <c r="U3875" i="1"/>
  <c r="U3876" i="1"/>
  <c r="V3875" i="1"/>
  <c r="U3877" i="1"/>
  <c r="U3878" i="1"/>
  <c r="V3877" i="1"/>
  <c r="V3878" i="1"/>
  <c r="U3835" i="1"/>
  <c r="U3836" i="1"/>
  <c r="V3835" i="1"/>
  <c r="V3836" i="1"/>
  <c r="U3837" i="1"/>
  <c r="U3838" i="1"/>
  <c r="V3837" i="1"/>
  <c r="V3838" i="1"/>
  <c r="U3815" i="1"/>
  <c r="U3816" i="1"/>
  <c r="V3815" i="1"/>
  <c r="V3816" i="1"/>
  <c r="U3785" i="1"/>
  <c r="U3786" i="1"/>
  <c r="V3785" i="1"/>
  <c r="V3786" i="1"/>
  <c r="U3787" i="1"/>
  <c r="U3788" i="1"/>
  <c r="V3787" i="1"/>
  <c r="V3788" i="1"/>
  <c r="U1705" i="1"/>
  <c r="U1706" i="1"/>
  <c r="V1705" i="1"/>
  <c r="V1706" i="1"/>
  <c r="U1707" i="1"/>
  <c r="U1708" i="1"/>
  <c r="V1708" i="1"/>
  <c r="U1681" i="1"/>
  <c r="U1682" i="1"/>
  <c r="V1681" i="1"/>
  <c r="V1682" i="1"/>
  <c r="U1683" i="1"/>
  <c r="U1684" i="1"/>
  <c r="V1683" i="1"/>
  <c r="V1684" i="1"/>
  <c r="U761" i="1"/>
  <c r="U762" i="1"/>
  <c r="V761" i="1"/>
  <c r="V762" i="1"/>
  <c r="U763" i="1"/>
  <c r="U764" i="1"/>
  <c r="V763" i="1"/>
  <c r="V764" i="1"/>
  <c r="U455" i="1"/>
  <c r="U456" i="1"/>
  <c r="V455" i="1"/>
  <c r="V456" i="1"/>
  <c r="U457" i="1"/>
  <c r="U458" i="1"/>
  <c r="V457" i="1"/>
  <c r="V458" i="1"/>
  <c r="U632" i="1"/>
  <c r="U633" i="1"/>
  <c r="V632" i="1"/>
  <c r="V633" i="1"/>
  <c r="U634" i="1"/>
  <c r="U635" i="1"/>
  <c r="V635" i="1"/>
  <c r="K4466" i="1"/>
  <c r="N4474" i="1"/>
  <c r="N4472" i="1"/>
  <c r="N4470" i="1"/>
  <c r="N4468" i="1"/>
  <c r="N4466" i="1"/>
  <c r="K4474" i="1"/>
  <c r="O4474" i="1" s="1"/>
  <c r="K4472" i="1"/>
  <c r="O4472" i="1" s="1"/>
  <c r="K4470" i="1"/>
  <c r="K4468" i="1"/>
  <c r="O4468" i="1" s="1"/>
  <c r="Q4472" i="1"/>
  <c r="Q4470" i="1"/>
  <c r="Q4468" i="1"/>
  <c r="Q4466" i="1"/>
  <c r="U4475" i="1"/>
  <c r="V4475" i="1"/>
  <c r="U4476" i="1"/>
  <c r="V4476" i="1"/>
  <c r="U4477" i="1"/>
  <c r="V4477" i="1"/>
  <c r="U4462" i="1"/>
  <c r="U4463" i="1"/>
  <c r="U4464" i="1"/>
  <c r="U4465" i="1"/>
  <c r="U4467" i="1"/>
  <c r="U4469" i="1"/>
  <c r="U4471" i="1"/>
  <c r="U4473" i="1"/>
  <c r="V4462" i="1"/>
  <c r="V4463" i="1"/>
  <c r="V4464" i="1"/>
  <c r="V4465" i="1"/>
  <c r="V4466" i="1"/>
  <c r="V4467" i="1"/>
  <c r="V4468" i="1"/>
  <c r="V4469" i="1"/>
  <c r="V4470" i="1"/>
  <c r="V4471" i="1"/>
  <c r="V4472" i="1"/>
  <c r="V4473" i="1"/>
  <c r="V4474" i="1"/>
  <c r="J1647" i="1"/>
  <c r="H1647" i="1"/>
  <c r="Q1646" i="1"/>
  <c r="S1646" i="1" s="1"/>
  <c r="J2641" i="1"/>
  <c r="I2641" i="1"/>
  <c r="J2639" i="1"/>
  <c r="U4499" i="1"/>
  <c r="V4499" i="1"/>
  <c r="U4500" i="1"/>
  <c r="V4500" i="1"/>
  <c r="U4444" i="1"/>
  <c r="V4444" i="1"/>
  <c r="U4445" i="1"/>
  <c r="V4445" i="1"/>
  <c r="U4420" i="1"/>
  <c r="V4420" i="1"/>
  <c r="U4421" i="1"/>
  <c r="V4421" i="1"/>
  <c r="U4398" i="1"/>
  <c r="U4399" i="1"/>
  <c r="V4399" i="1"/>
  <c r="U4298" i="1"/>
  <c r="V4298" i="1"/>
  <c r="U4299" i="1"/>
  <c r="V4299" i="1"/>
  <c r="U936" i="1"/>
  <c r="V936" i="1"/>
  <c r="U4277" i="1"/>
  <c r="V4277" i="1"/>
  <c r="U4278" i="1"/>
  <c r="V4278" i="1"/>
  <c r="V4239" i="1"/>
  <c r="U4240" i="1"/>
  <c r="V4240" i="1"/>
  <c r="U4173" i="1"/>
  <c r="V4173" i="1"/>
  <c r="U4174" i="1"/>
  <c r="V4174" i="1"/>
  <c r="U4137" i="1"/>
  <c r="V4137" i="1"/>
  <c r="U4138" i="1"/>
  <c r="V4138" i="1"/>
  <c r="U4094" i="1"/>
  <c r="V4094" i="1"/>
  <c r="U4095" i="1"/>
  <c r="V4095" i="1"/>
  <c r="U4006" i="1"/>
  <c r="U4007" i="1"/>
  <c r="V4007" i="1"/>
  <c r="U3978" i="1"/>
  <c r="V3978" i="1"/>
  <c r="U3979" i="1"/>
  <c r="V3979" i="1"/>
  <c r="U3945" i="1"/>
  <c r="V3945" i="1"/>
  <c r="U3946" i="1"/>
  <c r="V3946" i="1"/>
  <c r="U3762" i="1"/>
  <c r="V3762" i="1"/>
  <c r="U3761" i="1"/>
  <c r="V3761" i="1"/>
  <c r="U3723" i="1"/>
  <c r="V3723" i="1"/>
  <c r="U3724" i="1"/>
  <c r="V3724" i="1"/>
  <c r="V3657" i="1"/>
  <c r="V3658" i="1"/>
  <c r="U3609" i="1"/>
  <c r="V3609" i="1"/>
  <c r="U3610" i="1"/>
  <c r="V3610" i="1"/>
  <c r="U3523" i="1"/>
  <c r="V3523" i="1"/>
  <c r="U3524" i="1"/>
  <c r="V3524" i="1"/>
  <c r="U3489" i="1"/>
  <c r="V3489" i="1"/>
  <c r="U3490" i="1"/>
  <c r="V3490" i="1"/>
  <c r="U3465" i="1"/>
  <c r="V3465" i="1"/>
  <c r="U3466" i="1"/>
  <c r="V3466" i="1"/>
  <c r="U3437" i="1"/>
  <c r="V3437" i="1"/>
  <c r="U3438" i="1"/>
  <c r="V3438" i="1"/>
  <c r="V3401" i="1"/>
  <c r="U3402" i="1"/>
  <c r="V3402" i="1"/>
  <c r="V3352" i="1"/>
  <c r="V3353" i="1"/>
  <c r="U3324" i="1"/>
  <c r="V3324" i="1"/>
  <c r="U3325" i="1"/>
  <c r="V3325" i="1"/>
  <c r="U3291" i="1"/>
  <c r="V3291" i="1"/>
  <c r="U3292" i="1"/>
  <c r="V3292" i="1"/>
  <c r="U3255" i="1"/>
  <c r="V3255" i="1"/>
  <c r="U3256" i="1"/>
  <c r="V3256" i="1"/>
  <c r="U3227" i="1"/>
  <c r="V3227" i="1"/>
  <c r="U3228" i="1"/>
  <c r="V3228" i="1"/>
  <c r="U3203" i="1"/>
  <c r="V3203" i="1"/>
  <c r="U3204" i="1"/>
  <c r="V3204" i="1"/>
  <c r="U3180" i="1"/>
  <c r="V3180" i="1"/>
  <c r="U3181" i="1"/>
  <c r="V3181" i="1"/>
  <c r="U3112" i="1"/>
  <c r="V3112" i="1"/>
  <c r="U3113" i="1"/>
  <c r="V3113" i="1"/>
  <c r="U3086" i="1"/>
  <c r="V3086" i="1"/>
  <c r="U3087" i="1"/>
  <c r="V3087" i="1"/>
  <c r="U3047" i="1"/>
  <c r="V3047" i="1"/>
  <c r="U3048" i="1"/>
  <c r="V3048" i="1"/>
  <c r="U2977" i="1"/>
  <c r="V2977" i="1"/>
  <c r="U2978" i="1"/>
  <c r="V2978" i="1"/>
  <c r="U2947" i="1"/>
  <c r="V2947" i="1"/>
  <c r="U2948" i="1"/>
  <c r="V2948" i="1"/>
  <c r="U2913" i="1"/>
  <c r="V2913" i="1"/>
  <c r="U2914" i="1"/>
  <c r="V2914" i="1"/>
  <c r="U2819" i="1"/>
  <c r="V2819" i="1"/>
  <c r="U2820" i="1"/>
  <c r="V2820" i="1"/>
  <c r="U2775" i="1"/>
  <c r="V2775" i="1"/>
  <c r="U2776" i="1"/>
  <c r="V2776" i="1"/>
  <c r="U2749" i="1"/>
  <c r="V2749" i="1"/>
  <c r="U2750" i="1"/>
  <c r="V2750" i="1"/>
  <c r="U2711" i="1"/>
  <c r="V2711" i="1"/>
  <c r="U2712" i="1"/>
  <c r="V2712" i="1"/>
  <c r="U2673" i="1"/>
  <c r="V2673" i="1"/>
  <c r="U2674" i="1"/>
  <c r="V2674" i="1"/>
  <c r="V2638" i="1"/>
  <c r="U2639" i="1"/>
  <c r="V2639" i="1"/>
  <c r="U2602" i="1"/>
  <c r="V2602" i="1"/>
  <c r="U2603" i="1"/>
  <c r="V2603" i="1"/>
  <c r="U2529" i="1"/>
  <c r="V2529" i="1"/>
  <c r="U2530" i="1"/>
  <c r="V2530" i="1"/>
  <c r="U2452" i="1"/>
  <c r="V2452" i="1"/>
  <c r="U2453" i="1"/>
  <c r="V2453" i="1"/>
  <c r="U2344" i="1"/>
  <c r="V2344" i="1"/>
  <c r="U2345" i="1"/>
  <c r="V2345" i="1"/>
  <c r="U2297" i="1"/>
  <c r="V2297" i="1"/>
  <c r="U2298" i="1"/>
  <c r="V2298" i="1"/>
  <c r="U2256" i="1"/>
  <c r="V2256" i="1"/>
  <c r="U4517" i="1"/>
  <c r="V4517" i="1"/>
  <c r="U4518" i="1"/>
  <c r="V4518" i="1"/>
  <c r="V2237" i="1"/>
  <c r="U2238" i="1"/>
  <c r="V2238" i="1"/>
  <c r="U2190" i="1"/>
  <c r="V2190" i="1"/>
  <c r="U2191" i="1"/>
  <c r="V2191" i="1"/>
  <c r="V2095" i="1"/>
  <c r="U2096" i="1"/>
  <c r="V2096" i="1"/>
  <c r="U2051" i="1"/>
  <c r="V2051" i="1"/>
  <c r="U2052" i="1"/>
  <c r="V2052" i="1"/>
  <c r="U2028" i="1"/>
  <c r="V2028" i="1"/>
  <c r="U2029" i="1"/>
  <c r="V2029" i="1"/>
  <c r="U1994" i="1"/>
  <c r="V1994" i="1"/>
  <c r="U1995" i="1"/>
  <c r="V1995" i="1"/>
  <c r="U1824" i="1"/>
  <c r="V1824" i="1"/>
  <c r="U1825" i="1"/>
  <c r="V1825" i="1"/>
  <c r="V1786" i="1"/>
  <c r="U1787" i="1"/>
  <c r="V1787" i="1"/>
  <c r="U1646" i="1"/>
  <c r="V1646" i="1"/>
  <c r="U1647" i="1"/>
  <c r="V1647" i="1"/>
  <c r="U1628" i="1"/>
  <c r="V1628" i="1"/>
  <c r="U1629" i="1"/>
  <c r="V1629" i="1"/>
  <c r="U1592" i="1"/>
  <c r="V1592" i="1"/>
  <c r="U1593" i="1"/>
  <c r="V1593" i="1"/>
  <c r="U1522" i="1"/>
  <c r="V1522" i="1"/>
  <c r="U1523" i="1"/>
  <c r="V1523" i="1"/>
  <c r="U1453" i="1"/>
  <c r="V1453" i="1"/>
  <c r="U1454" i="1"/>
  <c r="V1454" i="1"/>
  <c r="V1417" i="1"/>
  <c r="V1418" i="1"/>
  <c r="U1351" i="1"/>
  <c r="V1351" i="1"/>
  <c r="U1352" i="1"/>
  <c r="V1352" i="1"/>
  <c r="U1271" i="1"/>
  <c r="V1271" i="1"/>
  <c r="U1272" i="1"/>
  <c r="V1272" i="1"/>
  <c r="U1232" i="1"/>
  <c r="V1232" i="1"/>
  <c r="U1196" i="1"/>
  <c r="V1196" i="1"/>
  <c r="U1197" i="1"/>
  <c r="V1197" i="1"/>
  <c r="U1174" i="1"/>
  <c r="V1174" i="1"/>
  <c r="U1175" i="1"/>
  <c r="V1175" i="1"/>
  <c r="V1105" i="1"/>
  <c r="U1106" i="1"/>
  <c r="V1106" i="1"/>
  <c r="U1080" i="1"/>
  <c r="U1081" i="1"/>
  <c r="V1081" i="1"/>
  <c r="U1043" i="1"/>
  <c r="V1043" i="1"/>
  <c r="U1044" i="1"/>
  <c r="V1044" i="1"/>
  <c r="U1009" i="1"/>
  <c r="V1009" i="1"/>
  <c r="U1010" i="1"/>
  <c r="V1010" i="1"/>
  <c r="U981" i="1"/>
  <c r="V981" i="1"/>
  <c r="U982" i="1"/>
  <c r="V982" i="1"/>
  <c r="U727" i="1"/>
  <c r="V727" i="1"/>
  <c r="U728" i="1"/>
  <c r="V728" i="1"/>
  <c r="U703" i="1"/>
  <c r="V703" i="1"/>
  <c r="U704" i="1"/>
  <c r="V704" i="1"/>
  <c r="V656" i="1"/>
  <c r="U657" i="1"/>
  <c r="V657" i="1"/>
  <c r="V598" i="1"/>
  <c r="U599" i="1"/>
  <c r="V599" i="1"/>
  <c r="V555" i="1"/>
  <c r="U556" i="1"/>
  <c r="V556" i="1"/>
  <c r="U477" i="1"/>
  <c r="V477" i="1"/>
  <c r="U478" i="1"/>
  <c r="V478" i="1"/>
  <c r="U405" i="1"/>
  <c r="V405" i="1"/>
  <c r="U406" i="1"/>
  <c r="V406" i="1"/>
  <c r="U359" i="1"/>
  <c r="V359" i="1"/>
  <c r="U360" i="1"/>
  <c r="V360" i="1"/>
  <c r="V329" i="1"/>
  <c r="U330" i="1"/>
  <c r="V330" i="1"/>
  <c r="U145" i="1"/>
  <c r="V145" i="1"/>
  <c r="U146" i="1"/>
  <c r="V146" i="1"/>
  <c r="U55" i="1"/>
  <c r="V55" i="1"/>
  <c r="U56" i="1"/>
  <c r="V56" i="1"/>
  <c r="U5" i="1"/>
  <c r="U6" i="1"/>
  <c r="V6" i="1"/>
  <c r="Q3917" i="1"/>
  <c r="S3917" i="1" s="1"/>
  <c r="Q3915" i="1"/>
  <c r="S3915" i="1" s="1"/>
  <c r="Q3913" i="1"/>
  <c r="S3913" i="1" s="1"/>
  <c r="Q3911" i="1"/>
  <c r="R3911" i="1" s="1"/>
  <c r="N3917" i="1"/>
  <c r="N3915" i="1"/>
  <c r="N3913" i="1"/>
  <c r="V3911" i="1"/>
  <c r="U3910" i="1"/>
  <c r="U3911" i="1"/>
  <c r="U3912" i="1"/>
  <c r="U3913" i="1"/>
  <c r="U3914" i="1"/>
  <c r="U3915" i="1"/>
  <c r="U3916" i="1"/>
  <c r="U3917" i="1"/>
  <c r="U3918" i="1"/>
  <c r="U3928" i="1"/>
  <c r="U3929" i="1"/>
  <c r="U3930" i="1"/>
  <c r="V3909" i="1"/>
  <c r="V3910" i="1"/>
  <c r="V3912" i="1"/>
  <c r="V3913" i="1"/>
  <c r="V3914" i="1"/>
  <c r="V3915" i="1"/>
  <c r="V3916" i="1"/>
  <c r="V3917" i="1"/>
  <c r="V3918" i="1"/>
  <c r="V3928" i="1"/>
  <c r="V3929" i="1"/>
  <c r="V3930" i="1"/>
  <c r="Q3527" i="1"/>
  <c r="S3527" i="1" s="1"/>
  <c r="Q4096" i="1"/>
  <c r="S4096" i="1" s="1"/>
  <c r="N4096" i="1"/>
  <c r="J4097" i="1"/>
  <c r="I4097" i="1"/>
  <c r="N3114" i="1"/>
  <c r="Q3114" i="1"/>
  <c r="S3114" i="1" s="1"/>
  <c r="J3115" i="1"/>
  <c r="J3117" i="1"/>
  <c r="I3898" i="1"/>
  <c r="H3898" i="1"/>
  <c r="J3896" i="1"/>
  <c r="I3896" i="1"/>
  <c r="H3896" i="1"/>
  <c r="J3894" i="1"/>
  <c r="I3894" i="1"/>
  <c r="H3894" i="1"/>
  <c r="J3892" i="1"/>
  <c r="I3892" i="1"/>
  <c r="H3892" i="1"/>
  <c r="J3890" i="1"/>
  <c r="I3890" i="1"/>
  <c r="H3890" i="1"/>
  <c r="J3888" i="1"/>
  <c r="I3888" i="1"/>
  <c r="H3888" i="1"/>
  <c r="J3886" i="1"/>
  <c r="I3886" i="1"/>
  <c r="H3886" i="1"/>
  <c r="J3884" i="1"/>
  <c r="I3884" i="1"/>
  <c r="H3884" i="1"/>
  <c r="J3882" i="1"/>
  <c r="I3882" i="1"/>
  <c r="H3882" i="1"/>
  <c r="J3880" i="1"/>
  <c r="I3880" i="1"/>
  <c r="H3880" i="1"/>
  <c r="Q3903" i="1"/>
  <c r="S3903" i="1" s="1"/>
  <c r="Q3901" i="1"/>
  <c r="S3901" i="1" s="1"/>
  <c r="Q3899" i="1"/>
  <c r="S3899" i="1" s="1"/>
  <c r="N3903" i="1"/>
  <c r="N3901" i="1"/>
  <c r="N3899" i="1"/>
  <c r="I107" i="43"/>
  <c r="V107" i="43"/>
  <c r="X107" i="43"/>
  <c r="Z107" i="43"/>
  <c r="N3897" i="1"/>
  <c r="N3895" i="1"/>
  <c r="N3893" i="1"/>
  <c r="N3891" i="1"/>
  <c r="N3889" i="1"/>
  <c r="N3887" i="1"/>
  <c r="N3885" i="1"/>
  <c r="N3883" i="1"/>
  <c r="N3881" i="1"/>
  <c r="N3879" i="1"/>
  <c r="Q3897" i="1"/>
  <c r="R3897" i="1" s="1"/>
  <c r="Q3895" i="1"/>
  <c r="S3895" i="1" s="1"/>
  <c r="Q3893" i="1"/>
  <c r="R3893" i="1" s="1"/>
  <c r="Q3891" i="1"/>
  <c r="S3891" i="1" s="1"/>
  <c r="Q3889" i="1"/>
  <c r="S3889" i="1" s="1"/>
  <c r="Q3887" i="1"/>
  <c r="S3887" i="1" s="1"/>
  <c r="Q3885" i="1"/>
  <c r="S3885" i="1" s="1"/>
  <c r="Q3883" i="1"/>
  <c r="S3883" i="1" s="1"/>
  <c r="Q3881" i="1"/>
  <c r="R3881" i="1" s="1"/>
  <c r="Q3879" i="1"/>
  <c r="S3879" i="1" s="1"/>
  <c r="U3891" i="1"/>
  <c r="U3892" i="1"/>
  <c r="U3893" i="1"/>
  <c r="U3894" i="1"/>
  <c r="U3895" i="1"/>
  <c r="U3896" i="1"/>
  <c r="U3897" i="1"/>
  <c r="U3898" i="1"/>
  <c r="V3891" i="1"/>
  <c r="V3892" i="1"/>
  <c r="V3893" i="1"/>
  <c r="V3894" i="1"/>
  <c r="V3895" i="1"/>
  <c r="V3896" i="1"/>
  <c r="V3897" i="1"/>
  <c r="V3898" i="1"/>
  <c r="U3899" i="1"/>
  <c r="U3900" i="1"/>
  <c r="U3901" i="1"/>
  <c r="U3902" i="1"/>
  <c r="U3903" i="1"/>
  <c r="U3904" i="1"/>
  <c r="U3905" i="1"/>
  <c r="U3906" i="1"/>
  <c r="V3900" i="1"/>
  <c r="V3902" i="1"/>
  <c r="V3904" i="1"/>
  <c r="V3905" i="1"/>
  <c r="V3906" i="1"/>
  <c r="V3116" i="1"/>
  <c r="Q3706" i="1"/>
  <c r="S3706" i="1" s="1"/>
  <c r="Q3704" i="1"/>
  <c r="S3704" i="1" s="1"/>
  <c r="Q3702" i="1"/>
  <c r="S3702" i="1" s="1"/>
  <c r="Q3700" i="1"/>
  <c r="S3700" i="1" s="1"/>
  <c r="Q3698" i="1"/>
  <c r="S3698" i="1" s="1"/>
  <c r="N3706" i="1"/>
  <c r="N3704" i="1"/>
  <c r="N3702" i="1"/>
  <c r="N3700" i="1"/>
  <c r="V3295" i="1"/>
  <c r="V1053" i="1"/>
  <c r="V4100" i="1"/>
  <c r="U1013" i="1"/>
  <c r="V7" i="1"/>
  <c r="V8" i="1"/>
  <c r="V9" i="1"/>
  <c r="V10" i="1"/>
  <c r="V11" i="1"/>
  <c r="V12" i="1"/>
  <c r="V13" i="1"/>
  <c r="V14" i="1"/>
  <c r="V15" i="1"/>
  <c r="V16" i="1"/>
  <c r="V17" i="1"/>
  <c r="V18" i="1"/>
  <c r="V19" i="1"/>
  <c r="V20" i="1"/>
  <c r="V21" i="1"/>
  <c r="V22" i="1"/>
  <c r="V23" i="1"/>
  <c r="V24" i="1"/>
  <c r="V25" i="1"/>
  <c r="V26" i="1"/>
  <c r="V27" i="1"/>
  <c r="V28" i="1"/>
  <c r="V29" i="1"/>
  <c r="V30" i="1"/>
  <c r="V31" i="1"/>
  <c r="V32" i="1"/>
  <c r="V34" i="1"/>
  <c r="V35" i="1"/>
  <c r="V36" i="1"/>
  <c r="V37" i="1"/>
  <c r="V38" i="1"/>
  <c r="V39" i="1"/>
  <c r="V40" i="1"/>
  <c r="V41" i="1"/>
  <c r="V42" i="1"/>
  <c r="V43" i="1"/>
  <c r="V44" i="1"/>
  <c r="V45" i="1"/>
  <c r="V46" i="1"/>
  <c r="V47" i="1"/>
  <c r="V48" i="1"/>
  <c r="V49" i="1"/>
  <c r="V50" i="1"/>
  <c r="V51" i="1"/>
  <c r="V52" i="1"/>
  <c r="V57" i="1"/>
  <c r="V61" i="1"/>
  <c r="V62" i="1"/>
  <c r="V63" i="1"/>
  <c r="V64" i="1"/>
  <c r="V65" i="1"/>
  <c r="V66" i="1"/>
  <c r="V67" i="1"/>
  <c r="V68" i="1"/>
  <c r="V69" i="1"/>
  <c r="V70" i="1"/>
  <c r="V71" i="1"/>
  <c r="V72" i="1"/>
  <c r="V73" i="1"/>
  <c r="V74" i="1"/>
  <c r="V75" i="1"/>
  <c r="V76" i="1"/>
  <c r="V77" i="1"/>
  <c r="V78" i="1"/>
  <c r="V79" i="1"/>
  <c r="V80" i="1"/>
  <c r="V81" i="1"/>
  <c r="V82" i="1"/>
  <c r="V83" i="1"/>
  <c r="V84" i="1"/>
  <c r="V85" i="1"/>
  <c r="V86"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218" i="1"/>
  <c r="V219" i="1"/>
  <c r="V220" i="1"/>
  <c r="V221" i="1"/>
  <c r="V222" i="1"/>
  <c r="V223" i="1"/>
  <c r="V224" i="1"/>
  <c r="V225" i="1"/>
  <c r="V226" i="1"/>
  <c r="V227" i="1"/>
  <c r="V228" i="1"/>
  <c r="V229" i="1"/>
  <c r="V230" i="1"/>
  <c r="V231" i="1"/>
  <c r="V232" i="1"/>
  <c r="V233" i="1"/>
  <c r="V234" i="1"/>
  <c r="V235" i="1"/>
  <c r="V236" i="1"/>
  <c r="V239"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61" i="1"/>
  <c r="V362" i="1"/>
  <c r="V363" i="1"/>
  <c r="V364" i="1"/>
  <c r="V366" i="1"/>
  <c r="V368" i="1"/>
  <c r="V370" i="1"/>
  <c r="V372" i="1"/>
  <c r="V374" i="1"/>
  <c r="V376"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9" i="1"/>
  <c r="V460" i="1"/>
  <c r="V461" i="1"/>
  <c r="V462" i="1"/>
  <c r="V464" i="1"/>
  <c r="V465" i="1"/>
  <c r="V466" i="1"/>
  <c r="V467" i="1"/>
  <c r="V468" i="1"/>
  <c r="V469" i="1"/>
  <c r="V470" i="1"/>
  <c r="V471" i="1"/>
  <c r="V472" i="1"/>
  <c r="V473" i="1"/>
  <c r="V474" i="1"/>
  <c r="V475" i="1"/>
  <c r="V476"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600" i="1"/>
  <c r="V601" i="1"/>
  <c r="V602" i="1"/>
  <c r="V603" i="1"/>
  <c r="V604" i="1"/>
  <c r="V605" i="1"/>
  <c r="V606" i="1"/>
  <c r="V607" i="1"/>
  <c r="V608" i="1"/>
  <c r="V617" i="1"/>
  <c r="V618" i="1"/>
  <c r="V619" i="1"/>
  <c r="V620" i="1"/>
  <c r="V621" i="1"/>
  <c r="V622" i="1"/>
  <c r="V623" i="1"/>
  <c r="V624" i="1"/>
  <c r="V626" i="1"/>
  <c r="V627" i="1"/>
  <c r="V628" i="1"/>
  <c r="V629" i="1"/>
  <c r="V636" i="1"/>
  <c r="V637" i="1"/>
  <c r="V638" i="1"/>
  <c r="V639" i="1"/>
  <c r="V640" i="1"/>
  <c r="V641" i="1"/>
  <c r="V642" i="1"/>
  <c r="V643" i="1"/>
  <c r="V644" i="1"/>
  <c r="V645" i="1"/>
  <c r="V646" i="1"/>
  <c r="V647" i="1"/>
  <c r="V648" i="1"/>
  <c r="V649" i="1"/>
  <c r="V650" i="1"/>
  <c r="V651" i="1"/>
  <c r="V652" i="1"/>
  <c r="V653" i="1"/>
  <c r="V658" i="1"/>
  <c r="V659" i="1"/>
  <c r="V660" i="1"/>
  <c r="V661" i="1"/>
  <c r="V662" i="1"/>
  <c r="V663" i="1"/>
  <c r="V664" i="1"/>
  <c r="V665" i="1"/>
  <c r="V666" i="1"/>
  <c r="V667" i="1"/>
  <c r="V668" i="1"/>
  <c r="V669" i="1"/>
  <c r="V670" i="1"/>
  <c r="V671"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5" i="1"/>
  <c r="V706" i="1"/>
  <c r="V707" i="1"/>
  <c r="V708" i="1"/>
  <c r="V709" i="1"/>
  <c r="V710" i="1"/>
  <c r="V711" i="1"/>
  <c r="V712" i="1"/>
  <c r="V713" i="1"/>
  <c r="V714" i="1"/>
  <c r="V715" i="1"/>
  <c r="V716" i="1"/>
  <c r="V717" i="1"/>
  <c r="V718" i="1"/>
  <c r="V719" i="1"/>
  <c r="V720" i="1"/>
  <c r="V721" i="1"/>
  <c r="V722" i="1"/>
  <c r="V723" i="1"/>
  <c r="V724"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65" i="1"/>
  <c r="V766" i="1"/>
  <c r="V767" i="1"/>
  <c r="V768" i="1"/>
  <c r="V769" i="1"/>
  <c r="V770" i="1"/>
  <c r="V771" i="1"/>
  <c r="V772" i="1"/>
  <c r="V773" i="1"/>
  <c r="V774" i="1"/>
  <c r="V775" i="1"/>
  <c r="V776" i="1"/>
  <c r="V777" i="1"/>
  <c r="V778" i="1"/>
  <c r="V779" i="1"/>
  <c r="V780" i="1"/>
  <c r="V781" i="1"/>
  <c r="V782" i="1"/>
  <c r="V783" i="1"/>
  <c r="V784" i="1"/>
  <c r="V785" i="1"/>
  <c r="V786" i="1"/>
  <c r="V787" i="1"/>
  <c r="V788" i="1"/>
  <c r="V811" i="1"/>
  <c r="V812" i="1"/>
  <c r="V813" i="1"/>
  <c r="V814" i="1"/>
  <c r="V815" i="1"/>
  <c r="V816" i="1"/>
  <c r="V817" i="1"/>
  <c r="V818" i="1"/>
  <c r="V819" i="1"/>
  <c r="V820" i="1"/>
  <c r="V821" i="1"/>
  <c r="V822" i="1"/>
  <c r="V823" i="1"/>
  <c r="V824" i="1"/>
  <c r="V825" i="1"/>
  <c r="V826" i="1"/>
  <c r="V827" i="1"/>
  <c r="V828" i="1"/>
  <c r="V829" i="1"/>
  <c r="V830"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963" i="1"/>
  <c r="V964" i="1"/>
  <c r="V965" i="1"/>
  <c r="V966" i="1"/>
  <c r="V967" i="1"/>
  <c r="V968" i="1"/>
  <c r="V969" i="1"/>
  <c r="V970" i="1"/>
  <c r="V971" i="1"/>
  <c r="V972" i="1"/>
  <c r="V973" i="1"/>
  <c r="V974" i="1"/>
  <c r="V975" i="1"/>
  <c r="V976" i="1"/>
  <c r="V977" i="1"/>
  <c r="V978"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5" i="1"/>
  <c r="V1046" i="1"/>
  <c r="V1047" i="1"/>
  <c r="V1048" i="1"/>
  <c r="V1049" i="1"/>
  <c r="V1050" i="1"/>
  <c r="V1051" i="1"/>
  <c r="V1052" i="1"/>
  <c r="V1054" i="1"/>
  <c r="V1055" i="1"/>
  <c r="V1056" i="1"/>
  <c r="V1057" i="1"/>
  <c r="V1058" i="1"/>
  <c r="V1059" i="1"/>
  <c r="V1060" i="1"/>
  <c r="V1061" i="1"/>
  <c r="V1062" i="1"/>
  <c r="V1063" i="1"/>
  <c r="V1064" i="1"/>
  <c r="V1065" i="1"/>
  <c r="V1066" i="1"/>
  <c r="V1067" i="1"/>
  <c r="V1068" i="1"/>
  <c r="V1069" i="1"/>
  <c r="V1070" i="1"/>
  <c r="V1071" i="1"/>
  <c r="V1072" i="1"/>
  <c r="V1073" i="1"/>
  <c r="V1077" i="1"/>
  <c r="V1082" i="1"/>
  <c r="V1083" i="1"/>
  <c r="V1084" i="1"/>
  <c r="V1085" i="1"/>
  <c r="V1086" i="1"/>
  <c r="V1087" i="1"/>
  <c r="V1088" i="1"/>
  <c r="V1089" i="1"/>
  <c r="V1090" i="1"/>
  <c r="V1091" i="1"/>
  <c r="V1092" i="1"/>
  <c r="V1093" i="1"/>
  <c r="V1094" i="1"/>
  <c r="V1095" i="1"/>
  <c r="V1096" i="1"/>
  <c r="V1097" i="1"/>
  <c r="V1098" i="1"/>
  <c r="V1099" i="1"/>
  <c r="V1100" i="1"/>
  <c r="V1101" i="1"/>
  <c r="V1102"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7" i="1"/>
  <c r="V1138" i="1"/>
  <c r="V1139" i="1"/>
  <c r="V1140" i="1"/>
  <c r="V1141" i="1"/>
  <c r="V1142" i="1"/>
  <c r="V1143" i="1"/>
  <c r="V1144" i="1"/>
  <c r="V1176" i="1"/>
  <c r="V1177" i="1"/>
  <c r="V1178" i="1"/>
  <c r="V1179" i="1"/>
  <c r="V1180" i="1"/>
  <c r="V1181" i="1"/>
  <c r="V1182" i="1"/>
  <c r="V1183" i="1"/>
  <c r="V1184" i="1"/>
  <c r="V1185" i="1"/>
  <c r="V1186" i="1"/>
  <c r="V1187" i="1"/>
  <c r="V1188" i="1"/>
  <c r="V1189" i="1"/>
  <c r="V1190" i="1"/>
  <c r="V1191" i="1"/>
  <c r="V1192" i="1"/>
  <c r="V1193"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3" i="1"/>
  <c r="V1274" i="1"/>
  <c r="V1276" i="1"/>
  <c r="V1277" i="1"/>
  <c r="V1278" i="1"/>
  <c r="V1279" i="1"/>
  <c r="V1280" i="1"/>
  <c r="V1281" i="1"/>
  <c r="V1282" i="1"/>
  <c r="V1283" i="1"/>
  <c r="V1284" i="1"/>
  <c r="V1285" i="1"/>
  <c r="V1286" i="1"/>
  <c r="V1287" i="1"/>
  <c r="V1288" i="1"/>
  <c r="V1289" i="1"/>
  <c r="V1290" i="1"/>
  <c r="V1291" i="1"/>
  <c r="V1292" i="1"/>
  <c r="V1293" i="1"/>
  <c r="V1294" i="1"/>
  <c r="V1295" i="1"/>
  <c r="V1296"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2" i="1"/>
  <c r="V1334" i="1"/>
  <c r="V1335" i="1"/>
  <c r="V1336" i="1"/>
  <c r="V1337" i="1"/>
  <c r="V1338" i="1"/>
  <c r="V1339" i="1"/>
  <c r="V1340" i="1"/>
  <c r="V1341" i="1"/>
  <c r="V1342" i="1"/>
  <c r="V1343" i="1"/>
  <c r="V1344" i="1"/>
  <c r="V1345" i="1"/>
  <c r="V1346" i="1"/>
  <c r="V1347" i="1"/>
  <c r="V1348"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50"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8"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4" i="1"/>
  <c r="V1625" i="1"/>
  <c r="V1630" i="1"/>
  <c r="V1631" i="1"/>
  <c r="V1632" i="1"/>
  <c r="V1633" i="1"/>
  <c r="V1634" i="1"/>
  <c r="V1635" i="1"/>
  <c r="V1636" i="1"/>
  <c r="V1637" i="1"/>
  <c r="V1638" i="1"/>
  <c r="V1639" i="1"/>
  <c r="V1640" i="1"/>
  <c r="V1641" i="1"/>
  <c r="V1642" i="1"/>
  <c r="V1643"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8" i="1"/>
  <c r="V1685" i="1"/>
  <c r="V1686" i="1"/>
  <c r="V1687" i="1"/>
  <c r="V1688" i="1"/>
  <c r="V1689" i="1"/>
  <c r="V1690" i="1"/>
  <c r="V1691" i="1"/>
  <c r="V1692" i="1"/>
  <c r="V1693" i="1"/>
  <c r="V1694" i="1"/>
  <c r="V1695" i="1"/>
  <c r="V1696" i="1"/>
  <c r="V1697" i="1"/>
  <c r="V1698" i="1"/>
  <c r="V1699" i="1"/>
  <c r="V1700" i="1"/>
  <c r="V1701" i="1"/>
  <c r="V1702"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30" i="1"/>
  <c r="V2031" i="1"/>
  <c r="V2032" i="1"/>
  <c r="V2033" i="1"/>
  <c r="V2034" i="1"/>
  <c r="V2035" i="1"/>
  <c r="V2036" i="1"/>
  <c r="V2037" i="1"/>
  <c r="V2038" i="1"/>
  <c r="V2039" i="1"/>
  <c r="V2040" i="1"/>
  <c r="V2041" i="1"/>
  <c r="V2042" i="1"/>
  <c r="V2043" i="1"/>
  <c r="V2044" i="1"/>
  <c r="V2045" i="1"/>
  <c r="V2046" i="1"/>
  <c r="V2048" i="1"/>
  <c r="V2053" i="1"/>
  <c r="V2054" i="1"/>
  <c r="V2055" i="1"/>
  <c r="V2056" i="1"/>
  <c r="V2057" i="1"/>
  <c r="V2058" i="1"/>
  <c r="V2059" i="1"/>
  <c r="V2060" i="1"/>
  <c r="V2061" i="1"/>
  <c r="V2062" i="1"/>
  <c r="V2063" i="1"/>
  <c r="V2064" i="1"/>
  <c r="V2065" i="1"/>
  <c r="V2066" i="1"/>
  <c r="V2067"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8" i="1"/>
  <c r="V2187"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8" i="1"/>
  <c r="V2239" i="1"/>
  <c r="V2240" i="1"/>
  <c r="V2241" i="1"/>
  <c r="V2242" i="1"/>
  <c r="V2243" i="1"/>
  <c r="V2244" i="1"/>
  <c r="V2245" i="1"/>
  <c r="V2246" i="1"/>
  <c r="V2247" i="1"/>
  <c r="V2248" i="1"/>
  <c r="V2249" i="1"/>
  <c r="V2250" i="1"/>
  <c r="V2251" i="1"/>
  <c r="V2252" i="1"/>
  <c r="V4519" i="1"/>
  <c r="V4520" i="1"/>
  <c r="V4521" i="1"/>
  <c r="V4522" i="1"/>
  <c r="V4523" i="1"/>
  <c r="V4524" i="1"/>
  <c r="V4525" i="1"/>
  <c r="V4526" i="1"/>
  <c r="V4527" i="1"/>
  <c r="V4528" i="1"/>
  <c r="V4529" i="1"/>
  <c r="V4530" i="1"/>
  <c r="V4531" i="1"/>
  <c r="V4532" i="1"/>
  <c r="V4533" i="1"/>
  <c r="V4534"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6" i="1"/>
  <c r="V2347" i="1"/>
  <c r="V2348" i="1"/>
  <c r="V2349" i="1"/>
  <c r="V2350" i="1"/>
  <c r="V2351" i="1"/>
  <c r="V2352" i="1"/>
  <c r="V2353" i="1"/>
  <c r="V2354" i="1"/>
  <c r="V2355" i="1"/>
  <c r="V2356" i="1"/>
  <c r="V2357" i="1"/>
  <c r="V2358" i="1"/>
  <c r="V2359" i="1"/>
  <c r="V2360" i="1"/>
  <c r="V2362"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857" i="1"/>
  <c r="V2858" i="1"/>
  <c r="V2859" i="1"/>
  <c r="V2860" i="1"/>
  <c r="V2861" i="1"/>
  <c r="V2862" i="1"/>
  <c r="V2863" i="1"/>
  <c r="V2864" i="1"/>
  <c r="V2865" i="1"/>
  <c r="V4562" i="1"/>
  <c r="V4567" i="1"/>
  <c r="V4569" i="1"/>
  <c r="V4570" i="1"/>
  <c r="V4571" i="1"/>
  <c r="V4572" i="1"/>
  <c r="V4573" i="1"/>
  <c r="V4574" i="1"/>
  <c r="V4575" i="1"/>
  <c r="V4576" i="1"/>
  <c r="V4577" i="1"/>
  <c r="V4578" i="1"/>
  <c r="V4579" i="1"/>
  <c r="V4580" i="1"/>
  <c r="V4581" i="1"/>
  <c r="V4582" i="1"/>
  <c r="V4583" i="1"/>
  <c r="V4584" i="1"/>
  <c r="V4585"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51" i="1"/>
  <c r="V2752" i="1"/>
  <c r="V2753" i="1"/>
  <c r="V2754" i="1"/>
  <c r="V2755" i="1"/>
  <c r="V2756" i="1"/>
  <c r="V2757" i="1"/>
  <c r="V2758" i="1"/>
  <c r="V2759" i="1"/>
  <c r="V2760" i="1"/>
  <c r="V2761" i="1"/>
  <c r="V2762" i="1"/>
  <c r="V2763" i="1"/>
  <c r="V2764" i="1"/>
  <c r="V2765" i="1"/>
  <c r="V2766" i="1"/>
  <c r="V2767" i="1"/>
  <c r="V2768" i="1"/>
  <c r="V2769" i="1"/>
  <c r="V2770" i="1"/>
  <c r="V2771" i="1"/>
  <c r="V2772"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21" i="1"/>
  <c r="V2822" i="1"/>
  <c r="V2823" i="1"/>
  <c r="V2824" i="1"/>
  <c r="V2825" i="1"/>
  <c r="V2826" i="1"/>
  <c r="V2827" i="1"/>
  <c r="V2828" i="1"/>
  <c r="V2829" i="1"/>
  <c r="V2830" i="1"/>
  <c r="V2832" i="1"/>
  <c r="V2833" i="1"/>
  <c r="V2834" i="1"/>
  <c r="V2835" i="1"/>
  <c r="V2836" i="1"/>
  <c r="V2837" i="1"/>
  <c r="V2838" i="1"/>
  <c r="V2839" i="1"/>
  <c r="V2840" i="1"/>
  <c r="V2841" i="1"/>
  <c r="V2842" i="1"/>
  <c r="V2843" i="1"/>
  <c r="V2844" i="1"/>
  <c r="V2845" i="1"/>
  <c r="V2846" i="1"/>
  <c r="V2847" i="1"/>
  <c r="V2848" i="1"/>
  <c r="V2849" i="1"/>
  <c r="V2850" i="1"/>
  <c r="V2851" i="1"/>
  <c r="V2852" i="1"/>
  <c r="V2853"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900" i="1"/>
  <c r="V2902" i="1"/>
  <c r="V2904" i="1"/>
  <c r="V2905" i="1"/>
  <c r="V2906" i="1"/>
  <c r="V2907" i="1"/>
  <c r="V2908" i="1"/>
  <c r="V2909" i="1"/>
  <c r="V2910"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12" i="1"/>
  <c r="V3013" i="1"/>
  <c r="V3014" i="1"/>
  <c r="V3015" i="1"/>
  <c r="V3016" i="1"/>
  <c r="V3017" i="1"/>
  <c r="V3018" i="1"/>
  <c r="V3019" i="1"/>
  <c r="V3020" i="1"/>
  <c r="V3021" i="1"/>
  <c r="V3022" i="1"/>
  <c r="V3024" i="1"/>
  <c r="V3025" i="1"/>
  <c r="V3026" i="1"/>
  <c r="V3027" i="1"/>
  <c r="V3028" i="1"/>
  <c r="V3029" i="1"/>
  <c r="V3030" i="1"/>
  <c r="V3031" i="1"/>
  <c r="V3032" i="1"/>
  <c r="V3033" i="1"/>
  <c r="V3034" i="1"/>
  <c r="V3035" i="1"/>
  <c r="V3036" i="1"/>
  <c r="V3037" i="1"/>
  <c r="V3038" i="1"/>
  <c r="V3039" i="1"/>
  <c r="V3040" i="1"/>
  <c r="V3041" i="1"/>
  <c r="V3042" i="1"/>
  <c r="V3043" i="1"/>
  <c r="V3044"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8" i="1"/>
  <c r="V3089" i="1"/>
  <c r="V3090" i="1"/>
  <c r="V3091" i="1"/>
  <c r="V3092" i="1"/>
  <c r="V3093" i="1"/>
  <c r="V3094" i="1"/>
  <c r="V3095" i="1"/>
  <c r="V3096" i="1"/>
  <c r="V3097" i="1"/>
  <c r="V3098" i="1"/>
  <c r="V3099" i="1"/>
  <c r="V3100" i="1"/>
  <c r="V3101" i="1"/>
  <c r="V3102" i="1"/>
  <c r="V3103" i="1"/>
  <c r="V3104" i="1"/>
  <c r="V3105" i="1"/>
  <c r="V3106" i="1"/>
  <c r="V3107" i="1"/>
  <c r="V3108" i="1"/>
  <c r="V3109" i="1"/>
  <c r="V3114" i="1"/>
  <c r="V3115" i="1"/>
  <c r="V3117" i="1"/>
  <c r="V3118" i="1"/>
  <c r="V3119" i="1"/>
  <c r="V3120" i="1"/>
  <c r="V3121" i="1"/>
  <c r="V3122" i="1"/>
  <c r="V3123" i="1"/>
  <c r="V3124" i="1"/>
  <c r="V3125" i="1"/>
  <c r="V3126" i="1"/>
  <c r="V3127" i="1"/>
  <c r="V3128" i="1"/>
  <c r="V3129" i="1"/>
  <c r="V3130" i="1"/>
  <c r="V3131" i="1"/>
  <c r="V3132" i="1"/>
  <c r="V3133" i="1"/>
  <c r="V3134" i="1"/>
  <c r="V3135"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82" i="1"/>
  <c r="V3183" i="1"/>
  <c r="V3184" i="1"/>
  <c r="V3185" i="1"/>
  <c r="V3186" i="1"/>
  <c r="V3187" i="1"/>
  <c r="V3188" i="1"/>
  <c r="V3189" i="1"/>
  <c r="V3190" i="1"/>
  <c r="V3191" i="1"/>
  <c r="V3192" i="1"/>
  <c r="V3193" i="1"/>
  <c r="V3194" i="1"/>
  <c r="V3195" i="1"/>
  <c r="V3196" i="1"/>
  <c r="V3197" i="1"/>
  <c r="V3198" i="1"/>
  <c r="V3199" i="1"/>
  <c r="V3206" i="1"/>
  <c r="V3207" i="1"/>
  <c r="V3208" i="1"/>
  <c r="V3209" i="1"/>
  <c r="V3210" i="1"/>
  <c r="V3211" i="1"/>
  <c r="V3212" i="1"/>
  <c r="V3213" i="1"/>
  <c r="V3214" i="1"/>
  <c r="V3215" i="1"/>
  <c r="V3216" i="1"/>
  <c r="V3217" i="1"/>
  <c r="V3218" i="1"/>
  <c r="V3219" i="1"/>
  <c r="V3220" i="1"/>
  <c r="V3221" i="1"/>
  <c r="V3224" i="1"/>
  <c r="V3229" i="1"/>
  <c r="V3230" i="1"/>
  <c r="V3231" i="1"/>
  <c r="V3232" i="1"/>
  <c r="V3233" i="1"/>
  <c r="V3235" i="1"/>
  <c r="V3237" i="1"/>
  <c r="V3239" i="1"/>
  <c r="V3241" i="1"/>
  <c r="V3243" i="1"/>
  <c r="V3245" i="1"/>
  <c r="V3246" i="1"/>
  <c r="V3247" i="1"/>
  <c r="V3248"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93" i="1"/>
  <c r="V3294"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6" i="1"/>
  <c r="V3327" i="1"/>
  <c r="V3328" i="1"/>
  <c r="V3329" i="1"/>
  <c r="V3330" i="1"/>
  <c r="V3331" i="1"/>
  <c r="V3333" i="1"/>
  <c r="V3334" i="1"/>
  <c r="V3335" i="1"/>
  <c r="V3336" i="1"/>
  <c r="V3337" i="1"/>
  <c r="V3338" i="1"/>
  <c r="V3339" i="1"/>
  <c r="V3340" i="1"/>
  <c r="V3341" i="1"/>
  <c r="V3342" i="1"/>
  <c r="V3343" i="1"/>
  <c r="V3344" i="1"/>
  <c r="V3345" i="1"/>
  <c r="V3346" i="1"/>
  <c r="V3347" i="1"/>
  <c r="V3348" i="1"/>
  <c r="V3349" i="1"/>
  <c r="V3354" i="1"/>
  <c r="V3355" i="1"/>
  <c r="V3356" i="1"/>
  <c r="V3357" i="1"/>
  <c r="V3358" i="1"/>
  <c r="V3359" i="1"/>
  <c r="V3360" i="1"/>
  <c r="V3361" i="1"/>
  <c r="V3362" i="1"/>
  <c r="V3363" i="1"/>
  <c r="V3364" i="1"/>
  <c r="V3365" i="1"/>
  <c r="V3366" i="1"/>
  <c r="V3367" i="1"/>
  <c r="V3368" i="1"/>
  <c r="V3369" i="1"/>
  <c r="V3370" i="1"/>
  <c r="V3371" i="1"/>
  <c r="V3372" i="1"/>
  <c r="V3373" i="1"/>
  <c r="V3374" i="1"/>
  <c r="V3375"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7" i="1"/>
  <c r="V3468" i="1"/>
  <c r="V3469" i="1"/>
  <c r="V3470" i="1"/>
  <c r="V3471" i="1"/>
  <c r="V3472" i="1"/>
  <c r="V3473" i="1"/>
  <c r="V3474" i="1"/>
  <c r="V3475" i="1"/>
  <c r="V3476" i="1"/>
  <c r="V3477" i="1"/>
  <c r="V3478" i="1"/>
  <c r="V3479" i="1"/>
  <c r="V3480" i="1"/>
  <c r="V3481" i="1"/>
  <c r="V3482" i="1"/>
  <c r="V3483" i="1"/>
  <c r="V3484" i="1"/>
  <c r="V3485" i="1"/>
  <c r="V3486"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4542" i="1"/>
  <c r="V4543" i="1"/>
  <c r="V4544" i="1"/>
  <c r="V4545" i="1"/>
  <c r="V4546" i="1"/>
  <c r="V4547" i="1"/>
  <c r="V4548" i="1"/>
  <c r="V4549" i="1"/>
  <c r="V4550" i="1"/>
  <c r="V4551" i="1"/>
  <c r="V4552" i="1"/>
  <c r="V4553" i="1"/>
  <c r="V4554" i="1"/>
  <c r="V4555" i="1"/>
  <c r="V4556" i="1"/>
  <c r="V4557" i="1"/>
  <c r="V4558" i="1"/>
  <c r="V4559" i="1"/>
  <c r="V4560" i="1"/>
  <c r="V2150" i="1"/>
  <c r="V2151"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42" i="1"/>
  <c r="V3643" i="1"/>
  <c r="V3644" i="1"/>
  <c r="V3645" i="1"/>
  <c r="V3646" i="1"/>
  <c r="V3647" i="1"/>
  <c r="V3648" i="1"/>
  <c r="V3649" i="1"/>
  <c r="V3650" i="1"/>
  <c r="V3651" i="1"/>
  <c r="V3652" i="1"/>
  <c r="V3653" i="1"/>
  <c r="V3654"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5" i="1"/>
  <c r="V3726" i="1"/>
  <c r="V3727" i="1"/>
  <c r="V3728" i="1"/>
  <c r="V3729" i="1"/>
  <c r="V3730" i="1"/>
  <c r="V3731" i="1"/>
  <c r="V3732" i="1"/>
  <c r="V3733" i="1"/>
  <c r="V3734" i="1"/>
  <c r="V3735" i="1"/>
  <c r="V3736" i="1"/>
  <c r="V3737" i="1"/>
  <c r="V3738" i="1"/>
  <c r="V3739" i="1"/>
  <c r="V3740" i="1"/>
  <c r="V3763" i="1"/>
  <c r="V3764" i="1"/>
  <c r="V3766" i="1"/>
  <c r="V3767" i="1"/>
  <c r="V3768" i="1"/>
  <c r="V3769" i="1"/>
  <c r="V3770" i="1"/>
  <c r="V3771" i="1"/>
  <c r="V3772" i="1"/>
  <c r="V3773" i="1"/>
  <c r="V3774" i="1"/>
  <c r="V3775" i="1"/>
  <c r="V3776" i="1"/>
  <c r="V3777" i="1"/>
  <c r="V3778" i="1"/>
  <c r="V3779" i="1"/>
  <c r="V3780" i="1"/>
  <c r="V3782" i="1"/>
  <c r="V3790" i="1"/>
  <c r="V3792" i="1"/>
  <c r="V3793" i="1"/>
  <c r="V3794" i="1"/>
  <c r="V3795" i="1"/>
  <c r="V3796" i="1"/>
  <c r="V3797" i="1"/>
  <c r="V3798" i="1"/>
  <c r="V3799" i="1"/>
  <c r="V3800" i="1"/>
  <c r="V3801" i="1"/>
  <c r="V3802" i="1"/>
  <c r="V3803" i="1"/>
  <c r="V3804" i="1"/>
  <c r="V3805" i="1"/>
  <c r="V3806" i="1"/>
  <c r="V3807" i="1"/>
  <c r="V3808" i="1"/>
  <c r="V3809" i="1"/>
  <c r="V3810" i="1"/>
  <c r="V3811" i="1"/>
  <c r="V3812" i="1"/>
  <c r="V3817" i="1"/>
  <c r="V3818" i="1"/>
  <c r="V3819" i="1"/>
  <c r="V3820" i="1"/>
  <c r="V3821" i="1"/>
  <c r="V3822" i="1"/>
  <c r="V3823" i="1"/>
  <c r="V3824" i="1"/>
  <c r="V3825" i="1"/>
  <c r="V3828" i="1"/>
  <c r="V3831" i="1"/>
  <c r="V3832" i="1"/>
  <c r="V3839" i="1"/>
  <c r="V3840" i="1"/>
  <c r="V3841" i="1"/>
  <c r="V3842" i="1"/>
  <c r="V3843" i="1"/>
  <c r="V3844" i="1"/>
  <c r="V3845" i="1"/>
  <c r="V3846" i="1"/>
  <c r="V3847" i="1"/>
  <c r="V3848" i="1"/>
  <c r="V3849" i="1"/>
  <c r="V3850" i="1"/>
  <c r="V3879" i="1"/>
  <c r="V3880" i="1"/>
  <c r="V3881" i="1"/>
  <c r="V3882" i="1"/>
  <c r="V3883" i="1"/>
  <c r="V3884" i="1"/>
  <c r="V3885" i="1"/>
  <c r="V3886" i="1"/>
  <c r="V3887" i="1"/>
  <c r="V3888" i="1"/>
  <c r="V3889" i="1"/>
  <c r="V3890" i="1"/>
  <c r="V3931" i="1"/>
  <c r="V3932" i="1"/>
  <c r="V3933" i="1"/>
  <c r="V3934" i="1"/>
  <c r="V3935" i="1"/>
  <c r="V3936" i="1"/>
  <c r="V3937" i="1"/>
  <c r="V3938" i="1"/>
  <c r="V3939" i="1"/>
  <c r="V3940" i="1"/>
  <c r="V3941" i="1"/>
  <c r="V3942"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6" i="1"/>
  <c r="V4097" i="1"/>
  <c r="V4098" i="1"/>
  <c r="V4099"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6"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5" i="1"/>
  <c r="V4176" i="1"/>
  <c r="V4177" i="1"/>
  <c r="V4178" i="1"/>
  <c r="V4179" i="1"/>
  <c r="V4180" i="1"/>
  <c r="V4181" i="1"/>
  <c r="V4182" i="1"/>
  <c r="V4183" i="1"/>
  <c r="V4184" i="1"/>
  <c r="V4185" i="1"/>
  <c r="V4186" i="1"/>
  <c r="V418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9" i="1"/>
  <c r="V4280" i="1"/>
  <c r="V4281" i="1"/>
  <c r="V4282" i="1"/>
  <c r="V4283" i="1"/>
  <c r="V4284" i="1"/>
  <c r="V4285" i="1"/>
  <c r="V4286" i="1"/>
  <c r="V4287" i="1"/>
  <c r="V4288" i="1"/>
  <c r="V4289" i="1"/>
  <c r="V4290" i="1"/>
  <c r="V4291" i="1"/>
  <c r="V4292" i="1"/>
  <c r="V4293" i="1"/>
  <c r="V4294" i="1"/>
  <c r="V4295" i="1"/>
  <c r="V938" i="1"/>
  <c r="V939" i="1"/>
  <c r="V940" i="1"/>
  <c r="V941" i="1"/>
  <c r="V942" i="1"/>
  <c r="V943" i="1"/>
  <c r="V944" i="1"/>
  <c r="V945" i="1"/>
  <c r="V946" i="1"/>
  <c r="V947" i="1"/>
  <c r="V948" i="1"/>
  <c r="V949" i="1"/>
  <c r="V950" i="1"/>
  <c r="V951" i="1"/>
  <c r="V952" i="1"/>
  <c r="V953" i="1"/>
  <c r="V960" i="1"/>
  <c r="V962" i="1"/>
  <c r="V4300" i="1"/>
  <c r="V4301" i="1"/>
  <c r="V4302" i="1"/>
  <c r="V4303" i="1"/>
  <c r="V4304" i="1"/>
  <c r="V4305" i="1"/>
  <c r="V4306" i="1"/>
  <c r="V4307" i="1"/>
  <c r="V4308" i="1"/>
  <c r="V4309" i="1"/>
  <c r="V4310" i="1"/>
  <c r="V4311" i="1"/>
  <c r="V4312" i="1"/>
  <c r="V4313" i="1"/>
  <c r="V4321" i="1"/>
  <c r="V4322" i="1"/>
  <c r="V4323" i="1"/>
  <c r="V4324" i="1"/>
  <c r="V4325" i="1"/>
  <c r="V4326" i="1"/>
  <c r="V4327" i="1"/>
  <c r="V4400" i="1"/>
  <c r="V4401" i="1"/>
  <c r="V4402" i="1"/>
  <c r="V4403" i="1"/>
  <c r="V4404" i="1"/>
  <c r="V4405" i="1"/>
  <c r="V4406" i="1"/>
  <c r="V4407" i="1"/>
  <c r="V4408" i="1"/>
  <c r="V4409" i="1"/>
  <c r="V4410" i="1"/>
  <c r="V4411" i="1"/>
  <c r="V4412" i="1"/>
  <c r="V4413" i="1"/>
  <c r="V4414" i="1"/>
  <c r="V4415" i="1"/>
  <c r="V4416" i="1"/>
  <c r="V4417" i="1"/>
  <c r="V4422" i="1"/>
  <c r="V4423" i="1"/>
  <c r="V4424" i="1"/>
  <c r="V4425" i="1"/>
  <c r="V4426" i="1"/>
  <c r="V4427" i="1"/>
  <c r="V4428" i="1"/>
  <c r="V4429" i="1"/>
  <c r="V4430" i="1"/>
  <c r="V4431" i="1"/>
  <c r="V4432" i="1"/>
  <c r="V4433" i="1"/>
  <c r="V4434" i="1"/>
  <c r="V4435" i="1"/>
  <c r="V4436" i="1"/>
  <c r="V4437" i="1"/>
  <c r="V4438" i="1"/>
  <c r="V4439" i="1"/>
  <c r="V4440" i="1"/>
  <c r="V4441" i="1"/>
  <c r="V4446" i="1"/>
  <c r="V4447" i="1"/>
  <c r="V4448" i="1"/>
  <c r="V4449" i="1"/>
  <c r="V4450" i="1"/>
  <c r="V4451" i="1"/>
  <c r="V4452" i="1"/>
  <c r="V4453" i="1"/>
  <c r="V4454" i="1"/>
  <c r="V4455" i="1"/>
  <c r="V4456" i="1"/>
  <c r="V4457" i="1"/>
  <c r="V4458" i="1"/>
  <c r="V4459" i="1"/>
  <c r="V4501" i="1"/>
  <c r="V4502" i="1"/>
  <c r="V4503" i="1"/>
  <c r="V4504" i="1"/>
  <c r="V4505" i="1"/>
  <c r="V4506" i="1"/>
  <c r="V4507" i="1"/>
  <c r="V4508" i="1"/>
  <c r="V4509" i="1"/>
  <c r="V4510" i="1"/>
  <c r="V4511" i="1"/>
  <c r="V4512" i="1"/>
  <c r="V4513" i="1"/>
  <c r="V4514" i="1"/>
  <c r="V4606" i="1"/>
  <c r="V2152" i="1"/>
  <c r="V2153" i="1"/>
  <c r="V2154" i="1"/>
  <c r="V2155" i="1"/>
  <c r="V2156" i="1"/>
  <c r="V2157" i="1"/>
  <c r="V2158" i="1"/>
  <c r="V2159" i="1"/>
  <c r="V2160" i="1"/>
  <c r="V2161" i="1"/>
  <c r="V2162" i="1"/>
  <c r="V2163" i="1"/>
  <c r="V2164" i="1"/>
  <c r="V2168" i="1"/>
  <c r="V2185" i="1"/>
  <c r="U7" i="1"/>
  <c r="U8" i="1"/>
  <c r="U9" i="1"/>
  <c r="U10" i="1"/>
  <c r="U11" i="1"/>
  <c r="U12" i="1"/>
  <c r="U13" i="1"/>
  <c r="U14" i="1"/>
  <c r="U15" i="1"/>
  <c r="U16" i="1"/>
  <c r="U17" i="1"/>
  <c r="U18" i="1"/>
  <c r="U19" i="1"/>
  <c r="U20" i="1"/>
  <c r="U21" i="1"/>
  <c r="U22" i="1"/>
  <c r="U23" i="1"/>
  <c r="U24" i="1"/>
  <c r="U25" i="1"/>
  <c r="U26" i="1"/>
  <c r="U27" i="1"/>
  <c r="U28" i="1"/>
  <c r="U29" i="1"/>
  <c r="U30" i="1"/>
  <c r="U31" i="1"/>
  <c r="U32" i="1"/>
  <c r="U34" i="1"/>
  <c r="U36" i="1"/>
  <c r="U37" i="1"/>
  <c r="U38" i="1"/>
  <c r="U39" i="1"/>
  <c r="U40" i="1"/>
  <c r="U41" i="1"/>
  <c r="U42" i="1"/>
  <c r="U43" i="1"/>
  <c r="U44" i="1"/>
  <c r="U45" i="1"/>
  <c r="U46" i="1"/>
  <c r="U47" i="1"/>
  <c r="U48" i="1"/>
  <c r="U49" i="1"/>
  <c r="U50" i="1"/>
  <c r="U51" i="1"/>
  <c r="U52" i="1"/>
  <c r="U58" i="1"/>
  <c r="U59" i="1"/>
  <c r="U60" i="1"/>
  <c r="U61" i="1"/>
  <c r="U62" i="1"/>
  <c r="U63" i="1"/>
  <c r="U64" i="1"/>
  <c r="U65" i="1"/>
  <c r="U66" i="1"/>
  <c r="U67" i="1"/>
  <c r="U68" i="1"/>
  <c r="U69" i="1"/>
  <c r="U70" i="1"/>
  <c r="U71" i="1"/>
  <c r="U72" i="1"/>
  <c r="U73" i="1"/>
  <c r="U74" i="1"/>
  <c r="U75" i="1"/>
  <c r="U77" i="1"/>
  <c r="U78" i="1"/>
  <c r="U79" i="1"/>
  <c r="U80" i="1"/>
  <c r="U81" i="1"/>
  <c r="U82" i="1"/>
  <c r="U83" i="1"/>
  <c r="U84" i="1"/>
  <c r="U85" i="1"/>
  <c r="U86" i="1"/>
  <c r="U101" i="1"/>
  <c r="U102" i="1"/>
  <c r="U103" i="1"/>
  <c r="U104" i="1"/>
  <c r="U105" i="1"/>
  <c r="U106" i="1"/>
  <c r="U107" i="1"/>
  <c r="U108"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7" i="1"/>
  <c r="U148" i="1"/>
  <c r="U149" i="1"/>
  <c r="U150" i="1"/>
  <c r="U151" i="1"/>
  <c r="U152" i="1"/>
  <c r="U153" i="1"/>
  <c r="U154" i="1"/>
  <c r="U155" i="1"/>
  <c r="U156" i="1"/>
  <c r="U158" i="1"/>
  <c r="U159" i="1"/>
  <c r="U160" i="1"/>
  <c r="U161" i="1"/>
  <c r="U162" i="1"/>
  <c r="U163" i="1"/>
  <c r="U164" i="1"/>
  <c r="U165" i="1"/>
  <c r="U166" i="1"/>
  <c r="U167" i="1"/>
  <c r="U168" i="1"/>
  <c r="U169" i="1"/>
  <c r="U170" i="1"/>
  <c r="U171" i="1"/>
  <c r="U172" i="1"/>
  <c r="U173" i="1"/>
  <c r="U174" i="1"/>
  <c r="U175" i="1"/>
  <c r="U176" i="1"/>
  <c r="U218" i="1"/>
  <c r="U219" i="1"/>
  <c r="U220" i="1"/>
  <c r="U221" i="1"/>
  <c r="U222" i="1"/>
  <c r="U223" i="1"/>
  <c r="U224" i="1"/>
  <c r="U225" i="1"/>
  <c r="U226" i="1"/>
  <c r="U227" i="1"/>
  <c r="U228" i="1"/>
  <c r="U229" i="1"/>
  <c r="U230" i="1"/>
  <c r="U231" i="1"/>
  <c r="U232" i="1"/>
  <c r="U233" i="1"/>
  <c r="U234" i="1"/>
  <c r="U235" i="1"/>
  <c r="U236" i="1"/>
  <c r="U239"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61" i="1"/>
  <c r="U362" i="1"/>
  <c r="U363" i="1"/>
  <c r="U364" i="1"/>
  <c r="U366" i="1"/>
  <c r="U368" i="1"/>
  <c r="U370" i="1"/>
  <c r="U372" i="1"/>
  <c r="U374" i="1"/>
  <c r="U376" i="1"/>
  <c r="U378" i="1"/>
  <c r="U379" i="1"/>
  <c r="U380" i="1"/>
  <c r="U381" i="1"/>
  <c r="U382" i="1"/>
  <c r="U383" i="1"/>
  <c r="U384" i="1"/>
  <c r="U385" i="1"/>
  <c r="U386" i="1"/>
  <c r="U387" i="1"/>
  <c r="U388" i="1"/>
  <c r="U389" i="1"/>
  <c r="U390" i="1"/>
  <c r="U392" i="1"/>
  <c r="U394" i="1"/>
  <c r="U396" i="1"/>
  <c r="U398" i="1"/>
  <c r="U399" i="1"/>
  <c r="U400" i="1"/>
  <c r="U401" i="1"/>
  <c r="U402" i="1"/>
  <c r="U407" i="1"/>
  <c r="U408" i="1"/>
  <c r="U409"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9" i="1"/>
  <c r="U460" i="1"/>
  <c r="U461" i="1"/>
  <c r="U462" i="1"/>
  <c r="U464" i="1"/>
  <c r="U465" i="1"/>
  <c r="U466" i="1"/>
  <c r="U467" i="1"/>
  <c r="U468" i="1"/>
  <c r="U469" i="1"/>
  <c r="U470" i="1"/>
  <c r="U471" i="1"/>
  <c r="U472" i="1"/>
  <c r="U473" i="1"/>
  <c r="U474" i="1"/>
  <c r="U475" i="1"/>
  <c r="U476"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601" i="1"/>
  <c r="U603" i="1"/>
  <c r="U605" i="1"/>
  <c r="U606" i="1"/>
  <c r="U607" i="1"/>
  <c r="U608" i="1"/>
  <c r="U609" i="1"/>
  <c r="U611" i="1"/>
  <c r="U612" i="1"/>
  <c r="U613" i="1"/>
  <c r="U614" i="1"/>
  <c r="U615" i="1"/>
  <c r="U616" i="1"/>
  <c r="U617" i="1"/>
  <c r="U619" i="1"/>
  <c r="U621" i="1"/>
  <c r="U623" i="1"/>
  <c r="U625" i="1"/>
  <c r="U626" i="1"/>
  <c r="U627" i="1"/>
  <c r="U628" i="1"/>
  <c r="U629" i="1"/>
  <c r="U636" i="1"/>
  <c r="U637" i="1"/>
  <c r="U639" i="1"/>
  <c r="U640" i="1"/>
  <c r="U641" i="1"/>
  <c r="U642" i="1"/>
  <c r="U643" i="1"/>
  <c r="U644" i="1"/>
  <c r="U645" i="1"/>
  <c r="U646" i="1"/>
  <c r="U647" i="1"/>
  <c r="U648" i="1"/>
  <c r="U649" i="1"/>
  <c r="U650" i="1"/>
  <c r="U651" i="1"/>
  <c r="U652" i="1"/>
  <c r="U653" i="1"/>
  <c r="U659" i="1"/>
  <c r="U661"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5" i="1"/>
  <c r="U706" i="1"/>
  <c r="U707" i="1"/>
  <c r="U708" i="1"/>
  <c r="U709" i="1"/>
  <c r="U710" i="1"/>
  <c r="U711" i="1"/>
  <c r="U712" i="1"/>
  <c r="U713" i="1"/>
  <c r="U714" i="1"/>
  <c r="U715" i="1"/>
  <c r="U716" i="1"/>
  <c r="U717" i="1"/>
  <c r="U718" i="1"/>
  <c r="U719" i="1"/>
  <c r="U720" i="1"/>
  <c r="U721" i="1"/>
  <c r="U722" i="1"/>
  <c r="U723" i="1"/>
  <c r="U724"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65" i="1"/>
  <c r="U766" i="1"/>
  <c r="U767" i="1"/>
  <c r="U768" i="1"/>
  <c r="U770" i="1"/>
  <c r="U772" i="1"/>
  <c r="U774" i="1"/>
  <c r="U775" i="1"/>
  <c r="U776" i="1"/>
  <c r="U777" i="1"/>
  <c r="U778" i="1"/>
  <c r="U779" i="1"/>
  <c r="U780" i="1"/>
  <c r="U781" i="1"/>
  <c r="U782" i="1"/>
  <c r="U783" i="1"/>
  <c r="U784" i="1"/>
  <c r="U785" i="1"/>
  <c r="U786" i="1"/>
  <c r="U787" i="1"/>
  <c r="U788" i="1"/>
  <c r="U811" i="1"/>
  <c r="U812" i="1"/>
  <c r="U813" i="1"/>
  <c r="U814" i="1"/>
  <c r="U815" i="1"/>
  <c r="U816" i="1"/>
  <c r="U817" i="1"/>
  <c r="U818" i="1"/>
  <c r="U819" i="1"/>
  <c r="U820" i="1"/>
  <c r="U821" i="1"/>
  <c r="U822" i="1"/>
  <c r="U823" i="1"/>
  <c r="U824" i="1"/>
  <c r="U825" i="1"/>
  <c r="U826" i="1"/>
  <c r="U827" i="1"/>
  <c r="U828" i="1"/>
  <c r="U829" i="1"/>
  <c r="U830"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963" i="1"/>
  <c r="U964" i="1"/>
  <c r="U965" i="1"/>
  <c r="U966" i="1"/>
  <c r="U967" i="1"/>
  <c r="U968" i="1"/>
  <c r="U969" i="1"/>
  <c r="U970" i="1"/>
  <c r="U971" i="1"/>
  <c r="U972" i="1"/>
  <c r="U973" i="1"/>
  <c r="U974" i="1"/>
  <c r="U975" i="1"/>
  <c r="U976" i="1"/>
  <c r="U977" i="1"/>
  <c r="U978" i="1"/>
  <c r="U983" i="1"/>
  <c r="U984" i="1"/>
  <c r="U985" i="1"/>
  <c r="U986" i="1"/>
  <c r="U988" i="1"/>
  <c r="U989" i="1"/>
  <c r="U990" i="1"/>
  <c r="U991" i="1"/>
  <c r="U992" i="1"/>
  <c r="U993" i="1"/>
  <c r="U994" i="1"/>
  <c r="U995" i="1"/>
  <c r="U996" i="1"/>
  <c r="U997" i="1"/>
  <c r="U998" i="1"/>
  <c r="U999" i="1"/>
  <c r="U1000" i="1"/>
  <c r="U1001" i="1"/>
  <c r="U1002" i="1"/>
  <c r="U1003" i="1"/>
  <c r="U1004" i="1"/>
  <c r="U1005" i="1"/>
  <c r="U1006" i="1"/>
  <c r="U1011" i="1"/>
  <c r="U1012"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7" i="1"/>
  <c r="U1083" i="1"/>
  <c r="U1084" i="1"/>
  <c r="U1085" i="1"/>
  <c r="U1086" i="1"/>
  <c r="U1087" i="1"/>
  <c r="U1088" i="1"/>
  <c r="U1089" i="1"/>
  <c r="U1090" i="1"/>
  <c r="U1091" i="1"/>
  <c r="U1092" i="1"/>
  <c r="U1093" i="1"/>
  <c r="U1094" i="1"/>
  <c r="U1095" i="1"/>
  <c r="U1096" i="1"/>
  <c r="U1097" i="1"/>
  <c r="U1098" i="1"/>
  <c r="U1099" i="1"/>
  <c r="U1100" i="1"/>
  <c r="U1101" i="1"/>
  <c r="U1102"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7" i="1"/>
  <c r="U1138" i="1"/>
  <c r="U1139" i="1"/>
  <c r="U1140" i="1"/>
  <c r="U1141" i="1"/>
  <c r="U1142" i="1"/>
  <c r="U1143" i="1"/>
  <c r="U1144" i="1"/>
  <c r="U1176" i="1"/>
  <c r="U1177" i="1"/>
  <c r="U1178" i="1"/>
  <c r="U1179" i="1"/>
  <c r="U1180" i="1"/>
  <c r="U1181" i="1"/>
  <c r="U1182" i="1"/>
  <c r="U1183" i="1"/>
  <c r="U1184" i="1"/>
  <c r="U1185" i="1"/>
  <c r="U1186" i="1"/>
  <c r="U1187" i="1"/>
  <c r="U1188" i="1"/>
  <c r="U1189" i="1"/>
  <c r="U1190" i="1"/>
  <c r="U1191" i="1"/>
  <c r="U1192" i="1"/>
  <c r="U1193" i="1"/>
  <c r="U1198" i="1"/>
  <c r="U1199" i="1"/>
  <c r="U1201" i="1"/>
  <c r="U1203" i="1"/>
  <c r="U1205" i="1"/>
  <c r="U1207" i="1"/>
  <c r="U1208" i="1"/>
  <c r="U1209" i="1"/>
  <c r="U1210" i="1"/>
  <c r="U1211" i="1"/>
  <c r="U1212" i="1"/>
  <c r="U1213" i="1"/>
  <c r="U1214" i="1"/>
  <c r="U1215" i="1"/>
  <c r="U1216" i="1"/>
  <c r="U1217" i="1"/>
  <c r="U1218" i="1"/>
  <c r="U1219" i="1"/>
  <c r="U1220" i="1"/>
  <c r="U1221" i="1"/>
  <c r="U1222" i="1"/>
  <c r="U1223" i="1"/>
  <c r="U1224" i="1"/>
  <c r="U1225" i="1"/>
  <c r="U1226" i="1"/>
  <c r="U1227" i="1"/>
  <c r="U1228" i="1"/>
  <c r="U1234" i="1"/>
  <c r="U1235" i="1"/>
  <c r="U1236" i="1"/>
  <c r="U1237" i="1"/>
  <c r="U1238" i="1"/>
  <c r="U1239" i="1"/>
  <c r="U1240" i="1"/>
  <c r="U1241" i="1"/>
  <c r="U1242" i="1"/>
  <c r="U1243" i="1"/>
  <c r="U1244" i="1"/>
  <c r="U1245" i="1"/>
  <c r="U1246" i="1"/>
  <c r="U1247" i="1"/>
  <c r="U1248" i="1"/>
  <c r="U1249" i="1"/>
  <c r="U1250" i="1"/>
  <c r="U1251" i="1"/>
  <c r="U1252" i="1"/>
  <c r="U1253" i="1"/>
  <c r="U1255" i="1"/>
  <c r="U1256" i="1"/>
  <c r="U1257" i="1"/>
  <c r="U1258" i="1"/>
  <c r="U1259" i="1"/>
  <c r="U1260" i="1"/>
  <c r="U1261" i="1"/>
  <c r="U1262" i="1"/>
  <c r="U1263" i="1"/>
  <c r="U1264" i="1"/>
  <c r="U1265" i="1"/>
  <c r="U1266" i="1"/>
  <c r="U1267" i="1"/>
  <c r="U1268" i="1"/>
  <c r="U1269" i="1"/>
  <c r="U1270"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6" i="1"/>
  <c r="U1398" i="1"/>
  <c r="U1399" i="1"/>
  <c r="U1400" i="1"/>
  <c r="U1401" i="1"/>
  <c r="U1402" i="1"/>
  <c r="U1403" i="1"/>
  <c r="U1404" i="1"/>
  <c r="U1405" i="1"/>
  <c r="U1406" i="1"/>
  <c r="U1407" i="1"/>
  <c r="U1408" i="1"/>
  <c r="U1409" i="1"/>
  <c r="U1410" i="1"/>
  <c r="U1411" i="1"/>
  <c r="U1412" i="1"/>
  <c r="U1413" i="1"/>
  <c r="U1414" i="1"/>
  <c r="U1423" i="1"/>
  <c r="U1424" i="1"/>
  <c r="U1425" i="1"/>
  <c r="U1426" i="1"/>
  <c r="U1427" i="1"/>
  <c r="U1428" i="1"/>
  <c r="U1429" i="1"/>
  <c r="U1430" i="1"/>
  <c r="U1431" i="1"/>
  <c r="U1432" i="1"/>
  <c r="U1433" i="1"/>
  <c r="U1434" i="1"/>
  <c r="U1435" i="1"/>
  <c r="U1436" i="1"/>
  <c r="U1437" i="1"/>
  <c r="U1438" i="1"/>
  <c r="U1439" i="1"/>
  <c r="U1440" i="1"/>
  <c r="U1441" i="1"/>
  <c r="U1442" i="1"/>
  <c r="U1443" i="1"/>
  <c r="U1444" i="1"/>
  <c r="U1450"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3" i="1"/>
  <c r="U1494" i="1"/>
  <c r="U1495" i="1"/>
  <c r="U1496" i="1"/>
  <c r="U1497" i="1"/>
  <c r="U1498" i="1"/>
  <c r="U1499" i="1"/>
  <c r="U1500" i="1"/>
  <c r="U1501" i="1"/>
  <c r="U1502" i="1"/>
  <c r="U1503" i="1"/>
  <c r="U1504" i="1"/>
  <c r="U1505" i="1"/>
  <c r="U1506" i="1"/>
  <c r="U1507" i="1"/>
  <c r="U1508" i="1"/>
  <c r="U1509" i="1"/>
  <c r="U1510" i="1"/>
  <c r="U1511" i="1"/>
  <c r="U1512" i="1"/>
  <c r="U1513" i="1"/>
  <c r="U1515" i="1"/>
  <c r="U1516" i="1"/>
  <c r="U1517" i="1"/>
  <c r="U1518" i="1"/>
  <c r="U1519"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8"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2" i="1"/>
  <c r="U1584" i="1"/>
  <c r="U1585" i="1"/>
  <c r="U1586" i="1"/>
  <c r="U1587" i="1"/>
  <c r="U1588" i="1"/>
  <c r="U1589" i="1"/>
  <c r="U1594" i="1"/>
  <c r="U1595" i="1"/>
  <c r="U1596" i="1"/>
  <c r="U1597" i="1"/>
  <c r="U1598" i="1"/>
  <c r="U1599" i="1"/>
  <c r="U1600" i="1"/>
  <c r="U1601" i="1"/>
  <c r="U1602" i="1"/>
  <c r="U1603" i="1"/>
  <c r="U1604" i="1"/>
  <c r="U1605" i="1"/>
  <c r="U1607" i="1"/>
  <c r="U1608" i="1"/>
  <c r="U1609" i="1"/>
  <c r="U1610" i="1"/>
  <c r="U1611" i="1"/>
  <c r="U1612" i="1"/>
  <c r="U1613" i="1"/>
  <c r="U1614" i="1"/>
  <c r="U1615" i="1"/>
  <c r="U1616" i="1"/>
  <c r="U1617" i="1"/>
  <c r="U1618" i="1"/>
  <c r="U1619" i="1"/>
  <c r="U1620" i="1"/>
  <c r="U1624" i="1"/>
  <c r="U1625" i="1"/>
  <c r="U1630" i="1"/>
  <c r="U1631" i="1"/>
  <c r="U1632" i="1"/>
  <c r="U1633" i="1"/>
  <c r="U1634" i="1"/>
  <c r="U1635" i="1"/>
  <c r="U1636" i="1"/>
  <c r="U1637" i="1"/>
  <c r="U1638" i="1"/>
  <c r="U1639" i="1"/>
  <c r="U1640" i="1"/>
  <c r="U1641" i="1"/>
  <c r="U1642" i="1"/>
  <c r="U1643" i="1"/>
  <c r="U1648" i="1"/>
  <c r="U1649" i="1"/>
  <c r="U1650" i="1"/>
  <c r="U1651" i="1"/>
  <c r="U1652" i="1"/>
  <c r="U1653" i="1"/>
  <c r="U1655" i="1"/>
  <c r="U1656" i="1"/>
  <c r="U1657" i="1"/>
  <c r="U1658" i="1"/>
  <c r="U1659" i="1"/>
  <c r="U1660" i="1"/>
  <c r="U1661" i="1"/>
  <c r="U1662" i="1"/>
  <c r="U1663" i="1"/>
  <c r="U1664" i="1"/>
  <c r="U1665" i="1"/>
  <c r="U1667" i="1"/>
  <c r="U1669" i="1"/>
  <c r="U1671" i="1"/>
  <c r="U1673" i="1"/>
  <c r="U1674" i="1"/>
  <c r="U1678" i="1"/>
  <c r="U1685" i="1"/>
  <c r="U1686" i="1"/>
  <c r="U1687" i="1"/>
  <c r="U1688" i="1"/>
  <c r="U1689" i="1"/>
  <c r="U1690" i="1"/>
  <c r="U1691" i="1"/>
  <c r="U1692" i="1"/>
  <c r="U1693" i="1"/>
  <c r="U1694" i="1"/>
  <c r="U1695" i="1"/>
  <c r="U1696" i="1"/>
  <c r="U1697" i="1"/>
  <c r="U1698" i="1"/>
  <c r="U1699" i="1"/>
  <c r="U1700" i="1"/>
  <c r="U1701" i="1"/>
  <c r="U1702" i="1"/>
  <c r="U1709" i="1"/>
  <c r="U1710" i="1"/>
  <c r="U1711" i="1"/>
  <c r="U1712" i="1"/>
  <c r="U1713" i="1"/>
  <c r="U1714" i="1"/>
  <c r="U1715" i="1"/>
  <c r="U1716" i="1"/>
  <c r="U1717" i="1"/>
  <c r="U1718" i="1"/>
  <c r="U1720" i="1"/>
  <c r="U1722" i="1"/>
  <c r="U1724" i="1"/>
  <c r="U1725" i="1"/>
  <c r="U1726" i="1"/>
  <c r="U1728"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3" i="1"/>
  <c r="U1875" i="1"/>
  <c r="U1876" i="1"/>
  <c r="U1877" i="1"/>
  <c r="U1878" i="1"/>
  <c r="U1879" i="1"/>
  <c r="U1880" i="1"/>
  <c r="U1881" i="1"/>
  <c r="U1882" i="1"/>
  <c r="U1883" i="1"/>
  <c r="U1884" i="1"/>
  <c r="U1885" i="1"/>
  <c r="U1886" i="1"/>
  <c r="U1887" i="1"/>
  <c r="U1888" i="1"/>
  <c r="U1889" i="1"/>
  <c r="U1890" i="1"/>
  <c r="U1891" i="1"/>
  <c r="U1892" i="1"/>
  <c r="U1893" i="1"/>
  <c r="U1895" i="1"/>
  <c r="U1896" i="1"/>
  <c r="U1897" i="1"/>
  <c r="U1898" i="1"/>
  <c r="U1899" i="1"/>
  <c r="U1900" i="1"/>
  <c r="U1901" i="1"/>
  <c r="U1902" i="1"/>
  <c r="U1903" i="1"/>
  <c r="U1904" i="1"/>
  <c r="U1905" i="1"/>
  <c r="U1906" i="1"/>
  <c r="U1908" i="1"/>
  <c r="U1910" i="1"/>
  <c r="U1911" i="1"/>
  <c r="U1912" i="1"/>
  <c r="U1913" i="1"/>
  <c r="U1914" i="1"/>
  <c r="U1915" i="1"/>
  <c r="U1916" i="1"/>
  <c r="U1917" i="1"/>
  <c r="U1918" i="1"/>
  <c r="U1919" i="1"/>
  <c r="U1920" i="1"/>
  <c r="U1921" i="1"/>
  <c r="U1922" i="1"/>
  <c r="U1923" i="1"/>
  <c r="U1924" i="1"/>
  <c r="U1925" i="1"/>
  <c r="U1926" i="1"/>
  <c r="U1928" i="1"/>
  <c r="U1930" i="1"/>
  <c r="U1931" i="1"/>
  <c r="U1932"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70" i="1"/>
  <c r="U1971" i="1"/>
  <c r="U1972" i="1"/>
  <c r="U1973" i="1"/>
  <c r="U1974" i="1"/>
  <c r="U1975" i="1"/>
  <c r="U1976" i="1"/>
  <c r="U1977" i="1"/>
  <c r="U1978" i="1"/>
  <c r="U1979" i="1"/>
  <c r="U1980" i="1"/>
  <c r="U1981" i="1"/>
  <c r="U1982" i="1"/>
  <c r="U1983" i="1"/>
  <c r="U1984" i="1"/>
  <c r="U1985" i="1"/>
  <c r="U1986" i="1"/>
  <c r="U1987" i="1"/>
  <c r="U1988" i="1"/>
  <c r="U1989" i="1"/>
  <c r="U1990" i="1"/>
  <c r="U1991" i="1"/>
  <c r="U1996" i="1"/>
  <c r="U1997"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30" i="1"/>
  <c r="U2031" i="1"/>
  <c r="U2032" i="1"/>
  <c r="U2033" i="1"/>
  <c r="U2034" i="1"/>
  <c r="U2035" i="1"/>
  <c r="U2036" i="1"/>
  <c r="U2037" i="1"/>
  <c r="U2038" i="1"/>
  <c r="U2039" i="1"/>
  <c r="U2040" i="1"/>
  <c r="U2041" i="1"/>
  <c r="U2042" i="1"/>
  <c r="U2043" i="1"/>
  <c r="U2044" i="1"/>
  <c r="U2045" i="1"/>
  <c r="U2046" i="1"/>
  <c r="U2048" i="1"/>
  <c r="U2053" i="1"/>
  <c r="U2054" i="1"/>
  <c r="U2055" i="1"/>
  <c r="U2056" i="1"/>
  <c r="U2057" i="1"/>
  <c r="U2058" i="1"/>
  <c r="U2059" i="1"/>
  <c r="U2060" i="1"/>
  <c r="U2061" i="1"/>
  <c r="U2062" i="1"/>
  <c r="U2063" i="1"/>
  <c r="U2064" i="1"/>
  <c r="U2065" i="1"/>
  <c r="U2066" i="1"/>
  <c r="U2067" i="1"/>
  <c r="U2070" i="1"/>
  <c r="U2071" i="1"/>
  <c r="U2072" i="1"/>
  <c r="U2073" i="1"/>
  <c r="U2074" i="1"/>
  <c r="U2076" i="1"/>
  <c r="U2077" i="1"/>
  <c r="U2078" i="1"/>
  <c r="U2080" i="1"/>
  <c r="U2082" i="1"/>
  <c r="U2083" i="1"/>
  <c r="U2084" i="1"/>
  <c r="U2085" i="1"/>
  <c r="U2086" i="1"/>
  <c r="U2087" i="1"/>
  <c r="U2088" i="1"/>
  <c r="U2089" i="1"/>
  <c r="U2090" i="1"/>
  <c r="U2091" i="1"/>
  <c r="U2092" i="1"/>
  <c r="U2098"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8" i="1"/>
  <c r="U2187" i="1"/>
  <c r="U2192" i="1"/>
  <c r="U2193" i="1"/>
  <c r="U2195" i="1"/>
  <c r="U2196" i="1"/>
  <c r="U2197" i="1"/>
  <c r="U2198" i="1"/>
  <c r="U2199" i="1"/>
  <c r="U2200" i="1"/>
  <c r="U2201" i="1"/>
  <c r="U2202" i="1"/>
  <c r="U2203" i="1"/>
  <c r="U2204" i="1"/>
  <c r="U2205" i="1"/>
  <c r="U2206" i="1"/>
  <c r="U2207" i="1"/>
  <c r="U2208" i="1"/>
  <c r="U2209" i="1"/>
  <c r="U2210" i="1"/>
  <c r="U2211" i="1"/>
  <c r="U2212" i="1"/>
  <c r="U2213" i="1"/>
  <c r="U2214" i="1"/>
  <c r="U2215" i="1"/>
  <c r="U2216" i="1"/>
  <c r="U2218" i="1"/>
  <c r="U2239" i="1"/>
  <c r="U2240" i="1"/>
  <c r="U2241" i="1"/>
  <c r="U2242" i="1"/>
  <c r="U2243" i="1"/>
  <c r="U2244" i="1"/>
  <c r="U2245" i="1"/>
  <c r="U2246" i="1"/>
  <c r="U2247" i="1"/>
  <c r="U2248" i="1"/>
  <c r="U2249" i="1"/>
  <c r="U2250" i="1"/>
  <c r="U2251" i="1"/>
  <c r="U2252" i="1"/>
  <c r="U4519" i="1"/>
  <c r="U4520" i="1"/>
  <c r="U4521" i="1"/>
  <c r="U4522" i="1"/>
  <c r="U4523" i="1"/>
  <c r="U4524" i="1"/>
  <c r="U4525" i="1"/>
  <c r="U4526" i="1"/>
  <c r="U4527" i="1"/>
  <c r="U4528" i="1"/>
  <c r="U4529" i="1"/>
  <c r="U4530" i="1"/>
  <c r="U4531" i="1"/>
  <c r="U4532" i="1"/>
  <c r="U4533" i="1"/>
  <c r="U4534"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6" i="1"/>
  <c r="U2347" i="1"/>
  <c r="U2348" i="1"/>
  <c r="U2349" i="1"/>
  <c r="U2350" i="1"/>
  <c r="U2351" i="1"/>
  <c r="U2353" i="1"/>
  <c r="U2355" i="1"/>
  <c r="U2356" i="1"/>
  <c r="U2357" i="1"/>
  <c r="U2358" i="1"/>
  <c r="U2359" i="1"/>
  <c r="U2360" i="1"/>
  <c r="U2362"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4" i="1"/>
  <c r="U2596" i="1"/>
  <c r="U2597" i="1"/>
  <c r="U2598" i="1"/>
  <c r="U2599"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857" i="1"/>
  <c r="U2858" i="1"/>
  <c r="U2859" i="1"/>
  <c r="U2860" i="1"/>
  <c r="U2861" i="1"/>
  <c r="U2862" i="1"/>
  <c r="U2863" i="1"/>
  <c r="U2864" i="1"/>
  <c r="U2865" i="1"/>
  <c r="U4562" i="1"/>
  <c r="U4567" i="1"/>
  <c r="U4569" i="1"/>
  <c r="U4570" i="1"/>
  <c r="U4571" i="1"/>
  <c r="U4572" i="1"/>
  <c r="U4573" i="1"/>
  <c r="U4574" i="1"/>
  <c r="U4575" i="1"/>
  <c r="U4576" i="1"/>
  <c r="U4577" i="1"/>
  <c r="U4578" i="1"/>
  <c r="U4579" i="1"/>
  <c r="U4580" i="1"/>
  <c r="U4581" i="1"/>
  <c r="U4582" i="1"/>
  <c r="U4583" i="1"/>
  <c r="U4584" i="1"/>
  <c r="U4585"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51" i="1"/>
  <c r="U2752" i="1"/>
  <c r="U2754" i="1"/>
  <c r="U2755" i="1"/>
  <c r="U2756" i="1"/>
  <c r="U2757" i="1"/>
  <c r="U2758" i="1"/>
  <c r="U2759" i="1"/>
  <c r="U2760" i="1"/>
  <c r="U2761" i="1"/>
  <c r="U2762" i="1"/>
  <c r="U2763" i="1"/>
  <c r="U2764" i="1"/>
  <c r="U2765" i="1"/>
  <c r="U2766" i="1"/>
  <c r="U2767" i="1"/>
  <c r="U2768" i="1"/>
  <c r="U2769" i="1"/>
  <c r="U2770" i="1"/>
  <c r="U2771" i="1"/>
  <c r="U2772"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2" i="1"/>
  <c r="U2803" i="1"/>
  <c r="U2804" i="1"/>
  <c r="U2805" i="1"/>
  <c r="U2806" i="1"/>
  <c r="U2807" i="1"/>
  <c r="U2808" i="1"/>
  <c r="U2809" i="1"/>
  <c r="U2810" i="1"/>
  <c r="U2811" i="1"/>
  <c r="U2812" i="1"/>
  <c r="U2813" i="1"/>
  <c r="U2814" i="1"/>
  <c r="U2815" i="1"/>
  <c r="U2816" i="1"/>
  <c r="U2822" i="1"/>
  <c r="U2823" i="1"/>
  <c r="U2824" i="1"/>
  <c r="U2825" i="1"/>
  <c r="U2826" i="1"/>
  <c r="U2827" i="1"/>
  <c r="U2828" i="1"/>
  <c r="U2829" i="1"/>
  <c r="U2830" i="1"/>
  <c r="U2832" i="1"/>
  <c r="U2833" i="1"/>
  <c r="U2834" i="1"/>
  <c r="U2835" i="1"/>
  <c r="U2836" i="1"/>
  <c r="U2837" i="1"/>
  <c r="U2838" i="1"/>
  <c r="U2839" i="1"/>
  <c r="U2840" i="1"/>
  <c r="U2841" i="1"/>
  <c r="U2842" i="1"/>
  <c r="U2843" i="1"/>
  <c r="U2844" i="1"/>
  <c r="U2845" i="1"/>
  <c r="U2846" i="1"/>
  <c r="U2847" i="1"/>
  <c r="U2848" i="1"/>
  <c r="U2849" i="1"/>
  <c r="U2850" i="1"/>
  <c r="U2851" i="1"/>
  <c r="U2852" i="1"/>
  <c r="U2853"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9" i="1"/>
  <c r="U2950" i="1"/>
  <c r="U2951" i="1"/>
  <c r="U2952" i="1"/>
  <c r="U2953" i="1"/>
  <c r="U2954" i="1"/>
  <c r="U2955" i="1"/>
  <c r="U2956" i="1"/>
  <c r="U2957" i="1"/>
  <c r="U2958" i="1"/>
  <c r="U2959" i="1"/>
  <c r="U2960" i="1"/>
  <c r="U2961" i="1"/>
  <c r="U2962" i="1"/>
  <c r="U2964" i="1"/>
  <c r="U2965" i="1"/>
  <c r="U2966" i="1"/>
  <c r="U2967" i="1"/>
  <c r="U2968" i="1"/>
  <c r="U2969" i="1"/>
  <c r="U2970" i="1"/>
  <c r="U2971" i="1"/>
  <c r="U2972" i="1"/>
  <c r="U2973" i="1"/>
  <c r="U2974"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4" i="1"/>
  <c r="U3076" i="1"/>
  <c r="U3078" i="1"/>
  <c r="U3079" i="1"/>
  <c r="U3080" i="1"/>
  <c r="U3081" i="1"/>
  <c r="U3082" i="1"/>
  <c r="U3083" i="1"/>
  <c r="U3088" i="1"/>
  <c r="U3089" i="1"/>
  <c r="U3090" i="1"/>
  <c r="U3091" i="1"/>
  <c r="U3092" i="1"/>
  <c r="U3093" i="1"/>
  <c r="U3094" i="1"/>
  <c r="U3095" i="1"/>
  <c r="U3096" i="1"/>
  <c r="U3097" i="1"/>
  <c r="U3098" i="1"/>
  <c r="U3099" i="1"/>
  <c r="U3100" i="1"/>
  <c r="U3101" i="1"/>
  <c r="U3102" i="1"/>
  <c r="U3103" i="1"/>
  <c r="U3104" i="1"/>
  <c r="U3105" i="1"/>
  <c r="U3106" i="1"/>
  <c r="U3107" i="1"/>
  <c r="U3108" i="1"/>
  <c r="U3109" i="1"/>
  <c r="U3114" i="1"/>
  <c r="U3115" i="1"/>
  <c r="U3116" i="1"/>
  <c r="U3117" i="1"/>
  <c r="U3118" i="1"/>
  <c r="U3119" i="1"/>
  <c r="U3120" i="1"/>
  <c r="U3121" i="1"/>
  <c r="U3122" i="1"/>
  <c r="U3123" i="1"/>
  <c r="U3124" i="1"/>
  <c r="U3125" i="1"/>
  <c r="U3126" i="1"/>
  <c r="U3127" i="1"/>
  <c r="U3128" i="1"/>
  <c r="U3129" i="1"/>
  <c r="U3130" i="1"/>
  <c r="U3131" i="1"/>
  <c r="U3132" i="1"/>
  <c r="U3133" i="1"/>
  <c r="U3134" i="1"/>
  <c r="U3135"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82" i="1"/>
  <c r="U3183" i="1"/>
  <c r="U3184" i="1"/>
  <c r="U3185" i="1"/>
  <c r="U3186" i="1"/>
  <c r="U3187" i="1"/>
  <c r="U3188" i="1"/>
  <c r="U3189" i="1"/>
  <c r="U3190" i="1"/>
  <c r="U3191" i="1"/>
  <c r="U3192" i="1"/>
  <c r="U3193" i="1"/>
  <c r="U3194" i="1"/>
  <c r="U3195" i="1"/>
  <c r="U3196" i="1"/>
  <c r="U3197" i="1"/>
  <c r="U3198" i="1"/>
  <c r="U3199" i="1"/>
  <c r="U3205" i="1"/>
  <c r="U3206" i="1"/>
  <c r="U3207" i="1"/>
  <c r="U3208" i="1"/>
  <c r="U3209" i="1"/>
  <c r="U3210" i="1"/>
  <c r="U3211" i="1"/>
  <c r="U3212" i="1"/>
  <c r="U3213" i="1"/>
  <c r="U3214" i="1"/>
  <c r="U3215" i="1"/>
  <c r="U3216" i="1"/>
  <c r="U3217" i="1"/>
  <c r="U3218" i="1"/>
  <c r="U3219" i="1"/>
  <c r="U3220" i="1"/>
  <c r="U3221" i="1"/>
  <c r="U3224" i="1"/>
  <c r="U3229" i="1"/>
  <c r="U3230" i="1"/>
  <c r="U3231" i="1"/>
  <c r="U3232" i="1"/>
  <c r="U3235" i="1"/>
  <c r="U3237" i="1"/>
  <c r="U3239" i="1"/>
  <c r="U3241" i="1"/>
  <c r="U3243" i="1"/>
  <c r="U3245" i="1"/>
  <c r="U3246" i="1"/>
  <c r="U3247" i="1"/>
  <c r="U3248" i="1"/>
  <c r="U3257" i="1"/>
  <c r="U3258"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7" i="1"/>
  <c r="U3328" i="1"/>
  <c r="U3329" i="1"/>
  <c r="U3330" i="1"/>
  <c r="U3331" i="1"/>
  <c r="U3332" i="1"/>
  <c r="U3333" i="1"/>
  <c r="U3335" i="1"/>
  <c r="U3337" i="1"/>
  <c r="U3339" i="1"/>
  <c r="U3341" i="1"/>
  <c r="U3343" i="1"/>
  <c r="U3345" i="1"/>
  <c r="U3346" i="1"/>
  <c r="U3347" i="1"/>
  <c r="U3348" i="1"/>
  <c r="U3349" i="1"/>
  <c r="U3358" i="1"/>
  <c r="U3359" i="1"/>
  <c r="U3360" i="1"/>
  <c r="U3361" i="1"/>
  <c r="U3362" i="1"/>
  <c r="U3363" i="1"/>
  <c r="U3364" i="1"/>
  <c r="U3365" i="1"/>
  <c r="U3366" i="1"/>
  <c r="U3367" i="1"/>
  <c r="U3368" i="1"/>
  <c r="U3369" i="1"/>
  <c r="U3370" i="1"/>
  <c r="U3371" i="1"/>
  <c r="U3372" i="1"/>
  <c r="U3373" i="1"/>
  <c r="U3374" i="1"/>
  <c r="U3375"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7" i="1"/>
  <c r="U3468" i="1"/>
  <c r="U3469" i="1"/>
  <c r="U3470" i="1"/>
  <c r="U3471" i="1"/>
  <c r="U3472" i="1"/>
  <c r="U3473" i="1"/>
  <c r="U3474" i="1"/>
  <c r="U3475" i="1"/>
  <c r="U3476" i="1"/>
  <c r="U3477" i="1"/>
  <c r="U3478" i="1"/>
  <c r="U3479" i="1"/>
  <c r="U3480" i="1"/>
  <c r="U3481" i="1"/>
  <c r="U3482" i="1"/>
  <c r="U3483" i="1"/>
  <c r="U3484" i="1"/>
  <c r="U3485" i="1"/>
  <c r="U3486" i="1"/>
  <c r="U3491" i="1"/>
  <c r="U3492" i="1"/>
  <c r="U3493" i="1"/>
  <c r="U3494"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6" i="1"/>
  <c r="U3597" i="1"/>
  <c r="U3598" i="1"/>
  <c r="U3599" i="1"/>
  <c r="U3600" i="1"/>
  <c r="U3601" i="1"/>
  <c r="U3602" i="1"/>
  <c r="U3603" i="1"/>
  <c r="U3604" i="1"/>
  <c r="U3605" i="1"/>
  <c r="U3606" i="1"/>
  <c r="U3607" i="1"/>
  <c r="U3608" i="1"/>
  <c r="U4542" i="1"/>
  <c r="U4543" i="1"/>
  <c r="U4544" i="1"/>
  <c r="U4545" i="1"/>
  <c r="U4546" i="1"/>
  <c r="U4547" i="1"/>
  <c r="U4548" i="1"/>
  <c r="U4549" i="1"/>
  <c r="U4550" i="1"/>
  <c r="U4551" i="1"/>
  <c r="U4552" i="1"/>
  <c r="U4553" i="1"/>
  <c r="U4554" i="1"/>
  <c r="U4555" i="1"/>
  <c r="U4556" i="1"/>
  <c r="U4557" i="1"/>
  <c r="U4558" i="1"/>
  <c r="U4559" i="1"/>
  <c r="U4560" i="1"/>
  <c r="U2150" i="1"/>
  <c r="U2151"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42" i="1"/>
  <c r="U3643" i="1"/>
  <c r="U3644" i="1"/>
  <c r="U3645" i="1"/>
  <c r="U3646" i="1"/>
  <c r="U3647" i="1"/>
  <c r="U3648" i="1"/>
  <c r="U3649" i="1"/>
  <c r="U3650" i="1"/>
  <c r="U3651" i="1"/>
  <c r="U3652" i="1"/>
  <c r="U3653" i="1"/>
  <c r="U3654"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5" i="1"/>
  <c r="U3726" i="1"/>
  <c r="U3727" i="1"/>
  <c r="U3728" i="1"/>
  <c r="U3729" i="1"/>
  <c r="U3730" i="1"/>
  <c r="U3731" i="1"/>
  <c r="U3732" i="1"/>
  <c r="U3733" i="1"/>
  <c r="U3734" i="1"/>
  <c r="U3735" i="1"/>
  <c r="U3736" i="1"/>
  <c r="U3737" i="1"/>
  <c r="U3738" i="1"/>
  <c r="U3739" i="1"/>
  <c r="U3740" i="1"/>
  <c r="U3763" i="1"/>
  <c r="U3764" i="1"/>
  <c r="U3765" i="1"/>
  <c r="U3766" i="1"/>
  <c r="U3767" i="1"/>
  <c r="U3768" i="1"/>
  <c r="U3769" i="1"/>
  <c r="U3770" i="1"/>
  <c r="U3771" i="1"/>
  <c r="U3772" i="1"/>
  <c r="U3773" i="1"/>
  <c r="U3774" i="1"/>
  <c r="U3775" i="1"/>
  <c r="U3776" i="1"/>
  <c r="U3777" i="1"/>
  <c r="U3778" i="1"/>
  <c r="U3779" i="1"/>
  <c r="U3780" i="1"/>
  <c r="U3782" i="1"/>
  <c r="U3790" i="1"/>
  <c r="U3792" i="1"/>
  <c r="U3794" i="1"/>
  <c r="U3796" i="1"/>
  <c r="U3798" i="1"/>
  <c r="U3800" i="1"/>
  <c r="U3802" i="1"/>
  <c r="U3804" i="1"/>
  <c r="U3806" i="1"/>
  <c r="U3808" i="1"/>
  <c r="U3810" i="1"/>
  <c r="U3811" i="1"/>
  <c r="U3812" i="1"/>
  <c r="U3817" i="1"/>
  <c r="U3818" i="1"/>
  <c r="U3819" i="1"/>
  <c r="U3820" i="1"/>
  <c r="U3821" i="1"/>
  <c r="U3822" i="1"/>
  <c r="U3823" i="1"/>
  <c r="U3824" i="1"/>
  <c r="U3825" i="1"/>
  <c r="U3828" i="1"/>
  <c r="U3831" i="1"/>
  <c r="U3832" i="1"/>
  <c r="U3839" i="1"/>
  <c r="U3840" i="1"/>
  <c r="U3841" i="1"/>
  <c r="U3842" i="1"/>
  <c r="U3843" i="1"/>
  <c r="U3844" i="1"/>
  <c r="U3845" i="1"/>
  <c r="U3846" i="1"/>
  <c r="U3847" i="1"/>
  <c r="U3848" i="1"/>
  <c r="U3849" i="1"/>
  <c r="U3850" i="1"/>
  <c r="U3879" i="1"/>
  <c r="U3880" i="1"/>
  <c r="U3881" i="1"/>
  <c r="U3882" i="1"/>
  <c r="U3883" i="1"/>
  <c r="U3884" i="1"/>
  <c r="U3885" i="1"/>
  <c r="U3886" i="1"/>
  <c r="U3887" i="1"/>
  <c r="U3888" i="1"/>
  <c r="U3889" i="1"/>
  <c r="U3890" i="1"/>
  <c r="U3931" i="1"/>
  <c r="U3932" i="1"/>
  <c r="U3933" i="1"/>
  <c r="U3934" i="1"/>
  <c r="U3935" i="1"/>
  <c r="U3936" i="1"/>
  <c r="U3937" i="1"/>
  <c r="U3938" i="1"/>
  <c r="U3939" i="1"/>
  <c r="U3940" i="1"/>
  <c r="U3941" i="1"/>
  <c r="U3942" i="1"/>
  <c r="U3947" i="1"/>
  <c r="U3948" i="1"/>
  <c r="U3949" i="1"/>
  <c r="U3950" i="1"/>
  <c r="U3952" i="1"/>
  <c r="U3954" i="1"/>
  <c r="U3956" i="1"/>
  <c r="U3958" i="1"/>
  <c r="U3960" i="1"/>
  <c r="U3962" i="1"/>
  <c r="U3964" i="1"/>
  <c r="U3966" i="1"/>
  <c r="U3968" i="1"/>
  <c r="U3969" i="1"/>
  <c r="U3970" i="1"/>
  <c r="U3971" i="1"/>
  <c r="U3972" i="1"/>
  <c r="U3973" i="1"/>
  <c r="U3974" i="1"/>
  <c r="U3975"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9" i="1"/>
  <c r="U4011" i="1"/>
  <c r="U4012" i="1"/>
  <c r="U4013" i="1"/>
  <c r="U4015" i="1"/>
  <c r="U4017" i="1"/>
  <c r="U4019" i="1"/>
  <c r="U4021" i="1"/>
  <c r="U4023" i="1"/>
  <c r="U4025" i="1"/>
  <c r="U4027" i="1"/>
  <c r="U4029" i="1"/>
  <c r="U4030" i="1"/>
  <c r="U4031" i="1"/>
  <c r="U4032" i="1"/>
  <c r="U4033" i="1"/>
  <c r="U4034" i="1"/>
  <c r="U4035" i="1"/>
  <c r="U4036" i="1"/>
  <c r="U4037" i="1"/>
  <c r="U4038" i="1"/>
  <c r="U4039" i="1"/>
  <c r="U4040" i="1"/>
  <c r="U4041" i="1"/>
  <c r="U4042" i="1"/>
  <c r="U4043" i="1"/>
  <c r="U4044" i="1"/>
  <c r="U4045" i="1"/>
  <c r="U4046" i="1"/>
  <c r="U4047" i="1"/>
  <c r="U4048" i="1"/>
  <c r="U4049" i="1"/>
  <c r="U4051"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6" i="1"/>
  <c r="U4097" i="1"/>
  <c r="U4099" i="1"/>
  <c r="U4100" i="1"/>
  <c r="U4101" i="1"/>
  <c r="U4103"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6" i="1"/>
  <c r="U4139" i="1"/>
  <c r="U4140"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5" i="1"/>
  <c r="U4176" i="1"/>
  <c r="U4177" i="1"/>
  <c r="U4178" i="1"/>
  <c r="U4179" i="1"/>
  <c r="U4180" i="1"/>
  <c r="U4181" i="1"/>
  <c r="U4182" i="1"/>
  <c r="U4183" i="1"/>
  <c r="U4184" i="1"/>
  <c r="U4185" i="1"/>
  <c r="U4186" i="1"/>
  <c r="U418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9" i="1"/>
  <c r="U4280" i="1"/>
  <c r="U4281" i="1"/>
  <c r="U4282" i="1"/>
  <c r="U4283" i="1"/>
  <c r="U4284" i="1"/>
  <c r="U4285" i="1"/>
  <c r="U4286" i="1"/>
  <c r="U4287" i="1"/>
  <c r="U4288" i="1"/>
  <c r="U4289" i="1"/>
  <c r="U4290" i="1"/>
  <c r="U4291" i="1"/>
  <c r="U4292" i="1"/>
  <c r="U4293" i="1"/>
  <c r="U4294" i="1"/>
  <c r="U4295" i="1"/>
  <c r="U938" i="1"/>
  <c r="U939" i="1"/>
  <c r="U940" i="1"/>
  <c r="U941" i="1"/>
  <c r="U942" i="1"/>
  <c r="U943" i="1"/>
  <c r="U944" i="1"/>
  <c r="U945" i="1"/>
  <c r="U946" i="1"/>
  <c r="U947" i="1"/>
  <c r="U948" i="1"/>
  <c r="U949" i="1"/>
  <c r="U950" i="1"/>
  <c r="U951" i="1"/>
  <c r="U952" i="1"/>
  <c r="U953" i="1"/>
  <c r="U960" i="1"/>
  <c r="U962" i="1"/>
  <c r="U4300" i="1"/>
  <c r="U4301" i="1"/>
  <c r="U4302" i="1"/>
  <c r="U4303" i="1"/>
  <c r="U4304" i="1"/>
  <c r="U4305" i="1"/>
  <c r="U4306" i="1"/>
  <c r="U4307" i="1"/>
  <c r="U4308" i="1"/>
  <c r="U4309" i="1"/>
  <c r="U4310" i="1"/>
  <c r="U4311" i="1"/>
  <c r="U4312" i="1"/>
  <c r="U4313" i="1"/>
  <c r="U4321" i="1"/>
  <c r="U4322" i="1"/>
  <c r="U4323" i="1"/>
  <c r="U4324" i="1"/>
  <c r="U4325" i="1"/>
  <c r="U4326" i="1"/>
  <c r="U4327" i="1"/>
  <c r="U4400" i="1"/>
  <c r="U4401" i="1"/>
  <c r="U4402" i="1"/>
  <c r="U4403" i="1"/>
  <c r="U4404" i="1"/>
  <c r="U4405" i="1"/>
  <c r="U4406" i="1"/>
  <c r="U4407" i="1"/>
  <c r="U4408" i="1"/>
  <c r="U4409" i="1"/>
  <c r="U4410" i="1"/>
  <c r="U4411" i="1"/>
  <c r="U4412" i="1"/>
  <c r="U4413" i="1"/>
  <c r="U4414" i="1"/>
  <c r="U4415" i="1"/>
  <c r="U4416" i="1"/>
  <c r="U4417" i="1"/>
  <c r="U4422" i="1"/>
  <c r="U4423" i="1"/>
  <c r="U4424" i="1"/>
  <c r="U4425" i="1"/>
  <c r="U4426" i="1"/>
  <c r="U4427" i="1"/>
  <c r="U4428" i="1"/>
  <c r="U4429" i="1"/>
  <c r="U4430" i="1"/>
  <c r="U4431" i="1"/>
  <c r="U4432" i="1"/>
  <c r="U4433" i="1"/>
  <c r="U4434" i="1"/>
  <c r="U4435" i="1"/>
  <c r="U4436" i="1"/>
  <c r="U4437" i="1"/>
  <c r="U4438" i="1"/>
  <c r="U4439" i="1"/>
  <c r="U4440" i="1"/>
  <c r="U4441" i="1"/>
  <c r="U4446" i="1"/>
  <c r="U4447" i="1"/>
  <c r="U4448" i="1"/>
  <c r="U4449" i="1"/>
  <c r="U4450" i="1"/>
  <c r="U4451" i="1"/>
  <c r="U4452" i="1"/>
  <c r="U4453" i="1"/>
  <c r="U4454" i="1"/>
  <c r="U4455" i="1"/>
  <c r="U4456" i="1"/>
  <c r="U4457" i="1"/>
  <c r="U4458" i="1"/>
  <c r="U4459" i="1"/>
  <c r="U4501" i="1"/>
  <c r="U4502" i="1"/>
  <c r="U4503" i="1"/>
  <c r="U4504" i="1"/>
  <c r="U4505" i="1"/>
  <c r="U4506" i="1"/>
  <c r="U4507" i="1"/>
  <c r="U4508" i="1"/>
  <c r="U4509" i="1"/>
  <c r="U4510" i="1"/>
  <c r="U4511" i="1"/>
  <c r="U4512" i="1"/>
  <c r="U4513" i="1"/>
  <c r="U4514" i="1"/>
  <c r="U4606" i="1"/>
  <c r="U2152" i="1"/>
  <c r="U2153" i="1"/>
  <c r="U2154" i="1"/>
  <c r="U2155" i="1"/>
  <c r="U2156" i="1"/>
  <c r="U2157" i="1"/>
  <c r="U2158" i="1"/>
  <c r="U2159" i="1"/>
  <c r="U2160" i="1"/>
  <c r="U2161" i="1"/>
  <c r="U2162" i="1"/>
  <c r="U2163" i="1"/>
  <c r="U2164" i="1"/>
  <c r="U2168" i="1"/>
  <c r="U2185" i="1"/>
  <c r="J148" i="1"/>
  <c r="I148" i="1"/>
  <c r="H148" i="1"/>
  <c r="N147" i="1"/>
  <c r="Q147" i="1"/>
  <c r="S147" i="1" s="1"/>
  <c r="N358" i="2"/>
  <c r="BM356" i="2" a="1"/>
  <c r="BM356" i="2" s="1"/>
  <c r="BA356" i="2" a="1"/>
  <c r="BA356" i="2" s="1"/>
  <c r="AO356" i="2" a="1"/>
  <c r="AO356" i="2" s="1"/>
  <c r="Z356" i="2" a="1"/>
  <c r="Z356" i="2" s="1"/>
  <c r="Y356" i="2" a="1"/>
  <c r="Y356" i="2" s="1"/>
  <c r="V356" i="2" a="1"/>
  <c r="V356" i="2" s="1"/>
  <c r="X356" i="2" s="1"/>
  <c r="U356" i="2" a="1"/>
  <c r="U356" i="2" s="1"/>
  <c r="G356" i="2"/>
  <c r="F356" i="2"/>
  <c r="BM355" i="2" a="1"/>
  <c r="BM355" i="2" s="1"/>
  <c r="BA355" i="2" a="1"/>
  <c r="BA355" i="2" s="1"/>
  <c r="AO355" i="2" a="1"/>
  <c r="AO355" i="2" s="1"/>
  <c r="Z355" i="2" a="1"/>
  <c r="Z355" i="2" s="1"/>
  <c r="Y355" i="2" a="1"/>
  <c r="Y355" i="2" s="1"/>
  <c r="V355" i="2" a="1"/>
  <c r="V355" i="2" s="1"/>
  <c r="X355" i="2" s="1"/>
  <c r="U355" i="2" a="1"/>
  <c r="U355" i="2" s="1"/>
  <c r="G355" i="2"/>
  <c r="F355" i="2"/>
  <c r="BM354" i="2" a="1"/>
  <c r="BM354" i="2" s="1"/>
  <c r="BA354" i="2" a="1"/>
  <c r="BA354" i="2" s="1"/>
  <c r="AO354" i="2" a="1"/>
  <c r="AO354" i="2" s="1"/>
  <c r="Z354" i="2" a="1"/>
  <c r="Z354" i="2" s="1"/>
  <c r="Y354" i="2" a="1"/>
  <c r="Y354" i="2" s="1"/>
  <c r="V354" i="2" a="1"/>
  <c r="V354" i="2" s="1"/>
  <c r="X354" i="2" s="1"/>
  <c r="U354" i="2" a="1"/>
  <c r="U354" i="2" s="1"/>
  <c r="G354" i="2"/>
  <c r="F354" i="2"/>
  <c r="BM353" i="2" a="1"/>
  <c r="BM353" i="2" s="1"/>
  <c r="BA353" i="2" a="1"/>
  <c r="BA353" i="2" s="1"/>
  <c r="AO353" i="2" a="1"/>
  <c r="AO353" i="2" s="1"/>
  <c r="Z353" i="2" a="1"/>
  <c r="Z353" i="2" s="1"/>
  <c r="Y353" i="2" a="1"/>
  <c r="Y353" i="2" s="1"/>
  <c r="V353" i="2" a="1"/>
  <c r="V353" i="2" s="1"/>
  <c r="X353" i="2" s="1"/>
  <c r="U353" i="2" a="1"/>
  <c r="U353" i="2" s="1"/>
  <c r="G353" i="2"/>
  <c r="F353" i="2"/>
  <c r="BM352" i="2" a="1"/>
  <c r="BM352" i="2" s="1"/>
  <c r="BA352" i="2" a="1"/>
  <c r="BA352" i="2" s="1"/>
  <c r="AO352" i="2" a="1"/>
  <c r="AO352" i="2" s="1"/>
  <c r="Z352" i="2" a="1"/>
  <c r="Z352" i="2" s="1"/>
  <c r="Y352" i="2" a="1"/>
  <c r="Y352" i="2" s="1"/>
  <c r="V352" i="2" a="1"/>
  <c r="V352" i="2" s="1"/>
  <c r="X352" i="2" s="1"/>
  <c r="U352" i="2" a="1"/>
  <c r="U352" i="2" s="1"/>
  <c r="G352" i="2"/>
  <c r="F352" i="2"/>
  <c r="BM351" i="2" a="1"/>
  <c r="BM351" i="2" s="1"/>
  <c r="BA351" i="2" a="1"/>
  <c r="BA351" i="2" s="1"/>
  <c r="AO351" i="2" a="1"/>
  <c r="AO351" i="2" s="1"/>
  <c r="Z351" i="2" a="1"/>
  <c r="Z351" i="2" s="1"/>
  <c r="Y351" i="2" a="1"/>
  <c r="Y351" i="2" s="1"/>
  <c r="V351" i="2" a="1"/>
  <c r="V351" i="2" s="1"/>
  <c r="X351" i="2" s="1"/>
  <c r="U351" i="2" a="1"/>
  <c r="U351" i="2" s="1"/>
  <c r="G351" i="2"/>
  <c r="F351" i="2"/>
  <c r="BM350" i="2" a="1"/>
  <c r="BM350" i="2" s="1"/>
  <c r="BA350" i="2" a="1"/>
  <c r="BA350" i="2" s="1"/>
  <c r="AO350" i="2" a="1"/>
  <c r="AO350" i="2" s="1"/>
  <c r="Z350" i="2" a="1"/>
  <c r="Z350" i="2" s="1"/>
  <c r="Y350" i="2" a="1"/>
  <c r="Y350" i="2" s="1"/>
  <c r="V350" i="2" a="1"/>
  <c r="V350" i="2" s="1"/>
  <c r="X350" i="2" s="1"/>
  <c r="U350" i="2" a="1"/>
  <c r="U350" i="2" s="1"/>
  <c r="G350" i="2"/>
  <c r="F350" i="2"/>
  <c r="BM349" i="2" a="1"/>
  <c r="BM349" i="2" s="1"/>
  <c r="BA349" i="2" a="1"/>
  <c r="BA349" i="2" s="1"/>
  <c r="AO349" i="2" a="1"/>
  <c r="AO349" i="2" s="1"/>
  <c r="Z349" i="2" a="1"/>
  <c r="Z349" i="2" s="1"/>
  <c r="Y349" i="2" a="1"/>
  <c r="Y349" i="2" s="1"/>
  <c r="V349" i="2" a="1"/>
  <c r="V349" i="2" s="1"/>
  <c r="X349" i="2" s="1"/>
  <c r="U349" i="2" a="1"/>
  <c r="U349" i="2" s="1"/>
  <c r="G349" i="2"/>
  <c r="F349" i="2"/>
  <c r="BM348" i="2" a="1"/>
  <c r="BM348" i="2" s="1"/>
  <c r="BA348" i="2" a="1"/>
  <c r="BA348" i="2" s="1"/>
  <c r="AO348" i="2" a="1"/>
  <c r="AO348" i="2" s="1"/>
  <c r="Z348" i="2" a="1"/>
  <c r="Z348" i="2" s="1"/>
  <c r="Y348" i="2" a="1"/>
  <c r="Y348" i="2" s="1"/>
  <c r="V348" i="2" a="1"/>
  <c r="V348" i="2" s="1"/>
  <c r="X348" i="2" s="1"/>
  <c r="U348" i="2" a="1"/>
  <c r="U348" i="2" s="1"/>
  <c r="G348" i="2"/>
  <c r="F348" i="2"/>
  <c r="BM347" i="2" a="1"/>
  <c r="BM347" i="2" s="1"/>
  <c r="BA347" i="2" a="1"/>
  <c r="BA347" i="2" s="1"/>
  <c r="AO347" i="2" a="1"/>
  <c r="AO347" i="2" s="1"/>
  <c r="Z347" i="2" a="1"/>
  <c r="Z347" i="2" s="1"/>
  <c r="Y347" i="2" a="1"/>
  <c r="Y347" i="2" s="1"/>
  <c r="V347" i="2" a="1"/>
  <c r="V347" i="2" s="1"/>
  <c r="X347" i="2" s="1"/>
  <c r="U347" i="2" a="1"/>
  <c r="U347" i="2" s="1"/>
  <c r="G347" i="2"/>
  <c r="F347" i="2"/>
  <c r="BM346" i="2" a="1"/>
  <c r="BM346" i="2" s="1"/>
  <c r="BA346" i="2" a="1"/>
  <c r="BA346" i="2" s="1"/>
  <c r="AO346" i="2" a="1"/>
  <c r="AO346" i="2" s="1"/>
  <c r="Z346" i="2" a="1"/>
  <c r="Z346" i="2" s="1"/>
  <c r="Y346" i="2" a="1"/>
  <c r="Y346" i="2" s="1"/>
  <c r="V346" i="2" a="1"/>
  <c r="V346" i="2" s="1"/>
  <c r="X346" i="2" s="1"/>
  <c r="U346" i="2" a="1"/>
  <c r="U346" i="2" s="1"/>
  <c r="G346" i="2"/>
  <c r="F346" i="2"/>
  <c r="BM345" i="2" a="1"/>
  <c r="BM345" i="2" s="1"/>
  <c r="BA345" i="2" a="1"/>
  <c r="BA345" i="2" s="1"/>
  <c r="AO345" i="2" a="1"/>
  <c r="AO345" i="2" s="1"/>
  <c r="Z345" i="2" a="1"/>
  <c r="Z345" i="2" s="1"/>
  <c r="Y345" i="2" a="1"/>
  <c r="Y345" i="2" s="1"/>
  <c r="V345" i="2" a="1"/>
  <c r="V345" i="2" s="1"/>
  <c r="X345" i="2" s="1"/>
  <c r="U345" i="2" a="1"/>
  <c r="U345" i="2" s="1"/>
  <c r="G345" i="2"/>
  <c r="F345" i="2"/>
  <c r="BM344" i="2" a="1"/>
  <c r="BM344" i="2" s="1"/>
  <c r="BA344" i="2" a="1"/>
  <c r="BA344" i="2" s="1"/>
  <c r="AO344" i="2" a="1"/>
  <c r="AO344" i="2" s="1"/>
  <c r="Z344" i="2" a="1"/>
  <c r="Z344" i="2" s="1"/>
  <c r="Y344" i="2" a="1"/>
  <c r="Y344" i="2" s="1"/>
  <c r="V344" i="2" a="1"/>
  <c r="V344" i="2" s="1"/>
  <c r="X344" i="2" s="1"/>
  <c r="U344" i="2" a="1"/>
  <c r="U344" i="2" s="1"/>
  <c r="G344" i="2"/>
  <c r="F344" i="2"/>
  <c r="BM343" i="2" a="1"/>
  <c r="BM343" i="2" s="1"/>
  <c r="BA343" i="2" a="1"/>
  <c r="BA343" i="2" s="1"/>
  <c r="AO343" i="2" a="1"/>
  <c r="AO343" i="2" s="1"/>
  <c r="Z343" i="2" a="1"/>
  <c r="Z343" i="2" s="1"/>
  <c r="Y343" i="2" a="1"/>
  <c r="Y343" i="2" s="1"/>
  <c r="V343" i="2" a="1"/>
  <c r="V343" i="2" s="1"/>
  <c r="X343" i="2" s="1"/>
  <c r="U343" i="2" a="1"/>
  <c r="U343" i="2" s="1"/>
  <c r="G343" i="2"/>
  <c r="F343" i="2"/>
  <c r="BM342" i="2" a="1"/>
  <c r="BM342" i="2" s="1"/>
  <c r="AO342" i="2" a="1"/>
  <c r="AO342" i="2" s="1"/>
  <c r="Z342" i="2" a="1"/>
  <c r="Z342" i="2" s="1"/>
  <c r="Y342" i="2" a="1"/>
  <c r="Y342" i="2" s="1"/>
  <c r="V342" i="2" a="1"/>
  <c r="V342" i="2" s="1"/>
  <c r="X342" i="2" s="1"/>
  <c r="U342" i="2" a="1"/>
  <c r="U342" i="2" s="1"/>
  <c r="G342" i="2"/>
  <c r="F342" i="2"/>
  <c r="BM341" i="2" a="1"/>
  <c r="BM341" i="2" s="1"/>
  <c r="BA341" i="2" a="1"/>
  <c r="BA341" i="2" s="1"/>
  <c r="AO341" i="2" a="1"/>
  <c r="AO341" i="2" s="1"/>
  <c r="Z341" i="2" a="1"/>
  <c r="Z341" i="2" s="1"/>
  <c r="Y341" i="2" a="1"/>
  <c r="Y341" i="2" s="1"/>
  <c r="V341" i="2" a="1"/>
  <c r="V341" i="2" s="1"/>
  <c r="X341" i="2" s="1"/>
  <c r="U341" i="2" a="1"/>
  <c r="U341" i="2" s="1"/>
  <c r="G341" i="2"/>
  <c r="F341" i="2"/>
  <c r="BM340" i="2" a="1"/>
  <c r="BM340" i="2" s="1"/>
  <c r="BA340" i="2" a="1"/>
  <c r="BA340" i="2" s="1"/>
  <c r="AO340" i="2" a="1"/>
  <c r="AO340" i="2" s="1"/>
  <c r="Z340" i="2" a="1"/>
  <c r="Z340" i="2" s="1"/>
  <c r="Y340" i="2" a="1"/>
  <c r="Y340" i="2" s="1"/>
  <c r="V340" i="2" a="1"/>
  <c r="V340" i="2" s="1"/>
  <c r="X340" i="2" s="1"/>
  <c r="U340" i="2" a="1"/>
  <c r="U340" i="2" s="1"/>
  <c r="G340" i="2"/>
  <c r="F340" i="2"/>
  <c r="BM339" i="2" a="1"/>
  <c r="BM339" i="2" s="1"/>
  <c r="BA339" i="2" a="1"/>
  <c r="BA339" i="2" s="1"/>
  <c r="AO339" i="2" a="1"/>
  <c r="AO339" i="2" s="1"/>
  <c r="Z339" i="2" a="1"/>
  <c r="Z339" i="2" s="1"/>
  <c r="Y339" i="2" a="1"/>
  <c r="Y339" i="2" s="1"/>
  <c r="V339" i="2" a="1"/>
  <c r="V339" i="2" s="1"/>
  <c r="X339" i="2" s="1"/>
  <c r="U339" i="2" a="1"/>
  <c r="U339" i="2" s="1"/>
  <c r="G339" i="2"/>
  <c r="F339" i="2"/>
  <c r="BM338" i="2" a="1"/>
  <c r="BM338" i="2" s="1"/>
  <c r="BA338" i="2" a="1"/>
  <c r="BA338" i="2" s="1"/>
  <c r="AO338" i="2" a="1"/>
  <c r="AO338" i="2" s="1"/>
  <c r="Z338" i="2" a="1"/>
  <c r="Z338" i="2" s="1"/>
  <c r="Y338" i="2" a="1"/>
  <c r="Y338" i="2" s="1"/>
  <c r="V338" i="2" a="1"/>
  <c r="V338" i="2" s="1"/>
  <c r="X338" i="2" s="1"/>
  <c r="U338" i="2" a="1"/>
  <c r="U338" i="2" s="1"/>
  <c r="G338" i="2"/>
  <c r="F338" i="2"/>
  <c r="BM337" i="2" a="1"/>
  <c r="BM337" i="2" s="1"/>
  <c r="BA337" i="2" a="1"/>
  <c r="BA337" i="2" s="1"/>
  <c r="AO337" i="2" a="1"/>
  <c r="AO337" i="2" s="1"/>
  <c r="Z337" i="2" a="1"/>
  <c r="Z337" i="2" s="1"/>
  <c r="Y337" i="2" a="1"/>
  <c r="Y337" i="2" s="1"/>
  <c r="V337" i="2" a="1"/>
  <c r="V337" i="2" s="1"/>
  <c r="X337" i="2" s="1"/>
  <c r="U337" i="2" a="1"/>
  <c r="U337" i="2" s="1"/>
  <c r="G337" i="2"/>
  <c r="F337" i="2"/>
  <c r="BM336" i="2" a="1"/>
  <c r="BM336" i="2" s="1"/>
  <c r="BA336" i="2" a="1"/>
  <c r="BA336" i="2" s="1"/>
  <c r="AO336" i="2" a="1"/>
  <c r="AO336" i="2" s="1"/>
  <c r="Z336" i="2" a="1"/>
  <c r="Z336" i="2" s="1"/>
  <c r="Y336" i="2" a="1"/>
  <c r="Y336" i="2" s="1"/>
  <c r="V336" i="2" a="1"/>
  <c r="V336" i="2" s="1"/>
  <c r="X336" i="2" s="1"/>
  <c r="U336" i="2" a="1"/>
  <c r="U336" i="2" s="1"/>
  <c r="G336" i="2"/>
  <c r="F336" i="2"/>
  <c r="BM335" i="2" a="1"/>
  <c r="BM335" i="2" s="1"/>
  <c r="BA335" i="2" a="1"/>
  <c r="BA335" i="2" s="1"/>
  <c r="AO335" i="2" a="1"/>
  <c r="AO335" i="2" s="1"/>
  <c r="Z335" i="2" a="1"/>
  <c r="Z335" i="2" s="1"/>
  <c r="Y335" i="2" a="1"/>
  <c r="Y335" i="2" s="1"/>
  <c r="V335" i="2" a="1"/>
  <c r="V335" i="2" s="1"/>
  <c r="X335" i="2" s="1"/>
  <c r="U335" i="2" a="1"/>
  <c r="U335" i="2" s="1"/>
  <c r="G335" i="2"/>
  <c r="F335" i="2"/>
  <c r="BM334" i="2" a="1"/>
  <c r="BM334" i="2" s="1"/>
  <c r="BA334" i="2" a="1"/>
  <c r="BA334" i="2" s="1"/>
  <c r="AO334" i="2" a="1"/>
  <c r="AO334" i="2" s="1"/>
  <c r="Z334" i="2" a="1"/>
  <c r="Z334" i="2" s="1"/>
  <c r="Y334" i="2" a="1"/>
  <c r="Y334" i="2" s="1"/>
  <c r="V334" i="2" a="1"/>
  <c r="V334" i="2" s="1"/>
  <c r="X334" i="2" s="1"/>
  <c r="U334" i="2" a="1"/>
  <c r="U334" i="2" s="1"/>
  <c r="G334" i="2"/>
  <c r="F334" i="2"/>
  <c r="BM333" i="2" a="1"/>
  <c r="BM333" i="2" s="1"/>
  <c r="AO333" i="2" a="1"/>
  <c r="AO333" i="2" s="1"/>
  <c r="Z333" i="2" a="1"/>
  <c r="Z333" i="2" s="1"/>
  <c r="Y333" i="2" a="1"/>
  <c r="Y333" i="2" s="1"/>
  <c r="V333" i="2" a="1"/>
  <c r="V333" i="2" s="1"/>
  <c r="X333" i="2" s="1"/>
  <c r="U333" i="2" a="1"/>
  <c r="U333" i="2" s="1"/>
  <c r="G333" i="2"/>
  <c r="F333" i="2"/>
  <c r="BM332" i="2" a="1"/>
  <c r="BM332" i="2" s="1"/>
  <c r="BA332" i="2" a="1"/>
  <c r="BA332" i="2" s="1"/>
  <c r="AO332" i="2" a="1"/>
  <c r="AO332" i="2" s="1"/>
  <c r="Z332" i="2" a="1"/>
  <c r="Z332" i="2" s="1"/>
  <c r="Y332" i="2" a="1"/>
  <c r="Y332" i="2" s="1"/>
  <c r="V332" i="2" a="1"/>
  <c r="V332" i="2" s="1"/>
  <c r="X332" i="2" s="1"/>
  <c r="U332" i="2" a="1"/>
  <c r="U332" i="2" s="1"/>
  <c r="G332" i="2"/>
  <c r="F332" i="2"/>
  <c r="BM331" i="2" a="1"/>
  <c r="BM331" i="2" s="1"/>
  <c r="BA331" i="2" a="1"/>
  <c r="BA331" i="2" s="1"/>
  <c r="AO331" i="2" a="1"/>
  <c r="AO331" i="2" s="1"/>
  <c r="Z331" i="2" a="1"/>
  <c r="Z331" i="2" s="1"/>
  <c r="Y331" i="2" a="1"/>
  <c r="Y331" i="2" s="1"/>
  <c r="V331" i="2" a="1"/>
  <c r="V331" i="2" s="1"/>
  <c r="X331" i="2" s="1"/>
  <c r="U331" i="2" a="1"/>
  <c r="U331" i="2" s="1"/>
  <c r="G331" i="2"/>
  <c r="F331" i="2"/>
  <c r="BM330" i="2" a="1"/>
  <c r="BM330" i="2" s="1"/>
  <c r="BA330" i="2" a="1"/>
  <c r="BA330" i="2" s="1"/>
  <c r="AO330" i="2" a="1"/>
  <c r="AO330" i="2" s="1"/>
  <c r="Z330" i="2" a="1"/>
  <c r="Z330" i="2" s="1"/>
  <c r="Y330" i="2" a="1"/>
  <c r="Y330" i="2" s="1"/>
  <c r="V330" i="2" a="1"/>
  <c r="V330" i="2" s="1"/>
  <c r="X330" i="2" s="1"/>
  <c r="U330" i="2" a="1"/>
  <c r="U330" i="2" s="1"/>
  <c r="G330" i="2"/>
  <c r="F330" i="2"/>
  <c r="BM329" i="2" a="1"/>
  <c r="BM329" i="2" s="1"/>
  <c r="BA329" i="2" a="1"/>
  <c r="BA329" i="2" s="1"/>
  <c r="AO329" i="2" a="1"/>
  <c r="AO329" i="2" s="1"/>
  <c r="Z329" i="2" a="1"/>
  <c r="Z329" i="2" s="1"/>
  <c r="Y329" i="2" a="1"/>
  <c r="Y329" i="2" s="1"/>
  <c r="V329" i="2" a="1"/>
  <c r="V329" i="2" s="1"/>
  <c r="X329" i="2" s="1"/>
  <c r="U329" i="2" a="1"/>
  <c r="U329" i="2" s="1"/>
  <c r="G329" i="2"/>
  <c r="F329" i="2"/>
  <c r="BM328" i="2" a="1"/>
  <c r="BM328" i="2" s="1"/>
  <c r="BA328" i="2" a="1"/>
  <c r="BA328" i="2" s="1"/>
  <c r="AO328" i="2" a="1"/>
  <c r="AO328" i="2" s="1"/>
  <c r="Z328" i="2" a="1"/>
  <c r="Z328" i="2" s="1"/>
  <c r="Y328" i="2" a="1"/>
  <c r="Y328" i="2" s="1"/>
  <c r="V328" i="2" a="1"/>
  <c r="V328" i="2" s="1"/>
  <c r="X328" i="2" s="1"/>
  <c r="U328" i="2" a="1"/>
  <c r="U328" i="2" s="1"/>
  <c r="G328" i="2"/>
  <c r="F328" i="2"/>
  <c r="BM327" i="2" a="1"/>
  <c r="BM327" i="2" s="1"/>
  <c r="AO327" i="2" a="1"/>
  <c r="AO327" i="2" s="1"/>
  <c r="Z327" i="2" a="1"/>
  <c r="Z327" i="2" s="1"/>
  <c r="Y327" i="2" a="1"/>
  <c r="Y327" i="2" s="1"/>
  <c r="V327" i="2" a="1"/>
  <c r="V327" i="2" s="1"/>
  <c r="X327" i="2" s="1"/>
  <c r="U327" i="2" a="1"/>
  <c r="U327" i="2" s="1"/>
  <c r="G327" i="2"/>
  <c r="F327" i="2"/>
  <c r="BM326" i="2" a="1"/>
  <c r="BM326" i="2" s="1"/>
  <c r="BA326" i="2" a="1"/>
  <c r="BA326" i="2" s="1"/>
  <c r="AO326" i="2" a="1"/>
  <c r="AO326" i="2" s="1"/>
  <c r="Z326" i="2" a="1"/>
  <c r="Z326" i="2" s="1"/>
  <c r="Y326" i="2" a="1"/>
  <c r="Y326" i="2" s="1"/>
  <c r="V326" i="2" a="1"/>
  <c r="V326" i="2" s="1"/>
  <c r="X326" i="2" s="1"/>
  <c r="U326" i="2" a="1"/>
  <c r="U326" i="2" s="1"/>
  <c r="G326" i="2"/>
  <c r="F326" i="2"/>
  <c r="BM325" i="2" a="1"/>
  <c r="BM325" i="2" s="1"/>
  <c r="BA325" i="2" a="1"/>
  <c r="BA325" i="2" s="1"/>
  <c r="AO325" i="2" a="1"/>
  <c r="AO325" i="2" s="1"/>
  <c r="Z325" i="2" a="1"/>
  <c r="Z325" i="2" s="1"/>
  <c r="Y325" i="2" a="1"/>
  <c r="Y325" i="2" s="1"/>
  <c r="V325" i="2" a="1"/>
  <c r="V325" i="2" s="1"/>
  <c r="X325" i="2" s="1"/>
  <c r="U325" i="2" a="1"/>
  <c r="U325" i="2" s="1"/>
  <c r="G325" i="2"/>
  <c r="F325" i="2"/>
  <c r="BM324" i="2" a="1"/>
  <c r="BM324" i="2" s="1"/>
  <c r="BA324" i="2" a="1"/>
  <c r="BA324" i="2" s="1"/>
  <c r="AO324" i="2" a="1"/>
  <c r="AO324" i="2" s="1"/>
  <c r="Z324" i="2" a="1"/>
  <c r="Z324" i="2" s="1"/>
  <c r="Y324" i="2" a="1"/>
  <c r="Y324" i="2" s="1"/>
  <c r="V324" i="2" a="1"/>
  <c r="V324" i="2" s="1"/>
  <c r="X324" i="2" s="1"/>
  <c r="U324" i="2" a="1"/>
  <c r="U324" i="2" s="1"/>
  <c r="G324" i="2"/>
  <c r="F324" i="2"/>
  <c r="BM323" i="2" a="1"/>
  <c r="BM323" i="2" s="1"/>
  <c r="BA323" i="2" a="1"/>
  <c r="BA323" i="2" s="1"/>
  <c r="AO323" i="2" a="1"/>
  <c r="AO323" i="2" s="1"/>
  <c r="Z323" i="2" a="1"/>
  <c r="Z323" i="2" s="1"/>
  <c r="Y323" i="2" a="1"/>
  <c r="Y323" i="2" s="1"/>
  <c r="V323" i="2" a="1"/>
  <c r="V323" i="2" s="1"/>
  <c r="X323" i="2" s="1"/>
  <c r="U323" i="2" a="1"/>
  <c r="U323" i="2" s="1"/>
  <c r="G323" i="2"/>
  <c r="F323" i="2"/>
  <c r="BM322" i="2" a="1"/>
  <c r="BM322" i="2" s="1"/>
  <c r="BA322" i="2" a="1"/>
  <c r="BA322" i="2" s="1"/>
  <c r="AO322" i="2" a="1"/>
  <c r="AO322" i="2" s="1"/>
  <c r="Z322" i="2" a="1"/>
  <c r="Z322" i="2" s="1"/>
  <c r="Y322" i="2" a="1"/>
  <c r="Y322" i="2" s="1"/>
  <c r="V322" i="2" a="1"/>
  <c r="V322" i="2" s="1"/>
  <c r="X322" i="2" s="1"/>
  <c r="U322" i="2" a="1"/>
  <c r="U322" i="2" s="1"/>
  <c r="BL322" i="2" s="1"/>
  <c r="G322" i="2"/>
  <c r="F322" i="2"/>
  <c r="BM321" i="2" a="1"/>
  <c r="BM321" i="2" s="1"/>
  <c r="BA321" i="2" a="1"/>
  <c r="BA321" i="2" s="1"/>
  <c r="AO321" i="2" a="1"/>
  <c r="AO321" i="2" s="1"/>
  <c r="Z321" i="2" a="1"/>
  <c r="Z321" i="2" s="1"/>
  <c r="Y321" i="2" a="1"/>
  <c r="Y321" i="2" s="1"/>
  <c r="V321" i="2" a="1"/>
  <c r="V321" i="2" s="1"/>
  <c r="X321" i="2" s="1"/>
  <c r="U321" i="2" a="1"/>
  <c r="U321" i="2" s="1"/>
  <c r="G321" i="2"/>
  <c r="F321" i="2"/>
  <c r="BM320" i="2" a="1"/>
  <c r="BM320" i="2" s="1"/>
  <c r="BA320" i="2" a="1"/>
  <c r="BA320" i="2" s="1"/>
  <c r="AO320" i="2" a="1"/>
  <c r="AO320" i="2" s="1"/>
  <c r="Z320" i="2" a="1"/>
  <c r="Z320" i="2" s="1"/>
  <c r="Y320" i="2" a="1"/>
  <c r="Y320" i="2" s="1"/>
  <c r="V320" i="2" a="1"/>
  <c r="V320" i="2" s="1"/>
  <c r="X320" i="2" s="1"/>
  <c r="U320" i="2" a="1"/>
  <c r="U320" i="2" s="1"/>
  <c r="G320" i="2"/>
  <c r="F320" i="2"/>
  <c r="BM319" i="2" a="1"/>
  <c r="BM319" i="2" s="1"/>
  <c r="BA319" i="2" a="1"/>
  <c r="BA319" i="2" s="1"/>
  <c r="AO319" i="2" a="1"/>
  <c r="AO319" i="2" s="1"/>
  <c r="Z319" i="2" a="1"/>
  <c r="Z319" i="2" s="1"/>
  <c r="Y319" i="2" a="1"/>
  <c r="Y319" i="2" s="1"/>
  <c r="V319" i="2" a="1"/>
  <c r="V319" i="2" s="1"/>
  <c r="X319" i="2" s="1"/>
  <c r="U319" i="2" a="1"/>
  <c r="U319" i="2" s="1"/>
  <c r="G319" i="2"/>
  <c r="F319" i="2"/>
  <c r="BM318" i="2" a="1"/>
  <c r="BM318" i="2" s="1"/>
  <c r="BA318" i="2" a="1"/>
  <c r="BA318" i="2" s="1"/>
  <c r="AO318" i="2" a="1"/>
  <c r="AO318" i="2" s="1"/>
  <c r="Z318" i="2" a="1"/>
  <c r="Z318" i="2" s="1"/>
  <c r="Y318" i="2" a="1"/>
  <c r="Y318" i="2" s="1"/>
  <c r="V318" i="2" a="1"/>
  <c r="V318" i="2" s="1"/>
  <c r="X318" i="2" s="1"/>
  <c r="U318" i="2" a="1"/>
  <c r="U318" i="2" s="1"/>
  <c r="G318" i="2"/>
  <c r="F318" i="2"/>
  <c r="BM317" i="2" a="1"/>
  <c r="BM317" i="2" s="1"/>
  <c r="BA317" i="2" a="1"/>
  <c r="BA317" i="2" s="1"/>
  <c r="AO317" i="2" a="1"/>
  <c r="AO317" i="2" s="1"/>
  <c r="Z317" i="2" a="1"/>
  <c r="Z317" i="2" s="1"/>
  <c r="Y317" i="2" a="1"/>
  <c r="Y317" i="2" s="1"/>
  <c r="V317" i="2" a="1"/>
  <c r="V317" i="2" s="1"/>
  <c r="X317" i="2" s="1"/>
  <c r="U317" i="2" a="1"/>
  <c r="U317" i="2" s="1"/>
  <c r="G317" i="2"/>
  <c r="F317" i="2"/>
  <c r="BM316" i="2" a="1"/>
  <c r="BM316" i="2" s="1"/>
  <c r="AO316" i="2" a="1"/>
  <c r="AO316" i="2" s="1"/>
  <c r="Z316" i="2" a="1"/>
  <c r="Z316" i="2" s="1"/>
  <c r="Y316" i="2" a="1"/>
  <c r="Y316" i="2" s="1"/>
  <c r="V316" i="2" a="1"/>
  <c r="V316" i="2" s="1"/>
  <c r="X316" i="2" s="1"/>
  <c r="U316" i="2" a="1"/>
  <c r="U316" i="2" s="1"/>
  <c r="G316" i="2"/>
  <c r="F316" i="2"/>
  <c r="BM315" i="2" a="1"/>
  <c r="BM315" i="2" s="1"/>
  <c r="BA315" i="2" a="1"/>
  <c r="BA315" i="2" s="1"/>
  <c r="AO315" i="2" a="1"/>
  <c r="AO315" i="2" s="1"/>
  <c r="Z315" i="2" a="1"/>
  <c r="Z315" i="2" s="1"/>
  <c r="Y315" i="2" a="1"/>
  <c r="Y315" i="2" s="1"/>
  <c r="V315" i="2" a="1"/>
  <c r="V315" i="2" s="1"/>
  <c r="X315" i="2" s="1"/>
  <c r="U315" i="2" a="1"/>
  <c r="U315" i="2" s="1"/>
  <c r="G315" i="2"/>
  <c r="F315" i="2"/>
  <c r="BM314" i="2" a="1"/>
  <c r="BM314" i="2" s="1"/>
  <c r="BA314" i="2" a="1"/>
  <c r="BA314" i="2" s="1"/>
  <c r="AO314" i="2" a="1"/>
  <c r="AO314" i="2" s="1"/>
  <c r="Z314" i="2" a="1"/>
  <c r="Z314" i="2" s="1"/>
  <c r="Y314" i="2" a="1"/>
  <c r="Y314" i="2" s="1"/>
  <c r="V314" i="2" a="1"/>
  <c r="V314" i="2" s="1"/>
  <c r="X314" i="2" s="1"/>
  <c r="U314" i="2" a="1"/>
  <c r="U314" i="2" s="1"/>
  <c r="G314" i="2"/>
  <c r="F314" i="2"/>
  <c r="BM313" i="2" a="1"/>
  <c r="BM313" i="2" s="1"/>
  <c r="BA313" i="2" a="1"/>
  <c r="BA313" i="2" s="1"/>
  <c r="AO313" i="2" a="1"/>
  <c r="AO313" i="2" s="1"/>
  <c r="Z313" i="2" a="1"/>
  <c r="Z313" i="2" s="1"/>
  <c r="Y313" i="2" a="1"/>
  <c r="Y313" i="2" s="1"/>
  <c r="V313" i="2" a="1"/>
  <c r="V313" i="2" s="1"/>
  <c r="X313" i="2" s="1"/>
  <c r="U313" i="2" a="1"/>
  <c r="U313" i="2" s="1"/>
  <c r="G313" i="2"/>
  <c r="F313" i="2"/>
  <c r="BM312" i="2" a="1"/>
  <c r="BM312" i="2" s="1"/>
  <c r="BA312" i="2" a="1"/>
  <c r="BA312" i="2" s="1"/>
  <c r="AO312" i="2" a="1"/>
  <c r="AO312" i="2" s="1"/>
  <c r="Z312" i="2" a="1"/>
  <c r="Z312" i="2" s="1"/>
  <c r="Y312" i="2" a="1"/>
  <c r="Y312" i="2" s="1"/>
  <c r="V312" i="2" a="1"/>
  <c r="V312" i="2" s="1"/>
  <c r="X312" i="2" s="1"/>
  <c r="U312" i="2" a="1"/>
  <c r="U312" i="2" s="1"/>
  <c r="G312" i="2"/>
  <c r="F312" i="2"/>
  <c r="BM311" i="2" a="1"/>
  <c r="BM311" i="2" s="1"/>
  <c r="BA311" i="2" a="1"/>
  <c r="BA311" i="2" s="1"/>
  <c r="AO311" i="2" a="1"/>
  <c r="AO311" i="2" s="1"/>
  <c r="Z311" i="2" a="1"/>
  <c r="Z311" i="2" s="1"/>
  <c r="Y311" i="2" a="1"/>
  <c r="Y311" i="2" s="1"/>
  <c r="V311" i="2" a="1"/>
  <c r="V311" i="2" s="1"/>
  <c r="X311" i="2" s="1"/>
  <c r="U311" i="2" a="1"/>
  <c r="U311" i="2" s="1"/>
  <c r="BL311" i="2" s="1"/>
  <c r="G311" i="2"/>
  <c r="F311" i="2"/>
  <c r="BM310" i="2" a="1"/>
  <c r="BM310" i="2" s="1"/>
  <c r="BA310" i="2" a="1"/>
  <c r="BA310" i="2" s="1"/>
  <c r="AO310" i="2" a="1"/>
  <c r="AO310" i="2" s="1"/>
  <c r="Z310" i="2" a="1"/>
  <c r="Z310" i="2" s="1"/>
  <c r="Y310" i="2" a="1"/>
  <c r="Y310" i="2" s="1"/>
  <c r="V310" i="2" a="1"/>
  <c r="V310" i="2" s="1"/>
  <c r="X310" i="2" s="1"/>
  <c r="U310" i="2" a="1"/>
  <c r="U310" i="2" s="1"/>
  <c r="G310" i="2"/>
  <c r="F310" i="2"/>
  <c r="BM309" i="2" a="1"/>
  <c r="BM309" i="2" s="1"/>
  <c r="BA309" i="2" a="1"/>
  <c r="BA309" i="2" s="1"/>
  <c r="AO309" i="2" a="1"/>
  <c r="AO309" i="2" s="1"/>
  <c r="Z309" i="2" a="1"/>
  <c r="Z309" i="2" s="1"/>
  <c r="Y309" i="2" a="1"/>
  <c r="Y309" i="2" s="1"/>
  <c r="V309" i="2" a="1"/>
  <c r="V309" i="2" s="1"/>
  <c r="X309" i="2" s="1"/>
  <c r="U309" i="2" a="1"/>
  <c r="U309" i="2" s="1"/>
  <c r="G309" i="2"/>
  <c r="F309" i="2"/>
  <c r="BM308" i="2" a="1"/>
  <c r="BM308" i="2" s="1"/>
  <c r="BA308" i="2" a="1"/>
  <c r="BA308" i="2" s="1"/>
  <c r="AO308" i="2" a="1"/>
  <c r="AO308" i="2" s="1"/>
  <c r="Z308" i="2" a="1"/>
  <c r="Z308" i="2" s="1"/>
  <c r="Y308" i="2" a="1"/>
  <c r="Y308" i="2" s="1"/>
  <c r="W308" i="2" a="1"/>
  <c r="W308" i="2" s="1"/>
  <c r="V308" i="2" a="1"/>
  <c r="V308" i="2" s="1"/>
  <c r="U308" i="2" a="1"/>
  <c r="U308" i="2" s="1"/>
  <c r="G308" i="2"/>
  <c r="F308" i="2"/>
  <c r="BM307" i="2" a="1"/>
  <c r="BM307" i="2" s="1"/>
  <c r="BA307" i="2" a="1"/>
  <c r="BA307" i="2" s="1"/>
  <c r="AO307" i="2" a="1"/>
  <c r="AO307" i="2" s="1"/>
  <c r="Z307" i="2" a="1"/>
  <c r="Z307" i="2" s="1"/>
  <c r="Y307" i="2" a="1"/>
  <c r="Y307" i="2" s="1"/>
  <c r="V307" i="2" a="1"/>
  <c r="V307" i="2" s="1"/>
  <c r="X307" i="2" s="1"/>
  <c r="U307" i="2" a="1"/>
  <c r="U307" i="2" s="1"/>
  <c r="G307" i="2"/>
  <c r="F307" i="2"/>
  <c r="BM306" i="2" a="1"/>
  <c r="BM306" i="2" s="1"/>
  <c r="BA306" i="2" a="1"/>
  <c r="BA306" i="2" s="1"/>
  <c r="AO306" i="2" a="1"/>
  <c r="AO306" i="2" s="1"/>
  <c r="Z306" i="2" a="1"/>
  <c r="Z306" i="2" s="1"/>
  <c r="Y306" i="2" a="1"/>
  <c r="Y306" i="2" s="1"/>
  <c r="V306" i="2" a="1"/>
  <c r="V306" i="2" s="1"/>
  <c r="X306" i="2" s="1"/>
  <c r="U306" i="2" a="1"/>
  <c r="U306" i="2" s="1"/>
  <c r="G306" i="2"/>
  <c r="F306" i="2"/>
  <c r="BM305" i="2" a="1"/>
  <c r="BM305" i="2" s="1"/>
  <c r="BA305" i="2" a="1"/>
  <c r="BA305" i="2" s="1"/>
  <c r="AO305" i="2" a="1"/>
  <c r="AO305" i="2" s="1"/>
  <c r="Z305" i="2" a="1"/>
  <c r="Z305" i="2" s="1"/>
  <c r="Y305" i="2" a="1"/>
  <c r="Y305" i="2" s="1"/>
  <c r="V305" i="2" a="1"/>
  <c r="V305" i="2" s="1"/>
  <c r="X305" i="2" s="1"/>
  <c r="U305" i="2" a="1"/>
  <c r="U305" i="2" s="1"/>
  <c r="G305" i="2"/>
  <c r="F305" i="2"/>
  <c r="BM304" i="2" a="1"/>
  <c r="BM304" i="2" s="1"/>
  <c r="BA304" i="2" a="1"/>
  <c r="BA304" i="2" s="1"/>
  <c r="AO304" i="2" a="1"/>
  <c r="AO304" i="2" s="1"/>
  <c r="Z304" i="2" a="1"/>
  <c r="Z304" i="2" s="1"/>
  <c r="Y304" i="2" a="1"/>
  <c r="Y304" i="2" s="1"/>
  <c r="V304" i="2" a="1"/>
  <c r="V304" i="2" s="1"/>
  <c r="X304" i="2" s="1"/>
  <c r="U304" i="2" a="1"/>
  <c r="U304" i="2" s="1"/>
  <c r="G304" i="2"/>
  <c r="F304" i="2"/>
  <c r="BM303" i="2" a="1"/>
  <c r="BM303" i="2" s="1"/>
  <c r="BA303" i="2" a="1"/>
  <c r="BA303" i="2" s="1"/>
  <c r="AO303" i="2" a="1"/>
  <c r="AO303" i="2" s="1"/>
  <c r="Z303" i="2" a="1"/>
  <c r="Z303" i="2" s="1"/>
  <c r="Y303" i="2" a="1"/>
  <c r="Y303" i="2" s="1"/>
  <c r="V303" i="2" a="1"/>
  <c r="V303" i="2" s="1"/>
  <c r="X303" i="2" s="1"/>
  <c r="U303" i="2" a="1"/>
  <c r="U303" i="2" s="1"/>
  <c r="BL303" i="2" s="1"/>
  <c r="G303" i="2"/>
  <c r="F303" i="2"/>
  <c r="BM302" i="2" a="1"/>
  <c r="BM302" i="2" s="1"/>
  <c r="AO302" i="2" a="1"/>
  <c r="AO302" i="2" s="1"/>
  <c r="Z302" i="2" a="1"/>
  <c r="Z302" i="2" s="1"/>
  <c r="Y302" i="2" a="1"/>
  <c r="Y302" i="2" s="1"/>
  <c r="V302" i="2" a="1"/>
  <c r="V302" i="2" s="1"/>
  <c r="X302" i="2" s="1"/>
  <c r="U302" i="2" a="1"/>
  <c r="U302" i="2" s="1"/>
  <c r="G302" i="2"/>
  <c r="F302" i="2"/>
  <c r="BM301" i="2" a="1"/>
  <c r="BM301" i="2" s="1"/>
  <c r="BA301" i="2" a="1"/>
  <c r="BA301" i="2" s="1"/>
  <c r="AO301" i="2" a="1"/>
  <c r="AO301" i="2" s="1"/>
  <c r="Z301" i="2" a="1"/>
  <c r="Z301" i="2" s="1"/>
  <c r="Y301" i="2" a="1"/>
  <c r="Y301" i="2" s="1"/>
  <c r="V301" i="2" a="1"/>
  <c r="V301" i="2" s="1"/>
  <c r="X301" i="2" s="1"/>
  <c r="U301" i="2" a="1"/>
  <c r="U301" i="2" s="1"/>
  <c r="G301" i="2"/>
  <c r="F301" i="2"/>
  <c r="BM300" i="2" a="1"/>
  <c r="BM300" i="2" s="1"/>
  <c r="BA300" i="2" a="1"/>
  <c r="BA300" i="2" s="1"/>
  <c r="AO300" i="2" a="1"/>
  <c r="AO300" i="2" s="1"/>
  <c r="Z300" i="2" a="1"/>
  <c r="Z300" i="2" s="1"/>
  <c r="Y300" i="2" a="1"/>
  <c r="Y300" i="2" s="1"/>
  <c r="V300" i="2" a="1"/>
  <c r="V300" i="2" s="1"/>
  <c r="X300" i="2" s="1"/>
  <c r="U300" i="2" a="1"/>
  <c r="U300" i="2" s="1"/>
  <c r="G300" i="2"/>
  <c r="F300" i="2"/>
  <c r="BM299" i="2" a="1"/>
  <c r="BM299" i="2" s="1"/>
  <c r="BA299" i="2" a="1"/>
  <c r="BA299" i="2" s="1"/>
  <c r="AO299" i="2" a="1"/>
  <c r="AO299" i="2" s="1"/>
  <c r="Z299" i="2" a="1"/>
  <c r="Z299" i="2" s="1"/>
  <c r="Y299" i="2" a="1"/>
  <c r="Y299" i="2" s="1"/>
  <c r="V299" i="2" a="1"/>
  <c r="V299" i="2" s="1"/>
  <c r="X299" i="2" s="1"/>
  <c r="U299" i="2" a="1"/>
  <c r="U299" i="2" s="1"/>
  <c r="BL299" i="2" s="1"/>
  <c r="G299" i="2"/>
  <c r="F299" i="2"/>
  <c r="BM298" i="2" a="1"/>
  <c r="BM298" i="2" s="1"/>
  <c r="BA298" i="2" a="1"/>
  <c r="BA298" i="2" s="1"/>
  <c r="AO298" i="2" a="1"/>
  <c r="AO298" i="2" s="1"/>
  <c r="Z298" i="2" a="1"/>
  <c r="Z298" i="2" s="1"/>
  <c r="Y298" i="2" a="1"/>
  <c r="Y298" i="2" s="1"/>
  <c r="V298" i="2" a="1"/>
  <c r="V298" i="2" s="1"/>
  <c r="X298" i="2" s="1"/>
  <c r="U298" i="2" a="1"/>
  <c r="U298" i="2" s="1"/>
  <c r="G298" i="2"/>
  <c r="F298" i="2"/>
  <c r="BM297" i="2" a="1"/>
  <c r="BM297" i="2" s="1"/>
  <c r="BA297" i="2" a="1"/>
  <c r="BA297" i="2" s="1"/>
  <c r="AO297" i="2" a="1"/>
  <c r="AO297" i="2" s="1"/>
  <c r="Z297" i="2" a="1"/>
  <c r="Z297" i="2" s="1"/>
  <c r="Y297" i="2" a="1"/>
  <c r="Y297" i="2" s="1"/>
  <c r="V297" i="2" a="1"/>
  <c r="V297" i="2" s="1"/>
  <c r="X297" i="2" s="1"/>
  <c r="U297" i="2" a="1"/>
  <c r="U297" i="2" s="1"/>
  <c r="G297" i="2"/>
  <c r="F297" i="2"/>
  <c r="BM296" i="2" a="1"/>
  <c r="BM296" i="2" s="1"/>
  <c r="BA296" i="2" a="1"/>
  <c r="BA296" i="2" s="1"/>
  <c r="AO296" i="2" a="1"/>
  <c r="AO296" i="2" s="1"/>
  <c r="Z296" i="2" a="1"/>
  <c r="Z296" i="2" s="1"/>
  <c r="Y296" i="2" a="1"/>
  <c r="Y296" i="2" s="1"/>
  <c r="V296" i="2" a="1"/>
  <c r="V296" i="2" s="1"/>
  <c r="X296" i="2" s="1"/>
  <c r="U296" i="2" a="1"/>
  <c r="U296" i="2" s="1"/>
  <c r="G296" i="2"/>
  <c r="F296" i="2"/>
  <c r="BM295" i="2" a="1"/>
  <c r="BM295" i="2" s="1"/>
  <c r="BA295" i="2" a="1"/>
  <c r="BA295" i="2" s="1"/>
  <c r="AO295" i="2" a="1"/>
  <c r="AO295" i="2" s="1"/>
  <c r="Z295" i="2" a="1"/>
  <c r="Z295" i="2" s="1"/>
  <c r="Y295" i="2" a="1"/>
  <c r="Y295" i="2" s="1"/>
  <c r="V295" i="2" a="1"/>
  <c r="V295" i="2" s="1"/>
  <c r="X295" i="2" s="1"/>
  <c r="U295" i="2" a="1"/>
  <c r="U295" i="2" s="1"/>
  <c r="BL295" i="2" s="1"/>
  <c r="G295" i="2"/>
  <c r="F295" i="2"/>
  <c r="BM294" i="2" a="1"/>
  <c r="BM294" i="2" s="1"/>
  <c r="BA294" i="2" a="1"/>
  <c r="BA294" i="2" s="1"/>
  <c r="AO294" i="2" a="1"/>
  <c r="AO294" i="2" s="1"/>
  <c r="Z294" i="2" a="1"/>
  <c r="Z294" i="2" s="1"/>
  <c r="Y294" i="2" a="1"/>
  <c r="Y294" i="2" s="1"/>
  <c r="V294" i="2" a="1"/>
  <c r="V294" i="2" s="1"/>
  <c r="X294" i="2" s="1"/>
  <c r="U294" i="2" a="1"/>
  <c r="U294" i="2" s="1"/>
  <c r="BL294" i="2" s="1"/>
  <c r="G294" i="2"/>
  <c r="F294" i="2"/>
  <c r="BM293" i="2" a="1"/>
  <c r="BM293" i="2" s="1"/>
  <c r="BA293" i="2" a="1"/>
  <c r="BA293" i="2" s="1"/>
  <c r="AO293" i="2" a="1"/>
  <c r="AO293" i="2" s="1"/>
  <c r="Z293" i="2" a="1"/>
  <c r="Z293" i="2" s="1"/>
  <c r="Y293" i="2" a="1"/>
  <c r="Y293" i="2" s="1"/>
  <c r="W293" i="2" a="1"/>
  <c r="W293" i="2" s="1"/>
  <c r="V293" i="2" a="1"/>
  <c r="V293" i="2" s="1"/>
  <c r="U293" i="2" a="1"/>
  <c r="U293" i="2" s="1"/>
  <c r="G293" i="2"/>
  <c r="F293" i="2"/>
  <c r="BM292" i="2" a="1"/>
  <c r="BM292" i="2" s="1"/>
  <c r="BA292" i="2" a="1"/>
  <c r="BA292" i="2" s="1"/>
  <c r="AO292" i="2" a="1"/>
  <c r="AO292" i="2" s="1"/>
  <c r="Z292" i="2" a="1"/>
  <c r="Z292" i="2" s="1"/>
  <c r="Y292" i="2" a="1"/>
  <c r="Y292" i="2" s="1"/>
  <c r="V292" i="2" a="1"/>
  <c r="V292" i="2" s="1"/>
  <c r="X292" i="2" s="1"/>
  <c r="U292" i="2" a="1"/>
  <c r="U292" i="2" s="1"/>
  <c r="G292" i="2"/>
  <c r="F292" i="2"/>
  <c r="BM291" i="2" a="1"/>
  <c r="BM291" i="2" s="1"/>
  <c r="BA291" i="2" a="1"/>
  <c r="BA291" i="2" s="1"/>
  <c r="AO291" i="2" a="1"/>
  <c r="AO291" i="2" s="1"/>
  <c r="Z291" i="2" a="1"/>
  <c r="Z291" i="2" s="1"/>
  <c r="Y291" i="2" a="1"/>
  <c r="Y291" i="2" s="1"/>
  <c r="V291" i="2" a="1"/>
  <c r="V291" i="2" s="1"/>
  <c r="X291" i="2" s="1"/>
  <c r="U291" i="2" a="1"/>
  <c r="U291" i="2" s="1"/>
  <c r="G291" i="2"/>
  <c r="F291" i="2"/>
  <c r="BM290" i="2" a="1"/>
  <c r="BM290" i="2" s="1"/>
  <c r="BA290" i="2" a="1"/>
  <c r="BA290" i="2" s="1"/>
  <c r="AO290" i="2" a="1"/>
  <c r="AO290" i="2" s="1"/>
  <c r="Z290" i="2" a="1"/>
  <c r="Z290" i="2" s="1"/>
  <c r="Y290" i="2" a="1"/>
  <c r="Y290" i="2" s="1"/>
  <c r="V290" i="2" a="1"/>
  <c r="V290" i="2" s="1"/>
  <c r="X290" i="2" s="1"/>
  <c r="U290" i="2" a="1"/>
  <c r="U290" i="2" s="1"/>
  <c r="G290" i="2"/>
  <c r="F290" i="2"/>
  <c r="BM289" i="2" a="1"/>
  <c r="BM289" i="2" s="1"/>
  <c r="BA289" i="2" a="1"/>
  <c r="BA289" i="2" s="1"/>
  <c r="AO289" i="2" a="1"/>
  <c r="AO289" i="2" s="1"/>
  <c r="Z289" i="2" a="1"/>
  <c r="Z289" i="2" s="1"/>
  <c r="Y289" i="2" a="1"/>
  <c r="Y289" i="2" s="1"/>
  <c r="V289" i="2" a="1"/>
  <c r="V289" i="2" s="1"/>
  <c r="X289" i="2" s="1"/>
  <c r="U289" i="2" a="1"/>
  <c r="U289" i="2" s="1"/>
  <c r="G289" i="2"/>
  <c r="F289" i="2"/>
  <c r="BM288" i="2" a="1"/>
  <c r="BM288" i="2" s="1"/>
  <c r="BA288" i="2" a="1"/>
  <c r="BA288" i="2" s="1"/>
  <c r="AO288" i="2" a="1"/>
  <c r="AO288" i="2" s="1"/>
  <c r="Z288" i="2" a="1"/>
  <c r="Z288" i="2" s="1"/>
  <c r="Y288" i="2" a="1"/>
  <c r="Y288" i="2" s="1"/>
  <c r="V288" i="2" a="1"/>
  <c r="V288" i="2" s="1"/>
  <c r="X288" i="2" s="1"/>
  <c r="U288" i="2" a="1"/>
  <c r="U288" i="2" s="1"/>
  <c r="G288" i="2"/>
  <c r="F288" i="2"/>
  <c r="BM287" i="2" a="1"/>
  <c r="BM287" i="2" s="1"/>
  <c r="BA287" i="2" a="1"/>
  <c r="BA287" i="2" s="1"/>
  <c r="AO287" i="2" a="1"/>
  <c r="AO287" i="2" s="1"/>
  <c r="Z287" i="2" a="1"/>
  <c r="Z287" i="2" s="1"/>
  <c r="Y287" i="2" a="1"/>
  <c r="Y287" i="2" s="1"/>
  <c r="V287" i="2" a="1"/>
  <c r="V287" i="2" s="1"/>
  <c r="X287" i="2" s="1"/>
  <c r="U287" i="2" a="1"/>
  <c r="U287" i="2" s="1"/>
  <c r="G287" i="2"/>
  <c r="F287" i="2"/>
  <c r="BM286" i="2" a="1"/>
  <c r="BM286" i="2" s="1"/>
  <c r="BA286" i="2" a="1"/>
  <c r="BA286" i="2" s="1"/>
  <c r="AO286" i="2" a="1"/>
  <c r="AO286" i="2" s="1"/>
  <c r="Z286" i="2" a="1"/>
  <c r="Z286" i="2" s="1"/>
  <c r="Y286" i="2" a="1"/>
  <c r="Y286" i="2" s="1"/>
  <c r="V286" i="2" a="1"/>
  <c r="V286" i="2" s="1"/>
  <c r="X286" i="2" s="1"/>
  <c r="U286" i="2" a="1"/>
  <c r="U286" i="2" s="1"/>
  <c r="G286" i="2"/>
  <c r="F286" i="2"/>
  <c r="BM285" i="2" a="1"/>
  <c r="BM285" i="2" s="1"/>
  <c r="BA285" i="2" a="1"/>
  <c r="BA285" i="2" s="1"/>
  <c r="AO285" i="2" a="1"/>
  <c r="AO285" i="2" s="1"/>
  <c r="Z285" i="2" a="1"/>
  <c r="Z285" i="2" s="1"/>
  <c r="Y285" i="2" a="1"/>
  <c r="Y285" i="2" s="1"/>
  <c r="V285" i="2" a="1"/>
  <c r="V285" i="2" s="1"/>
  <c r="X285" i="2" s="1"/>
  <c r="U285" i="2" a="1"/>
  <c r="U285" i="2" s="1"/>
  <c r="G285" i="2"/>
  <c r="F285" i="2"/>
  <c r="BM284" i="2" a="1"/>
  <c r="BM284" i="2" s="1"/>
  <c r="BA284" i="2" a="1"/>
  <c r="BA284" i="2" s="1"/>
  <c r="AO284" i="2" a="1"/>
  <c r="AO284" i="2" s="1"/>
  <c r="Z284" i="2" a="1"/>
  <c r="Z284" i="2" s="1"/>
  <c r="Y284" i="2" a="1"/>
  <c r="Y284" i="2" s="1"/>
  <c r="W284" i="2" a="1"/>
  <c r="W284" i="2" s="1"/>
  <c r="V284" i="2" a="1"/>
  <c r="V284" i="2" s="1"/>
  <c r="U284" i="2" a="1"/>
  <c r="U284" i="2" s="1"/>
  <c r="G284" i="2"/>
  <c r="F284" i="2"/>
  <c r="BM283" i="2" a="1"/>
  <c r="BM283" i="2" s="1"/>
  <c r="BA283" i="2" a="1"/>
  <c r="BA283" i="2" s="1"/>
  <c r="AO283" i="2" a="1"/>
  <c r="AO283" i="2" s="1"/>
  <c r="Z283" i="2" a="1"/>
  <c r="Z283" i="2" s="1"/>
  <c r="Y283" i="2" a="1"/>
  <c r="Y283" i="2" s="1"/>
  <c r="V283" i="2" a="1"/>
  <c r="V283" i="2" s="1"/>
  <c r="X283" i="2" s="1"/>
  <c r="U283" i="2" a="1"/>
  <c r="U283" i="2" s="1"/>
  <c r="G283" i="2"/>
  <c r="F283" i="2"/>
  <c r="BM282" i="2" a="1"/>
  <c r="BM282" i="2" s="1"/>
  <c r="BA282" i="2" a="1"/>
  <c r="BA282" i="2" s="1"/>
  <c r="AO282" i="2" a="1"/>
  <c r="AO282" i="2" s="1"/>
  <c r="Z282" i="2" a="1"/>
  <c r="Z282" i="2" s="1"/>
  <c r="Y282" i="2" a="1"/>
  <c r="Y282" i="2" s="1"/>
  <c r="V282" i="2" a="1"/>
  <c r="V282" i="2" s="1"/>
  <c r="X282" i="2" s="1"/>
  <c r="U282" i="2" a="1"/>
  <c r="U282" i="2" s="1"/>
  <c r="BL282" i="2" s="1"/>
  <c r="G282" i="2"/>
  <c r="F282" i="2"/>
  <c r="BM281" i="2" a="1"/>
  <c r="BM281" i="2" s="1"/>
  <c r="BA281" i="2" a="1"/>
  <c r="BA281" i="2" s="1"/>
  <c r="AO281" i="2" a="1"/>
  <c r="AO281" i="2" s="1"/>
  <c r="Z281" i="2" a="1"/>
  <c r="Z281" i="2" s="1"/>
  <c r="Y281" i="2" a="1"/>
  <c r="Y281" i="2" s="1"/>
  <c r="V281" i="2" a="1"/>
  <c r="V281" i="2" s="1"/>
  <c r="X281" i="2" s="1"/>
  <c r="U281" i="2" a="1"/>
  <c r="U281" i="2" s="1"/>
  <c r="G281" i="2"/>
  <c r="F281" i="2"/>
  <c r="BM280" i="2" a="1"/>
  <c r="BM280" i="2" s="1"/>
  <c r="BA280" i="2" a="1"/>
  <c r="BA280" i="2" s="1"/>
  <c r="AO280" i="2" a="1"/>
  <c r="AO280" i="2" s="1"/>
  <c r="Z280" i="2" a="1"/>
  <c r="Z280" i="2" s="1"/>
  <c r="Y280" i="2" a="1"/>
  <c r="Y280" i="2" s="1"/>
  <c r="V280" i="2" a="1"/>
  <c r="V280" i="2" s="1"/>
  <c r="X280" i="2" s="1"/>
  <c r="U280" i="2" a="1"/>
  <c r="U280" i="2" s="1"/>
  <c r="G280" i="2"/>
  <c r="F280" i="2"/>
  <c r="BM279" i="2" a="1"/>
  <c r="BM279" i="2" s="1"/>
  <c r="AO279" i="2" a="1"/>
  <c r="AO279" i="2" s="1"/>
  <c r="Z279" i="2" a="1"/>
  <c r="Z279" i="2" s="1"/>
  <c r="Y279" i="2" a="1"/>
  <c r="Y279" i="2" s="1"/>
  <c r="V279" i="2" a="1"/>
  <c r="V279" i="2" s="1"/>
  <c r="X279" i="2" s="1"/>
  <c r="U279" i="2" a="1"/>
  <c r="U279" i="2" s="1"/>
  <c r="BL279" i="2" s="1"/>
  <c r="G279" i="2"/>
  <c r="F279" i="2"/>
  <c r="BM278" i="2" a="1"/>
  <c r="BM278" i="2" s="1"/>
  <c r="BA278" i="2" a="1"/>
  <c r="BA278" i="2" s="1"/>
  <c r="AO278" i="2" a="1"/>
  <c r="AO278" i="2" s="1"/>
  <c r="Z278" i="2" a="1"/>
  <c r="Z278" i="2" s="1"/>
  <c r="Y278" i="2" a="1"/>
  <c r="Y278" i="2" s="1"/>
  <c r="V278" i="2" a="1"/>
  <c r="V278" i="2" s="1"/>
  <c r="X278" i="2" s="1"/>
  <c r="U278" i="2" a="1"/>
  <c r="U278" i="2" s="1"/>
  <c r="G278" i="2"/>
  <c r="F278" i="2"/>
  <c r="BM277" i="2" a="1"/>
  <c r="BM277" i="2" s="1"/>
  <c r="AO277" i="2" a="1"/>
  <c r="AO277" i="2" s="1"/>
  <c r="Z277" i="2" a="1"/>
  <c r="Z277" i="2" s="1"/>
  <c r="Y277" i="2" a="1"/>
  <c r="Y277" i="2" s="1"/>
  <c r="V277" i="2" a="1"/>
  <c r="V277" i="2" s="1"/>
  <c r="X277" i="2" s="1"/>
  <c r="U277" i="2" a="1"/>
  <c r="U277" i="2" s="1"/>
  <c r="BL277" i="2" s="1"/>
  <c r="G277" i="2"/>
  <c r="F277" i="2"/>
  <c r="BM276" i="2" a="1"/>
  <c r="BM276" i="2" s="1"/>
  <c r="BA276" i="2" a="1"/>
  <c r="BA276" i="2" s="1"/>
  <c r="AO276" i="2" a="1"/>
  <c r="AO276" i="2" s="1"/>
  <c r="Z276" i="2" a="1"/>
  <c r="Z276" i="2" s="1"/>
  <c r="Y276" i="2" a="1"/>
  <c r="Y276" i="2" s="1"/>
  <c r="V276" i="2" a="1"/>
  <c r="V276" i="2" s="1"/>
  <c r="X276" i="2" s="1"/>
  <c r="U276" i="2" a="1"/>
  <c r="U276" i="2" s="1"/>
  <c r="G276" i="2"/>
  <c r="F276" i="2"/>
  <c r="BM275" i="2" a="1"/>
  <c r="BM275" i="2" s="1"/>
  <c r="BA275" i="2" a="1"/>
  <c r="BA275" i="2" s="1"/>
  <c r="AO275" i="2" a="1"/>
  <c r="AO275" i="2" s="1"/>
  <c r="Z275" i="2" a="1"/>
  <c r="Z275" i="2" s="1"/>
  <c r="Y275" i="2" a="1"/>
  <c r="Y275" i="2" s="1"/>
  <c r="V275" i="2" a="1"/>
  <c r="V275" i="2" s="1"/>
  <c r="X275" i="2" s="1"/>
  <c r="U275" i="2" a="1"/>
  <c r="U275" i="2" s="1"/>
  <c r="G275" i="2"/>
  <c r="F275" i="2"/>
  <c r="BM274" i="2" a="1"/>
  <c r="BM274" i="2" s="1"/>
  <c r="BA274" i="2" a="1"/>
  <c r="BA274" i="2" s="1"/>
  <c r="AO274" i="2" a="1"/>
  <c r="AO274" i="2" s="1"/>
  <c r="Z274" i="2" a="1"/>
  <c r="Z274" i="2" s="1"/>
  <c r="Y274" i="2" a="1"/>
  <c r="Y274" i="2" s="1"/>
  <c r="V274" i="2" a="1"/>
  <c r="V274" i="2" s="1"/>
  <c r="X274" i="2" s="1"/>
  <c r="U274" i="2" a="1"/>
  <c r="U274" i="2" s="1"/>
  <c r="G274" i="2"/>
  <c r="F274" i="2"/>
  <c r="BM273" i="2" a="1"/>
  <c r="BM273" i="2" s="1"/>
  <c r="BA273" i="2" a="1"/>
  <c r="BA273" i="2" s="1"/>
  <c r="AO273" i="2" a="1"/>
  <c r="AO273" i="2" s="1"/>
  <c r="Z273" i="2" a="1"/>
  <c r="Z273" i="2" s="1"/>
  <c r="Y273" i="2" a="1"/>
  <c r="Y273" i="2" s="1"/>
  <c r="V273" i="2" a="1"/>
  <c r="V273" i="2" s="1"/>
  <c r="X273" i="2" s="1"/>
  <c r="U273" i="2" a="1"/>
  <c r="U273" i="2" s="1"/>
  <c r="G273" i="2"/>
  <c r="F273" i="2"/>
  <c r="BM272" i="2" a="1"/>
  <c r="BM272" i="2" s="1"/>
  <c r="BA272" i="2" a="1"/>
  <c r="BA272" i="2" s="1"/>
  <c r="AO272" i="2" a="1"/>
  <c r="AO272" i="2" s="1"/>
  <c r="Z272" i="2" a="1"/>
  <c r="Z272" i="2" s="1"/>
  <c r="Y272" i="2" a="1"/>
  <c r="Y272" i="2" s="1"/>
  <c r="V272" i="2" a="1"/>
  <c r="V272" i="2" s="1"/>
  <c r="X272" i="2" s="1"/>
  <c r="U272" i="2" a="1"/>
  <c r="U272" i="2" s="1"/>
  <c r="G272" i="2"/>
  <c r="F272" i="2"/>
  <c r="BM271" i="2" a="1"/>
  <c r="BM271" i="2" s="1"/>
  <c r="BA271" i="2" a="1"/>
  <c r="BA271" i="2" s="1"/>
  <c r="AO271" i="2" a="1"/>
  <c r="AO271" i="2" s="1"/>
  <c r="Z271" i="2" a="1"/>
  <c r="Z271" i="2" s="1"/>
  <c r="Y271" i="2" a="1"/>
  <c r="Y271" i="2" s="1"/>
  <c r="V271" i="2" a="1"/>
  <c r="V271" i="2" s="1"/>
  <c r="X271" i="2" s="1"/>
  <c r="U271" i="2" a="1"/>
  <c r="U271" i="2" s="1"/>
  <c r="BL271" i="2" s="1"/>
  <c r="G271" i="2"/>
  <c r="F271" i="2"/>
  <c r="BM270" i="2" a="1"/>
  <c r="BM270" i="2" s="1"/>
  <c r="BA270" i="2" a="1"/>
  <c r="BA270" i="2" s="1"/>
  <c r="AO270" i="2" a="1"/>
  <c r="AO270" i="2" s="1"/>
  <c r="Z270" i="2" a="1"/>
  <c r="Z270" i="2" s="1"/>
  <c r="Y270" i="2" a="1"/>
  <c r="Y270" i="2" s="1"/>
  <c r="V270" i="2" a="1"/>
  <c r="V270" i="2" s="1"/>
  <c r="X270" i="2" s="1"/>
  <c r="U270" i="2" a="1"/>
  <c r="U270" i="2" s="1"/>
  <c r="G270" i="2"/>
  <c r="F270" i="2"/>
  <c r="BM269" i="2" a="1"/>
  <c r="BM269" i="2" s="1"/>
  <c r="BA269" i="2" a="1"/>
  <c r="BA269" i="2" s="1"/>
  <c r="AO269" i="2" a="1"/>
  <c r="AO269" i="2" s="1"/>
  <c r="Z269" i="2" a="1"/>
  <c r="Z269" i="2" s="1"/>
  <c r="Y269" i="2" a="1"/>
  <c r="Y269" i="2" s="1"/>
  <c r="V269" i="2" a="1"/>
  <c r="V269" i="2" s="1"/>
  <c r="X269" i="2" s="1"/>
  <c r="U269" i="2" a="1"/>
  <c r="U269" i="2" s="1"/>
  <c r="G269" i="2"/>
  <c r="F269" i="2"/>
  <c r="BM268" i="2" a="1"/>
  <c r="BM268" i="2" s="1"/>
  <c r="BA268" i="2" a="1"/>
  <c r="BA268" i="2" s="1"/>
  <c r="AO268" i="2" a="1"/>
  <c r="AO268" i="2" s="1"/>
  <c r="Z268" i="2" a="1"/>
  <c r="Z268" i="2" s="1"/>
  <c r="Y268" i="2" a="1"/>
  <c r="Y268" i="2" s="1"/>
  <c r="V268" i="2" a="1"/>
  <c r="V268" i="2" s="1"/>
  <c r="X268" i="2" s="1"/>
  <c r="U268" i="2" a="1"/>
  <c r="U268" i="2" s="1"/>
  <c r="G268" i="2"/>
  <c r="F268" i="2"/>
  <c r="BM267" i="2" a="1"/>
  <c r="BM267" i="2" s="1"/>
  <c r="BA267" i="2" a="1"/>
  <c r="BA267" i="2" s="1"/>
  <c r="AO267" i="2" a="1"/>
  <c r="AO267" i="2" s="1"/>
  <c r="Z267" i="2" a="1"/>
  <c r="Z267" i="2" s="1"/>
  <c r="Y267" i="2" a="1"/>
  <c r="Y267" i="2" s="1"/>
  <c r="V267" i="2" a="1"/>
  <c r="V267" i="2" s="1"/>
  <c r="X267" i="2" s="1"/>
  <c r="U267" i="2" a="1"/>
  <c r="U267" i="2" s="1"/>
  <c r="G267" i="2"/>
  <c r="F267" i="2"/>
  <c r="BM266" i="2" a="1"/>
  <c r="BM266" i="2" s="1"/>
  <c r="BA266" i="2" a="1"/>
  <c r="BA266" i="2" s="1"/>
  <c r="AO266" i="2" a="1"/>
  <c r="AO266" i="2" s="1"/>
  <c r="Z266" i="2" a="1"/>
  <c r="Z266" i="2" s="1"/>
  <c r="Y266" i="2" a="1"/>
  <c r="Y266" i="2" s="1"/>
  <c r="V266" i="2" a="1"/>
  <c r="V266" i="2" s="1"/>
  <c r="X266" i="2" s="1"/>
  <c r="U266" i="2" a="1"/>
  <c r="U266" i="2" s="1"/>
  <c r="G266" i="2"/>
  <c r="F266" i="2"/>
  <c r="BM265" i="2" a="1"/>
  <c r="BM265" i="2" s="1"/>
  <c r="BA265" i="2" a="1"/>
  <c r="BA265" i="2" s="1"/>
  <c r="AO265" i="2" a="1"/>
  <c r="AO265" i="2" s="1"/>
  <c r="Z265" i="2" a="1"/>
  <c r="Z265" i="2" s="1"/>
  <c r="Y265" i="2" a="1"/>
  <c r="Y265" i="2" s="1"/>
  <c r="W265" i="2" a="1"/>
  <c r="W265" i="2" s="1"/>
  <c r="V265" i="2" a="1"/>
  <c r="V265" i="2" s="1"/>
  <c r="U265" i="2" a="1"/>
  <c r="U265" i="2" s="1"/>
  <c r="G265" i="2"/>
  <c r="F265" i="2"/>
  <c r="BM264" i="2" a="1"/>
  <c r="BM264" i="2" s="1"/>
  <c r="AO264" i="2" a="1"/>
  <c r="AO264" i="2" s="1"/>
  <c r="Z264" i="2" a="1"/>
  <c r="Z264" i="2" s="1"/>
  <c r="Y264" i="2" a="1"/>
  <c r="Y264" i="2" s="1"/>
  <c r="V264" i="2" a="1"/>
  <c r="V264" i="2" s="1"/>
  <c r="X264" i="2" s="1"/>
  <c r="U264" i="2" a="1"/>
  <c r="U264" i="2" s="1"/>
  <c r="G264" i="2"/>
  <c r="F264" i="2"/>
  <c r="BM263" i="2" a="1"/>
  <c r="BM263" i="2" s="1"/>
  <c r="AO263" i="2" a="1"/>
  <c r="AO263" i="2" s="1"/>
  <c r="Z263" i="2" a="1"/>
  <c r="Z263" i="2" s="1"/>
  <c r="Y263" i="2" a="1"/>
  <c r="Y263" i="2" s="1"/>
  <c r="V263" i="2" a="1"/>
  <c r="V263" i="2" s="1"/>
  <c r="X263" i="2" s="1"/>
  <c r="U263" i="2" a="1"/>
  <c r="U263" i="2" s="1"/>
  <c r="G263" i="2"/>
  <c r="F263" i="2"/>
  <c r="BM262" i="2" a="1"/>
  <c r="BM262" i="2" s="1"/>
  <c r="BA262" i="2" a="1"/>
  <c r="BA262" i="2" s="1"/>
  <c r="AO262" i="2" a="1"/>
  <c r="AO262" i="2" s="1"/>
  <c r="Z262" i="2" a="1"/>
  <c r="Z262" i="2" s="1"/>
  <c r="Y262" i="2" a="1"/>
  <c r="Y262" i="2" s="1"/>
  <c r="V262" i="2" a="1"/>
  <c r="V262" i="2" s="1"/>
  <c r="X262" i="2" s="1"/>
  <c r="U262" i="2" a="1"/>
  <c r="U262" i="2" s="1"/>
  <c r="G262" i="2"/>
  <c r="F262" i="2"/>
  <c r="BM261" i="2" a="1"/>
  <c r="BM261" i="2" s="1"/>
  <c r="BA261" i="2" a="1"/>
  <c r="BA261" i="2" s="1"/>
  <c r="AO261" i="2" a="1"/>
  <c r="AO261" i="2" s="1"/>
  <c r="Z261" i="2" a="1"/>
  <c r="Z261" i="2" s="1"/>
  <c r="Y261" i="2" a="1"/>
  <c r="Y261" i="2" s="1"/>
  <c r="V261" i="2" a="1"/>
  <c r="V261" i="2" s="1"/>
  <c r="X261" i="2" s="1"/>
  <c r="U261" i="2" a="1"/>
  <c r="U261" i="2" s="1"/>
  <c r="BL261" i="2" s="1"/>
  <c r="G261" i="2"/>
  <c r="F261" i="2"/>
  <c r="BM260" i="2" a="1"/>
  <c r="BM260" i="2" s="1"/>
  <c r="BA260" i="2" a="1"/>
  <c r="BA260" i="2" s="1"/>
  <c r="AO260" i="2" a="1"/>
  <c r="AO260" i="2" s="1"/>
  <c r="Z260" i="2" a="1"/>
  <c r="Z260" i="2" s="1"/>
  <c r="Y260" i="2" a="1"/>
  <c r="Y260" i="2" s="1"/>
  <c r="V260" i="2" a="1"/>
  <c r="V260" i="2" s="1"/>
  <c r="X260" i="2" s="1"/>
  <c r="U260" i="2" a="1"/>
  <c r="U260" i="2" s="1"/>
  <c r="G260" i="2"/>
  <c r="F260" i="2"/>
  <c r="BM259" i="2" a="1"/>
  <c r="BM259" i="2" s="1"/>
  <c r="BA259" i="2" a="1"/>
  <c r="BA259" i="2" s="1"/>
  <c r="AO259" i="2" a="1"/>
  <c r="AO259" i="2" s="1"/>
  <c r="Z259" i="2" a="1"/>
  <c r="Z259" i="2" s="1"/>
  <c r="Y259" i="2" a="1"/>
  <c r="Y259" i="2" s="1"/>
  <c r="V259" i="2" a="1"/>
  <c r="V259" i="2" s="1"/>
  <c r="X259" i="2" s="1"/>
  <c r="U259" i="2" a="1"/>
  <c r="U259" i="2" s="1"/>
  <c r="G259" i="2"/>
  <c r="F259" i="2"/>
  <c r="BM258" i="2" a="1"/>
  <c r="BM258" i="2" s="1"/>
  <c r="BA258" i="2" a="1"/>
  <c r="BA258" i="2" s="1"/>
  <c r="AO258" i="2" a="1"/>
  <c r="AO258" i="2" s="1"/>
  <c r="Z258" i="2" a="1"/>
  <c r="Z258" i="2" s="1"/>
  <c r="Y258" i="2" a="1"/>
  <c r="Y258" i="2" s="1"/>
  <c r="V258" i="2" a="1"/>
  <c r="V258" i="2" s="1"/>
  <c r="X258" i="2" s="1"/>
  <c r="U258" i="2" a="1"/>
  <c r="U258" i="2" s="1"/>
  <c r="BL258" i="2" s="1"/>
  <c r="G258" i="2"/>
  <c r="F258" i="2"/>
  <c r="BM257" i="2" a="1"/>
  <c r="BM257" i="2" s="1"/>
  <c r="BA257" i="2" a="1"/>
  <c r="BA257" i="2" s="1"/>
  <c r="AO257" i="2" a="1"/>
  <c r="AO257" i="2" s="1"/>
  <c r="Z257" i="2" a="1"/>
  <c r="Z257" i="2" s="1"/>
  <c r="Y257" i="2" a="1"/>
  <c r="Y257" i="2" s="1"/>
  <c r="V257" i="2" a="1"/>
  <c r="V257" i="2" s="1"/>
  <c r="X257" i="2" s="1"/>
  <c r="U257" i="2" a="1"/>
  <c r="U257" i="2" s="1"/>
  <c r="G257" i="2"/>
  <c r="F257" i="2"/>
  <c r="BM256" i="2" a="1"/>
  <c r="BM256" i="2" s="1"/>
  <c r="BA256" i="2" a="1"/>
  <c r="BA256" i="2" s="1"/>
  <c r="AO256" i="2" a="1"/>
  <c r="AO256" i="2" s="1"/>
  <c r="Z256" i="2" a="1"/>
  <c r="Z256" i="2" s="1"/>
  <c r="Y256" i="2" a="1"/>
  <c r="Y256" i="2" s="1"/>
  <c r="V256" i="2" a="1"/>
  <c r="V256" i="2" s="1"/>
  <c r="X256" i="2" s="1"/>
  <c r="U256" i="2" a="1"/>
  <c r="U256" i="2" s="1"/>
  <c r="G256" i="2"/>
  <c r="F256" i="2"/>
  <c r="BM255" i="2" a="1"/>
  <c r="BM255" i="2" s="1"/>
  <c r="BA255" i="2" a="1"/>
  <c r="BA255" i="2" s="1"/>
  <c r="AO255" i="2" a="1"/>
  <c r="AO255" i="2" s="1"/>
  <c r="Z255" i="2" a="1"/>
  <c r="Z255" i="2" s="1"/>
  <c r="Y255" i="2" a="1"/>
  <c r="Y255" i="2" s="1"/>
  <c r="V255" i="2" a="1"/>
  <c r="V255" i="2" s="1"/>
  <c r="X255" i="2" s="1"/>
  <c r="U255" i="2" a="1"/>
  <c r="U255" i="2" s="1"/>
  <c r="BL255" i="2" s="1"/>
  <c r="G255" i="2"/>
  <c r="F255" i="2"/>
  <c r="BM254" i="2" a="1"/>
  <c r="BM254" i="2" s="1"/>
  <c r="BA254" i="2" a="1"/>
  <c r="BA254" i="2" s="1"/>
  <c r="AO254" i="2" a="1"/>
  <c r="AO254" i="2" s="1"/>
  <c r="Z254" i="2" a="1"/>
  <c r="Z254" i="2" s="1"/>
  <c r="Y254" i="2" a="1"/>
  <c r="Y254" i="2" s="1"/>
  <c r="W254" i="2" a="1"/>
  <c r="W254" i="2" s="1"/>
  <c r="V254" i="2" a="1"/>
  <c r="V254" i="2" s="1"/>
  <c r="U254" i="2" a="1"/>
  <c r="U254" i="2" s="1"/>
  <c r="G254" i="2"/>
  <c r="F254" i="2"/>
  <c r="BM253" i="2" a="1"/>
  <c r="BM253" i="2" s="1"/>
  <c r="BA253" i="2" a="1"/>
  <c r="BA253" i="2" s="1"/>
  <c r="AO253" i="2" a="1"/>
  <c r="AO253" i="2" s="1"/>
  <c r="Z253" i="2" a="1"/>
  <c r="Z253" i="2" s="1"/>
  <c r="Y253" i="2" a="1"/>
  <c r="Y253" i="2" s="1"/>
  <c r="V253" i="2" a="1"/>
  <c r="V253" i="2" s="1"/>
  <c r="X253" i="2" s="1"/>
  <c r="U253" i="2" a="1"/>
  <c r="U253" i="2" s="1"/>
  <c r="BL253" i="2" s="1"/>
  <c r="G253" i="2"/>
  <c r="F253" i="2"/>
  <c r="BM252" i="2" a="1"/>
  <c r="BM252" i="2" s="1"/>
  <c r="BA252" i="2" a="1"/>
  <c r="BA252" i="2" s="1"/>
  <c r="AO252" i="2" a="1"/>
  <c r="AO252" i="2" s="1"/>
  <c r="Z252" i="2" a="1"/>
  <c r="Z252" i="2" s="1"/>
  <c r="Y252" i="2" a="1"/>
  <c r="Y252" i="2" s="1"/>
  <c r="V252" i="2" a="1"/>
  <c r="V252" i="2" s="1"/>
  <c r="X252" i="2" s="1"/>
  <c r="U252" i="2" a="1"/>
  <c r="U252" i="2" s="1"/>
  <c r="G252" i="2"/>
  <c r="F252" i="2"/>
  <c r="BM251" i="2" a="1"/>
  <c r="BM251" i="2" s="1"/>
  <c r="BA251" i="2" a="1"/>
  <c r="BA251" i="2" s="1"/>
  <c r="AO251" i="2" a="1"/>
  <c r="AO251" i="2" s="1"/>
  <c r="Z251" i="2" a="1"/>
  <c r="Z251" i="2" s="1"/>
  <c r="Y251" i="2" a="1"/>
  <c r="Y251" i="2" s="1"/>
  <c r="V251" i="2" a="1"/>
  <c r="V251" i="2" s="1"/>
  <c r="X251" i="2" s="1"/>
  <c r="U251" i="2" a="1"/>
  <c r="U251" i="2" s="1"/>
  <c r="BL251" i="2" s="1"/>
  <c r="G251" i="2"/>
  <c r="F251" i="2"/>
  <c r="BM250" i="2" a="1"/>
  <c r="BM250" i="2" s="1"/>
  <c r="BA250" i="2" a="1"/>
  <c r="BA250" i="2" s="1"/>
  <c r="AO250" i="2" a="1"/>
  <c r="AO250" i="2" s="1"/>
  <c r="Z250" i="2" a="1"/>
  <c r="Z250" i="2" s="1"/>
  <c r="Y250" i="2" a="1"/>
  <c r="Y250" i="2" s="1"/>
  <c r="V250" i="2" a="1"/>
  <c r="V250" i="2" s="1"/>
  <c r="X250" i="2" s="1"/>
  <c r="U250" i="2" a="1"/>
  <c r="U250" i="2" s="1"/>
  <c r="BL250" i="2" s="1"/>
  <c r="G250" i="2"/>
  <c r="F250" i="2"/>
  <c r="BM249" i="2" a="1"/>
  <c r="BM249" i="2" s="1"/>
  <c r="BA249" i="2" a="1"/>
  <c r="BA249" i="2" s="1"/>
  <c r="AO249" i="2" a="1"/>
  <c r="AO249" i="2" s="1"/>
  <c r="Z249" i="2" a="1"/>
  <c r="Z249" i="2" s="1"/>
  <c r="Y249" i="2" a="1"/>
  <c r="Y249" i="2" s="1"/>
  <c r="V249" i="2" a="1"/>
  <c r="V249" i="2" s="1"/>
  <c r="X249" i="2" s="1"/>
  <c r="U249" i="2" a="1"/>
  <c r="U249" i="2" s="1"/>
  <c r="G249" i="2"/>
  <c r="F249" i="2"/>
  <c r="BM248" i="2" a="1"/>
  <c r="BM248" i="2" s="1"/>
  <c r="BA248" i="2" a="1"/>
  <c r="BA248" i="2" s="1"/>
  <c r="AO248" i="2" a="1"/>
  <c r="AO248" i="2" s="1"/>
  <c r="Z248" i="2" a="1"/>
  <c r="Z248" i="2" s="1"/>
  <c r="Y248" i="2" a="1"/>
  <c r="Y248" i="2" s="1"/>
  <c r="V248" i="2" a="1"/>
  <c r="V248" i="2" s="1"/>
  <c r="X248" i="2" s="1"/>
  <c r="U248" i="2" a="1"/>
  <c r="U248" i="2" s="1"/>
  <c r="G248" i="2"/>
  <c r="F248" i="2"/>
  <c r="BM247" i="2" a="1"/>
  <c r="BM247" i="2" s="1"/>
  <c r="BA247" i="2" a="1"/>
  <c r="BA247" i="2" s="1"/>
  <c r="AO247" i="2" a="1"/>
  <c r="AO247" i="2" s="1"/>
  <c r="Z247" i="2" a="1"/>
  <c r="Z247" i="2" s="1"/>
  <c r="Y247" i="2" a="1"/>
  <c r="Y247" i="2" s="1"/>
  <c r="V247" i="2" a="1"/>
  <c r="V247" i="2" s="1"/>
  <c r="X247" i="2" s="1"/>
  <c r="U247" i="2" a="1"/>
  <c r="U247" i="2" s="1"/>
  <c r="BL247" i="2" s="1"/>
  <c r="G247" i="2"/>
  <c r="F247" i="2"/>
  <c r="BM246" i="2" a="1"/>
  <c r="BM246" i="2" s="1"/>
  <c r="BA246" i="2" a="1"/>
  <c r="BA246" i="2" s="1"/>
  <c r="AO246" i="2" a="1"/>
  <c r="AO246" i="2" s="1"/>
  <c r="Z246" i="2" a="1"/>
  <c r="Z246" i="2" s="1"/>
  <c r="Y246" i="2" a="1"/>
  <c r="Y246" i="2" s="1"/>
  <c r="V246" i="2" a="1"/>
  <c r="V246" i="2" s="1"/>
  <c r="X246" i="2" s="1"/>
  <c r="U246" i="2" a="1"/>
  <c r="U246" i="2" s="1"/>
  <c r="G246" i="2"/>
  <c r="F246" i="2"/>
  <c r="BM244" i="2" a="1"/>
  <c r="BM244" i="2" s="1"/>
  <c r="BA244" i="2" a="1"/>
  <c r="BA244" i="2" s="1"/>
  <c r="AO244" i="2" a="1"/>
  <c r="AO244" i="2" s="1"/>
  <c r="Z244" i="2" a="1"/>
  <c r="Z244" i="2" s="1"/>
  <c r="Y244" i="2" a="1"/>
  <c r="Y244" i="2" s="1"/>
  <c r="V244" i="2" a="1"/>
  <c r="V244" i="2" s="1"/>
  <c r="X244" i="2" s="1"/>
  <c r="U244" i="2" a="1"/>
  <c r="U244" i="2" s="1"/>
  <c r="G244" i="2"/>
  <c r="F244" i="2"/>
  <c r="BM243" i="2" a="1"/>
  <c r="BM243" i="2" s="1"/>
  <c r="BA243" i="2" a="1"/>
  <c r="BA243" i="2" s="1"/>
  <c r="AO243" i="2" a="1"/>
  <c r="AO243" i="2" s="1"/>
  <c r="Z243" i="2" a="1"/>
  <c r="Z243" i="2" s="1"/>
  <c r="Y243" i="2" a="1"/>
  <c r="Y243" i="2" s="1"/>
  <c r="V243" i="2" a="1"/>
  <c r="V243" i="2" s="1"/>
  <c r="X243" i="2" s="1"/>
  <c r="U243" i="2" a="1"/>
  <c r="U243" i="2" s="1"/>
  <c r="G243" i="2"/>
  <c r="F243" i="2"/>
  <c r="BM242" i="2" a="1"/>
  <c r="BM242" i="2" s="1"/>
  <c r="BA242" i="2" a="1"/>
  <c r="BA242" i="2" s="1"/>
  <c r="AO242" i="2" a="1"/>
  <c r="AO242" i="2" s="1"/>
  <c r="Z242" i="2" a="1"/>
  <c r="Z242" i="2" s="1"/>
  <c r="Y242" i="2" a="1"/>
  <c r="Y242" i="2" s="1"/>
  <c r="V242" i="2" a="1"/>
  <c r="V242" i="2" s="1"/>
  <c r="X242" i="2" s="1"/>
  <c r="U242" i="2" a="1"/>
  <c r="U242" i="2" s="1"/>
  <c r="BL242" i="2" s="1"/>
  <c r="G242" i="2"/>
  <c r="F242" i="2"/>
  <c r="BM241" i="2" a="1"/>
  <c r="BM241" i="2" s="1"/>
  <c r="BA241" i="2" a="1"/>
  <c r="BA241" i="2" s="1"/>
  <c r="AO241" i="2" a="1"/>
  <c r="AO241" i="2" s="1"/>
  <c r="Z241" i="2" a="1"/>
  <c r="Z241" i="2" s="1"/>
  <c r="Y241" i="2" a="1"/>
  <c r="Y241" i="2" s="1"/>
  <c r="V241" i="2" a="1"/>
  <c r="V241" i="2" s="1"/>
  <c r="X241" i="2" s="1"/>
  <c r="U241" i="2" a="1"/>
  <c r="U241" i="2" s="1"/>
  <c r="G241" i="2"/>
  <c r="F241" i="2"/>
  <c r="BM240" i="2" a="1"/>
  <c r="BM240" i="2" s="1"/>
  <c r="BA240" i="2" a="1"/>
  <c r="BA240" i="2" s="1"/>
  <c r="AO240" i="2" a="1"/>
  <c r="AO240" i="2" s="1"/>
  <c r="Z240" i="2" a="1"/>
  <c r="Z240" i="2" s="1"/>
  <c r="Y240" i="2" a="1"/>
  <c r="Y240" i="2" s="1"/>
  <c r="V240" i="2" a="1"/>
  <c r="V240" i="2" s="1"/>
  <c r="X240" i="2" s="1"/>
  <c r="U240" i="2" a="1"/>
  <c r="U240" i="2" s="1"/>
  <c r="G240" i="2"/>
  <c r="F240" i="2"/>
  <c r="BM239" i="2" a="1"/>
  <c r="BM239" i="2" s="1"/>
  <c r="BA239" i="2" a="1"/>
  <c r="BA239" i="2" s="1"/>
  <c r="AO239" i="2" a="1"/>
  <c r="AO239" i="2" s="1"/>
  <c r="Z239" i="2" a="1"/>
  <c r="Z239" i="2" s="1"/>
  <c r="Y239" i="2" a="1"/>
  <c r="Y239" i="2" s="1"/>
  <c r="V239" i="2" a="1"/>
  <c r="V239" i="2" s="1"/>
  <c r="X239" i="2" s="1"/>
  <c r="U239" i="2" a="1"/>
  <c r="U239" i="2" s="1"/>
  <c r="G239" i="2"/>
  <c r="F239" i="2"/>
  <c r="BM238" i="2" a="1"/>
  <c r="BM238" i="2" s="1"/>
  <c r="BA238" i="2" a="1"/>
  <c r="BA238" i="2" s="1"/>
  <c r="AO238" i="2" a="1"/>
  <c r="AO238" i="2" s="1"/>
  <c r="Z238" i="2" a="1"/>
  <c r="Z238" i="2" s="1"/>
  <c r="Y238" i="2" a="1"/>
  <c r="Y238" i="2" s="1"/>
  <c r="V238" i="2" a="1"/>
  <c r="V238" i="2" s="1"/>
  <c r="X238" i="2" s="1"/>
  <c r="U238" i="2" a="1"/>
  <c r="U238" i="2" s="1"/>
  <c r="G238" i="2"/>
  <c r="F238" i="2"/>
  <c r="BM237" i="2" a="1"/>
  <c r="BM237" i="2" s="1"/>
  <c r="BA237" i="2" a="1"/>
  <c r="BA237" i="2" s="1"/>
  <c r="AO237" i="2" a="1"/>
  <c r="AO237" i="2" s="1"/>
  <c r="Z237" i="2" a="1"/>
  <c r="Z237" i="2" s="1"/>
  <c r="Y237" i="2" a="1"/>
  <c r="Y237" i="2" s="1"/>
  <c r="V237" i="2" a="1"/>
  <c r="V237" i="2" s="1"/>
  <c r="X237" i="2" s="1"/>
  <c r="U237" i="2" a="1"/>
  <c r="U237" i="2" s="1"/>
  <c r="G237" i="2"/>
  <c r="F237" i="2"/>
  <c r="BM236" i="2" a="1"/>
  <c r="BM236" i="2" s="1"/>
  <c r="BA236" i="2" a="1"/>
  <c r="BA236" i="2" s="1"/>
  <c r="AO236" i="2" a="1"/>
  <c r="AO236" i="2" s="1"/>
  <c r="Z236" i="2" a="1"/>
  <c r="Z236" i="2" s="1"/>
  <c r="Y236" i="2" a="1"/>
  <c r="Y236" i="2" s="1"/>
  <c r="V236" i="2" a="1"/>
  <c r="V236" i="2" s="1"/>
  <c r="X236" i="2" s="1"/>
  <c r="U236" i="2" a="1"/>
  <c r="U236" i="2" s="1"/>
  <c r="G236" i="2"/>
  <c r="F236" i="2"/>
  <c r="BM235" i="2" a="1"/>
  <c r="BM235" i="2" s="1"/>
  <c r="BA235" i="2" a="1"/>
  <c r="BA235" i="2" s="1"/>
  <c r="AO235" i="2" a="1"/>
  <c r="AO235" i="2" s="1"/>
  <c r="Z235" i="2" a="1"/>
  <c r="Z235" i="2" s="1"/>
  <c r="Y235" i="2" a="1"/>
  <c r="Y235" i="2" s="1"/>
  <c r="V235" i="2" a="1"/>
  <c r="V235" i="2" s="1"/>
  <c r="X235" i="2" s="1"/>
  <c r="U235" i="2" a="1"/>
  <c r="U235" i="2" s="1"/>
  <c r="G235" i="2"/>
  <c r="F235" i="2"/>
  <c r="BM234" i="2" a="1"/>
  <c r="BM234" i="2" s="1"/>
  <c r="BA234" i="2" a="1"/>
  <c r="BA234" i="2" s="1"/>
  <c r="AO234" i="2" a="1"/>
  <c r="AO234" i="2" s="1"/>
  <c r="Z234" i="2" a="1"/>
  <c r="Z234" i="2" s="1"/>
  <c r="Y234" i="2" a="1"/>
  <c r="Y234" i="2" s="1"/>
  <c r="V234" i="2" a="1"/>
  <c r="V234" i="2" s="1"/>
  <c r="X234" i="2" s="1"/>
  <c r="U234" i="2" a="1"/>
  <c r="U234" i="2" s="1"/>
  <c r="BL234" i="2" s="1"/>
  <c r="G234" i="2"/>
  <c r="F234" i="2"/>
  <c r="BM233" i="2" a="1"/>
  <c r="BM233" i="2" s="1"/>
  <c r="BA233" i="2" a="1"/>
  <c r="BA233" i="2" s="1"/>
  <c r="AO233" i="2" a="1"/>
  <c r="AO233" i="2" s="1"/>
  <c r="Z233" i="2" a="1"/>
  <c r="Z233" i="2" s="1"/>
  <c r="Y233" i="2" a="1"/>
  <c r="Y233" i="2" s="1"/>
  <c r="V233" i="2" a="1"/>
  <c r="V233" i="2" s="1"/>
  <c r="X233" i="2" s="1"/>
  <c r="U233" i="2" a="1"/>
  <c r="U233" i="2" s="1"/>
  <c r="G233" i="2"/>
  <c r="F233" i="2"/>
  <c r="BM232" i="2" a="1"/>
  <c r="BM232" i="2" s="1"/>
  <c r="BA232" i="2" a="1"/>
  <c r="BA232" i="2" s="1"/>
  <c r="AO232" i="2" a="1"/>
  <c r="AO232" i="2" s="1"/>
  <c r="Z232" i="2" a="1"/>
  <c r="Z232" i="2" s="1"/>
  <c r="Y232" i="2" a="1"/>
  <c r="Y232" i="2" s="1"/>
  <c r="V232" i="2" a="1"/>
  <c r="V232" i="2" s="1"/>
  <c r="X232" i="2" s="1"/>
  <c r="U232" i="2" a="1"/>
  <c r="U232" i="2" s="1"/>
  <c r="G232" i="2"/>
  <c r="F232" i="2"/>
  <c r="BM231" i="2" a="1"/>
  <c r="BM231" i="2" s="1"/>
  <c r="BA231" i="2" a="1"/>
  <c r="BA231" i="2" s="1"/>
  <c r="AO231" i="2" a="1"/>
  <c r="AO231" i="2" s="1"/>
  <c r="Z231" i="2" a="1"/>
  <c r="Z231" i="2" s="1"/>
  <c r="Y231" i="2" a="1"/>
  <c r="Y231" i="2" s="1"/>
  <c r="V231" i="2" a="1"/>
  <c r="V231" i="2" s="1"/>
  <c r="X231" i="2" s="1"/>
  <c r="U231" i="2" a="1"/>
  <c r="U231" i="2" s="1"/>
  <c r="G231" i="2"/>
  <c r="F231" i="2"/>
  <c r="BM230" i="2" a="1"/>
  <c r="BM230" i="2" s="1"/>
  <c r="BA230" i="2" a="1"/>
  <c r="BA230" i="2" s="1"/>
  <c r="AO230" i="2" a="1"/>
  <c r="AO230" i="2" s="1"/>
  <c r="Z230" i="2" a="1"/>
  <c r="Z230" i="2" s="1"/>
  <c r="Y230" i="2" a="1"/>
  <c r="Y230" i="2" s="1"/>
  <c r="V230" i="2" a="1"/>
  <c r="V230" i="2" s="1"/>
  <c r="X230" i="2" s="1"/>
  <c r="U230" i="2" a="1"/>
  <c r="U230" i="2" s="1"/>
  <c r="G230" i="2"/>
  <c r="F230" i="2"/>
  <c r="BM229" i="2" a="1"/>
  <c r="BM229" i="2" s="1"/>
  <c r="BA229" i="2" a="1"/>
  <c r="BA229" i="2" s="1"/>
  <c r="AO229" i="2" a="1"/>
  <c r="AO229" i="2" s="1"/>
  <c r="Z229" i="2" a="1"/>
  <c r="Z229" i="2" s="1"/>
  <c r="Y229" i="2" a="1"/>
  <c r="Y229" i="2" s="1"/>
  <c r="V229" i="2" a="1"/>
  <c r="V229" i="2" s="1"/>
  <c r="X229" i="2" s="1"/>
  <c r="U229" i="2" a="1"/>
  <c r="U229" i="2" s="1"/>
  <c r="G229" i="2"/>
  <c r="F229" i="2"/>
  <c r="BM228" i="2" a="1"/>
  <c r="BM228" i="2" s="1"/>
  <c r="BA228" i="2" a="1"/>
  <c r="BA228" i="2" s="1"/>
  <c r="AO228" i="2" a="1"/>
  <c r="AO228" i="2" s="1"/>
  <c r="Z228" i="2" a="1"/>
  <c r="Z228" i="2" s="1"/>
  <c r="Y228" i="2" a="1"/>
  <c r="Y228" i="2" s="1"/>
  <c r="V228" i="2" a="1"/>
  <c r="V228" i="2" s="1"/>
  <c r="X228" i="2" s="1"/>
  <c r="U228" i="2" a="1"/>
  <c r="U228" i="2" s="1"/>
  <c r="G228" i="2"/>
  <c r="F228" i="2"/>
  <c r="BM227" i="2" a="1"/>
  <c r="BM227" i="2" s="1"/>
  <c r="AO227" i="2" a="1"/>
  <c r="AO227" i="2" s="1"/>
  <c r="Z227" i="2" a="1"/>
  <c r="Z227" i="2" s="1"/>
  <c r="Y227" i="2" a="1"/>
  <c r="Y227" i="2" s="1"/>
  <c r="V227" i="2" a="1"/>
  <c r="V227" i="2" s="1"/>
  <c r="X227" i="2" s="1"/>
  <c r="U227" i="2" a="1"/>
  <c r="U227" i="2" s="1"/>
  <c r="BL227" i="2" s="1"/>
  <c r="G227" i="2"/>
  <c r="F227" i="2"/>
  <c r="BM226" i="2" a="1"/>
  <c r="BM226" i="2" s="1"/>
  <c r="BA226" i="2" a="1"/>
  <c r="BA226" i="2" s="1"/>
  <c r="AO226" i="2" a="1"/>
  <c r="AO226" i="2" s="1"/>
  <c r="Z226" i="2" a="1"/>
  <c r="Z226" i="2" s="1"/>
  <c r="Y226" i="2" a="1"/>
  <c r="Y226" i="2" s="1"/>
  <c r="V226" i="2" a="1"/>
  <c r="V226" i="2" s="1"/>
  <c r="X226" i="2" s="1"/>
  <c r="U226" i="2" a="1"/>
  <c r="U226" i="2" s="1"/>
  <c r="G226" i="2"/>
  <c r="F226" i="2"/>
  <c r="BM225" i="2" a="1"/>
  <c r="BM225" i="2" s="1"/>
  <c r="BA225" i="2" a="1"/>
  <c r="BA225" i="2" s="1"/>
  <c r="AO225" i="2" a="1"/>
  <c r="AO225" i="2" s="1"/>
  <c r="Z225" i="2" a="1"/>
  <c r="Z225" i="2" s="1"/>
  <c r="Y225" i="2" a="1"/>
  <c r="Y225" i="2" s="1"/>
  <c r="V225" i="2" a="1"/>
  <c r="V225" i="2" s="1"/>
  <c r="X225" i="2" s="1"/>
  <c r="U225" i="2" a="1"/>
  <c r="U225" i="2" s="1"/>
  <c r="G225" i="2"/>
  <c r="F225" i="2"/>
  <c r="BM224" i="2" a="1"/>
  <c r="BM224" i="2" s="1"/>
  <c r="BA224" i="2" a="1"/>
  <c r="BA224" i="2" s="1"/>
  <c r="AO224" i="2" a="1"/>
  <c r="AO224" i="2" s="1"/>
  <c r="Z224" i="2" a="1"/>
  <c r="Z224" i="2" s="1"/>
  <c r="Y224" i="2" a="1"/>
  <c r="Y224" i="2" s="1"/>
  <c r="V224" i="2" a="1"/>
  <c r="V224" i="2" s="1"/>
  <c r="X224" i="2" s="1"/>
  <c r="U224" i="2" a="1"/>
  <c r="U224" i="2" s="1"/>
  <c r="G224" i="2"/>
  <c r="F224" i="2"/>
  <c r="BM223" i="2" a="1"/>
  <c r="BM223" i="2" s="1"/>
  <c r="BA223" i="2" a="1"/>
  <c r="BA223" i="2" s="1"/>
  <c r="AO223" i="2" a="1"/>
  <c r="AO223" i="2" s="1"/>
  <c r="Z223" i="2" a="1"/>
  <c r="Z223" i="2" s="1"/>
  <c r="Y223" i="2" a="1"/>
  <c r="Y223" i="2" s="1"/>
  <c r="V223" i="2" a="1"/>
  <c r="V223" i="2" s="1"/>
  <c r="X223" i="2" s="1"/>
  <c r="U223" i="2" a="1"/>
  <c r="U223" i="2" s="1"/>
  <c r="G223" i="2"/>
  <c r="F223" i="2"/>
  <c r="BM222" i="2" a="1"/>
  <c r="BM222" i="2" s="1"/>
  <c r="BA222" i="2" a="1"/>
  <c r="BA222" i="2" s="1"/>
  <c r="AO222" i="2" a="1"/>
  <c r="AO222" i="2" s="1"/>
  <c r="Z222" i="2" a="1"/>
  <c r="Z222" i="2" s="1"/>
  <c r="Y222" i="2" a="1"/>
  <c r="Y222" i="2" s="1"/>
  <c r="V222" i="2" a="1"/>
  <c r="V222" i="2" s="1"/>
  <c r="X222" i="2" s="1"/>
  <c r="U222" i="2" a="1"/>
  <c r="U222" i="2" s="1"/>
  <c r="G222" i="2"/>
  <c r="F222" i="2"/>
  <c r="BM221" i="2" a="1"/>
  <c r="BM221" i="2" s="1"/>
  <c r="BA221" i="2" a="1"/>
  <c r="BA221" i="2" s="1"/>
  <c r="AO221" i="2" a="1"/>
  <c r="AO221" i="2" s="1"/>
  <c r="Z221" i="2" a="1"/>
  <c r="Z221" i="2" s="1"/>
  <c r="Y221" i="2" a="1"/>
  <c r="Y221" i="2" s="1"/>
  <c r="V221" i="2" a="1"/>
  <c r="V221" i="2" s="1"/>
  <c r="X221" i="2" s="1"/>
  <c r="U221" i="2" a="1"/>
  <c r="U221" i="2" s="1"/>
  <c r="G221" i="2"/>
  <c r="F221" i="2"/>
  <c r="BM220" i="2" a="1"/>
  <c r="BM220" i="2" s="1"/>
  <c r="AO220" i="2" a="1"/>
  <c r="AO220" i="2" s="1"/>
  <c r="Z220" i="2" a="1"/>
  <c r="Z220" i="2" s="1"/>
  <c r="Y220" i="2" a="1"/>
  <c r="Y220" i="2" s="1"/>
  <c r="V220" i="2" a="1"/>
  <c r="V220" i="2" s="1"/>
  <c r="X220" i="2" s="1"/>
  <c r="U220" i="2" a="1"/>
  <c r="U220" i="2" s="1"/>
  <c r="G220" i="2"/>
  <c r="F220" i="2"/>
  <c r="BM219" i="2" a="1"/>
  <c r="BM219" i="2" s="1"/>
  <c r="BA219" i="2" a="1"/>
  <c r="BA219" i="2" s="1"/>
  <c r="AO219" i="2" a="1"/>
  <c r="AO219" i="2" s="1"/>
  <c r="Z219" i="2" a="1"/>
  <c r="Z219" i="2" s="1"/>
  <c r="Y219" i="2" a="1"/>
  <c r="Y219" i="2" s="1"/>
  <c r="V219" i="2" a="1"/>
  <c r="V219" i="2" s="1"/>
  <c r="X219" i="2" s="1"/>
  <c r="U219" i="2" a="1"/>
  <c r="U219" i="2" s="1"/>
  <c r="BL219" i="2" s="1"/>
  <c r="G219" i="2"/>
  <c r="F219" i="2"/>
  <c r="BM218" i="2" a="1"/>
  <c r="BM218" i="2" s="1"/>
  <c r="BA218" i="2" a="1"/>
  <c r="BA218" i="2" s="1"/>
  <c r="AO218" i="2" a="1"/>
  <c r="AO218" i="2" s="1"/>
  <c r="Z218" i="2" a="1"/>
  <c r="Z218" i="2" s="1"/>
  <c r="Y218" i="2" a="1"/>
  <c r="Y218" i="2" s="1"/>
  <c r="V218" i="2" a="1"/>
  <c r="V218" i="2" s="1"/>
  <c r="X218" i="2" s="1"/>
  <c r="U218" i="2" a="1"/>
  <c r="U218" i="2" s="1"/>
  <c r="G218" i="2"/>
  <c r="F218" i="2"/>
  <c r="BM217" i="2" a="1"/>
  <c r="BM217" i="2" s="1"/>
  <c r="BA217" i="2" a="1"/>
  <c r="BA217" i="2" s="1"/>
  <c r="AO217" i="2" a="1"/>
  <c r="AO217" i="2" s="1"/>
  <c r="Z217" i="2" a="1"/>
  <c r="Z217" i="2" s="1"/>
  <c r="Y217" i="2" a="1"/>
  <c r="Y217" i="2" s="1"/>
  <c r="W217" i="2" a="1"/>
  <c r="W217" i="2" s="1"/>
  <c r="V217" i="2" a="1"/>
  <c r="V217" i="2" s="1"/>
  <c r="U217" i="2" a="1"/>
  <c r="U217" i="2" s="1"/>
  <c r="G217" i="2"/>
  <c r="F217" i="2"/>
  <c r="BM216" i="2" a="1"/>
  <c r="BM216" i="2" s="1"/>
  <c r="BA216" i="2" a="1"/>
  <c r="BA216" i="2" s="1"/>
  <c r="AO216" i="2" a="1"/>
  <c r="AO216" i="2" s="1"/>
  <c r="Z216" i="2" a="1"/>
  <c r="Z216" i="2" s="1"/>
  <c r="Y216" i="2" a="1"/>
  <c r="Y216" i="2" s="1"/>
  <c r="V216" i="2" a="1"/>
  <c r="V216" i="2" s="1"/>
  <c r="X216" i="2" s="1"/>
  <c r="U216" i="2" a="1"/>
  <c r="U216" i="2" s="1"/>
  <c r="G216" i="2"/>
  <c r="F216" i="2"/>
  <c r="BM215" i="2" a="1"/>
  <c r="BM215" i="2" s="1"/>
  <c r="BA215" i="2" a="1"/>
  <c r="BA215" i="2" s="1"/>
  <c r="AO215" i="2" a="1"/>
  <c r="AO215" i="2" s="1"/>
  <c r="Z215" i="2" a="1"/>
  <c r="Z215" i="2" s="1"/>
  <c r="Y215" i="2" a="1"/>
  <c r="Y215" i="2" s="1"/>
  <c r="V215" i="2" a="1"/>
  <c r="V215" i="2" s="1"/>
  <c r="X215" i="2" s="1"/>
  <c r="U215" i="2" a="1"/>
  <c r="U215" i="2" s="1"/>
  <c r="BL215" i="2" s="1"/>
  <c r="G215" i="2"/>
  <c r="F215" i="2"/>
  <c r="BM214" i="2" a="1"/>
  <c r="BM214" i="2" s="1"/>
  <c r="BA214" i="2" a="1"/>
  <c r="BA214" i="2" s="1"/>
  <c r="AO214" i="2" a="1"/>
  <c r="AO214" i="2" s="1"/>
  <c r="Z214" i="2" a="1"/>
  <c r="Z214" i="2" s="1"/>
  <c r="Y214" i="2" a="1"/>
  <c r="Y214" i="2" s="1"/>
  <c r="V214" i="2" a="1"/>
  <c r="V214" i="2" s="1"/>
  <c r="X214" i="2" s="1"/>
  <c r="U214" i="2" a="1"/>
  <c r="U214" i="2" s="1"/>
  <c r="G214" i="2"/>
  <c r="F214" i="2"/>
  <c r="BM213" i="2" a="1"/>
  <c r="BM213" i="2" s="1"/>
  <c r="BA213" i="2" a="1"/>
  <c r="BA213" i="2" s="1"/>
  <c r="AO213" i="2" a="1"/>
  <c r="AO213" i="2" s="1"/>
  <c r="Z213" i="2" a="1"/>
  <c r="Z213" i="2" s="1"/>
  <c r="Y213" i="2" a="1"/>
  <c r="Y213" i="2" s="1"/>
  <c r="V213" i="2" a="1"/>
  <c r="V213" i="2" s="1"/>
  <c r="X213" i="2" s="1"/>
  <c r="U213" i="2" a="1"/>
  <c r="U213" i="2" s="1"/>
  <c r="G213" i="2"/>
  <c r="F213" i="2"/>
  <c r="BM212" i="2" a="1"/>
  <c r="BM212" i="2" s="1"/>
  <c r="BA212" i="2" a="1"/>
  <c r="BA212" i="2" s="1"/>
  <c r="AO212" i="2" a="1"/>
  <c r="AO212" i="2" s="1"/>
  <c r="Z212" i="2" a="1"/>
  <c r="Z212" i="2" s="1"/>
  <c r="Y212" i="2" a="1"/>
  <c r="Y212" i="2" s="1"/>
  <c r="V212" i="2" a="1"/>
  <c r="V212" i="2" s="1"/>
  <c r="X212" i="2" s="1"/>
  <c r="U212" i="2" a="1"/>
  <c r="U212" i="2" s="1"/>
  <c r="G212" i="2"/>
  <c r="F212" i="2"/>
  <c r="BM211" i="2" a="1"/>
  <c r="BM211" i="2" s="1"/>
  <c r="BA211" i="2" a="1"/>
  <c r="BA211" i="2" s="1"/>
  <c r="AO211" i="2" a="1"/>
  <c r="AO211" i="2" s="1"/>
  <c r="Z211" i="2" a="1"/>
  <c r="Z211" i="2" s="1"/>
  <c r="Y211" i="2" a="1"/>
  <c r="Y211" i="2" s="1"/>
  <c r="V211" i="2" a="1"/>
  <c r="V211" i="2" s="1"/>
  <c r="X211" i="2" s="1"/>
  <c r="U211" i="2" a="1"/>
  <c r="U211" i="2" s="1"/>
  <c r="G211" i="2"/>
  <c r="F211" i="2"/>
  <c r="BM210" i="2" a="1"/>
  <c r="BM210" i="2" s="1"/>
  <c r="BA210" i="2" a="1"/>
  <c r="BA210" i="2" s="1"/>
  <c r="AO210" i="2" a="1"/>
  <c r="AO210" i="2" s="1"/>
  <c r="Z210" i="2" a="1"/>
  <c r="Z210" i="2" s="1"/>
  <c r="Y210" i="2" a="1"/>
  <c r="Y210" i="2" s="1"/>
  <c r="V210" i="2" a="1"/>
  <c r="V210" i="2" s="1"/>
  <c r="X210" i="2" s="1"/>
  <c r="U210" i="2" a="1"/>
  <c r="U210" i="2" s="1"/>
  <c r="BL210" i="2" s="1"/>
  <c r="G210" i="2"/>
  <c r="F210" i="2"/>
  <c r="BM209" i="2" a="1"/>
  <c r="BM209" i="2" s="1"/>
  <c r="BA209" i="2" a="1"/>
  <c r="BA209" i="2" s="1"/>
  <c r="AO209" i="2" a="1"/>
  <c r="AO209" i="2" s="1"/>
  <c r="Z209" i="2" a="1"/>
  <c r="Z209" i="2" s="1"/>
  <c r="Y209" i="2" a="1"/>
  <c r="Y209" i="2" s="1"/>
  <c r="V209" i="2" a="1"/>
  <c r="V209" i="2" s="1"/>
  <c r="X209" i="2" s="1"/>
  <c r="U209" i="2" a="1"/>
  <c r="U209" i="2" s="1"/>
  <c r="G209" i="2"/>
  <c r="F209" i="2"/>
  <c r="BM208" i="2" a="1"/>
  <c r="BM208" i="2" s="1"/>
  <c r="BA208" i="2" a="1"/>
  <c r="BA208" i="2" s="1"/>
  <c r="AO208" i="2" a="1"/>
  <c r="AO208" i="2" s="1"/>
  <c r="Z208" i="2" a="1"/>
  <c r="Z208" i="2" s="1"/>
  <c r="Y208" i="2" a="1"/>
  <c r="Y208" i="2" s="1"/>
  <c r="V208" i="2" a="1"/>
  <c r="V208" i="2" s="1"/>
  <c r="X208" i="2" s="1"/>
  <c r="U208" i="2" a="1"/>
  <c r="U208" i="2" s="1"/>
  <c r="G208" i="2"/>
  <c r="F208" i="2"/>
  <c r="BM207" i="2" a="1"/>
  <c r="BM207" i="2" s="1"/>
  <c r="BA207" i="2" a="1"/>
  <c r="BA207" i="2" s="1"/>
  <c r="AO207" i="2" a="1"/>
  <c r="AO207" i="2" s="1"/>
  <c r="Z207" i="2" a="1"/>
  <c r="Z207" i="2" s="1"/>
  <c r="Y207" i="2" a="1"/>
  <c r="Y207" i="2" s="1"/>
  <c r="V207" i="2" a="1"/>
  <c r="V207" i="2" s="1"/>
  <c r="X207" i="2" s="1"/>
  <c r="U207" i="2" a="1"/>
  <c r="U207" i="2" s="1"/>
  <c r="G207" i="2"/>
  <c r="F207" i="2"/>
  <c r="BM206" i="2" a="1"/>
  <c r="BM206" i="2" s="1"/>
  <c r="BA206" i="2" a="1"/>
  <c r="BA206" i="2" s="1"/>
  <c r="AO206" i="2" a="1"/>
  <c r="AO206" i="2" s="1"/>
  <c r="Z206" i="2" a="1"/>
  <c r="Z206" i="2" s="1"/>
  <c r="Y206" i="2" a="1"/>
  <c r="Y206" i="2" s="1"/>
  <c r="V206" i="2" a="1"/>
  <c r="V206" i="2" s="1"/>
  <c r="X206" i="2" s="1"/>
  <c r="U206" i="2" a="1"/>
  <c r="U206" i="2" s="1"/>
  <c r="G206" i="2"/>
  <c r="F206" i="2"/>
  <c r="BM205" i="2" a="1"/>
  <c r="BM205" i="2" s="1"/>
  <c r="BA205" i="2" a="1"/>
  <c r="BA205" i="2" s="1"/>
  <c r="AO205" i="2" a="1"/>
  <c r="AO205" i="2" s="1"/>
  <c r="Z205" i="2" a="1"/>
  <c r="Z205" i="2" s="1"/>
  <c r="Y205" i="2" a="1"/>
  <c r="Y205" i="2" s="1"/>
  <c r="V205" i="2" a="1"/>
  <c r="V205" i="2" s="1"/>
  <c r="X205" i="2" s="1"/>
  <c r="U205" i="2" a="1"/>
  <c r="U205" i="2" s="1"/>
  <c r="G205" i="2"/>
  <c r="F205" i="2"/>
  <c r="BM204" i="2" a="1"/>
  <c r="BM204" i="2" s="1"/>
  <c r="BA204" i="2" a="1"/>
  <c r="BA204" i="2" s="1"/>
  <c r="AO204" i="2" a="1"/>
  <c r="AO204" i="2" s="1"/>
  <c r="Z204" i="2" a="1"/>
  <c r="Z204" i="2" s="1"/>
  <c r="Y204" i="2" a="1"/>
  <c r="Y204" i="2" s="1"/>
  <c r="V204" i="2" a="1"/>
  <c r="V204" i="2" s="1"/>
  <c r="X204" i="2" s="1"/>
  <c r="U204" i="2" a="1"/>
  <c r="U204" i="2" s="1"/>
  <c r="G204" i="2"/>
  <c r="F204" i="2"/>
  <c r="BM203" i="2" a="1"/>
  <c r="BM203" i="2" s="1"/>
  <c r="BA203" i="2" a="1"/>
  <c r="BA203" i="2" s="1"/>
  <c r="AO203" i="2" a="1"/>
  <c r="AO203" i="2" s="1"/>
  <c r="Z203" i="2" a="1"/>
  <c r="Z203" i="2" s="1"/>
  <c r="Y203" i="2" a="1"/>
  <c r="Y203" i="2" s="1"/>
  <c r="W203" i="2" a="1"/>
  <c r="W203" i="2" s="1"/>
  <c r="V203" i="2" a="1"/>
  <c r="V203" i="2" s="1"/>
  <c r="U203" i="2" a="1"/>
  <c r="U203" i="2" s="1"/>
  <c r="BL203" i="2" s="1"/>
  <c r="G203" i="2"/>
  <c r="F203" i="2"/>
  <c r="BM202" i="2" a="1"/>
  <c r="BM202" i="2" s="1"/>
  <c r="BA202" i="2" a="1"/>
  <c r="BA202" i="2" s="1"/>
  <c r="AO202" i="2" a="1"/>
  <c r="AO202" i="2" s="1"/>
  <c r="Z202" i="2" a="1"/>
  <c r="Z202" i="2" s="1"/>
  <c r="Y202" i="2" a="1"/>
  <c r="Y202" i="2" s="1"/>
  <c r="V202" i="2" a="1"/>
  <c r="V202" i="2" s="1"/>
  <c r="X202" i="2" s="1"/>
  <c r="U202" i="2" a="1"/>
  <c r="U202" i="2" s="1"/>
  <c r="G202" i="2"/>
  <c r="F202" i="2"/>
  <c r="BM201" i="2" a="1"/>
  <c r="BM201" i="2" s="1"/>
  <c r="BA201" i="2" a="1"/>
  <c r="BA201" i="2" s="1"/>
  <c r="AO201" i="2" a="1"/>
  <c r="AO201" i="2" s="1"/>
  <c r="Z201" i="2" a="1"/>
  <c r="Z201" i="2" s="1"/>
  <c r="Y201" i="2" a="1"/>
  <c r="Y201" i="2" s="1"/>
  <c r="V201" i="2" a="1"/>
  <c r="V201" i="2" s="1"/>
  <c r="X201" i="2" s="1"/>
  <c r="U201" i="2" a="1"/>
  <c r="U201" i="2" s="1"/>
  <c r="G201" i="2"/>
  <c r="F201" i="2"/>
  <c r="BM200" i="2" a="1"/>
  <c r="BM200" i="2" s="1"/>
  <c r="BA200" i="2" a="1"/>
  <c r="BA200" i="2" s="1"/>
  <c r="AO200" i="2" a="1"/>
  <c r="AO200" i="2" s="1"/>
  <c r="Z200" i="2" a="1"/>
  <c r="Z200" i="2" s="1"/>
  <c r="Y200" i="2" a="1"/>
  <c r="Y200" i="2" s="1"/>
  <c r="V200" i="2" a="1"/>
  <c r="V200" i="2" s="1"/>
  <c r="X200" i="2" s="1"/>
  <c r="U200" i="2" a="1"/>
  <c r="U200" i="2" s="1"/>
  <c r="G200" i="2"/>
  <c r="F200" i="2"/>
  <c r="BM199" i="2" a="1"/>
  <c r="BM199" i="2" s="1"/>
  <c r="BA199" i="2" a="1"/>
  <c r="BA199" i="2" s="1"/>
  <c r="AO199" i="2" a="1"/>
  <c r="AO199" i="2" s="1"/>
  <c r="Z199" i="2" a="1"/>
  <c r="Z199" i="2" s="1"/>
  <c r="Y199" i="2" a="1"/>
  <c r="Y199" i="2" s="1"/>
  <c r="V199" i="2" a="1"/>
  <c r="V199" i="2" s="1"/>
  <c r="X199" i="2" s="1"/>
  <c r="U199" i="2" a="1"/>
  <c r="U199" i="2" s="1"/>
  <c r="G199" i="2"/>
  <c r="F199" i="2"/>
  <c r="BM198" i="2" a="1"/>
  <c r="BM198" i="2" s="1"/>
  <c r="BA198" i="2" a="1"/>
  <c r="BA198" i="2" s="1"/>
  <c r="AO198" i="2" a="1"/>
  <c r="AO198" i="2" s="1"/>
  <c r="Z198" i="2" a="1"/>
  <c r="Z198" i="2" s="1"/>
  <c r="Y198" i="2" a="1"/>
  <c r="Y198" i="2" s="1"/>
  <c r="V198" i="2" a="1"/>
  <c r="V198" i="2" s="1"/>
  <c r="X198" i="2" s="1"/>
  <c r="U198" i="2" a="1"/>
  <c r="U198" i="2" s="1"/>
  <c r="BL198" i="2" s="1"/>
  <c r="G198" i="2"/>
  <c r="F198" i="2"/>
  <c r="BM197" i="2" a="1"/>
  <c r="BM197" i="2" s="1"/>
  <c r="BA197" i="2" a="1"/>
  <c r="BA197" i="2" s="1"/>
  <c r="AO197" i="2" a="1"/>
  <c r="AO197" i="2" s="1"/>
  <c r="Z197" i="2" a="1"/>
  <c r="Z197" i="2" s="1"/>
  <c r="Y197" i="2" a="1"/>
  <c r="Y197" i="2" s="1"/>
  <c r="V197" i="2" a="1"/>
  <c r="V197" i="2" s="1"/>
  <c r="X197" i="2" s="1"/>
  <c r="U197" i="2" a="1"/>
  <c r="U197" i="2" s="1"/>
  <c r="G197" i="2"/>
  <c r="F197" i="2"/>
  <c r="BM196" i="2" a="1"/>
  <c r="BM196" i="2" s="1"/>
  <c r="BA196" i="2" a="1"/>
  <c r="BA196" i="2" s="1"/>
  <c r="AO196" i="2" a="1"/>
  <c r="AO196" i="2" s="1"/>
  <c r="Z196" i="2" a="1"/>
  <c r="Z196" i="2" s="1"/>
  <c r="Y196" i="2" a="1"/>
  <c r="Y196" i="2" s="1"/>
  <c r="V196" i="2" a="1"/>
  <c r="V196" i="2" s="1"/>
  <c r="X196" i="2" s="1"/>
  <c r="U196" i="2" a="1"/>
  <c r="U196" i="2" s="1"/>
  <c r="G196" i="2"/>
  <c r="F196" i="2"/>
  <c r="BM195" i="2" a="1"/>
  <c r="BM195" i="2" s="1"/>
  <c r="BA195" i="2" a="1"/>
  <c r="BA195" i="2" s="1"/>
  <c r="AO195" i="2" a="1"/>
  <c r="AO195" i="2" s="1"/>
  <c r="Z195" i="2" a="1"/>
  <c r="Z195" i="2" s="1"/>
  <c r="Y195" i="2" a="1"/>
  <c r="Y195" i="2" s="1"/>
  <c r="V195" i="2" a="1"/>
  <c r="V195" i="2" s="1"/>
  <c r="X195" i="2" s="1"/>
  <c r="U195" i="2" a="1"/>
  <c r="U195" i="2" s="1"/>
  <c r="G195" i="2"/>
  <c r="F195" i="2"/>
  <c r="BM194" i="2" a="1"/>
  <c r="BM194" i="2" s="1"/>
  <c r="BA194" i="2" a="1"/>
  <c r="BA194" i="2" s="1"/>
  <c r="AO194" i="2" a="1"/>
  <c r="AO194" i="2" s="1"/>
  <c r="Z194" i="2" a="1"/>
  <c r="Z194" i="2" s="1"/>
  <c r="Y194" i="2" a="1"/>
  <c r="Y194" i="2" s="1"/>
  <c r="V194" i="2" a="1"/>
  <c r="V194" i="2" s="1"/>
  <c r="X194" i="2" s="1"/>
  <c r="U194" i="2" a="1"/>
  <c r="U194" i="2" s="1"/>
  <c r="G194" i="2"/>
  <c r="F194" i="2"/>
  <c r="BM193" i="2" a="1"/>
  <c r="BM193" i="2" s="1"/>
  <c r="BA193" i="2" a="1"/>
  <c r="BA193" i="2" s="1"/>
  <c r="AO193" i="2" a="1"/>
  <c r="AO193" i="2" s="1"/>
  <c r="Z193" i="2" a="1"/>
  <c r="Z193" i="2" s="1"/>
  <c r="Y193" i="2" a="1"/>
  <c r="Y193" i="2" s="1"/>
  <c r="V193" i="2" a="1"/>
  <c r="V193" i="2" s="1"/>
  <c r="X193" i="2" s="1"/>
  <c r="U193" i="2" a="1"/>
  <c r="U193" i="2" s="1"/>
  <c r="BL193" i="2" s="1"/>
  <c r="G193" i="2"/>
  <c r="F193" i="2"/>
  <c r="BM192" i="2" a="1"/>
  <c r="BM192" i="2" s="1"/>
  <c r="BA192" i="2" a="1"/>
  <c r="BA192" i="2" s="1"/>
  <c r="AO192" i="2" a="1"/>
  <c r="AO192" i="2" s="1"/>
  <c r="Z192" i="2" a="1"/>
  <c r="Z192" i="2" s="1"/>
  <c r="Y192" i="2" a="1"/>
  <c r="Y192" i="2" s="1"/>
  <c r="V192" i="2" a="1"/>
  <c r="V192" i="2" s="1"/>
  <c r="X192" i="2" s="1"/>
  <c r="U192" i="2" a="1"/>
  <c r="U192" i="2" s="1"/>
  <c r="G192" i="2"/>
  <c r="F192" i="2"/>
  <c r="BM191" i="2" a="1"/>
  <c r="BM191" i="2" s="1"/>
  <c r="BA191" i="2" a="1"/>
  <c r="BA191" i="2" s="1"/>
  <c r="AO191" i="2" a="1"/>
  <c r="AO191" i="2" s="1"/>
  <c r="Z191" i="2" a="1"/>
  <c r="Z191" i="2" s="1"/>
  <c r="Y191" i="2" a="1"/>
  <c r="Y191" i="2" s="1"/>
  <c r="V191" i="2" a="1"/>
  <c r="V191" i="2" s="1"/>
  <c r="X191" i="2" s="1"/>
  <c r="U191" i="2" a="1"/>
  <c r="U191" i="2" s="1"/>
  <c r="G191" i="2"/>
  <c r="F191" i="2"/>
  <c r="BM190" i="2" a="1"/>
  <c r="BM190" i="2" s="1"/>
  <c r="BA190" i="2" a="1"/>
  <c r="BA190" i="2" s="1"/>
  <c r="AO190" i="2" a="1"/>
  <c r="AO190" i="2" s="1"/>
  <c r="Z190" i="2" a="1"/>
  <c r="Z190" i="2" s="1"/>
  <c r="Y190" i="2" a="1"/>
  <c r="Y190" i="2" s="1"/>
  <c r="W190" i="2" a="1"/>
  <c r="W190" i="2" s="1"/>
  <c r="V190" i="2" a="1"/>
  <c r="V190" i="2" s="1"/>
  <c r="U190" i="2" a="1"/>
  <c r="U190" i="2" s="1"/>
  <c r="G190" i="2"/>
  <c r="F190" i="2"/>
  <c r="BM189" i="2" a="1"/>
  <c r="BM189" i="2" s="1"/>
  <c r="BA189" i="2" a="1"/>
  <c r="BA189" i="2" s="1"/>
  <c r="AO189" i="2" a="1"/>
  <c r="AO189" i="2" s="1"/>
  <c r="Z189" i="2" a="1"/>
  <c r="Z189" i="2" s="1"/>
  <c r="Y189" i="2" a="1"/>
  <c r="Y189" i="2" s="1"/>
  <c r="V189" i="2" a="1"/>
  <c r="V189" i="2" s="1"/>
  <c r="X189" i="2" s="1"/>
  <c r="U189" i="2" a="1"/>
  <c r="U189" i="2" s="1"/>
  <c r="G189" i="2"/>
  <c r="F189" i="2"/>
  <c r="BM188" i="2" a="1"/>
  <c r="BM188" i="2" s="1"/>
  <c r="BA188" i="2" a="1"/>
  <c r="BA188" i="2" s="1"/>
  <c r="AO188" i="2" a="1"/>
  <c r="AO188" i="2" s="1"/>
  <c r="Z188" i="2" a="1"/>
  <c r="Z188" i="2" s="1"/>
  <c r="Y188" i="2" a="1"/>
  <c r="Y188" i="2" s="1"/>
  <c r="V188" i="2" a="1"/>
  <c r="V188" i="2" s="1"/>
  <c r="X188" i="2" s="1"/>
  <c r="U188" i="2" a="1"/>
  <c r="U188" i="2" s="1"/>
  <c r="G188" i="2"/>
  <c r="F188" i="2"/>
  <c r="BM187" i="2" a="1"/>
  <c r="BM187" i="2" s="1"/>
  <c r="BA187" i="2" a="1"/>
  <c r="BA187" i="2" s="1"/>
  <c r="AO187" i="2" a="1"/>
  <c r="AO187" i="2" s="1"/>
  <c r="Z187" i="2" a="1"/>
  <c r="Z187" i="2" s="1"/>
  <c r="Y187" i="2" a="1"/>
  <c r="Y187" i="2" s="1"/>
  <c r="V187" i="2" a="1"/>
  <c r="V187" i="2" s="1"/>
  <c r="X187" i="2" s="1"/>
  <c r="U187" i="2" a="1"/>
  <c r="U187" i="2" s="1"/>
  <c r="G187" i="2"/>
  <c r="F187" i="2"/>
  <c r="BM186" i="2" a="1"/>
  <c r="BM186" i="2" s="1"/>
  <c r="BA186" i="2" a="1"/>
  <c r="BA186" i="2" s="1"/>
  <c r="AO186" i="2" a="1"/>
  <c r="AO186" i="2" s="1"/>
  <c r="Z186" i="2" a="1"/>
  <c r="Z186" i="2" s="1"/>
  <c r="Y186" i="2" a="1"/>
  <c r="Y186" i="2" s="1"/>
  <c r="V186" i="2" a="1"/>
  <c r="V186" i="2" s="1"/>
  <c r="X186" i="2" s="1"/>
  <c r="U186" i="2" a="1"/>
  <c r="U186" i="2" s="1"/>
  <c r="BL186" i="2" s="1"/>
  <c r="G186" i="2"/>
  <c r="F186" i="2"/>
  <c r="BM185" i="2" a="1"/>
  <c r="BM185" i="2" s="1"/>
  <c r="BA185" i="2" a="1"/>
  <c r="BA185" i="2" s="1"/>
  <c r="AO185" i="2" a="1"/>
  <c r="AO185" i="2" s="1"/>
  <c r="Z185" i="2" a="1"/>
  <c r="Z185" i="2" s="1"/>
  <c r="Y185" i="2" a="1"/>
  <c r="Y185" i="2" s="1"/>
  <c r="V185" i="2" a="1"/>
  <c r="V185" i="2" s="1"/>
  <c r="X185" i="2" s="1"/>
  <c r="U185" i="2" a="1"/>
  <c r="U185" i="2" s="1"/>
  <c r="G185" i="2"/>
  <c r="F185" i="2"/>
  <c r="BM184" i="2" a="1"/>
  <c r="BM184" i="2" s="1"/>
  <c r="BA184" i="2" a="1"/>
  <c r="BA184" i="2" s="1"/>
  <c r="AO184" i="2" a="1"/>
  <c r="AO184" i="2" s="1"/>
  <c r="Z184" i="2" a="1"/>
  <c r="Z184" i="2" s="1"/>
  <c r="Y184" i="2" a="1"/>
  <c r="Y184" i="2" s="1"/>
  <c r="V184" i="2" a="1"/>
  <c r="V184" i="2" s="1"/>
  <c r="X184" i="2" s="1"/>
  <c r="U184" i="2" a="1"/>
  <c r="U184" i="2" s="1"/>
  <c r="G184" i="2"/>
  <c r="F184" i="2"/>
  <c r="BM183" i="2" a="1"/>
  <c r="BM183" i="2" s="1"/>
  <c r="BA183" i="2" a="1"/>
  <c r="BA183" i="2" s="1"/>
  <c r="AO183" i="2" a="1"/>
  <c r="AO183" i="2" s="1"/>
  <c r="Z183" i="2" a="1"/>
  <c r="Z183" i="2" s="1"/>
  <c r="Y183" i="2" a="1"/>
  <c r="Y183" i="2" s="1"/>
  <c r="V183" i="2" a="1"/>
  <c r="V183" i="2" s="1"/>
  <c r="X183" i="2" s="1"/>
  <c r="U183" i="2" a="1"/>
  <c r="U183" i="2" s="1"/>
  <c r="G183" i="2"/>
  <c r="F183" i="2"/>
  <c r="BM182" i="2" a="1"/>
  <c r="BM182" i="2" s="1"/>
  <c r="BA182" i="2" a="1"/>
  <c r="BA182" i="2" s="1"/>
  <c r="AO182" i="2" a="1"/>
  <c r="AO182" i="2" s="1"/>
  <c r="Z182" i="2" a="1"/>
  <c r="Z182" i="2" s="1"/>
  <c r="Y182" i="2" a="1"/>
  <c r="Y182" i="2" s="1"/>
  <c r="V182" i="2" a="1"/>
  <c r="V182" i="2" s="1"/>
  <c r="X182" i="2" s="1"/>
  <c r="U182" i="2" a="1"/>
  <c r="U182" i="2" s="1"/>
  <c r="BL182" i="2" s="1"/>
  <c r="G182" i="2"/>
  <c r="F182" i="2"/>
  <c r="BM181" i="2" a="1"/>
  <c r="BM181" i="2" s="1"/>
  <c r="BA181" i="2" a="1"/>
  <c r="BA181" i="2" s="1"/>
  <c r="AO181" i="2" a="1"/>
  <c r="AO181" i="2" s="1"/>
  <c r="Z181" i="2" a="1"/>
  <c r="Z181" i="2" s="1"/>
  <c r="Y181" i="2" a="1"/>
  <c r="Y181" i="2" s="1"/>
  <c r="V181" i="2" a="1"/>
  <c r="V181" i="2" s="1"/>
  <c r="X181" i="2" s="1"/>
  <c r="U181" i="2" a="1"/>
  <c r="U181" i="2" s="1"/>
  <c r="G181" i="2"/>
  <c r="F181" i="2"/>
  <c r="BM180" i="2" a="1"/>
  <c r="BM180" i="2" s="1"/>
  <c r="BA180" i="2" a="1"/>
  <c r="BA180" i="2" s="1"/>
  <c r="AO180" i="2" a="1"/>
  <c r="AO180" i="2" s="1"/>
  <c r="Z180" i="2" a="1"/>
  <c r="Z180" i="2" s="1"/>
  <c r="Y180" i="2" a="1"/>
  <c r="Y180" i="2" s="1"/>
  <c r="V180" i="2" a="1"/>
  <c r="V180" i="2" s="1"/>
  <c r="X180" i="2" s="1"/>
  <c r="U180" i="2" a="1"/>
  <c r="U180" i="2" s="1"/>
  <c r="G180" i="2"/>
  <c r="F180" i="2"/>
  <c r="BM179" i="2" a="1"/>
  <c r="BM179" i="2" s="1"/>
  <c r="BA179" i="2" a="1"/>
  <c r="BA179" i="2" s="1"/>
  <c r="AO179" i="2" a="1"/>
  <c r="AO179" i="2" s="1"/>
  <c r="Z179" i="2" a="1"/>
  <c r="Z179" i="2" s="1"/>
  <c r="Y179" i="2" a="1"/>
  <c r="Y179" i="2" s="1"/>
  <c r="V179" i="2" a="1"/>
  <c r="V179" i="2" s="1"/>
  <c r="X179" i="2" s="1"/>
  <c r="U179" i="2" a="1"/>
  <c r="U179" i="2" s="1"/>
  <c r="G179" i="2"/>
  <c r="F179" i="2"/>
  <c r="BM178" i="2" a="1"/>
  <c r="BM178" i="2" s="1"/>
  <c r="BA178" i="2" a="1"/>
  <c r="BA178" i="2" s="1"/>
  <c r="AO178" i="2" a="1"/>
  <c r="AO178" i="2" s="1"/>
  <c r="Z178" i="2" a="1"/>
  <c r="Z178" i="2" s="1"/>
  <c r="Y178" i="2" a="1"/>
  <c r="Y178" i="2" s="1"/>
  <c r="V178" i="2" a="1"/>
  <c r="V178" i="2" s="1"/>
  <c r="X178" i="2" s="1"/>
  <c r="U178" i="2" a="1"/>
  <c r="U178" i="2" s="1"/>
  <c r="BL178" i="2" s="1"/>
  <c r="G178" i="2"/>
  <c r="F178" i="2"/>
  <c r="BM177" i="2" a="1"/>
  <c r="BM177" i="2" s="1"/>
  <c r="BA177" i="2" a="1"/>
  <c r="BA177" i="2" s="1"/>
  <c r="AO177" i="2" a="1"/>
  <c r="AO177" i="2" s="1"/>
  <c r="Z177" i="2" a="1"/>
  <c r="Z177" i="2" s="1"/>
  <c r="Y177" i="2" a="1"/>
  <c r="Y177" i="2" s="1"/>
  <c r="V177" i="2" a="1"/>
  <c r="V177" i="2" s="1"/>
  <c r="X177" i="2" s="1"/>
  <c r="U177" i="2" a="1"/>
  <c r="U177" i="2" s="1"/>
  <c r="G177" i="2"/>
  <c r="F177" i="2"/>
  <c r="BM176" i="2" a="1"/>
  <c r="BM176" i="2" s="1"/>
  <c r="BA176" i="2" a="1"/>
  <c r="BA176" i="2" s="1"/>
  <c r="AO176" i="2" a="1"/>
  <c r="AO176" i="2" s="1"/>
  <c r="Z176" i="2" a="1"/>
  <c r="Z176" i="2" s="1"/>
  <c r="Y176" i="2" a="1"/>
  <c r="Y176" i="2" s="1"/>
  <c r="V176" i="2" a="1"/>
  <c r="V176" i="2" s="1"/>
  <c r="X176" i="2" s="1"/>
  <c r="U176" i="2" a="1"/>
  <c r="U176" i="2" s="1"/>
  <c r="G176" i="2"/>
  <c r="F176" i="2"/>
  <c r="BM175" i="2" a="1"/>
  <c r="BM175" i="2" s="1"/>
  <c r="BA175" i="2" a="1"/>
  <c r="BA175" i="2" s="1"/>
  <c r="AO175" i="2" a="1"/>
  <c r="AO175" i="2" s="1"/>
  <c r="Z175" i="2" a="1"/>
  <c r="Z175" i="2" s="1"/>
  <c r="Y175" i="2" a="1"/>
  <c r="Y175" i="2" s="1"/>
  <c r="V175" i="2" a="1"/>
  <c r="V175" i="2" s="1"/>
  <c r="X175" i="2" s="1"/>
  <c r="U175" i="2" a="1"/>
  <c r="U175" i="2" s="1"/>
  <c r="G175" i="2"/>
  <c r="F175" i="2"/>
  <c r="BM174" i="2" a="1"/>
  <c r="BM174" i="2" s="1"/>
  <c r="BA174" i="2" a="1"/>
  <c r="BA174" i="2" s="1"/>
  <c r="AO174" i="2" a="1"/>
  <c r="AO174" i="2" s="1"/>
  <c r="Z174" i="2" a="1"/>
  <c r="Z174" i="2" s="1"/>
  <c r="Y174" i="2" a="1"/>
  <c r="Y174" i="2" s="1"/>
  <c r="V174" i="2" a="1"/>
  <c r="V174" i="2" s="1"/>
  <c r="X174" i="2" s="1"/>
  <c r="U174" i="2" a="1"/>
  <c r="U174" i="2" s="1"/>
  <c r="G174" i="2"/>
  <c r="F174" i="2"/>
  <c r="BM173" i="2" a="1"/>
  <c r="BM173" i="2" s="1"/>
  <c r="BA173" i="2" a="1"/>
  <c r="BA173" i="2" s="1"/>
  <c r="AO173" i="2" a="1"/>
  <c r="AO173" i="2" s="1"/>
  <c r="Z173" i="2" a="1"/>
  <c r="Z173" i="2" s="1"/>
  <c r="Y173" i="2" a="1"/>
  <c r="Y173" i="2" s="1"/>
  <c r="V173" i="2" a="1"/>
  <c r="V173" i="2" s="1"/>
  <c r="X173" i="2" s="1"/>
  <c r="U173" i="2" a="1"/>
  <c r="U173" i="2" s="1"/>
  <c r="G173" i="2"/>
  <c r="F173" i="2"/>
  <c r="BM172" i="2" a="1"/>
  <c r="BM172" i="2" s="1"/>
  <c r="BA172" i="2" a="1"/>
  <c r="BA172" i="2" s="1"/>
  <c r="AO172" i="2" a="1"/>
  <c r="AO172" i="2" s="1"/>
  <c r="Z172" i="2" a="1"/>
  <c r="Z172" i="2" s="1"/>
  <c r="Y172" i="2" a="1"/>
  <c r="Y172" i="2" s="1"/>
  <c r="V172" i="2" a="1"/>
  <c r="V172" i="2" s="1"/>
  <c r="X172" i="2" s="1"/>
  <c r="U172" i="2" a="1"/>
  <c r="U172" i="2" s="1"/>
  <c r="G172" i="2"/>
  <c r="F172" i="2"/>
  <c r="BM171" i="2" a="1"/>
  <c r="BM171" i="2" s="1"/>
  <c r="BA171" i="2" a="1"/>
  <c r="BA171" i="2" s="1"/>
  <c r="AO171" i="2" a="1"/>
  <c r="AO171" i="2" s="1"/>
  <c r="Z171" i="2" a="1"/>
  <c r="Z171" i="2" s="1"/>
  <c r="Y171" i="2" a="1"/>
  <c r="Y171" i="2" s="1"/>
  <c r="V171" i="2" a="1"/>
  <c r="V171" i="2" s="1"/>
  <c r="X171" i="2" s="1"/>
  <c r="U171" i="2" a="1"/>
  <c r="U171" i="2" s="1"/>
  <c r="G171" i="2"/>
  <c r="F171" i="2"/>
  <c r="BM170" i="2" a="1"/>
  <c r="BM170" i="2" s="1"/>
  <c r="BA170" i="2" a="1"/>
  <c r="BA170" i="2" s="1"/>
  <c r="AO170" i="2" a="1"/>
  <c r="AO170" i="2" s="1"/>
  <c r="Z170" i="2" a="1"/>
  <c r="Z170" i="2" s="1"/>
  <c r="Y170" i="2" a="1"/>
  <c r="Y170" i="2" s="1"/>
  <c r="V170" i="2" a="1"/>
  <c r="V170" i="2" s="1"/>
  <c r="X170" i="2" s="1"/>
  <c r="U170" i="2" a="1"/>
  <c r="U170" i="2" s="1"/>
  <c r="G170" i="2"/>
  <c r="F170" i="2"/>
  <c r="BM169" i="2" a="1"/>
  <c r="BM169" i="2" s="1"/>
  <c r="BA169" i="2" a="1"/>
  <c r="BA169" i="2" s="1"/>
  <c r="AO169" i="2" a="1"/>
  <c r="AO169" i="2" s="1"/>
  <c r="Z169" i="2" a="1"/>
  <c r="Z169" i="2" s="1"/>
  <c r="Y169" i="2" a="1"/>
  <c r="Y169" i="2" s="1"/>
  <c r="V169" i="2" a="1"/>
  <c r="V169" i="2" s="1"/>
  <c r="X169" i="2" s="1"/>
  <c r="U169" i="2" a="1"/>
  <c r="U169" i="2" s="1"/>
  <c r="G169" i="2"/>
  <c r="F169" i="2"/>
  <c r="BM168" i="2" a="1"/>
  <c r="BM168" i="2" s="1"/>
  <c r="BA168" i="2" a="1"/>
  <c r="BA168" i="2" s="1"/>
  <c r="AO168" i="2" a="1"/>
  <c r="AO168" i="2" s="1"/>
  <c r="Z168" i="2" a="1"/>
  <c r="Z168" i="2" s="1"/>
  <c r="Y168" i="2" a="1"/>
  <c r="Y168" i="2" s="1"/>
  <c r="V168" i="2" a="1"/>
  <c r="V168" i="2" s="1"/>
  <c r="X168" i="2" s="1"/>
  <c r="U168" i="2" a="1"/>
  <c r="U168" i="2" s="1"/>
  <c r="G168" i="2"/>
  <c r="F168" i="2"/>
  <c r="BM167" i="2" a="1"/>
  <c r="BM167" i="2" s="1"/>
  <c r="BA167" i="2" a="1"/>
  <c r="BA167" i="2" s="1"/>
  <c r="AO167" i="2" a="1"/>
  <c r="AO167" i="2" s="1"/>
  <c r="Z167" i="2" a="1"/>
  <c r="Z167" i="2" s="1"/>
  <c r="Y167" i="2" a="1"/>
  <c r="Y167" i="2" s="1"/>
  <c r="V167" i="2" a="1"/>
  <c r="V167" i="2" s="1"/>
  <c r="X167" i="2" s="1"/>
  <c r="U167" i="2" a="1"/>
  <c r="U167" i="2" s="1"/>
  <c r="G167" i="2"/>
  <c r="F167" i="2"/>
  <c r="BM166" i="2" a="1"/>
  <c r="BM166" i="2" s="1"/>
  <c r="BA166" i="2" a="1"/>
  <c r="BA166" i="2" s="1"/>
  <c r="AO166" i="2" a="1"/>
  <c r="AO166" i="2" s="1"/>
  <c r="Z166" i="2" a="1"/>
  <c r="Z166" i="2" s="1"/>
  <c r="Y166" i="2" a="1"/>
  <c r="Y166" i="2" s="1"/>
  <c r="V166" i="2" a="1"/>
  <c r="V166" i="2" s="1"/>
  <c r="X166" i="2" s="1"/>
  <c r="U166" i="2" a="1"/>
  <c r="U166" i="2" s="1"/>
  <c r="G166" i="2"/>
  <c r="F166" i="2"/>
  <c r="BM165" i="2" a="1"/>
  <c r="BM165" i="2" s="1"/>
  <c r="BA165" i="2" a="1"/>
  <c r="BA165" i="2" s="1"/>
  <c r="AO165" i="2" a="1"/>
  <c r="AO165" i="2" s="1"/>
  <c r="Z165" i="2" a="1"/>
  <c r="Z165" i="2" s="1"/>
  <c r="Y165" i="2" a="1"/>
  <c r="Y165" i="2" s="1"/>
  <c r="V165" i="2" a="1"/>
  <c r="V165" i="2" s="1"/>
  <c r="X165" i="2" s="1"/>
  <c r="U165" i="2" a="1"/>
  <c r="U165" i="2" s="1"/>
  <c r="G165" i="2"/>
  <c r="F165" i="2"/>
  <c r="BM164" i="2" a="1"/>
  <c r="BM164" i="2" s="1"/>
  <c r="BA164" i="2" a="1"/>
  <c r="BA164" i="2" s="1"/>
  <c r="AO164" i="2" a="1"/>
  <c r="AO164" i="2" s="1"/>
  <c r="Z164" i="2" a="1"/>
  <c r="Z164" i="2" s="1"/>
  <c r="Y164" i="2" a="1"/>
  <c r="Y164" i="2" s="1"/>
  <c r="V164" i="2" a="1"/>
  <c r="V164" i="2" s="1"/>
  <c r="X164" i="2" s="1"/>
  <c r="U164" i="2" a="1"/>
  <c r="U164" i="2" s="1"/>
  <c r="G164" i="2"/>
  <c r="F164" i="2"/>
  <c r="BM163" i="2" a="1"/>
  <c r="BM163" i="2" s="1"/>
  <c r="BA163" i="2" a="1"/>
  <c r="BA163" i="2" s="1"/>
  <c r="AO163" i="2" a="1"/>
  <c r="AO163" i="2" s="1"/>
  <c r="Z163" i="2" a="1"/>
  <c r="Z163" i="2" s="1"/>
  <c r="Y163" i="2" a="1"/>
  <c r="Y163" i="2" s="1"/>
  <c r="V163" i="2" a="1"/>
  <c r="V163" i="2" s="1"/>
  <c r="X163" i="2" s="1"/>
  <c r="U163" i="2" a="1"/>
  <c r="U163" i="2" s="1"/>
  <c r="G163" i="2"/>
  <c r="F163" i="2"/>
  <c r="BM162" i="2" a="1"/>
  <c r="BM162" i="2" s="1"/>
  <c r="BA162" i="2" a="1"/>
  <c r="BA162" i="2" s="1"/>
  <c r="AO162" i="2" a="1"/>
  <c r="AO162" i="2" s="1"/>
  <c r="Z162" i="2" a="1"/>
  <c r="Z162" i="2" s="1"/>
  <c r="Y162" i="2" a="1"/>
  <c r="Y162" i="2" s="1"/>
  <c r="V162" i="2" a="1"/>
  <c r="V162" i="2" s="1"/>
  <c r="X162" i="2" s="1"/>
  <c r="U162" i="2" a="1"/>
  <c r="U162" i="2" s="1"/>
  <c r="G162" i="2"/>
  <c r="F162" i="2"/>
  <c r="BM161" i="2" a="1"/>
  <c r="BM161" i="2" s="1"/>
  <c r="BA161" i="2" a="1"/>
  <c r="BA161" i="2" s="1"/>
  <c r="AO161" i="2" a="1"/>
  <c r="AO161" i="2" s="1"/>
  <c r="Z161" i="2" a="1"/>
  <c r="Z161" i="2" s="1"/>
  <c r="Y161" i="2" a="1"/>
  <c r="Y161" i="2" s="1"/>
  <c r="V161" i="2" a="1"/>
  <c r="V161" i="2" s="1"/>
  <c r="X161" i="2" s="1"/>
  <c r="U161" i="2" a="1"/>
  <c r="U161" i="2" s="1"/>
  <c r="G161" i="2"/>
  <c r="F161" i="2"/>
  <c r="BM160" i="2" a="1"/>
  <c r="BM160" i="2" s="1"/>
  <c r="BA160" i="2" a="1"/>
  <c r="BA160" i="2" s="1"/>
  <c r="AO160" i="2" a="1"/>
  <c r="AO160" i="2" s="1"/>
  <c r="Z160" i="2" a="1"/>
  <c r="Z160" i="2" s="1"/>
  <c r="Y160" i="2" a="1"/>
  <c r="Y160" i="2" s="1"/>
  <c r="V160" i="2" a="1"/>
  <c r="V160" i="2" s="1"/>
  <c r="X160" i="2" s="1"/>
  <c r="U160" i="2" a="1"/>
  <c r="U160" i="2" s="1"/>
  <c r="G160" i="2"/>
  <c r="F160" i="2"/>
  <c r="BM159" i="2" a="1"/>
  <c r="BM159" i="2" s="1"/>
  <c r="BA159" i="2" a="1"/>
  <c r="BA159" i="2" s="1"/>
  <c r="AO159" i="2" a="1"/>
  <c r="AO159" i="2" s="1"/>
  <c r="Z159" i="2" a="1"/>
  <c r="Z159" i="2" s="1"/>
  <c r="Y159" i="2" a="1"/>
  <c r="Y159" i="2" s="1"/>
  <c r="V159" i="2" a="1"/>
  <c r="V159" i="2" s="1"/>
  <c r="X159" i="2" s="1"/>
  <c r="U159" i="2" a="1"/>
  <c r="U159" i="2" s="1"/>
  <c r="G159" i="2"/>
  <c r="F159" i="2"/>
  <c r="BM158" i="2" a="1"/>
  <c r="BM158" i="2" s="1"/>
  <c r="BA158" i="2" a="1"/>
  <c r="BA158" i="2" s="1"/>
  <c r="AO158" i="2" a="1"/>
  <c r="AO158" i="2" s="1"/>
  <c r="Z158" i="2" a="1"/>
  <c r="Z158" i="2" s="1"/>
  <c r="Y158" i="2" a="1"/>
  <c r="Y158" i="2" s="1"/>
  <c r="V158" i="2" a="1"/>
  <c r="V158" i="2" s="1"/>
  <c r="X158" i="2" s="1"/>
  <c r="U158" i="2" a="1"/>
  <c r="U158" i="2" s="1"/>
  <c r="BL158" i="2" s="1"/>
  <c r="G158" i="2"/>
  <c r="F158" i="2"/>
  <c r="BM157" i="2" a="1"/>
  <c r="BM157" i="2" s="1"/>
  <c r="BA157" i="2" a="1"/>
  <c r="BA157" i="2" s="1"/>
  <c r="AO157" i="2" a="1"/>
  <c r="AO157" i="2" s="1"/>
  <c r="Z157" i="2" a="1"/>
  <c r="Z157" i="2" s="1"/>
  <c r="Y157" i="2" a="1"/>
  <c r="Y157" i="2" s="1"/>
  <c r="V157" i="2" a="1"/>
  <c r="V157" i="2" s="1"/>
  <c r="X157" i="2" s="1"/>
  <c r="U157" i="2" a="1"/>
  <c r="U157" i="2" s="1"/>
  <c r="G157" i="2"/>
  <c r="F157" i="2"/>
  <c r="BM156" i="2" a="1"/>
  <c r="BM156" i="2" s="1"/>
  <c r="BA156" i="2" a="1"/>
  <c r="BA156" i="2" s="1"/>
  <c r="AO156" i="2" a="1"/>
  <c r="AO156" i="2" s="1"/>
  <c r="Z156" i="2" a="1"/>
  <c r="Z156" i="2" s="1"/>
  <c r="Y156" i="2" a="1"/>
  <c r="Y156" i="2" s="1"/>
  <c r="V156" i="2" a="1"/>
  <c r="V156" i="2" s="1"/>
  <c r="X156" i="2" s="1"/>
  <c r="U156" i="2" a="1"/>
  <c r="U156" i="2" s="1"/>
  <c r="G156" i="2"/>
  <c r="F156" i="2"/>
  <c r="BM155" i="2" a="1"/>
  <c r="BM155" i="2" s="1"/>
  <c r="BA155" i="2" a="1"/>
  <c r="BA155" i="2" s="1"/>
  <c r="AO155" i="2" a="1"/>
  <c r="AO155" i="2" s="1"/>
  <c r="Z155" i="2" a="1"/>
  <c r="Z155" i="2" s="1"/>
  <c r="Y155" i="2" a="1"/>
  <c r="Y155" i="2" s="1"/>
  <c r="V155" i="2" a="1"/>
  <c r="V155" i="2" s="1"/>
  <c r="X155" i="2" s="1"/>
  <c r="U155" i="2" a="1"/>
  <c r="U155" i="2" s="1"/>
  <c r="G155" i="2"/>
  <c r="F155" i="2"/>
  <c r="BM154" i="2" a="1"/>
  <c r="BM154" i="2" s="1"/>
  <c r="AO154" i="2" a="1"/>
  <c r="AO154" i="2" s="1"/>
  <c r="Z154" i="2" a="1"/>
  <c r="Z154" i="2" s="1"/>
  <c r="Y154" i="2" a="1"/>
  <c r="Y154" i="2" s="1"/>
  <c r="X154" i="2"/>
  <c r="U154" i="2" a="1"/>
  <c r="U154" i="2" s="1"/>
  <c r="G154" i="2"/>
  <c r="F154" i="2"/>
  <c r="BM153" i="2" a="1"/>
  <c r="BM153" i="2" s="1"/>
  <c r="BA153" i="2" a="1"/>
  <c r="BA153" i="2" s="1"/>
  <c r="AO153" i="2" a="1"/>
  <c r="AO153" i="2" s="1"/>
  <c r="Z153" i="2" a="1"/>
  <c r="Z153" i="2" s="1"/>
  <c r="Y153" i="2" a="1"/>
  <c r="Y153" i="2" s="1"/>
  <c r="V153" i="2" a="1"/>
  <c r="V153" i="2" s="1"/>
  <c r="X153" i="2" s="1"/>
  <c r="U153" i="2" a="1"/>
  <c r="U153" i="2" s="1"/>
  <c r="G153" i="2"/>
  <c r="F153" i="2"/>
  <c r="BM152" i="2" a="1"/>
  <c r="BM152" i="2" s="1"/>
  <c r="BA152" i="2" a="1"/>
  <c r="BA152" i="2" s="1"/>
  <c r="AO152" i="2" a="1"/>
  <c r="AO152" i="2" s="1"/>
  <c r="Z152" i="2" a="1"/>
  <c r="Z152" i="2" s="1"/>
  <c r="Y152" i="2" a="1"/>
  <c r="Y152" i="2" s="1"/>
  <c r="V152" i="2" a="1"/>
  <c r="V152" i="2" s="1"/>
  <c r="X152" i="2" s="1"/>
  <c r="U152" i="2" a="1"/>
  <c r="U152" i="2" s="1"/>
  <c r="G152" i="2"/>
  <c r="F152" i="2"/>
  <c r="BM151" i="2" a="1"/>
  <c r="BM151" i="2" s="1"/>
  <c r="BA151" i="2" a="1"/>
  <c r="BA151" i="2" s="1"/>
  <c r="AO151" i="2" a="1"/>
  <c r="AO151" i="2" s="1"/>
  <c r="Z151" i="2" a="1"/>
  <c r="Z151" i="2" s="1"/>
  <c r="Y151" i="2" a="1"/>
  <c r="Y151" i="2" s="1"/>
  <c r="V151" i="2" a="1"/>
  <c r="V151" i="2" s="1"/>
  <c r="X151" i="2" s="1"/>
  <c r="U151" i="2" a="1"/>
  <c r="U151" i="2" s="1"/>
  <c r="BL151" i="2" s="1"/>
  <c r="G151" i="2"/>
  <c r="F151" i="2"/>
  <c r="BM150" i="2" a="1"/>
  <c r="BM150" i="2" s="1"/>
  <c r="BA150" i="2" a="1"/>
  <c r="BA150" i="2" s="1"/>
  <c r="AO150" i="2" a="1"/>
  <c r="AO150" i="2" s="1"/>
  <c r="Z150" i="2" a="1"/>
  <c r="Z150" i="2" s="1"/>
  <c r="Y150" i="2" a="1"/>
  <c r="Y150" i="2" s="1"/>
  <c r="V150" i="2" a="1"/>
  <c r="V150" i="2" s="1"/>
  <c r="X150" i="2" s="1"/>
  <c r="U150" i="2" a="1"/>
  <c r="U150" i="2" s="1"/>
  <c r="G150" i="2"/>
  <c r="F150" i="2"/>
  <c r="BM149" i="2" a="1"/>
  <c r="BM149" i="2" s="1"/>
  <c r="BA149" i="2" a="1"/>
  <c r="BA149" i="2" s="1"/>
  <c r="AO149" i="2" a="1"/>
  <c r="AO149" i="2" s="1"/>
  <c r="Z149" i="2" a="1"/>
  <c r="Z149" i="2" s="1"/>
  <c r="Y149" i="2" a="1"/>
  <c r="Y149" i="2" s="1"/>
  <c r="V149" i="2" a="1"/>
  <c r="V149" i="2" s="1"/>
  <c r="X149" i="2" s="1"/>
  <c r="U149" i="2" a="1"/>
  <c r="U149" i="2" s="1"/>
  <c r="G149" i="2"/>
  <c r="F149" i="2"/>
  <c r="BM148" i="2" a="1"/>
  <c r="BM148" i="2" s="1"/>
  <c r="BA148" i="2" a="1"/>
  <c r="BA148" i="2" s="1"/>
  <c r="AO148" i="2" a="1"/>
  <c r="AO148" i="2" s="1"/>
  <c r="Z148" i="2" a="1"/>
  <c r="Z148" i="2" s="1"/>
  <c r="Y148" i="2" a="1"/>
  <c r="Y148" i="2" s="1"/>
  <c r="V148" i="2" a="1"/>
  <c r="V148" i="2" s="1"/>
  <c r="X148" i="2" s="1"/>
  <c r="U148" i="2" a="1"/>
  <c r="U148" i="2" s="1"/>
  <c r="G148" i="2"/>
  <c r="F148" i="2"/>
  <c r="BM147" i="2" a="1"/>
  <c r="BM147" i="2" s="1"/>
  <c r="BA147" i="2" a="1"/>
  <c r="BA147" i="2" s="1"/>
  <c r="AO147" i="2" a="1"/>
  <c r="AO147" i="2" s="1"/>
  <c r="Z147" i="2" a="1"/>
  <c r="Z147" i="2" s="1"/>
  <c r="Y147" i="2" a="1"/>
  <c r="Y147" i="2" s="1"/>
  <c r="V147" i="2" a="1"/>
  <c r="V147" i="2" s="1"/>
  <c r="X147" i="2" s="1"/>
  <c r="U147" i="2" a="1"/>
  <c r="U147" i="2" s="1"/>
  <c r="BL147" i="2" s="1"/>
  <c r="G147" i="2"/>
  <c r="F147" i="2"/>
  <c r="BM146" i="2" a="1"/>
  <c r="BM146" i="2" s="1"/>
  <c r="BA146" i="2" a="1"/>
  <c r="BA146" i="2" s="1"/>
  <c r="AO146" i="2" a="1"/>
  <c r="AO146" i="2" s="1"/>
  <c r="Z146" i="2" a="1"/>
  <c r="Z146" i="2" s="1"/>
  <c r="Y146" i="2" a="1"/>
  <c r="Y146" i="2" s="1"/>
  <c r="V146" i="2" a="1"/>
  <c r="V146" i="2" s="1"/>
  <c r="X146" i="2" s="1"/>
  <c r="U146" i="2" a="1"/>
  <c r="U146" i="2" s="1"/>
  <c r="G146" i="2"/>
  <c r="F146" i="2"/>
  <c r="BM145" i="2" a="1"/>
  <c r="BM145" i="2" s="1"/>
  <c r="BA145" i="2" a="1"/>
  <c r="BA145" i="2" s="1"/>
  <c r="AO145" i="2" a="1"/>
  <c r="AO145" i="2" s="1"/>
  <c r="Z145" i="2" a="1"/>
  <c r="Z145" i="2" s="1"/>
  <c r="Y145" i="2" a="1"/>
  <c r="Y145" i="2" s="1"/>
  <c r="V145" i="2" a="1"/>
  <c r="V145" i="2" s="1"/>
  <c r="X145" i="2" s="1"/>
  <c r="U145" i="2" a="1"/>
  <c r="U145" i="2" s="1"/>
  <c r="G145" i="2"/>
  <c r="F145" i="2"/>
  <c r="BM144" i="2" a="1"/>
  <c r="BM144" i="2" s="1"/>
  <c r="BA144" i="2" a="1"/>
  <c r="BA144" i="2" s="1"/>
  <c r="AO144" i="2" a="1"/>
  <c r="AO144" i="2" s="1"/>
  <c r="Z144" i="2" a="1"/>
  <c r="Z144" i="2" s="1"/>
  <c r="Y144" i="2" a="1"/>
  <c r="Y144" i="2" s="1"/>
  <c r="V144" i="2" a="1"/>
  <c r="V144" i="2" s="1"/>
  <c r="X144" i="2" s="1"/>
  <c r="U144" i="2" a="1"/>
  <c r="U144" i="2" s="1"/>
  <c r="G144" i="2"/>
  <c r="F144" i="2"/>
  <c r="BM143" i="2" a="1"/>
  <c r="BM143" i="2" s="1"/>
  <c r="BA143" i="2" a="1"/>
  <c r="BA143" i="2" s="1"/>
  <c r="AO143" i="2" a="1"/>
  <c r="AO143" i="2" s="1"/>
  <c r="Z143" i="2" a="1"/>
  <c r="Z143" i="2" s="1"/>
  <c r="Y143" i="2" a="1"/>
  <c r="Y143" i="2" s="1"/>
  <c r="V143" i="2" a="1"/>
  <c r="V143" i="2" s="1"/>
  <c r="X143" i="2" s="1"/>
  <c r="U143" i="2" a="1"/>
  <c r="U143" i="2" s="1"/>
  <c r="G143" i="2"/>
  <c r="F143" i="2"/>
  <c r="BM142" i="2" a="1"/>
  <c r="BM142" i="2" s="1"/>
  <c r="BA142" i="2" a="1"/>
  <c r="BA142" i="2" s="1"/>
  <c r="AO142" i="2" a="1"/>
  <c r="AO142" i="2" s="1"/>
  <c r="Z142" i="2" a="1"/>
  <c r="Z142" i="2" s="1"/>
  <c r="Y142" i="2" a="1"/>
  <c r="Y142" i="2" s="1"/>
  <c r="V142" i="2" a="1"/>
  <c r="V142" i="2" s="1"/>
  <c r="X142" i="2" s="1"/>
  <c r="U142" i="2" a="1"/>
  <c r="U142" i="2" s="1"/>
  <c r="G142" i="2"/>
  <c r="F142" i="2"/>
  <c r="BM141" i="2" a="1"/>
  <c r="BM141" i="2" s="1"/>
  <c r="BA141" i="2" a="1"/>
  <c r="BA141" i="2" s="1"/>
  <c r="AO141" i="2" a="1"/>
  <c r="AO141" i="2" s="1"/>
  <c r="Z141" i="2" a="1"/>
  <c r="Z141" i="2" s="1"/>
  <c r="Y141" i="2" a="1"/>
  <c r="Y141" i="2" s="1"/>
  <c r="V141" i="2" a="1"/>
  <c r="V141" i="2" s="1"/>
  <c r="X141" i="2" s="1"/>
  <c r="U141" i="2" a="1"/>
  <c r="U141" i="2" s="1"/>
  <c r="G141" i="2"/>
  <c r="F141" i="2"/>
  <c r="BM140" i="2" a="1"/>
  <c r="BM140" i="2" s="1"/>
  <c r="BA140" i="2" a="1"/>
  <c r="BA140" i="2" s="1"/>
  <c r="AO140" i="2" a="1"/>
  <c r="AO140" i="2" s="1"/>
  <c r="Z140" i="2" a="1"/>
  <c r="Z140" i="2" s="1"/>
  <c r="Y140" i="2" a="1"/>
  <c r="Y140" i="2" s="1"/>
  <c r="V140" i="2" a="1"/>
  <c r="V140" i="2" s="1"/>
  <c r="X140" i="2" s="1"/>
  <c r="U140" i="2" a="1"/>
  <c r="U140" i="2" s="1"/>
  <c r="G140" i="2"/>
  <c r="F140" i="2"/>
  <c r="BM139" i="2" a="1"/>
  <c r="BM139" i="2" s="1"/>
  <c r="BA139" i="2" a="1"/>
  <c r="BA139" i="2" s="1"/>
  <c r="AO139" i="2" a="1"/>
  <c r="AO139" i="2" s="1"/>
  <c r="Z139" i="2" a="1"/>
  <c r="Z139" i="2" s="1"/>
  <c r="Y139" i="2" a="1"/>
  <c r="Y139" i="2" s="1"/>
  <c r="V139" i="2" a="1"/>
  <c r="V139" i="2" s="1"/>
  <c r="X139" i="2" s="1"/>
  <c r="U139" i="2" a="1"/>
  <c r="U139" i="2" s="1"/>
  <c r="BL139" i="2" s="1"/>
  <c r="G139" i="2"/>
  <c r="F139" i="2"/>
  <c r="BM138" i="2" a="1"/>
  <c r="BM138" i="2" s="1"/>
  <c r="BA138" i="2" a="1"/>
  <c r="BA138" i="2" s="1"/>
  <c r="AO138" i="2" a="1"/>
  <c r="AO138" i="2" s="1"/>
  <c r="Z138" i="2" a="1"/>
  <c r="Z138" i="2" s="1"/>
  <c r="Y138" i="2" a="1"/>
  <c r="Y138" i="2" s="1"/>
  <c r="W138" i="2" a="1"/>
  <c r="W138" i="2" s="1"/>
  <c r="V138" i="2" a="1"/>
  <c r="V138" i="2" s="1"/>
  <c r="U138" i="2" a="1"/>
  <c r="U138" i="2" s="1"/>
  <c r="G138" i="2"/>
  <c r="F138" i="2"/>
  <c r="BM137" i="2" a="1"/>
  <c r="BM137" i="2" s="1"/>
  <c r="BA137" i="2" a="1"/>
  <c r="BA137" i="2" s="1"/>
  <c r="AO137" i="2" a="1"/>
  <c r="AO137" i="2" s="1"/>
  <c r="Z137" i="2" a="1"/>
  <c r="Z137" i="2" s="1"/>
  <c r="Y137" i="2" a="1"/>
  <c r="Y137" i="2" s="1"/>
  <c r="V137" i="2" a="1"/>
  <c r="V137" i="2" s="1"/>
  <c r="X137" i="2" s="1"/>
  <c r="U137" i="2" a="1"/>
  <c r="U137" i="2" s="1"/>
  <c r="G137" i="2"/>
  <c r="F137" i="2"/>
  <c r="BM136" i="2" a="1"/>
  <c r="BM136" i="2" s="1"/>
  <c r="BA136" i="2" a="1"/>
  <c r="BA136" i="2" s="1"/>
  <c r="AO136" i="2" a="1"/>
  <c r="AO136" i="2" s="1"/>
  <c r="Z136" i="2" a="1"/>
  <c r="Z136" i="2" s="1"/>
  <c r="Y136" i="2" a="1"/>
  <c r="Y136" i="2" s="1"/>
  <c r="V136" i="2" a="1"/>
  <c r="V136" i="2" s="1"/>
  <c r="X136" i="2" s="1"/>
  <c r="U136" i="2" a="1"/>
  <c r="U136" i="2" s="1"/>
  <c r="G136" i="2"/>
  <c r="F136" i="2"/>
  <c r="BM135" i="2" a="1"/>
  <c r="BM135" i="2" s="1"/>
  <c r="AO135" i="2" a="1"/>
  <c r="AO135" i="2" s="1"/>
  <c r="Z135" i="2" a="1"/>
  <c r="Z135" i="2" s="1"/>
  <c r="Y135" i="2" a="1"/>
  <c r="Y135" i="2" s="1"/>
  <c r="V135" i="2" a="1"/>
  <c r="V135" i="2" s="1"/>
  <c r="X135" i="2" s="1"/>
  <c r="U135" i="2" a="1"/>
  <c r="U135" i="2" s="1"/>
  <c r="G135" i="2"/>
  <c r="F135" i="2"/>
  <c r="BM134" i="2" a="1"/>
  <c r="BM134" i="2" s="1"/>
  <c r="BA134" i="2" a="1"/>
  <c r="BA134" i="2" s="1"/>
  <c r="AO134" i="2" a="1"/>
  <c r="AO134" i="2" s="1"/>
  <c r="Z134" i="2" a="1"/>
  <c r="Z134" i="2" s="1"/>
  <c r="Y134" i="2" a="1"/>
  <c r="Y134" i="2" s="1"/>
  <c r="V134" i="2" a="1"/>
  <c r="V134" i="2" s="1"/>
  <c r="X134" i="2" s="1"/>
  <c r="U134" i="2" a="1"/>
  <c r="U134" i="2" s="1"/>
  <c r="G134" i="2"/>
  <c r="F134" i="2"/>
  <c r="BM133" i="2" a="1"/>
  <c r="BM133" i="2" s="1"/>
  <c r="BA133" i="2" a="1"/>
  <c r="BA133" i="2" s="1"/>
  <c r="AO133" i="2" a="1"/>
  <c r="AO133" i="2" s="1"/>
  <c r="Z133" i="2" a="1"/>
  <c r="Z133" i="2" s="1"/>
  <c r="Y133" i="2" a="1"/>
  <c r="Y133" i="2" s="1"/>
  <c r="V133" i="2" a="1"/>
  <c r="V133" i="2" s="1"/>
  <c r="X133" i="2" s="1"/>
  <c r="U133" i="2" a="1"/>
  <c r="U133" i="2" s="1"/>
  <c r="G133" i="2"/>
  <c r="F133" i="2"/>
  <c r="BM132" i="2" a="1"/>
  <c r="BM132" i="2" s="1"/>
  <c r="BA132" i="2" a="1"/>
  <c r="BA132" i="2" s="1"/>
  <c r="AO132" i="2" a="1"/>
  <c r="AO132" i="2" s="1"/>
  <c r="Z132" i="2" a="1"/>
  <c r="Z132" i="2" s="1"/>
  <c r="Y132" i="2" a="1"/>
  <c r="Y132" i="2" s="1"/>
  <c r="V132" i="2" a="1"/>
  <c r="V132" i="2" s="1"/>
  <c r="X132" i="2" s="1"/>
  <c r="U132" i="2" a="1"/>
  <c r="U132" i="2" s="1"/>
  <c r="G132" i="2"/>
  <c r="F132" i="2"/>
  <c r="BM131" i="2" a="1"/>
  <c r="BM131" i="2" s="1"/>
  <c r="BA131" i="2" a="1"/>
  <c r="BA131" i="2" s="1"/>
  <c r="AO131" i="2" a="1"/>
  <c r="AO131" i="2" s="1"/>
  <c r="Z131" i="2" a="1"/>
  <c r="Z131" i="2" s="1"/>
  <c r="Y131" i="2" a="1"/>
  <c r="Y131" i="2" s="1"/>
  <c r="V131" i="2" a="1"/>
  <c r="V131" i="2" s="1"/>
  <c r="X131" i="2" s="1"/>
  <c r="U131" i="2" a="1"/>
  <c r="U131" i="2" s="1"/>
  <c r="G131" i="2"/>
  <c r="F131" i="2"/>
  <c r="BM130" i="2" a="1"/>
  <c r="BM130" i="2" s="1"/>
  <c r="BA130" i="2" a="1"/>
  <c r="BA130" i="2" s="1"/>
  <c r="AO130" i="2" a="1"/>
  <c r="AO130" i="2" s="1"/>
  <c r="Z130" i="2" a="1"/>
  <c r="Z130" i="2" s="1"/>
  <c r="Y130" i="2" a="1"/>
  <c r="Y130" i="2" s="1"/>
  <c r="V130" i="2" a="1"/>
  <c r="V130" i="2" s="1"/>
  <c r="X130" i="2" s="1"/>
  <c r="U130" i="2" a="1"/>
  <c r="U130" i="2" s="1"/>
  <c r="BL130" i="2" s="1"/>
  <c r="G130" i="2"/>
  <c r="F130" i="2"/>
  <c r="BM129" i="2" a="1"/>
  <c r="BM129" i="2" s="1"/>
  <c r="BA129" i="2" a="1"/>
  <c r="BA129" i="2" s="1"/>
  <c r="AO129" i="2" a="1"/>
  <c r="AO129" i="2" s="1"/>
  <c r="Z129" i="2" a="1"/>
  <c r="Z129" i="2" s="1"/>
  <c r="Y129" i="2" a="1"/>
  <c r="Y129" i="2" s="1"/>
  <c r="V129" i="2" a="1"/>
  <c r="V129" i="2" s="1"/>
  <c r="X129" i="2" s="1"/>
  <c r="U129" i="2" a="1"/>
  <c r="U129" i="2" s="1"/>
  <c r="G129" i="2"/>
  <c r="F129" i="2"/>
  <c r="BM128" i="2" a="1"/>
  <c r="BM128" i="2" s="1"/>
  <c r="BA128" i="2" a="1"/>
  <c r="BA128" i="2" s="1"/>
  <c r="AO128" i="2" a="1"/>
  <c r="AO128" i="2" s="1"/>
  <c r="Z128" i="2" a="1"/>
  <c r="Z128" i="2" s="1"/>
  <c r="Y128" i="2" a="1"/>
  <c r="Y128" i="2" s="1"/>
  <c r="V128" i="2" a="1"/>
  <c r="V128" i="2" s="1"/>
  <c r="X128" i="2" s="1"/>
  <c r="U128" i="2" a="1"/>
  <c r="U128" i="2" s="1"/>
  <c r="G128" i="2"/>
  <c r="F128" i="2"/>
  <c r="BM127" i="2" a="1"/>
  <c r="BM127" i="2" s="1"/>
  <c r="BA127" i="2" a="1"/>
  <c r="BA127" i="2" s="1"/>
  <c r="AO127" i="2" a="1"/>
  <c r="AO127" i="2" s="1"/>
  <c r="Z127" i="2" a="1"/>
  <c r="Z127" i="2" s="1"/>
  <c r="Y127" i="2" a="1"/>
  <c r="Y127" i="2" s="1"/>
  <c r="V127" i="2" a="1"/>
  <c r="V127" i="2" s="1"/>
  <c r="X127" i="2" s="1"/>
  <c r="U127" i="2" a="1"/>
  <c r="U127" i="2" s="1"/>
  <c r="G127" i="2"/>
  <c r="F127" i="2"/>
  <c r="BM126" i="2" a="1"/>
  <c r="BM126" i="2" s="1"/>
  <c r="AO126" i="2" a="1"/>
  <c r="AO126" i="2" s="1"/>
  <c r="Z126" i="2" a="1"/>
  <c r="Z126" i="2" s="1"/>
  <c r="Y126" i="2" a="1"/>
  <c r="Y126" i="2" s="1"/>
  <c r="V126" i="2" a="1"/>
  <c r="V126" i="2" s="1"/>
  <c r="X126" i="2" s="1"/>
  <c r="U126" i="2" a="1"/>
  <c r="U126" i="2" s="1"/>
  <c r="BL126" i="2" s="1"/>
  <c r="G126" i="2"/>
  <c r="F126" i="2"/>
  <c r="BM125" i="2" a="1"/>
  <c r="BM125" i="2" s="1"/>
  <c r="BA125" i="2" a="1"/>
  <c r="BA125" i="2" s="1"/>
  <c r="AO125" i="2" a="1"/>
  <c r="AO125" i="2" s="1"/>
  <c r="Z125" i="2" a="1"/>
  <c r="Z125" i="2" s="1"/>
  <c r="Y125" i="2" a="1"/>
  <c r="Y125" i="2" s="1"/>
  <c r="V125" i="2" a="1"/>
  <c r="V125" i="2" s="1"/>
  <c r="X125" i="2" s="1"/>
  <c r="U125" i="2" a="1"/>
  <c r="U125" i="2" s="1"/>
  <c r="G125" i="2"/>
  <c r="F125" i="2"/>
  <c r="BM124" i="2" a="1"/>
  <c r="BM124" i="2" s="1"/>
  <c r="AO124" i="2" a="1"/>
  <c r="AO124" i="2" s="1"/>
  <c r="Z124" i="2" a="1"/>
  <c r="Z124" i="2" s="1"/>
  <c r="Y124" i="2" a="1"/>
  <c r="Y124" i="2" s="1"/>
  <c r="V124" i="2" a="1"/>
  <c r="V124" i="2" s="1"/>
  <c r="X124" i="2" s="1"/>
  <c r="U124" i="2" a="1"/>
  <c r="U124" i="2" s="1"/>
  <c r="G124" i="2"/>
  <c r="F124" i="2"/>
  <c r="BM123" i="2" a="1"/>
  <c r="BM123" i="2" s="1"/>
  <c r="BA123" i="2" a="1"/>
  <c r="BA123" i="2" s="1"/>
  <c r="AO123" i="2" a="1"/>
  <c r="AO123" i="2" s="1"/>
  <c r="Z123" i="2" a="1"/>
  <c r="Z123" i="2" s="1"/>
  <c r="Y123" i="2" a="1"/>
  <c r="Y123" i="2" s="1"/>
  <c r="V123" i="2" a="1"/>
  <c r="V123" i="2" s="1"/>
  <c r="X123" i="2" s="1"/>
  <c r="U123" i="2" a="1"/>
  <c r="U123" i="2" s="1"/>
  <c r="G123" i="2"/>
  <c r="F123" i="2"/>
  <c r="BM122" i="2" a="1"/>
  <c r="BM122" i="2" s="1"/>
  <c r="BA122" i="2" a="1"/>
  <c r="BA122" i="2" s="1"/>
  <c r="AO122" i="2" a="1"/>
  <c r="AO122" i="2" s="1"/>
  <c r="Z122" i="2" a="1"/>
  <c r="Z122" i="2" s="1"/>
  <c r="Y122" i="2" a="1"/>
  <c r="Y122" i="2" s="1"/>
  <c r="W122" i="2" a="1"/>
  <c r="W122" i="2" s="1"/>
  <c r="V122" i="2" a="1"/>
  <c r="V122" i="2" s="1"/>
  <c r="U122" i="2" a="1"/>
  <c r="U122" i="2" s="1"/>
  <c r="G122" i="2"/>
  <c r="F122" i="2"/>
  <c r="BM121" i="2" a="1"/>
  <c r="BM121" i="2" s="1"/>
  <c r="AO121" i="2" a="1"/>
  <c r="AO121" i="2" s="1"/>
  <c r="Z121" i="2" a="1"/>
  <c r="Z121" i="2" s="1"/>
  <c r="Y121" i="2" a="1"/>
  <c r="Y121" i="2" s="1"/>
  <c r="V121" i="2" a="1"/>
  <c r="V121" i="2" s="1"/>
  <c r="X121" i="2" s="1"/>
  <c r="U121" i="2" a="1"/>
  <c r="U121" i="2" s="1"/>
  <c r="G121" i="2"/>
  <c r="F121" i="2"/>
  <c r="BM120" i="2" a="1"/>
  <c r="BM120" i="2" s="1"/>
  <c r="BA120" i="2" a="1"/>
  <c r="BA120" i="2" s="1"/>
  <c r="AO120" i="2" a="1"/>
  <c r="AO120" i="2" s="1"/>
  <c r="Z120" i="2" a="1"/>
  <c r="Z120" i="2" s="1"/>
  <c r="Y120" i="2" a="1"/>
  <c r="Y120" i="2" s="1"/>
  <c r="V120" i="2" a="1"/>
  <c r="V120" i="2" s="1"/>
  <c r="X120" i="2" s="1"/>
  <c r="U120" i="2" a="1"/>
  <c r="U120" i="2" s="1"/>
  <c r="BL120" i="2" s="1"/>
  <c r="G120" i="2"/>
  <c r="F120" i="2"/>
  <c r="BM119" i="2" a="1"/>
  <c r="BM119" i="2" s="1"/>
  <c r="BA119" i="2" a="1"/>
  <c r="BA119" i="2" s="1"/>
  <c r="AO119" i="2" a="1"/>
  <c r="AO119" i="2" s="1"/>
  <c r="Z119" i="2" a="1"/>
  <c r="Z119" i="2" s="1"/>
  <c r="Y119" i="2" a="1"/>
  <c r="Y119" i="2" s="1"/>
  <c r="V119" i="2" a="1"/>
  <c r="V119" i="2" s="1"/>
  <c r="X119" i="2" s="1"/>
  <c r="U119" i="2" a="1"/>
  <c r="U119" i="2" s="1"/>
  <c r="G119" i="2"/>
  <c r="F119" i="2"/>
  <c r="BM118" i="2" a="1"/>
  <c r="BM118" i="2" s="1"/>
  <c r="BA118" i="2" a="1"/>
  <c r="BA118" i="2" s="1"/>
  <c r="AO118" i="2" a="1"/>
  <c r="AO118" i="2" s="1"/>
  <c r="Z118" i="2" a="1"/>
  <c r="Z118" i="2" s="1"/>
  <c r="Y118" i="2" a="1"/>
  <c r="Y118" i="2" s="1"/>
  <c r="V118" i="2" a="1"/>
  <c r="V118" i="2" s="1"/>
  <c r="X118" i="2" s="1"/>
  <c r="U118" i="2" a="1"/>
  <c r="U118" i="2" s="1"/>
  <c r="G118" i="2"/>
  <c r="F118" i="2"/>
  <c r="BM117" i="2" a="1"/>
  <c r="BM117" i="2" s="1"/>
  <c r="AO117" i="2" a="1"/>
  <c r="AO117" i="2" s="1"/>
  <c r="Z117" i="2" a="1"/>
  <c r="Z117" i="2" s="1"/>
  <c r="Y117" i="2" a="1"/>
  <c r="Y117" i="2" s="1"/>
  <c r="V117" i="2" a="1"/>
  <c r="V117" i="2" s="1"/>
  <c r="X117" i="2" s="1"/>
  <c r="U117" i="2" a="1"/>
  <c r="U117" i="2" s="1"/>
  <c r="G117" i="2"/>
  <c r="F117" i="2"/>
  <c r="BM116" i="2" a="1"/>
  <c r="BM116" i="2" s="1"/>
  <c r="BA116" i="2" a="1"/>
  <c r="BA116" i="2" s="1"/>
  <c r="AO116" i="2" a="1"/>
  <c r="AO116" i="2" s="1"/>
  <c r="Z116" i="2" a="1"/>
  <c r="Z116" i="2" s="1"/>
  <c r="Y116" i="2" a="1"/>
  <c r="Y116" i="2" s="1"/>
  <c r="V116" i="2" a="1"/>
  <c r="V116" i="2" s="1"/>
  <c r="X116" i="2" s="1"/>
  <c r="U116" i="2" a="1"/>
  <c r="U116" i="2" s="1"/>
  <c r="BL116" i="2" s="1"/>
  <c r="G116" i="2"/>
  <c r="F116" i="2"/>
  <c r="BM115" i="2" a="1"/>
  <c r="BM115" i="2" s="1"/>
  <c r="BA115" i="2" a="1"/>
  <c r="BA115" i="2" s="1"/>
  <c r="AO115" i="2" a="1"/>
  <c r="AO115" i="2" s="1"/>
  <c r="Z115" i="2" a="1"/>
  <c r="Z115" i="2" s="1"/>
  <c r="Y115" i="2" a="1"/>
  <c r="Y115" i="2" s="1"/>
  <c r="V115" i="2" a="1"/>
  <c r="V115" i="2" s="1"/>
  <c r="X115" i="2" s="1"/>
  <c r="U115" i="2" a="1"/>
  <c r="U115" i="2" s="1"/>
  <c r="BL115" i="2" s="1"/>
  <c r="G115" i="2"/>
  <c r="F115" i="2"/>
  <c r="BM114" i="2" a="1"/>
  <c r="BM114" i="2" s="1"/>
  <c r="AO114" i="2" a="1"/>
  <c r="AO114" i="2" s="1"/>
  <c r="Z114" i="2" a="1"/>
  <c r="Z114" i="2" s="1"/>
  <c r="Y114" i="2" a="1"/>
  <c r="Y114" i="2" s="1"/>
  <c r="V114" i="2" a="1"/>
  <c r="V114" i="2" s="1"/>
  <c r="X114" i="2" s="1"/>
  <c r="U114" i="2" a="1"/>
  <c r="U114" i="2" s="1"/>
  <c r="G114" i="2"/>
  <c r="F114" i="2"/>
  <c r="BM113" i="2" a="1"/>
  <c r="BM113" i="2" s="1"/>
  <c r="AO113" i="2" a="1"/>
  <c r="AO113" i="2" s="1"/>
  <c r="Z113" i="2" a="1"/>
  <c r="Z113" i="2" s="1"/>
  <c r="Y113" i="2" a="1"/>
  <c r="Y113" i="2" s="1"/>
  <c r="V113" i="2" a="1"/>
  <c r="V113" i="2" s="1"/>
  <c r="X113" i="2" s="1"/>
  <c r="U113" i="2" a="1"/>
  <c r="U113" i="2" s="1"/>
  <c r="G113" i="2"/>
  <c r="F113" i="2"/>
  <c r="BM112" i="2" a="1"/>
  <c r="BM112" i="2" s="1"/>
  <c r="BA112" i="2" a="1"/>
  <c r="BA112" i="2" s="1"/>
  <c r="AO112" i="2" a="1"/>
  <c r="AO112" i="2" s="1"/>
  <c r="Z112" i="2" a="1"/>
  <c r="Z112" i="2" s="1"/>
  <c r="Y112" i="2" a="1"/>
  <c r="Y112" i="2" s="1"/>
  <c r="V112" i="2" a="1"/>
  <c r="V112" i="2" s="1"/>
  <c r="X112" i="2" s="1"/>
  <c r="U112" i="2" a="1"/>
  <c r="U112" i="2" s="1"/>
  <c r="G112" i="2"/>
  <c r="F112" i="2"/>
  <c r="BM111" i="2" a="1"/>
  <c r="BM111" i="2" s="1"/>
  <c r="BA111" i="2" a="1"/>
  <c r="BA111" i="2" s="1"/>
  <c r="AO111" i="2" a="1"/>
  <c r="AO111" i="2" s="1"/>
  <c r="Z111" i="2" a="1"/>
  <c r="Z111" i="2" s="1"/>
  <c r="Y111" i="2" a="1"/>
  <c r="Y111" i="2" s="1"/>
  <c r="V111" i="2" a="1"/>
  <c r="V111" i="2" s="1"/>
  <c r="X111" i="2" s="1"/>
  <c r="U111" i="2" a="1"/>
  <c r="U111" i="2" s="1"/>
  <c r="G111" i="2"/>
  <c r="F111" i="2"/>
  <c r="BM110" i="2" a="1"/>
  <c r="BM110" i="2" s="1"/>
  <c r="BA110" i="2" a="1"/>
  <c r="BA110" i="2" s="1"/>
  <c r="AO110" i="2" a="1"/>
  <c r="AO110" i="2" s="1"/>
  <c r="Z110" i="2" a="1"/>
  <c r="Z110" i="2" s="1"/>
  <c r="Y110" i="2" a="1"/>
  <c r="Y110" i="2" s="1"/>
  <c r="V110" i="2" a="1"/>
  <c r="V110" i="2" s="1"/>
  <c r="X110" i="2" s="1"/>
  <c r="U110" i="2" a="1"/>
  <c r="U110" i="2" s="1"/>
  <c r="G110" i="2"/>
  <c r="F110" i="2"/>
  <c r="BM109" i="2" a="1"/>
  <c r="BM109" i="2" s="1"/>
  <c r="BA109" i="2" a="1"/>
  <c r="BA109" i="2" s="1"/>
  <c r="AO109" i="2" a="1"/>
  <c r="AO109" i="2" s="1"/>
  <c r="Z109" i="2" a="1"/>
  <c r="Z109" i="2" s="1"/>
  <c r="Y109" i="2" a="1"/>
  <c r="Y109" i="2" s="1"/>
  <c r="V109" i="2" a="1"/>
  <c r="V109" i="2" s="1"/>
  <c r="X109" i="2" s="1"/>
  <c r="U109" i="2" a="1"/>
  <c r="U109" i="2" s="1"/>
  <c r="BL109" i="2" s="1"/>
  <c r="G109" i="2"/>
  <c r="F109" i="2"/>
  <c r="BM108" i="2" a="1"/>
  <c r="BM108" i="2" s="1"/>
  <c r="BA108" i="2" a="1"/>
  <c r="BA108" i="2" s="1"/>
  <c r="AO108" i="2" a="1"/>
  <c r="AO108" i="2" s="1"/>
  <c r="Z108" i="2" a="1"/>
  <c r="Z108" i="2" s="1"/>
  <c r="Y108" i="2" a="1"/>
  <c r="Y108" i="2" s="1"/>
  <c r="V108" i="2" a="1"/>
  <c r="V108" i="2" s="1"/>
  <c r="X108" i="2" s="1"/>
  <c r="U108" i="2" a="1"/>
  <c r="U108" i="2" s="1"/>
  <c r="G108" i="2"/>
  <c r="F108" i="2"/>
  <c r="BM107" i="2" a="1"/>
  <c r="BM107" i="2" s="1"/>
  <c r="BA107" i="2" a="1"/>
  <c r="BA107" i="2" s="1"/>
  <c r="AO107" i="2" a="1"/>
  <c r="AO107" i="2" s="1"/>
  <c r="Z107" i="2" a="1"/>
  <c r="Z107" i="2" s="1"/>
  <c r="Y107" i="2" a="1"/>
  <c r="Y107" i="2" s="1"/>
  <c r="V107" i="2" a="1"/>
  <c r="V107" i="2" s="1"/>
  <c r="X107" i="2" s="1"/>
  <c r="U107" i="2" a="1"/>
  <c r="U107" i="2" s="1"/>
  <c r="G107" i="2"/>
  <c r="F107" i="2"/>
  <c r="BM106" i="2" a="1"/>
  <c r="BM106" i="2" s="1"/>
  <c r="BA106" i="2" a="1"/>
  <c r="BA106" i="2" s="1"/>
  <c r="AO106" i="2" a="1"/>
  <c r="AO106" i="2" s="1"/>
  <c r="Z106" i="2" a="1"/>
  <c r="Z106" i="2" s="1"/>
  <c r="Y106" i="2" a="1"/>
  <c r="Y106" i="2" s="1"/>
  <c r="V106" i="2" a="1"/>
  <c r="V106" i="2" s="1"/>
  <c r="X106" i="2" s="1"/>
  <c r="U106" i="2" a="1"/>
  <c r="U106" i="2" s="1"/>
  <c r="G106" i="2"/>
  <c r="F106" i="2"/>
  <c r="BM105" i="2" a="1"/>
  <c r="BM105" i="2" s="1"/>
  <c r="BA105" i="2" a="1"/>
  <c r="BA105" i="2" s="1"/>
  <c r="AO105" i="2" a="1"/>
  <c r="AO105" i="2" s="1"/>
  <c r="Z105" i="2" a="1"/>
  <c r="Z105" i="2" s="1"/>
  <c r="Y105" i="2" a="1"/>
  <c r="Y105" i="2" s="1"/>
  <c r="V105" i="2" a="1"/>
  <c r="V105" i="2" s="1"/>
  <c r="X105" i="2" s="1"/>
  <c r="U105" i="2" a="1"/>
  <c r="U105" i="2" s="1"/>
  <c r="G105" i="2"/>
  <c r="F105" i="2"/>
  <c r="BM104" i="2" a="1"/>
  <c r="BM104" i="2" s="1"/>
  <c r="BA104" i="2" a="1"/>
  <c r="BA104" i="2" s="1"/>
  <c r="AO104" i="2" a="1"/>
  <c r="AO104" i="2" s="1"/>
  <c r="Z104" i="2" a="1"/>
  <c r="Z104" i="2" s="1"/>
  <c r="Y104" i="2" a="1"/>
  <c r="Y104" i="2" s="1"/>
  <c r="V104" i="2" a="1"/>
  <c r="V104" i="2" s="1"/>
  <c r="X104" i="2" s="1"/>
  <c r="U104" i="2" a="1"/>
  <c r="U104" i="2" s="1"/>
  <c r="G104" i="2"/>
  <c r="F104" i="2"/>
  <c r="BM103" i="2" a="1"/>
  <c r="BM103" i="2" s="1"/>
  <c r="BA103" i="2" a="1"/>
  <c r="BA103" i="2" s="1"/>
  <c r="AO103" i="2" a="1"/>
  <c r="AO103" i="2" s="1"/>
  <c r="Z103" i="2" a="1"/>
  <c r="Z103" i="2" s="1"/>
  <c r="Y103" i="2" a="1"/>
  <c r="Y103" i="2" s="1"/>
  <c r="W103" i="2" a="1"/>
  <c r="W103" i="2" s="1"/>
  <c r="V103" i="2" a="1"/>
  <c r="V103" i="2" s="1"/>
  <c r="U103" i="2" a="1"/>
  <c r="U103" i="2" s="1"/>
  <c r="G103" i="2"/>
  <c r="F103" i="2"/>
  <c r="BM102" i="2" a="1"/>
  <c r="BM102" i="2" s="1"/>
  <c r="BA102" i="2" a="1"/>
  <c r="BA102" i="2" s="1"/>
  <c r="AO102" i="2" a="1"/>
  <c r="AO102" i="2" s="1"/>
  <c r="Z102" i="2" a="1"/>
  <c r="Z102" i="2" s="1"/>
  <c r="Y102" i="2" a="1"/>
  <c r="Y102" i="2" s="1"/>
  <c r="V102" i="2" a="1"/>
  <c r="V102" i="2" s="1"/>
  <c r="X102" i="2" s="1"/>
  <c r="U102" i="2" a="1"/>
  <c r="U102" i="2" s="1"/>
  <c r="G102" i="2"/>
  <c r="F102" i="2"/>
  <c r="BM101" i="2" a="1"/>
  <c r="BM101" i="2" s="1"/>
  <c r="BA101" i="2" a="1"/>
  <c r="BA101" i="2" s="1"/>
  <c r="AO101" i="2" a="1"/>
  <c r="AO101" i="2" s="1"/>
  <c r="Z101" i="2" a="1"/>
  <c r="Z101" i="2" s="1"/>
  <c r="Y101" i="2" a="1"/>
  <c r="Y101" i="2" s="1"/>
  <c r="V101" i="2" a="1"/>
  <c r="V101" i="2" s="1"/>
  <c r="X101" i="2" s="1"/>
  <c r="U101" i="2" a="1"/>
  <c r="U101" i="2" s="1"/>
  <c r="G101" i="2"/>
  <c r="F101" i="2"/>
  <c r="BM100" i="2" a="1"/>
  <c r="BM100" i="2" s="1"/>
  <c r="BA100" i="2" a="1"/>
  <c r="BA100" i="2" s="1"/>
  <c r="AO100" i="2" a="1"/>
  <c r="AO100" i="2" s="1"/>
  <c r="Z100" i="2" a="1"/>
  <c r="Z100" i="2" s="1"/>
  <c r="Y100" i="2" a="1"/>
  <c r="Y100" i="2" s="1"/>
  <c r="V100" i="2" a="1"/>
  <c r="V100" i="2" s="1"/>
  <c r="X100" i="2" s="1"/>
  <c r="U100" i="2" a="1"/>
  <c r="U100" i="2" s="1"/>
  <c r="G100" i="2"/>
  <c r="F100" i="2"/>
  <c r="BM99" i="2" a="1"/>
  <c r="BM99" i="2" s="1"/>
  <c r="BA99" i="2" a="1"/>
  <c r="BA99" i="2" s="1"/>
  <c r="AO99" i="2" a="1"/>
  <c r="AO99" i="2" s="1"/>
  <c r="Z99" i="2" a="1"/>
  <c r="Z99" i="2" s="1"/>
  <c r="Y99" i="2" a="1"/>
  <c r="Y99" i="2" s="1"/>
  <c r="V99" i="2" a="1"/>
  <c r="V99" i="2" s="1"/>
  <c r="X99" i="2" s="1"/>
  <c r="U99" i="2" a="1"/>
  <c r="U99" i="2" s="1"/>
  <c r="G99" i="2"/>
  <c r="F99" i="2"/>
  <c r="BM98" i="2" a="1"/>
  <c r="BM98" i="2" s="1"/>
  <c r="BA98" i="2" a="1"/>
  <c r="BA98" i="2" s="1"/>
  <c r="AO98" i="2" a="1"/>
  <c r="AO98" i="2" s="1"/>
  <c r="Z98" i="2" a="1"/>
  <c r="Z98" i="2" s="1"/>
  <c r="Y98" i="2" a="1"/>
  <c r="Y98" i="2" s="1"/>
  <c r="V98" i="2" a="1"/>
  <c r="V98" i="2" s="1"/>
  <c r="X98" i="2" s="1"/>
  <c r="U98" i="2" a="1"/>
  <c r="U98" i="2" s="1"/>
  <c r="G98" i="2"/>
  <c r="F98" i="2"/>
  <c r="BM97" i="2" a="1"/>
  <c r="BM97" i="2" s="1"/>
  <c r="BA97" i="2" a="1"/>
  <c r="BA97" i="2" s="1"/>
  <c r="AO97" i="2" a="1"/>
  <c r="AO97" i="2" s="1"/>
  <c r="Z97" i="2" a="1"/>
  <c r="Z97" i="2" s="1"/>
  <c r="Y97" i="2" a="1"/>
  <c r="Y97" i="2" s="1"/>
  <c r="V97" i="2" a="1"/>
  <c r="V97" i="2" s="1"/>
  <c r="X97" i="2" s="1"/>
  <c r="U97" i="2" a="1"/>
  <c r="U97" i="2" s="1"/>
  <c r="G97" i="2"/>
  <c r="F97" i="2"/>
  <c r="BM96" i="2" a="1"/>
  <c r="BM96" i="2" s="1"/>
  <c r="BA96" i="2" a="1"/>
  <c r="BA96" i="2" s="1"/>
  <c r="AO96" i="2" a="1"/>
  <c r="AO96" i="2" s="1"/>
  <c r="Z96" i="2" a="1"/>
  <c r="Z96" i="2" s="1"/>
  <c r="Y96" i="2" a="1"/>
  <c r="Y96" i="2" s="1"/>
  <c r="V96" i="2" a="1"/>
  <c r="V96" i="2" s="1"/>
  <c r="X96" i="2" s="1"/>
  <c r="U96" i="2" a="1"/>
  <c r="U96" i="2" s="1"/>
  <c r="G96" i="2"/>
  <c r="F96" i="2"/>
  <c r="BM95" i="2" a="1"/>
  <c r="BM95" i="2" s="1"/>
  <c r="BA95" i="2" a="1"/>
  <c r="BA95" i="2" s="1"/>
  <c r="AO95" i="2" a="1"/>
  <c r="AO95" i="2" s="1"/>
  <c r="Z95" i="2" a="1"/>
  <c r="Z95" i="2" s="1"/>
  <c r="Y95" i="2" a="1"/>
  <c r="Y95" i="2" s="1"/>
  <c r="V95" i="2" a="1"/>
  <c r="V95" i="2" s="1"/>
  <c r="X95" i="2" s="1"/>
  <c r="U95" i="2" a="1"/>
  <c r="U95" i="2" s="1"/>
  <c r="G95" i="2"/>
  <c r="F95" i="2"/>
  <c r="BM94" i="2" a="1"/>
  <c r="BM94" i="2" s="1"/>
  <c r="BA94" i="2" a="1"/>
  <c r="BA94" i="2" s="1"/>
  <c r="AO94" i="2" a="1"/>
  <c r="AO94" i="2" s="1"/>
  <c r="Z94" i="2" a="1"/>
  <c r="Z94" i="2" s="1"/>
  <c r="Y94" i="2" a="1"/>
  <c r="Y94" i="2" s="1"/>
  <c r="V94" i="2" a="1"/>
  <c r="V94" i="2" s="1"/>
  <c r="X94" i="2" s="1"/>
  <c r="U94" i="2" a="1"/>
  <c r="U94" i="2" s="1"/>
  <c r="G94" i="2"/>
  <c r="F94" i="2"/>
  <c r="BM93" i="2" a="1"/>
  <c r="BM93" i="2" s="1"/>
  <c r="BA93" i="2" a="1"/>
  <c r="BA93" i="2" s="1"/>
  <c r="AO93" i="2" a="1"/>
  <c r="AO93" i="2" s="1"/>
  <c r="Z93" i="2" a="1"/>
  <c r="Z93" i="2" s="1"/>
  <c r="Y93" i="2" a="1"/>
  <c r="Y93" i="2" s="1"/>
  <c r="V93" i="2" a="1"/>
  <c r="V93" i="2" s="1"/>
  <c r="X93" i="2" s="1"/>
  <c r="U93" i="2" a="1"/>
  <c r="U93" i="2" s="1"/>
  <c r="G93" i="2"/>
  <c r="F93" i="2"/>
  <c r="BM92" i="2" a="1"/>
  <c r="BM92" i="2" s="1"/>
  <c r="BA92" i="2" a="1"/>
  <c r="BA92" i="2" s="1"/>
  <c r="AO92" i="2" a="1"/>
  <c r="AO92" i="2" s="1"/>
  <c r="Z92" i="2" a="1"/>
  <c r="Z92" i="2" s="1"/>
  <c r="Y92" i="2" a="1"/>
  <c r="Y92" i="2" s="1"/>
  <c r="V92" i="2" a="1"/>
  <c r="V92" i="2" s="1"/>
  <c r="X92" i="2" s="1"/>
  <c r="U92" i="2" a="1"/>
  <c r="U92" i="2" s="1"/>
  <c r="G92" i="2"/>
  <c r="F92" i="2"/>
  <c r="BM91" i="2" a="1"/>
  <c r="BM91" i="2" s="1"/>
  <c r="BA91" i="2" a="1"/>
  <c r="BA91" i="2" s="1"/>
  <c r="AO91" i="2" a="1"/>
  <c r="AO91" i="2" s="1"/>
  <c r="Z91" i="2" a="1"/>
  <c r="Z91" i="2" s="1"/>
  <c r="Y91" i="2" a="1"/>
  <c r="Y91" i="2" s="1"/>
  <c r="V91" i="2" a="1"/>
  <c r="V91" i="2" s="1"/>
  <c r="X91" i="2" s="1"/>
  <c r="U91" i="2" a="1"/>
  <c r="U91" i="2" s="1"/>
  <c r="G91" i="2"/>
  <c r="F91" i="2"/>
  <c r="BM90" i="2" a="1"/>
  <c r="BM90" i="2" s="1"/>
  <c r="BA90" i="2" a="1"/>
  <c r="BA90" i="2" s="1"/>
  <c r="AO90" i="2" a="1"/>
  <c r="AO90" i="2" s="1"/>
  <c r="Z90" i="2" a="1"/>
  <c r="Z90" i="2" s="1"/>
  <c r="Y90" i="2" a="1"/>
  <c r="Y90" i="2" s="1"/>
  <c r="V90" i="2" a="1"/>
  <c r="V90" i="2" s="1"/>
  <c r="X90" i="2" s="1"/>
  <c r="U90" i="2" a="1"/>
  <c r="U90" i="2" s="1"/>
  <c r="G90" i="2"/>
  <c r="F90" i="2"/>
  <c r="BM89" i="2" a="1"/>
  <c r="BM89" i="2" s="1"/>
  <c r="BA89" i="2" a="1"/>
  <c r="BA89" i="2" s="1"/>
  <c r="AO89" i="2" a="1"/>
  <c r="AO89" i="2" s="1"/>
  <c r="Z89" i="2" a="1"/>
  <c r="Z89" i="2" s="1"/>
  <c r="Y89" i="2" a="1"/>
  <c r="Y89" i="2" s="1"/>
  <c r="V89" i="2" a="1"/>
  <c r="V89" i="2" s="1"/>
  <c r="X89" i="2" s="1"/>
  <c r="U89" i="2" a="1"/>
  <c r="U89" i="2" s="1"/>
  <c r="G89" i="2"/>
  <c r="F89" i="2"/>
  <c r="BM88" i="2" a="1"/>
  <c r="BM88" i="2" s="1"/>
  <c r="BA88" i="2" a="1"/>
  <c r="BA88" i="2" s="1"/>
  <c r="AO88" i="2" a="1"/>
  <c r="AO88" i="2" s="1"/>
  <c r="Z88" i="2" a="1"/>
  <c r="Z88" i="2" s="1"/>
  <c r="Y88" i="2" a="1"/>
  <c r="Y88" i="2" s="1"/>
  <c r="V88" i="2" a="1"/>
  <c r="V88" i="2" s="1"/>
  <c r="X88" i="2" s="1"/>
  <c r="U88" i="2" a="1"/>
  <c r="U88" i="2" s="1"/>
  <c r="G88" i="2"/>
  <c r="F88" i="2"/>
  <c r="BM87" i="2" a="1"/>
  <c r="BM87" i="2" s="1"/>
  <c r="BA87" i="2" a="1"/>
  <c r="BA87" i="2" s="1"/>
  <c r="AO87" i="2" a="1"/>
  <c r="AO87" i="2" s="1"/>
  <c r="Z87" i="2" a="1"/>
  <c r="Z87" i="2" s="1"/>
  <c r="Y87" i="2" a="1"/>
  <c r="Y87" i="2" s="1"/>
  <c r="V87" i="2" a="1"/>
  <c r="V87" i="2" s="1"/>
  <c r="X87" i="2" s="1"/>
  <c r="U87" i="2" a="1"/>
  <c r="U87" i="2" s="1"/>
  <c r="G87" i="2"/>
  <c r="F87" i="2"/>
  <c r="BM86" i="2" a="1"/>
  <c r="BM86" i="2" s="1"/>
  <c r="AO86" i="2" a="1"/>
  <c r="AO86" i="2" s="1"/>
  <c r="Z86" i="2" a="1"/>
  <c r="Z86" i="2" s="1"/>
  <c r="Y86" i="2" a="1"/>
  <c r="Y86" i="2" s="1"/>
  <c r="V86" i="2" a="1"/>
  <c r="V86" i="2" s="1"/>
  <c r="X86" i="2" s="1"/>
  <c r="U86" i="2" a="1"/>
  <c r="U86" i="2" s="1"/>
  <c r="G86" i="2"/>
  <c r="F86" i="2"/>
  <c r="BM85" i="2" a="1"/>
  <c r="BM85" i="2" s="1"/>
  <c r="AO85" i="2" a="1"/>
  <c r="AO85" i="2" s="1"/>
  <c r="Z85" i="2" a="1"/>
  <c r="Z85" i="2" s="1"/>
  <c r="Y85" i="2" a="1"/>
  <c r="Y85" i="2" s="1"/>
  <c r="V85" i="2" a="1"/>
  <c r="V85" i="2" s="1"/>
  <c r="X85" i="2" s="1"/>
  <c r="U85" i="2" a="1"/>
  <c r="U85" i="2" s="1"/>
  <c r="BL85" i="2" s="1"/>
  <c r="G85" i="2"/>
  <c r="F85" i="2"/>
  <c r="BM84" i="2" a="1"/>
  <c r="BM84" i="2" s="1"/>
  <c r="BA84" i="2" a="1"/>
  <c r="BA84" i="2" s="1"/>
  <c r="AO84" i="2" a="1"/>
  <c r="AO84" i="2" s="1"/>
  <c r="Z84" i="2" a="1"/>
  <c r="Z84" i="2" s="1"/>
  <c r="Y84" i="2" a="1"/>
  <c r="Y84" i="2" s="1"/>
  <c r="V84" i="2" a="1"/>
  <c r="V84" i="2" s="1"/>
  <c r="X84" i="2" s="1"/>
  <c r="U84" i="2" a="1"/>
  <c r="U84" i="2" s="1"/>
  <c r="G84" i="2"/>
  <c r="F84" i="2"/>
  <c r="BM83" i="2" a="1"/>
  <c r="BM83" i="2" s="1"/>
  <c r="BA83" i="2" a="1"/>
  <c r="BA83" i="2" s="1"/>
  <c r="AO83" i="2" a="1"/>
  <c r="AO83" i="2" s="1"/>
  <c r="Z83" i="2" a="1"/>
  <c r="Z83" i="2" s="1"/>
  <c r="Y83" i="2" a="1"/>
  <c r="Y83" i="2" s="1"/>
  <c r="V83" i="2" a="1"/>
  <c r="V83" i="2" s="1"/>
  <c r="X83" i="2" s="1"/>
  <c r="U83" i="2" a="1"/>
  <c r="U83" i="2" s="1"/>
  <c r="G83" i="2"/>
  <c r="F83" i="2"/>
  <c r="BM82" i="2" a="1"/>
  <c r="BM82" i="2" s="1"/>
  <c r="BA82" i="2" a="1"/>
  <c r="BA82" i="2" s="1"/>
  <c r="AO82" i="2" a="1"/>
  <c r="AO82" i="2" s="1"/>
  <c r="Z82" i="2" a="1"/>
  <c r="Z82" i="2" s="1"/>
  <c r="Y82" i="2" a="1"/>
  <c r="Y82" i="2" s="1"/>
  <c r="V82" i="2" a="1"/>
  <c r="V82" i="2" s="1"/>
  <c r="X82" i="2" s="1"/>
  <c r="U82" i="2" a="1"/>
  <c r="U82" i="2" s="1"/>
  <c r="G82" i="2"/>
  <c r="F82" i="2"/>
  <c r="BM81" i="2" a="1"/>
  <c r="BM81" i="2" s="1"/>
  <c r="BA81" i="2" a="1"/>
  <c r="BA81" i="2" s="1"/>
  <c r="AO81" i="2" a="1"/>
  <c r="AO81" i="2" s="1"/>
  <c r="Z81" i="2" a="1"/>
  <c r="Z81" i="2" s="1"/>
  <c r="Y81" i="2" a="1"/>
  <c r="Y81" i="2" s="1"/>
  <c r="V81" i="2" a="1"/>
  <c r="V81" i="2" s="1"/>
  <c r="X81" i="2" s="1"/>
  <c r="U81" i="2" a="1"/>
  <c r="U81" i="2" s="1"/>
  <c r="G81" i="2"/>
  <c r="F81" i="2"/>
  <c r="BM80" i="2" a="1"/>
  <c r="BM80" i="2" s="1"/>
  <c r="BA80" i="2" a="1"/>
  <c r="BA80" i="2" s="1"/>
  <c r="AO80" i="2" a="1"/>
  <c r="AO80" i="2" s="1"/>
  <c r="Z80" i="2" a="1"/>
  <c r="Z80" i="2" s="1"/>
  <c r="Y80" i="2" a="1"/>
  <c r="Y80" i="2" s="1"/>
  <c r="V80" i="2" a="1"/>
  <c r="V80" i="2" s="1"/>
  <c r="X80" i="2" s="1"/>
  <c r="U80" i="2" a="1"/>
  <c r="U80" i="2" s="1"/>
  <c r="G80" i="2"/>
  <c r="F80" i="2"/>
  <c r="BM78" i="2" a="1"/>
  <c r="BM78" i="2" s="1"/>
  <c r="BA78" i="2" a="1"/>
  <c r="BA78" i="2" s="1"/>
  <c r="AO78" i="2" a="1"/>
  <c r="AO78" i="2" s="1"/>
  <c r="Z78" i="2" a="1"/>
  <c r="Z78" i="2" s="1"/>
  <c r="Y78" i="2" a="1"/>
  <c r="Y78" i="2" s="1"/>
  <c r="V78" i="2" a="1"/>
  <c r="V78" i="2" s="1"/>
  <c r="X78" i="2" s="1"/>
  <c r="U78" i="2" a="1"/>
  <c r="U78" i="2" s="1"/>
  <c r="G78" i="2"/>
  <c r="F78" i="2"/>
  <c r="BM77" i="2" a="1"/>
  <c r="BM77" i="2" s="1"/>
  <c r="BA77" i="2" a="1"/>
  <c r="BA77" i="2" s="1"/>
  <c r="AO77" i="2" a="1"/>
  <c r="AO77" i="2" s="1"/>
  <c r="Z77" i="2" a="1"/>
  <c r="Z77" i="2" s="1"/>
  <c r="Y77" i="2" a="1"/>
  <c r="Y77" i="2" s="1"/>
  <c r="V77" i="2" a="1"/>
  <c r="V77" i="2" s="1"/>
  <c r="X77" i="2" s="1"/>
  <c r="U77" i="2" a="1"/>
  <c r="U77" i="2" s="1"/>
  <c r="G77" i="2"/>
  <c r="F77" i="2"/>
  <c r="BM76" i="2" a="1"/>
  <c r="BM76" i="2" s="1"/>
  <c r="BA76" i="2" a="1"/>
  <c r="BA76" i="2" s="1"/>
  <c r="AO76" i="2" a="1"/>
  <c r="AO76" i="2" s="1"/>
  <c r="Z76" i="2" a="1"/>
  <c r="Z76" i="2" s="1"/>
  <c r="Y76" i="2" a="1"/>
  <c r="Y76" i="2" s="1"/>
  <c r="V76" i="2" a="1"/>
  <c r="V76" i="2" s="1"/>
  <c r="X76" i="2" s="1"/>
  <c r="U76" i="2" a="1"/>
  <c r="U76" i="2" s="1"/>
  <c r="G76" i="2"/>
  <c r="F76" i="2"/>
  <c r="BM75" i="2" a="1"/>
  <c r="BM75" i="2" s="1"/>
  <c r="BA75" i="2" a="1"/>
  <c r="BA75" i="2" s="1"/>
  <c r="AO75" i="2" a="1"/>
  <c r="AO75" i="2" s="1"/>
  <c r="Z75" i="2" a="1"/>
  <c r="Z75" i="2" s="1"/>
  <c r="Y75" i="2" a="1"/>
  <c r="Y75" i="2" s="1"/>
  <c r="V75" i="2" a="1"/>
  <c r="V75" i="2" s="1"/>
  <c r="X75" i="2" s="1"/>
  <c r="U75" i="2" a="1"/>
  <c r="U75" i="2" s="1"/>
  <c r="G75" i="2"/>
  <c r="F75" i="2"/>
  <c r="BM74" i="2" a="1"/>
  <c r="BM74" i="2" s="1"/>
  <c r="BA74" i="2" a="1"/>
  <c r="BA74" i="2" s="1"/>
  <c r="AO74" i="2" a="1"/>
  <c r="AO74" i="2" s="1"/>
  <c r="Z74" i="2" a="1"/>
  <c r="Z74" i="2" s="1"/>
  <c r="Y74" i="2" a="1"/>
  <c r="Y74" i="2" s="1"/>
  <c r="V74" i="2" a="1"/>
  <c r="V74" i="2" s="1"/>
  <c r="X74" i="2" s="1"/>
  <c r="U74" i="2" a="1"/>
  <c r="U74" i="2" s="1"/>
  <c r="G74" i="2"/>
  <c r="F74" i="2"/>
  <c r="BM73" i="2" a="1"/>
  <c r="BM73" i="2" s="1"/>
  <c r="BA73" i="2" a="1"/>
  <c r="BA73" i="2" s="1"/>
  <c r="AO73" i="2" a="1"/>
  <c r="AO73" i="2" s="1"/>
  <c r="Z73" i="2" a="1"/>
  <c r="Z73" i="2" s="1"/>
  <c r="Y73" i="2" a="1"/>
  <c r="Y73" i="2" s="1"/>
  <c r="V73" i="2" a="1"/>
  <c r="V73" i="2" s="1"/>
  <c r="X73" i="2" s="1"/>
  <c r="U73" i="2" a="1"/>
  <c r="U73" i="2" s="1"/>
  <c r="G73" i="2"/>
  <c r="F73" i="2"/>
  <c r="BM72" i="2" a="1"/>
  <c r="BM72" i="2" s="1"/>
  <c r="BA72" i="2" a="1"/>
  <c r="BA72" i="2" s="1"/>
  <c r="AO72" i="2" a="1"/>
  <c r="AO72" i="2" s="1"/>
  <c r="Z72" i="2" a="1"/>
  <c r="Z72" i="2" s="1"/>
  <c r="Y72" i="2" a="1"/>
  <c r="Y72" i="2" s="1"/>
  <c r="V72" i="2" a="1"/>
  <c r="V72" i="2" s="1"/>
  <c r="X72" i="2" s="1"/>
  <c r="U72" i="2" a="1"/>
  <c r="U72" i="2" s="1"/>
  <c r="G72" i="2"/>
  <c r="F72" i="2"/>
  <c r="BM71" i="2" a="1"/>
  <c r="BM71" i="2" s="1"/>
  <c r="BA71" i="2" a="1"/>
  <c r="BA71" i="2" s="1"/>
  <c r="AO71" i="2" a="1"/>
  <c r="AO71" i="2" s="1"/>
  <c r="Z71" i="2" a="1"/>
  <c r="Z71" i="2" s="1"/>
  <c r="Y71" i="2" a="1"/>
  <c r="Y71" i="2" s="1"/>
  <c r="V71" i="2" a="1"/>
  <c r="V71" i="2" s="1"/>
  <c r="X71" i="2" s="1"/>
  <c r="U71" i="2" a="1"/>
  <c r="U71" i="2" s="1"/>
  <c r="G71" i="2"/>
  <c r="F71" i="2"/>
  <c r="BM70" i="2" a="1"/>
  <c r="BM70" i="2" s="1"/>
  <c r="BA70" i="2" a="1"/>
  <c r="BA70" i="2" s="1"/>
  <c r="AO70" i="2" a="1"/>
  <c r="AO70" i="2" s="1"/>
  <c r="Z70" i="2" a="1"/>
  <c r="Z70" i="2" s="1"/>
  <c r="Y70" i="2" a="1"/>
  <c r="Y70" i="2" s="1"/>
  <c r="V70" i="2" a="1"/>
  <c r="V70" i="2" s="1"/>
  <c r="X70" i="2" s="1"/>
  <c r="U70" i="2" a="1"/>
  <c r="U70" i="2" s="1"/>
  <c r="G70" i="2"/>
  <c r="F70" i="2"/>
  <c r="BM69" i="2" a="1"/>
  <c r="BM69" i="2" s="1"/>
  <c r="BA69" i="2" a="1"/>
  <c r="BA69" i="2" s="1"/>
  <c r="AO69" i="2" a="1"/>
  <c r="AO69" i="2" s="1"/>
  <c r="Z69" i="2" a="1"/>
  <c r="Z69" i="2" s="1"/>
  <c r="Y69" i="2" a="1"/>
  <c r="Y69" i="2" s="1"/>
  <c r="W69" i="2" a="1"/>
  <c r="W69" i="2" s="1"/>
  <c r="V69" i="2" a="1"/>
  <c r="V69" i="2" s="1"/>
  <c r="U69" i="2" a="1"/>
  <c r="U69" i="2" s="1"/>
  <c r="G69" i="2"/>
  <c r="F69" i="2"/>
  <c r="BM68" i="2" a="1"/>
  <c r="BM68" i="2" s="1"/>
  <c r="BA68" i="2" a="1"/>
  <c r="BA68" i="2" s="1"/>
  <c r="AO68" i="2" a="1"/>
  <c r="AO68" i="2" s="1"/>
  <c r="Z68" i="2" a="1"/>
  <c r="Z68" i="2" s="1"/>
  <c r="Y68" i="2" a="1"/>
  <c r="Y68" i="2" s="1"/>
  <c r="V68" i="2" a="1"/>
  <c r="V68" i="2" s="1"/>
  <c r="X68" i="2" s="1"/>
  <c r="U68" i="2" a="1"/>
  <c r="U68" i="2" s="1"/>
  <c r="G68" i="2"/>
  <c r="F68" i="2"/>
  <c r="BM67" i="2" a="1"/>
  <c r="BM67" i="2" s="1"/>
  <c r="BA67" i="2" a="1"/>
  <c r="BA67" i="2" s="1"/>
  <c r="AO67" i="2" a="1"/>
  <c r="AO67" i="2" s="1"/>
  <c r="Z67" i="2" a="1"/>
  <c r="Z67" i="2" s="1"/>
  <c r="Y67" i="2" a="1"/>
  <c r="Y67" i="2" s="1"/>
  <c r="V67" i="2" a="1"/>
  <c r="V67" i="2" s="1"/>
  <c r="X67" i="2" s="1"/>
  <c r="U67" i="2" a="1"/>
  <c r="U67" i="2" s="1"/>
  <c r="G67" i="2"/>
  <c r="F67" i="2"/>
  <c r="BM66" i="2" a="1"/>
  <c r="BM66" i="2" s="1"/>
  <c r="BA66" i="2" a="1"/>
  <c r="BA66" i="2" s="1"/>
  <c r="AO66" i="2" a="1"/>
  <c r="AO66" i="2" s="1"/>
  <c r="Z66" i="2" a="1"/>
  <c r="Z66" i="2" s="1"/>
  <c r="Y66" i="2" a="1"/>
  <c r="Y66" i="2" s="1"/>
  <c r="V66" i="2" a="1"/>
  <c r="V66" i="2" s="1"/>
  <c r="X66" i="2" s="1"/>
  <c r="U66" i="2" a="1"/>
  <c r="U66" i="2" s="1"/>
  <c r="G66" i="2"/>
  <c r="F66" i="2"/>
  <c r="BM65" i="2" a="1"/>
  <c r="BM65" i="2" s="1"/>
  <c r="BA65" i="2" a="1"/>
  <c r="BA65" i="2" s="1"/>
  <c r="AO65" i="2" a="1"/>
  <c r="AO65" i="2" s="1"/>
  <c r="Z65" i="2" a="1"/>
  <c r="Z65" i="2" s="1"/>
  <c r="Y65" i="2" a="1"/>
  <c r="Y65" i="2" s="1"/>
  <c r="V65" i="2" a="1"/>
  <c r="V65" i="2" s="1"/>
  <c r="X65" i="2" s="1"/>
  <c r="U65" i="2" a="1"/>
  <c r="U65" i="2" s="1"/>
  <c r="BL65" i="2" s="1"/>
  <c r="G65" i="2"/>
  <c r="F65" i="2"/>
  <c r="BM64" i="2" a="1"/>
  <c r="BM64" i="2" s="1"/>
  <c r="BA64" i="2" a="1"/>
  <c r="BA64" i="2" s="1"/>
  <c r="AO64" i="2" a="1"/>
  <c r="AO64" i="2" s="1"/>
  <c r="Z64" i="2" a="1"/>
  <c r="Z64" i="2" s="1"/>
  <c r="Y64" i="2" a="1"/>
  <c r="Y64" i="2" s="1"/>
  <c r="V64" i="2" a="1"/>
  <c r="V64" i="2" s="1"/>
  <c r="X64" i="2" s="1"/>
  <c r="U64" i="2" a="1"/>
  <c r="U64" i="2" s="1"/>
  <c r="BL64" i="2" s="1"/>
  <c r="G64" i="2"/>
  <c r="F64" i="2"/>
  <c r="BM63" i="2" a="1"/>
  <c r="BM63" i="2" s="1"/>
  <c r="BA63" i="2" a="1"/>
  <c r="BA63" i="2" s="1"/>
  <c r="AO63" i="2" a="1"/>
  <c r="AO63" i="2" s="1"/>
  <c r="Z63" i="2" a="1"/>
  <c r="Z63" i="2" s="1"/>
  <c r="Y63" i="2" a="1"/>
  <c r="Y63" i="2" s="1"/>
  <c r="V63" i="2" a="1"/>
  <c r="V63" i="2" s="1"/>
  <c r="X63" i="2" s="1"/>
  <c r="U63" i="2" a="1"/>
  <c r="U63" i="2" s="1"/>
  <c r="G63" i="2"/>
  <c r="F63" i="2"/>
  <c r="BM62" i="2" a="1"/>
  <c r="BM62" i="2" s="1"/>
  <c r="BA62" i="2" a="1"/>
  <c r="BA62" i="2" s="1"/>
  <c r="AO62" i="2" a="1"/>
  <c r="AO62" i="2" s="1"/>
  <c r="Z62" i="2" a="1"/>
  <c r="Z62" i="2" s="1"/>
  <c r="Y62" i="2" a="1"/>
  <c r="Y62" i="2" s="1"/>
  <c r="V62" i="2" a="1"/>
  <c r="V62" i="2" s="1"/>
  <c r="X62" i="2" s="1"/>
  <c r="U62" i="2" a="1"/>
  <c r="U62" i="2" s="1"/>
  <c r="G62" i="2"/>
  <c r="F62" i="2"/>
  <c r="BM61" i="2" a="1"/>
  <c r="BM61" i="2" s="1"/>
  <c r="BA61" i="2" a="1"/>
  <c r="BA61" i="2" s="1"/>
  <c r="AO61" i="2" a="1"/>
  <c r="AO61" i="2" s="1"/>
  <c r="Z61" i="2" a="1"/>
  <c r="Z61" i="2" s="1"/>
  <c r="Y61" i="2" a="1"/>
  <c r="Y61" i="2" s="1"/>
  <c r="V61" i="2" a="1"/>
  <c r="V61" i="2" s="1"/>
  <c r="X61" i="2" s="1"/>
  <c r="U61" i="2" a="1"/>
  <c r="U61" i="2" s="1"/>
  <c r="G61" i="2"/>
  <c r="F61" i="2"/>
  <c r="BM60" i="2" a="1"/>
  <c r="BM60" i="2" s="1"/>
  <c r="BA60" i="2" a="1"/>
  <c r="BA60" i="2" s="1"/>
  <c r="AO60" i="2" a="1"/>
  <c r="AO60" i="2" s="1"/>
  <c r="Z60" i="2" a="1"/>
  <c r="Z60" i="2" s="1"/>
  <c r="Y60" i="2" a="1"/>
  <c r="Y60" i="2" s="1"/>
  <c r="V60" i="2" a="1"/>
  <c r="V60" i="2" s="1"/>
  <c r="X60" i="2" s="1"/>
  <c r="U60" i="2" a="1"/>
  <c r="U60" i="2" s="1"/>
  <c r="G60" i="2"/>
  <c r="F60" i="2"/>
  <c r="BM59" i="2" a="1"/>
  <c r="BM59" i="2" s="1"/>
  <c r="BA59" i="2" a="1"/>
  <c r="BA59" i="2" s="1"/>
  <c r="AO59" i="2" a="1"/>
  <c r="AO59" i="2" s="1"/>
  <c r="Z59" i="2" a="1"/>
  <c r="Z59" i="2" s="1"/>
  <c r="Y59" i="2" a="1"/>
  <c r="Y59" i="2" s="1"/>
  <c r="V59" i="2" a="1"/>
  <c r="V59" i="2" s="1"/>
  <c r="X59" i="2" s="1"/>
  <c r="U59" i="2" a="1"/>
  <c r="U59" i="2" s="1"/>
  <c r="G59" i="2"/>
  <c r="F59" i="2"/>
  <c r="BM58" i="2" a="1"/>
  <c r="BM58" i="2" s="1"/>
  <c r="BA58" i="2" a="1"/>
  <c r="BA58" i="2" s="1"/>
  <c r="AO58" i="2" a="1"/>
  <c r="AO58" i="2" s="1"/>
  <c r="Z58" i="2" a="1"/>
  <c r="Z58" i="2" s="1"/>
  <c r="Y58" i="2" a="1"/>
  <c r="Y58" i="2" s="1"/>
  <c r="V58" i="2" a="1"/>
  <c r="V58" i="2" s="1"/>
  <c r="X58" i="2" s="1"/>
  <c r="U58" i="2" a="1"/>
  <c r="U58" i="2" s="1"/>
  <c r="G58" i="2"/>
  <c r="F58" i="2"/>
  <c r="BM57" i="2" a="1"/>
  <c r="BM57" i="2" s="1"/>
  <c r="BA57" i="2" a="1"/>
  <c r="BA57" i="2" s="1"/>
  <c r="AO57" i="2" a="1"/>
  <c r="AO57" i="2" s="1"/>
  <c r="Z57" i="2" a="1"/>
  <c r="Z57" i="2" s="1"/>
  <c r="Y57" i="2" a="1"/>
  <c r="Y57" i="2" s="1"/>
  <c r="V57" i="2" a="1"/>
  <c r="V57" i="2" s="1"/>
  <c r="X57" i="2" s="1"/>
  <c r="U57" i="2" a="1"/>
  <c r="U57" i="2" s="1"/>
  <c r="BL57" i="2" s="1"/>
  <c r="G57" i="2"/>
  <c r="F57" i="2"/>
  <c r="BM56" i="2" a="1"/>
  <c r="BM56" i="2" s="1"/>
  <c r="BA56" i="2" a="1"/>
  <c r="BA56" i="2" s="1"/>
  <c r="AO56" i="2" a="1"/>
  <c r="AO56" i="2" s="1"/>
  <c r="Z56" i="2" a="1"/>
  <c r="Z56" i="2" s="1"/>
  <c r="Y56" i="2" a="1"/>
  <c r="Y56" i="2" s="1"/>
  <c r="V56" i="2" a="1"/>
  <c r="V56" i="2" s="1"/>
  <c r="X56" i="2" s="1"/>
  <c r="U56" i="2" a="1"/>
  <c r="U56" i="2" s="1"/>
  <c r="BL56" i="2" s="1"/>
  <c r="G56" i="2"/>
  <c r="F56" i="2"/>
  <c r="BM55" i="2" a="1"/>
  <c r="BM55" i="2" s="1"/>
  <c r="BA55" i="2" a="1"/>
  <c r="BA55" i="2" s="1"/>
  <c r="AO55" i="2" a="1"/>
  <c r="AO55" i="2" s="1"/>
  <c r="Z55" i="2" a="1"/>
  <c r="Z55" i="2" s="1"/>
  <c r="Y55" i="2" a="1"/>
  <c r="Y55" i="2" s="1"/>
  <c r="V55" i="2" a="1"/>
  <c r="V55" i="2" s="1"/>
  <c r="X55" i="2" s="1"/>
  <c r="U55" i="2" a="1"/>
  <c r="U55" i="2" s="1"/>
  <c r="G55" i="2"/>
  <c r="F55" i="2"/>
  <c r="BM54" i="2" a="1"/>
  <c r="BM54" i="2" s="1"/>
  <c r="BA54" i="2" a="1"/>
  <c r="BA54" i="2" s="1"/>
  <c r="AO54" i="2" a="1"/>
  <c r="AO54" i="2" s="1"/>
  <c r="Z54" i="2" a="1"/>
  <c r="Z54" i="2" s="1"/>
  <c r="Y54" i="2" a="1"/>
  <c r="Y54" i="2" s="1"/>
  <c r="V54" i="2" a="1"/>
  <c r="V54" i="2" s="1"/>
  <c r="X54" i="2" s="1"/>
  <c r="U54" i="2" a="1"/>
  <c r="U54" i="2" s="1"/>
  <c r="G54" i="2"/>
  <c r="F54" i="2"/>
  <c r="BM53" i="2" a="1"/>
  <c r="BM53" i="2" s="1"/>
  <c r="BA53" i="2" a="1"/>
  <c r="BA53" i="2" s="1"/>
  <c r="AO53" i="2" a="1"/>
  <c r="AO53" i="2" s="1"/>
  <c r="Z53" i="2" a="1"/>
  <c r="Z53" i="2" s="1"/>
  <c r="Y53" i="2" a="1"/>
  <c r="Y53" i="2" s="1"/>
  <c r="V53" i="2" a="1"/>
  <c r="V53" i="2" s="1"/>
  <c r="X53" i="2" s="1"/>
  <c r="U53" i="2" a="1"/>
  <c r="U53" i="2" s="1"/>
  <c r="BL53" i="2" s="1"/>
  <c r="G53" i="2"/>
  <c r="F53" i="2"/>
  <c r="BM52" i="2" a="1"/>
  <c r="BM52" i="2" s="1"/>
  <c r="BA52" i="2" a="1"/>
  <c r="BA52" i="2" s="1"/>
  <c r="AO52" i="2" a="1"/>
  <c r="AO52" i="2" s="1"/>
  <c r="Z52" i="2" a="1"/>
  <c r="Z52" i="2" s="1"/>
  <c r="Y52" i="2" a="1"/>
  <c r="Y52" i="2" s="1"/>
  <c r="V52" i="2" a="1"/>
  <c r="V52" i="2" s="1"/>
  <c r="X52" i="2" s="1"/>
  <c r="U52" i="2" a="1"/>
  <c r="U52" i="2" s="1"/>
  <c r="G52" i="2"/>
  <c r="F52" i="2"/>
  <c r="BM51" i="2" a="1"/>
  <c r="BM51" i="2" s="1"/>
  <c r="BA51" i="2" a="1"/>
  <c r="BA51" i="2" s="1"/>
  <c r="AO51" i="2" a="1"/>
  <c r="AO51" i="2" s="1"/>
  <c r="Z51" i="2" a="1"/>
  <c r="Z51" i="2" s="1"/>
  <c r="Y51" i="2" a="1"/>
  <c r="Y51" i="2" s="1"/>
  <c r="V51" i="2" a="1"/>
  <c r="V51" i="2" s="1"/>
  <c r="X51" i="2" s="1"/>
  <c r="U51" i="2" a="1"/>
  <c r="U51" i="2" s="1"/>
  <c r="G51" i="2"/>
  <c r="F51" i="2"/>
  <c r="BM50" i="2" a="1"/>
  <c r="BM50" i="2" s="1"/>
  <c r="BA50" i="2" a="1"/>
  <c r="BA50" i="2" s="1"/>
  <c r="AO50" i="2" a="1"/>
  <c r="AO50" i="2" s="1"/>
  <c r="Z50" i="2" a="1"/>
  <c r="Z50" i="2" s="1"/>
  <c r="Y50" i="2" a="1"/>
  <c r="Y50" i="2" s="1"/>
  <c r="V50" i="2" a="1"/>
  <c r="V50" i="2" s="1"/>
  <c r="X50" i="2" s="1"/>
  <c r="U50" i="2" a="1"/>
  <c r="U50" i="2" s="1"/>
  <c r="G50" i="2"/>
  <c r="F50" i="2"/>
  <c r="BM49" i="2" a="1"/>
  <c r="BM49" i="2" s="1"/>
  <c r="BA49" i="2" a="1"/>
  <c r="BA49" i="2" s="1"/>
  <c r="AO49" i="2" a="1"/>
  <c r="AO49" i="2" s="1"/>
  <c r="Z49" i="2" a="1"/>
  <c r="Z49" i="2" s="1"/>
  <c r="Y49" i="2" a="1"/>
  <c r="Y49" i="2" s="1"/>
  <c r="V49" i="2" a="1"/>
  <c r="V49" i="2" s="1"/>
  <c r="X49" i="2" s="1"/>
  <c r="U49" i="2" a="1"/>
  <c r="U49" i="2" s="1"/>
  <c r="G49" i="2"/>
  <c r="F49" i="2"/>
  <c r="BM48" i="2" a="1"/>
  <c r="BM48" i="2" s="1"/>
  <c r="BA48" i="2" a="1"/>
  <c r="BA48" i="2" s="1"/>
  <c r="AO48" i="2" a="1"/>
  <c r="AO48" i="2" s="1"/>
  <c r="Z48" i="2" a="1"/>
  <c r="Z48" i="2" s="1"/>
  <c r="Y48" i="2" a="1"/>
  <c r="Y48" i="2" s="1"/>
  <c r="V48" i="2" a="1"/>
  <c r="V48" i="2" s="1"/>
  <c r="X48" i="2" s="1"/>
  <c r="U48" i="2" a="1"/>
  <c r="U48" i="2" s="1"/>
  <c r="G48" i="2"/>
  <c r="F48" i="2"/>
  <c r="BM47" i="2" a="1"/>
  <c r="BM47" i="2" s="1"/>
  <c r="BA47" i="2" a="1"/>
  <c r="BA47" i="2" s="1"/>
  <c r="AO47" i="2" a="1"/>
  <c r="AO47" i="2" s="1"/>
  <c r="Z47" i="2" a="1"/>
  <c r="Z47" i="2" s="1"/>
  <c r="Y47" i="2" a="1"/>
  <c r="Y47" i="2" s="1"/>
  <c r="V47" i="2" a="1"/>
  <c r="V47" i="2" s="1"/>
  <c r="X47" i="2" s="1"/>
  <c r="U47" i="2" a="1"/>
  <c r="U47" i="2" s="1"/>
  <c r="G47" i="2"/>
  <c r="F47" i="2"/>
  <c r="BM46" i="2" a="1"/>
  <c r="BM46" i="2" s="1"/>
  <c r="BA46" i="2" a="1"/>
  <c r="BA46" i="2" s="1"/>
  <c r="AO46" i="2" a="1"/>
  <c r="AO46" i="2" s="1"/>
  <c r="Z46" i="2" a="1"/>
  <c r="Z46" i="2" s="1"/>
  <c r="Y46" i="2" a="1"/>
  <c r="Y46" i="2" s="1"/>
  <c r="V46" i="2" a="1"/>
  <c r="V46" i="2" s="1"/>
  <c r="X46" i="2" s="1"/>
  <c r="U46" i="2" a="1"/>
  <c r="U46" i="2" s="1"/>
  <c r="BL46" i="2" s="1"/>
  <c r="G46" i="2"/>
  <c r="F46" i="2"/>
  <c r="BM45" i="2" a="1"/>
  <c r="BM45" i="2" s="1"/>
  <c r="BA45" i="2" a="1"/>
  <c r="BA45" i="2" s="1"/>
  <c r="AO45" i="2" a="1"/>
  <c r="AO45" i="2" s="1"/>
  <c r="Z45" i="2" a="1"/>
  <c r="Z45" i="2" s="1"/>
  <c r="Y45" i="2" a="1"/>
  <c r="Y45" i="2" s="1"/>
  <c r="V45" i="2" a="1"/>
  <c r="V45" i="2" s="1"/>
  <c r="X45" i="2" s="1"/>
  <c r="U45" i="2" a="1"/>
  <c r="U45" i="2" s="1"/>
  <c r="G45" i="2"/>
  <c r="F45" i="2"/>
  <c r="BM44" i="2" a="1"/>
  <c r="BM44" i="2" s="1"/>
  <c r="BA44" i="2" a="1"/>
  <c r="BA44" i="2" s="1"/>
  <c r="AO44" i="2" a="1"/>
  <c r="AO44" i="2" s="1"/>
  <c r="Z44" i="2" a="1"/>
  <c r="Z44" i="2" s="1"/>
  <c r="Y44" i="2" a="1"/>
  <c r="Y44" i="2" s="1"/>
  <c r="V44" i="2" a="1"/>
  <c r="V44" i="2" s="1"/>
  <c r="X44" i="2" s="1"/>
  <c r="U44" i="2" a="1"/>
  <c r="U44" i="2" s="1"/>
  <c r="G44" i="2"/>
  <c r="F44" i="2"/>
  <c r="BM43" i="2" a="1"/>
  <c r="BM43" i="2" s="1"/>
  <c r="BA43" i="2" a="1"/>
  <c r="BA43" i="2" s="1"/>
  <c r="AO43" i="2" a="1"/>
  <c r="AO43" i="2" s="1"/>
  <c r="Z43" i="2" a="1"/>
  <c r="Z43" i="2" s="1"/>
  <c r="Y43" i="2" a="1"/>
  <c r="Y43" i="2" s="1"/>
  <c r="V43" i="2" a="1"/>
  <c r="V43" i="2" s="1"/>
  <c r="X43" i="2" s="1"/>
  <c r="U43" i="2" a="1"/>
  <c r="U43" i="2" s="1"/>
  <c r="G43" i="2"/>
  <c r="F43" i="2"/>
  <c r="BM42" i="2" a="1"/>
  <c r="BM42" i="2" s="1"/>
  <c r="BA42" i="2" a="1"/>
  <c r="BA42" i="2" s="1"/>
  <c r="AO42" i="2" a="1"/>
  <c r="AO42" i="2" s="1"/>
  <c r="Z42" i="2" a="1"/>
  <c r="Z42" i="2" s="1"/>
  <c r="Y42" i="2" a="1"/>
  <c r="Y42" i="2" s="1"/>
  <c r="V42" i="2" a="1"/>
  <c r="V42" i="2" s="1"/>
  <c r="X42" i="2" s="1"/>
  <c r="U42" i="2" a="1"/>
  <c r="U42" i="2" s="1"/>
  <c r="BL42" i="2" s="1"/>
  <c r="G42" i="2"/>
  <c r="F42" i="2"/>
  <c r="BM41" i="2" a="1"/>
  <c r="BM41" i="2" s="1"/>
  <c r="BA41" i="2" a="1"/>
  <c r="BA41" i="2" s="1"/>
  <c r="AO41" i="2" a="1"/>
  <c r="AO41" i="2" s="1"/>
  <c r="Z41" i="2" a="1"/>
  <c r="Z41" i="2" s="1"/>
  <c r="Y41" i="2" a="1"/>
  <c r="Y41" i="2" s="1"/>
  <c r="V41" i="2" a="1"/>
  <c r="V41" i="2" s="1"/>
  <c r="X41" i="2" s="1"/>
  <c r="U41" i="2" a="1"/>
  <c r="U41" i="2" s="1"/>
  <c r="G41" i="2"/>
  <c r="F41" i="2"/>
  <c r="BM40" i="2" a="1"/>
  <c r="BM40" i="2" s="1"/>
  <c r="BA40" i="2" a="1"/>
  <c r="BA40" i="2" s="1"/>
  <c r="AO40" i="2" a="1"/>
  <c r="AO40" i="2" s="1"/>
  <c r="Z40" i="2" a="1"/>
  <c r="Z40" i="2" s="1"/>
  <c r="Y40" i="2" a="1"/>
  <c r="Y40" i="2" s="1"/>
  <c r="V40" i="2" a="1"/>
  <c r="V40" i="2" s="1"/>
  <c r="X40" i="2" s="1"/>
  <c r="U40" i="2" a="1"/>
  <c r="U40" i="2" s="1"/>
  <c r="G40" i="2"/>
  <c r="F40" i="2"/>
  <c r="BM39" i="2" a="1"/>
  <c r="BM39" i="2" s="1"/>
  <c r="BA39" i="2" a="1"/>
  <c r="BA39" i="2" s="1"/>
  <c r="AO39" i="2" a="1"/>
  <c r="AO39" i="2" s="1"/>
  <c r="Z39" i="2" a="1"/>
  <c r="Z39" i="2" s="1"/>
  <c r="Y39" i="2" a="1"/>
  <c r="Y39" i="2" s="1"/>
  <c r="V39" i="2" a="1"/>
  <c r="V39" i="2" s="1"/>
  <c r="X39" i="2" s="1"/>
  <c r="U39" i="2" a="1"/>
  <c r="U39" i="2" s="1"/>
  <c r="G39" i="2"/>
  <c r="F39" i="2"/>
  <c r="BM38" i="2" a="1"/>
  <c r="BM38" i="2" s="1"/>
  <c r="BA38" i="2" a="1"/>
  <c r="BA38" i="2" s="1"/>
  <c r="AO38" i="2" a="1"/>
  <c r="AO38" i="2" s="1"/>
  <c r="Z38" i="2" a="1"/>
  <c r="Z38" i="2" s="1"/>
  <c r="Y38" i="2" a="1"/>
  <c r="Y38" i="2" s="1"/>
  <c r="V38" i="2" a="1"/>
  <c r="V38" i="2" s="1"/>
  <c r="X38" i="2" s="1"/>
  <c r="U38" i="2" a="1"/>
  <c r="U38" i="2" s="1"/>
  <c r="BL38" i="2" s="1"/>
  <c r="G38" i="2"/>
  <c r="F38" i="2"/>
  <c r="CC37" i="2"/>
  <c r="BM37" i="2" a="1"/>
  <c r="BM37" i="2" s="1"/>
  <c r="BA37" i="2" a="1"/>
  <c r="BA37" i="2" s="1"/>
  <c r="AO37" i="2" a="1"/>
  <c r="AO37" i="2" s="1"/>
  <c r="Z37" i="2" a="1"/>
  <c r="Z37" i="2" s="1"/>
  <c r="Y37" i="2" a="1"/>
  <c r="Y37" i="2" s="1"/>
  <c r="V37" i="2" a="1"/>
  <c r="V37" i="2" s="1"/>
  <c r="X37" i="2" s="1"/>
  <c r="U37" i="2" a="1"/>
  <c r="U37" i="2" s="1"/>
  <c r="G37" i="2"/>
  <c r="F37" i="2"/>
  <c r="BM36" i="2" a="1"/>
  <c r="BM36" i="2" s="1"/>
  <c r="BA36" i="2" a="1"/>
  <c r="BA36" i="2" s="1"/>
  <c r="AO36" i="2" a="1"/>
  <c r="AO36" i="2" s="1"/>
  <c r="Z36" i="2" a="1"/>
  <c r="Z36" i="2" s="1"/>
  <c r="Y36" i="2" a="1"/>
  <c r="Y36" i="2" s="1"/>
  <c r="V36" i="2" a="1"/>
  <c r="V36" i="2" s="1"/>
  <c r="X36" i="2" s="1"/>
  <c r="U36" i="2" a="1"/>
  <c r="U36" i="2" s="1"/>
  <c r="BL36" i="2" s="1"/>
  <c r="G36" i="2"/>
  <c r="F36" i="2"/>
  <c r="BM35" i="2" a="1"/>
  <c r="BM35" i="2" s="1"/>
  <c r="BA35" i="2" a="1"/>
  <c r="BA35" i="2" s="1"/>
  <c r="AO35" i="2" a="1"/>
  <c r="AO35" i="2" s="1"/>
  <c r="Z35" i="2" a="1"/>
  <c r="Z35" i="2" s="1"/>
  <c r="Y35" i="2" a="1"/>
  <c r="Y35" i="2" s="1"/>
  <c r="V35" i="2" a="1"/>
  <c r="V35" i="2" s="1"/>
  <c r="X35" i="2" s="1"/>
  <c r="U35" i="2" a="1"/>
  <c r="U35" i="2" s="1"/>
  <c r="G35" i="2"/>
  <c r="F35" i="2"/>
  <c r="BM34" i="2" a="1"/>
  <c r="BM34" i="2" s="1"/>
  <c r="BA34" i="2" a="1"/>
  <c r="BA34" i="2" s="1"/>
  <c r="AO34" i="2" a="1"/>
  <c r="AO34" i="2" s="1"/>
  <c r="Z34" i="2" a="1"/>
  <c r="Z34" i="2" s="1"/>
  <c r="Y34" i="2" a="1"/>
  <c r="Y34" i="2" s="1"/>
  <c r="V34" i="2" a="1"/>
  <c r="V34" i="2" s="1"/>
  <c r="X34" i="2" s="1"/>
  <c r="U34" i="2" a="1"/>
  <c r="U34" i="2" s="1"/>
  <c r="G34" i="2"/>
  <c r="F34" i="2"/>
  <c r="BM33" i="2" a="1"/>
  <c r="BM33" i="2" s="1"/>
  <c r="BA33" i="2" a="1"/>
  <c r="BA33" i="2" s="1"/>
  <c r="AO33" i="2" a="1"/>
  <c r="AO33" i="2" s="1"/>
  <c r="Z33" i="2" a="1"/>
  <c r="Z33" i="2" s="1"/>
  <c r="Y33" i="2" a="1"/>
  <c r="Y33" i="2" s="1"/>
  <c r="V33" i="2" a="1"/>
  <c r="V33" i="2" s="1"/>
  <c r="X33" i="2" s="1"/>
  <c r="U33" i="2" a="1"/>
  <c r="U33" i="2" s="1"/>
  <c r="G33" i="2"/>
  <c r="F33" i="2"/>
  <c r="BM32" i="2" a="1"/>
  <c r="BM32" i="2" s="1"/>
  <c r="BA32" i="2" a="1"/>
  <c r="BA32" i="2" s="1"/>
  <c r="AO32" i="2" a="1"/>
  <c r="AO32" i="2" s="1"/>
  <c r="Z32" i="2" a="1"/>
  <c r="Z32" i="2" s="1"/>
  <c r="Y32" i="2" a="1"/>
  <c r="Y32" i="2" s="1"/>
  <c r="V32" i="2" a="1"/>
  <c r="V32" i="2" s="1"/>
  <c r="X32" i="2" s="1"/>
  <c r="U32" i="2" a="1"/>
  <c r="U32" i="2" s="1"/>
  <c r="G32" i="2"/>
  <c r="F32" i="2"/>
  <c r="CC31" i="2"/>
  <c r="BM31" i="2" a="1"/>
  <c r="BM31" i="2" s="1"/>
  <c r="BA31" i="2" a="1"/>
  <c r="BA31" i="2" s="1"/>
  <c r="AO31" i="2" a="1"/>
  <c r="AO31" i="2" s="1"/>
  <c r="Z31" i="2" a="1"/>
  <c r="Z31" i="2" s="1"/>
  <c r="Y31" i="2" a="1"/>
  <c r="Y31" i="2" s="1"/>
  <c r="V31" i="2" a="1"/>
  <c r="V31" i="2" s="1"/>
  <c r="X31" i="2" s="1"/>
  <c r="U31" i="2" a="1"/>
  <c r="U31" i="2" s="1"/>
  <c r="G31" i="2"/>
  <c r="F31" i="2"/>
  <c r="CC30" i="2"/>
  <c r="BM30" i="2" a="1"/>
  <c r="BM30" i="2" s="1"/>
  <c r="BA30" i="2" a="1"/>
  <c r="BA30" i="2" s="1"/>
  <c r="AO30" i="2" a="1"/>
  <c r="AO30" i="2" s="1"/>
  <c r="Z30" i="2" a="1"/>
  <c r="Z30" i="2" s="1"/>
  <c r="Y30" i="2" a="1"/>
  <c r="Y30" i="2" s="1"/>
  <c r="V30" i="2" a="1"/>
  <c r="V30" i="2" s="1"/>
  <c r="X30" i="2" s="1"/>
  <c r="U30" i="2" a="1"/>
  <c r="U30" i="2" s="1"/>
  <c r="G30" i="2"/>
  <c r="F30" i="2"/>
  <c r="BM29" i="2" a="1"/>
  <c r="BM29" i="2" s="1"/>
  <c r="AO29" i="2" a="1"/>
  <c r="AO29" i="2" s="1"/>
  <c r="Z29" i="2" a="1"/>
  <c r="Z29" i="2" s="1"/>
  <c r="Y29" i="2" a="1"/>
  <c r="Y29" i="2" s="1"/>
  <c r="V29" i="2" a="1"/>
  <c r="V29" i="2" s="1"/>
  <c r="X29" i="2" s="1"/>
  <c r="U29" i="2" a="1"/>
  <c r="U29" i="2" s="1"/>
  <c r="G29" i="2"/>
  <c r="F29" i="2"/>
  <c r="CC28" i="2"/>
  <c r="BM28" i="2" a="1"/>
  <c r="BM28" i="2" s="1"/>
  <c r="BA28" i="2" a="1"/>
  <c r="BA28" i="2" s="1"/>
  <c r="AO28" i="2" a="1"/>
  <c r="AO28" i="2" s="1"/>
  <c r="Z28" i="2" a="1"/>
  <c r="Z28" i="2" s="1"/>
  <c r="Y28" i="2" a="1"/>
  <c r="Y28" i="2" s="1"/>
  <c r="V28" i="2" a="1"/>
  <c r="V28" i="2" s="1"/>
  <c r="X28" i="2" s="1"/>
  <c r="U28" i="2" a="1"/>
  <c r="U28" i="2" s="1"/>
  <c r="G28" i="2"/>
  <c r="F28" i="2"/>
  <c r="BM27" i="2" a="1"/>
  <c r="BM27" i="2" s="1"/>
  <c r="BA27" i="2" a="1"/>
  <c r="BA27" i="2" s="1"/>
  <c r="AO27" i="2" a="1"/>
  <c r="AO27" i="2" s="1"/>
  <c r="Z27" i="2" a="1"/>
  <c r="Z27" i="2" s="1"/>
  <c r="Y27" i="2" a="1"/>
  <c r="Y27" i="2" s="1"/>
  <c r="W27" i="2" a="1"/>
  <c r="W27" i="2" s="1"/>
  <c r="V27" i="2" a="1"/>
  <c r="V27" i="2" s="1"/>
  <c r="U27" i="2" a="1"/>
  <c r="U27" i="2" s="1"/>
  <c r="G27" i="2"/>
  <c r="F27" i="2"/>
  <c r="CC26" i="2"/>
  <c r="BM26" i="2" a="1"/>
  <c r="BM26" i="2" s="1"/>
  <c r="BA26" i="2" a="1"/>
  <c r="BA26" i="2" s="1"/>
  <c r="AO26" i="2" a="1"/>
  <c r="AO26" i="2" s="1"/>
  <c r="Z26" i="2" a="1"/>
  <c r="Z26" i="2" s="1"/>
  <c r="Y26" i="2" a="1"/>
  <c r="Y26" i="2" s="1"/>
  <c r="V26" i="2" a="1"/>
  <c r="V26" i="2" s="1"/>
  <c r="X26" i="2" s="1"/>
  <c r="U26" i="2" a="1"/>
  <c r="U26" i="2" s="1"/>
  <c r="BL26" i="2" s="1"/>
  <c r="G26" i="2"/>
  <c r="F26" i="2"/>
  <c r="CC25" i="2"/>
  <c r="BS25" i="2"/>
  <c r="BM25" i="2" a="1"/>
  <c r="BM25" i="2" s="1"/>
  <c r="BA25" i="2" a="1"/>
  <c r="BA25" i="2" s="1"/>
  <c r="AO25" i="2" a="1"/>
  <c r="AO25" i="2" s="1"/>
  <c r="Z25" i="2" a="1"/>
  <c r="Z25" i="2" s="1"/>
  <c r="Y25" i="2" a="1"/>
  <c r="Y25" i="2" s="1"/>
  <c r="V25" i="2" a="1"/>
  <c r="V25" i="2" s="1"/>
  <c r="X25" i="2" s="1"/>
  <c r="U25" i="2" a="1"/>
  <c r="U25" i="2" s="1"/>
  <c r="BL25" i="2" s="1"/>
  <c r="G25" i="2"/>
  <c r="F25" i="2"/>
  <c r="BM24" i="2" a="1"/>
  <c r="BM24" i="2" s="1"/>
  <c r="BA24" i="2" a="1"/>
  <c r="BA24" i="2" s="1"/>
  <c r="AO24" i="2" a="1"/>
  <c r="AO24" i="2" s="1"/>
  <c r="Z24" i="2" a="1"/>
  <c r="Z24" i="2" s="1"/>
  <c r="Y24" i="2" a="1"/>
  <c r="Y24" i="2" s="1"/>
  <c r="V24" i="2" a="1"/>
  <c r="V24" i="2" s="1"/>
  <c r="X24" i="2" s="1"/>
  <c r="U24" i="2" a="1"/>
  <c r="U24" i="2" s="1"/>
  <c r="G24" i="2"/>
  <c r="F24" i="2"/>
  <c r="BM23" i="2" a="1"/>
  <c r="BM23" i="2" s="1"/>
  <c r="BA23" i="2" a="1"/>
  <c r="BA23" i="2" s="1"/>
  <c r="AO23" i="2" a="1"/>
  <c r="AO23" i="2" s="1"/>
  <c r="Z23" i="2" a="1"/>
  <c r="Z23" i="2" s="1"/>
  <c r="Y23" i="2" a="1"/>
  <c r="Y23" i="2" s="1"/>
  <c r="V23" i="2" a="1"/>
  <c r="V23" i="2" s="1"/>
  <c r="X23" i="2" s="1"/>
  <c r="U23" i="2" a="1"/>
  <c r="U23" i="2" s="1"/>
  <c r="G23" i="2"/>
  <c r="F23" i="2"/>
  <c r="BM22" i="2" a="1"/>
  <c r="BM22" i="2" s="1"/>
  <c r="BA22" i="2" a="1"/>
  <c r="BA22" i="2" s="1"/>
  <c r="AO22" i="2" a="1"/>
  <c r="AO22" i="2" s="1"/>
  <c r="Z22" i="2" a="1"/>
  <c r="Z22" i="2" s="1"/>
  <c r="Y22" i="2" a="1"/>
  <c r="Y22" i="2" s="1"/>
  <c r="V22" i="2" a="1"/>
  <c r="V22" i="2" s="1"/>
  <c r="X22" i="2" s="1"/>
  <c r="U22" i="2" a="1"/>
  <c r="U22" i="2" s="1"/>
  <c r="G22" i="2"/>
  <c r="F22" i="2"/>
  <c r="BM21" i="2" a="1"/>
  <c r="BM21" i="2" s="1"/>
  <c r="BA21" i="2" a="1"/>
  <c r="BA21" i="2" s="1"/>
  <c r="AO21" i="2" a="1"/>
  <c r="AO21" i="2" s="1"/>
  <c r="Z21" i="2" a="1"/>
  <c r="Z21" i="2" s="1"/>
  <c r="Y21" i="2" a="1"/>
  <c r="Y21" i="2" s="1"/>
  <c r="V21" i="2" a="1"/>
  <c r="V21" i="2" s="1"/>
  <c r="X21" i="2" s="1"/>
  <c r="U21" i="2" a="1"/>
  <c r="U21" i="2" s="1"/>
  <c r="G21" i="2"/>
  <c r="F21" i="2"/>
  <c r="BM20" i="2" a="1"/>
  <c r="BM20" i="2" s="1"/>
  <c r="BA20" i="2" a="1"/>
  <c r="BA20" i="2" s="1"/>
  <c r="AO20" i="2" a="1"/>
  <c r="AO20" i="2" s="1"/>
  <c r="Z20" i="2" a="1"/>
  <c r="Z20" i="2" s="1"/>
  <c r="Y20" i="2" a="1"/>
  <c r="Y20" i="2" s="1"/>
  <c r="V20" i="2" a="1"/>
  <c r="V20" i="2" s="1"/>
  <c r="X20" i="2" s="1"/>
  <c r="U20" i="2" a="1"/>
  <c r="U20" i="2" s="1"/>
  <c r="BL20" i="2" s="1"/>
  <c r="G20" i="2"/>
  <c r="F20" i="2"/>
  <c r="BU19" i="2"/>
  <c r="BM19" i="2" a="1"/>
  <c r="BM19" i="2" s="1"/>
  <c r="BA19" i="2" a="1"/>
  <c r="BA19" i="2" s="1"/>
  <c r="AO19" i="2" a="1"/>
  <c r="AO19" i="2" s="1"/>
  <c r="Z19" i="2" a="1"/>
  <c r="Z19" i="2" s="1"/>
  <c r="Y19" i="2" a="1"/>
  <c r="Y19" i="2" s="1"/>
  <c r="V19" i="2" a="1"/>
  <c r="V19" i="2" s="1"/>
  <c r="X19" i="2" s="1"/>
  <c r="U19" i="2" a="1"/>
  <c r="U19" i="2" s="1"/>
  <c r="G19" i="2"/>
  <c r="F19" i="2"/>
  <c r="BM17" i="2" a="1"/>
  <c r="BM17" i="2" s="1"/>
  <c r="BA17" i="2" a="1"/>
  <c r="BA17" i="2" s="1"/>
  <c r="AO17" i="2" a="1"/>
  <c r="AO17" i="2" s="1"/>
  <c r="Z17" i="2" a="1"/>
  <c r="Z17" i="2" s="1"/>
  <c r="Y17" i="2" a="1"/>
  <c r="Y17" i="2" s="1"/>
  <c r="V17" i="2" a="1"/>
  <c r="V17" i="2" s="1"/>
  <c r="X17" i="2" s="1"/>
  <c r="U17" i="2" a="1"/>
  <c r="U17" i="2" s="1"/>
  <c r="G17" i="2"/>
  <c r="F17" i="2"/>
  <c r="BM16" i="2" a="1"/>
  <c r="BM16" i="2" s="1"/>
  <c r="BA16" i="2" a="1"/>
  <c r="BA16" i="2" s="1"/>
  <c r="AO16" i="2" a="1"/>
  <c r="AO16" i="2" s="1"/>
  <c r="Z16" i="2" a="1"/>
  <c r="Z16" i="2" s="1"/>
  <c r="Y16" i="2" a="1"/>
  <c r="Y16" i="2" s="1"/>
  <c r="V16" i="2" a="1"/>
  <c r="V16" i="2" s="1"/>
  <c r="X16" i="2" s="1"/>
  <c r="U16" i="2" a="1"/>
  <c r="U16" i="2" s="1"/>
  <c r="G16" i="2"/>
  <c r="F16" i="2"/>
  <c r="CC15" i="2"/>
  <c r="BM15" i="2" a="1"/>
  <c r="BM15" i="2" s="1"/>
  <c r="BA15" i="2" a="1"/>
  <c r="BA15" i="2" s="1"/>
  <c r="AO15" i="2" a="1"/>
  <c r="AO15" i="2" s="1"/>
  <c r="Z15" i="2" a="1"/>
  <c r="Z15" i="2" s="1"/>
  <c r="Y15" i="2" a="1"/>
  <c r="Y15" i="2" s="1"/>
  <c r="W15" i="2" a="1"/>
  <c r="W15" i="2" s="1"/>
  <c r="V15" i="2" a="1"/>
  <c r="V15" i="2" s="1"/>
  <c r="U15" i="2" a="1"/>
  <c r="U15" i="2" s="1"/>
  <c r="G15" i="2"/>
  <c r="F15" i="2"/>
  <c r="BM14" i="2" a="1"/>
  <c r="BM14" i="2" s="1"/>
  <c r="BA14" i="2" a="1"/>
  <c r="BA14" i="2" s="1"/>
  <c r="AO14" i="2" a="1"/>
  <c r="AO14" i="2" s="1"/>
  <c r="Z14" i="2" a="1"/>
  <c r="Z14" i="2" s="1"/>
  <c r="Y14" i="2" a="1"/>
  <c r="Y14" i="2" s="1"/>
  <c r="V14" i="2" a="1"/>
  <c r="V14" i="2" s="1"/>
  <c r="X14" i="2" s="1"/>
  <c r="U14" i="2" a="1"/>
  <c r="U14" i="2" s="1"/>
  <c r="G14" i="2"/>
  <c r="F14" i="2"/>
  <c r="BM13" i="2" a="1"/>
  <c r="BM13" i="2" s="1"/>
  <c r="BA13" i="2" a="1"/>
  <c r="BA13" i="2" s="1"/>
  <c r="AO13" i="2" a="1"/>
  <c r="AO13" i="2" s="1"/>
  <c r="Z13" i="2" a="1"/>
  <c r="Z13" i="2" s="1"/>
  <c r="Y13" i="2" a="1"/>
  <c r="Y13" i="2" s="1"/>
  <c r="V13" i="2" a="1"/>
  <c r="V13" i="2" s="1"/>
  <c r="X13" i="2" s="1"/>
  <c r="U13" i="2" a="1"/>
  <c r="U13" i="2" s="1"/>
  <c r="G13" i="2"/>
  <c r="F13" i="2"/>
  <c r="BM12" i="2" a="1"/>
  <c r="BM12" i="2" s="1"/>
  <c r="BA12" i="2" a="1"/>
  <c r="BA12" i="2" s="1"/>
  <c r="AO12" i="2" a="1"/>
  <c r="AO12" i="2" s="1"/>
  <c r="Z12" i="2" a="1"/>
  <c r="Z12" i="2" s="1"/>
  <c r="Y12" i="2" a="1"/>
  <c r="Y12" i="2" s="1"/>
  <c r="V12" i="2" a="1"/>
  <c r="V12" i="2" s="1"/>
  <c r="X12" i="2" s="1"/>
  <c r="U12" i="2" a="1"/>
  <c r="U12" i="2" s="1"/>
  <c r="BL12" i="2" s="1"/>
  <c r="G12" i="2"/>
  <c r="F12" i="2"/>
  <c r="BM11" i="2" a="1"/>
  <c r="BM11" i="2" s="1"/>
  <c r="BA11" i="2" a="1"/>
  <c r="BA11" i="2" s="1"/>
  <c r="AO11" i="2" a="1"/>
  <c r="AO11" i="2" s="1"/>
  <c r="Z11" i="2" a="1"/>
  <c r="Z11" i="2" s="1"/>
  <c r="Y11" i="2" a="1"/>
  <c r="Y11" i="2" s="1"/>
  <c r="V11" i="2" a="1"/>
  <c r="V11" i="2" s="1"/>
  <c r="X11" i="2" s="1"/>
  <c r="U11" i="2" a="1"/>
  <c r="U11" i="2" s="1"/>
  <c r="G11" i="2"/>
  <c r="F11" i="2"/>
  <c r="CC10" i="2"/>
  <c r="BZ10" i="2"/>
  <c r="BM10" i="2" a="1"/>
  <c r="BM10" i="2" s="1"/>
  <c r="BA10" i="2" a="1"/>
  <c r="BA10" i="2" s="1"/>
  <c r="AO10" i="2" a="1"/>
  <c r="AO10" i="2" s="1"/>
  <c r="Z10" i="2" a="1"/>
  <c r="Z10" i="2" s="1"/>
  <c r="Y10" i="2" a="1"/>
  <c r="Y10" i="2" s="1"/>
  <c r="V10" i="2" a="1"/>
  <c r="V10" i="2" s="1"/>
  <c r="X10" i="2" s="1"/>
  <c r="U10" i="2" a="1"/>
  <c r="U10" i="2" s="1"/>
  <c r="G10" i="2"/>
  <c r="F10" i="2"/>
  <c r="BM9" i="2" a="1"/>
  <c r="BM9" i="2" s="1"/>
  <c r="BA9" i="2" a="1"/>
  <c r="BA9" i="2" s="1"/>
  <c r="AO9" i="2" a="1"/>
  <c r="AO9" i="2" s="1"/>
  <c r="Z9" i="2" a="1"/>
  <c r="Z9" i="2" s="1"/>
  <c r="Y9" i="2" a="1"/>
  <c r="Y9" i="2" s="1"/>
  <c r="V9" i="2" a="1"/>
  <c r="V9" i="2" s="1"/>
  <c r="X9" i="2" s="1"/>
  <c r="U9" i="2" a="1"/>
  <c r="U9" i="2" s="1"/>
  <c r="G9" i="2"/>
  <c r="F9" i="2"/>
  <c r="BM8" i="2" a="1"/>
  <c r="BM8" i="2" s="1"/>
  <c r="BA8" i="2" a="1"/>
  <c r="BA8" i="2" s="1"/>
  <c r="AO8" i="2" a="1"/>
  <c r="AO8" i="2" s="1"/>
  <c r="Z8" i="2" a="1"/>
  <c r="Z8" i="2" s="1"/>
  <c r="Y8" i="2" a="1"/>
  <c r="Y8" i="2" s="1"/>
  <c r="V8" i="2" a="1"/>
  <c r="V8" i="2" s="1"/>
  <c r="X8" i="2" s="1"/>
  <c r="U8" i="2" a="1"/>
  <c r="U8" i="2" s="1"/>
  <c r="G8" i="2"/>
  <c r="F8" i="2"/>
  <c r="BM7" i="2" a="1"/>
  <c r="BM7" i="2" s="1"/>
  <c r="BA7" i="2" a="1"/>
  <c r="BA7" i="2" s="1"/>
  <c r="AO7" i="2" a="1"/>
  <c r="AO7" i="2" s="1"/>
  <c r="Z7" i="2" a="1"/>
  <c r="Z7" i="2" s="1"/>
  <c r="Y7" i="2" a="1"/>
  <c r="Y7" i="2" s="1"/>
  <c r="V7" i="2" a="1"/>
  <c r="V7" i="2" s="1"/>
  <c r="X7" i="2" s="1"/>
  <c r="U7" i="2" a="1"/>
  <c r="U7" i="2" s="1"/>
  <c r="G7" i="2"/>
  <c r="F7" i="2"/>
  <c r="BM6" i="2" a="1"/>
  <c r="BM6" i="2" s="1"/>
  <c r="BA6" i="2" a="1"/>
  <c r="BA6" i="2" s="1"/>
  <c r="AO6" i="2" a="1"/>
  <c r="AO6" i="2" s="1"/>
  <c r="Z6" i="2" a="1"/>
  <c r="Z6" i="2" s="1"/>
  <c r="Y6" i="2" a="1"/>
  <c r="Y6" i="2" s="1"/>
  <c r="V6" i="2" a="1"/>
  <c r="V6" i="2" s="1"/>
  <c r="X6" i="2" s="1"/>
  <c r="U6" i="2" a="1"/>
  <c r="U6" i="2" s="1"/>
  <c r="G6" i="2"/>
  <c r="F6" i="2"/>
  <c r="CC5" i="2"/>
  <c r="BM5" i="2" a="1"/>
  <c r="BM5" i="2" s="1"/>
  <c r="BA5" i="2" a="1"/>
  <c r="BA5" i="2" s="1"/>
  <c r="AO5" i="2" a="1"/>
  <c r="AO5" i="2" s="1"/>
  <c r="Z5" i="2" a="1"/>
  <c r="Z5" i="2" s="1"/>
  <c r="Y5" i="2" a="1"/>
  <c r="Y5" i="2" s="1"/>
  <c r="V5" i="2" a="1"/>
  <c r="V5" i="2" s="1"/>
  <c r="X5" i="2" s="1"/>
  <c r="U5" i="2" a="1"/>
  <c r="U5" i="2" s="1"/>
  <c r="G5" i="2"/>
  <c r="F5" i="2"/>
  <c r="CC4" i="2"/>
  <c r="BM4" i="2" a="1"/>
  <c r="BM4" i="2" s="1"/>
  <c r="BA4" i="2" a="1"/>
  <c r="BA4" i="2" s="1"/>
  <c r="AO4" i="2" a="1"/>
  <c r="AO4" i="2" s="1"/>
  <c r="Z4" i="2" a="1"/>
  <c r="Z4" i="2" s="1"/>
  <c r="Y4" i="2" a="1"/>
  <c r="Y4" i="2" s="1"/>
  <c r="V4" i="2" a="1"/>
  <c r="V4" i="2" s="1"/>
  <c r="X4" i="2" s="1"/>
  <c r="U4" i="2" a="1"/>
  <c r="U4" i="2" s="1"/>
  <c r="BL4" i="2" s="1"/>
  <c r="G4" i="2"/>
  <c r="F4" i="2"/>
  <c r="BM3" i="2" a="1"/>
  <c r="BM3" i="2" s="1"/>
  <c r="BA3" i="2" a="1"/>
  <c r="BA3" i="2" s="1"/>
  <c r="AO3" i="2" a="1"/>
  <c r="AO3" i="2" s="1"/>
  <c r="Z3" i="2" a="1"/>
  <c r="Z3" i="2" s="1"/>
  <c r="Y3" i="2" a="1"/>
  <c r="Y3" i="2" s="1"/>
  <c r="V3" i="2" a="1"/>
  <c r="V3" i="2" s="1"/>
  <c r="X3" i="2" s="1"/>
  <c r="U3" i="2" a="1"/>
  <c r="U3" i="2" s="1"/>
  <c r="G3" i="2"/>
  <c r="F3" i="2"/>
  <c r="BM2" i="2" a="1"/>
  <c r="BM2" i="2" s="1"/>
  <c r="BA2" i="2" a="1"/>
  <c r="BA2" i="2" s="1"/>
  <c r="AO2" i="2" a="1"/>
  <c r="AO2" i="2" s="1"/>
  <c r="Z2" i="2" a="1"/>
  <c r="Z2" i="2" s="1"/>
  <c r="Y2" i="2" a="1"/>
  <c r="Y2" i="2" s="1"/>
  <c r="V2" i="2" a="1"/>
  <c r="V2" i="2" s="1"/>
  <c r="X2" i="2" s="1"/>
  <c r="U2" i="2" a="1"/>
  <c r="U2" i="2" s="1"/>
  <c r="G2" i="2"/>
  <c r="F2" i="2"/>
  <c r="E144" i="18"/>
  <c r="L138" i="18"/>
  <c r="C138" i="18"/>
  <c r="B138" i="18"/>
  <c r="L137" i="18"/>
  <c r="C137" i="18"/>
  <c r="B137" i="18"/>
  <c r="L136" i="18"/>
  <c r="C136" i="18"/>
  <c r="B136" i="18"/>
  <c r="L135" i="18"/>
  <c r="C135" i="18"/>
  <c r="B135" i="18"/>
  <c r="L134" i="18"/>
  <c r="C134" i="18"/>
  <c r="B134" i="18"/>
  <c r="L133" i="18"/>
  <c r="C133" i="18"/>
  <c r="B133" i="18"/>
  <c r="L132" i="18"/>
  <c r="C132" i="18"/>
  <c r="B132" i="18"/>
  <c r="L131" i="18"/>
  <c r="C131" i="18"/>
  <c r="B131" i="18"/>
  <c r="L130" i="18"/>
  <c r="C130" i="18"/>
  <c r="B130" i="18"/>
  <c r="L129" i="18"/>
  <c r="C129" i="18"/>
  <c r="B129" i="18"/>
  <c r="L128" i="18"/>
  <c r="C128" i="18"/>
  <c r="B128" i="18"/>
  <c r="L127" i="18"/>
  <c r="C127" i="18"/>
  <c r="B127" i="18"/>
  <c r="L126" i="18"/>
  <c r="C126" i="18"/>
  <c r="B126" i="18"/>
  <c r="L125" i="18"/>
  <c r="C125" i="18"/>
  <c r="B125" i="18"/>
  <c r="L124" i="18"/>
  <c r="C124" i="18"/>
  <c r="B124" i="18"/>
  <c r="L123" i="18"/>
  <c r="C123" i="18"/>
  <c r="B123" i="18"/>
  <c r="L122" i="18"/>
  <c r="C122" i="18"/>
  <c r="B122" i="18"/>
  <c r="L121" i="18"/>
  <c r="C121" i="18"/>
  <c r="B121" i="18"/>
  <c r="L120" i="18"/>
  <c r="C120" i="18"/>
  <c r="B120" i="18"/>
  <c r="L119" i="18"/>
  <c r="C119" i="18"/>
  <c r="B119" i="18"/>
  <c r="L118" i="18"/>
  <c r="C118" i="18"/>
  <c r="B118" i="18"/>
  <c r="L117" i="18"/>
  <c r="C117" i="18"/>
  <c r="B117" i="18"/>
  <c r="L116" i="18"/>
  <c r="C116" i="18"/>
  <c r="B116" i="18"/>
  <c r="L115" i="18"/>
  <c r="C115" i="18"/>
  <c r="B115" i="18"/>
  <c r="L114" i="18"/>
  <c r="C114" i="18"/>
  <c r="B114" i="18"/>
  <c r="L113" i="18"/>
  <c r="C113" i="18"/>
  <c r="B113" i="18"/>
  <c r="L112" i="18"/>
  <c r="C112" i="18"/>
  <c r="B112" i="18"/>
  <c r="L111" i="18"/>
  <c r="C111" i="18"/>
  <c r="B111" i="18"/>
  <c r="L110" i="18"/>
  <c r="C110" i="18"/>
  <c r="B110" i="18"/>
  <c r="L109" i="18"/>
  <c r="C109" i="18"/>
  <c r="B109" i="18"/>
  <c r="L108" i="18"/>
  <c r="C108" i="18"/>
  <c r="B108" i="18"/>
  <c r="L107" i="18"/>
  <c r="C107" i="18"/>
  <c r="B107" i="18"/>
  <c r="L106" i="18"/>
  <c r="C106" i="18"/>
  <c r="B106" i="18"/>
  <c r="L105" i="18"/>
  <c r="C105" i="18"/>
  <c r="B105" i="18"/>
  <c r="L104" i="18"/>
  <c r="C104" i="18"/>
  <c r="B104" i="18"/>
  <c r="L103" i="18"/>
  <c r="C103" i="18"/>
  <c r="B103" i="18"/>
  <c r="L102" i="18"/>
  <c r="C102" i="18"/>
  <c r="B102" i="18"/>
  <c r="L101" i="18"/>
  <c r="C101" i="18"/>
  <c r="B101" i="18"/>
  <c r="L71" i="18"/>
  <c r="B71" i="18"/>
  <c r="L100" i="18"/>
  <c r="C100" i="18"/>
  <c r="B100" i="18"/>
  <c r="L99" i="18"/>
  <c r="C99" i="18"/>
  <c r="B99" i="18"/>
  <c r="L98" i="18"/>
  <c r="C98" i="18"/>
  <c r="B98" i="18"/>
  <c r="L46" i="18"/>
  <c r="B46" i="18"/>
  <c r="L97" i="18"/>
  <c r="C97" i="18"/>
  <c r="B97" i="18"/>
  <c r="L90" i="18"/>
  <c r="B90" i="18"/>
  <c r="L63" i="18"/>
  <c r="B63" i="18"/>
  <c r="L96" i="18"/>
  <c r="C96" i="18"/>
  <c r="B96" i="18"/>
  <c r="L32" i="18"/>
  <c r="B32" i="18"/>
  <c r="L95" i="18"/>
  <c r="C95" i="18"/>
  <c r="B95" i="18"/>
  <c r="L94" i="18"/>
  <c r="C94" i="18"/>
  <c r="B94" i="18"/>
  <c r="L70" i="18"/>
  <c r="B70" i="18"/>
  <c r="L28" i="18"/>
  <c r="C28" i="18"/>
  <c r="B28" i="18"/>
  <c r="L27" i="18"/>
  <c r="B27" i="18"/>
  <c r="L62" i="18"/>
  <c r="B62" i="18"/>
  <c r="L16" i="18"/>
  <c r="C16" i="18"/>
  <c r="B16" i="18"/>
  <c r="L61" i="18"/>
  <c r="B61" i="18"/>
  <c r="L40" i="18"/>
  <c r="C40" i="18"/>
  <c r="B40" i="18"/>
  <c r="L143" i="18"/>
  <c r="C143" i="18"/>
  <c r="B143" i="18"/>
  <c r="L142" i="18"/>
  <c r="C142" i="18"/>
  <c r="B142" i="18"/>
  <c r="L52" i="18"/>
  <c r="B52" i="18"/>
  <c r="L141" i="18"/>
  <c r="C141" i="18"/>
  <c r="B141" i="18"/>
  <c r="L140" i="18"/>
  <c r="C140" i="18"/>
  <c r="B140" i="18"/>
  <c r="L91" i="18"/>
  <c r="B91" i="18"/>
  <c r="L56" i="18"/>
  <c r="B56" i="18"/>
  <c r="L36" i="18"/>
  <c r="B36" i="18"/>
  <c r="L74" i="18"/>
  <c r="B74" i="18"/>
  <c r="L73" i="18"/>
  <c r="B73" i="18"/>
  <c r="L72" i="18"/>
  <c r="B72" i="18"/>
  <c r="L92" i="18"/>
  <c r="B92" i="18"/>
  <c r="L69" i="18"/>
  <c r="B69" i="18"/>
  <c r="L89" i="18"/>
  <c r="B89" i="18"/>
  <c r="L87" i="18"/>
  <c r="B87" i="18"/>
  <c r="L85" i="18"/>
  <c r="B85" i="18"/>
  <c r="L82" i="18"/>
  <c r="B82" i="18"/>
  <c r="L53" i="18"/>
  <c r="B53" i="18"/>
  <c r="B12" i="18"/>
  <c r="L50" i="18"/>
  <c r="B50" i="18"/>
  <c r="L49" i="18"/>
  <c r="B49" i="18"/>
  <c r="L47" i="18"/>
  <c r="B47" i="18"/>
  <c r="L42" i="18"/>
  <c r="B42" i="18"/>
  <c r="L41" i="18"/>
  <c r="B41" i="18"/>
  <c r="L39" i="18"/>
  <c r="B39" i="18"/>
  <c r="L35" i="18"/>
  <c r="B35" i="18"/>
  <c r="L79" i="18"/>
  <c r="B79" i="18"/>
  <c r="L77" i="18"/>
  <c r="B77" i="18"/>
  <c r="L76" i="18"/>
  <c r="B76" i="18"/>
  <c r="L33" i="18"/>
  <c r="B33" i="18"/>
  <c r="L31" i="18"/>
  <c r="B31" i="18"/>
  <c r="L75" i="18"/>
  <c r="B75" i="18"/>
  <c r="L93" i="18"/>
  <c r="B93" i="18"/>
  <c r="L68" i="18"/>
  <c r="B68" i="18"/>
  <c r="L67" i="18"/>
  <c r="B67" i="18"/>
  <c r="L66" i="18"/>
  <c r="B66" i="18"/>
  <c r="L65" i="18"/>
  <c r="B65" i="18"/>
  <c r="L64" i="18"/>
  <c r="B64" i="18"/>
  <c r="L60" i="18"/>
  <c r="B60" i="18"/>
  <c r="L59" i="18"/>
  <c r="B59" i="18"/>
  <c r="L58" i="18"/>
  <c r="B58" i="18"/>
  <c r="L57" i="18"/>
  <c r="B57" i="18"/>
  <c r="L44" i="18"/>
  <c r="B44" i="18"/>
  <c r="L8" i="18"/>
  <c r="B8" i="18"/>
  <c r="L7" i="18"/>
  <c r="B7" i="18"/>
  <c r="L30" i="18"/>
  <c r="B30" i="18"/>
  <c r="L29" i="18"/>
  <c r="B29" i="18"/>
  <c r="L88" i="18"/>
  <c r="B88" i="18"/>
  <c r="L13" i="18"/>
  <c r="B13" i="18"/>
  <c r="L55" i="18"/>
  <c r="B55" i="18"/>
  <c r="L54" i="18"/>
  <c r="B54" i="18"/>
  <c r="L45" i="18"/>
  <c r="B45" i="18"/>
  <c r="L43" i="18"/>
  <c r="B43" i="18"/>
  <c r="L26" i="18"/>
  <c r="B26" i="18"/>
  <c r="L6" i="18"/>
  <c r="B6" i="18"/>
  <c r="L4" i="18"/>
  <c r="B4" i="18"/>
  <c r="L25" i="18"/>
  <c r="B25" i="18"/>
  <c r="L24" i="18"/>
  <c r="B24" i="18"/>
  <c r="L23" i="18"/>
  <c r="B23" i="18"/>
  <c r="L22" i="18"/>
  <c r="B22" i="18"/>
  <c r="L21" i="18"/>
  <c r="B21" i="18"/>
  <c r="L20" i="18"/>
  <c r="B20" i="18"/>
  <c r="L19" i="18"/>
  <c r="B19" i="18"/>
  <c r="L18" i="18"/>
  <c r="B18" i="18"/>
  <c r="L17" i="18"/>
  <c r="B17" i="18"/>
  <c r="B15" i="18"/>
  <c r="L14" i="18"/>
  <c r="B14" i="18"/>
  <c r="L84" i="18"/>
  <c r="B84" i="18"/>
  <c r="L11" i="18"/>
  <c r="B11" i="18"/>
  <c r="L10" i="18"/>
  <c r="B10" i="18"/>
  <c r="L51" i="18"/>
  <c r="B51" i="18"/>
  <c r="L80" i="18"/>
  <c r="B80" i="18"/>
  <c r="L48" i="18"/>
  <c r="B48" i="18"/>
  <c r="B9" i="18"/>
  <c r="L38" i="18"/>
  <c r="B38" i="18"/>
  <c r="L37" i="18"/>
  <c r="B37" i="18"/>
  <c r="L34" i="18"/>
  <c r="B34" i="18"/>
  <c r="L5" i="18"/>
  <c r="B5" i="18"/>
  <c r="K78" i="18"/>
  <c r="L78" i="18" s="1"/>
  <c r="B78" i="18"/>
  <c r="L3" i="18"/>
  <c r="B3" i="18"/>
  <c r="L139" i="18"/>
  <c r="B139" i="18"/>
  <c r="U264" i="43"/>
  <c r="Z261" i="43"/>
  <c r="Y261" i="43"/>
  <c r="X261" i="43"/>
  <c r="I261" i="43"/>
  <c r="Z260" i="43"/>
  <c r="Y260" i="43"/>
  <c r="X260" i="43"/>
  <c r="I260" i="43"/>
  <c r="Z259" i="43"/>
  <c r="Y259" i="43"/>
  <c r="X259" i="43"/>
  <c r="I259" i="43"/>
  <c r="Z258" i="43"/>
  <c r="Y258" i="43"/>
  <c r="X258" i="43"/>
  <c r="I258" i="43"/>
  <c r="Z86" i="43"/>
  <c r="X86" i="43"/>
  <c r="I86" i="43"/>
  <c r="Z235" i="43"/>
  <c r="X235" i="43"/>
  <c r="I235" i="43"/>
  <c r="Z136" i="43"/>
  <c r="X136" i="43"/>
  <c r="I136" i="43"/>
  <c r="Z135" i="43"/>
  <c r="X135" i="43"/>
  <c r="I135" i="43"/>
  <c r="Z51" i="43"/>
  <c r="Y51" i="43"/>
  <c r="X51" i="43"/>
  <c r="I51" i="43"/>
  <c r="Z50" i="43"/>
  <c r="X50" i="43"/>
  <c r="I50" i="43"/>
  <c r="Z234" i="43"/>
  <c r="X234" i="43"/>
  <c r="I234" i="43"/>
  <c r="Z49" i="43"/>
  <c r="X49" i="43"/>
  <c r="I49" i="43"/>
  <c r="Z48" i="43"/>
  <c r="X48" i="43"/>
  <c r="I48" i="43"/>
  <c r="Z85" i="43"/>
  <c r="X85" i="43"/>
  <c r="I85" i="43"/>
  <c r="Z257" i="43"/>
  <c r="Y257" i="43"/>
  <c r="X257" i="43"/>
  <c r="I257" i="43"/>
  <c r="Z256" i="43"/>
  <c r="Y256" i="43"/>
  <c r="X256" i="43"/>
  <c r="I256" i="43"/>
  <c r="Z122" i="43"/>
  <c r="X122" i="43"/>
  <c r="I122" i="43"/>
  <c r="Z121" i="43"/>
  <c r="X121" i="43"/>
  <c r="I121" i="43"/>
  <c r="Z255" i="43"/>
  <c r="Y255" i="43"/>
  <c r="X255" i="43"/>
  <c r="I255" i="43"/>
  <c r="Z30" i="43"/>
  <c r="Y30" i="43"/>
  <c r="X30" i="43"/>
  <c r="I30" i="43"/>
  <c r="Z29" i="43"/>
  <c r="Y29" i="43"/>
  <c r="X29" i="43"/>
  <c r="I29" i="43"/>
  <c r="Z254" i="43"/>
  <c r="Y254" i="43"/>
  <c r="X254" i="43"/>
  <c r="I254" i="43"/>
  <c r="Z120" i="43"/>
  <c r="X120" i="43"/>
  <c r="I120" i="43"/>
  <c r="Z99" i="43"/>
  <c r="X99" i="43"/>
  <c r="I99" i="43"/>
  <c r="Z98" i="43"/>
  <c r="X98" i="43"/>
  <c r="I98" i="43"/>
  <c r="Z119" i="43"/>
  <c r="X119" i="43"/>
  <c r="I119" i="43"/>
  <c r="Z253" i="43"/>
  <c r="Y253" i="43"/>
  <c r="X253" i="43"/>
  <c r="I253" i="43"/>
  <c r="Z252" i="43"/>
  <c r="Y252" i="43"/>
  <c r="X252" i="43"/>
  <c r="I252" i="43"/>
  <c r="Z138" i="43"/>
  <c r="X138" i="43"/>
  <c r="I138" i="43"/>
  <c r="Z137" i="43"/>
  <c r="X137" i="43"/>
  <c r="I137" i="43"/>
  <c r="Z245" i="43"/>
  <c r="X245" i="43"/>
  <c r="I245" i="43"/>
  <c r="Z244" i="43"/>
  <c r="X244" i="43"/>
  <c r="I244" i="43"/>
  <c r="Z243" i="43"/>
  <c r="X243" i="43"/>
  <c r="I243" i="43"/>
  <c r="Z242" i="43"/>
  <c r="X242" i="43"/>
  <c r="I242" i="43"/>
  <c r="Z241" i="43"/>
  <c r="X241" i="43"/>
  <c r="I241" i="43"/>
  <c r="Z240" i="43"/>
  <c r="X240" i="43"/>
  <c r="I240" i="43"/>
  <c r="Z239" i="43"/>
  <c r="X239" i="43"/>
  <c r="V239" i="43"/>
  <c r="I239" i="43"/>
  <c r="Z238" i="43"/>
  <c r="X238" i="43"/>
  <c r="I238" i="43"/>
  <c r="Z237" i="43"/>
  <c r="X237" i="43"/>
  <c r="I237" i="43"/>
  <c r="Z236" i="43"/>
  <c r="X236" i="43"/>
  <c r="S236" i="43"/>
  <c r="I236" i="43"/>
  <c r="Z233" i="43"/>
  <c r="X233" i="43"/>
  <c r="I233" i="43"/>
  <c r="Z232" i="43"/>
  <c r="X232" i="43"/>
  <c r="I232" i="43"/>
  <c r="Z224" i="43"/>
  <c r="X224" i="43"/>
  <c r="I224" i="43"/>
  <c r="Z223" i="43"/>
  <c r="X223" i="43"/>
  <c r="I223" i="43"/>
  <c r="Z217" i="43"/>
  <c r="X217" i="43"/>
  <c r="I217" i="43"/>
  <c r="Z216" i="43"/>
  <c r="X216" i="43"/>
  <c r="I216" i="43"/>
  <c r="Z215" i="43"/>
  <c r="X215" i="43"/>
  <c r="I215" i="43"/>
  <c r="Z118" i="43"/>
  <c r="X118" i="43"/>
  <c r="I118" i="43"/>
  <c r="Z117" i="43"/>
  <c r="X117" i="43"/>
  <c r="I117" i="43"/>
  <c r="Z214" i="43"/>
  <c r="X214" i="43"/>
  <c r="I214" i="43"/>
  <c r="Z213" i="43"/>
  <c r="X213" i="43"/>
  <c r="I213" i="43"/>
  <c r="Z212" i="43"/>
  <c r="X212" i="43"/>
  <c r="I212" i="43"/>
  <c r="Z108" i="43"/>
  <c r="X108" i="43"/>
  <c r="V108" i="43"/>
  <c r="I108" i="43"/>
  <c r="Z106" i="43"/>
  <c r="X106" i="43"/>
  <c r="I106" i="43"/>
  <c r="Z204" i="43"/>
  <c r="X204" i="43"/>
  <c r="I204" i="43"/>
  <c r="Z203" i="43"/>
  <c r="X203" i="43"/>
  <c r="I203" i="43"/>
  <c r="Z202" i="43"/>
  <c r="X202" i="43"/>
  <c r="I202" i="43"/>
  <c r="Z201" i="43"/>
  <c r="X201" i="43"/>
  <c r="I201" i="43"/>
  <c r="Z200" i="43"/>
  <c r="X200" i="43"/>
  <c r="I200" i="43"/>
  <c r="Z199" i="43"/>
  <c r="X199" i="43"/>
  <c r="I199" i="43"/>
  <c r="Z198" i="43"/>
  <c r="X198" i="43"/>
  <c r="I198" i="43"/>
  <c r="Z197" i="43"/>
  <c r="X197" i="43"/>
  <c r="I197" i="43"/>
  <c r="Z196" i="43"/>
  <c r="X196" i="43"/>
  <c r="I196" i="43"/>
  <c r="Z195" i="43"/>
  <c r="X195" i="43"/>
  <c r="I195" i="43"/>
  <c r="Z194" i="43"/>
  <c r="X194" i="43"/>
  <c r="I194" i="43"/>
  <c r="Z191" i="43"/>
  <c r="X191" i="43"/>
  <c r="I191" i="43"/>
  <c r="Z190" i="43"/>
  <c r="X190" i="43"/>
  <c r="V190" i="43"/>
  <c r="I190" i="43"/>
  <c r="Z189" i="43"/>
  <c r="X189" i="43"/>
  <c r="V189" i="43"/>
  <c r="I189" i="43"/>
  <c r="Z185" i="43"/>
  <c r="X185" i="43"/>
  <c r="I185" i="43"/>
  <c r="Z184" i="43"/>
  <c r="X184" i="43"/>
  <c r="I184" i="43"/>
  <c r="Z183" i="43"/>
  <c r="X183" i="43"/>
  <c r="I183" i="43"/>
  <c r="Z182" i="43"/>
  <c r="X182" i="43"/>
  <c r="I182" i="43"/>
  <c r="Z181" i="43"/>
  <c r="X181" i="43"/>
  <c r="I181" i="43"/>
  <c r="Z180" i="43"/>
  <c r="X180" i="43"/>
  <c r="I180" i="43"/>
  <c r="Z179" i="43"/>
  <c r="X179" i="43"/>
  <c r="I179" i="43"/>
  <c r="Z178" i="43"/>
  <c r="X178" i="43"/>
  <c r="I178" i="43"/>
  <c r="Z177" i="43"/>
  <c r="X177" i="43"/>
  <c r="I177" i="43"/>
  <c r="Z176" i="43"/>
  <c r="X176" i="43"/>
  <c r="I176" i="43"/>
  <c r="Z175" i="43"/>
  <c r="X175" i="43"/>
  <c r="I175" i="43"/>
  <c r="Z174" i="43"/>
  <c r="X174" i="43"/>
  <c r="I174" i="43"/>
  <c r="Z173" i="43"/>
  <c r="X173" i="43"/>
  <c r="I173" i="43"/>
  <c r="Z172" i="43"/>
  <c r="X172" i="43"/>
  <c r="I172" i="43"/>
  <c r="Z171" i="43"/>
  <c r="X171" i="43"/>
  <c r="I171" i="43"/>
  <c r="Z170" i="43"/>
  <c r="X170" i="43"/>
  <c r="I170" i="43"/>
  <c r="Z169" i="43"/>
  <c r="X169" i="43"/>
  <c r="I169" i="43"/>
  <c r="Z168" i="43"/>
  <c r="X168" i="43"/>
  <c r="I168" i="43"/>
  <c r="Z167" i="43"/>
  <c r="X167" i="43"/>
  <c r="I167" i="43"/>
  <c r="Z166" i="43"/>
  <c r="X166" i="43"/>
  <c r="I166" i="43"/>
  <c r="Z165" i="43"/>
  <c r="X165" i="43"/>
  <c r="Q165" i="43"/>
  <c r="I165" i="43"/>
  <c r="Z164" i="43"/>
  <c r="X164" i="43"/>
  <c r="I164" i="43"/>
  <c r="Z163" i="43"/>
  <c r="X163" i="43"/>
  <c r="I163" i="43"/>
  <c r="Z162" i="43"/>
  <c r="X162" i="43"/>
  <c r="I162" i="43"/>
  <c r="Z161" i="43"/>
  <c r="X161" i="43"/>
  <c r="I161" i="43"/>
  <c r="Z160" i="43"/>
  <c r="X160" i="43"/>
  <c r="I160" i="43"/>
  <c r="Z66" i="43"/>
  <c r="X66" i="43"/>
  <c r="I66" i="43"/>
  <c r="Z65" i="43"/>
  <c r="X65" i="43"/>
  <c r="I65" i="43"/>
  <c r="Z64" i="43"/>
  <c r="X64" i="43"/>
  <c r="V64" i="43"/>
  <c r="I64" i="43"/>
  <c r="Z63" i="43"/>
  <c r="X63" i="43"/>
  <c r="I63" i="43"/>
  <c r="Z251" i="43"/>
  <c r="X251" i="43"/>
  <c r="I251" i="43"/>
  <c r="Z250" i="43"/>
  <c r="X250" i="43"/>
  <c r="I250" i="43"/>
  <c r="Z144" i="43"/>
  <c r="X144" i="43"/>
  <c r="I144" i="43"/>
  <c r="Z143" i="43"/>
  <c r="X143" i="43"/>
  <c r="V143" i="43"/>
  <c r="I143" i="43"/>
  <c r="Z142" i="43"/>
  <c r="X142" i="43"/>
  <c r="I141" i="43"/>
  <c r="Z141" i="43"/>
  <c r="X141" i="43"/>
  <c r="Z140" i="43"/>
  <c r="X140" i="43"/>
  <c r="I140" i="43"/>
  <c r="Z139" i="43"/>
  <c r="X139" i="43"/>
  <c r="I139" i="43"/>
  <c r="Z247" i="43"/>
  <c r="X247" i="43"/>
  <c r="I247" i="43"/>
  <c r="Z246" i="43"/>
  <c r="X246" i="43"/>
  <c r="I246" i="43"/>
  <c r="Z132" i="43"/>
  <c r="X132" i="43"/>
  <c r="I132" i="43"/>
  <c r="Z131" i="43"/>
  <c r="X131" i="43"/>
  <c r="I131" i="43"/>
  <c r="Z231" i="43"/>
  <c r="X231" i="43"/>
  <c r="I231" i="43"/>
  <c r="Z230" i="43"/>
  <c r="X230" i="43"/>
  <c r="I230" i="43"/>
  <c r="Z229" i="43"/>
  <c r="X229" i="43"/>
  <c r="I229" i="43"/>
  <c r="Z226" i="43"/>
  <c r="X226" i="43"/>
  <c r="I226" i="43"/>
  <c r="Z225" i="43"/>
  <c r="X225" i="43"/>
  <c r="V225" i="43"/>
  <c r="I225" i="43"/>
  <c r="Z222" i="43"/>
  <c r="X222" i="43"/>
  <c r="I222" i="43"/>
  <c r="Z221" i="43"/>
  <c r="X221" i="43"/>
  <c r="I221" i="43"/>
  <c r="Z220" i="43"/>
  <c r="X220" i="43"/>
  <c r="I220" i="43"/>
  <c r="Z219" i="43"/>
  <c r="X219" i="43"/>
  <c r="I219" i="43"/>
  <c r="Z218" i="43"/>
  <c r="X218" i="43"/>
  <c r="V218" i="43"/>
  <c r="I218" i="43"/>
  <c r="Z209" i="43"/>
  <c r="X209" i="43"/>
  <c r="I209" i="43"/>
  <c r="Z208" i="43"/>
  <c r="X208" i="43"/>
  <c r="I208" i="43"/>
  <c r="Z207" i="43"/>
  <c r="X207" i="43"/>
  <c r="I207" i="43"/>
  <c r="Z206" i="43"/>
  <c r="X206" i="43"/>
  <c r="I206" i="43"/>
  <c r="Z205" i="43"/>
  <c r="X205" i="43"/>
  <c r="I205" i="43"/>
  <c r="Z101" i="43"/>
  <c r="X101" i="43"/>
  <c r="V101" i="43"/>
  <c r="I101" i="43"/>
  <c r="Z100" i="43"/>
  <c r="X100" i="43"/>
  <c r="V100" i="43"/>
  <c r="I100" i="43"/>
  <c r="Z193" i="43"/>
  <c r="X193" i="43"/>
  <c r="I193" i="43"/>
  <c r="Z192" i="43"/>
  <c r="X192" i="43"/>
  <c r="I192" i="43"/>
  <c r="Z22" i="43"/>
  <c r="X22" i="43"/>
  <c r="I22" i="43"/>
  <c r="Z21" i="43"/>
  <c r="X21" i="43"/>
  <c r="Z95" i="43"/>
  <c r="X95" i="43"/>
  <c r="I95" i="43"/>
  <c r="Z94" i="43"/>
  <c r="X94" i="43"/>
  <c r="I94" i="43"/>
  <c r="Z93" i="43"/>
  <c r="X93" i="43"/>
  <c r="I93" i="43"/>
  <c r="Z92" i="43"/>
  <c r="X92" i="43"/>
  <c r="I92" i="43"/>
  <c r="Z89" i="43"/>
  <c r="X89" i="43"/>
  <c r="I89" i="43"/>
  <c r="Z88" i="43"/>
  <c r="X88" i="43"/>
  <c r="I88" i="43"/>
  <c r="Z87" i="43"/>
  <c r="X87" i="43"/>
  <c r="I87" i="43"/>
  <c r="Z78" i="43"/>
  <c r="X78" i="43"/>
  <c r="I78" i="43"/>
  <c r="Z77" i="43"/>
  <c r="X77" i="43"/>
  <c r="I77" i="43"/>
  <c r="Z76" i="43"/>
  <c r="X76" i="43"/>
  <c r="I76" i="43"/>
  <c r="Z75" i="43"/>
  <c r="X75" i="43"/>
  <c r="I75" i="43"/>
  <c r="Z74" i="43"/>
  <c r="X74" i="43"/>
  <c r="I74" i="43"/>
  <c r="Z73" i="43"/>
  <c r="X73" i="43"/>
  <c r="I73" i="43"/>
  <c r="Z72" i="43"/>
  <c r="X72" i="43"/>
  <c r="Z71" i="43"/>
  <c r="X71" i="43"/>
  <c r="V71" i="43"/>
  <c r="I71" i="43"/>
  <c r="Z62" i="43"/>
  <c r="X62" i="43"/>
  <c r="I62" i="43"/>
  <c r="Z61" i="43"/>
  <c r="X61" i="43"/>
  <c r="I61" i="43"/>
  <c r="Z159" i="43"/>
  <c r="X159" i="43"/>
  <c r="I159" i="43"/>
  <c r="Z158" i="43"/>
  <c r="X158" i="43"/>
  <c r="I158" i="43"/>
  <c r="Z152" i="43"/>
  <c r="X152" i="43"/>
  <c r="I152" i="43"/>
  <c r="Z151" i="43"/>
  <c r="X151" i="43"/>
  <c r="I151" i="43"/>
  <c r="Z150" i="43"/>
  <c r="X150" i="43"/>
  <c r="I150" i="43"/>
  <c r="Z149" i="43"/>
  <c r="X149" i="43"/>
  <c r="V149" i="43"/>
  <c r="I149" i="43"/>
  <c r="Z148" i="43"/>
  <c r="X148" i="43"/>
  <c r="V148" i="43"/>
  <c r="I148" i="43"/>
  <c r="Z58" i="43"/>
  <c r="X58" i="43"/>
  <c r="I58" i="43"/>
  <c r="Z57" i="43"/>
  <c r="X57" i="43"/>
  <c r="V57" i="43"/>
  <c r="I57" i="43"/>
  <c r="Z56" i="43"/>
  <c r="X56" i="43"/>
  <c r="I56" i="43"/>
  <c r="Z55" i="43"/>
  <c r="X55" i="43"/>
  <c r="I55" i="43"/>
  <c r="Z145" i="43"/>
  <c r="X145" i="43"/>
  <c r="V145" i="43"/>
  <c r="I145" i="43"/>
  <c r="Z249" i="43"/>
  <c r="X249" i="43"/>
  <c r="I249" i="43"/>
  <c r="Z248" i="43"/>
  <c r="X248" i="43"/>
  <c r="I248" i="43"/>
  <c r="Z134" i="43"/>
  <c r="X134" i="43"/>
  <c r="I134" i="43"/>
  <c r="Z133" i="43"/>
  <c r="X133" i="43"/>
  <c r="V133" i="43"/>
  <c r="I133" i="43"/>
  <c r="Z130" i="43"/>
  <c r="X130" i="43"/>
  <c r="I130" i="43"/>
  <c r="Z129" i="43"/>
  <c r="X129" i="43"/>
  <c r="I129" i="43"/>
  <c r="Z128" i="43"/>
  <c r="X128" i="43"/>
  <c r="I128" i="43"/>
  <c r="Z127" i="43"/>
  <c r="X127" i="43"/>
  <c r="I127" i="43"/>
  <c r="Z126" i="43"/>
  <c r="X126" i="43"/>
  <c r="I126" i="43"/>
  <c r="Z125" i="43"/>
  <c r="X125" i="43"/>
  <c r="I125" i="43"/>
  <c r="Z124" i="43"/>
  <c r="X124" i="43"/>
  <c r="I124" i="43"/>
  <c r="Z123" i="43"/>
  <c r="X123" i="43"/>
  <c r="I123" i="43"/>
  <c r="Z116" i="43"/>
  <c r="X116" i="43"/>
  <c r="I116" i="43"/>
  <c r="Z115" i="43"/>
  <c r="X115" i="43"/>
  <c r="V115" i="43"/>
  <c r="I115" i="43"/>
  <c r="Z114" i="43"/>
  <c r="X114" i="43"/>
  <c r="I114" i="43"/>
  <c r="Z113" i="43"/>
  <c r="X113" i="43"/>
  <c r="V113" i="43"/>
  <c r="P113" i="43"/>
  <c r="O113" i="43"/>
  <c r="I113" i="43"/>
  <c r="Z112" i="43"/>
  <c r="X112" i="43"/>
  <c r="I112" i="43"/>
  <c r="Z111" i="43"/>
  <c r="X111" i="43"/>
  <c r="I111" i="43"/>
  <c r="Z110" i="43"/>
  <c r="X110" i="43"/>
  <c r="I110" i="43"/>
  <c r="Z109" i="43"/>
  <c r="X109" i="43"/>
  <c r="I109" i="43"/>
  <c r="Z82" i="43"/>
  <c r="X82" i="43"/>
  <c r="I82" i="43"/>
  <c r="Z81" i="43"/>
  <c r="X81" i="43"/>
  <c r="V81" i="43"/>
  <c r="I81" i="43"/>
  <c r="Z13" i="43"/>
  <c r="X13" i="43"/>
  <c r="I13" i="43"/>
  <c r="Z12" i="43"/>
  <c r="X12" i="43"/>
  <c r="V12" i="43"/>
  <c r="I12" i="43"/>
  <c r="Z11" i="43"/>
  <c r="X11" i="43"/>
  <c r="I11" i="43"/>
  <c r="Z10" i="43"/>
  <c r="X10" i="43"/>
  <c r="I10" i="43"/>
  <c r="Z54" i="43"/>
  <c r="X54" i="43"/>
  <c r="V54" i="43"/>
  <c r="I54" i="43"/>
  <c r="Z53" i="43"/>
  <c r="X53" i="43"/>
  <c r="I53" i="43"/>
  <c r="Z52" i="43"/>
  <c r="X52" i="43"/>
  <c r="V52" i="43"/>
  <c r="I52" i="43"/>
  <c r="Z228" i="43"/>
  <c r="X228" i="43"/>
  <c r="I228" i="43"/>
  <c r="Z227" i="43"/>
  <c r="X227" i="43"/>
  <c r="V227" i="43"/>
  <c r="I227" i="43"/>
  <c r="Z24" i="43"/>
  <c r="X24" i="43"/>
  <c r="I24" i="43"/>
  <c r="Z23" i="43"/>
  <c r="X23" i="43"/>
  <c r="I23" i="43"/>
  <c r="Z105" i="43"/>
  <c r="X105" i="43"/>
  <c r="I105" i="43"/>
  <c r="Z104" i="43"/>
  <c r="X104" i="43"/>
  <c r="V104" i="43"/>
  <c r="I104" i="43"/>
  <c r="Z103" i="43"/>
  <c r="X103" i="43"/>
  <c r="I103" i="43"/>
  <c r="Z102" i="43"/>
  <c r="X102" i="43"/>
  <c r="V102" i="43"/>
  <c r="I102" i="43"/>
  <c r="Z84" i="43"/>
  <c r="X84" i="43"/>
  <c r="I84" i="43"/>
  <c r="Z83" i="43"/>
  <c r="X83" i="43"/>
  <c r="V83" i="43"/>
  <c r="I83" i="43"/>
  <c r="Z80" i="43"/>
  <c r="X80" i="43"/>
  <c r="I80" i="43"/>
  <c r="Z79" i="43"/>
  <c r="X79" i="43"/>
  <c r="V79" i="43"/>
  <c r="O79" i="43"/>
  <c r="I79" i="43"/>
  <c r="Z47" i="43"/>
  <c r="X47" i="43"/>
  <c r="I47" i="43"/>
  <c r="Z46" i="43"/>
  <c r="X46" i="43"/>
  <c r="V46" i="43"/>
  <c r="I46" i="43"/>
  <c r="Z9" i="43"/>
  <c r="X9" i="43"/>
  <c r="I9" i="43"/>
  <c r="V8" i="43"/>
  <c r="I8" i="43"/>
  <c r="Z8" i="43"/>
  <c r="X8" i="43"/>
  <c r="Z5" i="43"/>
  <c r="X5" i="43"/>
  <c r="I5" i="43"/>
  <c r="Z4" i="43"/>
  <c r="X4" i="43"/>
  <c r="V4" i="43"/>
  <c r="I4" i="43"/>
  <c r="Z45" i="43"/>
  <c r="X45" i="43"/>
  <c r="V45" i="43"/>
  <c r="I45" i="43"/>
  <c r="Z44" i="43"/>
  <c r="X44" i="43"/>
  <c r="I44" i="43"/>
  <c r="Z43" i="43"/>
  <c r="X43" i="43"/>
  <c r="I43" i="43"/>
  <c r="Z42" i="43"/>
  <c r="X42" i="43"/>
  <c r="I42" i="43"/>
  <c r="Z41" i="43"/>
  <c r="X41" i="43"/>
  <c r="S41" i="43"/>
  <c r="I41" i="43"/>
  <c r="Z40" i="43"/>
  <c r="X40" i="43"/>
  <c r="I40" i="43"/>
  <c r="Z39" i="43"/>
  <c r="X39" i="43"/>
  <c r="I39" i="43"/>
  <c r="Z38" i="43"/>
  <c r="X38" i="43"/>
  <c r="I38" i="43"/>
  <c r="Z37" i="43"/>
  <c r="X37" i="43"/>
  <c r="I37" i="43"/>
  <c r="Z36" i="43"/>
  <c r="X36" i="43"/>
  <c r="I36" i="43"/>
  <c r="Z35" i="43"/>
  <c r="X35" i="43"/>
  <c r="I35" i="43"/>
  <c r="Z34" i="43"/>
  <c r="X34" i="43"/>
  <c r="I34" i="43"/>
  <c r="Z33" i="43"/>
  <c r="X33" i="43"/>
  <c r="I33" i="43"/>
  <c r="Z32" i="43"/>
  <c r="X32" i="43"/>
  <c r="I32" i="43"/>
  <c r="Z31" i="43"/>
  <c r="X31" i="43"/>
  <c r="I31" i="43"/>
  <c r="Z28" i="43"/>
  <c r="X28" i="43"/>
  <c r="Z27" i="43"/>
  <c r="X27" i="43"/>
  <c r="I27" i="43"/>
  <c r="Z26" i="43"/>
  <c r="X26" i="43"/>
  <c r="I26" i="43"/>
  <c r="Z25" i="43"/>
  <c r="X25" i="43"/>
  <c r="I25" i="43"/>
  <c r="Z211" i="43"/>
  <c r="X211" i="43"/>
  <c r="I211" i="43"/>
  <c r="Z210" i="43"/>
  <c r="X210" i="43"/>
  <c r="I210" i="43"/>
  <c r="Z20" i="43"/>
  <c r="X20" i="43"/>
  <c r="I20" i="43"/>
  <c r="Z19" i="43"/>
  <c r="X19" i="43"/>
  <c r="I19" i="43"/>
  <c r="Z18" i="43"/>
  <c r="X18" i="43"/>
  <c r="I18" i="43"/>
  <c r="Z17" i="43"/>
  <c r="X17" i="43"/>
  <c r="I17" i="43"/>
  <c r="Z97" i="43"/>
  <c r="X97" i="43"/>
  <c r="I97" i="43"/>
  <c r="Z96" i="43"/>
  <c r="X96" i="43"/>
  <c r="I96" i="43"/>
  <c r="Z188" i="43"/>
  <c r="X188" i="43"/>
  <c r="I188" i="43"/>
  <c r="Z187" i="43"/>
  <c r="X187" i="43"/>
  <c r="I187" i="43"/>
  <c r="Z186" i="43"/>
  <c r="X186" i="43"/>
  <c r="V186" i="43"/>
  <c r="I186" i="43"/>
  <c r="Z91" i="43"/>
  <c r="X91" i="43"/>
  <c r="I91" i="43"/>
  <c r="Z90" i="43"/>
  <c r="X90" i="43"/>
  <c r="V90" i="43"/>
  <c r="I90" i="43"/>
  <c r="Z16" i="43"/>
  <c r="X16" i="43"/>
  <c r="I16" i="43"/>
  <c r="Z15" i="43"/>
  <c r="X15" i="43"/>
  <c r="I15" i="43"/>
  <c r="Z14" i="43"/>
  <c r="X14" i="43"/>
  <c r="V14" i="43"/>
  <c r="I14" i="43"/>
  <c r="Z70" i="43"/>
  <c r="X70" i="43"/>
  <c r="I70" i="43"/>
  <c r="Z69" i="43"/>
  <c r="X69" i="43"/>
  <c r="I69" i="43"/>
  <c r="Z68" i="43"/>
  <c r="X68" i="43"/>
  <c r="I68" i="43"/>
  <c r="Z67" i="43"/>
  <c r="X67" i="43"/>
  <c r="I67" i="43"/>
  <c r="Z60" i="43"/>
  <c r="X60" i="43"/>
  <c r="I60" i="43"/>
  <c r="Z59" i="43"/>
  <c r="X59" i="43"/>
  <c r="N59" i="43"/>
  <c r="I59" i="43"/>
  <c r="Z7" i="43"/>
  <c r="X7" i="43"/>
  <c r="I7" i="43"/>
  <c r="Z6" i="43"/>
  <c r="X6" i="43"/>
  <c r="V6" i="43"/>
  <c r="I6" i="43"/>
  <c r="Z3" i="43"/>
  <c r="X3" i="43"/>
  <c r="I3" i="43"/>
  <c r="Z262" i="43"/>
  <c r="X262" i="43"/>
  <c r="V262" i="43"/>
  <c r="I262" i="43"/>
  <c r="Q4511" i="1"/>
  <c r="S4511" i="1" s="1"/>
  <c r="N4511" i="1"/>
  <c r="Q4509" i="1"/>
  <c r="S4509" i="1" s="1"/>
  <c r="N4509" i="1"/>
  <c r="Q4507" i="1"/>
  <c r="R4507" i="1" s="1"/>
  <c r="N4507" i="1"/>
  <c r="Q4505" i="1"/>
  <c r="S4505" i="1" s="1"/>
  <c r="N4505" i="1"/>
  <c r="Q4503" i="1"/>
  <c r="R4503" i="1" s="1"/>
  <c r="N4503" i="1"/>
  <c r="Q4450" i="1"/>
  <c r="S4450" i="1" s="1"/>
  <c r="N4450" i="1"/>
  <c r="Q4448" i="1"/>
  <c r="S4448" i="1" s="1"/>
  <c r="N4448" i="1"/>
  <c r="Q4430" i="1"/>
  <c r="S4430" i="1" s="1"/>
  <c r="N4430" i="1"/>
  <c r="Q4428" i="1"/>
  <c r="S4428" i="1" s="1"/>
  <c r="N4428" i="1"/>
  <c r="Q4426" i="1"/>
  <c r="S4426" i="1" s="1"/>
  <c r="N4426" i="1"/>
  <c r="Q4424" i="1"/>
  <c r="R4424" i="1" s="1"/>
  <c r="N4424" i="1"/>
  <c r="P4414" i="1"/>
  <c r="N4414" i="1"/>
  <c r="P4410" i="1"/>
  <c r="N4410" i="1"/>
  <c r="J4409" i="1"/>
  <c r="I4409" i="1"/>
  <c r="H4409" i="1"/>
  <c r="P4408" i="1"/>
  <c r="N4408" i="1"/>
  <c r="J4407" i="1"/>
  <c r="I4407" i="1"/>
  <c r="H4407" i="1"/>
  <c r="Q4406" i="1"/>
  <c r="R4406" i="1" s="1"/>
  <c r="N4406" i="1"/>
  <c r="J4405" i="1"/>
  <c r="I4405" i="1"/>
  <c r="H4405" i="1"/>
  <c r="Q4404" i="1"/>
  <c r="R4404" i="1" s="1"/>
  <c r="N4404" i="1"/>
  <c r="J4403" i="1"/>
  <c r="I4403" i="1"/>
  <c r="H4403" i="1"/>
  <c r="Q4402" i="1"/>
  <c r="R4402" i="1" s="1"/>
  <c r="N4402" i="1"/>
  <c r="Q4312" i="1"/>
  <c r="R4312" i="1" s="1"/>
  <c r="N4312" i="1"/>
  <c r="J4311" i="1"/>
  <c r="I4311" i="1"/>
  <c r="H4311" i="1"/>
  <c r="Q4310" i="1"/>
  <c r="R4310" i="1" s="1"/>
  <c r="N4310" i="1"/>
  <c r="J4309" i="1"/>
  <c r="I4309" i="1"/>
  <c r="H4309" i="1"/>
  <c r="Q4308" i="1"/>
  <c r="R4308" i="1" s="1"/>
  <c r="N4308" i="1"/>
  <c r="J4307" i="1"/>
  <c r="I4307" i="1"/>
  <c r="H4307" i="1"/>
  <c r="Q4306" i="1"/>
  <c r="R4306" i="1" s="1"/>
  <c r="N4306" i="1"/>
  <c r="J4305" i="1"/>
  <c r="I4305" i="1"/>
  <c r="H4305" i="1"/>
  <c r="Q4304" i="1"/>
  <c r="R4304" i="1" s="1"/>
  <c r="N4304" i="1"/>
  <c r="J4303" i="1"/>
  <c r="I4303" i="1"/>
  <c r="H4303" i="1"/>
  <c r="Q4302" i="1"/>
  <c r="R4302" i="1" s="1"/>
  <c r="N4302" i="1"/>
  <c r="Q947" i="1"/>
  <c r="R947" i="1" s="1"/>
  <c r="J946" i="1"/>
  <c r="I946" i="1"/>
  <c r="H946" i="1"/>
  <c r="Q945" i="1"/>
  <c r="R945" i="1" s="1"/>
  <c r="J944" i="1"/>
  <c r="I944" i="1"/>
  <c r="H944" i="1"/>
  <c r="Q943" i="1"/>
  <c r="R943" i="1" s="1"/>
  <c r="J942" i="1"/>
  <c r="I942" i="1"/>
  <c r="H942" i="1"/>
  <c r="Q941" i="1"/>
  <c r="R941" i="1" s="1"/>
  <c r="J940" i="1"/>
  <c r="I940" i="1"/>
  <c r="H940" i="1"/>
  <c r="Q4285" i="1"/>
  <c r="R4285" i="1" s="1"/>
  <c r="N4285" i="1"/>
  <c r="J4284" i="1"/>
  <c r="I4284" i="1"/>
  <c r="H4284" i="1"/>
  <c r="Q4283" i="1"/>
  <c r="R4283" i="1" s="1"/>
  <c r="N4283" i="1"/>
  <c r="Q4281" i="1"/>
  <c r="Q4279" i="1"/>
  <c r="Q4267" i="1"/>
  <c r="J4266" i="1"/>
  <c r="I4266" i="1"/>
  <c r="H4266" i="1"/>
  <c r="Q4265" i="1"/>
  <c r="J4264" i="1"/>
  <c r="I4264" i="1"/>
  <c r="H4264" i="1"/>
  <c r="Q4263" i="1"/>
  <c r="J4262" i="1"/>
  <c r="I4262" i="1"/>
  <c r="H4262" i="1"/>
  <c r="Q4261" i="1"/>
  <c r="J4260" i="1"/>
  <c r="I4260" i="1"/>
  <c r="H4260" i="1"/>
  <c r="Q4259" i="1"/>
  <c r="J4258" i="1"/>
  <c r="I4258" i="1"/>
  <c r="H4258" i="1"/>
  <c r="Q4257" i="1"/>
  <c r="J4256" i="1"/>
  <c r="I4256" i="1"/>
  <c r="H4256" i="1"/>
  <c r="Q4255" i="1"/>
  <c r="R4255" i="1" s="1"/>
  <c r="J4254" i="1"/>
  <c r="I4254" i="1"/>
  <c r="H4254" i="1"/>
  <c r="Q4253" i="1"/>
  <c r="R4253" i="1" s="1"/>
  <c r="J4252" i="1"/>
  <c r="I4252" i="1"/>
  <c r="H4252" i="1"/>
  <c r="Q4251" i="1"/>
  <c r="R4251" i="1" s="1"/>
  <c r="J4250" i="1"/>
  <c r="I4250" i="1"/>
  <c r="H4250" i="1"/>
  <c r="Q4249" i="1"/>
  <c r="R4249" i="1" s="1"/>
  <c r="J4248" i="1"/>
  <c r="I4248" i="1"/>
  <c r="H4248" i="1"/>
  <c r="Q4247" i="1"/>
  <c r="R4247" i="1" s="1"/>
  <c r="J4246" i="1"/>
  <c r="I4246" i="1"/>
  <c r="H4246" i="1"/>
  <c r="Q4245" i="1"/>
  <c r="R4245" i="1" s="1"/>
  <c r="J4244" i="1"/>
  <c r="I4244" i="1"/>
  <c r="H4244" i="1"/>
  <c r="Q4243" i="1"/>
  <c r="R4243" i="1" s="1"/>
  <c r="J4242" i="1"/>
  <c r="I4242" i="1"/>
  <c r="H4242" i="1"/>
  <c r="Q4241" i="1"/>
  <c r="R4241" i="1" s="1"/>
  <c r="J4230" i="1"/>
  <c r="I4230" i="1"/>
  <c r="Q4229" i="1"/>
  <c r="S4229" i="1" s="1"/>
  <c r="N4229" i="1"/>
  <c r="J4228" i="1"/>
  <c r="I4228" i="1"/>
  <c r="Q4227" i="1"/>
  <c r="R4227" i="1" s="1"/>
  <c r="N4227" i="1"/>
  <c r="J4226" i="1"/>
  <c r="I4226" i="1"/>
  <c r="Q4225" i="1"/>
  <c r="R4225" i="1" s="1"/>
  <c r="N4225" i="1"/>
  <c r="J4224" i="1"/>
  <c r="I4224" i="1"/>
  <c r="Q4223" i="1"/>
  <c r="R4223" i="1" s="1"/>
  <c r="N4223" i="1"/>
  <c r="Q4211" i="1"/>
  <c r="Q4207" i="1"/>
  <c r="R4207" i="1" s="1"/>
  <c r="N4207" i="1"/>
  <c r="J4206" i="1"/>
  <c r="I4206" i="1"/>
  <c r="H4206" i="1"/>
  <c r="Q4205" i="1"/>
  <c r="S4205" i="1" s="1"/>
  <c r="N4205" i="1"/>
  <c r="J4204" i="1"/>
  <c r="I4204" i="1"/>
  <c r="H4204" i="1"/>
  <c r="Q4203" i="1"/>
  <c r="S4203" i="1" s="1"/>
  <c r="N4203" i="1"/>
  <c r="Q4187" i="1"/>
  <c r="R4187" i="1" s="1"/>
  <c r="J4186" i="1"/>
  <c r="I4186" i="1"/>
  <c r="H4186" i="1"/>
  <c r="Q4185" i="1"/>
  <c r="R4185" i="1" s="1"/>
  <c r="J4184" i="1"/>
  <c r="I4184" i="1"/>
  <c r="H4184" i="1"/>
  <c r="Q4183" i="1"/>
  <c r="R4183" i="1" s="1"/>
  <c r="J4182" i="1"/>
  <c r="I4182" i="1"/>
  <c r="H4182" i="1"/>
  <c r="Q4181" i="1"/>
  <c r="R4181" i="1" s="1"/>
  <c r="J4180" i="1"/>
  <c r="I4180" i="1"/>
  <c r="H4180" i="1"/>
  <c r="Q4179" i="1"/>
  <c r="R4179" i="1" s="1"/>
  <c r="Q4177" i="1"/>
  <c r="Q4167" i="1"/>
  <c r="S4167" i="1" s="1"/>
  <c r="N4167" i="1"/>
  <c r="J4166" i="1"/>
  <c r="I4166" i="1"/>
  <c r="H4166" i="1"/>
  <c r="Q4165" i="1"/>
  <c r="R4165" i="1" s="1"/>
  <c r="N4165" i="1"/>
  <c r="J4164" i="1"/>
  <c r="I4164" i="1"/>
  <c r="H4164" i="1"/>
  <c r="Q4163" i="1"/>
  <c r="S4163" i="1" s="1"/>
  <c r="N4163" i="1"/>
  <c r="J4162" i="1"/>
  <c r="I4162" i="1"/>
  <c r="H4162" i="1"/>
  <c r="Q4161" i="1"/>
  <c r="R4161" i="1" s="1"/>
  <c r="N4161" i="1"/>
  <c r="J4160" i="1"/>
  <c r="I4160" i="1"/>
  <c r="H4160" i="1"/>
  <c r="Q4159" i="1"/>
  <c r="S4159" i="1" s="1"/>
  <c r="N4159" i="1"/>
  <c r="J4158" i="1"/>
  <c r="I4158" i="1"/>
  <c r="H4158" i="1"/>
  <c r="Q4157" i="1"/>
  <c r="R4157" i="1" s="1"/>
  <c r="N4157" i="1"/>
  <c r="J4156" i="1"/>
  <c r="I4156" i="1"/>
  <c r="H4156" i="1"/>
  <c r="Q4155" i="1"/>
  <c r="S4155" i="1" s="1"/>
  <c r="N4155" i="1"/>
  <c r="J4154" i="1"/>
  <c r="I4154" i="1"/>
  <c r="H4154" i="1"/>
  <c r="Q4153" i="1"/>
  <c r="R4153" i="1" s="1"/>
  <c r="N4153" i="1"/>
  <c r="J4152" i="1"/>
  <c r="I4152" i="1"/>
  <c r="H4152" i="1"/>
  <c r="Q4151" i="1"/>
  <c r="S4151" i="1" s="1"/>
  <c r="N4151" i="1"/>
  <c r="J4150" i="1"/>
  <c r="I4150" i="1"/>
  <c r="H4150" i="1"/>
  <c r="Q4149" i="1"/>
  <c r="R4149" i="1" s="1"/>
  <c r="N4149" i="1"/>
  <c r="J4148" i="1"/>
  <c r="I4148" i="1"/>
  <c r="H4148" i="1"/>
  <c r="Q4147" i="1"/>
  <c r="S4147" i="1" s="1"/>
  <c r="N4147" i="1"/>
  <c r="J4146" i="1"/>
  <c r="I4146" i="1"/>
  <c r="H4146" i="1"/>
  <c r="Q4145" i="1"/>
  <c r="R4145" i="1" s="1"/>
  <c r="N4145" i="1"/>
  <c r="J4144" i="1"/>
  <c r="I4144" i="1"/>
  <c r="H4144" i="1"/>
  <c r="Q4143" i="1"/>
  <c r="S4143" i="1" s="1"/>
  <c r="N4143" i="1"/>
  <c r="Q4141" i="1"/>
  <c r="R4141" i="1" s="1"/>
  <c r="J4141" i="1"/>
  <c r="J4142" i="1" s="1"/>
  <c r="I4141" i="1"/>
  <c r="H4141" i="1"/>
  <c r="H4142" i="1" s="1"/>
  <c r="Q4130" i="1"/>
  <c r="S4130" i="1" s="1"/>
  <c r="N4130" i="1"/>
  <c r="J4129" i="1"/>
  <c r="I4129" i="1"/>
  <c r="H4129" i="1"/>
  <c r="Q4128" i="1"/>
  <c r="R4128" i="1" s="1"/>
  <c r="N4128" i="1"/>
  <c r="J4127" i="1"/>
  <c r="I4127" i="1"/>
  <c r="H4127" i="1"/>
  <c r="Q4126" i="1"/>
  <c r="S4126" i="1" s="1"/>
  <c r="N4126" i="1"/>
  <c r="J4125" i="1"/>
  <c r="I4125" i="1"/>
  <c r="H4125" i="1"/>
  <c r="Q4124" i="1"/>
  <c r="R4124" i="1" s="1"/>
  <c r="N4124" i="1"/>
  <c r="J4123" i="1"/>
  <c r="I4123" i="1"/>
  <c r="H4123" i="1"/>
  <c r="Q4122" i="1"/>
  <c r="S4122" i="1" s="1"/>
  <c r="N4122" i="1"/>
  <c r="J4121" i="1"/>
  <c r="I4121" i="1"/>
  <c r="H4121" i="1"/>
  <c r="Q4120" i="1"/>
  <c r="R4120" i="1" s="1"/>
  <c r="N4120" i="1"/>
  <c r="J4119" i="1"/>
  <c r="I4119" i="1"/>
  <c r="H4119" i="1"/>
  <c r="Q4118" i="1"/>
  <c r="S4118" i="1" s="1"/>
  <c r="N4118" i="1"/>
  <c r="J4117" i="1"/>
  <c r="I4117" i="1"/>
  <c r="H4117" i="1"/>
  <c r="Q4116" i="1"/>
  <c r="R4116" i="1" s="1"/>
  <c r="N4116" i="1"/>
  <c r="J4115" i="1"/>
  <c r="I4115" i="1"/>
  <c r="H4115" i="1"/>
  <c r="Q4114" i="1"/>
  <c r="S4114" i="1" s="1"/>
  <c r="N4114" i="1"/>
  <c r="J4113" i="1"/>
  <c r="I4113" i="1"/>
  <c r="H4113" i="1"/>
  <c r="Q4112" i="1"/>
  <c r="R4112" i="1" s="1"/>
  <c r="N4112" i="1"/>
  <c r="J4111" i="1"/>
  <c r="I4111" i="1"/>
  <c r="H4111" i="1"/>
  <c r="Q4110" i="1"/>
  <c r="S4110" i="1" s="1"/>
  <c r="N4110" i="1"/>
  <c r="J4109" i="1"/>
  <c r="I4109" i="1"/>
  <c r="H4109" i="1"/>
  <c r="Q4108" i="1"/>
  <c r="R4108" i="1" s="1"/>
  <c r="N4108" i="1"/>
  <c r="J4107" i="1"/>
  <c r="I4107" i="1"/>
  <c r="H4107" i="1"/>
  <c r="Q4106" i="1"/>
  <c r="S4106" i="1" s="1"/>
  <c r="N4106" i="1"/>
  <c r="J4105" i="1"/>
  <c r="I4105" i="1"/>
  <c r="Q4104" i="1"/>
  <c r="R4104" i="1" s="1"/>
  <c r="N4104" i="1"/>
  <c r="H4104" i="1"/>
  <c r="H4105" i="1" s="1"/>
  <c r="J4103" i="1"/>
  <c r="I4103" i="1"/>
  <c r="Q4102" i="1"/>
  <c r="R4102" i="1" s="1"/>
  <c r="N4102" i="1"/>
  <c r="H4102" i="1"/>
  <c r="U4102" i="1" s="1"/>
  <c r="J4101" i="1"/>
  <c r="I4101" i="1"/>
  <c r="Q4100" i="1"/>
  <c r="S4100" i="1" s="1"/>
  <c r="N4100" i="1"/>
  <c r="J4099" i="1"/>
  <c r="I4099" i="1"/>
  <c r="Q4098" i="1"/>
  <c r="R4098" i="1" s="1"/>
  <c r="N4098" i="1"/>
  <c r="H4098" i="1"/>
  <c r="H4099" i="1" s="1"/>
  <c r="J4085" i="1"/>
  <c r="I4085" i="1"/>
  <c r="H4085" i="1"/>
  <c r="Q4084" i="1"/>
  <c r="R4084" i="1" s="1"/>
  <c r="N4084" i="1"/>
  <c r="J4083" i="1"/>
  <c r="I4083" i="1"/>
  <c r="H4083" i="1"/>
  <c r="Q4082" i="1"/>
  <c r="S4082" i="1" s="1"/>
  <c r="N4082" i="1"/>
  <c r="J4081" i="1"/>
  <c r="I4081" i="1"/>
  <c r="H4081" i="1"/>
  <c r="Q4080" i="1"/>
  <c r="R4080" i="1" s="1"/>
  <c r="N4080" i="1"/>
  <c r="J4079" i="1"/>
  <c r="I4079" i="1"/>
  <c r="H4079" i="1"/>
  <c r="Q4078" i="1"/>
  <c r="S4078" i="1" s="1"/>
  <c r="N4078" i="1"/>
  <c r="J4077" i="1"/>
  <c r="I4077" i="1"/>
  <c r="H4077" i="1"/>
  <c r="Q4076" i="1"/>
  <c r="R4076" i="1" s="1"/>
  <c r="N4076" i="1"/>
  <c r="J4075" i="1"/>
  <c r="I4075" i="1"/>
  <c r="H4075" i="1"/>
  <c r="Q4074" i="1"/>
  <c r="S4074" i="1" s="1"/>
  <c r="N4074" i="1"/>
  <c r="Q4072" i="1"/>
  <c r="Q4066" i="1"/>
  <c r="R4066" i="1" s="1"/>
  <c r="N4066" i="1"/>
  <c r="J4065" i="1"/>
  <c r="I4065" i="1"/>
  <c r="Q4064" i="1"/>
  <c r="S4064" i="1" s="1"/>
  <c r="N4064" i="1"/>
  <c r="J4063" i="1"/>
  <c r="I4063" i="1"/>
  <c r="Q4062" i="1"/>
  <c r="R4062" i="1" s="1"/>
  <c r="N4062" i="1"/>
  <c r="J4061" i="1"/>
  <c r="I4061" i="1"/>
  <c r="Q4060" i="1"/>
  <c r="R4060" i="1" s="1"/>
  <c r="N4060" i="1"/>
  <c r="J4059" i="1"/>
  <c r="I4059" i="1"/>
  <c r="Q4058" i="1"/>
  <c r="R4058" i="1" s="1"/>
  <c r="N4058" i="1"/>
  <c r="J4057" i="1"/>
  <c r="I4057" i="1"/>
  <c r="Q4056" i="1"/>
  <c r="S4056" i="1" s="1"/>
  <c r="N4056" i="1"/>
  <c r="J4055" i="1"/>
  <c r="I4055" i="1"/>
  <c r="Q4054" i="1"/>
  <c r="R4054" i="1" s="1"/>
  <c r="N4054" i="1"/>
  <c r="J4053" i="1"/>
  <c r="I4053" i="1"/>
  <c r="Q4052" i="1"/>
  <c r="N4052" i="1"/>
  <c r="J4051" i="1"/>
  <c r="I4051" i="1"/>
  <c r="Q4050" i="1"/>
  <c r="R4050" i="1" s="1"/>
  <c r="N4050" i="1"/>
  <c r="Q4041" i="1"/>
  <c r="R4041" i="1" s="1"/>
  <c r="N4041" i="1"/>
  <c r="J4040" i="1"/>
  <c r="I4040" i="1"/>
  <c r="H4040" i="1"/>
  <c r="Q4039" i="1"/>
  <c r="R4039" i="1" s="1"/>
  <c r="N4039" i="1"/>
  <c r="J4038" i="1"/>
  <c r="I4038" i="1"/>
  <c r="H4038" i="1"/>
  <c r="Q4037" i="1"/>
  <c r="R4037" i="1" s="1"/>
  <c r="N4037" i="1"/>
  <c r="J4036" i="1"/>
  <c r="I4036" i="1"/>
  <c r="H4036" i="1"/>
  <c r="Q4035" i="1"/>
  <c r="S4035" i="1" s="1"/>
  <c r="N4035" i="1"/>
  <c r="Q4028" i="1"/>
  <c r="R4028" i="1" s="1"/>
  <c r="N4028" i="1"/>
  <c r="H4028" i="1"/>
  <c r="U4028" i="1" s="1"/>
  <c r="J4027" i="1"/>
  <c r="I4027" i="1"/>
  <c r="Q4026" i="1"/>
  <c r="N4026" i="1"/>
  <c r="H4026" i="1"/>
  <c r="U4026" i="1" s="1"/>
  <c r="J4025" i="1"/>
  <c r="I4025" i="1"/>
  <c r="Q4024" i="1"/>
  <c r="N4024" i="1"/>
  <c r="H4024" i="1"/>
  <c r="U4024" i="1" s="1"/>
  <c r="J4023" i="1"/>
  <c r="I4023" i="1"/>
  <c r="Q4022" i="1"/>
  <c r="R4022" i="1" s="1"/>
  <c r="N4022" i="1"/>
  <c r="H4022" i="1"/>
  <c r="U4022" i="1" s="1"/>
  <c r="J4021" i="1"/>
  <c r="I4021" i="1"/>
  <c r="Q4020" i="1"/>
  <c r="N4020" i="1"/>
  <c r="H4020" i="1"/>
  <c r="U4020" i="1" s="1"/>
  <c r="J4019" i="1"/>
  <c r="I4019" i="1"/>
  <c r="Q4018" i="1"/>
  <c r="N4018" i="1"/>
  <c r="H4018" i="1"/>
  <c r="U4018" i="1" s="1"/>
  <c r="J4017" i="1"/>
  <c r="I4017" i="1"/>
  <c r="Q4016" i="1"/>
  <c r="N4016" i="1"/>
  <c r="H4016" i="1"/>
  <c r="U4016" i="1" s="1"/>
  <c r="J4015" i="1"/>
  <c r="I4015" i="1"/>
  <c r="Q4014" i="1"/>
  <c r="R4014" i="1" s="1"/>
  <c r="N4014" i="1"/>
  <c r="H4014" i="1"/>
  <c r="U4014" i="1" s="1"/>
  <c r="J4013" i="1"/>
  <c r="I4013" i="1"/>
  <c r="Q4012" i="1"/>
  <c r="S4012" i="1" s="1"/>
  <c r="N4012" i="1"/>
  <c r="J4011" i="1"/>
  <c r="I4011" i="1"/>
  <c r="Q4010" i="1"/>
  <c r="N4010" i="1"/>
  <c r="H4011" i="1"/>
  <c r="Q4000" i="1"/>
  <c r="R4000" i="1" s="1"/>
  <c r="N4000" i="1"/>
  <c r="J3999" i="1"/>
  <c r="I3999" i="1"/>
  <c r="H3999" i="1"/>
  <c r="Q3998" i="1"/>
  <c r="S3998" i="1" s="1"/>
  <c r="N3998" i="1"/>
  <c r="J3997" i="1"/>
  <c r="I3997" i="1"/>
  <c r="H3997" i="1"/>
  <c r="Q3996" i="1"/>
  <c r="R3996" i="1" s="1"/>
  <c r="N3996" i="1"/>
  <c r="J3995" i="1"/>
  <c r="I3995" i="1"/>
  <c r="H3995" i="1"/>
  <c r="Q3994" i="1"/>
  <c r="S3994" i="1" s="1"/>
  <c r="N3994" i="1"/>
  <c r="J3993" i="1"/>
  <c r="I3993" i="1"/>
  <c r="H3993" i="1"/>
  <c r="Q3992" i="1"/>
  <c r="R3992" i="1" s="1"/>
  <c r="N3992" i="1"/>
  <c r="J3991" i="1"/>
  <c r="I3991" i="1"/>
  <c r="H3991" i="1"/>
  <c r="Q3990" i="1"/>
  <c r="S3990" i="1" s="1"/>
  <c r="N3990" i="1"/>
  <c r="J3989" i="1"/>
  <c r="I3989" i="1"/>
  <c r="H3989" i="1"/>
  <c r="Q3988" i="1"/>
  <c r="R3988" i="1" s="1"/>
  <c r="N3988" i="1"/>
  <c r="J3987" i="1"/>
  <c r="I3987" i="1"/>
  <c r="H3987" i="1"/>
  <c r="Q3986" i="1"/>
  <c r="S3986" i="1" s="1"/>
  <c r="N3986" i="1"/>
  <c r="J3985" i="1"/>
  <c r="I3985" i="1"/>
  <c r="H3985" i="1"/>
  <c r="Q3984" i="1"/>
  <c r="R3984" i="1" s="1"/>
  <c r="N3984" i="1"/>
  <c r="J3983" i="1"/>
  <c r="I3983" i="1"/>
  <c r="H3983" i="1"/>
  <c r="Q3982" i="1"/>
  <c r="S3982" i="1" s="1"/>
  <c r="N3982" i="1"/>
  <c r="Q3967" i="1"/>
  <c r="N3967" i="1"/>
  <c r="H3967" i="1"/>
  <c r="U3967" i="1" s="1"/>
  <c r="J3966" i="1"/>
  <c r="I3966" i="1"/>
  <c r="Q3965" i="1"/>
  <c r="R3965" i="1" s="1"/>
  <c r="N3965" i="1"/>
  <c r="H3965" i="1"/>
  <c r="U3965" i="1" s="1"/>
  <c r="J3964" i="1"/>
  <c r="I3964" i="1"/>
  <c r="Q3963" i="1"/>
  <c r="N3963" i="1"/>
  <c r="H3963" i="1"/>
  <c r="U3963" i="1" s="1"/>
  <c r="J3962" i="1"/>
  <c r="I3962" i="1"/>
  <c r="Q3961" i="1"/>
  <c r="R3961" i="1" s="1"/>
  <c r="N3961" i="1"/>
  <c r="H3961" i="1"/>
  <c r="U3961" i="1" s="1"/>
  <c r="J3960" i="1"/>
  <c r="I3960" i="1"/>
  <c r="Q3959" i="1"/>
  <c r="N3959" i="1"/>
  <c r="H3959" i="1"/>
  <c r="U3959" i="1" s="1"/>
  <c r="J3958" i="1"/>
  <c r="I3958" i="1"/>
  <c r="Q3957" i="1"/>
  <c r="R3957" i="1" s="1"/>
  <c r="N3957" i="1"/>
  <c r="H3957" i="1"/>
  <c r="U3957" i="1" s="1"/>
  <c r="J3956" i="1"/>
  <c r="I3956" i="1"/>
  <c r="Q3955" i="1"/>
  <c r="N3955" i="1"/>
  <c r="H3955" i="1"/>
  <c r="U3955" i="1" s="1"/>
  <c r="J3954" i="1"/>
  <c r="I3954" i="1"/>
  <c r="Q3953" i="1"/>
  <c r="R3953" i="1" s="1"/>
  <c r="N3953" i="1"/>
  <c r="J3952" i="1"/>
  <c r="I3952" i="1"/>
  <c r="Q3951" i="1"/>
  <c r="N3951" i="1"/>
  <c r="H3950" i="1"/>
  <c r="J3950" i="1"/>
  <c r="I3950" i="1"/>
  <c r="Q3949" i="1"/>
  <c r="S3949" i="1" s="1"/>
  <c r="N3949" i="1"/>
  <c r="J3948" i="1"/>
  <c r="I3948" i="1"/>
  <c r="H3948" i="1"/>
  <c r="Q3947" i="1"/>
  <c r="R3947" i="1" s="1"/>
  <c r="N3947" i="1"/>
  <c r="N3937" i="1"/>
  <c r="J3936" i="1"/>
  <c r="I3936" i="1"/>
  <c r="H3936" i="1"/>
  <c r="N3935" i="1"/>
  <c r="J3934" i="1"/>
  <c r="I3934" i="1"/>
  <c r="H3934" i="1"/>
  <c r="Q3933" i="1"/>
  <c r="R3933" i="1" s="1"/>
  <c r="N3933" i="1"/>
  <c r="Q3839" i="1"/>
  <c r="Q3825" i="1"/>
  <c r="R3825" i="1" s="1"/>
  <c r="N3825" i="1"/>
  <c r="Q3823" i="1"/>
  <c r="S3823" i="1" s="1"/>
  <c r="N3823" i="1"/>
  <c r="Q3821" i="1"/>
  <c r="S3821" i="1" s="1"/>
  <c r="N3821" i="1"/>
  <c r="Q3819" i="1"/>
  <c r="S3819" i="1" s="1"/>
  <c r="N3819" i="1"/>
  <c r="Q3817" i="1"/>
  <c r="R3817" i="1" s="1"/>
  <c r="N3817" i="1"/>
  <c r="Q3809" i="1"/>
  <c r="N3809" i="1"/>
  <c r="J3808" i="1"/>
  <c r="I3808" i="1"/>
  <c r="Q3807" i="1"/>
  <c r="R3807" i="1" s="1"/>
  <c r="N3807" i="1"/>
  <c r="J3806" i="1"/>
  <c r="I3806" i="1"/>
  <c r="Q3805" i="1"/>
  <c r="R3805" i="1" s="1"/>
  <c r="N3805" i="1"/>
  <c r="J3804" i="1"/>
  <c r="Q3803" i="1"/>
  <c r="N3803" i="1"/>
  <c r="J3802" i="1"/>
  <c r="Q3801" i="1"/>
  <c r="N3801" i="1"/>
  <c r="J3800" i="1"/>
  <c r="I3800" i="1"/>
  <c r="Q3799" i="1"/>
  <c r="N3799" i="1"/>
  <c r="J3798" i="1"/>
  <c r="I3798" i="1"/>
  <c r="Q3797" i="1"/>
  <c r="R3797" i="1" s="1"/>
  <c r="N3797" i="1"/>
  <c r="J3796" i="1"/>
  <c r="I3796" i="1"/>
  <c r="Q3795" i="1"/>
  <c r="N3795" i="1"/>
  <c r="J3794" i="1"/>
  <c r="I3794" i="1"/>
  <c r="Q3793" i="1"/>
  <c r="N3793" i="1"/>
  <c r="Q3791" i="1"/>
  <c r="S3791" i="1" s="1"/>
  <c r="U3791" i="1"/>
  <c r="J3791" i="1"/>
  <c r="J3792" i="1" s="1"/>
  <c r="I3791" i="1"/>
  <c r="Q3789" i="1"/>
  <c r="S3789" i="1" s="1"/>
  <c r="U3789" i="1"/>
  <c r="J3789" i="1"/>
  <c r="J3788" i="1" s="1"/>
  <c r="I3789" i="1"/>
  <c r="Q3777" i="1"/>
  <c r="S3777" i="1" s="1"/>
  <c r="N3777" i="1"/>
  <c r="J3776" i="1"/>
  <c r="I3776" i="1"/>
  <c r="Q3775" i="1"/>
  <c r="S3775" i="1" s="1"/>
  <c r="N3775" i="1"/>
  <c r="J3774" i="1"/>
  <c r="I3774" i="1"/>
  <c r="Q3773" i="1"/>
  <c r="S3773" i="1" s="1"/>
  <c r="N3773" i="1"/>
  <c r="J3772" i="1"/>
  <c r="I3772" i="1"/>
  <c r="Q3771" i="1"/>
  <c r="S3771" i="1" s="1"/>
  <c r="N3771" i="1"/>
  <c r="J3770" i="1"/>
  <c r="I3770" i="1"/>
  <c r="Q3769" i="1"/>
  <c r="S3769" i="1" s="1"/>
  <c r="N3769" i="1"/>
  <c r="J3768" i="1"/>
  <c r="I3768" i="1"/>
  <c r="N3767" i="1"/>
  <c r="H3734" i="1"/>
  <c r="H3732" i="1"/>
  <c r="Q3729" i="1"/>
  <c r="S3729" i="1" s="1"/>
  <c r="N3729" i="1"/>
  <c r="Q3727" i="1"/>
  <c r="N3698" i="1"/>
  <c r="Q3685" i="1"/>
  <c r="S3685" i="1" s="1"/>
  <c r="N3685" i="1"/>
  <c r="J3684" i="1"/>
  <c r="I3684" i="1"/>
  <c r="H3684" i="1"/>
  <c r="Q3683" i="1"/>
  <c r="S3683" i="1" s="1"/>
  <c r="N3683" i="1"/>
  <c r="J3682" i="1"/>
  <c r="I3682" i="1"/>
  <c r="H3682" i="1"/>
  <c r="Q3681" i="1"/>
  <c r="S3681" i="1" s="1"/>
  <c r="N3681" i="1"/>
  <c r="J3680" i="1"/>
  <c r="I3680" i="1"/>
  <c r="H3680" i="1"/>
  <c r="Q3679" i="1"/>
  <c r="S3679" i="1" s="1"/>
  <c r="N3679" i="1"/>
  <c r="J3678" i="1"/>
  <c r="I3678" i="1"/>
  <c r="H3678" i="1"/>
  <c r="Q3677" i="1"/>
  <c r="S3677" i="1" s="1"/>
  <c r="N3677" i="1"/>
  <c r="J3676" i="1"/>
  <c r="I3676" i="1"/>
  <c r="H3676" i="1"/>
  <c r="Q3675" i="1"/>
  <c r="S3675" i="1" s="1"/>
  <c r="N3675" i="1"/>
  <c r="J3674" i="1"/>
  <c r="I3674" i="1"/>
  <c r="H3674" i="1"/>
  <c r="Q3673" i="1"/>
  <c r="S3673" i="1" s="1"/>
  <c r="N3673" i="1"/>
  <c r="J3672" i="1"/>
  <c r="I3672" i="1"/>
  <c r="H3672" i="1"/>
  <c r="Q3671" i="1"/>
  <c r="S3671" i="1" s="1"/>
  <c r="N3671" i="1"/>
  <c r="J3670" i="1"/>
  <c r="I3670" i="1"/>
  <c r="H3670" i="1"/>
  <c r="Q3669" i="1"/>
  <c r="S3669" i="1" s="1"/>
  <c r="N3669" i="1"/>
  <c r="J3668" i="1"/>
  <c r="I3668" i="1"/>
  <c r="H3668" i="1"/>
  <c r="Q3667" i="1"/>
  <c r="S3667" i="1" s="1"/>
  <c r="N3667" i="1"/>
  <c r="J3666" i="1"/>
  <c r="I3666" i="1"/>
  <c r="H3666" i="1"/>
  <c r="Q3665" i="1"/>
  <c r="S3665" i="1" s="1"/>
  <c r="N3665" i="1"/>
  <c r="J3664" i="1"/>
  <c r="I3664" i="1"/>
  <c r="H3664" i="1"/>
  <c r="Q3663" i="1"/>
  <c r="CD25" i="2" s="1"/>
  <c r="N3663" i="1"/>
  <c r="J3662" i="1"/>
  <c r="I3662" i="1"/>
  <c r="H3662" i="1"/>
  <c r="Q3661" i="1"/>
  <c r="S3661" i="1" s="1"/>
  <c r="N3661" i="1"/>
  <c r="N3649" i="1"/>
  <c r="J3648" i="1"/>
  <c r="I3648" i="1"/>
  <c r="H3648" i="1"/>
  <c r="Q3647" i="1"/>
  <c r="S3647" i="1" s="1"/>
  <c r="Q3645" i="1"/>
  <c r="S3645" i="1" s="1"/>
  <c r="Q3643" i="1"/>
  <c r="S3643" i="1" s="1"/>
  <c r="Q3641" i="1"/>
  <c r="Q3621" i="1"/>
  <c r="R3621" i="1" s="1"/>
  <c r="J3620" i="1"/>
  <c r="I3620" i="1"/>
  <c r="H3620" i="1"/>
  <c r="Q3619" i="1"/>
  <c r="S3619" i="1" s="1"/>
  <c r="J3618" i="1"/>
  <c r="I3618" i="1"/>
  <c r="H3618" i="1"/>
  <c r="Q3617" i="1"/>
  <c r="S3617" i="1" s="1"/>
  <c r="J3616" i="1"/>
  <c r="I3616" i="1"/>
  <c r="H3616" i="1"/>
  <c r="Q3615" i="1"/>
  <c r="S3615" i="1" s="1"/>
  <c r="J3614" i="1"/>
  <c r="I3614" i="1"/>
  <c r="H3614" i="1"/>
  <c r="Q3613" i="1"/>
  <c r="S3613" i="1" s="1"/>
  <c r="J3612" i="1"/>
  <c r="I3612" i="1"/>
  <c r="H3612" i="1"/>
  <c r="Q3611" i="1"/>
  <c r="S3611" i="1" s="1"/>
  <c r="Q4550" i="1"/>
  <c r="R4550" i="1" s="1"/>
  <c r="N4550" i="1"/>
  <c r="J4549" i="1"/>
  <c r="I4549" i="1"/>
  <c r="Q4548" i="1"/>
  <c r="S4548" i="1" s="1"/>
  <c r="N4548" i="1"/>
  <c r="J4547" i="1"/>
  <c r="I4547" i="1"/>
  <c r="H4547" i="1"/>
  <c r="Q4546" i="1"/>
  <c r="S4546" i="1" s="1"/>
  <c r="N4546" i="1"/>
  <c r="J4545" i="1"/>
  <c r="I4545" i="1"/>
  <c r="H4545" i="1"/>
  <c r="Q4544" i="1"/>
  <c r="S4544" i="1" s="1"/>
  <c r="N4544" i="1"/>
  <c r="J3600" i="1"/>
  <c r="I3600" i="1"/>
  <c r="H3600" i="1"/>
  <c r="J3598" i="1"/>
  <c r="I3598" i="1"/>
  <c r="H3598" i="1"/>
  <c r="Q3597" i="1"/>
  <c r="S3597" i="1" s="1"/>
  <c r="N3597" i="1"/>
  <c r="J3596" i="1"/>
  <c r="I3596" i="1"/>
  <c r="H3596" i="1"/>
  <c r="Q3595" i="1"/>
  <c r="R3595" i="1" s="1"/>
  <c r="N3595" i="1"/>
  <c r="K3595" i="1"/>
  <c r="O3595" i="1" s="1"/>
  <c r="Q3593" i="1"/>
  <c r="Q3589" i="1"/>
  <c r="S3589" i="1" s="1"/>
  <c r="N3589" i="1"/>
  <c r="J3588" i="1"/>
  <c r="I3588" i="1"/>
  <c r="H3588" i="1"/>
  <c r="Q3587" i="1"/>
  <c r="S3587" i="1" s="1"/>
  <c r="N3587" i="1"/>
  <c r="J3586" i="1"/>
  <c r="I3586" i="1"/>
  <c r="H3586" i="1"/>
  <c r="Q3585" i="1"/>
  <c r="S3585" i="1" s="1"/>
  <c r="N3585" i="1"/>
  <c r="J3584" i="1"/>
  <c r="I3584" i="1"/>
  <c r="H3584" i="1"/>
  <c r="Q3583" i="1"/>
  <c r="S3583" i="1" s="1"/>
  <c r="N3583" i="1"/>
  <c r="J3582" i="1"/>
  <c r="I3582" i="1"/>
  <c r="H3582" i="1"/>
  <c r="Q3581" i="1"/>
  <c r="S3581" i="1" s="1"/>
  <c r="N3581" i="1"/>
  <c r="Q3579" i="1"/>
  <c r="S3579" i="1" s="1"/>
  <c r="N3579" i="1"/>
  <c r="Q3577" i="1"/>
  <c r="S3577" i="1" s="1"/>
  <c r="N3577" i="1"/>
  <c r="Q3575" i="1"/>
  <c r="S3575" i="1" s="1"/>
  <c r="N3575" i="1"/>
  <c r="J3566" i="1"/>
  <c r="I3566" i="1"/>
  <c r="H3566" i="1"/>
  <c r="Q3565" i="1"/>
  <c r="R3565" i="1" s="1"/>
  <c r="N3565" i="1"/>
  <c r="J3564" i="1"/>
  <c r="I3564" i="1"/>
  <c r="H3564" i="1"/>
  <c r="Q3563" i="1"/>
  <c r="S3563" i="1" s="1"/>
  <c r="N3563" i="1"/>
  <c r="J3562" i="1"/>
  <c r="I3562" i="1"/>
  <c r="H3562" i="1"/>
  <c r="Q3561" i="1"/>
  <c r="S3561" i="1" s="1"/>
  <c r="N3561" i="1"/>
  <c r="J3560" i="1"/>
  <c r="I3560" i="1"/>
  <c r="H3560" i="1"/>
  <c r="Q3559" i="1"/>
  <c r="S3559" i="1" s="1"/>
  <c r="N3559" i="1"/>
  <c r="J3558" i="1"/>
  <c r="I3558" i="1"/>
  <c r="H3558" i="1"/>
  <c r="Q3557" i="1"/>
  <c r="S3557" i="1" s="1"/>
  <c r="N3557" i="1"/>
  <c r="J3556" i="1"/>
  <c r="I3556" i="1"/>
  <c r="H3556" i="1"/>
  <c r="Q3555" i="1"/>
  <c r="S3555" i="1" s="1"/>
  <c r="N3555" i="1"/>
  <c r="Q3551" i="1"/>
  <c r="S3551" i="1" s="1"/>
  <c r="N3551" i="1"/>
  <c r="J3550" i="1"/>
  <c r="I3550" i="1"/>
  <c r="H3550" i="1"/>
  <c r="Q3549" i="1"/>
  <c r="R3549" i="1" s="1"/>
  <c r="N3549" i="1"/>
  <c r="J3548" i="1"/>
  <c r="I3548" i="1"/>
  <c r="H3548" i="1"/>
  <c r="Q3547" i="1"/>
  <c r="S3547" i="1" s="1"/>
  <c r="N3547" i="1"/>
  <c r="J3546" i="1"/>
  <c r="I3546" i="1"/>
  <c r="H3546" i="1"/>
  <c r="Q3545" i="1"/>
  <c r="R3545" i="1" s="1"/>
  <c r="N3545" i="1"/>
  <c r="J3544" i="1"/>
  <c r="I3544" i="1"/>
  <c r="H3544" i="1"/>
  <c r="Q3543" i="1"/>
  <c r="S3543" i="1" s="1"/>
  <c r="N3543" i="1"/>
  <c r="J3542" i="1"/>
  <c r="I3542" i="1"/>
  <c r="H3542" i="1"/>
  <c r="Q3541" i="1"/>
  <c r="R3541" i="1" s="1"/>
  <c r="N3541" i="1"/>
  <c r="J3540" i="1"/>
  <c r="I3540" i="1"/>
  <c r="H3540" i="1"/>
  <c r="Q3539" i="1"/>
  <c r="S3539" i="1" s="1"/>
  <c r="N3539" i="1"/>
  <c r="J3538" i="1"/>
  <c r="I3538" i="1"/>
  <c r="H3538" i="1"/>
  <c r="Q3537" i="1"/>
  <c r="S3537" i="1" s="1"/>
  <c r="N3537" i="1"/>
  <c r="J3536" i="1"/>
  <c r="I3536" i="1"/>
  <c r="H3536" i="1"/>
  <c r="Q3535" i="1"/>
  <c r="S3535" i="1" s="1"/>
  <c r="N3535" i="1"/>
  <c r="J3534" i="1"/>
  <c r="I3534" i="1"/>
  <c r="H3534" i="1"/>
  <c r="Q3533" i="1"/>
  <c r="S3533" i="1" s="1"/>
  <c r="N3533" i="1"/>
  <c r="J3532" i="1"/>
  <c r="I3532" i="1"/>
  <c r="H3532" i="1"/>
  <c r="Q3531" i="1"/>
  <c r="S3531" i="1" s="1"/>
  <c r="N3531" i="1"/>
  <c r="J3530" i="1"/>
  <c r="I3530" i="1"/>
  <c r="H3530" i="1"/>
  <c r="Q3529" i="1"/>
  <c r="S3529" i="1" s="1"/>
  <c r="N3529" i="1"/>
  <c r="J3528" i="1"/>
  <c r="I3528" i="1"/>
  <c r="H3528" i="1"/>
  <c r="N3527" i="1"/>
  <c r="Q3517" i="1"/>
  <c r="S3517" i="1" s="1"/>
  <c r="N3517" i="1"/>
  <c r="J3516" i="1"/>
  <c r="I3516" i="1"/>
  <c r="H3516" i="1"/>
  <c r="Q3515" i="1"/>
  <c r="S3515" i="1" s="1"/>
  <c r="N3515" i="1"/>
  <c r="J3514" i="1"/>
  <c r="I3514" i="1"/>
  <c r="H3514" i="1"/>
  <c r="Q3513" i="1"/>
  <c r="R3513" i="1" s="1"/>
  <c r="N3513" i="1"/>
  <c r="J3512" i="1"/>
  <c r="I3512" i="1"/>
  <c r="H3512" i="1"/>
  <c r="Q3511" i="1"/>
  <c r="S3511" i="1" s="1"/>
  <c r="N3511" i="1"/>
  <c r="J3510" i="1"/>
  <c r="I3510" i="1"/>
  <c r="H3510" i="1"/>
  <c r="Q3509" i="1"/>
  <c r="S3509" i="1" s="1"/>
  <c r="N3509" i="1"/>
  <c r="J3508" i="1"/>
  <c r="I3508" i="1"/>
  <c r="H3508" i="1"/>
  <c r="Q3507" i="1"/>
  <c r="S3507" i="1" s="1"/>
  <c r="N3507" i="1"/>
  <c r="J3506" i="1"/>
  <c r="I3506" i="1"/>
  <c r="H3506" i="1"/>
  <c r="Q3505" i="1"/>
  <c r="R3505" i="1" s="1"/>
  <c r="N3505" i="1"/>
  <c r="J3504" i="1"/>
  <c r="I3504" i="1"/>
  <c r="H3504" i="1"/>
  <c r="Q3503" i="1"/>
  <c r="S3503" i="1" s="1"/>
  <c r="N3503" i="1"/>
  <c r="J3502" i="1"/>
  <c r="I3502" i="1"/>
  <c r="H3502" i="1"/>
  <c r="Q3501" i="1"/>
  <c r="S3501" i="1" s="1"/>
  <c r="N3501" i="1"/>
  <c r="J3500" i="1"/>
  <c r="I3500" i="1"/>
  <c r="H3500" i="1"/>
  <c r="Q3499" i="1"/>
  <c r="S3499" i="1" s="1"/>
  <c r="N3499" i="1"/>
  <c r="J3498" i="1"/>
  <c r="I3498" i="1"/>
  <c r="H3498" i="1"/>
  <c r="Q3497" i="1"/>
  <c r="R3497" i="1" s="1"/>
  <c r="N3497" i="1"/>
  <c r="J3496" i="1"/>
  <c r="I3496" i="1"/>
  <c r="Q3495" i="1"/>
  <c r="R3495" i="1" s="1"/>
  <c r="N3495" i="1"/>
  <c r="H3495" i="1"/>
  <c r="Q3483" i="1"/>
  <c r="S3483" i="1" s="1"/>
  <c r="N3483" i="1"/>
  <c r="J3482" i="1"/>
  <c r="I3482" i="1"/>
  <c r="H3482" i="1"/>
  <c r="Q3481" i="1"/>
  <c r="S3481" i="1" s="1"/>
  <c r="N3481" i="1"/>
  <c r="J3480" i="1"/>
  <c r="I3480" i="1"/>
  <c r="H3480" i="1"/>
  <c r="Q3479" i="1"/>
  <c r="S3479" i="1" s="1"/>
  <c r="N3479" i="1"/>
  <c r="J3478" i="1"/>
  <c r="I3478" i="1"/>
  <c r="H3478" i="1"/>
  <c r="Q3477" i="1"/>
  <c r="S3477" i="1" s="1"/>
  <c r="N3477" i="1"/>
  <c r="J3476" i="1"/>
  <c r="I3476" i="1"/>
  <c r="H3476" i="1"/>
  <c r="Q3475" i="1"/>
  <c r="S3475" i="1" s="1"/>
  <c r="N3475" i="1"/>
  <c r="J3474" i="1"/>
  <c r="I3474" i="1"/>
  <c r="H3474" i="1"/>
  <c r="Q3473" i="1"/>
  <c r="S3473" i="1" s="1"/>
  <c r="N3473" i="1"/>
  <c r="Q3471" i="1"/>
  <c r="Q3459" i="1"/>
  <c r="S3459" i="1" s="1"/>
  <c r="N3459" i="1"/>
  <c r="J3458" i="1"/>
  <c r="I3458" i="1"/>
  <c r="H3458" i="1"/>
  <c r="Q3457" i="1"/>
  <c r="S3457" i="1" s="1"/>
  <c r="N3457" i="1"/>
  <c r="J3456" i="1"/>
  <c r="I3456" i="1"/>
  <c r="H3456" i="1"/>
  <c r="Q3455" i="1"/>
  <c r="S3455" i="1" s="1"/>
  <c r="N3455" i="1"/>
  <c r="J3454" i="1"/>
  <c r="I3454" i="1"/>
  <c r="H3454" i="1"/>
  <c r="Q3453" i="1"/>
  <c r="S3453" i="1" s="1"/>
  <c r="N3453" i="1"/>
  <c r="J3452" i="1"/>
  <c r="I3452" i="1"/>
  <c r="H3452" i="1"/>
  <c r="Q3451" i="1"/>
  <c r="S3451" i="1" s="1"/>
  <c r="N3451" i="1"/>
  <c r="J3450" i="1"/>
  <c r="I3450" i="1"/>
  <c r="H3450" i="1"/>
  <c r="Q3449" i="1"/>
  <c r="S3449" i="1" s="1"/>
  <c r="N3449" i="1"/>
  <c r="J3448" i="1"/>
  <c r="I3448" i="1"/>
  <c r="H3448" i="1"/>
  <c r="Q3447" i="1"/>
  <c r="R3447" i="1" s="1"/>
  <c r="N3447" i="1"/>
  <c r="J3446" i="1"/>
  <c r="I3446" i="1"/>
  <c r="H3446" i="1"/>
  <c r="Q3445" i="1"/>
  <c r="S3445" i="1" s="1"/>
  <c r="N3445" i="1"/>
  <c r="J3444" i="1"/>
  <c r="H3444" i="1"/>
  <c r="Q3443" i="1"/>
  <c r="R3443" i="1" s="1"/>
  <c r="N3443" i="1"/>
  <c r="J3442" i="1"/>
  <c r="H3442" i="1"/>
  <c r="Q3441" i="1"/>
  <c r="S3441" i="1" s="1"/>
  <c r="N3441" i="1"/>
  <c r="Q3429" i="1"/>
  <c r="J3428" i="1"/>
  <c r="I3428" i="1"/>
  <c r="Q3427" i="1"/>
  <c r="J3426" i="1"/>
  <c r="I3426" i="1"/>
  <c r="Q3425" i="1"/>
  <c r="J3424" i="1"/>
  <c r="I3424" i="1"/>
  <c r="Q3423" i="1"/>
  <c r="J3422" i="1"/>
  <c r="I3422" i="1"/>
  <c r="Q3421" i="1"/>
  <c r="J3420" i="1"/>
  <c r="I3420" i="1"/>
  <c r="Q3419" i="1"/>
  <c r="J3418" i="1"/>
  <c r="I3418" i="1"/>
  <c r="Q3417" i="1"/>
  <c r="J3416" i="1"/>
  <c r="I3416" i="1"/>
  <c r="Q3415" i="1"/>
  <c r="S3415" i="1" s="1"/>
  <c r="J3414" i="1"/>
  <c r="I3414" i="1"/>
  <c r="H3414" i="1"/>
  <c r="Q3413" i="1"/>
  <c r="S3413" i="1" s="1"/>
  <c r="J3412" i="1"/>
  <c r="I3412" i="1"/>
  <c r="H3412" i="1"/>
  <c r="Q3411" i="1"/>
  <c r="S3411" i="1" s="1"/>
  <c r="J3410" i="1"/>
  <c r="I3410" i="1"/>
  <c r="H3410" i="1"/>
  <c r="Q3409" i="1"/>
  <c r="S3409" i="1" s="1"/>
  <c r="J3408" i="1"/>
  <c r="I3408" i="1"/>
  <c r="H3408" i="1"/>
  <c r="Q3407" i="1"/>
  <c r="S3407" i="1" s="1"/>
  <c r="J3406" i="1"/>
  <c r="I3406" i="1"/>
  <c r="H3406" i="1"/>
  <c r="Q3405" i="1"/>
  <c r="J3363" i="1"/>
  <c r="I3363" i="1"/>
  <c r="H3363" i="1"/>
  <c r="Q3362" i="1"/>
  <c r="N3362" i="1"/>
  <c r="J3361" i="1"/>
  <c r="I3361" i="1"/>
  <c r="H3361" i="1"/>
  <c r="Q3360" i="1"/>
  <c r="S3360" i="1" s="1"/>
  <c r="N3360" i="1"/>
  <c r="J3359" i="1"/>
  <c r="I3359" i="1"/>
  <c r="H3359" i="1"/>
  <c r="Q3358" i="1"/>
  <c r="N3358" i="1"/>
  <c r="Q3344" i="1"/>
  <c r="N3344" i="1"/>
  <c r="K3344" i="1"/>
  <c r="J3343" i="1"/>
  <c r="I3343" i="1"/>
  <c r="H3343" i="1"/>
  <c r="Q3342" i="1"/>
  <c r="N3342" i="1"/>
  <c r="K3342" i="1"/>
  <c r="O3340" i="1" s="1"/>
  <c r="J3341" i="1"/>
  <c r="I3341" i="1"/>
  <c r="H3341" i="1"/>
  <c r="Q3340" i="1"/>
  <c r="N3340" i="1"/>
  <c r="K3340" i="1"/>
  <c r="O3338" i="1" s="1"/>
  <c r="J3339" i="1"/>
  <c r="I3339" i="1"/>
  <c r="H3339" i="1"/>
  <c r="Q3338" i="1"/>
  <c r="N3338" i="1"/>
  <c r="K3338" i="1"/>
  <c r="O3336" i="1" s="1"/>
  <c r="J3337" i="1"/>
  <c r="I3337" i="1"/>
  <c r="H3337" i="1"/>
  <c r="Q3336" i="1"/>
  <c r="N3336" i="1"/>
  <c r="K3336" i="1"/>
  <c r="O3334" i="1" s="1"/>
  <c r="J3335" i="1"/>
  <c r="I3335" i="1"/>
  <c r="H3335" i="1"/>
  <c r="Q3334" i="1"/>
  <c r="N3334" i="1"/>
  <c r="K3334" i="1"/>
  <c r="O3332" i="1" s="1"/>
  <c r="J3333" i="1"/>
  <c r="I3333" i="1"/>
  <c r="H3333" i="1"/>
  <c r="Q3332" i="1"/>
  <c r="S3332" i="1" s="1"/>
  <c r="N3332" i="1"/>
  <c r="L3332" i="1"/>
  <c r="N3330" i="1" s="1"/>
  <c r="J3331" i="1"/>
  <c r="I3331" i="1"/>
  <c r="H3331" i="1"/>
  <c r="Q3330" i="1"/>
  <c r="CD8" i="2" s="1"/>
  <c r="CE8" i="2" s="1"/>
  <c r="J3329" i="1"/>
  <c r="I3329" i="1"/>
  <c r="H3329" i="1"/>
  <c r="Q3328" i="1"/>
  <c r="S3328" i="1" s="1"/>
  <c r="N3328" i="1"/>
  <c r="J3327" i="1"/>
  <c r="I3327" i="1"/>
  <c r="Q3326" i="1"/>
  <c r="R3326" i="1" s="1"/>
  <c r="N3326" i="1"/>
  <c r="U3326" i="1"/>
  <c r="N3313" i="1"/>
  <c r="J3312" i="1"/>
  <c r="I3312" i="1"/>
  <c r="H3312" i="1"/>
  <c r="Q3311" i="1"/>
  <c r="S3311" i="1" s="1"/>
  <c r="J3310" i="1"/>
  <c r="I3310" i="1"/>
  <c r="H3310" i="1"/>
  <c r="Q3309" i="1"/>
  <c r="J3308" i="1"/>
  <c r="I3308" i="1"/>
  <c r="H3308" i="1"/>
  <c r="Q3307" i="1"/>
  <c r="S3307" i="1" s="1"/>
  <c r="J3306" i="1"/>
  <c r="I3306" i="1"/>
  <c r="H3306" i="1"/>
  <c r="Q3305" i="1"/>
  <c r="J3304" i="1"/>
  <c r="I3304" i="1"/>
  <c r="H3304" i="1"/>
  <c r="Q3303" i="1"/>
  <c r="S3303" i="1" s="1"/>
  <c r="J3302" i="1"/>
  <c r="I3302" i="1"/>
  <c r="H3302" i="1"/>
  <c r="Q3301" i="1"/>
  <c r="J3300" i="1"/>
  <c r="I3300" i="1"/>
  <c r="H3300" i="1"/>
  <c r="Q3299" i="1"/>
  <c r="S3299" i="1" s="1"/>
  <c r="J3298" i="1"/>
  <c r="I3298" i="1"/>
  <c r="Q3297" i="1"/>
  <c r="Q3295" i="1"/>
  <c r="S3295" i="1" s="1"/>
  <c r="Q3293" i="1"/>
  <c r="Q3283" i="1"/>
  <c r="S3283" i="1" s="1"/>
  <c r="Q3281" i="1"/>
  <c r="S3281" i="1" s="1"/>
  <c r="J3280" i="1"/>
  <c r="I3280" i="1"/>
  <c r="H3280" i="1"/>
  <c r="Q3279" i="1"/>
  <c r="S3279" i="1" s="1"/>
  <c r="J3278" i="1"/>
  <c r="I3278" i="1"/>
  <c r="H3278" i="1"/>
  <c r="Q3277" i="1"/>
  <c r="R3277" i="1" s="1"/>
  <c r="J3276" i="1"/>
  <c r="I3276" i="1"/>
  <c r="H3276" i="1"/>
  <c r="Q3275" i="1"/>
  <c r="S3275" i="1" s="1"/>
  <c r="J3274" i="1"/>
  <c r="I3274" i="1"/>
  <c r="H3274" i="1"/>
  <c r="Q3273" i="1"/>
  <c r="R3273" i="1" s="1"/>
  <c r="J3272" i="1"/>
  <c r="I3272" i="1"/>
  <c r="H3272" i="1"/>
  <c r="Q3271" i="1"/>
  <c r="S3271" i="1" s="1"/>
  <c r="J3270" i="1"/>
  <c r="I3270" i="1"/>
  <c r="H3270" i="1"/>
  <c r="Q3269" i="1"/>
  <c r="S3269" i="1" s="1"/>
  <c r="J3268" i="1"/>
  <c r="I3268" i="1"/>
  <c r="H3268" i="1"/>
  <c r="Q3267" i="1"/>
  <c r="S3267" i="1" s="1"/>
  <c r="J3266" i="1"/>
  <c r="I3266" i="1"/>
  <c r="H3266" i="1"/>
  <c r="Q3265" i="1"/>
  <c r="R3265" i="1" s="1"/>
  <c r="J3264" i="1"/>
  <c r="I3264" i="1"/>
  <c r="H3264" i="1"/>
  <c r="Q3263" i="1"/>
  <c r="J3262" i="1"/>
  <c r="I3262" i="1"/>
  <c r="H3262" i="1"/>
  <c r="Q3261" i="1"/>
  <c r="S3261" i="1" s="1"/>
  <c r="J3260" i="1"/>
  <c r="I3260" i="1"/>
  <c r="Q3259" i="1"/>
  <c r="U3259" i="1"/>
  <c r="J3258" i="1"/>
  <c r="I3258" i="1"/>
  <c r="Q3245" i="1"/>
  <c r="N3245" i="1"/>
  <c r="V3244" i="1"/>
  <c r="J3244" i="1"/>
  <c r="I3244" i="1"/>
  <c r="H3244" i="1"/>
  <c r="Q3243" i="1"/>
  <c r="S3243" i="1" s="1"/>
  <c r="N3243" i="1"/>
  <c r="V3242" i="1"/>
  <c r="J3242" i="1"/>
  <c r="I3242" i="1"/>
  <c r="H3242" i="1"/>
  <c r="Q3241" i="1"/>
  <c r="N3241" i="1"/>
  <c r="V3240" i="1"/>
  <c r="J3240" i="1"/>
  <c r="I3240" i="1"/>
  <c r="H3240" i="1"/>
  <c r="Q3239" i="1"/>
  <c r="S3239" i="1" s="1"/>
  <c r="N3239" i="1"/>
  <c r="V3238" i="1"/>
  <c r="J3238" i="1"/>
  <c r="I3238" i="1"/>
  <c r="H3238" i="1"/>
  <c r="Q3237" i="1"/>
  <c r="S3237" i="1" s="1"/>
  <c r="N3237" i="1"/>
  <c r="V3236" i="1"/>
  <c r="J3236" i="1"/>
  <c r="I3236" i="1"/>
  <c r="H3236" i="1"/>
  <c r="Q3235" i="1"/>
  <c r="S3235" i="1" s="1"/>
  <c r="N3235" i="1"/>
  <c r="V3234" i="1"/>
  <c r="J3234" i="1"/>
  <c r="I3234" i="1"/>
  <c r="Q3233" i="1"/>
  <c r="N3233" i="1"/>
  <c r="Q3219" i="1"/>
  <c r="R3219" i="1" s="1"/>
  <c r="N3219" i="1"/>
  <c r="J3218" i="1"/>
  <c r="I3218" i="1"/>
  <c r="H3218" i="1"/>
  <c r="Q3217" i="1"/>
  <c r="S3217" i="1" s="1"/>
  <c r="N3217" i="1"/>
  <c r="J3216" i="1"/>
  <c r="I3216" i="1"/>
  <c r="H3216" i="1"/>
  <c r="Q3215" i="1"/>
  <c r="S3215" i="1" s="1"/>
  <c r="N3215" i="1"/>
  <c r="J3214" i="1"/>
  <c r="I3214" i="1"/>
  <c r="H3214" i="1"/>
  <c r="Q3213" i="1"/>
  <c r="S3213" i="1" s="1"/>
  <c r="N3213" i="1"/>
  <c r="I3212" i="1"/>
  <c r="H3212" i="1"/>
  <c r="R3211" i="1"/>
  <c r="Q3196" i="1"/>
  <c r="S3196" i="1" s="1"/>
  <c r="N3196" i="1"/>
  <c r="J3195" i="1"/>
  <c r="I3195" i="1"/>
  <c r="Q3194" i="1"/>
  <c r="R3194" i="1" s="1"/>
  <c r="N3194" i="1"/>
  <c r="J3193" i="1"/>
  <c r="I3193" i="1"/>
  <c r="Q3192" i="1"/>
  <c r="S3192" i="1" s="1"/>
  <c r="N3192" i="1"/>
  <c r="J3191" i="1"/>
  <c r="I3191" i="1"/>
  <c r="Q3190" i="1"/>
  <c r="S3190" i="1" s="1"/>
  <c r="N3190" i="1"/>
  <c r="J3189" i="1"/>
  <c r="I3189" i="1"/>
  <c r="Q3188" i="1"/>
  <c r="S3188" i="1" s="1"/>
  <c r="N3188" i="1"/>
  <c r="J3187" i="1"/>
  <c r="I3187" i="1"/>
  <c r="Q3186" i="1"/>
  <c r="R3186" i="1" s="1"/>
  <c r="N3186" i="1"/>
  <c r="Q3174" i="1"/>
  <c r="S3174" i="1" s="1"/>
  <c r="N3174" i="1"/>
  <c r="J3173" i="1"/>
  <c r="I3173" i="1"/>
  <c r="H3173" i="1"/>
  <c r="Q3172" i="1"/>
  <c r="R3172" i="1" s="1"/>
  <c r="N3172" i="1"/>
  <c r="J3171" i="1"/>
  <c r="I3171" i="1"/>
  <c r="H3171" i="1"/>
  <c r="Q3170" i="1"/>
  <c r="S3170" i="1" s="1"/>
  <c r="N3170" i="1"/>
  <c r="J3169" i="1"/>
  <c r="I3169" i="1"/>
  <c r="H3169" i="1"/>
  <c r="Q3168" i="1"/>
  <c r="R3168" i="1" s="1"/>
  <c r="N3168" i="1"/>
  <c r="J3167" i="1"/>
  <c r="I3167" i="1"/>
  <c r="H3167" i="1"/>
  <c r="Q3166" i="1"/>
  <c r="S3166" i="1" s="1"/>
  <c r="N3166" i="1"/>
  <c r="J3165" i="1"/>
  <c r="I3165" i="1"/>
  <c r="H3165" i="1"/>
  <c r="Q3164" i="1"/>
  <c r="R3164" i="1" s="1"/>
  <c r="N3164" i="1"/>
  <c r="J3163" i="1"/>
  <c r="I3163" i="1"/>
  <c r="H3163" i="1"/>
  <c r="Q3162" i="1"/>
  <c r="S3162" i="1" s="1"/>
  <c r="N3162" i="1"/>
  <c r="Q3154" i="1"/>
  <c r="S3154" i="1" s="1"/>
  <c r="N3154" i="1"/>
  <c r="J3153" i="1"/>
  <c r="I3153" i="1"/>
  <c r="H3153" i="1"/>
  <c r="Q3152" i="1"/>
  <c r="S3152" i="1" s="1"/>
  <c r="N3152" i="1"/>
  <c r="J3151" i="1"/>
  <c r="I3151" i="1"/>
  <c r="H3151" i="1"/>
  <c r="Q3150" i="1"/>
  <c r="S3150" i="1" s="1"/>
  <c r="N3150" i="1"/>
  <c r="J3149" i="1"/>
  <c r="I3149" i="1"/>
  <c r="H3149" i="1"/>
  <c r="Q3148" i="1"/>
  <c r="S3148" i="1" s="1"/>
  <c r="N3148" i="1"/>
  <c r="J3147" i="1"/>
  <c r="I3147" i="1"/>
  <c r="H3147" i="1"/>
  <c r="Q3146" i="1"/>
  <c r="S3146" i="1" s="1"/>
  <c r="N3146" i="1"/>
  <c r="J3145" i="1"/>
  <c r="I3145" i="1"/>
  <c r="H3145" i="1"/>
  <c r="Q3144" i="1"/>
  <c r="S3144" i="1" s="1"/>
  <c r="N3144" i="1"/>
  <c r="J3143" i="1"/>
  <c r="I3143" i="1"/>
  <c r="H3143" i="1"/>
  <c r="Q3142" i="1"/>
  <c r="S3142" i="1" s="1"/>
  <c r="N3142" i="1"/>
  <c r="J3141" i="1"/>
  <c r="I3141" i="1"/>
  <c r="H3141" i="1"/>
  <c r="Q3140" i="1"/>
  <c r="S3140" i="1" s="1"/>
  <c r="N3140" i="1"/>
  <c r="J3139" i="1"/>
  <c r="I3139" i="1"/>
  <c r="H3139" i="1"/>
  <c r="Q3138" i="1"/>
  <c r="S3138" i="1" s="1"/>
  <c r="N3138" i="1"/>
  <c r="I3119" i="1"/>
  <c r="H3119" i="1"/>
  <c r="Q3118" i="1"/>
  <c r="CD13" i="2" s="1"/>
  <c r="CE13" i="2" s="1"/>
  <c r="N3118" i="1"/>
  <c r="H3117" i="1"/>
  <c r="Q3116" i="1"/>
  <c r="S3116" i="1" s="1"/>
  <c r="N3116" i="1"/>
  <c r="Q3094" i="1"/>
  <c r="Q3092" i="1"/>
  <c r="Q3090" i="1"/>
  <c r="Q3088" i="1"/>
  <c r="Q3077" i="1"/>
  <c r="R3077" i="1" s="1"/>
  <c r="N3077" i="1"/>
  <c r="K3077" i="1"/>
  <c r="U3077" i="1" s="1"/>
  <c r="J3076" i="1"/>
  <c r="I3076" i="1"/>
  <c r="Q3075" i="1"/>
  <c r="R3075" i="1" s="1"/>
  <c r="N3075" i="1"/>
  <c r="K3075" i="1"/>
  <c r="U3075" i="1" s="1"/>
  <c r="J3074" i="1"/>
  <c r="I3074" i="1"/>
  <c r="Q3073" i="1"/>
  <c r="R3073" i="1" s="1"/>
  <c r="N3073" i="1"/>
  <c r="K3073" i="1"/>
  <c r="U3073" i="1" s="1"/>
  <c r="J3072" i="1"/>
  <c r="I3072" i="1"/>
  <c r="Q3071" i="1"/>
  <c r="R3071" i="1" s="1"/>
  <c r="N3071" i="1"/>
  <c r="J3070" i="1"/>
  <c r="I3070" i="1"/>
  <c r="Q3069" i="1"/>
  <c r="R3069" i="1" s="1"/>
  <c r="N3069" i="1"/>
  <c r="J3068" i="1"/>
  <c r="I3068" i="1"/>
  <c r="Q3067" i="1"/>
  <c r="R3067" i="1" s="1"/>
  <c r="N3067" i="1"/>
  <c r="J3066" i="1"/>
  <c r="I3066" i="1"/>
  <c r="Q3065" i="1"/>
  <c r="R3065" i="1" s="1"/>
  <c r="N3065" i="1"/>
  <c r="J3064" i="1"/>
  <c r="I3064" i="1"/>
  <c r="Q3063" i="1"/>
  <c r="R3063" i="1" s="1"/>
  <c r="N3063" i="1"/>
  <c r="J3062" i="1"/>
  <c r="I3062" i="1"/>
  <c r="Q3061" i="1"/>
  <c r="R3061" i="1" s="1"/>
  <c r="N3061" i="1"/>
  <c r="J3060" i="1"/>
  <c r="I3060" i="1"/>
  <c r="Q3059" i="1"/>
  <c r="R3059" i="1" s="1"/>
  <c r="N3059" i="1"/>
  <c r="J3058" i="1"/>
  <c r="I3058" i="1"/>
  <c r="Q3057" i="1"/>
  <c r="R3057" i="1" s="1"/>
  <c r="N3057" i="1"/>
  <c r="J3056" i="1"/>
  <c r="I3056" i="1"/>
  <c r="Q3055" i="1"/>
  <c r="CD19" i="2" s="1"/>
  <c r="N3055" i="1"/>
  <c r="J3054" i="1"/>
  <c r="I3054" i="1"/>
  <c r="Q3053" i="1"/>
  <c r="R3053" i="1" s="1"/>
  <c r="N3053" i="1"/>
  <c r="J3052" i="1"/>
  <c r="I3052" i="1"/>
  <c r="Q3051" i="1"/>
  <c r="R3051" i="1" s="1"/>
  <c r="N3051" i="1"/>
  <c r="J3050" i="1"/>
  <c r="I3050" i="1"/>
  <c r="Q3049" i="1"/>
  <c r="R3049" i="1" s="1"/>
  <c r="N3049" i="1"/>
  <c r="J3030" i="1"/>
  <c r="I3030" i="1"/>
  <c r="H3030" i="1"/>
  <c r="J3028" i="1"/>
  <c r="I3028" i="1"/>
  <c r="H3028" i="1"/>
  <c r="J3026" i="1"/>
  <c r="I3026" i="1"/>
  <c r="H3026" i="1"/>
  <c r="Q3025" i="1"/>
  <c r="S3025" i="1" s="1"/>
  <c r="N3025" i="1"/>
  <c r="J3024" i="1"/>
  <c r="I3024" i="1"/>
  <c r="H3024" i="1"/>
  <c r="Q3023" i="1"/>
  <c r="S3023" i="1" s="1"/>
  <c r="L3023" i="1"/>
  <c r="O3023" i="1" s="1"/>
  <c r="J3022" i="1"/>
  <c r="I3022" i="1"/>
  <c r="H3022" i="1"/>
  <c r="Q3021" i="1"/>
  <c r="R3021" i="1" s="1"/>
  <c r="N3021" i="1"/>
  <c r="J3020" i="1"/>
  <c r="I3020" i="1"/>
  <c r="H3020" i="1"/>
  <c r="Q3019" i="1"/>
  <c r="S3019" i="1" s="1"/>
  <c r="N3019" i="1"/>
  <c r="J3018" i="1"/>
  <c r="I3018" i="1"/>
  <c r="H3018" i="1"/>
  <c r="Q3017" i="1"/>
  <c r="R3017" i="1" s="1"/>
  <c r="N3017" i="1"/>
  <c r="J3016" i="1"/>
  <c r="I3016" i="1"/>
  <c r="H3016" i="1"/>
  <c r="Q3015" i="1"/>
  <c r="S3015" i="1" s="1"/>
  <c r="N3015" i="1"/>
  <c r="J3014" i="1"/>
  <c r="I3014" i="1"/>
  <c r="H3014" i="1"/>
  <c r="Q3013" i="1"/>
  <c r="R3013" i="1" s="1"/>
  <c r="N3013" i="1"/>
  <c r="Q3005" i="1"/>
  <c r="Q3003" i="1"/>
  <c r="Q3001" i="1"/>
  <c r="Q2999" i="1"/>
  <c r="Q2997" i="1"/>
  <c r="N2997" i="1"/>
  <c r="J2996" i="1"/>
  <c r="I2996" i="1"/>
  <c r="Q2995" i="1"/>
  <c r="N2995" i="1"/>
  <c r="J2994" i="1"/>
  <c r="I2994" i="1"/>
  <c r="Q2993" i="1"/>
  <c r="R2993" i="1" s="1"/>
  <c r="N2993" i="1"/>
  <c r="J2992" i="1"/>
  <c r="I2992" i="1"/>
  <c r="Q2991" i="1"/>
  <c r="N2991" i="1"/>
  <c r="J2990" i="1"/>
  <c r="I2990" i="1"/>
  <c r="Q2989" i="1"/>
  <c r="N2989" i="1"/>
  <c r="J2988" i="1"/>
  <c r="I2988" i="1"/>
  <c r="Q2987" i="1"/>
  <c r="N2987" i="1"/>
  <c r="Q2985" i="1"/>
  <c r="J2984" i="1"/>
  <c r="I2984" i="1"/>
  <c r="Q2983" i="1"/>
  <c r="CD17" i="2" s="1"/>
  <c r="Q2981" i="1"/>
  <c r="R2981" i="1" s="1"/>
  <c r="Q2979" i="1"/>
  <c r="N2969" i="1"/>
  <c r="J2968" i="1"/>
  <c r="I2968" i="1"/>
  <c r="N2967" i="1"/>
  <c r="J2966" i="1"/>
  <c r="I2966" i="1"/>
  <c r="N2965" i="1"/>
  <c r="P2963" i="1"/>
  <c r="K2963" i="1"/>
  <c r="U2963" i="1" s="1"/>
  <c r="J2963" i="1"/>
  <c r="N2963" i="1" s="1"/>
  <c r="I2963" i="1"/>
  <c r="P2961" i="1"/>
  <c r="Q2961" i="1" s="1"/>
  <c r="Q2957" i="1"/>
  <c r="R2957" i="1" s="1"/>
  <c r="N2957" i="1"/>
  <c r="Q2955" i="1"/>
  <c r="R2955" i="1" s="1"/>
  <c r="N2955" i="1"/>
  <c r="Q2953" i="1"/>
  <c r="Q2939" i="1"/>
  <c r="S2939" i="1" s="1"/>
  <c r="N2939" i="1"/>
  <c r="J2938" i="1"/>
  <c r="I2938" i="1"/>
  <c r="H2938" i="1"/>
  <c r="Q2937" i="1"/>
  <c r="R2937" i="1" s="1"/>
  <c r="N2937" i="1"/>
  <c r="J2936" i="1"/>
  <c r="I2936" i="1"/>
  <c r="H2936" i="1"/>
  <c r="Q2935" i="1"/>
  <c r="S2935" i="1" s="1"/>
  <c r="N2935" i="1"/>
  <c r="Q2933" i="1"/>
  <c r="R2933" i="1" s="1"/>
  <c r="N2933" i="1"/>
  <c r="J2932" i="1"/>
  <c r="I2932" i="1"/>
  <c r="H2932" i="1"/>
  <c r="Q2931" i="1"/>
  <c r="S2931" i="1" s="1"/>
  <c r="N2931" i="1"/>
  <c r="J2930" i="1"/>
  <c r="I2930" i="1"/>
  <c r="H2930" i="1"/>
  <c r="Q2929" i="1"/>
  <c r="R2929" i="1" s="1"/>
  <c r="N2929" i="1"/>
  <c r="J2928" i="1"/>
  <c r="I2928" i="1"/>
  <c r="H2928" i="1"/>
  <c r="Q2927" i="1"/>
  <c r="S2927" i="1" s="1"/>
  <c r="N2927" i="1"/>
  <c r="I2926" i="1"/>
  <c r="H2926" i="1"/>
  <c r="Q2925" i="1"/>
  <c r="S2925" i="1" s="1"/>
  <c r="I2924" i="1"/>
  <c r="H2924" i="1"/>
  <c r="Q2923" i="1"/>
  <c r="R2923" i="1" s="1"/>
  <c r="N2923" i="1"/>
  <c r="J2922" i="1"/>
  <c r="I2922" i="1"/>
  <c r="H2922" i="1"/>
  <c r="Q2921" i="1"/>
  <c r="S2921" i="1" s="1"/>
  <c r="N2921" i="1"/>
  <c r="J2920" i="1"/>
  <c r="I2920" i="1"/>
  <c r="H2920" i="1"/>
  <c r="Q2919" i="1"/>
  <c r="CD3" i="2" s="1"/>
  <c r="CE3" i="2" s="1"/>
  <c r="N2919" i="1"/>
  <c r="J2918" i="1"/>
  <c r="I2918" i="1"/>
  <c r="H2918" i="1"/>
  <c r="Q2917" i="1"/>
  <c r="S2917" i="1" s="1"/>
  <c r="N2917" i="1"/>
  <c r="J2916" i="1"/>
  <c r="Q2915" i="1"/>
  <c r="R2915" i="1" s="1"/>
  <c r="N2915" i="1"/>
  <c r="I2916" i="1"/>
  <c r="N2907" i="1"/>
  <c r="N2905" i="1"/>
  <c r="J2904" i="1"/>
  <c r="I2904" i="1"/>
  <c r="L2903" i="1"/>
  <c r="N2903" i="1" s="1"/>
  <c r="J2902" i="1"/>
  <c r="I2902" i="1"/>
  <c r="L2901" i="1"/>
  <c r="N2901" i="1" s="1"/>
  <c r="J2900" i="1"/>
  <c r="I2900" i="1"/>
  <c r="P2899" i="1"/>
  <c r="L2899" i="1"/>
  <c r="N2899" i="1" s="1"/>
  <c r="J2898" i="1"/>
  <c r="I2898" i="1"/>
  <c r="Q2897" i="1"/>
  <c r="S2897" i="1" s="1"/>
  <c r="N2897" i="1"/>
  <c r="Q2895" i="1"/>
  <c r="S2895" i="1" s="1"/>
  <c r="N2895" i="1"/>
  <c r="Q2893" i="1"/>
  <c r="Q2881" i="1"/>
  <c r="Q2849" i="1"/>
  <c r="N2849" i="1"/>
  <c r="R2849" i="1"/>
  <c r="J2848" i="1"/>
  <c r="I2848" i="1"/>
  <c r="H2848" i="1"/>
  <c r="Q2847" i="1"/>
  <c r="N2847" i="1"/>
  <c r="R2847" i="1"/>
  <c r="J2846" i="1"/>
  <c r="I2846" i="1"/>
  <c r="H2846" i="1"/>
  <c r="Q2845" i="1"/>
  <c r="N2845" i="1"/>
  <c r="R2845" i="1"/>
  <c r="J2844" i="1"/>
  <c r="I2844" i="1"/>
  <c r="H2844" i="1"/>
  <c r="Q2843" i="1"/>
  <c r="N2843" i="1"/>
  <c r="R2843" i="1"/>
  <c r="J2842" i="1"/>
  <c r="I2842" i="1"/>
  <c r="H2842" i="1"/>
  <c r="Q2841" i="1"/>
  <c r="N2841" i="1"/>
  <c r="R2841" i="1"/>
  <c r="J2840" i="1"/>
  <c r="I2840" i="1"/>
  <c r="H2840" i="1"/>
  <c r="Q2839" i="1"/>
  <c r="N2839" i="1"/>
  <c r="R2839" i="1"/>
  <c r="J2838" i="1"/>
  <c r="I2838" i="1"/>
  <c r="H2838" i="1"/>
  <c r="Q2837" i="1"/>
  <c r="R2837" i="1"/>
  <c r="J2836" i="1"/>
  <c r="I2836" i="1"/>
  <c r="H2836" i="1"/>
  <c r="Q2835" i="1"/>
  <c r="R2835" i="1"/>
  <c r="J2834" i="1"/>
  <c r="I2834" i="1"/>
  <c r="H2834" i="1"/>
  <c r="Q2833" i="1"/>
  <c r="R2833" i="1"/>
  <c r="Q2831" i="1"/>
  <c r="L2831" i="1"/>
  <c r="J2831" i="1"/>
  <c r="I2831" i="1"/>
  <c r="I2832" i="1" s="1"/>
  <c r="H2831" i="1"/>
  <c r="U2831" i="1" s="1"/>
  <c r="R2829" i="1"/>
  <c r="Q2829" i="1"/>
  <c r="J2828" i="1"/>
  <c r="I2828" i="1"/>
  <c r="H2828" i="1"/>
  <c r="R2827" i="1"/>
  <c r="Q2827" i="1"/>
  <c r="CD20" i="2" s="1"/>
  <c r="J2826" i="1"/>
  <c r="I2826" i="1"/>
  <c r="H2826" i="1"/>
  <c r="R2825" i="1"/>
  <c r="Q2825" i="1"/>
  <c r="J2824" i="1"/>
  <c r="I2824" i="1"/>
  <c r="H2824" i="1"/>
  <c r="R2823" i="1"/>
  <c r="Q2823" i="1"/>
  <c r="Q2821" i="1"/>
  <c r="I2822" i="1"/>
  <c r="H2822" i="1"/>
  <c r="Q2813" i="1"/>
  <c r="S2813" i="1" s="1"/>
  <c r="N2813" i="1"/>
  <c r="J2812" i="1"/>
  <c r="I2812" i="1"/>
  <c r="H2812" i="1"/>
  <c r="Q2811" i="1"/>
  <c r="N2811" i="1"/>
  <c r="J2810" i="1"/>
  <c r="I2810" i="1"/>
  <c r="H2810" i="1"/>
  <c r="Q2809" i="1"/>
  <c r="S2809" i="1" s="1"/>
  <c r="N2809" i="1"/>
  <c r="J2808" i="1"/>
  <c r="I2808" i="1"/>
  <c r="H2808" i="1"/>
  <c r="Q2807" i="1"/>
  <c r="R2807" i="1" s="1"/>
  <c r="N2807" i="1"/>
  <c r="J2806" i="1"/>
  <c r="I2806" i="1"/>
  <c r="H2806" i="1"/>
  <c r="Q2805" i="1"/>
  <c r="S2805" i="1" s="1"/>
  <c r="N2805" i="1"/>
  <c r="J2804" i="1"/>
  <c r="I2804" i="1"/>
  <c r="H2804" i="1"/>
  <c r="Q2803" i="1"/>
  <c r="N2803" i="1"/>
  <c r="J2802" i="1"/>
  <c r="I2802" i="1"/>
  <c r="H2802" i="1"/>
  <c r="P2801" i="1"/>
  <c r="M2801" i="1" s="1"/>
  <c r="N2801" i="1"/>
  <c r="K2801" i="1"/>
  <c r="Q2797" i="1"/>
  <c r="S2797" i="1" s="1"/>
  <c r="J2796" i="1"/>
  <c r="I2796" i="1"/>
  <c r="H2796" i="1"/>
  <c r="Q2795" i="1"/>
  <c r="R2795" i="1" s="1"/>
  <c r="J2794" i="1"/>
  <c r="I2794" i="1"/>
  <c r="H2794" i="1"/>
  <c r="Q2793" i="1"/>
  <c r="S2793" i="1" s="1"/>
  <c r="J2792" i="1"/>
  <c r="I2792" i="1"/>
  <c r="H2792" i="1"/>
  <c r="Q2791" i="1"/>
  <c r="R2791" i="1" s="1"/>
  <c r="J2790" i="1"/>
  <c r="I2790" i="1"/>
  <c r="H2790" i="1"/>
  <c r="Q2789" i="1"/>
  <c r="S2789" i="1" s="1"/>
  <c r="J2788" i="1"/>
  <c r="I2788" i="1"/>
  <c r="H2788" i="1"/>
  <c r="Q2787" i="1"/>
  <c r="R2787" i="1" s="1"/>
  <c r="J2786" i="1"/>
  <c r="I2786" i="1"/>
  <c r="H2786" i="1"/>
  <c r="Q2785" i="1"/>
  <c r="S2785" i="1" s="1"/>
  <c r="J2784" i="1"/>
  <c r="I2784" i="1"/>
  <c r="H2784" i="1"/>
  <c r="Q2783" i="1"/>
  <c r="S2783" i="1" s="1"/>
  <c r="J2782" i="1"/>
  <c r="I2782" i="1"/>
  <c r="H2782" i="1"/>
  <c r="Q2781" i="1"/>
  <c r="S2781" i="1" s="1"/>
  <c r="Q2769" i="1"/>
  <c r="R2769" i="1" s="1"/>
  <c r="N2769" i="1"/>
  <c r="J2768" i="1"/>
  <c r="I2768" i="1"/>
  <c r="H2768" i="1"/>
  <c r="Q2767" i="1"/>
  <c r="S2767" i="1" s="1"/>
  <c r="J2766" i="1"/>
  <c r="I2766" i="1"/>
  <c r="H2766" i="1"/>
  <c r="Q2765" i="1"/>
  <c r="R2765" i="1" s="1"/>
  <c r="J2764" i="1"/>
  <c r="I2764" i="1"/>
  <c r="H2764" i="1"/>
  <c r="Q2763" i="1"/>
  <c r="S2763" i="1" s="1"/>
  <c r="J2762" i="1"/>
  <c r="I2762" i="1"/>
  <c r="H2762" i="1"/>
  <c r="Q2761" i="1"/>
  <c r="R2761" i="1" s="1"/>
  <c r="J2760" i="1"/>
  <c r="I2760" i="1"/>
  <c r="H2760" i="1"/>
  <c r="Q2759" i="1"/>
  <c r="S2759" i="1" s="1"/>
  <c r="J2758" i="1"/>
  <c r="I2758" i="1"/>
  <c r="H2758" i="1"/>
  <c r="Q2757" i="1"/>
  <c r="CD15" i="2" s="1"/>
  <c r="J2756" i="1"/>
  <c r="I2756" i="1"/>
  <c r="H2756" i="1"/>
  <c r="Q2755" i="1"/>
  <c r="S2755" i="1" s="1"/>
  <c r="J2754" i="1"/>
  <c r="I2754" i="1"/>
  <c r="Q2753" i="1"/>
  <c r="R2753" i="1" s="1"/>
  <c r="J2752" i="1"/>
  <c r="I2752" i="1"/>
  <c r="Q2751" i="1"/>
  <c r="S2751" i="1" s="1"/>
  <c r="Q2735" i="1"/>
  <c r="N2735" i="1"/>
  <c r="J2734" i="1"/>
  <c r="I2734" i="1"/>
  <c r="H2734" i="1"/>
  <c r="Q2733" i="1"/>
  <c r="N2733" i="1"/>
  <c r="J2732" i="1"/>
  <c r="I2732" i="1"/>
  <c r="H2732" i="1"/>
  <c r="Q2731" i="1"/>
  <c r="N2731" i="1"/>
  <c r="J2730" i="1"/>
  <c r="I2730" i="1"/>
  <c r="H2730" i="1"/>
  <c r="Q2729" i="1"/>
  <c r="N2729" i="1"/>
  <c r="J2728" i="1"/>
  <c r="I2728" i="1"/>
  <c r="H2728" i="1"/>
  <c r="Q2727" i="1"/>
  <c r="N2727" i="1"/>
  <c r="J2726" i="1"/>
  <c r="I2726" i="1"/>
  <c r="H2726" i="1"/>
  <c r="Q2725" i="1"/>
  <c r="N2725" i="1"/>
  <c r="J2724" i="1"/>
  <c r="I2724" i="1"/>
  <c r="H2724" i="1"/>
  <c r="Q2723" i="1"/>
  <c r="N2723" i="1"/>
  <c r="J2722" i="1"/>
  <c r="I2722" i="1"/>
  <c r="H2722" i="1"/>
  <c r="Q2721" i="1"/>
  <c r="R2721" i="1" s="1"/>
  <c r="N2721" i="1"/>
  <c r="J2720" i="1"/>
  <c r="I2720" i="1"/>
  <c r="H2720" i="1"/>
  <c r="Q2719" i="1"/>
  <c r="S2719" i="1" s="1"/>
  <c r="N2719" i="1"/>
  <c r="J2718" i="1"/>
  <c r="I2718" i="1"/>
  <c r="H2718" i="1"/>
  <c r="Q2717" i="1"/>
  <c r="J2716" i="1"/>
  <c r="I2716" i="1"/>
  <c r="H2716" i="1"/>
  <c r="Q2705" i="1"/>
  <c r="N2705" i="1"/>
  <c r="J2704" i="1"/>
  <c r="I2704" i="1"/>
  <c r="Q2703" i="1"/>
  <c r="N2703" i="1"/>
  <c r="J2702" i="1"/>
  <c r="I2702" i="1"/>
  <c r="Q2701" i="1"/>
  <c r="N2701" i="1"/>
  <c r="J2700" i="1"/>
  <c r="I2700" i="1"/>
  <c r="Q2699" i="1"/>
  <c r="N2699" i="1"/>
  <c r="J2698" i="1"/>
  <c r="I2698" i="1"/>
  <c r="Q2697" i="1"/>
  <c r="S2697" i="1" s="1"/>
  <c r="N2697" i="1"/>
  <c r="J2696" i="1"/>
  <c r="I2696" i="1"/>
  <c r="Q2695" i="1"/>
  <c r="S2695" i="1" s="1"/>
  <c r="N2695" i="1"/>
  <c r="J2694" i="1"/>
  <c r="I2694" i="1"/>
  <c r="Q2693" i="1"/>
  <c r="S2693" i="1" s="1"/>
  <c r="N2693" i="1"/>
  <c r="J2692" i="1"/>
  <c r="I2692" i="1"/>
  <c r="Q2691" i="1"/>
  <c r="N2691" i="1"/>
  <c r="J2690" i="1"/>
  <c r="I2690" i="1"/>
  <c r="Q2689" i="1"/>
  <c r="S2689" i="1" s="1"/>
  <c r="N2689" i="1"/>
  <c r="J2688" i="1"/>
  <c r="I2688" i="1"/>
  <c r="Q2687" i="1"/>
  <c r="S2687" i="1" s="1"/>
  <c r="N2687" i="1"/>
  <c r="J2686" i="1"/>
  <c r="I2686" i="1"/>
  <c r="Q2685" i="1"/>
  <c r="S2685" i="1" s="1"/>
  <c r="N2685" i="1"/>
  <c r="J2684" i="1"/>
  <c r="I2684" i="1"/>
  <c r="Q2683" i="1"/>
  <c r="N2683" i="1"/>
  <c r="J2682" i="1"/>
  <c r="I2682" i="1"/>
  <c r="Q2681" i="1"/>
  <c r="S2681" i="1" s="1"/>
  <c r="N2681" i="1"/>
  <c r="J2680" i="1"/>
  <c r="I2680" i="1"/>
  <c r="Q2679" i="1"/>
  <c r="S2679" i="1" s="1"/>
  <c r="N2679" i="1"/>
  <c r="J2678" i="1"/>
  <c r="I2678" i="1"/>
  <c r="Q2677" i="1"/>
  <c r="S2677" i="1" s="1"/>
  <c r="N2677" i="1"/>
  <c r="J4577" i="1"/>
  <c r="I4577" i="1"/>
  <c r="H4577" i="1"/>
  <c r="J4575" i="1"/>
  <c r="I4575" i="1"/>
  <c r="H4575" i="1"/>
  <c r="P4574" i="1"/>
  <c r="Q4574" i="1" s="1"/>
  <c r="S4574" i="1" s="1"/>
  <c r="J4573" i="1"/>
  <c r="I4573" i="1"/>
  <c r="H4573" i="1"/>
  <c r="P4572" i="1"/>
  <c r="N4572" i="1"/>
  <c r="J4571" i="1"/>
  <c r="I4571" i="1"/>
  <c r="H4571" i="1"/>
  <c r="P4570" i="1"/>
  <c r="N4570" i="1"/>
  <c r="J4569" i="1"/>
  <c r="P4568" i="1"/>
  <c r="Q4568" i="1" s="1"/>
  <c r="L4568" i="1"/>
  <c r="K4568" i="1"/>
  <c r="I4568" i="1"/>
  <c r="H4568" i="1"/>
  <c r="H4569" i="1" s="1"/>
  <c r="Q2658" i="1"/>
  <c r="S2658" i="1" s="1"/>
  <c r="J2657" i="1"/>
  <c r="I2657" i="1"/>
  <c r="H2657" i="1"/>
  <c r="Q2656" i="1"/>
  <c r="R2656" i="1" s="1"/>
  <c r="J2655" i="1"/>
  <c r="I2655" i="1"/>
  <c r="H2655" i="1"/>
  <c r="Q2654" i="1"/>
  <c r="S2654" i="1" s="1"/>
  <c r="J2653" i="1"/>
  <c r="I2653" i="1"/>
  <c r="H2653" i="1"/>
  <c r="Q2652" i="1"/>
  <c r="R2652" i="1" s="1"/>
  <c r="J2651" i="1"/>
  <c r="I2651" i="1"/>
  <c r="H2651" i="1"/>
  <c r="Q2650" i="1"/>
  <c r="S2650" i="1" s="1"/>
  <c r="J2649" i="1"/>
  <c r="I2649" i="1"/>
  <c r="H2649" i="1"/>
  <c r="Q2648" i="1"/>
  <c r="R2648" i="1" s="1"/>
  <c r="J2647" i="1"/>
  <c r="I2647" i="1"/>
  <c r="H2647" i="1"/>
  <c r="Q2646" i="1"/>
  <c r="S2646" i="1" s="1"/>
  <c r="J2645" i="1"/>
  <c r="I2645" i="1"/>
  <c r="H2645" i="1"/>
  <c r="Q2644" i="1"/>
  <c r="R2644" i="1" s="1"/>
  <c r="J2643" i="1"/>
  <c r="I2643" i="1"/>
  <c r="H2643" i="1"/>
  <c r="P2642" i="1"/>
  <c r="Q2630" i="1"/>
  <c r="N2630" i="1"/>
  <c r="Q2626" i="1"/>
  <c r="S2626" i="1" s="1"/>
  <c r="N2626" i="1"/>
  <c r="J2625" i="1"/>
  <c r="I2625" i="1"/>
  <c r="H2625" i="1"/>
  <c r="Q2624" i="1"/>
  <c r="S2624" i="1" s="1"/>
  <c r="N2624" i="1"/>
  <c r="J2623" i="1"/>
  <c r="I2623" i="1"/>
  <c r="H2623" i="1"/>
  <c r="Q2622" i="1"/>
  <c r="S2622" i="1" s="1"/>
  <c r="N2622" i="1"/>
  <c r="J2621" i="1"/>
  <c r="I2621" i="1"/>
  <c r="H2621" i="1"/>
  <c r="Q2620" i="1"/>
  <c r="S2620" i="1" s="1"/>
  <c r="N2620" i="1"/>
  <c r="J2619" i="1"/>
  <c r="I2619" i="1"/>
  <c r="H2619" i="1"/>
  <c r="Q2618" i="1"/>
  <c r="S2618" i="1" s="1"/>
  <c r="N2618" i="1"/>
  <c r="J2617" i="1"/>
  <c r="I2617" i="1"/>
  <c r="Q2616" i="1"/>
  <c r="S2616" i="1" s="1"/>
  <c r="N2616" i="1"/>
  <c r="J2615" i="1"/>
  <c r="I2615" i="1"/>
  <c r="H2615" i="1"/>
  <c r="Q2614" i="1"/>
  <c r="S2614" i="1" s="1"/>
  <c r="N2614" i="1"/>
  <c r="J2613" i="1"/>
  <c r="I2613" i="1"/>
  <c r="H2613" i="1"/>
  <c r="Q2612" i="1"/>
  <c r="S2612" i="1" s="1"/>
  <c r="N2612" i="1"/>
  <c r="J2611" i="1"/>
  <c r="I2611" i="1"/>
  <c r="H2611" i="1"/>
  <c r="Q2610" i="1"/>
  <c r="S2610" i="1" s="1"/>
  <c r="N2610" i="1"/>
  <c r="J2609" i="1"/>
  <c r="I2609" i="1"/>
  <c r="H2609" i="1"/>
  <c r="Q2608" i="1"/>
  <c r="S2608" i="1" s="1"/>
  <c r="N2608" i="1"/>
  <c r="J2607" i="1"/>
  <c r="I2607" i="1"/>
  <c r="H2607" i="1"/>
  <c r="Q2606" i="1"/>
  <c r="S2606" i="1" s="1"/>
  <c r="N2606" i="1"/>
  <c r="Q2595" i="1"/>
  <c r="N2595" i="1"/>
  <c r="K2595" i="1"/>
  <c r="O2595" i="1" s="1"/>
  <c r="H2595" i="1"/>
  <c r="J2594" i="1"/>
  <c r="I2594" i="1"/>
  <c r="Q2593" i="1"/>
  <c r="R2593" i="1" s="1"/>
  <c r="N2593" i="1"/>
  <c r="K2593" i="1"/>
  <c r="O2593" i="1" s="1"/>
  <c r="H2593" i="1"/>
  <c r="Q2591" i="1"/>
  <c r="R2591" i="1" s="1"/>
  <c r="N2591" i="1"/>
  <c r="J2590" i="1"/>
  <c r="I2590" i="1"/>
  <c r="H2590" i="1"/>
  <c r="Q2589" i="1"/>
  <c r="S2589" i="1" s="1"/>
  <c r="N2589" i="1"/>
  <c r="J2588" i="1"/>
  <c r="I2588" i="1"/>
  <c r="H2588" i="1"/>
  <c r="Q2587" i="1"/>
  <c r="R2587" i="1" s="1"/>
  <c r="N2587" i="1"/>
  <c r="J2586" i="1"/>
  <c r="I2586" i="1"/>
  <c r="H2586" i="1"/>
  <c r="Q2585" i="1"/>
  <c r="S2585" i="1" s="1"/>
  <c r="N2585" i="1"/>
  <c r="J2584" i="1"/>
  <c r="I2584" i="1"/>
  <c r="H2584" i="1"/>
  <c r="Q2583" i="1"/>
  <c r="R2583" i="1" s="1"/>
  <c r="N2583" i="1"/>
  <c r="J2582" i="1"/>
  <c r="I2582" i="1"/>
  <c r="H2582" i="1"/>
  <c r="Q2581" i="1"/>
  <c r="S2581" i="1" s="1"/>
  <c r="N2581" i="1"/>
  <c r="J2580" i="1"/>
  <c r="I2580" i="1"/>
  <c r="H2580" i="1"/>
  <c r="Q2579" i="1"/>
  <c r="CD10" i="2" s="1"/>
  <c r="N2579" i="1"/>
  <c r="J2578" i="1"/>
  <c r="I2578" i="1"/>
  <c r="H2578" i="1"/>
  <c r="Q2577" i="1"/>
  <c r="S2577" i="1" s="1"/>
  <c r="N2577" i="1"/>
  <c r="J2572" i="1"/>
  <c r="I2572" i="1"/>
  <c r="H2572" i="1"/>
  <c r="J2570" i="1"/>
  <c r="I2570" i="1"/>
  <c r="H2570" i="1"/>
  <c r="Q2569" i="1"/>
  <c r="S2569" i="1" s="1"/>
  <c r="N2569" i="1"/>
  <c r="J2568" i="1"/>
  <c r="I2568" i="1"/>
  <c r="H2568" i="1"/>
  <c r="Q2567" i="1"/>
  <c r="S2567" i="1" s="1"/>
  <c r="N2567" i="1"/>
  <c r="J2566" i="1"/>
  <c r="I2566" i="1"/>
  <c r="H2566" i="1"/>
  <c r="Q2565" i="1"/>
  <c r="R2565" i="1" s="1"/>
  <c r="N2565" i="1"/>
  <c r="J2564" i="1"/>
  <c r="I2564" i="1"/>
  <c r="H2564" i="1"/>
  <c r="Q2563" i="1"/>
  <c r="S2563" i="1" s="1"/>
  <c r="N2563" i="1"/>
  <c r="J2562" i="1"/>
  <c r="I2562" i="1"/>
  <c r="H2562" i="1"/>
  <c r="Q2561" i="1"/>
  <c r="N2561" i="1"/>
  <c r="J2560" i="1"/>
  <c r="I2560" i="1"/>
  <c r="H2560" i="1"/>
  <c r="Q2559" i="1"/>
  <c r="S2559" i="1" s="1"/>
  <c r="N2559" i="1"/>
  <c r="J2558" i="1"/>
  <c r="I2558" i="1"/>
  <c r="H2558" i="1"/>
  <c r="Q2557" i="1"/>
  <c r="R2557" i="1" s="1"/>
  <c r="N2557" i="1"/>
  <c r="J2556" i="1"/>
  <c r="I2556" i="1"/>
  <c r="H2556" i="1"/>
  <c r="Q2555" i="1"/>
  <c r="S2555" i="1" s="1"/>
  <c r="N2555" i="1"/>
  <c r="Q2549" i="1"/>
  <c r="R2549" i="1" s="1"/>
  <c r="N2549" i="1"/>
  <c r="J2548" i="1"/>
  <c r="I2548" i="1"/>
  <c r="H2548" i="1"/>
  <c r="Q2547" i="1"/>
  <c r="S2547" i="1" s="1"/>
  <c r="N2547" i="1"/>
  <c r="J2546" i="1"/>
  <c r="I2546" i="1"/>
  <c r="H2546" i="1"/>
  <c r="Q2545" i="1"/>
  <c r="R2545" i="1" s="1"/>
  <c r="N2545" i="1"/>
  <c r="J2544" i="1"/>
  <c r="I2544" i="1"/>
  <c r="H2544" i="1"/>
  <c r="Q2543" i="1"/>
  <c r="S2543" i="1" s="1"/>
  <c r="N2543" i="1"/>
  <c r="J2542" i="1"/>
  <c r="I2542" i="1"/>
  <c r="H2542" i="1"/>
  <c r="Q2541" i="1"/>
  <c r="R2541" i="1" s="1"/>
  <c r="N2541" i="1"/>
  <c r="J2540" i="1"/>
  <c r="I2540" i="1"/>
  <c r="H2540" i="1"/>
  <c r="Q2539" i="1"/>
  <c r="S2539" i="1" s="1"/>
  <c r="N2539" i="1"/>
  <c r="J2538" i="1"/>
  <c r="I2538" i="1"/>
  <c r="H2538" i="1"/>
  <c r="Q2537" i="1"/>
  <c r="R2537" i="1" s="1"/>
  <c r="N2537" i="1"/>
  <c r="J2536" i="1"/>
  <c r="I2536" i="1"/>
  <c r="H2536" i="1"/>
  <c r="Q2535" i="1"/>
  <c r="J2534" i="1"/>
  <c r="I2534" i="1"/>
  <c r="H2534" i="1"/>
  <c r="Q2533" i="1"/>
  <c r="J2520" i="1"/>
  <c r="I2520" i="1"/>
  <c r="H2520" i="1"/>
  <c r="Q2511" i="1"/>
  <c r="S2511" i="1" s="1"/>
  <c r="N2511" i="1"/>
  <c r="J2510" i="1"/>
  <c r="H2510" i="1"/>
  <c r="Q2509" i="1"/>
  <c r="S2509" i="1" s="1"/>
  <c r="N2509" i="1"/>
  <c r="J2508" i="1"/>
  <c r="H2508" i="1"/>
  <c r="Q2507" i="1"/>
  <c r="N2507" i="1"/>
  <c r="J2506" i="1"/>
  <c r="H2506" i="1"/>
  <c r="Q2505" i="1"/>
  <c r="R2505" i="1" s="1"/>
  <c r="N2505" i="1"/>
  <c r="J2504" i="1"/>
  <c r="H2504" i="1"/>
  <c r="Q2503" i="1"/>
  <c r="S2503" i="1" s="1"/>
  <c r="N2503" i="1"/>
  <c r="J2502" i="1"/>
  <c r="H2502" i="1"/>
  <c r="Q2501" i="1"/>
  <c r="S2501" i="1" s="1"/>
  <c r="N2501" i="1"/>
  <c r="J2500" i="1"/>
  <c r="H2500" i="1"/>
  <c r="Q2499" i="1"/>
  <c r="N2499" i="1"/>
  <c r="J2498" i="1"/>
  <c r="H2498" i="1"/>
  <c r="Q2497" i="1"/>
  <c r="R2497" i="1" s="1"/>
  <c r="N2497" i="1"/>
  <c r="J2496" i="1"/>
  <c r="I2496" i="1"/>
  <c r="H2496" i="1"/>
  <c r="P2495" i="1"/>
  <c r="L2495" i="1"/>
  <c r="J2494" i="1"/>
  <c r="I2494" i="1"/>
  <c r="H2494" i="1"/>
  <c r="Q2493" i="1"/>
  <c r="S2493" i="1" s="1"/>
  <c r="N2493" i="1"/>
  <c r="J2492" i="1"/>
  <c r="I2492" i="1"/>
  <c r="H2492" i="1"/>
  <c r="Q2491" i="1"/>
  <c r="R2491" i="1" s="1"/>
  <c r="N2491" i="1"/>
  <c r="Q2485" i="1"/>
  <c r="S2485" i="1" s="1"/>
  <c r="Q2478" i="1"/>
  <c r="N2478" i="1"/>
  <c r="J2477" i="1"/>
  <c r="I2477" i="1"/>
  <c r="H2477" i="1"/>
  <c r="Q2476" i="1"/>
  <c r="S2476" i="1" s="1"/>
  <c r="N2476" i="1"/>
  <c r="J2475" i="1"/>
  <c r="I2475" i="1"/>
  <c r="H2475" i="1"/>
  <c r="Q2474" i="1"/>
  <c r="R2474" i="1" s="1"/>
  <c r="N2474" i="1"/>
  <c r="J2473" i="1"/>
  <c r="I2473" i="1"/>
  <c r="H2473" i="1"/>
  <c r="Q2472" i="1"/>
  <c r="S2472" i="1" s="1"/>
  <c r="N2472" i="1"/>
  <c r="J2471" i="1"/>
  <c r="I2471" i="1"/>
  <c r="H2471" i="1"/>
  <c r="Q2470" i="1"/>
  <c r="S2470" i="1" s="1"/>
  <c r="N2470" i="1"/>
  <c r="J2469" i="1"/>
  <c r="I2469" i="1"/>
  <c r="H2469" i="1"/>
  <c r="Q2468" i="1"/>
  <c r="S2468" i="1" s="1"/>
  <c r="N2468" i="1"/>
  <c r="J2467" i="1"/>
  <c r="I2467" i="1"/>
  <c r="H2467" i="1"/>
  <c r="Q2466" i="1"/>
  <c r="S2466" i="1" s="1"/>
  <c r="N2466" i="1"/>
  <c r="J2465" i="1"/>
  <c r="I2465" i="1"/>
  <c r="H2465" i="1"/>
  <c r="Q2464" i="1"/>
  <c r="S2464" i="1" s="1"/>
  <c r="N2464" i="1"/>
  <c r="J2463" i="1"/>
  <c r="I2463" i="1"/>
  <c r="H2463" i="1"/>
  <c r="Q2462" i="1"/>
  <c r="S2462" i="1" s="1"/>
  <c r="N2462" i="1"/>
  <c r="J2461" i="1"/>
  <c r="I2461" i="1"/>
  <c r="H2461" i="1"/>
  <c r="Q2460" i="1"/>
  <c r="S2460" i="1" s="1"/>
  <c r="N2460" i="1"/>
  <c r="J2459" i="1"/>
  <c r="I2459" i="1"/>
  <c r="H2459" i="1"/>
  <c r="Q2458" i="1"/>
  <c r="S2458" i="1" s="1"/>
  <c r="N2458" i="1"/>
  <c r="J2457" i="1"/>
  <c r="I2457" i="1"/>
  <c r="H2457" i="1"/>
  <c r="Q2456" i="1"/>
  <c r="S2456" i="1" s="1"/>
  <c r="N2456" i="1"/>
  <c r="J2455" i="1"/>
  <c r="I2455" i="1"/>
  <c r="H2455" i="1"/>
  <c r="Q2454" i="1"/>
  <c r="S2454" i="1" s="1"/>
  <c r="N2454" i="1"/>
  <c r="Q2446" i="1"/>
  <c r="Q2444" i="1"/>
  <c r="Q2442" i="1"/>
  <c r="Q2440" i="1"/>
  <c r="S2440" i="1" s="1"/>
  <c r="N2440" i="1"/>
  <c r="J2439" i="1"/>
  <c r="I2439" i="1"/>
  <c r="H2439" i="1"/>
  <c r="Q2438" i="1"/>
  <c r="S2438" i="1" s="1"/>
  <c r="N2438" i="1"/>
  <c r="Q2436" i="1"/>
  <c r="J2435" i="1"/>
  <c r="I2435" i="1"/>
  <c r="Q2434" i="1"/>
  <c r="R2434" i="1" s="1"/>
  <c r="N2434" i="1"/>
  <c r="Q2426" i="1"/>
  <c r="Q2424" i="1"/>
  <c r="Q2422" i="1"/>
  <c r="S2422" i="1" s="1"/>
  <c r="J2421" i="1"/>
  <c r="I2421" i="1"/>
  <c r="H2421" i="1"/>
  <c r="Q2420" i="1"/>
  <c r="S2420" i="1" s="1"/>
  <c r="N2420" i="1"/>
  <c r="J2419" i="1"/>
  <c r="I2419" i="1"/>
  <c r="H2419" i="1"/>
  <c r="Q2418" i="1"/>
  <c r="R2418" i="1" s="1"/>
  <c r="N2418" i="1"/>
  <c r="J2417" i="1"/>
  <c r="I2417" i="1"/>
  <c r="Q2416" i="1"/>
  <c r="N2416" i="1"/>
  <c r="H2416" i="1"/>
  <c r="H2417" i="1" s="1"/>
  <c r="Q2414" i="1"/>
  <c r="Q2403" i="1"/>
  <c r="S2403" i="1" s="1"/>
  <c r="N2403" i="1"/>
  <c r="J2402" i="1"/>
  <c r="I2402" i="1"/>
  <c r="H2402" i="1"/>
  <c r="Q2401" i="1"/>
  <c r="R2401" i="1" s="1"/>
  <c r="N2401" i="1"/>
  <c r="J2400" i="1"/>
  <c r="I2400" i="1"/>
  <c r="H2400" i="1"/>
  <c r="Q2399" i="1"/>
  <c r="S2399" i="1" s="1"/>
  <c r="N2399" i="1"/>
  <c r="J2398" i="1"/>
  <c r="I2398" i="1"/>
  <c r="H2398" i="1"/>
  <c r="Q2397" i="1"/>
  <c r="R2397" i="1" s="1"/>
  <c r="N2397" i="1"/>
  <c r="J2396" i="1"/>
  <c r="I2396" i="1"/>
  <c r="H2396" i="1"/>
  <c r="Q2395" i="1"/>
  <c r="S2395" i="1" s="1"/>
  <c r="N2395" i="1"/>
  <c r="J2394" i="1"/>
  <c r="I2394" i="1"/>
  <c r="H2394" i="1"/>
  <c r="Q2393" i="1"/>
  <c r="R2393" i="1" s="1"/>
  <c r="N2393" i="1"/>
  <c r="J2392" i="1"/>
  <c r="H2392" i="1"/>
  <c r="Q2391" i="1"/>
  <c r="S2391" i="1" s="1"/>
  <c r="N2391" i="1"/>
  <c r="Q2358" i="1"/>
  <c r="S2358" i="1" s="1"/>
  <c r="J2357" i="1"/>
  <c r="I2357" i="1"/>
  <c r="Q2356" i="1"/>
  <c r="R2356" i="1" s="1"/>
  <c r="J2355" i="1"/>
  <c r="I2355" i="1"/>
  <c r="Q2354" i="1"/>
  <c r="K2354" i="1"/>
  <c r="O2352" i="1" s="1"/>
  <c r="J2353" i="1"/>
  <c r="I2353" i="1"/>
  <c r="Q2352" i="1"/>
  <c r="K2352" i="1"/>
  <c r="O2350" i="1" s="1"/>
  <c r="J2351" i="1"/>
  <c r="I2351" i="1"/>
  <c r="P2350" i="1"/>
  <c r="N2337" i="1"/>
  <c r="Q2337" i="1"/>
  <c r="J2336" i="1"/>
  <c r="I2336" i="1"/>
  <c r="H2336" i="1"/>
  <c r="N2335" i="1"/>
  <c r="Q2335" i="1"/>
  <c r="J2334" i="1"/>
  <c r="I2334" i="1"/>
  <c r="H2334" i="1"/>
  <c r="N2333" i="1"/>
  <c r="Q2333" i="1"/>
  <c r="J2332" i="1"/>
  <c r="I2332" i="1"/>
  <c r="H2332" i="1"/>
  <c r="P2331" i="1"/>
  <c r="M2331" i="1" s="1"/>
  <c r="O2331" i="1" s="1"/>
  <c r="N2331" i="1"/>
  <c r="Q2325" i="1"/>
  <c r="N2325" i="1"/>
  <c r="J2324" i="1"/>
  <c r="I2324" i="1"/>
  <c r="Q2323" i="1"/>
  <c r="N2323" i="1"/>
  <c r="J2322" i="1"/>
  <c r="I2322" i="1"/>
  <c r="Q2321" i="1"/>
  <c r="R2321" i="1" s="1"/>
  <c r="N2321" i="1"/>
  <c r="J2320" i="1"/>
  <c r="I2320" i="1"/>
  <c r="Q2319" i="1"/>
  <c r="R2319" i="1" s="1"/>
  <c r="N2319" i="1"/>
  <c r="J2318" i="1"/>
  <c r="I2318" i="1"/>
  <c r="Q2317" i="1"/>
  <c r="N2317" i="1"/>
  <c r="J2316" i="1"/>
  <c r="I2316" i="1"/>
  <c r="Q2315" i="1"/>
  <c r="N2315" i="1"/>
  <c r="J2314" i="1"/>
  <c r="I2314" i="1"/>
  <c r="Q2313" i="1"/>
  <c r="R2313" i="1" s="1"/>
  <c r="N2313" i="1"/>
  <c r="J2312" i="1"/>
  <c r="I2312" i="1"/>
  <c r="Q2311" i="1"/>
  <c r="R2311" i="1" s="1"/>
  <c r="N2311" i="1"/>
  <c r="J2310" i="1"/>
  <c r="I2310" i="1"/>
  <c r="Q2309" i="1"/>
  <c r="N2309" i="1"/>
  <c r="J2308" i="1"/>
  <c r="I2308" i="1"/>
  <c r="Q2307" i="1"/>
  <c r="N2307" i="1"/>
  <c r="J2306" i="1"/>
  <c r="I2306" i="1"/>
  <c r="Q2305" i="1"/>
  <c r="R2305" i="1" s="1"/>
  <c r="N2305" i="1"/>
  <c r="Q2283" i="1"/>
  <c r="S2283" i="1" s="1"/>
  <c r="N2283" i="1"/>
  <c r="J2282" i="1"/>
  <c r="I2282" i="1"/>
  <c r="H2282" i="1"/>
  <c r="Q2281" i="1"/>
  <c r="S2281" i="1" s="1"/>
  <c r="N2281" i="1"/>
  <c r="J2280" i="1"/>
  <c r="I2280" i="1"/>
  <c r="H2280" i="1"/>
  <c r="Q2279" i="1"/>
  <c r="S2279" i="1" s="1"/>
  <c r="N2279" i="1"/>
  <c r="J2278" i="1"/>
  <c r="I2278" i="1"/>
  <c r="H2278" i="1"/>
  <c r="Q2277" i="1"/>
  <c r="N2277" i="1"/>
  <c r="J2276" i="1"/>
  <c r="I2276" i="1"/>
  <c r="H2276" i="1"/>
  <c r="Q2275" i="1"/>
  <c r="N2275" i="1"/>
  <c r="J2274" i="1"/>
  <c r="I2274" i="1"/>
  <c r="H2274" i="1"/>
  <c r="Q2273" i="1"/>
  <c r="N2273" i="1"/>
  <c r="J2272" i="1"/>
  <c r="I2272" i="1"/>
  <c r="H2272" i="1"/>
  <c r="Q2271" i="1"/>
  <c r="S2271" i="1" s="1"/>
  <c r="N2271" i="1"/>
  <c r="J2270" i="1"/>
  <c r="I2270" i="1"/>
  <c r="H2270" i="1"/>
  <c r="Q2269" i="1"/>
  <c r="S2269" i="1" s="1"/>
  <c r="N2269" i="1"/>
  <c r="J2268" i="1"/>
  <c r="I2268" i="1"/>
  <c r="H2268" i="1"/>
  <c r="Q2267" i="1"/>
  <c r="S2267" i="1" s="1"/>
  <c r="N2267" i="1"/>
  <c r="J2266" i="1"/>
  <c r="I2266" i="1"/>
  <c r="H2266" i="1"/>
  <c r="Q2265" i="1"/>
  <c r="S2265" i="1" s="1"/>
  <c r="N2265" i="1"/>
  <c r="J2264" i="1"/>
  <c r="I2264" i="1"/>
  <c r="H2264" i="1"/>
  <c r="Q2263" i="1"/>
  <c r="S2263" i="1" s="1"/>
  <c r="N2263" i="1"/>
  <c r="J2262" i="1"/>
  <c r="I2262" i="1"/>
  <c r="H2262" i="1"/>
  <c r="Q2261" i="1"/>
  <c r="R2261" i="1" s="1"/>
  <c r="N2261" i="1"/>
  <c r="J2260" i="1"/>
  <c r="I2260" i="1"/>
  <c r="H2260" i="1"/>
  <c r="Q2259" i="1"/>
  <c r="CD14" i="2" s="1"/>
  <c r="CE14" i="2" s="1"/>
  <c r="N2259" i="1"/>
  <c r="J2258" i="1"/>
  <c r="I2258" i="1"/>
  <c r="H2258" i="1"/>
  <c r="Q2257" i="1"/>
  <c r="R2257" i="1" s="1"/>
  <c r="N2257" i="1"/>
  <c r="J2246" i="1"/>
  <c r="I2246" i="1"/>
  <c r="H2246" i="1"/>
  <c r="N2245" i="1"/>
  <c r="J2244" i="1"/>
  <c r="I2244" i="1"/>
  <c r="H2244" i="1"/>
  <c r="N2243" i="1"/>
  <c r="J2242" i="1"/>
  <c r="I2242" i="1"/>
  <c r="H2242" i="1"/>
  <c r="Q2241" i="1"/>
  <c r="S2241" i="1" s="1"/>
  <c r="N2241" i="1"/>
  <c r="J2240" i="1"/>
  <c r="H2240" i="1"/>
  <c r="Q2239" i="1"/>
  <c r="S2239" i="1" s="1"/>
  <c r="N2239" i="1"/>
  <c r="N2208" i="1"/>
  <c r="J2207" i="1"/>
  <c r="I2207" i="1"/>
  <c r="N2206" i="1"/>
  <c r="J2205" i="1"/>
  <c r="I2205" i="1"/>
  <c r="N2204" i="1"/>
  <c r="J2203" i="1"/>
  <c r="I2203" i="1"/>
  <c r="Q2202" i="1"/>
  <c r="N2202" i="1"/>
  <c r="J2201" i="1"/>
  <c r="I2201" i="1"/>
  <c r="H2201" i="1"/>
  <c r="Q2200" i="1"/>
  <c r="S2200" i="1" s="1"/>
  <c r="N2200" i="1"/>
  <c r="J2199" i="1"/>
  <c r="I2199" i="1"/>
  <c r="H2199" i="1"/>
  <c r="Q2198" i="1"/>
  <c r="R2198" i="1" s="1"/>
  <c r="N2198" i="1"/>
  <c r="I2197" i="1"/>
  <c r="H2197" i="1"/>
  <c r="P2196" i="1"/>
  <c r="J2196" i="1"/>
  <c r="J2197" i="1" s="1"/>
  <c r="Q2194" i="1"/>
  <c r="J2194" i="1"/>
  <c r="J2193" i="1" s="1"/>
  <c r="H2194" i="1"/>
  <c r="H2195" i="1" s="1"/>
  <c r="Q2192" i="1"/>
  <c r="S2192" i="1" s="1"/>
  <c r="N2192" i="1"/>
  <c r="Q2144" i="1"/>
  <c r="S2144" i="1" s="1"/>
  <c r="N2144" i="1"/>
  <c r="J2143" i="1"/>
  <c r="I2143" i="1"/>
  <c r="H2143" i="1"/>
  <c r="Q2142" i="1"/>
  <c r="S2142" i="1" s="1"/>
  <c r="N2142" i="1"/>
  <c r="J2141" i="1"/>
  <c r="I2141" i="1"/>
  <c r="H2141" i="1"/>
  <c r="Q2140" i="1"/>
  <c r="S2140" i="1" s="1"/>
  <c r="N2140" i="1"/>
  <c r="J2139" i="1"/>
  <c r="I2139" i="1"/>
  <c r="H2139" i="1"/>
  <c r="Q2138" i="1"/>
  <c r="S2138" i="1" s="1"/>
  <c r="N2138" i="1"/>
  <c r="J2137" i="1"/>
  <c r="I2137" i="1"/>
  <c r="H2137" i="1"/>
  <c r="Q2136" i="1"/>
  <c r="S2136" i="1" s="1"/>
  <c r="N2136" i="1"/>
  <c r="Q2123" i="1"/>
  <c r="S2123" i="1" s="1"/>
  <c r="N2123" i="1"/>
  <c r="J2122" i="1"/>
  <c r="I2122" i="1"/>
  <c r="H2122" i="1"/>
  <c r="Q2121" i="1"/>
  <c r="R2121" i="1" s="1"/>
  <c r="N2121" i="1"/>
  <c r="J2120" i="1"/>
  <c r="I2120" i="1"/>
  <c r="H2120" i="1"/>
  <c r="Q2119" i="1"/>
  <c r="S2119" i="1" s="1"/>
  <c r="N2119" i="1"/>
  <c r="J2118" i="1"/>
  <c r="I2118" i="1"/>
  <c r="H2118" i="1"/>
  <c r="Q2117" i="1"/>
  <c r="R2117" i="1" s="1"/>
  <c r="N2117" i="1"/>
  <c r="J2116" i="1"/>
  <c r="I2116" i="1"/>
  <c r="H2116" i="1"/>
  <c r="Q2115" i="1"/>
  <c r="N2115" i="1"/>
  <c r="J2114" i="1"/>
  <c r="I2114" i="1"/>
  <c r="H2114" i="1"/>
  <c r="Q2113" i="1"/>
  <c r="R2113" i="1" s="1"/>
  <c r="N2113" i="1"/>
  <c r="J2112" i="1"/>
  <c r="I2112" i="1"/>
  <c r="H2112" i="1"/>
  <c r="Q2111" i="1"/>
  <c r="R2111" i="1" s="1"/>
  <c r="N2111" i="1"/>
  <c r="J2110" i="1"/>
  <c r="I2110" i="1"/>
  <c r="H2110" i="1"/>
  <c r="Q2109" i="1"/>
  <c r="R2109" i="1" s="1"/>
  <c r="N2109" i="1"/>
  <c r="J2108" i="1"/>
  <c r="I2108" i="1"/>
  <c r="H2108" i="1"/>
  <c r="Q2107" i="1"/>
  <c r="N2107" i="1"/>
  <c r="J2106" i="1"/>
  <c r="I2106" i="1"/>
  <c r="H2106" i="1"/>
  <c r="P2105" i="1"/>
  <c r="N2105" i="1"/>
  <c r="J2104" i="1"/>
  <c r="I2104" i="1"/>
  <c r="H2104" i="1"/>
  <c r="Q2103" i="1"/>
  <c r="R2103" i="1" s="1"/>
  <c r="N2103" i="1"/>
  <c r="J2102" i="1"/>
  <c r="I2102" i="1"/>
  <c r="H2102" i="1"/>
  <c r="Q2101" i="1"/>
  <c r="S2101" i="1" s="1"/>
  <c r="N2101" i="1"/>
  <c r="J2100" i="1"/>
  <c r="I2100" i="1"/>
  <c r="Q2099" i="1"/>
  <c r="CD4" i="2" s="1"/>
  <c r="N2099" i="1"/>
  <c r="H2099" i="1"/>
  <c r="H2100" i="1" s="1"/>
  <c r="J2098" i="1"/>
  <c r="I2098" i="1"/>
  <c r="Q2097" i="1"/>
  <c r="Q2089" i="1"/>
  <c r="Q2087" i="1"/>
  <c r="Q2085" i="1"/>
  <c r="Q2083" i="1"/>
  <c r="Q2081" i="1"/>
  <c r="R2081" i="1" s="1"/>
  <c r="N2081" i="1"/>
  <c r="K2081" i="1"/>
  <c r="U2081" i="1" s="1"/>
  <c r="J2080" i="1"/>
  <c r="I2080" i="1"/>
  <c r="H2080" i="1"/>
  <c r="Q2079" i="1"/>
  <c r="R2079" i="1" s="1"/>
  <c r="N2079" i="1"/>
  <c r="K2079" i="1"/>
  <c r="U2079" i="1" s="1"/>
  <c r="J2078" i="1"/>
  <c r="I2078" i="1"/>
  <c r="H2078" i="1"/>
  <c r="Q2077" i="1"/>
  <c r="S2077" i="1" s="1"/>
  <c r="N2077" i="1"/>
  <c r="J2076" i="1"/>
  <c r="I2076" i="1"/>
  <c r="Q2075" i="1"/>
  <c r="R2075" i="1" s="1"/>
  <c r="N2075" i="1"/>
  <c r="H2075" i="1"/>
  <c r="H2076" i="1" s="1"/>
  <c r="J2074" i="1"/>
  <c r="I2074" i="1"/>
  <c r="Q2073" i="1"/>
  <c r="S2073" i="1" s="1"/>
  <c r="N2073" i="1"/>
  <c r="I2072" i="1"/>
  <c r="Q2071" i="1"/>
  <c r="N2071" i="1"/>
  <c r="Q2063" i="1"/>
  <c r="Q2055" i="1"/>
  <c r="Q2044" i="1"/>
  <c r="S2044" i="1" s="1"/>
  <c r="N2044" i="1"/>
  <c r="J2043" i="1"/>
  <c r="I2043" i="1"/>
  <c r="H2043" i="1"/>
  <c r="Q2042" i="1"/>
  <c r="S2042" i="1" s="1"/>
  <c r="N2042" i="1"/>
  <c r="J2041" i="1"/>
  <c r="I2041" i="1"/>
  <c r="H2041" i="1"/>
  <c r="Q2040" i="1"/>
  <c r="S2040" i="1" s="1"/>
  <c r="N2040" i="1"/>
  <c r="J2039" i="1"/>
  <c r="I2039" i="1"/>
  <c r="H2039" i="1"/>
  <c r="Q2038" i="1"/>
  <c r="R2038" i="1" s="1"/>
  <c r="N2038" i="1"/>
  <c r="J2037" i="1"/>
  <c r="I2037" i="1"/>
  <c r="H2037" i="1"/>
  <c r="Q2036" i="1"/>
  <c r="S2036" i="1" s="1"/>
  <c r="N2036" i="1"/>
  <c r="J2035" i="1"/>
  <c r="I2035" i="1"/>
  <c r="H2035" i="1"/>
  <c r="Q2034" i="1"/>
  <c r="S2034" i="1" s="1"/>
  <c r="N2034" i="1"/>
  <c r="Q2018" i="1"/>
  <c r="S2018" i="1" s="1"/>
  <c r="J2017" i="1"/>
  <c r="I2017" i="1"/>
  <c r="H2017" i="1"/>
  <c r="Q2016" i="1"/>
  <c r="S2016" i="1" s="1"/>
  <c r="J2015" i="1"/>
  <c r="I2015" i="1"/>
  <c r="H2015" i="1"/>
  <c r="Q2014" i="1"/>
  <c r="S2014" i="1" s="1"/>
  <c r="J2013" i="1"/>
  <c r="I2013" i="1"/>
  <c r="H2013" i="1"/>
  <c r="Q2012" i="1"/>
  <c r="S2012" i="1" s="1"/>
  <c r="J2011" i="1"/>
  <c r="I2011" i="1"/>
  <c r="H2011" i="1"/>
  <c r="Q2010" i="1"/>
  <c r="S2010" i="1" s="1"/>
  <c r="J2009" i="1"/>
  <c r="I2009" i="1"/>
  <c r="H2009" i="1"/>
  <c r="Q2008" i="1"/>
  <c r="R2008" i="1" s="1"/>
  <c r="J2007" i="1"/>
  <c r="I2007" i="1"/>
  <c r="H2007" i="1"/>
  <c r="Q2006" i="1"/>
  <c r="S2006" i="1" s="1"/>
  <c r="J2005" i="1"/>
  <c r="I2005" i="1"/>
  <c r="H2005" i="1"/>
  <c r="Q2004" i="1"/>
  <c r="R2004" i="1" s="1"/>
  <c r="J2003" i="1"/>
  <c r="I2003" i="1"/>
  <c r="H2003" i="1"/>
  <c r="Q2002" i="1"/>
  <c r="S2002" i="1" s="1"/>
  <c r="J2001" i="1"/>
  <c r="I2001" i="1"/>
  <c r="H2001" i="1"/>
  <c r="Q2000" i="1"/>
  <c r="S2000" i="1" s="1"/>
  <c r="J1999" i="1"/>
  <c r="I1999" i="1"/>
  <c r="Q1998" i="1"/>
  <c r="J1986" i="1"/>
  <c r="I1986" i="1"/>
  <c r="H1986" i="1"/>
  <c r="Q1985" i="1"/>
  <c r="N1985" i="1"/>
  <c r="J1984" i="1"/>
  <c r="I1984" i="1"/>
  <c r="H1984" i="1"/>
  <c r="Q1983" i="1"/>
  <c r="R1983" i="1" s="1"/>
  <c r="N1983" i="1"/>
  <c r="J1982" i="1"/>
  <c r="I1982" i="1"/>
  <c r="H1982" i="1"/>
  <c r="Q1981" i="1"/>
  <c r="N1981" i="1"/>
  <c r="J1980" i="1"/>
  <c r="I1980" i="1"/>
  <c r="H1980" i="1"/>
  <c r="Q1979" i="1"/>
  <c r="R1979" i="1" s="1"/>
  <c r="N1979" i="1"/>
  <c r="J1978" i="1"/>
  <c r="I1978" i="1"/>
  <c r="H1978" i="1"/>
  <c r="P1977" i="1"/>
  <c r="N1977" i="1"/>
  <c r="J1976" i="1"/>
  <c r="I1976" i="1"/>
  <c r="H1976" i="1"/>
  <c r="N1975" i="1"/>
  <c r="J1974" i="1"/>
  <c r="I1974" i="1"/>
  <c r="H1974" i="1"/>
  <c r="N1973" i="1"/>
  <c r="J1972" i="1"/>
  <c r="I1972" i="1"/>
  <c r="H1972" i="1"/>
  <c r="N1971" i="1"/>
  <c r="J1970" i="1"/>
  <c r="I1970" i="1"/>
  <c r="N1969" i="1"/>
  <c r="N1964" i="1"/>
  <c r="Q1964" i="1"/>
  <c r="J1963" i="1"/>
  <c r="H1963" i="1"/>
  <c r="Q1962" i="1"/>
  <c r="S1962" i="1" s="1"/>
  <c r="N1962" i="1"/>
  <c r="Q1956" i="1"/>
  <c r="S1956" i="1" s="1"/>
  <c r="J1955" i="1"/>
  <c r="H1955" i="1"/>
  <c r="Q1954" i="1"/>
  <c r="S1954" i="1" s="1"/>
  <c r="Q1952" i="1"/>
  <c r="Q1945" i="1"/>
  <c r="R1945" i="1" s="1"/>
  <c r="N1945" i="1"/>
  <c r="J1944" i="1"/>
  <c r="I1944" i="1"/>
  <c r="H1944" i="1"/>
  <c r="Q1943" i="1"/>
  <c r="R1943" i="1" s="1"/>
  <c r="N1943" i="1"/>
  <c r="J1942" i="1"/>
  <c r="I1942" i="1"/>
  <c r="H1942" i="1"/>
  <c r="Q1941" i="1"/>
  <c r="S1941" i="1" s="1"/>
  <c r="N1941" i="1"/>
  <c r="J1940" i="1"/>
  <c r="I1940" i="1"/>
  <c r="H1940" i="1"/>
  <c r="Q1939" i="1"/>
  <c r="R1939" i="1" s="1"/>
  <c r="N1939" i="1"/>
  <c r="J1938" i="1"/>
  <c r="I1938" i="1"/>
  <c r="H1938" i="1"/>
  <c r="Q1937" i="1"/>
  <c r="S1937" i="1" s="1"/>
  <c r="N1937" i="1"/>
  <c r="J1936" i="1"/>
  <c r="I1936" i="1"/>
  <c r="H1936" i="1"/>
  <c r="Q1935" i="1"/>
  <c r="R1935" i="1" s="1"/>
  <c r="N1935" i="1"/>
  <c r="J1934" i="1"/>
  <c r="I1934" i="1"/>
  <c r="Q1933" i="1"/>
  <c r="R1933" i="1" s="1"/>
  <c r="N1933" i="1"/>
  <c r="H1933" i="1"/>
  <c r="H1934" i="1" s="1"/>
  <c r="J1932" i="1"/>
  <c r="I1932" i="1"/>
  <c r="P1931" i="1"/>
  <c r="N1931" i="1"/>
  <c r="J1930" i="1"/>
  <c r="I1930" i="1"/>
  <c r="P1929" i="1"/>
  <c r="N1929" i="1"/>
  <c r="J1928" i="1"/>
  <c r="I1928" i="1"/>
  <c r="P1927" i="1"/>
  <c r="N1927" i="1"/>
  <c r="Q1923" i="1"/>
  <c r="R1923" i="1" s="1"/>
  <c r="N1923" i="1"/>
  <c r="J1922" i="1"/>
  <c r="I1922" i="1"/>
  <c r="H1922" i="1"/>
  <c r="Q1921" i="1"/>
  <c r="S1921" i="1" s="1"/>
  <c r="N1921" i="1"/>
  <c r="J1920" i="1"/>
  <c r="I1920" i="1"/>
  <c r="H1920" i="1"/>
  <c r="Q1919" i="1"/>
  <c r="R1919" i="1" s="1"/>
  <c r="N1919" i="1"/>
  <c r="J1918" i="1"/>
  <c r="I1918" i="1"/>
  <c r="H1918" i="1"/>
  <c r="Q1917" i="1"/>
  <c r="Q1915" i="1"/>
  <c r="Q1911" i="1"/>
  <c r="S1911" i="1" s="1"/>
  <c r="N1911" i="1"/>
  <c r="J1910" i="1"/>
  <c r="I1910" i="1"/>
  <c r="Q1909" i="1"/>
  <c r="R1909" i="1" s="1"/>
  <c r="N1909" i="1"/>
  <c r="H1909" i="1"/>
  <c r="H1910" i="1" s="1"/>
  <c r="J1908" i="1"/>
  <c r="I1908" i="1"/>
  <c r="Q1907" i="1"/>
  <c r="R1907" i="1" s="1"/>
  <c r="N1907" i="1"/>
  <c r="H1907" i="1"/>
  <c r="U1907" i="1" s="1"/>
  <c r="J1906" i="1"/>
  <c r="I1906" i="1"/>
  <c r="Q1905" i="1"/>
  <c r="R1905" i="1" s="1"/>
  <c r="N1905" i="1"/>
  <c r="Q1903" i="1"/>
  <c r="Q1899" i="1"/>
  <c r="S1899" i="1" s="1"/>
  <c r="N1899" i="1"/>
  <c r="J1898" i="1"/>
  <c r="I1898" i="1"/>
  <c r="H1898" i="1"/>
  <c r="Q1897" i="1"/>
  <c r="R1897" i="1" s="1"/>
  <c r="N1897" i="1"/>
  <c r="J1896" i="1"/>
  <c r="I1896" i="1"/>
  <c r="H1896" i="1"/>
  <c r="Q1895" i="1"/>
  <c r="S1895" i="1" s="1"/>
  <c r="N1895" i="1"/>
  <c r="J1894" i="1"/>
  <c r="I1894" i="1"/>
  <c r="H1894" i="1"/>
  <c r="U1894" i="1" s="1"/>
  <c r="Q1893" i="1"/>
  <c r="R1893" i="1" s="1"/>
  <c r="N1893" i="1"/>
  <c r="J1892" i="1"/>
  <c r="I1892" i="1"/>
  <c r="H1892" i="1"/>
  <c r="Q1891" i="1"/>
  <c r="S1891" i="1" s="1"/>
  <c r="N1891" i="1"/>
  <c r="Q1889" i="1"/>
  <c r="R1889" i="1" s="1"/>
  <c r="Q1884" i="1"/>
  <c r="S1884" i="1" s="1"/>
  <c r="N1884" i="1"/>
  <c r="Q1883" i="1"/>
  <c r="J1883" i="1"/>
  <c r="I1883" i="1"/>
  <c r="H1883" i="1"/>
  <c r="Q1882" i="1"/>
  <c r="S1882" i="1" s="1"/>
  <c r="N1882" i="1"/>
  <c r="Q1881" i="1"/>
  <c r="J1881" i="1"/>
  <c r="I1881" i="1"/>
  <c r="H1881" i="1"/>
  <c r="Q1880" i="1"/>
  <c r="S1880" i="1" s="1"/>
  <c r="N1880" i="1"/>
  <c r="J1879" i="1"/>
  <c r="I1879" i="1"/>
  <c r="H1879" i="1"/>
  <c r="Q1878" i="1"/>
  <c r="S1878" i="1" s="1"/>
  <c r="N1878" i="1"/>
  <c r="J1877" i="1"/>
  <c r="I1877" i="1"/>
  <c r="H1877" i="1"/>
  <c r="Q1876" i="1"/>
  <c r="R1876" i="1" s="1"/>
  <c r="N1876" i="1"/>
  <c r="J1875" i="1"/>
  <c r="I1875" i="1"/>
  <c r="P1874" i="1"/>
  <c r="N1874" i="1"/>
  <c r="J1873" i="1"/>
  <c r="I1873" i="1"/>
  <c r="Q1872" i="1"/>
  <c r="N1872" i="1"/>
  <c r="Q1868" i="1"/>
  <c r="R1868" i="1" s="1"/>
  <c r="Q1866" i="1"/>
  <c r="R1866" i="1" s="1"/>
  <c r="J1865" i="1"/>
  <c r="I1865" i="1"/>
  <c r="H1865" i="1"/>
  <c r="Q1864" i="1"/>
  <c r="R1864" i="1" s="1"/>
  <c r="N1864" i="1"/>
  <c r="J1863" i="1"/>
  <c r="I1863" i="1"/>
  <c r="H1863" i="1"/>
  <c r="Q1862" i="1"/>
  <c r="R1862" i="1" s="1"/>
  <c r="N1862" i="1"/>
  <c r="J1861" i="1"/>
  <c r="I1861" i="1"/>
  <c r="H1861" i="1"/>
  <c r="Q1860" i="1"/>
  <c r="R1860" i="1" s="1"/>
  <c r="N1860" i="1"/>
  <c r="J1859" i="1"/>
  <c r="I1859" i="1"/>
  <c r="H1859" i="1"/>
  <c r="Q1858" i="1"/>
  <c r="S1858" i="1" s="1"/>
  <c r="N1858" i="1"/>
  <c r="J1857" i="1"/>
  <c r="I1857" i="1"/>
  <c r="H1857" i="1"/>
  <c r="Q1856" i="1"/>
  <c r="S1856" i="1" s="1"/>
  <c r="N1856" i="1"/>
  <c r="Q1840" i="1"/>
  <c r="Q1838" i="1"/>
  <c r="Q1836" i="1"/>
  <c r="S1836" i="1" s="1"/>
  <c r="N1836" i="1"/>
  <c r="J1835" i="1"/>
  <c r="I1835" i="1"/>
  <c r="H1835" i="1"/>
  <c r="Q1834" i="1"/>
  <c r="S1834" i="1" s="1"/>
  <c r="J1833" i="1"/>
  <c r="I1833" i="1"/>
  <c r="H1833" i="1"/>
  <c r="Q1832" i="1"/>
  <c r="S1832" i="1" s="1"/>
  <c r="J1831" i="1"/>
  <c r="I1831" i="1"/>
  <c r="H1831" i="1"/>
  <c r="Q1830" i="1"/>
  <c r="S1830" i="1" s="1"/>
  <c r="J1829" i="1"/>
  <c r="H1829" i="1"/>
  <c r="Q1828" i="1"/>
  <c r="H1827" i="1"/>
  <c r="Q1826" i="1"/>
  <c r="S1826" i="1" s="1"/>
  <c r="Q1818" i="1"/>
  <c r="R1818" i="1" s="1"/>
  <c r="N1818" i="1"/>
  <c r="J1817" i="1"/>
  <c r="I1817" i="1"/>
  <c r="Q1816" i="1"/>
  <c r="S1816" i="1" s="1"/>
  <c r="N1816" i="1"/>
  <c r="J1815" i="1"/>
  <c r="I1815" i="1"/>
  <c r="H1815" i="1"/>
  <c r="Q1814" i="1"/>
  <c r="R1814" i="1" s="1"/>
  <c r="N1814" i="1"/>
  <c r="J1813" i="1"/>
  <c r="I1813" i="1"/>
  <c r="H1813" i="1"/>
  <c r="Q1812" i="1"/>
  <c r="S1812" i="1" s="1"/>
  <c r="N1812" i="1"/>
  <c r="J1811" i="1"/>
  <c r="I1811" i="1"/>
  <c r="H1811" i="1"/>
  <c r="Q1810" i="1"/>
  <c r="R1810" i="1" s="1"/>
  <c r="N1810" i="1"/>
  <c r="J1809" i="1"/>
  <c r="I1809" i="1"/>
  <c r="H1809" i="1"/>
  <c r="Q1808" i="1"/>
  <c r="S1808" i="1" s="1"/>
  <c r="N1808" i="1"/>
  <c r="J1807" i="1"/>
  <c r="I1807" i="1"/>
  <c r="H1807" i="1"/>
  <c r="Q1806" i="1"/>
  <c r="R1806" i="1" s="1"/>
  <c r="N1806" i="1"/>
  <c r="J1805" i="1"/>
  <c r="I1805" i="1"/>
  <c r="H1805" i="1"/>
  <c r="Q1804" i="1"/>
  <c r="S1804" i="1" s="1"/>
  <c r="N1804" i="1"/>
  <c r="J1803" i="1"/>
  <c r="I1803" i="1"/>
  <c r="H1803" i="1"/>
  <c r="Q1802" i="1"/>
  <c r="S1802" i="1" s="1"/>
  <c r="N1802" i="1"/>
  <c r="J1801" i="1"/>
  <c r="I1801" i="1"/>
  <c r="H1801" i="1"/>
  <c r="Q1800" i="1"/>
  <c r="S1800" i="1" s="1"/>
  <c r="N1800" i="1"/>
  <c r="J1799" i="1"/>
  <c r="I1799" i="1"/>
  <c r="H1799" i="1"/>
  <c r="Q1798" i="1"/>
  <c r="S1798" i="1" s="1"/>
  <c r="N1798" i="1"/>
  <c r="J1797" i="1"/>
  <c r="I1797" i="1"/>
  <c r="H1797" i="1"/>
  <c r="Q1796" i="1"/>
  <c r="S1796" i="1" s="1"/>
  <c r="N1796" i="1"/>
  <c r="J1795" i="1"/>
  <c r="I1795" i="1"/>
  <c r="H1795" i="1"/>
  <c r="Q1794" i="1"/>
  <c r="R1794" i="1" s="1"/>
  <c r="N1794" i="1"/>
  <c r="J1793" i="1"/>
  <c r="I1793" i="1"/>
  <c r="H1793" i="1"/>
  <c r="Q1792" i="1"/>
  <c r="S1792" i="1" s="1"/>
  <c r="N1792" i="1"/>
  <c r="J1791" i="1"/>
  <c r="I1791" i="1"/>
  <c r="H1791" i="1"/>
  <c r="Q1790" i="1"/>
  <c r="CD7" i="2" s="1"/>
  <c r="CE7" i="2" s="1"/>
  <c r="N1790" i="1"/>
  <c r="J1789" i="1"/>
  <c r="H1789" i="1"/>
  <c r="Q1788" i="1"/>
  <c r="S1788" i="1" s="1"/>
  <c r="N1788" i="1"/>
  <c r="I1789" i="1"/>
  <c r="Q1779" i="1"/>
  <c r="R1779" i="1" s="1"/>
  <c r="N1779" i="1"/>
  <c r="J1778" i="1"/>
  <c r="I1778" i="1"/>
  <c r="H1778" i="1"/>
  <c r="Q1777" i="1"/>
  <c r="S1777" i="1" s="1"/>
  <c r="N1777" i="1"/>
  <c r="J1776" i="1"/>
  <c r="I1776" i="1"/>
  <c r="H1776" i="1"/>
  <c r="Q1775" i="1"/>
  <c r="R1775" i="1" s="1"/>
  <c r="N1775" i="1"/>
  <c r="J1774" i="1"/>
  <c r="I1774" i="1"/>
  <c r="H1774" i="1"/>
  <c r="Q1773" i="1"/>
  <c r="S1773" i="1" s="1"/>
  <c r="N1773" i="1"/>
  <c r="J1772" i="1"/>
  <c r="I1772" i="1"/>
  <c r="H1772" i="1"/>
  <c r="Q1771" i="1"/>
  <c r="R1771" i="1" s="1"/>
  <c r="N1771" i="1"/>
  <c r="J1770" i="1"/>
  <c r="I1770" i="1"/>
  <c r="H1770" i="1"/>
  <c r="Q1769" i="1"/>
  <c r="S1769" i="1" s="1"/>
  <c r="N1769" i="1"/>
  <c r="J1768" i="1"/>
  <c r="I1768" i="1"/>
  <c r="H1768" i="1"/>
  <c r="Q1767" i="1"/>
  <c r="R1767" i="1" s="1"/>
  <c r="N1767" i="1"/>
  <c r="J1766" i="1"/>
  <c r="I1766" i="1"/>
  <c r="H1766" i="1"/>
  <c r="Q1765" i="1"/>
  <c r="S1765" i="1" s="1"/>
  <c r="N1765" i="1"/>
  <c r="Q1761" i="1"/>
  <c r="R1761" i="1" s="1"/>
  <c r="N1761" i="1"/>
  <c r="J1760" i="1"/>
  <c r="I1760" i="1"/>
  <c r="H1760" i="1"/>
  <c r="Q1759" i="1"/>
  <c r="R1759" i="1" s="1"/>
  <c r="N1759" i="1"/>
  <c r="J1758" i="1"/>
  <c r="I1758" i="1"/>
  <c r="H1758" i="1"/>
  <c r="Q1757" i="1"/>
  <c r="R1757" i="1" s="1"/>
  <c r="N1757" i="1"/>
  <c r="J1756" i="1"/>
  <c r="I1756" i="1"/>
  <c r="H1756" i="1"/>
  <c r="Q1755" i="1"/>
  <c r="S1755" i="1" s="1"/>
  <c r="N1755" i="1"/>
  <c r="J1754" i="1"/>
  <c r="I1754" i="1"/>
  <c r="H1754" i="1"/>
  <c r="Q1753" i="1"/>
  <c r="R1753" i="1" s="1"/>
  <c r="N1753" i="1"/>
  <c r="J1752" i="1"/>
  <c r="I1752" i="1"/>
  <c r="H1752" i="1"/>
  <c r="Q1751" i="1"/>
  <c r="S1751" i="1" s="1"/>
  <c r="N1751" i="1"/>
  <c r="J1750" i="1"/>
  <c r="I1750" i="1"/>
  <c r="H1750" i="1"/>
  <c r="Q1749" i="1"/>
  <c r="R1749" i="1" s="1"/>
  <c r="N1749" i="1"/>
  <c r="J1748" i="1"/>
  <c r="I1748" i="1"/>
  <c r="H1748" i="1"/>
  <c r="Q1747" i="1"/>
  <c r="R1747" i="1" s="1"/>
  <c r="N1747" i="1"/>
  <c r="J1746" i="1"/>
  <c r="I1746" i="1"/>
  <c r="H1746" i="1"/>
  <c r="Q1745" i="1"/>
  <c r="R1745" i="1" s="1"/>
  <c r="N1745" i="1"/>
  <c r="J1744" i="1"/>
  <c r="I1744" i="1"/>
  <c r="H1744" i="1"/>
  <c r="Q1743" i="1"/>
  <c r="R1743" i="1" s="1"/>
  <c r="N1743" i="1"/>
  <c r="J1742" i="1"/>
  <c r="I1742" i="1"/>
  <c r="H1742" i="1"/>
  <c r="Q1741" i="1"/>
  <c r="R1741" i="1" s="1"/>
  <c r="N1741" i="1"/>
  <c r="J1740" i="1"/>
  <c r="I1740" i="1"/>
  <c r="H1740" i="1"/>
  <c r="Q1739" i="1"/>
  <c r="S1739" i="1" s="1"/>
  <c r="N1739" i="1"/>
  <c r="J1738" i="1"/>
  <c r="I1738" i="1"/>
  <c r="H1738" i="1"/>
  <c r="Q1737" i="1"/>
  <c r="R1737" i="1" s="1"/>
  <c r="N1737" i="1"/>
  <c r="J1736" i="1"/>
  <c r="I1736" i="1"/>
  <c r="H1736" i="1"/>
  <c r="Q1735" i="1"/>
  <c r="S1735" i="1" s="1"/>
  <c r="N1735" i="1"/>
  <c r="Q1733" i="1"/>
  <c r="Q1729" i="1"/>
  <c r="K1729" i="1"/>
  <c r="J1728" i="1"/>
  <c r="I1728" i="1"/>
  <c r="H1728" i="1"/>
  <c r="Q1727" i="1"/>
  <c r="R1727" i="1" s="1"/>
  <c r="K1727" i="1"/>
  <c r="J1726" i="1"/>
  <c r="I1726" i="1"/>
  <c r="H1726" i="1"/>
  <c r="Q1725" i="1"/>
  <c r="R1725" i="1" s="1"/>
  <c r="J1724" i="1"/>
  <c r="I1724" i="1"/>
  <c r="H1724" i="1"/>
  <c r="Q1723" i="1"/>
  <c r="K1723" i="1"/>
  <c r="J1722" i="1"/>
  <c r="I1722" i="1"/>
  <c r="H1722" i="1"/>
  <c r="Q1721" i="1"/>
  <c r="R1721" i="1" s="1"/>
  <c r="K1721" i="1"/>
  <c r="U1721" i="1" s="1"/>
  <c r="J1720" i="1"/>
  <c r="Q1719" i="1"/>
  <c r="R1719" i="1" s="1"/>
  <c r="I1719" i="1"/>
  <c r="H1719" i="1"/>
  <c r="H1720" i="1" s="1"/>
  <c r="J1718" i="1"/>
  <c r="Q1717" i="1"/>
  <c r="R1717" i="1" s="1"/>
  <c r="J1716" i="1"/>
  <c r="Q1715" i="1"/>
  <c r="R1715" i="1" s="1"/>
  <c r="J1714" i="1"/>
  <c r="I1714" i="1"/>
  <c r="Q1713" i="1"/>
  <c r="R1713" i="1" s="1"/>
  <c r="J1712" i="1"/>
  <c r="I1712" i="1"/>
  <c r="Q1711" i="1"/>
  <c r="R1711" i="1" s="1"/>
  <c r="Q1709" i="1"/>
  <c r="R1709" i="1" s="1"/>
  <c r="Q1699" i="1"/>
  <c r="S1699" i="1" s="1"/>
  <c r="N1699" i="1"/>
  <c r="J1698" i="1"/>
  <c r="I1698" i="1"/>
  <c r="H1698" i="1"/>
  <c r="Q1697" i="1"/>
  <c r="R1697" i="1" s="1"/>
  <c r="N1697" i="1"/>
  <c r="J1696" i="1"/>
  <c r="I1696" i="1"/>
  <c r="H1696" i="1"/>
  <c r="Q1695" i="1"/>
  <c r="S1695" i="1" s="1"/>
  <c r="N1695" i="1"/>
  <c r="J1694" i="1"/>
  <c r="I1694" i="1"/>
  <c r="H1694" i="1"/>
  <c r="Q1693" i="1"/>
  <c r="S1693" i="1" s="1"/>
  <c r="N1693" i="1"/>
  <c r="J1692" i="1"/>
  <c r="I1692" i="1"/>
  <c r="H1692" i="1"/>
  <c r="Q1691" i="1"/>
  <c r="S1691" i="1" s="1"/>
  <c r="N1691" i="1"/>
  <c r="J1690" i="1"/>
  <c r="I1690" i="1"/>
  <c r="H1690" i="1"/>
  <c r="Q1689" i="1"/>
  <c r="S1689" i="1" s="1"/>
  <c r="N1689" i="1"/>
  <c r="J1688" i="1"/>
  <c r="I1688" i="1"/>
  <c r="H1688" i="1"/>
  <c r="Q1687" i="1"/>
  <c r="S1687" i="1" s="1"/>
  <c r="N1687" i="1"/>
  <c r="J1686" i="1"/>
  <c r="I1686" i="1"/>
  <c r="H1686" i="1"/>
  <c r="Q1685" i="1"/>
  <c r="R1685" i="1" s="1"/>
  <c r="Q1672" i="1"/>
  <c r="N1672" i="1"/>
  <c r="H1672" i="1"/>
  <c r="U1672" i="1" s="1"/>
  <c r="J1671" i="1"/>
  <c r="I1671" i="1"/>
  <c r="Q1670" i="1"/>
  <c r="R1670" i="1" s="1"/>
  <c r="N1670" i="1"/>
  <c r="H1670" i="1"/>
  <c r="U1670" i="1" s="1"/>
  <c r="J1669" i="1"/>
  <c r="I1669" i="1"/>
  <c r="Q1668" i="1"/>
  <c r="N1668" i="1"/>
  <c r="H1668" i="1"/>
  <c r="U1668" i="1" s="1"/>
  <c r="J1667" i="1"/>
  <c r="I1667" i="1"/>
  <c r="Q1666" i="1"/>
  <c r="N1666" i="1"/>
  <c r="H1666" i="1"/>
  <c r="H1665" i="1" s="1"/>
  <c r="J1665" i="1"/>
  <c r="I1665" i="1"/>
  <c r="Q1664" i="1"/>
  <c r="S1664" i="1" s="1"/>
  <c r="N1664" i="1"/>
  <c r="J1663" i="1"/>
  <c r="I1663" i="1"/>
  <c r="H1663" i="1"/>
  <c r="Q1662" i="1"/>
  <c r="S1662" i="1" s="1"/>
  <c r="N1662" i="1"/>
  <c r="J1661" i="1"/>
  <c r="I1661" i="1"/>
  <c r="H1661" i="1"/>
  <c r="Q1660" i="1"/>
  <c r="S1660" i="1" s="1"/>
  <c r="N1660" i="1"/>
  <c r="J1659" i="1"/>
  <c r="I1659" i="1"/>
  <c r="H1659" i="1"/>
  <c r="Q1658" i="1"/>
  <c r="S1658" i="1" s="1"/>
  <c r="N1658" i="1"/>
  <c r="J1657" i="1"/>
  <c r="I1657" i="1"/>
  <c r="H1657" i="1"/>
  <c r="Q1656" i="1"/>
  <c r="S1656" i="1" s="1"/>
  <c r="N1656" i="1"/>
  <c r="J1655" i="1"/>
  <c r="I1655" i="1"/>
  <c r="Q1654" i="1"/>
  <c r="N1654" i="1"/>
  <c r="J1653" i="1"/>
  <c r="I1653" i="1"/>
  <c r="Q1652" i="1"/>
  <c r="CD37" i="2" s="1"/>
  <c r="N1652" i="1"/>
  <c r="J1651" i="1"/>
  <c r="I1651" i="1"/>
  <c r="H1651" i="1"/>
  <c r="Q1650" i="1"/>
  <c r="R1650" i="1" s="1"/>
  <c r="N1650" i="1"/>
  <c r="J1649" i="1"/>
  <c r="H1649" i="1"/>
  <c r="Q1648" i="1"/>
  <c r="R1648" i="1" s="1"/>
  <c r="Q1634" i="1"/>
  <c r="S1634" i="1" s="1"/>
  <c r="N1634" i="1"/>
  <c r="Q1632" i="1"/>
  <c r="N1632" i="1"/>
  <c r="Q1630" i="1"/>
  <c r="R1630" i="1" s="1"/>
  <c r="Q1616" i="1"/>
  <c r="S1616" i="1" s="1"/>
  <c r="N1616" i="1"/>
  <c r="Q1615" i="1"/>
  <c r="J1615" i="1"/>
  <c r="I1615" i="1"/>
  <c r="H1615" i="1"/>
  <c r="Q1614" i="1"/>
  <c r="R1614" i="1" s="1"/>
  <c r="N1614" i="1"/>
  <c r="Q1612" i="1"/>
  <c r="S1612" i="1" s="1"/>
  <c r="N1612" i="1"/>
  <c r="J1611" i="1"/>
  <c r="I1611" i="1"/>
  <c r="H1611" i="1"/>
  <c r="Q1610" i="1"/>
  <c r="R1610" i="1" s="1"/>
  <c r="N1610" i="1"/>
  <c r="J1609" i="1"/>
  <c r="I1609" i="1"/>
  <c r="H1609" i="1"/>
  <c r="Q1608" i="1"/>
  <c r="S1608" i="1" s="1"/>
  <c r="N1608" i="1"/>
  <c r="Q1606" i="1"/>
  <c r="R1606" i="1" s="1"/>
  <c r="K1606" i="1"/>
  <c r="J1606" i="1"/>
  <c r="N1606" i="1" s="1"/>
  <c r="I1606" i="1"/>
  <c r="H1606" i="1"/>
  <c r="Q1604" i="1"/>
  <c r="S1604" i="1" s="1"/>
  <c r="N1604" i="1"/>
  <c r="J1603" i="1"/>
  <c r="I1603" i="1"/>
  <c r="H1603" i="1"/>
  <c r="Q1602" i="1"/>
  <c r="R1602" i="1" s="1"/>
  <c r="N1602" i="1"/>
  <c r="J1601" i="1"/>
  <c r="I1601" i="1"/>
  <c r="H1601" i="1"/>
  <c r="Q1600" i="1"/>
  <c r="S1600" i="1" s="1"/>
  <c r="N1600" i="1"/>
  <c r="J1599" i="1"/>
  <c r="I1599" i="1"/>
  <c r="H1599" i="1"/>
  <c r="Q1598" i="1"/>
  <c r="R1598" i="1" s="1"/>
  <c r="N1598" i="1"/>
  <c r="J1597" i="1"/>
  <c r="I1597" i="1"/>
  <c r="H1597" i="1"/>
  <c r="Q1596" i="1"/>
  <c r="S1596" i="1" s="1"/>
  <c r="N1596" i="1"/>
  <c r="N1583" i="1"/>
  <c r="H1583" i="1"/>
  <c r="U1583" i="1" s="1"/>
  <c r="Q1583" i="1"/>
  <c r="J1582" i="1"/>
  <c r="I1582" i="1"/>
  <c r="N1581" i="1"/>
  <c r="H1581" i="1"/>
  <c r="U1581" i="1" s="1"/>
  <c r="Q1581" i="1"/>
  <c r="R1581" i="1" s="1"/>
  <c r="J1580" i="1"/>
  <c r="I1580" i="1"/>
  <c r="Q1579" i="1"/>
  <c r="R1579" i="1" s="1"/>
  <c r="N1579" i="1"/>
  <c r="Q1577" i="1"/>
  <c r="Q1569" i="1"/>
  <c r="S1569" i="1" s="1"/>
  <c r="Q1567" i="1"/>
  <c r="S1567" i="1" s="1"/>
  <c r="N1567" i="1"/>
  <c r="J1566" i="1"/>
  <c r="I1566" i="1"/>
  <c r="H1566" i="1"/>
  <c r="Q1565" i="1"/>
  <c r="S1565" i="1" s="1"/>
  <c r="J1564" i="1"/>
  <c r="I1564" i="1"/>
  <c r="H1564" i="1"/>
  <c r="Q1563" i="1"/>
  <c r="S1563" i="1" s="1"/>
  <c r="N1563" i="1"/>
  <c r="J1562" i="1"/>
  <c r="I1562" i="1"/>
  <c r="H1562" i="1"/>
  <c r="Q1561" i="1"/>
  <c r="R1561" i="1" s="1"/>
  <c r="J1560" i="1"/>
  <c r="I1560" i="1"/>
  <c r="H1560" i="1"/>
  <c r="Q1559" i="1"/>
  <c r="S1559" i="1" s="1"/>
  <c r="N1559" i="1"/>
  <c r="J1558" i="1"/>
  <c r="I1558" i="1"/>
  <c r="H1558" i="1"/>
  <c r="Q1557" i="1"/>
  <c r="S1557" i="1" s="1"/>
  <c r="J1556" i="1"/>
  <c r="I1556" i="1"/>
  <c r="H1556" i="1"/>
  <c r="P1555" i="1"/>
  <c r="J1554" i="1"/>
  <c r="I1554" i="1"/>
  <c r="H1554" i="1"/>
  <c r="J1552" i="1"/>
  <c r="I1552" i="1"/>
  <c r="H1552" i="1"/>
  <c r="J1550" i="1"/>
  <c r="I1550" i="1"/>
  <c r="L1549" i="1"/>
  <c r="V1549" i="1" s="1"/>
  <c r="J1548" i="1"/>
  <c r="I1548" i="1"/>
  <c r="L1547" i="1"/>
  <c r="V1547" i="1" s="1"/>
  <c r="Q1540" i="1"/>
  <c r="R1540" i="1" s="1"/>
  <c r="N1540" i="1"/>
  <c r="J1539" i="1"/>
  <c r="I1539" i="1"/>
  <c r="H1539" i="1"/>
  <c r="Q1538" i="1"/>
  <c r="S1538" i="1" s="1"/>
  <c r="N1538" i="1"/>
  <c r="J1537" i="1"/>
  <c r="I1537" i="1"/>
  <c r="H1537" i="1"/>
  <c r="Q1536" i="1"/>
  <c r="R1536" i="1" s="1"/>
  <c r="N1536" i="1"/>
  <c r="J1535" i="1"/>
  <c r="I1535" i="1"/>
  <c r="H1535" i="1"/>
  <c r="Q1534" i="1"/>
  <c r="S1534" i="1" s="1"/>
  <c r="N1534" i="1"/>
  <c r="J1533" i="1"/>
  <c r="I1533" i="1"/>
  <c r="H1533" i="1"/>
  <c r="Q1532" i="1"/>
  <c r="R1532" i="1" s="1"/>
  <c r="N1532" i="1"/>
  <c r="J1531" i="1"/>
  <c r="I1531" i="1"/>
  <c r="H1531" i="1"/>
  <c r="Q1530" i="1"/>
  <c r="S1530" i="1" s="1"/>
  <c r="N1530" i="1"/>
  <c r="J1529" i="1"/>
  <c r="I1529" i="1"/>
  <c r="H1529" i="1"/>
  <c r="Q1528" i="1"/>
  <c r="R1528" i="1" s="1"/>
  <c r="N1528" i="1"/>
  <c r="J1527" i="1"/>
  <c r="I1527" i="1"/>
  <c r="H1527" i="1"/>
  <c r="Q1526" i="1"/>
  <c r="S1526" i="1" s="1"/>
  <c r="J1525" i="1"/>
  <c r="I1525" i="1"/>
  <c r="H1525" i="1"/>
  <c r="R1524" i="1"/>
  <c r="Q1516" i="1"/>
  <c r="S1516" i="1" s="1"/>
  <c r="J1515" i="1"/>
  <c r="I1515" i="1"/>
  <c r="H1515" i="1"/>
  <c r="Q1514" i="1"/>
  <c r="K1514" i="1"/>
  <c r="U1514" i="1" s="1"/>
  <c r="Q1512" i="1"/>
  <c r="Q1506" i="1"/>
  <c r="S1506" i="1" s="1"/>
  <c r="J1505" i="1"/>
  <c r="I1505" i="1"/>
  <c r="H1505" i="1"/>
  <c r="Q1504" i="1"/>
  <c r="R1504" i="1" s="1"/>
  <c r="J1503" i="1"/>
  <c r="I1503" i="1"/>
  <c r="H1503" i="1"/>
  <c r="Q1502" i="1"/>
  <c r="S1502" i="1" s="1"/>
  <c r="N1502" i="1"/>
  <c r="Q1494" i="1"/>
  <c r="Q1475" i="1"/>
  <c r="R1475" i="1" s="1"/>
  <c r="Q1473" i="1"/>
  <c r="R1473" i="1" s="1"/>
  <c r="Q1471" i="1"/>
  <c r="R1471" i="1" s="1"/>
  <c r="Q1469" i="1"/>
  <c r="R1469" i="1" s="1"/>
  <c r="Q1467" i="1"/>
  <c r="R1467" i="1" s="1"/>
  <c r="Q1465" i="1"/>
  <c r="R1465" i="1" s="1"/>
  <c r="Q1463" i="1"/>
  <c r="R1463" i="1" s="1"/>
  <c r="Q1461" i="1"/>
  <c r="R1461" i="1" s="1"/>
  <c r="Z1459" i="1"/>
  <c r="Q1459" i="1"/>
  <c r="Z1457" i="1"/>
  <c r="Q1457" i="1"/>
  <c r="R1457" i="1" s="1"/>
  <c r="Q1455" i="1"/>
  <c r="Q1435" i="1"/>
  <c r="S1435" i="1" s="1"/>
  <c r="J1434" i="1"/>
  <c r="I1434" i="1"/>
  <c r="H1434" i="1"/>
  <c r="Q1433" i="1"/>
  <c r="R1433" i="1" s="1"/>
  <c r="J1432" i="1"/>
  <c r="I1432" i="1"/>
  <c r="H1432" i="1"/>
  <c r="Q1431" i="1"/>
  <c r="S1431" i="1" s="1"/>
  <c r="J1430" i="1"/>
  <c r="I1430" i="1"/>
  <c r="H1430" i="1"/>
  <c r="Q1429" i="1"/>
  <c r="S1429" i="1" s="1"/>
  <c r="J1428" i="1"/>
  <c r="I1428" i="1"/>
  <c r="H1428" i="1"/>
  <c r="Q1427" i="1"/>
  <c r="S1427" i="1" s="1"/>
  <c r="J1426" i="1"/>
  <c r="I1426" i="1"/>
  <c r="H1426" i="1"/>
  <c r="Q1425" i="1"/>
  <c r="S1425" i="1" s="1"/>
  <c r="S1423" i="1"/>
  <c r="Q1421" i="1"/>
  <c r="Q1409" i="1"/>
  <c r="R1409" i="1" s="1"/>
  <c r="N1409" i="1"/>
  <c r="J1408" i="1"/>
  <c r="I1408" i="1"/>
  <c r="H1408" i="1"/>
  <c r="Q1407" i="1"/>
  <c r="S1407" i="1" s="1"/>
  <c r="N1407" i="1"/>
  <c r="J1406" i="1"/>
  <c r="I1406" i="1"/>
  <c r="H1406" i="1"/>
  <c r="Q1405" i="1"/>
  <c r="R1405" i="1" s="1"/>
  <c r="N1405" i="1"/>
  <c r="Q1399" i="1"/>
  <c r="S1399" i="1" s="1"/>
  <c r="N1399" i="1"/>
  <c r="J1398" i="1"/>
  <c r="I1398" i="1"/>
  <c r="Q1397" i="1"/>
  <c r="R1397" i="1" s="1"/>
  <c r="N1397" i="1"/>
  <c r="J1396" i="1"/>
  <c r="I1396" i="1"/>
  <c r="Q1395" i="1"/>
  <c r="R1395" i="1" s="1"/>
  <c r="N1395" i="1"/>
  <c r="J1394" i="1"/>
  <c r="I1394" i="1"/>
  <c r="Q1393" i="1"/>
  <c r="S1393" i="1" s="1"/>
  <c r="N1393" i="1"/>
  <c r="J1392" i="1"/>
  <c r="I1392" i="1"/>
  <c r="H1392" i="1"/>
  <c r="Q1391" i="1"/>
  <c r="S1391" i="1" s="1"/>
  <c r="N1391" i="1"/>
  <c r="J1390" i="1"/>
  <c r="I1390" i="1"/>
  <c r="H1390" i="1"/>
  <c r="Q1389" i="1"/>
  <c r="S1389" i="1" s="1"/>
  <c r="N1389" i="1"/>
  <c r="J1388" i="1"/>
  <c r="I1388" i="1"/>
  <c r="H1388" i="1"/>
  <c r="Q1387" i="1"/>
  <c r="S1387" i="1" s="1"/>
  <c r="N1387" i="1"/>
  <c r="Q1369" i="1"/>
  <c r="S1369" i="1" s="1"/>
  <c r="N1369" i="1"/>
  <c r="J1368" i="1"/>
  <c r="I1368" i="1"/>
  <c r="H1368" i="1"/>
  <c r="Q1367" i="1"/>
  <c r="S1367" i="1" s="1"/>
  <c r="N1367" i="1"/>
  <c r="J1366" i="1"/>
  <c r="I1366" i="1"/>
  <c r="H1366" i="1"/>
  <c r="Q1365" i="1"/>
  <c r="S1365" i="1" s="1"/>
  <c r="N1365" i="1"/>
  <c r="J1364" i="1"/>
  <c r="I1364" i="1"/>
  <c r="H1364" i="1"/>
  <c r="Q1363" i="1"/>
  <c r="S1363" i="1" s="1"/>
  <c r="N1363" i="1"/>
  <c r="J1362" i="1"/>
  <c r="I1362" i="1"/>
  <c r="H1362" i="1"/>
  <c r="Q1361" i="1"/>
  <c r="S1361" i="1" s="1"/>
  <c r="N1361" i="1"/>
  <c r="J1360" i="1"/>
  <c r="I1360" i="1"/>
  <c r="H1360" i="1"/>
  <c r="Q1359" i="1"/>
  <c r="S1359" i="1" s="1"/>
  <c r="N1359" i="1"/>
  <c r="J1358" i="1"/>
  <c r="I1358" i="1"/>
  <c r="H1358" i="1"/>
  <c r="Q1357" i="1"/>
  <c r="S1357" i="1" s="1"/>
  <c r="N1357" i="1"/>
  <c r="J1356" i="1"/>
  <c r="I1356" i="1"/>
  <c r="H1356" i="1"/>
  <c r="Q1355" i="1"/>
  <c r="CD31" i="2" s="1"/>
  <c r="N1355" i="1"/>
  <c r="J1354" i="1"/>
  <c r="I1354" i="1"/>
  <c r="Q1353" i="1"/>
  <c r="R1353" i="1" s="1"/>
  <c r="N1353" i="1"/>
  <c r="Q1345" i="1"/>
  <c r="S1345" i="1" s="1"/>
  <c r="Q1343" i="1"/>
  <c r="S1343" i="1" s="1"/>
  <c r="J1342" i="1"/>
  <c r="I1342" i="1"/>
  <c r="H1342" i="1"/>
  <c r="Q1341" i="1"/>
  <c r="S1341" i="1" s="1"/>
  <c r="N1341" i="1"/>
  <c r="J1340" i="1"/>
  <c r="I1340" i="1"/>
  <c r="H1340" i="1"/>
  <c r="Q1339" i="1"/>
  <c r="S1339" i="1" s="1"/>
  <c r="N1339" i="1"/>
  <c r="J1338" i="1"/>
  <c r="I1338" i="1"/>
  <c r="H1338" i="1"/>
  <c r="Q1337" i="1"/>
  <c r="S1337" i="1" s="1"/>
  <c r="N1337" i="1"/>
  <c r="J1336" i="1"/>
  <c r="I1336" i="1"/>
  <c r="H1336" i="1"/>
  <c r="Q1335" i="1"/>
  <c r="S1335" i="1" s="1"/>
  <c r="N1335" i="1"/>
  <c r="J1334" i="1"/>
  <c r="I1334" i="1"/>
  <c r="H1334" i="1"/>
  <c r="P1333" i="1"/>
  <c r="P1331" i="1" s="1"/>
  <c r="Q1331" i="1" s="1"/>
  <c r="L1333" i="1"/>
  <c r="O1333" i="1" s="1"/>
  <c r="J1332" i="1"/>
  <c r="I1332" i="1"/>
  <c r="H1332" i="1"/>
  <c r="Q1327" i="1"/>
  <c r="S1327" i="1" s="1"/>
  <c r="N1327" i="1"/>
  <c r="Q1325" i="1"/>
  <c r="S1325" i="1" s="1"/>
  <c r="N1325" i="1"/>
  <c r="Q1323" i="1"/>
  <c r="S1323" i="1" s="1"/>
  <c r="N1323" i="1"/>
  <c r="Q1321" i="1"/>
  <c r="S1321" i="1" s="1"/>
  <c r="N1321" i="1"/>
  <c r="Q1319" i="1"/>
  <c r="S1319" i="1" s="1"/>
  <c r="N1319" i="1"/>
  <c r="J1318" i="1"/>
  <c r="I1318" i="1"/>
  <c r="H1318" i="1"/>
  <c r="Q1317" i="1"/>
  <c r="S1317" i="1" s="1"/>
  <c r="N1317" i="1"/>
  <c r="J1316" i="1"/>
  <c r="I1316" i="1"/>
  <c r="H1316" i="1"/>
  <c r="Q1315" i="1"/>
  <c r="S1315" i="1" s="1"/>
  <c r="N1315" i="1"/>
  <c r="J1314" i="1"/>
  <c r="I1314" i="1"/>
  <c r="H1314" i="1"/>
  <c r="Q1313" i="1"/>
  <c r="S1313" i="1" s="1"/>
  <c r="N1313" i="1"/>
  <c r="J1312" i="1"/>
  <c r="I1312" i="1"/>
  <c r="H1312" i="1"/>
  <c r="Q1311" i="1"/>
  <c r="S1311" i="1" s="1"/>
  <c r="N1311" i="1"/>
  <c r="J1310" i="1"/>
  <c r="I1310" i="1"/>
  <c r="H1310" i="1"/>
  <c r="Q1309" i="1"/>
  <c r="S1309" i="1" s="1"/>
  <c r="N1309" i="1"/>
  <c r="J1308" i="1"/>
  <c r="I1308" i="1"/>
  <c r="H1308" i="1"/>
  <c r="Q1307" i="1"/>
  <c r="R1307" i="1" s="1"/>
  <c r="N1307" i="1"/>
  <c r="J1306" i="1"/>
  <c r="I1306" i="1"/>
  <c r="H1306" i="1"/>
  <c r="Q1305" i="1"/>
  <c r="S1305" i="1" s="1"/>
  <c r="N1305" i="1"/>
  <c r="J1304" i="1"/>
  <c r="I1304" i="1"/>
  <c r="Q1303" i="1"/>
  <c r="R1303" i="1" s="1"/>
  <c r="N1303" i="1"/>
  <c r="H1303" i="1"/>
  <c r="Q1289" i="1"/>
  <c r="S1289" i="1" s="1"/>
  <c r="N1289" i="1"/>
  <c r="J1288" i="1"/>
  <c r="I1288" i="1"/>
  <c r="H1288" i="1"/>
  <c r="Q1287" i="1"/>
  <c r="S1287" i="1" s="1"/>
  <c r="N1287" i="1"/>
  <c r="J1286" i="1"/>
  <c r="I1286" i="1"/>
  <c r="H1286" i="1"/>
  <c r="Q1285" i="1"/>
  <c r="S1285" i="1" s="1"/>
  <c r="N1285" i="1"/>
  <c r="J1284" i="1"/>
  <c r="H1284" i="1"/>
  <c r="Q1283" i="1"/>
  <c r="S1283" i="1" s="1"/>
  <c r="N1283" i="1"/>
  <c r="J1282" i="1"/>
  <c r="H1282" i="1"/>
  <c r="Q1281" i="1"/>
  <c r="S1281" i="1" s="1"/>
  <c r="N1281" i="1"/>
  <c r="J1280" i="1"/>
  <c r="I1280" i="1"/>
  <c r="H1280" i="1"/>
  <c r="Q1279" i="1"/>
  <c r="S1279" i="1" s="1"/>
  <c r="N1279" i="1"/>
  <c r="J1278" i="1"/>
  <c r="I1278" i="1"/>
  <c r="H1278" i="1"/>
  <c r="Q1277" i="1"/>
  <c r="S1277" i="1" s="1"/>
  <c r="N1277" i="1"/>
  <c r="J1276" i="1"/>
  <c r="I1276" i="1"/>
  <c r="H1276" i="1"/>
  <c r="Q1275" i="1"/>
  <c r="CD5" i="2" s="1"/>
  <c r="L1275" i="1"/>
  <c r="J1274" i="1"/>
  <c r="H1274" i="1"/>
  <c r="Q1273" i="1"/>
  <c r="S1273" i="1" s="1"/>
  <c r="N1273" i="1"/>
  <c r="Q1264" i="1"/>
  <c r="S1264" i="1" s="1"/>
  <c r="N1264" i="1"/>
  <c r="J1263" i="1"/>
  <c r="I1263" i="1"/>
  <c r="H1263" i="1"/>
  <c r="Q1262" i="1"/>
  <c r="R1262" i="1" s="1"/>
  <c r="N1262" i="1"/>
  <c r="J1261" i="1"/>
  <c r="I1261" i="1"/>
  <c r="H1261" i="1"/>
  <c r="Q1260" i="1"/>
  <c r="S1260" i="1" s="1"/>
  <c r="N1260" i="1"/>
  <c r="J1259" i="1"/>
  <c r="I1259" i="1"/>
  <c r="H1259" i="1"/>
  <c r="Q1258" i="1"/>
  <c r="R1258" i="1" s="1"/>
  <c r="N1258" i="1"/>
  <c r="J1257" i="1"/>
  <c r="I1257" i="1"/>
  <c r="H1257" i="1"/>
  <c r="Q1256" i="1"/>
  <c r="S1256" i="1" s="1"/>
  <c r="N1256" i="1"/>
  <c r="J1255" i="1"/>
  <c r="I1255" i="1"/>
  <c r="H1255" i="1"/>
  <c r="Q1254" i="1"/>
  <c r="R1254" i="1" s="1"/>
  <c r="N1254" i="1"/>
  <c r="K1254" i="1"/>
  <c r="O1254" i="1" s="1"/>
  <c r="N1243" i="1"/>
  <c r="J1242" i="1"/>
  <c r="I1242" i="1"/>
  <c r="H1242" i="1"/>
  <c r="N1241" i="1"/>
  <c r="J1240" i="1"/>
  <c r="I1240" i="1"/>
  <c r="H1240" i="1"/>
  <c r="N1239" i="1"/>
  <c r="J1238" i="1"/>
  <c r="I1238" i="1"/>
  <c r="H1238" i="1"/>
  <c r="Q1237" i="1"/>
  <c r="S1237" i="1" s="1"/>
  <c r="N1237" i="1"/>
  <c r="J1236" i="1"/>
  <c r="I1236" i="1"/>
  <c r="H1236" i="1"/>
  <c r="Q1235" i="1"/>
  <c r="R1235" i="1" s="1"/>
  <c r="N1235" i="1"/>
  <c r="J1234" i="1"/>
  <c r="I1234" i="1"/>
  <c r="Q1233" i="1"/>
  <c r="N1233" i="1"/>
  <c r="Q1220" i="1"/>
  <c r="S1220" i="1" s="1"/>
  <c r="N1220" i="1"/>
  <c r="J1219" i="1"/>
  <c r="I1219" i="1"/>
  <c r="H1219" i="1"/>
  <c r="Q1218" i="1"/>
  <c r="R1218" i="1" s="1"/>
  <c r="N1218" i="1"/>
  <c r="J1217" i="1"/>
  <c r="I1217" i="1"/>
  <c r="H1217" i="1"/>
  <c r="Q1216" i="1"/>
  <c r="S1216" i="1" s="1"/>
  <c r="N1216" i="1"/>
  <c r="J1215" i="1"/>
  <c r="I1215" i="1"/>
  <c r="H1215" i="1"/>
  <c r="Q1214" i="1"/>
  <c r="R1214" i="1" s="1"/>
  <c r="N1214" i="1"/>
  <c r="J1213" i="1"/>
  <c r="I1213" i="1"/>
  <c r="H1213" i="1"/>
  <c r="Q1212" i="1"/>
  <c r="S1212" i="1" s="1"/>
  <c r="N1212" i="1"/>
  <c r="J1211" i="1"/>
  <c r="I1211" i="1"/>
  <c r="H1211" i="1"/>
  <c r="Q1210" i="1"/>
  <c r="R1210" i="1" s="1"/>
  <c r="N1210" i="1"/>
  <c r="J1209" i="1"/>
  <c r="I1209" i="1"/>
  <c r="H1209" i="1"/>
  <c r="Q1208" i="1"/>
  <c r="S1208" i="1" s="1"/>
  <c r="N1208" i="1"/>
  <c r="J1207" i="1"/>
  <c r="I1207" i="1"/>
  <c r="Q1206" i="1"/>
  <c r="R1206" i="1" s="1"/>
  <c r="N1206" i="1"/>
  <c r="H1206" i="1"/>
  <c r="H1207" i="1" s="1"/>
  <c r="J1205" i="1"/>
  <c r="I1205" i="1"/>
  <c r="Q1204" i="1"/>
  <c r="R1204" i="1" s="1"/>
  <c r="N1204" i="1"/>
  <c r="H1204" i="1"/>
  <c r="U1204" i="1" s="1"/>
  <c r="J1203" i="1"/>
  <c r="I1203" i="1"/>
  <c r="Q1202" i="1"/>
  <c r="N1202" i="1"/>
  <c r="I1201" i="1"/>
  <c r="Q1200" i="1"/>
  <c r="CD30" i="2" s="1"/>
  <c r="J1201" i="1"/>
  <c r="Q1198" i="1"/>
  <c r="N1188" i="1"/>
  <c r="J1187" i="1"/>
  <c r="I1187" i="1"/>
  <c r="H1187" i="1"/>
  <c r="N1186" i="1"/>
  <c r="J1185" i="1"/>
  <c r="I1185" i="1"/>
  <c r="H1185" i="1"/>
  <c r="Q1184" i="1"/>
  <c r="R1184" i="1" s="1"/>
  <c r="N1184" i="1"/>
  <c r="J1183" i="1"/>
  <c r="I1183" i="1"/>
  <c r="H1183" i="1"/>
  <c r="Q1182" i="1"/>
  <c r="R1182" i="1" s="1"/>
  <c r="N1182" i="1"/>
  <c r="J1181" i="1"/>
  <c r="I1181" i="1"/>
  <c r="Q1180" i="1"/>
  <c r="R1180" i="1" s="1"/>
  <c r="N1180" i="1"/>
  <c r="J1179" i="1"/>
  <c r="I1179" i="1"/>
  <c r="Q1178" i="1"/>
  <c r="R1178" i="1" s="1"/>
  <c r="Q1142" i="1"/>
  <c r="Q1133" i="1"/>
  <c r="R1133" i="1" s="1"/>
  <c r="N1133" i="1"/>
  <c r="J1132" i="1"/>
  <c r="I1132" i="1"/>
  <c r="H1132" i="1"/>
  <c r="Q1131" i="1"/>
  <c r="S1131" i="1" s="1"/>
  <c r="J1130" i="1"/>
  <c r="I1130" i="1"/>
  <c r="H1130" i="1"/>
  <c r="Q1129" i="1"/>
  <c r="R1129" i="1" s="1"/>
  <c r="J1128" i="1"/>
  <c r="I1128" i="1"/>
  <c r="H1128" i="1"/>
  <c r="Q1127" i="1"/>
  <c r="S1127" i="1" s="1"/>
  <c r="J1126" i="1"/>
  <c r="I1126" i="1"/>
  <c r="H1126" i="1"/>
  <c r="Q1125" i="1"/>
  <c r="S1125" i="1" s="1"/>
  <c r="J1124" i="1"/>
  <c r="I1124" i="1"/>
  <c r="H1124" i="1"/>
  <c r="Q1123" i="1"/>
  <c r="S1123" i="1" s="1"/>
  <c r="J1122" i="1"/>
  <c r="I1122" i="1"/>
  <c r="H1122" i="1"/>
  <c r="Q1121" i="1"/>
  <c r="S1121" i="1" s="1"/>
  <c r="J1120" i="1"/>
  <c r="I1120" i="1"/>
  <c r="H1120" i="1"/>
  <c r="Q1119" i="1"/>
  <c r="S1119" i="1" s="1"/>
  <c r="J1118" i="1"/>
  <c r="I1118" i="1"/>
  <c r="H1118" i="1"/>
  <c r="Q1117" i="1"/>
  <c r="S1117" i="1" s="1"/>
  <c r="J1116" i="1"/>
  <c r="I1116" i="1"/>
  <c r="H1116" i="1"/>
  <c r="Q1115" i="1"/>
  <c r="S1115" i="1" s="1"/>
  <c r="J1114" i="1"/>
  <c r="I1114" i="1"/>
  <c r="H1114" i="1"/>
  <c r="Q1113" i="1"/>
  <c r="S1113" i="1" s="1"/>
  <c r="J1112" i="1"/>
  <c r="I1112" i="1"/>
  <c r="H1112" i="1"/>
  <c r="Q1111" i="1"/>
  <c r="S1111" i="1" s="1"/>
  <c r="J1110" i="1"/>
  <c r="I1110" i="1"/>
  <c r="H1110" i="1"/>
  <c r="Q1109" i="1"/>
  <c r="S1109" i="1" s="1"/>
  <c r="J1108" i="1"/>
  <c r="I1108" i="1"/>
  <c r="Q1107" i="1"/>
  <c r="Q1098" i="1"/>
  <c r="R1098" i="1" s="1"/>
  <c r="N1098" i="1"/>
  <c r="Q1096" i="1"/>
  <c r="R1096" i="1" s="1"/>
  <c r="N1096" i="1"/>
  <c r="J1095" i="1"/>
  <c r="I1095" i="1"/>
  <c r="Q1094" i="1"/>
  <c r="R1094" i="1" s="1"/>
  <c r="N1094" i="1"/>
  <c r="J1093" i="1"/>
  <c r="I1093" i="1"/>
  <c r="Q1092" i="1"/>
  <c r="R1092" i="1" s="1"/>
  <c r="N1092" i="1"/>
  <c r="J1091" i="1"/>
  <c r="I1091" i="1"/>
  <c r="Q1090" i="1"/>
  <c r="R1090" i="1" s="1"/>
  <c r="N1090" i="1"/>
  <c r="J1089" i="1"/>
  <c r="I1089" i="1"/>
  <c r="Q1088" i="1"/>
  <c r="R1088" i="1" s="1"/>
  <c r="N1088" i="1"/>
  <c r="J1087" i="1"/>
  <c r="I1087" i="1"/>
  <c r="Q1086" i="1"/>
  <c r="R1086" i="1" s="1"/>
  <c r="N1086" i="1"/>
  <c r="J1085" i="1"/>
  <c r="Q1084" i="1"/>
  <c r="N1084" i="1"/>
  <c r="Q1037" i="1"/>
  <c r="Q1035" i="1"/>
  <c r="Q1033" i="1"/>
  <c r="R1033" i="1" s="1"/>
  <c r="J1032" i="1"/>
  <c r="I1032" i="1"/>
  <c r="H1032" i="1"/>
  <c r="Q1031" i="1"/>
  <c r="S1031" i="1" s="1"/>
  <c r="J1030" i="1"/>
  <c r="I1030" i="1"/>
  <c r="H1030" i="1"/>
  <c r="Q1029" i="1"/>
  <c r="R1029" i="1" s="1"/>
  <c r="J1028" i="1"/>
  <c r="I1028" i="1"/>
  <c r="H1028" i="1"/>
  <c r="Q1027" i="1"/>
  <c r="S1027" i="1" s="1"/>
  <c r="Q1021" i="1"/>
  <c r="R1021" i="1" s="1"/>
  <c r="N1021" i="1"/>
  <c r="J1020" i="1"/>
  <c r="I1020" i="1"/>
  <c r="H1020" i="1"/>
  <c r="Q1019" i="1"/>
  <c r="S1019" i="1" s="1"/>
  <c r="N1019" i="1"/>
  <c r="J1018" i="1"/>
  <c r="I1018" i="1"/>
  <c r="H1018" i="1"/>
  <c r="Q1017" i="1"/>
  <c r="R1017" i="1" s="1"/>
  <c r="N1017" i="1"/>
  <c r="J1016" i="1"/>
  <c r="I1016" i="1"/>
  <c r="H1016" i="1"/>
  <c r="Q1015" i="1"/>
  <c r="S1015" i="1" s="1"/>
  <c r="N1015" i="1"/>
  <c r="J1014" i="1"/>
  <c r="H1014" i="1"/>
  <c r="Q1013" i="1"/>
  <c r="S1013" i="1" s="1"/>
  <c r="N1013" i="1"/>
  <c r="Q1011" i="1"/>
  <c r="S1011" i="1" s="1"/>
  <c r="Q997" i="1"/>
  <c r="N997" i="1"/>
  <c r="H996" i="1"/>
  <c r="Q995" i="1"/>
  <c r="S995" i="1" s="1"/>
  <c r="N995" i="1"/>
  <c r="J994" i="1"/>
  <c r="I994" i="1"/>
  <c r="H994" i="1"/>
  <c r="Q993" i="1"/>
  <c r="S993" i="1" s="1"/>
  <c r="N993" i="1"/>
  <c r="J992" i="1"/>
  <c r="I992" i="1"/>
  <c r="H992" i="1"/>
  <c r="Q991" i="1"/>
  <c r="S991" i="1" s="1"/>
  <c r="N991" i="1"/>
  <c r="J990" i="1"/>
  <c r="I990" i="1"/>
  <c r="H990" i="1"/>
  <c r="Q989" i="1"/>
  <c r="S989" i="1" s="1"/>
  <c r="N989" i="1"/>
  <c r="J988" i="1"/>
  <c r="I988" i="1"/>
  <c r="Q987" i="1"/>
  <c r="N987" i="1"/>
  <c r="J986" i="1"/>
  <c r="I986" i="1"/>
  <c r="Q985" i="1"/>
  <c r="S985" i="1" s="1"/>
  <c r="N985" i="1"/>
  <c r="Q975" i="1"/>
  <c r="S975" i="1" s="1"/>
  <c r="N975" i="1"/>
  <c r="J974" i="1"/>
  <c r="I974" i="1"/>
  <c r="H974" i="1"/>
  <c r="Q973" i="1"/>
  <c r="S973" i="1" s="1"/>
  <c r="N973" i="1"/>
  <c r="J972" i="1"/>
  <c r="I972" i="1"/>
  <c r="H972" i="1"/>
  <c r="Q971" i="1"/>
  <c r="S971" i="1" s="1"/>
  <c r="N971" i="1"/>
  <c r="J970" i="1"/>
  <c r="I970" i="1"/>
  <c r="H970" i="1"/>
  <c r="Q969" i="1"/>
  <c r="N969" i="1"/>
  <c r="J968" i="1"/>
  <c r="I968" i="1"/>
  <c r="H968" i="1"/>
  <c r="Q967" i="1"/>
  <c r="N967" i="1"/>
  <c r="Q965" i="1"/>
  <c r="S965" i="1" s="1"/>
  <c r="N965" i="1"/>
  <c r="Q877" i="1"/>
  <c r="S877" i="1" s="1"/>
  <c r="N877" i="1"/>
  <c r="Q875" i="1"/>
  <c r="S875" i="1" s="1"/>
  <c r="N875" i="1"/>
  <c r="Q869" i="1"/>
  <c r="J868" i="1"/>
  <c r="I868" i="1"/>
  <c r="H868" i="1"/>
  <c r="Q867" i="1"/>
  <c r="J866" i="1"/>
  <c r="I866" i="1"/>
  <c r="H866" i="1"/>
  <c r="Q865" i="1"/>
  <c r="J864" i="1"/>
  <c r="I864" i="1"/>
  <c r="H864" i="1"/>
  <c r="Q863" i="1"/>
  <c r="J862" i="1"/>
  <c r="I862" i="1"/>
  <c r="H862" i="1"/>
  <c r="Q861" i="1"/>
  <c r="S861" i="1" s="1"/>
  <c r="N861" i="1"/>
  <c r="J860" i="1"/>
  <c r="I860" i="1"/>
  <c r="H860" i="1"/>
  <c r="Q859" i="1"/>
  <c r="R859" i="1" s="1"/>
  <c r="N859" i="1"/>
  <c r="J858" i="1"/>
  <c r="I858" i="1"/>
  <c r="H858" i="1"/>
  <c r="Q857" i="1"/>
  <c r="S857" i="1" s="1"/>
  <c r="N857" i="1"/>
  <c r="Q855" i="1"/>
  <c r="S855" i="1" s="1"/>
  <c r="N855" i="1"/>
  <c r="Q853" i="1"/>
  <c r="Q847" i="1"/>
  <c r="S847" i="1" s="1"/>
  <c r="N847" i="1"/>
  <c r="J846" i="1"/>
  <c r="I846" i="1"/>
  <c r="H846" i="1"/>
  <c r="N845" i="1"/>
  <c r="Q845" i="1"/>
  <c r="J844" i="1"/>
  <c r="I844" i="1"/>
  <c r="H844" i="1"/>
  <c r="N843" i="1"/>
  <c r="Q843" i="1"/>
  <c r="J842" i="1"/>
  <c r="I842" i="1"/>
  <c r="H842" i="1"/>
  <c r="N841" i="1"/>
  <c r="Q841" i="1"/>
  <c r="J840" i="1"/>
  <c r="I840" i="1"/>
  <c r="H840" i="1"/>
  <c r="N839" i="1"/>
  <c r="Q839" i="1"/>
  <c r="J838" i="1"/>
  <c r="I838" i="1"/>
  <c r="H838" i="1"/>
  <c r="N837" i="1"/>
  <c r="Q837" i="1"/>
  <c r="J836" i="1"/>
  <c r="I836" i="1"/>
  <c r="H836" i="1"/>
  <c r="N835" i="1"/>
  <c r="Q835" i="1"/>
  <c r="J834" i="1"/>
  <c r="I834" i="1"/>
  <c r="H834" i="1"/>
  <c r="N833" i="1"/>
  <c r="Q833" i="1"/>
  <c r="Q831" i="1"/>
  <c r="L831" i="1"/>
  <c r="V831" i="1" s="1"/>
  <c r="K831" i="1"/>
  <c r="J831" i="1"/>
  <c r="N831" i="1" s="1"/>
  <c r="I831" i="1"/>
  <c r="H831" i="1"/>
  <c r="Q829" i="1"/>
  <c r="Q823" i="1"/>
  <c r="Q821" i="1"/>
  <c r="Q819" i="1"/>
  <c r="R819" i="1" s="1"/>
  <c r="N819" i="1"/>
  <c r="J818" i="1"/>
  <c r="I818" i="1"/>
  <c r="H818" i="1"/>
  <c r="Q817" i="1"/>
  <c r="S817" i="1" s="1"/>
  <c r="N817" i="1"/>
  <c r="J816" i="1"/>
  <c r="I816" i="1"/>
  <c r="H816" i="1"/>
  <c r="Q815" i="1"/>
  <c r="R815" i="1" s="1"/>
  <c r="N815" i="1"/>
  <c r="Q813" i="1"/>
  <c r="S813" i="1" s="1"/>
  <c r="N813" i="1"/>
  <c r="Q811" i="1"/>
  <c r="R811" i="1" s="1"/>
  <c r="Q785" i="1"/>
  <c r="Q783" i="1"/>
  <c r="Q781" i="1"/>
  <c r="Q779" i="1"/>
  <c r="Q777" i="1"/>
  <c r="R777" i="1" s="1"/>
  <c r="N777" i="1"/>
  <c r="J776" i="1"/>
  <c r="I776" i="1"/>
  <c r="Q775" i="1"/>
  <c r="N775" i="1"/>
  <c r="J774" i="1"/>
  <c r="I774" i="1"/>
  <c r="Q773" i="1"/>
  <c r="N773" i="1"/>
  <c r="H773" i="1"/>
  <c r="H774" i="1" s="1"/>
  <c r="J772" i="1"/>
  <c r="I772" i="1"/>
  <c r="Q771" i="1"/>
  <c r="R771" i="1" s="1"/>
  <c r="N771" i="1"/>
  <c r="H771" i="1"/>
  <c r="U771" i="1" s="1"/>
  <c r="J770" i="1"/>
  <c r="I770" i="1"/>
  <c r="Q769" i="1"/>
  <c r="N769" i="1"/>
  <c r="H769" i="1"/>
  <c r="U769" i="1" s="1"/>
  <c r="J768" i="1"/>
  <c r="I768" i="1"/>
  <c r="Q767" i="1"/>
  <c r="S767" i="1" s="1"/>
  <c r="N767" i="1"/>
  <c r="J766" i="1"/>
  <c r="I766" i="1"/>
  <c r="H766" i="1"/>
  <c r="Q765" i="1"/>
  <c r="N765" i="1"/>
  <c r="Q745" i="1"/>
  <c r="S745" i="1" s="1"/>
  <c r="N745" i="1"/>
  <c r="J744" i="1"/>
  <c r="I744" i="1"/>
  <c r="H744" i="1"/>
  <c r="Q743" i="1"/>
  <c r="N743" i="1"/>
  <c r="J742" i="1"/>
  <c r="I742" i="1"/>
  <c r="H742" i="1"/>
  <c r="Q741" i="1"/>
  <c r="S741" i="1" s="1"/>
  <c r="N741" i="1"/>
  <c r="J740" i="1"/>
  <c r="I740" i="1"/>
  <c r="H740" i="1"/>
  <c r="Q739" i="1"/>
  <c r="R739" i="1" s="1"/>
  <c r="N739" i="1"/>
  <c r="J738" i="1"/>
  <c r="I738" i="1"/>
  <c r="H738" i="1"/>
  <c r="Q737" i="1"/>
  <c r="S737" i="1" s="1"/>
  <c r="N737" i="1"/>
  <c r="J736" i="1"/>
  <c r="I736" i="1"/>
  <c r="H736" i="1"/>
  <c r="Q735" i="1"/>
  <c r="R735" i="1" s="1"/>
  <c r="N735" i="1"/>
  <c r="J734" i="1"/>
  <c r="I734" i="1"/>
  <c r="H734" i="1"/>
  <c r="Q733" i="1"/>
  <c r="S733" i="1" s="1"/>
  <c r="N733" i="1"/>
  <c r="J732" i="1"/>
  <c r="I732" i="1"/>
  <c r="H732" i="1"/>
  <c r="Q731" i="1"/>
  <c r="CD28" i="2" s="1"/>
  <c r="N731" i="1"/>
  <c r="J730" i="1"/>
  <c r="I730" i="1"/>
  <c r="H730" i="1"/>
  <c r="Q729" i="1"/>
  <c r="S729" i="1" s="1"/>
  <c r="N729" i="1"/>
  <c r="Q719" i="1"/>
  <c r="N719" i="1"/>
  <c r="I718" i="1"/>
  <c r="Q717" i="1"/>
  <c r="N717" i="1"/>
  <c r="I716" i="1"/>
  <c r="Q715" i="1"/>
  <c r="N715" i="1"/>
  <c r="I714" i="1"/>
  <c r="Q713" i="1"/>
  <c r="N713" i="1"/>
  <c r="I712" i="1"/>
  <c r="Q711" i="1"/>
  <c r="N711" i="1"/>
  <c r="I710" i="1"/>
  <c r="Q709" i="1"/>
  <c r="N709" i="1"/>
  <c r="I708" i="1"/>
  <c r="Q707" i="1"/>
  <c r="N707" i="1"/>
  <c r="Q676" i="1"/>
  <c r="R676" i="1" s="1"/>
  <c r="N676" i="1"/>
  <c r="J675" i="1"/>
  <c r="I675" i="1"/>
  <c r="H675" i="1"/>
  <c r="Q674" i="1"/>
  <c r="J673" i="1"/>
  <c r="I673" i="1"/>
  <c r="H673" i="1"/>
  <c r="Q672" i="1"/>
  <c r="S672" i="1" s="1"/>
  <c r="L672" i="1"/>
  <c r="J671" i="1"/>
  <c r="I671" i="1"/>
  <c r="H671" i="1"/>
  <c r="Q670" i="1"/>
  <c r="S670" i="1" s="1"/>
  <c r="J669" i="1"/>
  <c r="I669" i="1"/>
  <c r="H669" i="1"/>
  <c r="Q668" i="1"/>
  <c r="S668" i="1" s="1"/>
  <c r="J667" i="1"/>
  <c r="I667" i="1"/>
  <c r="H667" i="1"/>
  <c r="Q666" i="1"/>
  <c r="S666" i="1" s="1"/>
  <c r="J665" i="1"/>
  <c r="I665" i="1"/>
  <c r="H665" i="1"/>
  <c r="Q664" i="1"/>
  <c r="R664" i="1" s="1"/>
  <c r="J663" i="1"/>
  <c r="I663" i="1"/>
  <c r="H663" i="1"/>
  <c r="Q662" i="1"/>
  <c r="R662" i="1" s="1"/>
  <c r="K662" i="1"/>
  <c r="O662" i="1" s="1"/>
  <c r="J661" i="1"/>
  <c r="I661" i="1"/>
  <c r="Q660" i="1"/>
  <c r="CD21" i="2" s="1"/>
  <c r="CE21" i="2" s="1"/>
  <c r="J659" i="1"/>
  <c r="I659" i="1"/>
  <c r="Q658" i="1"/>
  <c r="R658" i="1" s="1"/>
  <c r="Q650" i="1"/>
  <c r="N650" i="1"/>
  <c r="J649" i="1"/>
  <c r="I649" i="1"/>
  <c r="H649" i="1"/>
  <c r="Q648" i="1"/>
  <c r="N648" i="1"/>
  <c r="J647" i="1"/>
  <c r="I647" i="1"/>
  <c r="H647" i="1"/>
  <c r="Q646" i="1"/>
  <c r="R646" i="1" s="1"/>
  <c r="N646" i="1"/>
  <c r="J645" i="1"/>
  <c r="I645" i="1"/>
  <c r="H645" i="1"/>
  <c r="Q644" i="1"/>
  <c r="N644" i="1"/>
  <c r="J643" i="1"/>
  <c r="I643" i="1"/>
  <c r="H643" i="1"/>
  <c r="Q642" i="1"/>
  <c r="S642" i="1" s="1"/>
  <c r="N642" i="1"/>
  <c r="J641" i="1"/>
  <c r="I641" i="1"/>
  <c r="H641" i="1"/>
  <c r="Q640" i="1"/>
  <c r="S640" i="1" s="1"/>
  <c r="N640" i="1"/>
  <c r="J639" i="1"/>
  <c r="I639" i="1"/>
  <c r="Q638" i="1"/>
  <c r="N638" i="1"/>
  <c r="H638" i="1"/>
  <c r="H639" i="1" s="1"/>
  <c r="J637" i="1"/>
  <c r="I637" i="1"/>
  <c r="Q636" i="1"/>
  <c r="S636" i="1" s="1"/>
  <c r="N636" i="1"/>
  <c r="Q616" i="1"/>
  <c r="J615" i="1"/>
  <c r="I615" i="1"/>
  <c r="H615" i="1"/>
  <c r="Q614" i="1"/>
  <c r="S614" i="1" s="1"/>
  <c r="J613" i="1"/>
  <c r="I613" i="1"/>
  <c r="H613" i="1"/>
  <c r="Q612" i="1"/>
  <c r="R612" i="1" s="1"/>
  <c r="J611" i="1"/>
  <c r="I611" i="1"/>
  <c r="Q610" i="1"/>
  <c r="H610" i="1"/>
  <c r="H609" i="1" s="1"/>
  <c r="J609" i="1"/>
  <c r="I609" i="1"/>
  <c r="Q608" i="1"/>
  <c r="S608" i="1" s="1"/>
  <c r="J607" i="1"/>
  <c r="H607" i="1"/>
  <c r="Q606" i="1"/>
  <c r="R606" i="1" s="1"/>
  <c r="J605" i="1"/>
  <c r="Q604" i="1"/>
  <c r="CD26" i="2" s="1"/>
  <c r="H604" i="1"/>
  <c r="H605" i="1" s="1"/>
  <c r="J603" i="1"/>
  <c r="Q602" i="1"/>
  <c r="I603" i="1"/>
  <c r="J601" i="1"/>
  <c r="Q600" i="1"/>
  <c r="Q588" i="1"/>
  <c r="S588" i="1" s="1"/>
  <c r="N588" i="1"/>
  <c r="J587" i="1"/>
  <c r="I587" i="1"/>
  <c r="H587" i="1"/>
  <c r="Q586" i="1"/>
  <c r="S586" i="1" s="1"/>
  <c r="N586" i="1"/>
  <c r="J585" i="1"/>
  <c r="I585" i="1"/>
  <c r="H585" i="1"/>
  <c r="Q584" i="1"/>
  <c r="S584" i="1" s="1"/>
  <c r="N584" i="1"/>
  <c r="J583" i="1"/>
  <c r="I583" i="1"/>
  <c r="H583" i="1"/>
  <c r="Q582" i="1"/>
  <c r="S582" i="1" s="1"/>
  <c r="N582" i="1"/>
  <c r="J581" i="1"/>
  <c r="I581" i="1"/>
  <c r="H581" i="1"/>
  <c r="Q580" i="1"/>
  <c r="R580" i="1" s="1"/>
  <c r="N580" i="1"/>
  <c r="J574" i="1"/>
  <c r="I574" i="1"/>
  <c r="H574" i="1"/>
  <c r="N573" i="1"/>
  <c r="J572" i="1"/>
  <c r="I572" i="1"/>
  <c r="H572" i="1"/>
  <c r="N571" i="1"/>
  <c r="J570" i="1"/>
  <c r="I570" i="1"/>
  <c r="H570" i="1"/>
  <c r="N569" i="1"/>
  <c r="J568" i="1"/>
  <c r="I568" i="1"/>
  <c r="H568" i="1"/>
  <c r="N567" i="1"/>
  <c r="J566" i="1"/>
  <c r="I566" i="1"/>
  <c r="H566" i="1"/>
  <c r="N565" i="1"/>
  <c r="J564" i="1"/>
  <c r="I564" i="1"/>
  <c r="H564" i="1"/>
  <c r="N563" i="1"/>
  <c r="J562" i="1"/>
  <c r="I562" i="1"/>
  <c r="H562" i="1"/>
  <c r="N561" i="1"/>
  <c r="J560" i="1"/>
  <c r="I560" i="1"/>
  <c r="H560" i="1"/>
  <c r="Q559" i="1"/>
  <c r="R559" i="1" s="1"/>
  <c r="N559" i="1"/>
  <c r="Q557" i="1"/>
  <c r="Q549" i="1"/>
  <c r="S549" i="1" s="1"/>
  <c r="N549" i="1"/>
  <c r="J548" i="1"/>
  <c r="I548" i="1"/>
  <c r="H548" i="1"/>
  <c r="Q547" i="1"/>
  <c r="R547" i="1" s="1"/>
  <c r="N547" i="1"/>
  <c r="J546" i="1"/>
  <c r="I546" i="1"/>
  <c r="H546" i="1"/>
  <c r="Q545" i="1"/>
  <c r="S545" i="1" s="1"/>
  <c r="N545" i="1"/>
  <c r="J544" i="1"/>
  <c r="I544" i="1"/>
  <c r="H544" i="1"/>
  <c r="Q543" i="1"/>
  <c r="N543" i="1"/>
  <c r="J542" i="1"/>
  <c r="I542" i="1"/>
  <c r="H542" i="1"/>
  <c r="Q541" i="1"/>
  <c r="S541" i="1" s="1"/>
  <c r="N541" i="1"/>
  <c r="J540" i="1"/>
  <c r="I540" i="1"/>
  <c r="H540" i="1"/>
  <c r="Q539" i="1"/>
  <c r="R539" i="1" s="1"/>
  <c r="N539" i="1"/>
  <c r="J538" i="1"/>
  <c r="I538" i="1"/>
  <c r="H538" i="1"/>
  <c r="Q537" i="1"/>
  <c r="S537" i="1" s="1"/>
  <c r="N537" i="1"/>
  <c r="J536" i="1"/>
  <c r="I536" i="1"/>
  <c r="H536" i="1"/>
  <c r="Q535" i="1"/>
  <c r="R535" i="1" s="1"/>
  <c r="N535" i="1"/>
  <c r="J534" i="1"/>
  <c r="I534" i="1"/>
  <c r="H534" i="1"/>
  <c r="Q533" i="1"/>
  <c r="S533" i="1" s="1"/>
  <c r="N533" i="1"/>
  <c r="J532" i="1"/>
  <c r="I532" i="1"/>
  <c r="H532" i="1"/>
  <c r="Q531" i="1"/>
  <c r="R531" i="1" s="1"/>
  <c r="N531" i="1"/>
  <c r="J530" i="1"/>
  <c r="I530" i="1"/>
  <c r="H530" i="1"/>
  <c r="Q529" i="1"/>
  <c r="S529" i="1" s="1"/>
  <c r="N529" i="1"/>
  <c r="J528" i="1"/>
  <c r="I528" i="1"/>
  <c r="H528" i="1"/>
  <c r="Q527" i="1"/>
  <c r="N527" i="1"/>
  <c r="Q525" i="1"/>
  <c r="N521" i="1"/>
  <c r="Q521" i="1"/>
  <c r="J520" i="1"/>
  <c r="I520" i="1"/>
  <c r="H520" i="1"/>
  <c r="N519" i="1"/>
  <c r="Q519" i="1"/>
  <c r="J518" i="1"/>
  <c r="I518" i="1"/>
  <c r="H518" i="1"/>
  <c r="N517" i="1"/>
  <c r="Q517" i="1"/>
  <c r="J516" i="1"/>
  <c r="I516" i="1"/>
  <c r="H516" i="1"/>
  <c r="N515" i="1"/>
  <c r="Q515" i="1"/>
  <c r="R515" i="1" s="1"/>
  <c r="J514" i="1"/>
  <c r="I514" i="1"/>
  <c r="H514" i="1"/>
  <c r="N513" i="1"/>
  <c r="Q513" i="1"/>
  <c r="J512" i="1"/>
  <c r="I512" i="1"/>
  <c r="H512" i="1"/>
  <c r="N511" i="1"/>
  <c r="Q511" i="1"/>
  <c r="S511" i="1" s="1"/>
  <c r="J510" i="1"/>
  <c r="I510" i="1"/>
  <c r="H510" i="1"/>
  <c r="N509" i="1"/>
  <c r="Q509" i="1"/>
  <c r="J508" i="1"/>
  <c r="I508" i="1"/>
  <c r="H508" i="1"/>
  <c r="Q507" i="1"/>
  <c r="S507" i="1" s="1"/>
  <c r="N507" i="1"/>
  <c r="J506" i="1"/>
  <c r="I506" i="1"/>
  <c r="H506" i="1"/>
  <c r="Q505" i="1"/>
  <c r="S505" i="1" s="1"/>
  <c r="N505" i="1"/>
  <c r="Q501" i="1"/>
  <c r="S501" i="1" s="1"/>
  <c r="N501" i="1"/>
  <c r="J500" i="1"/>
  <c r="I500" i="1"/>
  <c r="H500" i="1"/>
  <c r="Q499" i="1"/>
  <c r="R499" i="1" s="1"/>
  <c r="N499" i="1"/>
  <c r="J498" i="1"/>
  <c r="I498" i="1"/>
  <c r="H498" i="1"/>
  <c r="Q497" i="1"/>
  <c r="S497" i="1" s="1"/>
  <c r="N497" i="1"/>
  <c r="J496" i="1"/>
  <c r="I496" i="1"/>
  <c r="H496" i="1"/>
  <c r="Q495" i="1"/>
  <c r="R495" i="1" s="1"/>
  <c r="N495" i="1"/>
  <c r="J494" i="1"/>
  <c r="I494" i="1"/>
  <c r="H494" i="1"/>
  <c r="Q493" i="1"/>
  <c r="S493" i="1" s="1"/>
  <c r="N493" i="1"/>
  <c r="J492" i="1"/>
  <c r="I492" i="1"/>
  <c r="H492" i="1"/>
  <c r="Q491" i="1"/>
  <c r="S491" i="1" s="1"/>
  <c r="N491" i="1"/>
  <c r="J490" i="1"/>
  <c r="I490" i="1"/>
  <c r="H490" i="1"/>
  <c r="Q489" i="1"/>
  <c r="S489" i="1" s="1"/>
  <c r="N489" i="1"/>
  <c r="J488" i="1"/>
  <c r="I488" i="1"/>
  <c r="H488" i="1"/>
  <c r="Q487" i="1"/>
  <c r="S487" i="1" s="1"/>
  <c r="N487" i="1"/>
  <c r="J486" i="1"/>
  <c r="I486" i="1"/>
  <c r="H486" i="1"/>
  <c r="Q485" i="1"/>
  <c r="R485" i="1" s="1"/>
  <c r="N485" i="1"/>
  <c r="Q483" i="1"/>
  <c r="R483" i="1" s="1"/>
  <c r="J483" i="1"/>
  <c r="N483" i="1" s="1"/>
  <c r="I483" i="1"/>
  <c r="Q481" i="1"/>
  <c r="S481" i="1" s="1"/>
  <c r="N481" i="1"/>
  <c r="Q479" i="1"/>
  <c r="R479" i="1" s="1"/>
  <c r="N479" i="1"/>
  <c r="Q473" i="1"/>
  <c r="R473" i="1" s="1"/>
  <c r="N473" i="1"/>
  <c r="J472" i="1"/>
  <c r="I472" i="1"/>
  <c r="H472" i="1"/>
  <c r="Q471" i="1"/>
  <c r="R471" i="1" s="1"/>
  <c r="N471" i="1"/>
  <c r="J470" i="1"/>
  <c r="I470" i="1"/>
  <c r="H470" i="1"/>
  <c r="Q469" i="1"/>
  <c r="R469" i="1" s="1"/>
  <c r="N469" i="1"/>
  <c r="J468" i="1"/>
  <c r="I468" i="1"/>
  <c r="H468" i="1"/>
  <c r="Q467" i="1"/>
  <c r="R467" i="1" s="1"/>
  <c r="N467" i="1"/>
  <c r="J466" i="1"/>
  <c r="I466" i="1"/>
  <c r="H466" i="1"/>
  <c r="Q465" i="1"/>
  <c r="R465" i="1" s="1"/>
  <c r="N465" i="1"/>
  <c r="J464" i="1"/>
  <c r="Q463" i="1"/>
  <c r="L463" i="1"/>
  <c r="M463" i="1" s="1"/>
  <c r="I463" i="1"/>
  <c r="H463" i="1"/>
  <c r="J448" i="1"/>
  <c r="I448" i="1"/>
  <c r="H448" i="1"/>
  <c r="J446" i="1"/>
  <c r="I446" i="1"/>
  <c r="H446" i="1"/>
  <c r="J444" i="1"/>
  <c r="I444" i="1"/>
  <c r="H444" i="1"/>
  <c r="Q443" i="1"/>
  <c r="R443" i="1" s="1"/>
  <c r="N443" i="1"/>
  <c r="J442" i="1"/>
  <c r="I442" i="1"/>
  <c r="H442" i="1"/>
  <c r="Q441" i="1"/>
  <c r="R441" i="1" s="1"/>
  <c r="N441" i="1"/>
  <c r="J440" i="1"/>
  <c r="I440" i="1"/>
  <c r="H440" i="1"/>
  <c r="Q439" i="1"/>
  <c r="R439" i="1" s="1"/>
  <c r="N439" i="1"/>
  <c r="J438" i="1"/>
  <c r="I438" i="1"/>
  <c r="H438" i="1"/>
  <c r="Q437" i="1"/>
  <c r="R437" i="1" s="1"/>
  <c r="N437" i="1"/>
  <c r="J436" i="1"/>
  <c r="H436" i="1"/>
  <c r="Q435" i="1"/>
  <c r="R435" i="1" s="1"/>
  <c r="N435" i="1"/>
  <c r="I435" i="1"/>
  <c r="J434" i="1"/>
  <c r="H434" i="1"/>
  <c r="Q433" i="1"/>
  <c r="S433" i="1" s="1"/>
  <c r="N433" i="1"/>
  <c r="Q431" i="1"/>
  <c r="Q425" i="1"/>
  <c r="J424" i="1"/>
  <c r="I424" i="1"/>
  <c r="H424" i="1"/>
  <c r="Q423" i="1"/>
  <c r="R423" i="1" s="1"/>
  <c r="J422" i="1"/>
  <c r="I422" i="1"/>
  <c r="H422" i="1"/>
  <c r="Q421" i="1"/>
  <c r="S421" i="1" s="1"/>
  <c r="J420" i="1"/>
  <c r="I420" i="1"/>
  <c r="H420" i="1"/>
  <c r="Q419" i="1"/>
  <c r="S419" i="1" s="1"/>
  <c r="J418" i="1"/>
  <c r="I418" i="1"/>
  <c r="H418" i="1"/>
  <c r="Q417" i="1"/>
  <c r="S417" i="1" s="1"/>
  <c r="J416" i="1"/>
  <c r="I416" i="1"/>
  <c r="H416" i="1"/>
  <c r="Q415" i="1"/>
  <c r="S415" i="1" s="1"/>
  <c r="J414" i="1"/>
  <c r="I414" i="1"/>
  <c r="H414" i="1"/>
  <c r="Q413" i="1"/>
  <c r="S413" i="1" s="1"/>
  <c r="J412" i="1"/>
  <c r="I412" i="1"/>
  <c r="H412" i="1"/>
  <c r="Q411" i="1"/>
  <c r="R411" i="1" s="1"/>
  <c r="J410" i="1"/>
  <c r="I410" i="1"/>
  <c r="H410" i="1"/>
  <c r="Q409" i="1"/>
  <c r="S409" i="1" s="1"/>
  <c r="Q397" i="1"/>
  <c r="R397" i="1" s="1"/>
  <c r="N397" i="1"/>
  <c r="K397" i="1"/>
  <c r="O397" i="1" s="1"/>
  <c r="J396" i="1"/>
  <c r="I396" i="1"/>
  <c r="H396" i="1"/>
  <c r="Q395" i="1"/>
  <c r="R395" i="1" s="1"/>
  <c r="N395" i="1"/>
  <c r="K395" i="1"/>
  <c r="O395" i="1" s="1"/>
  <c r="J394" i="1"/>
  <c r="I394" i="1"/>
  <c r="H394" i="1"/>
  <c r="Q393" i="1"/>
  <c r="R393" i="1" s="1"/>
  <c r="N393" i="1"/>
  <c r="K393" i="1"/>
  <c r="J392" i="1"/>
  <c r="I392" i="1"/>
  <c r="H392" i="1"/>
  <c r="Q391" i="1"/>
  <c r="R391" i="1" s="1"/>
  <c r="N391" i="1"/>
  <c r="K391" i="1"/>
  <c r="O391" i="1" s="1"/>
  <c r="J390" i="1"/>
  <c r="I390" i="1"/>
  <c r="H390" i="1"/>
  <c r="Q389" i="1"/>
  <c r="S389" i="1" s="1"/>
  <c r="N389" i="1"/>
  <c r="J388" i="1"/>
  <c r="I388" i="1"/>
  <c r="H388" i="1"/>
  <c r="Q387" i="1"/>
  <c r="S387" i="1" s="1"/>
  <c r="N387" i="1"/>
  <c r="J386" i="1"/>
  <c r="I386" i="1"/>
  <c r="H386" i="1"/>
  <c r="Q385" i="1"/>
  <c r="S385" i="1" s="1"/>
  <c r="N385" i="1"/>
  <c r="J384" i="1"/>
  <c r="I384" i="1"/>
  <c r="H384" i="1"/>
  <c r="P383" i="1"/>
  <c r="N383" i="1"/>
  <c r="Q377" i="1"/>
  <c r="L377" i="1"/>
  <c r="M377" i="1" s="1"/>
  <c r="K377" i="1"/>
  <c r="J377" i="1"/>
  <c r="I377" i="1"/>
  <c r="H377" i="1"/>
  <c r="Q375" i="1"/>
  <c r="L375" i="1"/>
  <c r="M375" i="1" s="1"/>
  <c r="K375" i="1"/>
  <c r="J375" i="1"/>
  <c r="I375" i="1"/>
  <c r="H375" i="1"/>
  <c r="Q373" i="1"/>
  <c r="L373" i="1"/>
  <c r="M373" i="1" s="1"/>
  <c r="K373" i="1"/>
  <c r="J373" i="1"/>
  <c r="I373" i="1"/>
  <c r="H373" i="1"/>
  <c r="H372" i="1" s="1"/>
  <c r="Q371" i="1"/>
  <c r="L371" i="1"/>
  <c r="K371" i="1"/>
  <c r="U371" i="1" s="1"/>
  <c r="J371" i="1"/>
  <c r="I370" i="1"/>
  <c r="P369" i="1"/>
  <c r="L369" i="1"/>
  <c r="K369" i="1"/>
  <c r="J369" i="1"/>
  <c r="H369" i="1"/>
  <c r="H370" i="1" s="1"/>
  <c r="Q367" i="1"/>
  <c r="L367" i="1"/>
  <c r="K367" i="1"/>
  <c r="I367" i="1"/>
  <c r="H367" i="1"/>
  <c r="Q365" i="1"/>
  <c r="L365" i="1"/>
  <c r="K365" i="1"/>
  <c r="J365" i="1"/>
  <c r="J366" i="1" s="1"/>
  <c r="I365" i="1"/>
  <c r="H365" i="1"/>
  <c r="Q353" i="1"/>
  <c r="R353" i="1" s="1"/>
  <c r="Q351" i="1"/>
  <c r="R351" i="1" s="1"/>
  <c r="J350" i="1"/>
  <c r="I350" i="1"/>
  <c r="H350" i="1"/>
  <c r="Q349" i="1"/>
  <c r="R349" i="1" s="1"/>
  <c r="J348" i="1"/>
  <c r="I348" i="1"/>
  <c r="H348" i="1"/>
  <c r="Q347" i="1"/>
  <c r="R347" i="1" s="1"/>
  <c r="J346" i="1"/>
  <c r="I346" i="1"/>
  <c r="H346" i="1"/>
  <c r="Q345" i="1"/>
  <c r="R345" i="1" s="1"/>
  <c r="J344" i="1"/>
  <c r="I344" i="1"/>
  <c r="H344" i="1"/>
  <c r="Q343" i="1"/>
  <c r="S343" i="1" s="1"/>
  <c r="J342" i="1"/>
  <c r="I342" i="1"/>
  <c r="H342" i="1"/>
  <c r="Q341" i="1"/>
  <c r="R341" i="1" s="1"/>
  <c r="J340" i="1"/>
  <c r="I340" i="1"/>
  <c r="H340" i="1"/>
  <c r="Q339" i="1"/>
  <c r="R339" i="1" s="1"/>
  <c r="J338" i="1"/>
  <c r="I338" i="1"/>
  <c r="H338" i="1"/>
  <c r="Q337" i="1"/>
  <c r="R337" i="1" s="1"/>
  <c r="J336" i="1"/>
  <c r="I336" i="1"/>
  <c r="H336" i="1"/>
  <c r="Q335" i="1"/>
  <c r="S335" i="1" s="1"/>
  <c r="J334" i="1"/>
  <c r="I334" i="1"/>
  <c r="H334" i="1"/>
  <c r="Q333" i="1"/>
  <c r="CD11" i="2" s="1"/>
  <c r="CE11" i="2" s="1"/>
  <c r="J332" i="1"/>
  <c r="I332" i="1"/>
  <c r="H332" i="1"/>
  <c r="Q331" i="1"/>
  <c r="R331" i="1" s="1"/>
  <c r="Q323" i="1"/>
  <c r="S323" i="1" s="1"/>
  <c r="J322" i="1"/>
  <c r="I322" i="1"/>
  <c r="H322" i="1"/>
  <c r="Q321" i="1"/>
  <c r="S321" i="1" s="1"/>
  <c r="J320" i="1"/>
  <c r="I320" i="1"/>
  <c r="H320" i="1"/>
  <c r="Q319" i="1"/>
  <c r="S319" i="1" s="1"/>
  <c r="N319" i="1"/>
  <c r="J318" i="1"/>
  <c r="I318" i="1"/>
  <c r="H318" i="1"/>
  <c r="Q317" i="1"/>
  <c r="R317" i="1" s="1"/>
  <c r="N317" i="1"/>
  <c r="J316" i="1"/>
  <c r="I316" i="1"/>
  <c r="H316" i="1"/>
  <c r="Q315" i="1"/>
  <c r="R315" i="1" s="1"/>
  <c r="N315" i="1"/>
  <c r="I310" i="1"/>
  <c r="Q309" i="1"/>
  <c r="S309" i="1" s="1"/>
  <c r="N309" i="1"/>
  <c r="J308" i="1"/>
  <c r="I308" i="1"/>
  <c r="H308" i="1"/>
  <c r="Q307" i="1"/>
  <c r="R307" i="1" s="1"/>
  <c r="N307" i="1"/>
  <c r="J306" i="1"/>
  <c r="I306" i="1"/>
  <c r="H306" i="1"/>
  <c r="Q305" i="1"/>
  <c r="S305" i="1" s="1"/>
  <c r="N305" i="1"/>
  <c r="J304" i="1"/>
  <c r="I304" i="1"/>
  <c r="H304" i="1"/>
  <c r="Q303" i="1"/>
  <c r="S303" i="1" s="1"/>
  <c r="N303" i="1"/>
  <c r="J302" i="1"/>
  <c r="Q301" i="1"/>
  <c r="N301" i="1"/>
  <c r="I301" i="1"/>
  <c r="H301" i="1"/>
  <c r="H302" i="1" s="1"/>
  <c r="N230" i="1"/>
  <c r="J229" i="1"/>
  <c r="I229" i="1"/>
  <c r="H229" i="1"/>
  <c r="J227" i="1"/>
  <c r="I227" i="1"/>
  <c r="H227" i="1"/>
  <c r="J225" i="1"/>
  <c r="I225" i="1"/>
  <c r="H225" i="1"/>
  <c r="J223" i="1"/>
  <c r="I223" i="1"/>
  <c r="H223" i="1"/>
  <c r="Q222" i="1"/>
  <c r="S222" i="1" s="1"/>
  <c r="J221" i="1"/>
  <c r="I221" i="1"/>
  <c r="H221" i="1"/>
  <c r="Q220" i="1"/>
  <c r="S220" i="1" s="1"/>
  <c r="J219" i="1"/>
  <c r="I219" i="1"/>
  <c r="H219" i="1"/>
  <c r="Q218" i="1"/>
  <c r="R218" i="1" s="1"/>
  <c r="Q167" i="1"/>
  <c r="S167" i="1" s="1"/>
  <c r="N167" i="1"/>
  <c r="J166" i="1"/>
  <c r="I166" i="1"/>
  <c r="H166" i="1"/>
  <c r="Q165" i="1"/>
  <c r="S165" i="1" s="1"/>
  <c r="Q163" i="1"/>
  <c r="S163" i="1" s="1"/>
  <c r="N163" i="1"/>
  <c r="J162" i="1"/>
  <c r="I162" i="1"/>
  <c r="H162" i="1"/>
  <c r="Q161" i="1"/>
  <c r="R161" i="1" s="1"/>
  <c r="N161" i="1"/>
  <c r="J160" i="1"/>
  <c r="I160" i="1"/>
  <c r="H160" i="1"/>
  <c r="Q159" i="1"/>
  <c r="S159" i="1" s="1"/>
  <c r="N159" i="1"/>
  <c r="J158" i="1"/>
  <c r="I158" i="1"/>
  <c r="Q157" i="1"/>
  <c r="R157" i="1" s="1"/>
  <c r="N157" i="1"/>
  <c r="K157" i="1"/>
  <c r="O155" i="1" s="1"/>
  <c r="H157" i="1"/>
  <c r="J156" i="1"/>
  <c r="I156" i="1"/>
  <c r="Q155" i="1"/>
  <c r="R155" i="1" s="1"/>
  <c r="N155" i="1"/>
  <c r="J154" i="1"/>
  <c r="I154" i="1"/>
  <c r="H154" i="1"/>
  <c r="N153" i="1"/>
  <c r="J152" i="1"/>
  <c r="I152" i="1"/>
  <c r="H152" i="1"/>
  <c r="Q151" i="1"/>
  <c r="CD27" i="2" s="1"/>
  <c r="CE27" i="2" s="1"/>
  <c r="N151" i="1"/>
  <c r="J150" i="1"/>
  <c r="I150" i="1"/>
  <c r="H150" i="1"/>
  <c r="Q149" i="1"/>
  <c r="R149" i="1" s="1"/>
  <c r="N149" i="1"/>
  <c r="Q139" i="1"/>
  <c r="R139" i="1" s="1"/>
  <c r="N139" i="1"/>
  <c r="J138" i="1"/>
  <c r="I138" i="1"/>
  <c r="H138" i="1"/>
  <c r="Q137" i="1"/>
  <c r="R137" i="1" s="1"/>
  <c r="N137" i="1"/>
  <c r="J136" i="1"/>
  <c r="I136" i="1"/>
  <c r="H136" i="1"/>
  <c r="Q135" i="1"/>
  <c r="R135" i="1" s="1"/>
  <c r="N135" i="1"/>
  <c r="J134" i="1"/>
  <c r="I134" i="1"/>
  <c r="H134" i="1"/>
  <c r="Q133" i="1"/>
  <c r="R133" i="1" s="1"/>
  <c r="N133" i="1"/>
  <c r="J132" i="1"/>
  <c r="I132" i="1"/>
  <c r="H132" i="1"/>
  <c r="Q131" i="1"/>
  <c r="R131" i="1" s="1"/>
  <c r="N131" i="1"/>
  <c r="J130" i="1"/>
  <c r="I130" i="1"/>
  <c r="H130" i="1"/>
  <c r="Q129" i="1"/>
  <c r="R129" i="1" s="1"/>
  <c r="N129" i="1"/>
  <c r="Q115" i="1"/>
  <c r="R115" i="1" s="1"/>
  <c r="N115" i="1"/>
  <c r="J114" i="1"/>
  <c r="I114" i="1"/>
  <c r="H114" i="1"/>
  <c r="Q113" i="1"/>
  <c r="R113" i="1" s="1"/>
  <c r="N113" i="1"/>
  <c r="J112" i="1"/>
  <c r="I112" i="1"/>
  <c r="H112" i="1"/>
  <c r="Q111" i="1"/>
  <c r="R111" i="1" s="1"/>
  <c r="N111" i="1"/>
  <c r="J110" i="1"/>
  <c r="I110" i="1"/>
  <c r="Q109" i="1"/>
  <c r="R109" i="1" s="1"/>
  <c r="N109" i="1"/>
  <c r="J108" i="1"/>
  <c r="I108" i="1"/>
  <c r="Q107" i="1"/>
  <c r="R107" i="1" s="1"/>
  <c r="J106" i="1"/>
  <c r="I106" i="1"/>
  <c r="H106" i="1"/>
  <c r="Q105" i="1"/>
  <c r="R105" i="1" s="1"/>
  <c r="N105" i="1"/>
  <c r="J104" i="1"/>
  <c r="I104" i="1"/>
  <c r="H104" i="1"/>
  <c r="Q103" i="1"/>
  <c r="R103" i="1" s="1"/>
  <c r="N103" i="1"/>
  <c r="J102" i="1"/>
  <c r="I102" i="1"/>
  <c r="Q101" i="1"/>
  <c r="R101" i="1" s="1"/>
  <c r="Q82" i="1"/>
  <c r="R82" i="1" s="1"/>
  <c r="N82" i="1"/>
  <c r="Q79" i="1"/>
  <c r="S79" i="1" s="1"/>
  <c r="Q76" i="1"/>
  <c r="R76" i="1" s="1"/>
  <c r="Q73" i="1"/>
  <c r="S73" i="1" s="1"/>
  <c r="N73" i="1"/>
  <c r="Q70" i="1"/>
  <c r="S70" i="1" s="1"/>
  <c r="N70" i="1"/>
  <c r="Q67" i="1"/>
  <c r="S67" i="1" s="1"/>
  <c r="N67" i="1"/>
  <c r="Q64" i="1"/>
  <c r="S64" i="1" s="1"/>
  <c r="P61" i="1"/>
  <c r="Q61" i="1" s="1"/>
  <c r="N61" i="1"/>
  <c r="J59" i="1"/>
  <c r="I59" i="1"/>
  <c r="H59" i="1"/>
  <c r="Q58" i="1"/>
  <c r="S58" i="1" s="1"/>
  <c r="N58" i="1"/>
  <c r="Q49" i="1"/>
  <c r="R49" i="1" s="1"/>
  <c r="N49" i="1"/>
  <c r="J48" i="1"/>
  <c r="I48" i="1"/>
  <c r="H48" i="1"/>
  <c r="Q47" i="1"/>
  <c r="R47" i="1" s="1"/>
  <c r="N47" i="1"/>
  <c r="J46" i="1"/>
  <c r="I46" i="1"/>
  <c r="H46" i="1"/>
  <c r="Q45" i="1"/>
  <c r="R45" i="1" s="1"/>
  <c r="N45" i="1"/>
  <c r="J44" i="1"/>
  <c r="I44" i="1"/>
  <c r="H44" i="1"/>
  <c r="Q43" i="1"/>
  <c r="R43" i="1" s="1"/>
  <c r="N43" i="1"/>
  <c r="J42" i="1"/>
  <c r="I42" i="1"/>
  <c r="H42" i="1"/>
  <c r="Q41" i="1"/>
  <c r="S41" i="1" s="1"/>
  <c r="N41" i="1"/>
  <c r="J40" i="1"/>
  <c r="I40" i="1"/>
  <c r="H40" i="1"/>
  <c r="Q39" i="1"/>
  <c r="R39" i="1" s="1"/>
  <c r="N39" i="1"/>
  <c r="J38" i="1"/>
  <c r="I38" i="1"/>
  <c r="H38" i="1"/>
  <c r="Q37" i="1"/>
  <c r="S37" i="1" s="1"/>
  <c r="J36" i="1"/>
  <c r="Q35" i="1"/>
  <c r="R35" i="1" s="1"/>
  <c r="N35" i="1"/>
  <c r="I35" i="1"/>
  <c r="H35" i="1"/>
  <c r="H36" i="1" s="1"/>
  <c r="Q23" i="1"/>
  <c r="S23" i="1" s="1"/>
  <c r="N23" i="1"/>
  <c r="J22" i="1"/>
  <c r="I22" i="1"/>
  <c r="Q21" i="1"/>
  <c r="R21" i="1" s="1"/>
  <c r="J20" i="1"/>
  <c r="I20" i="1"/>
  <c r="Q19" i="1"/>
  <c r="R19" i="1" s="1"/>
  <c r="J18" i="1"/>
  <c r="I18" i="1"/>
  <c r="Q17" i="1"/>
  <c r="R17" i="1" s="1"/>
  <c r="J16" i="1"/>
  <c r="I16" i="1"/>
  <c r="H16" i="1"/>
  <c r="Q15" i="1"/>
  <c r="S15" i="1" s="1"/>
  <c r="J14" i="1"/>
  <c r="I14" i="1"/>
  <c r="H14" i="1"/>
  <c r="Q13" i="1"/>
  <c r="R13" i="1" s="1"/>
  <c r="T11" i="1"/>
  <c r="J12" i="1"/>
  <c r="I12" i="1"/>
  <c r="H12" i="1"/>
  <c r="P11" i="1"/>
  <c r="J10" i="1"/>
  <c r="I10" i="1"/>
  <c r="H10" i="1"/>
  <c r="T9" i="1"/>
  <c r="Q9" i="1"/>
  <c r="R9" i="1" s="1"/>
  <c r="J8" i="1"/>
  <c r="I8" i="1"/>
  <c r="H8" i="1"/>
  <c r="Q7" i="1"/>
  <c r="R7" i="1" s="1"/>
  <c r="H3496" i="1" l="1"/>
  <c r="H3494" i="1"/>
  <c r="O672" i="1"/>
  <c r="N670" i="1"/>
  <c r="S2717" i="1"/>
  <c r="R2717" i="1"/>
  <c r="S1632" i="1"/>
  <c r="R1632" i="1"/>
  <c r="U1727" i="1"/>
  <c r="O1725" i="1"/>
  <c r="O1719" i="1"/>
  <c r="U1729" i="1"/>
  <c r="O1727" i="1"/>
  <c r="O1729" i="1"/>
  <c r="U1723" i="1"/>
  <c r="O1721" i="1"/>
  <c r="J2832" i="1"/>
  <c r="N2831" i="1"/>
  <c r="M2831" i="1"/>
  <c r="R2831" i="1" s="1"/>
  <c r="N2829" i="1"/>
  <c r="S4177" i="1"/>
  <c r="R4177" i="1"/>
  <c r="S1421" i="1"/>
  <c r="R1421" i="1"/>
  <c r="BE18" i="2"/>
  <c r="BJ18" i="2"/>
  <c r="M18" i="2"/>
  <c r="AH18" i="2"/>
  <c r="BF18" i="2"/>
  <c r="BH18" i="2"/>
  <c r="AG18" i="2"/>
  <c r="AN18" i="2"/>
  <c r="AQ18" i="2"/>
  <c r="AC18" i="2"/>
  <c r="AP18" i="2"/>
  <c r="AZ18" i="2" s="1"/>
  <c r="AY18" i="2"/>
  <c r="BD18" i="2"/>
  <c r="AS18" i="2"/>
  <c r="BC18" i="2"/>
  <c r="BG18" i="2"/>
  <c r="M2" i="2"/>
  <c r="M60" i="2"/>
  <c r="M124" i="2"/>
  <c r="M188" i="2"/>
  <c r="M252" i="2"/>
  <c r="M316" i="2"/>
  <c r="M64" i="2"/>
  <c r="M288" i="2"/>
  <c r="M153" i="2"/>
  <c r="M218" i="2"/>
  <c r="M107" i="2"/>
  <c r="M21" i="2"/>
  <c r="M85" i="2"/>
  <c r="M149" i="2"/>
  <c r="M213" i="2"/>
  <c r="M277" i="2"/>
  <c r="M341" i="2"/>
  <c r="M232" i="2"/>
  <c r="M38" i="2"/>
  <c r="M102" i="2"/>
  <c r="M166" i="2"/>
  <c r="M230" i="2"/>
  <c r="M294" i="2"/>
  <c r="M40" i="2"/>
  <c r="M304" i="2"/>
  <c r="M129" i="2"/>
  <c r="M226" i="2"/>
  <c r="M67" i="2"/>
  <c r="M323" i="2"/>
  <c r="M63" i="2"/>
  <c r="M127" i="2"/>
  <c r="M191" i="2"/>
  <c r="M255" i="2"/>
  <c r="M319" i="2"/>
  <c r="M112" i="2"/>
  <c r="M105" i="2"/>
  <c r="M258" i="2"/>
  <c r="M179" i="2"/>
  <c r="M83" i="2"/>
  <c r="M8" i="2"/>
  <c r="M329" i="2"/>
  <c r="M66" i="2"/>
  <c r="M130" i="2"/>
  <c r="M194" i="2"/>
  <c r="M331" i="2"/>
  <c r="M14" i="2"/>
  <c r="M143" i="2"/>
  <c r="M335" i="2"/>
  <c r="M169" i="2"/>
  <c r="M251" i="2"/>
  <c r="M17" i="2"/>
  <c r="M82" i="2"/>
  <c r="M339" i="2"/>
  <c r="M32" i="2"/>
  <c r="M254" i="2"/>
  <c r="M144" i="2"/>
  <c r="M217" i="2"/>
  <c r="M155" i="2"/>
  <c r="M87" i="2"/>
  <c r="M215" i="2"/>
  <c r="M208" i="2"/>
  <c r="M291" i="2"/>
  <c r="M161" i="2"/>
  <c r="M90" i="2"/>
  <c r="M234" i="2"/>
  <c r="M262" i="2"/>
  <c r="M322" i="2"/>
  <c r="M195" i="2"/>
  <c r="M159" i="2"/>
  <c r="M240" i="2"/>
  <c r="M219" i="2"/>
  <c r="M162" i="2"/>
  <c r="M3" i="2"/>
  <c r="M68" i="2"/>
  <c r="M132" i="2"/>
  <c r="M196" i="2"/>
  <c r="M260" i="2"/>
  <c r="M324" i="2"/>
  <c r="M88" i="2"/>
  <c r="M320" i="2"/>
  <c r="M177" i="2"/>
  <c r="M242" i="2"/>
  <c r="M139" i="2"/>
  <c r="M29" i="2"/>
  <c r="M93" i="2"/>
  <c r="M157" i="2"/>
  <c r="M221" i="2"/>
  <c r="M285" i="2"/>
  <c r="M349" i="2"/>
  <c r="M256" i="2"/>
  <c r="M46" i="2"/>
  <c r="M110" i="2"/>
  <c r="M174" i="2"/>
  <c r="M238" i="2"/>
  <c r="M302" i="2"/>
  <c r="M80" i="2"/>
  <c r="M328" i="2"/>
  <c r="M145" i="2"/>
  <c r="M250" i="2"/>
  <c r="M99" i="2"/>
  <c r="M6" i="2"/>
  <c r="M71" i="2"/>
  <c r="M135" i="2"/>
  <c r="M199" i="2"/>
  <c r="M263" i="2"/>
  <c r="M327" i="2"/>
  <c r="M152" i="2"/>
  <c r="M137" i="2"/>
  <c r="M298" i="2"/>
  <c r="M211" i="2"/>
  <c r="M131" i="2"/>
  <c r="M81" i="2"/>
  <c r="M9" i="2"/>
  <c r="M74" i="2"/>
  <c r="M138" i="2"/>
  <c r="M202" i="2"/>
  <c r="M355" i="2"/>
  <c r="M79" i="2"/>
  <c r="M207" i="2"/>
  <c r="M271" i="2"/>
  <c r="M176" i="2"/>
  <c r="M330" i="2"/>
  <c r="M163" i="2"/>
  <c r="M121" i="2"/>
  <c r="M146" i="2"/>
  <c r="M210" i="2"/>
  <c r="M301" i="2"/>
  <c r="M62" i="2"/>
  <c r="M126" i="2"/>
  <c r="M190" i="2"/>
  <c r="M318" i="2"/>
  <c r="M16" i="2"/>
  <c r="M306" i="2"/>
  <c r="M23" i="2"/>
  <c r="M151" i="2"/>
  <c r="M279" i="2"/>
  <c r="M201" i="2"/>
  <c r="M10" i="2"/>
  <c r="M187" i="2"/>
  <c r="M26" i="2"/>
  <c r="M154" i="2"/>
  <c r="M326" i="2"/>
  <c r="M287" i="2"/>
  <c r="M7" i="2"/>
  <c r="M98" i="2"/>
  <c r="M11" i="2"/>
  <c r="M76" i="2"/>
  <c r="M140" i="2"/>
  <c r="M204" i="2"/>
  <c r="M268" i="2"/>
  <c r="M332" i="2"/>
  <c r="M104" i="2"/>
  <c r="M344" i="2"/>
  <c r="M209" i="2"/>
  <c r="M266" i="2"/>
  <c r="M171" i="2"/>
  <c r="M37" i="2"/>
  <c r="M101" i="2"/>
  <c r="M165" i="2"/>
  <c r="M229" i="2"/>
  <c r="M293" i="2"/>
  <c r="M357" i="2"/>
  <c r="M296" i="2"/>
  <c r="M54" i="2"/>
  <c r="M118" i="2"/>
  <c r="M182" i="2"/>
  <c r="M246" i="2"/>
  <c r="M310" i="2"/>
  <c r="M120" i="2"/>
  <c r="M352" i="2"/>
  <c r="M185" i="2"/>
  <c r="M274" i="2"/>
  <c r="M20" i="2"/>
  <c r="M84" i="2"/>
  <c r="M148" i="2"/>
  <c r="M212" i="2"/>
  <c r="M276" i="2"/>
  <c r="M340" i="2"/>
  <c r="M136" i="2"/>
  <c r="M25" i="2"/>
  <c r="M241" i="2"/>
  <c r="M282" i="2"/>
  <c r="M203" i="2"/>
  <c r="M45" i="2"/>
  <c r="M109" i="2"/>
  <c r="M173" i="2"/>
  <c r="M237" i="2"/>
  <c r="M336" i="2"/>
  <c r="M343" i="2"/>
  <c r="M28" i="2"/>
  <c r="M92" i="2"/>
  <c r="M156" i="2"/>
  <c r="M220" i="2"/>
  <c r="M284" i="2"/>
  <c r="M348" i="2"/>
  <c r="M168" i="2"/>
  <c r="M49" i="2"/>
  <c r="M273" i="2"/>
  <c r="M314" i="2"/>
  <c r="M243" i="2"/>
  <c r="M53" i="2"/>
  <c r="M117" i="2"/>
  <c r="M181" i="2"/>
  <c r="M245" i="2"/>
  <c r="M309" i="2"/>
  <c r="M96" i="2"/>
  <c r="M5" i="2"/>
  <c r="M70" i="2"/>
  <c r="M134" i="2"/>
  <c r="M198" i="2"/>
  <c r="M184" i="2"/>
  <c r="M36" i="2"/>
  <c r="M100" i="2"/>
  <c r="M164" i="2"/>
  <c r="M228" i="2"/>
  <c r="M292" i="2"/>
  <c r="M356" i="2"/>
  <c r="M200" i="2"/>
  <c r="M65" i="2"/>
  <c r="M289" i="2"/>
  <c r="M346" i="2"/>
  <c r="M283" i="2"/>
  <c r="M61" i="2"/>
  <c r="M125" i="2"/>
  <c r="M189" i="2"/>
  <c r="M253" i="2"/>
  <c r="M317" i="2"/>
  <c r="M128" i="2"/>
  <c r="M13" i="2"/>
  <c r="M78" i="2"/>
  <c r="M142" i="2"/>
  <c r="M206" i="2"/>
  <c r="M270" i="2"/>
  <c r="M334" i="2"/>
  <c r="M216" i="2"/>
  <c r="M57" i="2"/>
  <c r="M281" i="2"/>
  <c r="M354" i="2"/>
  <c r="M235" i="2"/>
  <c r="M39" i="2"/>
  <c r="M103" i="2"/>
  <c r="M167" i="2"/>
  <c r="M231" i="2"/>
  <c r="M295" i="2"/>
  <c r="M15" i="2"/>
  <c r="M280" i="2"/>
  <c r="M265" i="2"/>
  <c r="M91" i="2"/>
  <c r="M338" i="2"/>
  <c r="M259" i="2"/>
  <c r="M225" i="2"/>
  <c r="M42" i="2"/>
  <c r="M106" i="2"/>
  <c r="M170" i="2"/>
  <c r="M227" i="2"/>
  <c r="M4" i="2"/>
  <c r="M197" i="2"/>
  <c r="M325" i="2"/>
  <c r="M22" i="2"/>
  <c r="M150" i="2"/>
  <c r="M278" i="2"/>
  <c r="M248" i="2"/>
  <c r="M313" i="2"/>
  <c r="M267" i="2"/>
  <c r="M111" i="2"/>
  <c r="M239" i="2"/>
  <c r="M56" i="2"/>
  <c r="M305" i="2"/>
  <c r="M35" i="2"/>
  <c r="M257" i="2"/>
  <c r="M114" i="2"/>
  <c r="M307" i="2"/>
  <c r="M30" i="2"/>
  <c r="M158" i="2"/>
  <c r="M286" i="2"/>
  <c r="M272" i="2"/>
  <c r="M337" i="2"/>
  <c r="M55" i="2"/>
  <c r="M183" i="2"/>
  <c r="M311" i="2"/>
  <c r="M41" i="2"/>
  <c r="M147" i="2"/>
  <c r="M315" i="2"/>
  <c r="M58" i="2"/>
  <c r="M347" i="2"/>
  <c r="M249" i="2"/>
  <c r="M31" i="2"/>
  <c r="M223" i="2"/>
  <c r="M233" i="2"/>
  <c r="M193" i="2"/>
  <c r="M290" i="2"/>
  <c r="M44" i="2"/>
  <c r="M108" i="2"/>
  <c r="M172" i="2"/>
  <c r="M236" i="2"/>
  <c r="M300" i="2"/>
  <c r="M24" i="2"/>
  <c r="M224" i="2"/>
  <c r="M89" i="2"/>
  <c r="M321" i="2"/>
  <c r="M27" i="2"/>
  <c r="M69" i="2"/>
  <c r="M133" i="2"/>
  <c r="M261" i="2"/>
  <c r="M160" i="2"/>
  <c r="M86" i="2"/>
  <c r="M214" i="2"/>
  <c r="M342" i="2"/>
  <c r="M73" i="2"/>
  <c r="M19" i="2"/>
  <c r="M47" i="2"/>
  <c r="M175" i="2"/>
  <c r="M303" i="2"/>
  <c r="M312" i="2"/>
  <c r="M123" i="2"/>
  <c r="M275" i="2"/>
  <c r="M50" i="2"/>
  <c r="M178" i="2"/>
  <c r="M94" i="2"/>
  <c r="M222" i="2"/>
  <c r="M350" i="2"/>
  <c r="M97" i="2"/>
  <c r="M299" i="2"/>
  <c r="M119" i="2"/>
  <c r="M247" i="2"/>
  <c r="M72" i="2"/>
  <c r="M59" i="2"/>
  <c r="M297" i="2"/>
  <c r="M122" i="2"/>
  <c r="M33" i="2"/>
  <c r="M95" i="2"/>
  <c r="M351" i="2"/>
  <c r="M51" i="2"/>
  <c r="M34" i="2"/>
  <c r="M52" i="2"/>
  <c r="M116" i="2"/>
  <c r="M180" i="2"/>
  <c r="M244" i="2"/>
  <c r="M308" i="2"/>
  <c r="M48" i="2"/>
  <c r="M264" i="2"/>
  <c r="M113" i="2"/>
  <c r="M353" i="2"/>
  <c r="M75" i="2"/>
  <c r="M12" i="2"/>
  <c r="M77" i="2"/>
  <c r="M141" i="2"/>
  <c r="M205" i="2"/>
  <c r="M269" i="2"/>
  <c r="M333" i="2"/>
  <c r="M192" i="2"/>
  <c r="M43" i="2"/>
  <c r="M345" i="2"/>
  <c r="M186" i="2"/>
  <c r="R1455" i="1"/>
  <c r="R1113" i="1"/>
  <c r="S557" i="1"/>
  <c r="R557" i="1"/>
  <c r="S425" i="1"/>
  <c r="R425" i="1"/>
  <c r="D304" i="2"/>
  <c r="D326" i="2"/>
  <c r="Y38" i="43" s="1"/>
  <c r="D191" i="2"/>
  <c r="Y198" i="43" s="1"/>
  <c r="D302" i="2"/>
  <c r="D225" i="2"/>
  <c r="D129" i="2"/>
  <c r="D151" i="2"/>
  <c r="D41" i="2"/>
  <c r="C5" i="18" s="1"/>
  <c r="D160" i="2"/>
  <c r="D310" i="2"/>
  <c r="D62" i="2"/>
  <c r="D203" i="2"/>
  <c r="D94" i="2"/>
  <c r="D54" i="2"/>
  <c r="D92" i="2"/>
  <c r="D88" i="2"/>
  <c r="D73" i="2"/>
  <c r="D345" i="2"/>
  <c r="D343" i="2"/>
  <c r="D196" i="2"/>
  <c r="D46" i="2"/>
  <c r="D281" i="2"/>
  <c r="D126" i="2"/>
  <c r="D313" i="2"/>
  <c r="D318" i="2"/>
  <c r="D99" i="2"/>
  <c r="O365" i="1"/>
  <c r="O377" i="1"/>
  <c r="O831" i="1"/>
  <c r="I3788" i="1"/>
  <c r="O3789" i="1"/>
  <c r="O3342" i="1"/>
  <c r="O3344" i="1"/>
  <c r="O2079" i="1"/>
  <c r="I3792" i="1"/>
  <c r="O3791" i="1"/>
  <c r="I372" i="1"/>
  <c r="O373" i="1"/>
  <c r="O2081" i="1"/>
  <c r="I484" i="1"/>
  <c r="O483" i="1"/>
  <c r="U4470" i="1"/>
  <c r="O4470" i="1"/>
  <c r="I368" i="1"/>
  <c r="O367" i="1"/>
  <c r="U393" i="1"/>
  <c r="O393" i="1"/>
  <c r="M3332" i="1"/>
  <c r="O3330" i="1"/>
  <c r="V369" i="1"/>
  <c r="O369" i="1"/>
  <c r="U4466" i="1"/>
  <c r="O4466" i="1"/>
  <c r="M371" i="1"/>
  <c r="O371" i="1"/>
  <c r="O375" i="1"/>
  <c r="O2963" i="1"/>
  <c r="I434" i="1"/>
  <c r="O435" i="1"/>
  <c r="I1605" i="1"/>
  <c r="O1606" i="1"/>
  <c r="U2801" i="1"/>
  <c r="O2801" i="1"/>
  <c r="I462" i="1"/>
  <c r="O463" i="1"/>
  <c r="I1720" i="1"/>
  <c r="M672" i="1"/>
  <c r="I4569" i="1"/>
  <c r="I302" i="1"/>
  <c r="O301" i="1"/>
  <c r="I36" i="1"/>
  <c r="O35" i="1"/>
  <c r="I4142" i="1"/>
  <c r="O4141" i="1"/>
  <c r="M1275" i="1"/>
  <c r="O1275" i="1"/>
  <c r="H1304" i="1"/>
  <c r="H1302" i="1"/>
  <c r="CD9" i="2"/>
  <c r="CE9" i="2" s="1"/>
  <c r="R1828" i="1"/>
  <c r="D185" i="2"/>
  <c r="D347" i="2"/>
  <c r="D155" i="2"/>
  <c r="D290" i="2"/>
  <c r="D297" i="2"/>
  <c r="D321" i="2"/>
  <c r="C93" i="18" s="1"/>
  <c r="D339" i="2"/>
  <c r="D26" i="2"/>
  <c r="Y149" i="43" s="1"/>
  <c r="D31" i="2"/>
  <c r="D61" i="2"/>
  <c r="D87" i="2"/>
  <c r="D131" i="2"/>
  <c r="D172" i="2"/>
  <c r="D182" i="2"/>
  <c r="Y100" i="43" s="1"/>
  <c r="D235" i="2"/>
  <c r="D268" i="2"/>
  <c r="C87" i="18" s="1"/>
  <c r="D113" i="2"/>
  <c r="Y179" i="43" s="1"/>
  <c r="D142" i="2"/>
  <c r="D167" i="2"/>
  <c r="R2691" i="1"/>
  <c r="S2691" i="1"/>
  <c r="R2699" i="1"/>
  <c r="S2699" i="1"/>
  <c r="R2683" i="1"/>
  <c r="S2683" i="1"/>
  <c r="U2352" i="1"/>
  <c r="U2354" i="1"/>
  <c r="R3641" i="1"/>
  <c r="S3641" i="1"/>
  <c r="BE245" i="2"/>
  <c r="BF245" i="2"/>
  <c r="BG245" i="2"/>
  <c r="BJ245" i="2"/>
  <c r="AC245" i="2"/>
  <c r="AG245" i="2"/>
  <c r="AH245" i="2"/>
  <c r="AP245" i="2"/>
  <c r="AZ245" i="2" s="1"/>
  <c r="AQ245" i="2"/>
  <c r="AS245" i="2"/>
  <c r="AY245" i="2"/>
  <c r="BD245" i="2"/>
  <c r="BH245" i="2"/>
  <c r="BC245" i="2"/>
  <c r="D336" i="2"/>
  <c r="D125" i="2"/>
  <c r="D220" i="2"/>
  <c r="C84" i="18" s="1"/>
  <c r="D3" i="2"/>
  <c r="Y44" i="43" s="1"/>
  <c r="D66" i="2"/>
  <c r="D78" i="2"/>
  <c r="D84" i="2"/>
  <c r="Y173" i="43" s="1"/>
  <c r="D136" i="2"/>
  <c r="Y182" i="43" s="1"/>
  <c r="D325" i="2"/>
  <c r="D128" i="2"/>
  <c r="Y87" i="43" s="1"/>
  <c r="D132" i="2"/>
  <c r="Y90" i="43" s="1"/>
  <c r="D341" i="2"/>
  <c r="D354" i="2"/>
  <c r="D340" i="2"/>
  <c r="D83" i="2"/>
  <c r="Y170" i="43" s="1"/>
  <c r="D27" i="2"/>
  <c r="D25" i="2"/>
  <c r="D181" i="2"/>
  <c r="D57" i="2"/>
  <c r="D149" i="2"/>
  <c r="D348" i="2"/>
  <c r="CD24" i="2"/>
  <c r="R1459" i="1"/>
  <c r="H464" i="1"/>
  <c r="H462" i="1"/>
  <c r="D140" i="2"/>
  <c r="D331" i="2"/>
  <c r="C73" i="18" s="1"/>
  <c r="D180" i="2"/>
  <c r="Y192" i="43" s="1"/>
  <c r="D201" i="2"/>
  <c r="Y204" i="43" s="1"/>
  <c r="D344" i="2"/>
  <c r="D47" i="2"/>
  <c r="D77" i="2"/>
  <c r="D110" i="2"/>
  <c r="D121" i="2"/>
  <c r="D208" i="2"/>
  <c r="C57" i="18" s="1"/>
  <c r="D224" i="2"/>
  <c r="Y115" i="43" s="1"/>
  <c r="D257" i="2"/>
  <c r="D35" i="2"/>
  <c r="D42" i="2"/>
  <c r="D82" i="2"/>
  <c r="D168" i="2"/>
  <c r="D67" i="2"/>
  <c r="D177" i="2"/>
  <c r="D237" i="2"/>
  <c r="D254" i="2"/>
  <c r="D309" i="2"/>
  <c r="D179" i="2"/>
  <c r="D200" i="2"/>
  <c r="D239" i="2"/>
  <c r="Y222" i="43" s="1"/>
  <c r="D272" i="2"/>
  <c r="C66" i="18" s="1"/>
  <c r="D316" i="2"/>
  <c r="D165" i="2"/>
  <c r="D320" i="2"/>
  <c r="AQ357" i="2"/>
  <c r="AS357" i="2"/>
  <c r="AY357" i="2"/>
  <c r="BC357" i="2"/>
  <c r="BD357" i="2"/>
  <c r="BE357" i="2"/>
  <c r="BF357" i="2"/>
  <c r="BG357" i="2"/>
  <c r="AC357" i="2"/>
  <c r="BH357" i="2"/>
  <c r="BJ357" i="2"/>
  <c r="AG357" i="2"/>
  <c r="AH357" i="2"/>
  <c r="AP357" i="2"/>
  <c r="AZ357" i="2" s="1"/>
  <c r="D104" i="2"/>
  <c r="D124" i="2"/>
  <c r="D133" i="2"/>
  <c r="D285" i="2"/>
  <c r="D280" i="2"/>
  <c r="Y53" i="43" s="1"/>
  <c r="D294" i="2"/>
  <c r="C68" i="18" s="1"/>
  <c r="D301" i="2"/>
  <c r="Y244" i="43" s="1"/>
  <c r="D68" i="2"/>
  <c r="C37" i="18" s="1"/>
  <c r="D75" i="2"/>
  <c r="D178" i="2"/>
  <c r="D192" i="2"/>
  <c r="D199" i="2"/>
  <c r="D335" i="2"/>
  <c r="D81" i="2"/>
  <c r="D300" i="2"/>
  <c r="D330" i="2"/>
  <c r="C72" i="18" s="1"/>
  <c r="D346" i="2"/>
  <c r="D21" i="2"/>
  <c r="D45" i="2"/>
  <c r="C34" i="18" s="1"/>
  <c r="D52" i="2"/>
  <c r="D117" i="2"/>
  <c r="D195" i="2"/>
  <c r="Y105" i="43" s="1"/>
  <c r="D223" i="2"/>
  <c r="D249" i="2"/>
  <c r="D256" i="2"/>
  <c r="D265" i="2"/>
  <c r="Y123" i="43" s="1"/>
  <c r="D295" i="2"/>
  <c r="D314" i="2"/>
  <c r="D119" i="2"/>
  <c r="D216" i="2"/>
  <c r="Y111" i="43" s="1"/>
  <c r="D332" i="2"/>
  <c r="D40" i="2"/>
  <c r="D85" i="2"/>
  <c r="D96" i="2"/>
  <c r="Y174" i="43" s="1"/>
  <c r="D103" i="2"/>
  <c r="D234" i="2"/>
  <c r="D251" i="2"/>
  <c r="D267" i="2"/>
  <c r="D311" i="2"/>
  <c r="D12" i="2"/>
  <c r="D49" i="2"/>
  <c r="D70" i="2"/>
  <c r="D89" i="2"/>
  <c r="D211" i="2"/>
  <c r="D218" i="2"/>
  <c r="D227" i="2"/>
  <c r="Y214" i="43" s="1"/>
  <c r="D260" i="2"/>
  <c r="D278" i="2"/>
  <c r="D292" i="2"/>
  <c r="C69" i="18" s="1"/>
  <c r="D306" i="2"/>
  <c r="D14" i="2"/>
  <c r="D58" i="2"/>
  <c r="D91" i="2"/>
  <c r="D105" i="2"/>
  <c r="Y76" i="43" s="1"/>
  <c r="D112" i="2"/>
  <c r="D114" i="2"/>
  <c r="D123" i="2"/>
  <c r="D141" i="2"/>
  <c r="D148" i="2"/>
  <c r="D164" i="2"/>
  <c r="D171" i="2"/>
  <c r="D187" i="2"/>
  <c r="D206" i="2"/>
  <c r="D213" i="2"/>
  <c r="D229" i="2"/>
  <c r="Y117" i="43" s="1"/>
  <c r="D246" i="2"/>
  <c r="D271" i="2"/>
  <c r="D308" i="2"/>
  <c r="D329" i="2"/>
  <c r="D22" i="2"/>
  <c r="D32" i="2"/>
  <c r="Y152" i="43" s="1"/>
  <c r="D53" i="2"/>
  <c r="D74" i="2"/>
  <c r="D100" i="2"/>
  <c r="Y177" i="43" s="1"/>
  <c r="D107" i="2"/>
  <c r="D118" i="2"/>
  <c r="Y82" i="43" s="1"/>
  <c r="D159" i="2"/>
  <c r="D215" i="2"/>
  <c r="D273" i="2"/>
  <c r="D289" i="2"/>
  <c r="Y240" i="43" s="1"/>
  <c r="D315" i="2"/>
  <c r="D16" i="2"/>
  <c r="D24" i="2"/>
  <c r="D69" i="2"/>
  <c r="D95" i="2"/>
  <c r="D152" i="2"/>
  <c r="D175" i="2"/>
  <c r="D233" i="2"/>
  <c r="D242" i="2"/>
  <c r="D250" i="2"/>
  <c r="D275" i="2"/>
  <c r="D342" i="2"/>
  <c r="D356" i="2"/>
  <c r="D29" i="2"/>
  <c r="D111" i="2"/>
  <c r="D228" i="2"/>
  <c r="D259" i="2"/>
  <c r="D277" i="2"/>
  <c r="D298" i="2"/>
  <c r="D328" i="2"/>
  <c r="D351" i="2"/>
  <c r="D13" i="2"/>
  <c r="D50" i="2"/>
  <c r="C79" i="18" s="1"/>
  <c r="D156" i="2"/>
  <c r="D163" i="2"/>
  <c r="D170" i="2"/>
  <c r="D186" i="2"/>
  <c r="D205" i="2"/>
  <c r="D212" i="2"/>
  <c r="D219" i="2"/>
  <c r="D261" i="2"/>
  <c r="D279" i="2"/>
  <c r="D286" i="2"/>
  <c r="Y239" i="43" s="1"/>
  <c r="D337" i="2"/>
  <c r="D4" i="2"/>
  <c r="D19" i="2"/>
  <c r="D34" i="2"/>
  <c r="D51" i="2"/>
  <c r="D56" i="2"/>
  <c r="D93" i="2"/>
  <c r="D98" i="2"/>
  <c r="D147" i="2"/>
  <c r="D154" i="2"/>
  <c r="Y97" i="43" s="1"/>
  <c r="D217" i="2"/>
  <c r="D231" i="2"/>
  <c r="Y215" i="43" s="1"/>
  <c r="D238" i="2"/>
  <c r="Y28" i="43" s="1"/>
  <c r="D253" i="2"/>
  <c r="D258" i="2"/>
  <c r="D263" i="2"/>
  <c r="D270" i="2"/>
  <c r="D334" i="2"/>
  <c r="D353" i="2"/>
  <c r="D5" i="2"/>
  <c r="C3" i="18" s="1"/>
  <c r="D15" i="2"/>
  <c r="D36" i="2"/>
  <c r="D63" i="2"/>
  <c r="Y161" i="43" s="1"/>
  <c r="D135" i="2"/>
  <c r="D161" i="2"/>
  <c r="D166" i="2"/>
  <c r="D197" i="2"/>
  <c r="D202" i="2"/>
  <c r="D240" i="2"/>
  <c r="D248" i="2"/>
  <c r="Y224" i="43" s="1"/>
  <c r="D291" i="2"/>
  <c r="Y243" i="43" s="1"/>
  <c r="D296" i="2"/>
  <c r="D327" i="2"/>
  <c r="D355" i="2"/>
  <c r="D23" i="2"/>
  <c r="C32" i="18" s="1"/>
  <c r="D43" i="2"/>
  <c r="D48" i="2"/>
  <c r="D65" i="2"/>
  <c r="D90" i="2"/>
  <c r="D130" i="2"/>
  <c r="Y14" i="43" s="1"/>
  <c r="D137" i="2"/>
  <c r="D173" i="2"/>
  <c r="D209" i="2"/>
  <c r="D214" i="2"/>
  <c r="Y207" i="43" s="1"/>
  <c r="D221" i="2"/>
  <c r="D226" i="2"/>
  <c r="D255" i="2"/>
  <c r="D274" i="2"/>
  <c r="Y229" i="43" s="1"/>
  <c r="D293" i="2"/>
  <c r="D303" i="2"/>
  <c r="D322" i="2"/>
  <c r="C19" i="18" s="1"/>
  <c r="D338" i="2"/>
  <c r="Y41" i="43" s="1"/>
  <c r="D350" i="2"/>
  <c r="D17" i="2"/>
  <c r="D28" i="2"/>
  <c r="D33" i="2"/>
  <c r="D38" i="2"/>
  <c r="D55" i="2"/>
  <c r="Y65" i="43" s="1"/>
  <c r="D60" i="2"/>
  <c r="D72" i="2"/>
  <c r="Y69" i="43" s="1"/>
  <c r="D97" i="2"/>
  <c r="D102" i="2"/>
  <c r="D116" i="2"/>
  <c r="C43" i="18" s="1"/>
  <c r="D144" i="2"/>
  <c r="D158" i="2"/>
  <c r="D189" i="2"/>
  <c r="Y195" i="43" s="1"/>
  <c r="D194" i="2"/>
  <c r="D204" i="2"/>
  <c r="D262" i="2"/>
  <c r="D269" i="2"/>
  <c r="Y125" i="43" s="1"/>
  <c r="D276" i="2"/>
  <c r="Y233" i="43" s="1"/>
  <c r="D283" i="2"/>
  <c r="Y237" i="43" s="1"/>
  <c r="D288" i="2"/>
  <c r="D305" i="2"/>
  <c r="Y247" i="43" s="1"/>
  <c r="D317" i="2"/>
  <c r="D324" i="2"/>
  <c r="D352" i="2"/>
  <c r="D9" i="2"/>
  <c r="D80" i="2"/>
  <c r="Y166" i="43" s="1"/>
  <c r="D109" i="2"/>
  <c r="D139" i="2"/>
  <c r="D146" i="2"/>
  <c r="D153" i="2"/>
  <c r="D184" i="2"/>
  <c r="Y102" i="43" s="1"/>
  <c r="D230" i="2"/>
  <c r="C14" i="18" s="1"/>
  <c r="D244" i="2"/>
  <c r="D252" i="2"/>
  <c r="D264" i="2"/>
  <c r="D20" i="2"/>
  <c r="D30" i="2"/>
  <c r="D127" i="2"/>
  <c r="D134" i="2"/>
  <c r="Y180" i="43" s="1"/>
  <c r="D232" i="2"/>
  <c r="D247" i="2"/>
  <c r="D307" i="2"/>
  <c r="D312" i="2"/>
  <c r="D319" i="2"/>
  <c r="D333" i="2"/>
  <c r="D76" i="2"/>
  <c r="Y73" i="43" s="1"/>
  <c r="D120" i="2"/>
  <c r="D266" i="2"/>
  <c r="Y31" i="43" s="1"/>
  <c r="D6" i="2"/>
  <c r="Y43" i="43" s="1"/>
  <c r="D59" i="2"/>
  <c r="D64" i="2"/>
  <c r="D71" i="2"/>
  <c r="Y164" i="43" s="1"/>
  <c r="D101" i="2"/>
  <c r="D106" i="2"/>
  <c r="Y78" i="43" s="1"/>
  <c r="D122" i="2"/>
  <c r="D143" i="2"/>
  <c r="D150" i="2"/>
  <c r="D157" i="2"/>
  <c r="D162" i="2"/>
  <c r="D174" i="2"/>
  <c r="Y21" i="43" s="1"/>
  <c r="D188" i="2"/>
  <c r="D193" i="2"/>
  <c r="Y200" i="43" s="1"/>
  <c r="D198" i="2"/>
  <c r="D241" i="2"/>
  <c r="D282" i="2"/>
  <c r="D287" i="2"/>
  <c r="D8" i="2"/>
  <c r="C25" i="18" s="1"/>
  <c r="D86" i="2"/>
  <c r="D108" i="2"/>
  <c r="D115" i="2"/>
  <c r="D138" i="2"/>
  <c r="Y185" i="43" s="1"/>
  <c r="D145" i="2"/>
  <c r="D176" i="2"/>
  <c r="Y190" i="43" s="1"/>
  <c r="D183" i="2"/>
  <c r="D190" i="2"/>
  <c r="D210" i="2"/>
  <c r="D222" i="2"/>
  <c r="D236" i="2"/>
  <c r="D243" i="2"/>
  <c r="D284" i="2"/>
  <c r="D299" i="2"/>
  <c r="D323" i="2"/>
  <c r="D44" i="2"/>
  <c r="D2" i="2"/>
  <c r="D7" i="2"/>
  <c r="Y250" i="43" s="1"/>
  <c r="D349" i="2"/>
  <c r="D11" i="2"/>
  <c r="Y251" i="43" s="1"/>
  <c r="D37" i="2"/>
  <c r="D207" i="2"/>
  <c r="D10" i="2"/>
  <c r="Y54" i="43" s="1"/>
  <c r="D169" i="2"/>
  <c r="S1733" i="1"/>
  <c r="R1733" i="1"/>
  <c r="D39" i="2"/>
  <c r="C4" i="18" s="1"/>
  <c r="BC79" i="2"/>
  <c r="AY79" i="2"/>
  <c r="BD79" i="2"/>
  <c r="BE79" i="2"/>
  <c r="BF79" i="2"/>
  <c r="BG79" i="2"/>
  <c r="AG79" i="2"/>
  <c r="AH79" i="2"/>
  <c r="BH79" i="2"/>
  <c r="AP79" i="2"/>
  <c r="AZ79" i="2" s="1"/>
  <c r="AQ79" i="2"/>
  <c r="AS79" i="2"/>
  <c r="BJ79" i="2"/>
  <c r="AC79" i="2"/>
  <c r="V2097" i="1"/>
  <c r="M2097" i="1"/>
  <c r="O2097" i="1" s="1"/>
  <c r="Q1874" i="1"/>
  <c r="R1874" i="1" s="1"/>
  <c r="M1874" i="1"/>
  <c r="O1874" i="1" s="1"/>
  <c r="Q1977" i="1"/>
  <c r="R1977" i="1" s="1"/>
  <c r="M1977" i="1"/>
  <c r="O1977" i="1" s="1"/>
  <c r="Q2963" i="1"/>
  <c r="BF190" i="2" s="1"/>
  <c r="M2963" i="1"/>
  <c r="Q4410" i="1"/>
  <c r="R4410" i="1" s="1"/>
  <c r="M4410" i="1"/>
  <c r="M1931" i="1"/>
  <c r="O1931" i="1" s="1"/>
  <c r="Q1929" i="1"/>
  <c r="R1929" i="1" s="1"/>
  <c r="M1929" i="1"/>
  <c r="O1929" i="1" s="1"/>
  <c r="Q4408" i="1"/>
  <c r="BF131" i="2" s="1"/>
  <c r="M4408" i="1"/>
  <c r="Q4572" i="1"/>
  <c r="R4572" i="1" s="1"/>
  <c r="M4572" i="1"/>
  <c r="O4572" i="1" s="1"/>
  <c r="M3023" i="1"/>
  <c r="Q4414" i="1"/>
  <c r="S4414" i="1" s="1"/>
  <c r="M4414" i="1"/>
  <c r="Q3767" i="1"/>
  <c r="S3767" i="1" s="1"/>
  <c r="M3767" i="1"/>
  <c r="Q1927" i="1"/>
  <c r="R1927" i="1" s="1"/>
  <c r="M1927" i="1"/>
  <c r="O1927" i="1" s="1"/>
  <c r="N367" i="1"/>
  <c r="M367" i="1"/>
  <c r="Q4570" i="1"/>
  <c r="S4570" i="1" s="1"/>
  <c r="M4570" i="1"/>
  <c r="O4570" i="1" s="1"/>
  <c r="V365" i="1"/>
  <c r="M365" i="1"/>
  <c r="Q2105" i="1"/>
  <c r="BF155" i="2" s="1"/>
  <c r="M2105" i="1"/>
  <c r="O2105" i="1" s="1"/>
  <c r="Q2350" i="1"/>
  <c r="BH216" i="2" s="1"/>
  <c r="M2350" i="1"/>
  <c r="Q11" i="1"/>
  <c r="R11" i="1" s="1"/>
  <c r="M11" i="1"/>
  <c r="Q369" i="1"/>
  <c r="S369" i="1" s="1"/>
  <c r="M369" i="1"/>
  <c r="V2495" i="1"/>
  <c r="M2495" i="1"/>
  <c r="O2495" i="1" s="1"/>
  <c r="M2493" i="1"/>
  <c r="O2493" i="1" s="1"/>
  <c r="R1198" i="1"/>
  <c r="S1198" i="1"/>
  <c r="M1333" i="1"/>
  <c r="M2642" i="1"/>
  <c r="Q2196" i="1"/>
  <c r="BH280" i="2" s="1"/>
  <c r="M2196" i="1"/>
  <c r="H1108" i="1"/>
  <c r="N4568" i="1"/>
  <c r="M4568" i="1"/>
  <c r="O4568" i="1" s="1"/>
  <c r="Q383" i="1"/>
  <c r="BJ117" i="2" s="1"/>
  <c r="M383" i="1"/>
  <c r="Q1555" i="1"/>
  <c r="S1555" i="1" s="1"/>
  <c r="M1555" i="1"/>
  <c r="O1555" i="1" s="1"/>
  <c r="Q153" i="1"/>
  <c r="BG266" i="2" s="1"/>
  <c r="M153" i="1"/>
  <c r="P2901" i="1"/>
  <c r="Q2901" i="1" s="1"/>
  <c r="M2899" i="1"/>
  <c r="O2899" i="1" s="1"/>
  <c r="U600" i="1"/>
  <c r="S4490" i="1"/>
  <c r="S4484" i="1"/>
  <c r="S4482" i="1"/>
  <c r="R4486" i="1"/>
  <c r="R4488" i="1"/>
  <c r="R4492" i="1"/>
  <c r="S4470" i="1"/>
  <c r="S4468" i="1"/>
  <c r="R4470" i="1"/>
  <c r="U4468" i="1"/>
  <c r="S4466" i="1"/>
  <c r="U4474" i="1"/>
  <c r="S4472" i="1"/>
  <c r="U4472" i="1"/>
  <c r="S4474" i="1"/>
  <c r="R4466" i="1"/>
  <c r="R4468" i="1"/>
  <c r="R4472" i="1"/>
  <c r="R4474" i="1"/>
  <c r="R1646" i="1"/>
  <c r="CE15" i="2"/>
  <c r="S3911" i="1"/>
  <c r="R3915" i="1"/>
  <c r="R3913" i="1"/>
  <c r="R3917" i="1"/>
  <c r="U377" i="1"/>
  <c r="H4097" i="1"/>
  <c r="X263" i="43"/>
  <c r="U1107" i="1"/>
  <c r="Y262" i="43"/>
  <c r="C139" i="18"/>
  <c r="R3114" i="1"/>
  <c r="R3527" i="1"/>
  <c r="S3947" i="1"/>
  <c r="R4096" i="1"/>
  <c r="S3897" i="1"/>
  <c r="S3881" i="1"/>
  <c r="R3903" i="1"/>
  <c r="R3899" i="1"/>
  <c r="R3901" i="1"/>
  <c r="R3891" i="1"/>
  <c r="R3883" i="1"/>
  <c r="S3893" i="1"/>
  <c r="R3895" i="1"/>
  <c r="R3885" i="1"/>
  <c r="R3887" i="1"/>
  <c r="R3889" i="1"/>
  <c r="R3879" i="1"/>
  <c r="U375" i="1"/>
  <c r="U365" i="1"/>
  <c r="U373" i="1"/>
  <c r="U2595" i="1"/>
  <c r="U2593" i="1"/>
  <c r="U369" i="1"/>
  <c r="U367" i="1"/>
  <c r="U1909" i="1"/>
  <c r="U604" i="1"/>
  <c r="U397" i="1"/>
  <c r="U157" i="1"/>
  <c r="V375" i="1"/>
  <c r="U3344" i="1"/>
  <c r="U395" i="1"/>
  <c r="V373" i="1"/>
  <c r="U3595" i="1"/>
  <c r="U638" i="1"/>
  <c r="U3342" i="1"/>
  <c r="V371" i="1"/>
  <c r="U4098" i="1"/>
  <c r="U3340" i="1"/>
  <c r="U391" i="1"/>
  <c r="U2099" i="1"/>
  <c r="U3338" i="1"/>
  <c r="V3023" i="1"/>
  <c r="V2903" i="1"/>
  <c r="V367" i="1"/>
  <c r="U3336" i="1"/>
  <c r="U1933" i="1"/>
  <c r="U610" i="1"/>
  <c r="V2901" i="1"/>
  <c r="U3334" i="1"/>
  <c r="V2899" i="1"/>
  <c r="V3791" i="1"/>
  <c r="V3332" i="1"/>
  <c r="V377" i="1"/>
  <c r="U4104" i="1"/>
  <c r="V3789" i="1"/>
  <c r="R3700" i="1"/>
  <c r="R3704" i="1"/>
  <c r="R3706" i="1"/>
  <c r="R3698" i="1"/>
  <c r="R3702" i="1"/>
  <c r="CE37" i="2"/>
  <c r="H3954" i="1"/>
  <c r="S4310" i="1"/>
  <c r="S4402" i="1"/>
  <c r="U4568" i="1"/>
  <c r="U831" i="1"/>
  <c r="U1606" i="1"/>
  <c r="U3495" i="1"/>
  <c r="U463" i="1"/>
  <c r="V1275" i="1"/>
  <c r="U2194" i="1"/>
  <c r="U1719" i="1"/>
  <c r="U1254" i="1"/>
  <c r="U35" i="1"/>
  <c r="R3663" i="1"/>
  <c r="R3665" i="1"/>
  <c r="U1206" i="1"/>
  <c r="U773" i="1"/>
  <c r="V463" i="1"/>
  <c r="U301" i="1"/>
  <c r="U1303" i="1"/>
  <c r="U2821" i="1"/>
  <c r="U662" i="1"/>
  <c r="U1666" i="1"/>
  <c r="V1333" i="1"/>
  <c r="U4010" i="1"/>
  <c r="U2416" i="1"/>
  <c r="U3953" i="1"/>
  <c r="U4141" i="1"/>
  <c r="U3951" i="1"/>
  <c r="U2075" i="1"/>
  <c r="V2831" i="1"/>
  <c r="V4568" i="1"/>
  <c r="V672" i="1"/>
  <c r="S161" i="1"/>
  <c r="R163" i="1"/>
  <c r="S3338" i="1"/>
  <c r="S1606" i="1"/>
  <c r="S3497" i="1"/>
  <c r="R3499" i="1"/>
  <c r="R3501" i="1"/>
  <c r="S2923" i="1"/>
  <c r="H4017" i="1"/>
  <c r="S1275" i="1"/>
  <c r="R1277" i="1"/>
  <c r="R1279" i="1"/>
  <c r="S2418" i="1"/>
  <c r="S3513" i="1"/>
  <c r="R3515" i="1"/>
  <c r="R3517" i="1"/>
  <c r="R1899" i="1"/>
  <c r="S3996" i="1"/>
  <c r="H3962" i="1"/>
  <c r="S1307" i="1"/>
  <c r="S499" i="1"/>
  <c r="R501" i="1"/>
  <c r="R3138" i="1"/>
  <c r="R4147" i="1"/>
  <c r="R3613" i="1"/>
  <c r="H2193" i="1"/>
  <c r="S2545" i="1"/>
  <c r="N1504" i="1"/>
  <c r="R2034" i="1"/>
  <c r="R3281" i="1"/>
  <c r="R3559" i="1"/>
  <c r="R3561" i="1"/>
  <c r="R3681" i="1"/>
  <c r="S4247" i="1"/>
  <c r="R4012" i="1"/>
  <c r="R1200" i="1"/>
  <c r="S2103" i="1"/>
  <c r="Q2801" i="1"/>
  <c r="S2801" i="1" s="1"/>
  <c r="R147" i="1"/>
  <c r="N1275" i="1"/>
  <c r="S365" i="1"/>
  <c r="R463" i="1"/>
  <c r="R3617" i="1"/>
  <c r="S151" i="1"/>
  <c r="S157" i="1"/>
  <c r="S859" i="1"/>
  <c r="R965" i="1"/>
  <c r="R971" i="1"/>
  <c r="R973" i="1"/>
  <c r="R1115" i="1"/>
  <c r="R1117" i="1"/>
  <c r="S1355" i="1"/>
  <c r="R1365" i="1"/>
  <c r="R1367" i="1"/>
  <c r="S1794" i="1"/>
  <c r="S2591" i="1"/>
  <c r="R2610" i="1"/>
  <c r="S3265" i="1"/>
  <c r="R3267" i="1"/>
  <c r="R3269" i="1"/>
  <c r="S2557" i="1"/>
  <c r="H2594" i="1"/>
  <c r="R2606" i="1"/>
  <c r="R2618" i="1"/>
  <c r="R2985" i="1"/>
  <c r="S3825" i="1"/>
  <c r="H3958" i="1"/>
  <c r="H3966" i="1"/>
  <c r="R4155" i="1"/>
  <c r="R4167" i="1"/>
  <c r="R4448" i="1"/>
  <c r="S349" i="1"/>
  <c r="S353" i="1"/>
  <c r="R373" i="1"/>
  <c r="N463" i="1"/>
  <c r="S664" i="1"/>
  <c r="R995" i="1"/>
  <c r="R1237" i="1"/>
  <c r="R1275" i="1"/>
  <c r="S2004" i="1"/>
  <c r="R2995" i="1"/>
  <c r="R3025" i="1"/>
  <c r="S3211" i="1"/>
  <c r="R3213" i="1"/>
  <c r="R3215" i="1"/>
  <c r="R3338" i="1"/>
  <c r="S3621" i="1"/>
  <c r="R4163" i="1"/>
  <c r="R4505" i="1"/>
  <c r="S638" i="1"/>
  <c r="R857" i="1"/>
  <c r="S1133" i="1"/>
  <c r="S1405" i="1"/>
  <c r="S1648" i="1"/>
  <c r="H1671" i="1"/>
  <c r="S1685" i="1"/>
  <c r="S1723" i="1"/>
  <c r="S1862" i="1"/>
  <c r="H1908" i="1"/>
  <c r="S1945" i="1"/>
  <c r="S2079" i="1"/>
  <c r="S2111" i="1"/>
  <c r="R3777" i="1"/>
  <c r="S4060" i="1"/>
  <c r="S4062" i="1"/>
  <c r="S4120" i="1"/>
  <c r="H4023" i="1"/>
  <c r="S4225" i="1"/>
  <c r="S111" i="1"/>
  <c r="H376" i="1"/>
  <c r="S397" i="1"/>
  <c r="R489" i="1"/>
  <c r="R491" i="1"/>
  <c r="S539" i="1"/>
  <c r="R608" i="1"/>
  <c r="R975" i="1"/>
  <c r="R993" i="1"/>
  <c r="H1205" i="1"/>
  <c r="R1569" i="1"/>
  <c r="S1747" i="1"/>
  <c r="S1814" i="1"/>
  <c r="R1884" i="1"/>
  <c r="S1983" i="1"/>
  <c r="S2038" i="1"/>
  <c r="S2393" i="1"/>
  <c r="S2769" i="1"/>
  <c r="R2783" i="1"/>
  <c r="S2787" i="1"/>
  <c r="S2919" i="1"/>
  <c r="S3194" i="1"/>
  <c r="R3237" i="1"/>
  <c r="S3443" i="1"/>
  <c r="R3459" i="1"/>
  <c r="R3507" i="1"/>
  <c r="R3509" i="1"/>
  <c r="R3533" i="1"/>
  <c r="R3581" i="1"/>
  <c r="R4548" i="1"/>
  <c r="R3667" i="1"/>
  <c r="R3669" i="1"/>
  <c r="R3677" i="1"/>
  <c r="S43" i="1"/>
  <c r="H368" i="1"/>
  <c r="S373" i="1"/>
  <c r="S1021" i="1"/>
  <c r="S1129" i="1"/>
  <c r="R1131" i="1"/>
  <c r="S1218" i="1"/>
  <c r="N1506" i="1"/>
  <c r="S1697" i="1"/>
  <c r="R1699" i="1"/>
  <c r="S1759" i="1"/>
  <c r="R2016" i="1"/>
  <c r="S2261" i="1"/>
  <c r="R2263" i="1"/>
  <c r="R2265" i="1"/>
  <c r="P2348" i="1"/>
  <c r="P2640" i="1"/>
  <c r="M2640" i="1" s="1"/>
  <c r="S3186" i="1"/>
  <c r="S3273" i="1"/>
  <c r="S3541" i="1"/>
  <c r="R4544" i="1"/>
  <c r="R3643" i="1"/>
  <c r="R3645" i="1"/>
  <c r="R3671" i="1"/>
  <c r="R3673" i="1"/>
  <c r="R3769" i="1"/>
  <c r="S3933" i="1"/>
  <c r="S3988" i="1"/>
  <c r="H4027" i="1"/>
  <c r="S4037" i="1"/>
  <c r="R4203" i="1"/>
  <c r="S4243" i="1"/>
  <c r="S941" i="1"/>
  <c r="R4428" i="1"/>
  <c r="R4509" i="1"/>
  <c r="R70" i="1"/>
  <c r="R73" i="1"/>
  <c r="S9" i="1"/>
  <c r="S17" i="1"/>
  <c r="S19" i="1"/>
  <c r="R165" i="1"/>
  <c r="S218" i="1"/>
  <c r="R220" i="1"/>
  <c r="R222" i="1"/>
  <c r="S317" i="1"/>
  <c r="R371" i="1"/>
  <c r="R375" i="1"/>
  <c r="R385" i="1"/>
  <c r="S437" i="1"/>
  <c r="R505" i="1"/>
  <c r="S606" i="1"/>
  <c r="R638" i="1"/>
  <c r="R640" i="1"/>
  <c r="R666" i="1"/>
  <c r="R668" i="1"/>
  <c r="R670" i="1"/>
  <c r="R861" i="1"/>
  <c r="R1011" i="1"/>
  <c r="R1013" i="1"/>
  <c r="S1033" i="1"/>
  <c r="S1433" i="1"/>
  <c r="R1435" i="1"/>
  <c r="S1630" i="1"/>
  <c r="S1729" i="1"/>
  <c r="S1743" i="1"/>
  <c r="S1905" i="1"/>
  <c r="H1906" i="1"/>
  <c r="S1979" i="1"/>
  <c r="R2000" i="1"/>
  <c r="N2097" i="1"/>
  <c r="R2115" i="1"/>
  <c r="S2115" i="1"/>
  <c r="R79" i="1"/>
  <c r="S13" i="1"/>
  <c r="R23" i="1"/>
  <c r="S35" i="1"/>
  <c r="S47" i="1"/>
  <c r="S135" i="1"/>
  <c r="J372" i="1"/>
  <c r="R415" i="1"/>
  <c r="S471" i="1"/>
  <c r="S479" i="1"/>
  <c r="R487" i="1"/>
  <c r="R582" i="1"/>
  <c r="R584" i="1"/>
  <c r="S612" i="1"/>
  <c r="H637" i="1"/>
  <c r="S646" i="1"/>
  <c r="S735" i="1"/>
  <c r="H772" i="1"/>
  <c r="S819" i="1"/>
  <c r="R875" i="1"/>
  <c r="R985" i="1"/>
  <c r="R989" i="1"/>
  <c r="R991" i="1"/>
  <c r="R1369" i="1"/>
  <c r="R1998" i="1"/>
  <c r="S2277" i="1"/>
  <c r="R2277" i="1"/>
  <c r="S333" i="1"/>
  <c r="J370" i="1"/>
  <c r="R377" i="1"/>
  <c r="R417" i="1"/>
  <c r="R419" i="1"/>
  <c r="R709" i="1"/>
  <c r="S731" i="1"/>
  <c r="S815" i="1"/>
  <c r="R831" i="1"/>
  <c r="R855" i="1"/>
  <c r="R877" i="1"/>
  <c r="S1017" i="1"/>
  <c r="R1119" i="1"/>
  <c r="R1121" i="1"/>
  <c r="S1204" i="1"/>
  <c r="S1206" i="1"/>
  <c r="S1214" i="1"/>
  <c r="R1283" i="1"/>
  <c r="R1337" i="1"/>
  <c r="R1339" i="1"/>
  <c r="S1536" i="1"/>
  <c r="H1669" i="1"/>
  <c r="S1668" i="1"/>
  <c r="R1790" i="1"/>
  <c r="R1858" i="1"/>
  <c r="Q1931" i="1"/>
  <c r="S1931" i="1" s="1"/>
  <c r="S1933" i="1"/>
  <c r="S1981" i="1"/>
  <c r="R1981" i="1"/>
  <c r="S2081" i="1"/>
  <c r="R2202" i="1"/>
  <c r="S2202" i="1"/>
  <c r="S2275" i="1"/>
  <c r="R2275" i="1"/>
  <c r="S139" i="1"/>
  <c r="R1341" i="1"/>
  <c r="R1355" i="1"/>
  <c r="S1504" i="1"/>
  <c r="S1561" i="1"/>
  <c r="H1582" i="1"/>
  <c r="R1616" i="1"/>
  <c r="S1790" i="1"/>
  <c r="S1806" i="1"/>
  <c r="S1876" i="1"/>
  <c r="R1878" i="1"/>
  <c r="R1882" i="1"/>
  <c r="R1895" i="1"/>
  <c r="S1907" i="1"/>
  <c r="R1911" i="1"/>
  <c r="R1941" i="1"/>
  <c r="S2008" i="1"/>
  <c r="S2107" i="1"/>
  <c r="R2107" i="1"/>
  <c r="R2273" i="1"/>
  <c r="S2273" i="1"/>
  <c r="S3951" i="1"/>
  <c r="S3967" i="1"/>
  <c r="S4020" i="1"/>
  <c r="S4076" i="1"/>
  <c r="S4207" i="1"/>
  <c r="S4503" i="1"/>
  <c r="S2356" i="1"/>
  <c r="S2397" i="1"/>
  <c r="R2438" i="1"/>
  <c r="R2440" i="1"/>
  <c r="R2458" i="1"/>
  <c r="S2505" i="1"/>
  <c r="S2765" i="1"/>
  <c r="S2795" i="1"/>
  <c r="S3168" i="1"/>
  <c r="R3192" i="1"/>
  <c r="R3239" i="1"/>
  <c r="R3261" i="1"/>
  <c r="R3330" i="1"/>
  <c r="R3455" i="1"/>
  <c r="R3481" i="1"/>
  <c r="R3537" i="1"/>
  <c r="S3549" i="1"/>
  <c r="S3565" i="1"/>
  <c r="R3575" i="1"/>
  <c r="R3587" i="1"/>
  <c r="R3589" i="1"/>
  <c r="J3790" i="1"/>
  <c r="R3951" i="1"/>
  <c r="H3964" i="1"/>
  <c r="R3967" i="1"/>
  <c r="S3984" i="1"/>
  <c r="H4019" i="1"/>
  <c r="R4020" i="1"/>
  <c r="S4028" i="1"/>
  <c r="S4041" i="1"/>
  <c r="S4102" i="1"/>
  <c r="S4124" i="1"/>
  <c r="R4143" i="1"/>
  <c r="R4159" i="1"/>
  <c r="R2144" i="1"/>
  <c r="S2198" i="1"/>
  <c r="R2279" i="1"/>
  <c r="R2281" i="1"/>
  <c r="Q2331" i="1"/>
  <c r="R2331" i="1" s="1"/>
  <c r="R2422" i="1"/>
  <c r="S2497" i="1"/>
  <c r="R2503" i="1"/>
  <c r="R2511" i="1"/>
  <c r="S2583" i="1"/>
  <c r="R2626" i="1"/>
  <c r="Q2642" i="1"/>
  <c r="S2642" i="1" s="1"/>
  <c r="S2761" i="1"/>
  <c r="R2895" i="1"/>
  <c r="R2925" i="1"/>
  <c r="R3154" i="1"/>
  <c r="S3164" i="1"/>
  <c r="S3334" i="1"/>
  <c r="S3447" i="1"/>
  <c r="R3449" i="1"/>
  <c r="R3451" i="1"/>
  <c r="R3477" i="1"/>
  <c r="S3959" i="1"/>
  <c r="R2097" i="1"/>
  <c r="R2123" i="1"/>
  <c r="R2142" i="1"/>
  <c r="S2257" i="1"/>
  <c r="R2259" i="1"/>
  <c r="Q2495" i="1"/>
  <c r="S2495" i="1" s="1"/>
  <c r="S2721" i="1"/>
  <c r="S2757" i="1"/>
  <c r="I2830" i="1"/>
  <c r="R2919" i="1"/>
  <c r="R2935" i="1"/>
  <c r="S2937" i="1"/>
  <c r="R2987" i="1"/>
  <c r="R3142" i="1"/>
  <c r="S3277" i="1"/>
  <c r="S3344" i="1"/>
  <c r="R3473" i="1"/>
  <c r="R3529" i="1"/>
  <c r="S3595" i="1"/>
  <c r="R3685" i="1"/>
  <c r="R3773" i="1"/>
  <c r="S3817" i="1"/>
  <c r="H3956" i="1"/>
  <c r="R3959" i="1"/>
  <c r="S3992" i="1"/>
  <c r="H4015" i="1"/>
  <c r="H4025" i="1"/>
  <c r="S4080" i="1"/>
  <c r="S4108" i="1"/>
  <c r="R4151" i="1"/>
  <c r="S4185" i="1"/>
  <c r="R4205" i="1"/>
  <c r="S4406" i="1"/>
  <c r="R4426" i="1"/>
  <c r="R4511" i="1"/>
  <c r="S155" i="1"/>
  <c r="R159" i="1"/>
  <c r="S307" i="1"/>
  <c r="R309" i="1"/>
  <c r="S337" i="1"/>
  <c r="I366" i="1"/>
  <c r="R365" i="1"/>
  <c r="J374" i="1"/>
  <c r="S375" i="1"/>
  <c r="S411" i="1"/>
  <c r="R413" i="1"/>
  <c r="S423" i="1"/>
  <c r="R433" i="1"/>
  <c r="S441" i="1"/>
  <c r="R481" i="1"/>
  <c r="S495" i="1"/>
  <c r="R497" i="1"/>
  <c r="S531" i="1"/>
  <c r="R543" i="1"/>
  <c r="S543" i="1"/>
  <c r="S559" i="1"/>
  <c r="R586" i="1"/>
  <c r="R588" i="1"/>
  <c r="S610" i="1"/>
  <c r="R674" i="1"/>
  <c r="S674" i="1"/>
  <c r="R743" i="1"/>
  <c r="S743" i="1"/>
  <c r="S997" i="1"/>
  <c r="R997" i="1"/>
  <c r="R1583" i="1"/>
  <c r="S1583" i="1"/>
  <c r="R527" i="1"/>
  <c r="S527" i="1"/>
  <c r="R616" i="1"/>
  <c r="S616" i="1"/>
  <c r="H770" i="1"/>
  <c r="H768" i="1"/>
  <c r="S769" i="1"/>
  <c r="R769" i="1"/>
  <c r="S775" i="1"/>
  <c r="R775" i="1"/>
  <c r="S301" i="1"/>
  <c r="R303" i="1"/>
  <c r="R323" i="1"/>
  <c r="S345" i="1"/>
  <c r="S367" i="1"/>
  <c r="H374" i="1"/>
  <c r="N377" i="1"/>
  <c r="R387" i="1"/>
  <c r="R389" i="1"/>
  <c r="S644" i="1"/>
  <c r="R644" i="1"/>
  <c r="S650" i="1"/>
  <c r="R650" i="1"/>
  <c r="S969" i="1"/>
  <c r="R969" i="1"/>
  <c r="S39" i="1"/>
  <c r="S115" i="1"/>
  <c r="S131" i="1"/>
  <c r="R167" i="1"/>
  <c r="R301" i="1"/>
  <c r="R305" i="1"/>
  <c r="S341" i="1"/>
  <c r="H366" i="1"/>
  <c r="R367" i="1"/>
  <c r="J376" i="1"/>
  <c r="S391" i="1"/>
  <c r="S393" i="1"/>
  <c r="R409" i="1"/>
  <c r="R421" i="1"/>
  <c r="S467" i="1"/>
  <c r="R493" i="1"/>
  <c r="R507" i="1"/>
  <c r="S515" i="1"/>
  <c r="S535" i="1"/>
  <c r="S547" i="1"/>
  <c r="S580" i="1"/>
  <c r="R602" i="1"/>
  <c r="S648" i="1"/>
  <c r="R648" i="1"/>
  <c r="R707" i="1"/>
  <c r="R765" i="1"/>
  <c r="S765" i="1"/>
  <c r="S967" i="1"/>
  <c r="R967" i="1"/>
  <c r="R987" i="1"/>
  <c r="S1262" i="1"/>
  <c r="R1281" i="1"/>
  <c r="R1285" i="1"/>
  <c r="S1303" i="1"/>
  <c r="R1309" i="1"/>
  <c r="R1311" i="1"/>
  <c r="N1333" i="1"/>
  <c r="R1357" i="1"/>
  <c r="R1359" i="1"/>
  <c r="R1387" i="1"/>
  <c r="R1423" i="1"/>
  <c r="R1425" i="1"/>
  <c r="S1514" i="1"/>
  <c r="S1532" i="1"/>
  <c r="R1557" i="1"/>
  <c r="R1559" i="1"/>
  <c r="R1565" i="1"/>
  <c r="R1567" i="1"/>
  <c r="H1580" i="1"/>
  <c r="S1581" i="1"/>
  <c r="S1602" i="1"/>
  <c r="H1605" i="1"/>
  <c r="R1654" i="1"/>
  <c r="R1656" i="1"/>
  <c r="R1658" i="1"/>
  <c r="R1687" i="1"/>
  <c r="R1689" i="1"/>
  <c r="S1719" i="1"/>
  <c r="R1739" i="1"/>
  <c r="R1755" i="1"/>
  <c r="R1765" i="1"/>
  <c r="R1769" i="1"/>
  <c r="R1773" i="1"/>
  <c r="R1777" i="1"/>
  <c r="R1802" i="1"/>
  <c r="S2354" i="1"/>
  <c r="R2454" i="1"/>
  <c r="R2466" i="1"/>
  <c r="R2470" i="1"/>
  <c r="S2474" i="1"/>
  <c r="R2478" i="1"/>
  <c r="S2478" i="1"/>
  <c r="S2507" i="1"/>
  <c r="R2507" i="1"/>
  <c r="R2561" i="1"/>
  <c r="S2561" i="1"/>
  <c r="R2608" i="1"/>
  <c r="R2616" i="1"/>
  <c r="R2624" i="1"/>
  <c r="S2644" i="1"/>
  <c r="R2681" i="1"/>
  <c r="H2832" i="1"/>
  <c r="H2830" i="1"/>
  <c r="S662" i="1"/>
  <c r="S773" i="1"/>
  <c r="S831" i="1"/>
  <c r="S1029" i="1"/>
  <c r="R1107" i="1"/>
  <c r="R1109" i="1"/>
  <c r="R1123" i="1"/>
  <c r="R1125" i="1"/>
  <c r="S1210" i="1"/>
  <c r="S1235" i="1"/>
  <c r="S1258" i="1"/>
  <c r="R1287" i="1"/>
  <c r="R1289" i="1"/>
  <c r="R1313" i="1"/>
  <c r="R1315" i="1"/>
  <c r="R1335" i="1"/>
  <c r="R1361" i="1"/>
  <c r="R1363" i="1"/>
  <c r="R1389" i="1"/>
  <c r="R1391" i="1"/>
  <c r="R1427" i="1"/>
  <c r="R1429" i="1"/>
  <c r="R1514" i="1"/>
  <c r="S1528" i="1"/>
  <c r="S1598" i="1"/>
  <c r="S1614" i="1"/>
  <c r="R1634" i="1"/>
  <c r="R1660" i="1"/>
  <c r="R1662" i="1"/>
  <c r="S1666" i="1"/>
  <c r="R1668" i="1"/>
  <c r="S1672" i="1"/>
  <c r="R1691" i="1"/>
  <c r="R1693" i="1"/>
  <c r="S1725" i="1"/>
  <c r="R1735" i="1"/>
  <c r="R1751" i="1"/>
  <c r="R1798" i="1"/>
  <c r="S1810" i="1"/>
  <c r="R1826" i="1"/>
  <c r="R1830" i="1"/>
  <c r="R1834" i="1"/>
  <c r="R1856" i="1"/>
  <c r="R1891" i="1"/>
  <c r="R1921" i="1"/>
  <c r="H1932" i="1"/>
  <c r="R1937" i="1"/>
  <c r="R2012" i="1"/>
  <c r="R2042" i="1"/>
  <c r="R2073" i="1"/>
  <c r="R2101" i="1"/>
  <c r="R2119" i="1"/>
  <c r="R2138" i="1"/>
  <c r="R2192" i="1"/>
  <c r="R2267" i="1"/>
  <c r="R2269" i="1"/>
  <c r="R2283" i="1"/>
  <c r="P2329" i="1"/>
  <c r="Q2329" i="1" s="1"/>
  <c r="R2329" i="1" s="1"/>
  <c r="S2352" i="1"/>
  <c r="S2401" i="1"/>
  <c r="S2416" i="1"/>
  <c r="R2456" i="1"/>
  <c r="S2537" i="1"/>
  <c r="S2541" i="1"/>
  <c r="S2549" i="1"/>
  <c r="R2614" i="1"/>
  <c r="R2622" i="1"/>
  <c r="R2705" i="1"/>
  <c r="S2723" i="1"/>
  <c r="R2723" i="1"/>
  <c r="S2725" i="1"/>
  <c r="R2725" i="1"/>
  <c r="S2729" i="1"/>
  <c r="R2729" i="1"/>
  <c r="S2733" i="1"/>
  <c r="R2733" i="1"/>
  <c r="S739" i="1"/>
  <c r="S771" i="1"/>
  <c r="R773" i="1"/>
  <c r="S811" i="1"/>
  <c r="R1111" i="1"/>
  <c r="R1127" i="1"/>
  <c r="H1202" i="1"/>
  <c r="AG269" i="2" s="1"/>
  <c r="S1254" i="1"/>
  <c r="R1393" i="1"/>
  <c r="S1409" i="1"/>
  <c r="R1431" i="1"/>
  <c r="S1524" i="1"/>
  <c r="S1540" i="1"/>
  <c r="R1563" i="1"/>
  <c r="S1579" i="1"/>
  <c r="J1605" i="1"/>
  <c r="R1608" i="1"/>
  <c r="S1610" i="1"/>
  <c r="S1650" i="1"/>
  <c r="R1664" i="1"/>
  <c r="S1670" i="1"/>
  <c r="R1672" i="1"/>
  <c r="R1695" i="1"/>
  <c r="R1832" i="1"/>
  <c r="R1836" i="1"/>
  <c r="S2075" i="1"/>
  <c r="R2077" i="1"/>
  <c r="N2196" i="1"/>
  <c r="R2239" i="1"/>
  <c r="R2241" i="1"/>
  <c r="R2271" i="1"/>
  <c r="R2460" i="1"/>
  <c r="R2462" i="1"/>
  <c r="S2491" i="1"/>
  <c r="S2499" i="1"/>
  <c r="R2499" i="1"/>
  <c r="S2565" i="1"/>
  <c r="S2579" i="1"/>
  <c r="S2587" i="1"/>
  <c r="S2593" i="1"/>
  <c r="R2595" i="1"/>
  <c r="S2595" i="1"/>
  <c r="R2612" i="1"/>
  <c r="R2620" i="1"/>
  <c r="S2630" i="1"/>
  <c r="R2630" i="1"/>
  <c r="S2652" i="1"/>
  <c r="R2697" i="1"/>
  <c r="R2803" i="1"/>
  <c r="S2803" i="1"/>
  <c r="N2495" i="1"/>
  <c r="R2689" i="1"/>
  <c r="S2727" i="1"/>
  <c r="R2727" i="1"/>
  <c r="S2731" i="1"/>
  <c r="R2731" i="1"/>
  <c r="S2735" i="1"/>
  <c r="R2735" i="1"/>
  <c r="R2811" i="1"/>
  <c r="S2811" i="1"/>
  <c r="R2897" i="1"/>
  <c r="Q2899" i="1"/>
  <c r="BE194" i="2" s="1"/>
  <c r="R2979" i="1"/>
  <c r="R2997" i="1"/>
  <c r="R3116" i="1"/>
  <c r="R3150" i="1"/>
  <c r="R3217" i="1"/>
  <c r="S3219" i="1"/>
  <c r="S3233" i="1"/>
  <c r="R3233" i="1"/>
  <c r="S3263" i="1"/>
  <c r="R3263" i="1"/>
  <c r="S3358" i="1"/>
  <c r="R3358" i="1"/>
  <c r="S4568" i="1"/>
  <c r="R3146" i="1"/>
  <c r="S3172" i="1"/>
  <c r="R3243" i="1"/>
  <c r="CD12" i="2"/>
  <c r="CE12" i="2" s="1"/>
  <c r="S3297" i="1"/>
  <c r="R3297" i="1"/>
  <c r="S3305" i="1"/>
  <c r="R3305" i="1"/>
  <c r="S2648" i="1"/>
  <c r="S2656" i="1"/>
  <c r="R2677" i="1"/>
  <c r="R2685" i="1"/>
  <c r="R2693" i="1"/>
  <c r="R2701" i="1"/>
  <c r="R2751" i="1"/>
  <c r="R2757" i="1"/>
  <c r="S2791" i="1"/>
  <c r="S2807" i="1"/>
  <c r="J2830" i="1"/>
  <c r="R2927" i="1"/>
  <c r="S2929" i="1"/>
  <c r="R2931" i="1"/>
  <c r="S2933" i="1"/>
  <c r="R2939" i="1"/>
  <c r="R2983" i="1"/>
  <c r="R2989" i="1"/>
  <c r="R3015" i="1"/>
  <c r="S3017" i="1"/>
  <c r="R3019" i="1"/>
  <c r="S3021" i="1"/>
  <c r="S3241" i="1"/>
  <c r="R3241" i="1"/>
  <c r="H3260" i="1"/>
  <c r="H3258" i="1"/>
  <c r="S3259" i="1"/>
  <c r="R3259" i="1"/>
  <c r="S3336" i="1"/>
  <c r="R3336" i="1"/>
  <c r="S3362" i="1"/>
  <c r="R3362" i="1"/>
  <c r="R3235" i="1"/>
  <c r="S3245" i="1"/>
  <c r="R3245" i="1"/>
  <c r="S3293" i="1"/>
  <c r="R3293" i="1"/>
  <c r="S3301" i="1"/>
  <c r="R3301" i="1"/>
  <c r="S3309" i="1"/>
  <c r="R3309" i="1"/>
  <c r="S3505" i="1"/>
  <c r="S3955" i="1"/>
  <c r="S3963" i="1"/>
  <c r="R4035" i="1"/>
  <c r="S4054" i="1"/>
  <c r="S4084" i="1"/>
  <c r="S4112" i="1"/>
  <c r="S4128" i="1"/>
  <c r="S4227" i="1"/>
  <c r="R4229" i="1"/>
  <c r="S4251" i="1"/>
  <c r="S945" i="1"/>
  <c r="S4302" i="1"/>
  <c r="S4424" i="1"/>
  <c r="R4430" i="1"/>
  <c r="S4507" i="1"/>
  <c r="S3330" i="1"/>
  <c r="S3495" i="1"/>
  <c r="R3511" i="1"/>
  <c r="S3545" i="1"/>
  <c r="R3555" i="1"/>
  <c r="R3557" i="1"/>
  <c r="R3577" i="1"/>
  <c r="R3583" i="1"/>
  <c r="R3585" i="1"/>
  <c r="R3647" i="1"/>
  <c r="R3661" i="1"/>
  <c r="I3790" i="1"/>
  <c r="R3789" i="1"/>
  <c r="R3793" i="1"/>
  <c r="R3795" i="1"/>
  <c r="R3801" i="1"/>
  <c r="R3803" i="1"/>
  <c r="R3821" i="1"/>
  <c r="S3953" i="1"/>
  <c r="S3961" i="1"/>
  <c r="S4000" i="1"/>
  <c r="H4021" i="1"/>
  <c r="H4103" i="1"/>
  <c r="S4010" i="1"/>
  <c r="S4016" i="1"/>
  <c r="S4018" i="1"/>
  <c r="S4024" i="1"/>
  <c r="S4026" i="1"/>
  <c r="R3271" i="1"/>
  <c r="S3340" i="1"/>
  <c r="S3342" i="1"/>
  <c r="R3344" i="1"/>
  <c r="R3445" i="1"/>
  <c r="R3503" i="1"/>
  <c r="R3563" i="1"/>
  <c r="R3579" i="1"/>
  <c r="R3597" i="1"/>
  <c r="R3949" i="1"/>
  <c r="H3952" i="1"/>
  <c r="S3957" i="1"/>
  <c r="H3960" i="1"/>
  <c r="S3965" i="1"/>
  <c r="R4010" i="1"/>
  <c r="S4014" i="1"/>
  <c r="R4016" i="1"/>
  <c r="S4022" i="1"/>
  <c r="R4024" i="1"/>
  <c r="H4101" i="1"/>
  <c r="S4104" i="1"/>
  <c r="S4116" i="1"/>
  <c r="S4181" i="1"/>
  <c r="S4255" i="1"/>
  <c r="S4285" i="1"/>
  <c r="S4306" i="1"/>
  <c r="R4450" i="1"/>
  <c r="L144" i="18"/>
  <c r="S509" i="1"/>
  <c r="R509" i="1"/>
  <c r="S519" i="1"/>
  <c r="R519" i="1"/>
  <c r="S833" i="1"/>
  <c r="R833" i="1"/>
  <c r="S841" i="1"/>
  <c r="R841" i="1"/>
  <c r="S513" i="1"/>
  <c r="R513" i="1"/>
  <c r="R517" i="1"/>
  <c r="S517" i="1"/>
  <c r="R839" i="1"/>
  <c r="S839" i="1"/>
  <c r="S1964" i="1"/>
  <c r="R1964" i="1"/>
  <c r="CD16" i="2"/>
  <c r="CE16" i="2" s="1"/>
  <c r="S61" i="1"/>
  <c r="R61" i="1"/>
  <c r="S837" i="1"/>
  <c r="R837" i="1"/>
  <c r="S845" i="1"/>
  <c r="R845" i="1"/>
  <c r="S521" i="1"/>
  <c r="R521" i="1"/>
  <c r="R600" i="1"/>
  <c r="S600" i="1"/>
  <c r="S835" i="1"/>
  <c r="R835" i="1"/>
  <c r="S843" i="1"/>
  <c r="R843" i="1"/>
  <c r="S1331" i="1"/>
  <c r="N365" i="1"/>
  <c r="I376" i="1"/>
  <c r="S463" i="1"/>
  <c r="S21" i="1"/>
  <c r="S45" i="1"/>
  <c r="S49" i="1"/>
  <c r="R58" i="1"/>
  <c r="S82" i="1"/>
  <c r="S107" i="1"/>
  <c r="S113" i="1"/>
  <c r="S129" i="1"/>
  <c r="S133" i="1"/>
  <c r="S137" i="1"/>
  <c r="S149" i="1"/>
  <c r="S315" i="1"/>
  <c r="S331" i="1"/>
  <c r="S339" i="1"/>
  <c r="S347" i="1"/>
  <c r="S351" i="1"/>
  <c r="N369" i="1"/>
  <c r="S395" i="1"/>
  <c r="S435" i="1"/>
  <c r="S439" i="1"/>
  <c r="S443" i="1"/>
  <c r="S465" i="1"/>
  <c r="S469" i="1"/>
  <c r="S473" i="1"/>
  <c r="S7" i="1"/>
  <c r="BF356" i="2"/>
  <c r="AV356" i="2"/>
  <c r="AP356" i="2"/>
  <c r="AZ356" i="2" s="1"/>
  <c r="AG356" i="2"/>
  <c r="AC356" i="2"/>
  <c r="BG355" i="2"/>
  <c r="BC355" i="2"/>
  <c r="AW355" i="2"/>
  <c r="AQ355" i="2"/>
  <c r="AH355" i="2"/>
  <c r="BH354" i="2"/>
  <c r="BD354" i="2"/>
  <c r="AX354" i="2"/>
  <c r="AS354" i="2"/>
  <c r="AN354" i="2"/>
  <c r="BJ353" i="2"/>
  <c r="BE353" i="2"/>
  <c r="AY353" i="2"/>
  <c r="AU353" i="2"/>
  <c r="BF352" i="2"/>
  <c r="AV352" i="2"/>
  <c r="AP352" i="2"/>
  <c r="AZ352" i="2" s="1"/>
  <c r="AG352" i="2"/>
  <c r="AC352" i="2"/>
  <c r="BG351" i="2"/>
  <c r="BC351" i="2"/>
  <c r="AW351" i="2"/>
  <c r="AQ351" i="2"/>
  <c r="AH351" i="2"/>
  <c r="BH350" i="2"/>
  <c r="BD350" i="2"/>
  <c r="AX350" i="2"/>
  <c r="AS350" i="2"/>
  <c r="AN350" i="2"/>
  <c r="BJ349" i="2"/>
  <c r="BE349" i="2"/>
  <c r="AY349" i="2"/>
  <c r="AU349" i="2"/>
  <c r="BF348" i="2"/>
  <c r="AV348" i="2"/>
  <c r="AP348" i="2"/>
  <c r="AZ348" i="2" s="1"/>
  <c r="AG348" i="2"/>
  <c r="AC348" i="2"/>
  <c r="BG347" i="2"/>
  <c r="BC347" i="2"/>
  <c r="AW347" i="2"/>
  <c r="AQ347" i="2"/>
  <c r="AH347" i="2"/>
  <c r="BH346" i="2"/>
  <c r="BD346" i="2"/>
  <c r="AX346" i="2"/>
  <c r="AS346" i="2"/>
  <c r="AN346" i="2"/>
  <c r="BJ345" i="2"/>
  <c r="BE345" i="2"/>
  <c r="AY345" i="2"/>
  <c r="AU345" i="2"/>
  <c r="BF344" i="2"/>
  <c r="AV344" i="2"/>
  <c r="AP344" i="2"/>
  <c r="AZ344" i="2" s="1"/>
  <c r="AG344" i="2"/>
  <c r="AC344" i="2"/>
  <c r="BG343" i="2"/>
  <c r="BJ356" i="2"/>
  <c r="BE356" i="2"/>
  <c r="AY356" i="2"/>
  <c r="AU356" i="2"/>
  <c r="BF355" i="2"/>
  <c r="AV355" i="2"/>
  <c r="AP355" i="2"/>
  <c r="AZ355" i="2" s="1"/>
  <c r="AG355" i="2"/>
  <c r="AC355" i="2"/>
  <c r="BG354" i="2"/>
  <c r="BC354" i="2"/>
  <c r="AW354" i="2"/>
  <c r="AQ354" i="2"/>
  <c r="AH354" i="2"/>
  <c r="BH353" i="2"/>
  <c r="BD353" i="2"/>
  <c r="AX353" i="2"/>
  <c r="AS353" i="2"/>
  <c r="AN353" i="2"/>
  <c r="BJ352" i="2"/>
  <c r="BE352" i="2"/>
  <c r="AY352" i="2"/>
  <c r="AU352" i="2"/>
  <c r="BF351" i="2"/>
  <c r="AV351" i="2"/>
  <c r="AP351" i="2"/>
  <c r="AZ351" i="2" s="1"/>
  <c r="AG351" i="2"/>
  <c r="AC351" i="2"/>
  <c r="BG350" i="2"/>
  <c r="BC350" i="2"/>
  <c r="AW350" i="2"/>
  <c r="AQ350" i="2"/>
  <c r="AH350" i="2"/>
  <c r="BH349" i="2"/>
  <c r="BD349" i="2"/>
  <c r="AX349" i="2"/>
  <c r="AS349" i="2"/>
  <c r="BJ348" i="2"/>
  <c r="BE348" i="2"/>
  <c r="AY348" i="2"/>
  <c r="AU348" i="2"/>
  <c r="BF347" i="2"/>
  <c r="AV347" i="2"/>
  <c r="AP347" i="2"/>
  <c r="AZ347" i="2" s="1"/>
  <c r="AG347" i="2"/>
  <c r="AC347" i="2"/>
  <c r="BG346" i="2"/>
  <c r="BC346" i="2"/>
  <c r="AW346" i="2"/>
  <c r="AQ346" i="2"/>
  <c r="AH346" i="2"/>
  <c r="BH345" i="2"/>
  <c r="BD345" i="2"/>
  <c r="AX345" i="2"/>
  <c r="AS345" i="2"/>
  <c r="AN345" i="2"/>
  <c r="BH356" i="2"/>
  <c r="BD356" i="2"/>
  <c r="AX356" i="2"/>
  <c r="AS356" i="2"/>
  <c r="AN356" i="2"/>
  <c r="BJ355" i="2"/>
  <c r="BE355" i="2"/>
  <c r="AY355" i="2"/>
  <c r="AU355" i="2"/>
  <c r="BF354" i="2"/>
  <c r="AV354" i="2"/>
  <c r="AP354" i="2"/>
  <c r="AZ354" i="2" s="1"/>
  <c r="AG354" i="2"/>
  <c r="AC354" i="2"/>
  <c r="BG353" i="2"/>
  <c r="BC353" i="2"/>
  <c r="AW353" i="2"/>
  <c r="AQ353" i="2"/>
  <c r="AH353" i="2"/>
  <c r="BH352" i="2"/>
  <c r="BD352" i="2"/>
  <c r="AX352" i="2"/>
  <c r="AS352" i="2"/>
  <c r="AN352" i="2"/>
  <c r="BJ351" i="2"/>
  <c r="BE351" i="2"/>
  <c r="AY351" i="2"/>
  <c r="AU351" i="2"/>
  <c r="BF350" i="2"/>
  <c r="AV350" i="2"/>
  <c r="AP350" i="2"/>
  <c r="AZ350" i="2" s="1"/>
  <c r="AG350" i="2"/>
  <c r="AC350" i="2"/>
  <c r="BG349" i="2"/>
  <c r="BC349" i="2"/>
  <c r="AW349" i="2"/>
  <c r="AQ349" i="2"/>
  <c r="AH349" i="2"/>
  <c r="BH348" i="2"/>
  <c r="BD348" i="2"/>
  <c r="AX348" i="2"/>
  <c r="AS348" i="2"/>
  <c r="AN348" i="2"/>
  <c r="BJ347" i="2"/>
  <c r="BE347" i="2"/>
  <c r="AY347" i="2"/>
  <c r="AU347" i="2"/>
  <c r="BF346" i="2"/>
  <c r="AV346" i="2"/>
  <c r="AP346" i="2"/>
  <c r="AZ346" i="2" s="1"/>
  <c r="AG346" i="2"/>
  <c r="AC346" i="2"/>
  <c r="BG345" i="2"/>
  <c r="BC345" i="2"/>
  <c r="AW345" i="2"/>
  <c r="AQ345" i="2"/>
  <c r="AH345" i="2"/>
  <c r="BH344" i="2"/>
  <c r="AW356" i="2"/>
  <c r="AX355" i="2"/>
  <c r="AY354" i="2"/>
  <c r="AP353" i="2"/>
  <c r="AZ353" i="2" s="1"/>
  <c r="BG352" i="2"/>
  <c r="AQ352" i="2"/>
  <c r="BH351" i="2"/>
  <c r="AS351" i="2"/>
  <c r="BJ350" i="2"/>
  <c r="AU350" i="2"/>
  <c r="BF349" i="2"/>
  <c r="BC348" i="2"/>
  <c r="BD347" i="2"/>
  <c r="BE346" i="2"/>
  <c r="AG345" i="2"/>
  <c r="BE344" i="2"/>
  <c r="AY344" i="2"/>
  <c r="AS344" i="2"/>
  <c r="AH344" i="2"/>
  <c r="BE343" i="2"/>
  <c r="AY343" i="2"/>
  <c r="AU343" i="2"/>
  <c r="BF342" i="2"/>
  <c r="AY342" i="2"/>
  <c r="AU342" i="2"/>
  <c r="BF341" i="2"/>
  <c r="AV341" i="2"/>
  <c r="AP341" i="2"/>
  <c r="AZ341" i="2" s="1"/>
  <c r="AG341" i="2"/>
  <c r="AC341" i="2"/>
  <c r="BG340" i="2"/>
  <c r="BC340" i="2"/>
  <c r="AW340" i="2"/>
  <c r="AQ340" i="2"/>
  <c r="AH340" i="2"/>
  <c r="BH339" i="2"/>
  <c r="BD339" i="2"/>
  <c r="AX339" i="2"/>
  <c r="AS339" i="2"/>
  <c r="BJ338" i="2"/>
  <c r="BE338" i="2"/>
  <c r="AY338" i="2"/>
  <c r="AU338" i="2"/>
  <c r="BF337" i="2"/>
  <c r="AV337" i="2"/>
  <c r="AP337" i="2"/>
  <c r="AZ337" i="2" s="1"/>
  <c r="AG337" i="2"/>
  <c r="AC337" i="2"/>
  <c r="BG336" i="2"/>
  <c r="BC336" i="2"/>
  <c r="AW336" i="2"/>
  <c r="AQ336" i="2"/>
  <c r="AH336" i="2"/>
  <c r="BH335" i="2"/>
  <c r="BD335" i="2"/>
  <c r="AX335" i="2"/>
  <c r="AS335" i="2"/>
  <c r="BJ334" i="2"/>
  <c r="BE334" i="2"/>
  <c r="AY334" i="2"/>
  <c r="AU334" i="2"/>
  <c r="BF333" i="2"/>
  <c r="BG356" i="2"/>
  <c r="AQ356" i="2"/>
  <c r="BH355" i="2"/>
  <c r="AS355" i="2"/>
  <c r="BJ354" i="2"/>
  <c r="AU354" i="2"/>
  <c r="BF353" i="2"/>
  <c r="BC352" i="2"/>
  <c r="BD351" i="2"/>
  <c r="BE350" i="2"/>
  <c r="AH348" i="2"/>
  <c r="AN347" i="2"/>
  <c r="AV345" i="2"/>
  <c r="AC345" i="2"/>
  <c r="BD344" i="2"/>
  <c r="AX344" i="2"/>
  <c r="AQ344" i="2"/>
  <c r="BJ343" i="2"/>
  <c r="BD343" i="2"/>
  <c r="AX343" i="2"/>
  <c r="AS343" i="2"/>
  <c r="AN343" i="2"/>
  <c r="BJ342" i="2"/>
  <c r="BE342" i="2"/>
  <c r="AX342" i="2"/>
  <c r="AS342" i="2"/>
  <c r="AN342" i="2"/>
  <c r="BJ341" i="2"/>
  <c r="BE341" i="2"/>
  <c r="AY341" i="2"/>
  <c r="AU341" i="2"/>
  <c r="BF340" i="2"/>
  <c r="AV340" i="2"/>
  <c r="AP340" i="2"/>
  <c r="AZ340" i="2" s="1"/>
  <c r="AG340" i="2"/>
  <c r="AC340" i="2"/>
  <c r="BG339" i="2"/>
  <c r="BC339" i="2"/>
  <c r="AW339" i="2"/>
  <c r="AQ339" i="2"/>
  <c r="AH339" i="2"/>
  <c r="BH338" i="2"/>
  <c r="BD338" i="2"/>
  <c r="AX338" i="2"/>
  <c r="AS338" i="2"/>
  <c r="BJ337" i="2"/>
  <c r="BE337" i="2"/>
  <c r="AY337" i="2"/>
  <c r="AU337" i="2"/>
  <c r="BF336" i="2"/>
  <c r="AV336" i="2"/>
  <c r="AP336" i="2"/>
  <c r="AZ336" i="2" s="1"/>
  <c r="AG336" i="2"/>
  <c r="AC336" i="2"/>
  <c r="BG335" i="2"/>
  <c r="BC335" i="2"/>
  <c r="AW335" i="2"/>
  <c r="AQ335" i="2"/>
  <c r="AH335" i="2"/>
  <c r="BH334" i="2"/>
  <c r="BC356" i="2"/>
  <c r="BD355" i="2"/>
  <c r="BE354" i="2"/>
  <c r="AG353" i="2"/>
  <c r="AH352" i="2"/>
  <c r="AV349" i="2"/>
  <c r="AC349" i="2"/>
  <c r="AW348" i="2"/>
  <c r="AX347" i="2"/>
  <c r="AY346" i="2"/>
  <c r="AP345" i="2"/>
  <c r="AZ345" i="2" s="1"/>
  <c r="BJ344" i="2"/>
  <c r="BC344" i="2"/>
  <c r="AW344" i="2"/>
  <c r="BH343" i="2"/>
  <c r="BC343" i="2"/>
  <c r="AW343" i="2"/>
  <c r="AQ343" i="2"/>
  <c r="AH343" i="2"/>
  <c r="BH342" i="2"/>
  <c r="BD342" i="2"/>
  <c r="AW342" i="2"/>
  <c r="AQ342" i="2"/>
  <c r="AH342" i="2"/>
  <c r="BH341" i="2"/>
  <c r="BD341" i="2"/>
  <c r="AX341" i="2"/>
  <c r="AS341" i="2"/>
  <c r="AN341" i="2"/>
  <c r="BJ340" i="2"/>
  <c r="BE340" i="2"/>
  <c r="AY340" i="2"/>
  <c r="AU340" i="2"/>
  <c r="BF339" i="2"/>
  <c r="AV339" i="2"/>
  <c r="AP339" i="2"/>
  <c r="AZ339" i="2" s="1"/>
  <c r="AG339" i="2"/>
  <c r="AC339" i="2"/>
  <c r="BG338" i="2"/>
  <c r="BC338" i="2"/>
  <c r="AW338" i="2"/>
  <c r="AQ338" i="2"/>
  <c r="AH338" i="2"/>
  <c r="BH337" i="2"/>
  <c r="BD337" i="2"/>
  <c r="AX337" i="2"/>
  <c r="AS337" i="2"/>
  <c r="BJ336" i="2"/>
  <c r="BE336" i="2"/>
  <c r="AY336" i="2"/>
  <c r="AU336" i="2"/>
  <c r="BF335" i="2"/>
  <c r="AV335" i="2"/>
  <c r="AP335" i="2"/>
  <c r="AZ335" i="2" s="1"/>
  <c r="AH356" i="2"/>
  <c r="AN355" i="2"/>
  <c r="AV353" i="2"/>
  <c r="AC353" i="2"/>
  <c r="AW352" i="2"/>
  <c r="AX351" i="2"/>
  <c r="AY350" i="2"/>
  <c r="AP349" i="2"/>
  <c r="AZ349" i="2" s="1"/>
  <c r="BG348" i="2"/>
  <c r="AQ348" i="2"/>
  <c r="BH347" i="2"/>
  <c r="AS347" i="2"/>
  <c r="BJ346" i="2"/>
  <c r="AU346" i="2"/>
  <c r="BF345" i="2"/>
  <c r="BG344" i="2"/>
  <c r="AU344" i="2"/>
  <c r="AN344" i="2"/>
  <c r="BF343" i="2"/>
  <c r="AV343" i="2"/>
  <c r="AP343" i="2"/>
  <c r="AZ343" i="2" s="1"/>
  <c r="AG343" i="2"/>
  <c r="AC343" i="2"/>
  <c r="BG342" i="2"/>
  <c r="BC342" i="2"/>
  <c r="AV342" i="2"/>
  <c r="AP342" i="2"/>
  <c r="AZ342" i="2" s="1"/>
  <c r="AG342" i="2"/>
  <c r="AC342" i="2"/>
  <c r="BG341" i="2"/>
  <c r="BC341" i="2"/>
  <c r="AW341" i="2"/>
  <c r="AQ341" i="2"/>
  <c r="AH341" i="2"/>
  <c r="BH340" i="2"/>
  <c r="BD340" i="2"/>
  <c r="AX340" i="2"/>
  <c r="AS340" i="2"/>
  <c r="AN340" i="2"/>
  <c r="BJ339" i="2"/>
  <c r="BE339" i="2"/>
  <c r="AY339" i="2"/>
  <c r="AU339" i="2"/>
  <c r="BF338" i="2"/>
  <c r="AV338" i="2"/>
  <c r="AP338" i="2"/>
  <c r="AZ338" i="2" s="1"/>
  <c r="AG338" i="2"/>
  <c r="AC338" i="2"/>
  <c r="BG337" i="2"/>
  <c r="BC337" i="2"/>
  <c r="AW337" i="2"/>
  <c r="AQ337" i="2"/>
  <c r="AH337" i="2"/>
  <c r="BH336" i="2"/>
  <c r="BD336" i="2"/>
  <c r="AX336" i="2"/>
  <c r="AS336" i="2"/>
  <c r="BJ335" i="2"/>
  <c r="AU335" i="2"/>
  <c r="AC335" i="2"/>
  <c r="BD334" i="2"/>
  <c r="AW334" i="2"/>
  <c r="AP334" i="2"/>
  <c r="AZ334" i="2" s="1"/>
  <c r="AG334" i="2"/>
  <c r="BJ333" i="2"/>
  <c r="BD333" i="2"/>
  <c r="AW333" i="2"/>
  <c r="AQ333" i="2"/>
  <c r="AH333" i="2"/>
  <c r="BJ332" i="2"/>
  <c r="BE332" i="2"/>
  <c r="AY332" i="2"/>
  <c r="AU332" i="2"/>
  <c r="BF331" i="2"/>
  <c r="AV331" i="2"/>
  <c r="AP331" i="2"/>
  <c r="AZ331" i="2" s="1"/>
  <c r="AG331" i="2"/>
  <c r="AC331" i="2"/>
  <c r="BG330" i="2"/>
  <c r="BC330" i="2"/>
  <c r="AW330" i="2"/>
  <c r="AQ330" i="2"/>
  <c r="AH330" i="2"/>
  <c r="BH329" i="2"/>
  <c r="BD329" i="2"/>
  <c r="AX329" i="2"/>
  <c r="AS329" i="2"/>
  <c r="AN329" i="2"/>
  <c r="BJ328" i="2"/>
  <c r="BE328" i="2"/>
  <c r="AY328" i="2"/>
  <c r="AU328" i="2"/>
  <c r="BF327" i="2"/>
  <c r="AY327" i="2"/>
  <c r="AU327" i="2"/>
  <c r="BF326" i="2"/>
  <c r="AV326" i="2"/>
  <c r="AP326" i="2"/>
  <c r="AZ326" i="2" s="1"/>
  <c r="AG326" i="2"/>
  <c r="AC326" i="2"/>
  <c r="BG325" i="2"/>
  <c r="BC325" i="2"/>
  <c r="AW325" i="2"/>
  <c r="AQ325" i="2"/>
  <c r="AH325" i="2"/>
  <c r="BH324" i="2"/>
  <c r="BD324" i="2"/>
  <c r="AX324" i="2"/>
  <c r="AS324" i="2"/>
  <c r="AN324" i="2"/>
  <c r="BJ323" i="2"/>
  <c r="BE323" i="2"/>
  <c r="AY323" i="2"/>
  <c r="AU323" i="2"/>
  <c r="BF322" i="2"/>
  <c r="AV322" i="2"/>
  <c r="AP322" i="2"/>
  <c r="AZ322" i="2" s="1"/>
  <c r="AG322" i="2"/>
  <c r="AC322" i="2"/>
  <c r="BG321" i="2"/>
  <c r="BC321" i="2"/>
  <c r="AW321" i="2"/>
  <c r="AQ321" i="2"/>
  <c r="AH321" i="2"/>
  <c r="BH320" i="2"/>
  <c r="BD320" i="2"/>
  <c r="AX320" i="2"/>
  <c r="AS320" i="2"/>
  <c r="AN320" i="2"/>
  <c r="BJ319" i="2"/>
  <c r="BE319" i="2"/>
  <c r="AY319" i="2"/>
  <c r="AU319" i="2"/>
  <c r="BF318" i="2"/>
  <c r="AV318" i="2"/>
  <c r="AP318" i="2"/>
  <c r="AZ318" i="2" s="1"/>
  <c r="AG318" i="2"/>
  <c r="AC318" i="2"/>
  <c r="BG317" i="2"/>
  <c r="BC317" i="2"/>
  <c r="AW317" i="2"/>
  <c r="BE335" i="2"/>
  <c r="BC334" i="2"/>
  <c r="AV334" i="2"/>
  <c r="BH333" i="2"/>
  <c r="BC333" i="2"/>
  <c r="AV333" i="2"/>
  <c r="AP333" i="2"/>
  <c r="AZ333" i="2" s="1"/>
  <c r="AG333" i="2"/>
  <c r="AC333" i="2"/>
  <c r="BH332" i="2"/>
  <c r="BD332" i="2"/>
  <c r="AX332" i="2"/>
  <c r="AS332" i="2"/>
  <c r="AN332" i="2"/>
  <c r="BJ331" i="2"/>
  <c r="BE331" i="2"/>
  <c r="AY331" i="2"/>
  <c r="AU331" i="2"/>
  <c r="BF330" i="2"/>
  <c r="AV330" i="2"/>
  <c r="AP330" i="2"/>
  <c r="AZ330" i="2" s="1"/>
  <c r="AG330" i="2"/>
  <c r="AC330" i="2"/>
  <c r="BG329" i="2"/>
  <c r="BC329" i="2"/>
  <c r="AW329" i="2"/>
  <c r="AQ329" i="2"/>
  <c r="AH329" i="2"/>
  <c r="BH328" i="2"/>
  <c r="BD328" i="2"/>
  <c r="AX328" i="2"/>
  <c r="AS328" i="2"/>
  <c r="AN328" i="2"/>
  <c r="BJ327" i="2"/>
  <c r="BE327" i="2"/>
  <c r="AX327" i="2"/>
  <c r="AS327" i="2"/>
  <c r="AN327" i="2"/>
  <c r="BJ326" i="2"/>
  <c r="BE326" i="2"/>
  <c r="AY326" i="2"/>
  <c r="AU326" i="2"/>
  <c r="BF325" i="2"/>
  <c r="AV325" i="2"/>
  <c r="AP325" i="2"/>
  <c r="AZ325" i="2" s="1"/>
  <c r="AG325" i="2"/>
  <c r="AC325" i="2"/>
  <c r="BG324" i="2"/>
  <c r="BC324" i="2"/>
  <c r="AW324" i="2"/>
  <c r="AQ324" i="2"/>
  <c r="AH324" i="2"/>
  <c r="BH323" i="2"/>
  <c r="BD323" i="2"/>
  <c r="AX323" i="2"/>
  <c r="AS323" i="2"/>
  <c r="AN323" i="2"/>
  <c r="BJ322" i="2"/>
  <c r="BE322" i="2"/>
  <c r="AY322" i="2"/>
  <c r="AU322" i="2"/>
  <c r="BF321" i="2"/>
  <c r="AV321" i="2"/>
  <c r="AP321" i="2"/>
  <c r="AZ321" i="2" s="1"/>
  <c r="AG321" i="2"/>
  <c r="AC321" i="2"/>
  <c r="BG320" i="2"/>
  <c r="BC320" i="2"/>
  <c r="AW320" i="2"/>
  <c r="AQ320" i="2"/>
  <c r="AH320" i="2"/>
  <c r="BH319" i="2"/>
  <c r="BD319" i="2"/>
  <c r="AG335" i="2"/>
  <c r="BG334" i="2"/>
  <c r="AS334" i="2"/>
  <c r="BG333" i="2"/>
  <c r="AY333" i="2"/>
  <c r="AU333" i="2"/>
  <c r="BG332" i="2"/>
  <c r="BC332" i="2"/>
  <c r="AW332" i="2"/>
  <c r="AQ332" i="2"/>
  <c r="AH332" i="2"/>
  <c r="BH331" i="2"/>
  <c r="BD331" i="2"/>
  <c r="AX331" i="2"/>
  <c r="AS331" i="2"/>
  <c r="BJ330" i="2"/>
  <c r="BE330" i="2"/>
  <c r="AY330" i="2"/>
  <c r="AU330" i="2"/>
  <c r="BF329" i="2"/>
  <c r="AV329" i="2"/>
  <c r="AP329" i="2"/>
  <c r="AZ329" i="2" s="1"/>
  <c r="AG329" i="2"/>
  <c r="AC329" i="2"/>
  <c r="BG328" i="2"/>
  <c r="BC328" i="2"/>
  <c r="AW328" i="2"/>
  <c r="AQ328" i="2"/>
  <c r="AH328" i="2"/>
  <c r="BH327" i="2"/>
  <c r="BD327" i="2"/>
  <c r="AW327" i="2"/>
  <c r="AQ327" i="2"/>
  <c r="AH327" i="2"/>
  <c r="BH326" i="2"/>
  <c r="BD326" i="2"/>
  <c r="AX326" i="2"/>
  <c r="AS326" i="2"/>
  <c r="BJ325" i="2"/>
  <c r="BE325" i="2"/>
  <c r="AY325" i="2"/>
  <c r="AU325" i="2"/>
  <c r="BF324" i="2"/>
  <c r="AV324" i="2"/>
  <c r="AP324" i="2"/>
  <c r="AZ324" i="2" s="1"/>
  <c r="AG324" i="2"/>
  <c r="AC324" i="2"/>
  <c r="BG323" i="2"/>
  <c r="BC323" i="2"/>
  <c r="AW323" i="2"/>
  <c r="AQ323" i="2"/>
  <c r="AH323" i="2"/>
  <c r="BH322" i="2"/>
  <c r="BD322" i="2"/>
  <c r="AX322" i="2"/>
  <c r="AS322" i="2"/>
  <c r="BJ321" i="2"/>
  <c r="BE321" i="2"/>
  <c r="AY321" i="2"/>
  <c r="AU321" i="2"/>
  <c r="BF320" i="2"/>
  <c r="AV320" i="2"/>
  <c r="AP320" i="2"/>
  <c r="AZ320" i="2" s="1"/>
  <c r="AG320" i="2"/>
  <c r="AC320" i="2"/>
  <c r="AY335" i="2"/>
  <c r="BF334" i="2"/>
  <c r="AX334" i="2"/>
  <c r="AQ334" i="2"/>
  <c r="AH334" i="2"/>
  <c r="AC334" i="2"/>
  <c r="BE333" i="2"/>
  <c r="AX333" i="2"/>
  <c r="AS333" i="2"/>
  <c r="AN333" i="2"/>
  <c r="BF332" i="2"/>
  <c r="AV332" i="2"/>
  <c r="AP332" i="2"/>
  <c r="AZ332" i="2" s="1"/>
  <c r="AG332" i="2"/>
  <c r="AC332" i="2"/>
  <c r="BG331" i="2"/>
  <c r="BC331" i="2"/>
  <c r="AW331" i="2"/>
  <c r="AQ331" i="2"/>
  <c r="AH331" i="2"/>
  <c r="BH330" i="2"/>
  <c r="BD330" i="2"/>
  <c r="AX330" i="2"/>
  <c r="AS330" i="2"/>
  <c r="BJ329" i="2"/>
  <c r="BE329" i="2"/>
  <c r="AY329" i="2"/>
  <c r="AU329" i="2"/>
  <c r="BF328" i="2"/>
  <c r="AV328" i="2"/>
  <c r="AP328" i="2"/>
  <c r="AZ328" i="2" s="1"/>
  <c r="AG328" i="2"/>
  <c r="AC328" i="2"/>
  <c r="BG327" i="2"/>
  <c r="BC327" i="2"/>
  <c r="AV327" i="2"/>
  <c r="AP327" i="2"/>
  <c r="AZ327" i="2" s="1"/>
  <c r="AG327" i="2"/>
  <c r="AC327" i="2"/>
  <c r="BG326" i="2"/>
  <c r="BC326" i="2"/>
  <c r="AW326" i="2"/>
  <c r="AQ326" i="2"/>
  <c r="AH326" i="2"/>
  <c r="BH325" i="2"/>
  <c r="BD325" i="2"/>
  <c r="AX325" i="2"/>
  <c r="AS325" i="2"/>
  <c r="AN325" i="2"/>
  <c r="BJ324" i="2"/>
  <c r="BE324" i="2"/>
  <c r="AY324" i="2"/>
  <c r="AU324" i="2"/>
  <c r="BF323" i="2"/>
  <c r="AV323" i="2"/>
  <c r="AP323" i="2"/>
  <c r="AZ323" i="2" s="1"/>
  <c r="AG323" i="2"/>
  <c r="AC323" i="2"/>
  <c r="BG322" i="2"/>
  <c r="BC322" i="2"/>
  <c r="AW322" i="2"/>
  <c r="AQ322" i="2"/>
  <c r="AH322" i="2"/>
  <c r="BH321" i="2"/>
  <c r="BD321" i="2"/>
  <c r="AX321" i="2"/>
  <c r="AS321" i="2"/>
  <c r="BJ320" i="2"/>
  <c r="AU320" i="2"/>
  <c r="BG319" i="2"/>
  <c r="AX319" i="2"/>
  <c r="AQ319" i="2"/>
  <c r="AH319" i="2"/>
  <c r="AC319" i="2"/>
  <c r="BE318" i="2"/>
  <c r="AY318" i="2"/>
  <c r="AS318" i="2"/>
  <c r="AH318" i="2"/>
  <c r="BE317" i="2"/>
  <c r="AX317" i="2"/>
  <c r="AQ317" i="2"/>
  <c r="AH317" i="2"/>
  <c r="BH316" i="2"/>
  <c r="BD316" i="2"/>
  <c r="AW316" i="2"/>
  <c r="AQ316" i="2"/>
  <c r="AH316" i="2"/>
  <c r="BH315" i="2"/>
  <c r="BD315" i="2"/>
  <c r="AX315" i="2"/>
  <c r="AS315" i="2"/>
  <c r="BJ314" i="2"/>
  <c r="BE314" i="2"/>
  <c r="AY314" i="2"/>
  <c r="BF313" i="2"/>
  <c r="AV313" i="2"/>
  <c r="AP313" i="2"/>
  <c r="AZ313" i="2" s="1"/>
  <c r="AG313" i="2"/>
  <c r="AC313" i="2"/>
  <c r="BG312" i="2"/>
  <c r="BC312" i="2"/>
  <c r="AW312" i="2"/>
  <c r="AQ312" i="2"/>
  <c r="AH312" i="2"/>
  <c r="BH311" i="2"/>
  <c r="BD311" i="2"/>
  <c r="AX311" i="2"/>
  <c r="AS311" i="2"/>
  <c r="AN311" i="2"/>
  <c r="BJ310" i="2"/>
  <c r="BE310" i="2"/>
  <c r="AY310" i="2"/>
  <c r="AU310" i="2"/>
  <c r="BF309" i="2"/>
  <c r="AV309" i="2"/>
  <c r="AP309" i="2"/>
  <c r="AZ309" i="2" s="1"/>
  <c r="AG309" i="2"/>
  <c r="AC309" i="2"/>
  <c r="BG308" i="2"/>
  <c r="BC308" i="2"/>
  <c r="AW308" i="2"/>
  <c r="AQ308" i="2"/>
  <c r="AH308" i="2"/>
  <c r="BJ307" i="2"/>
  <c r="BE307" i="2"/>
  <c r="AY307" i="2"/>
  <c r="AU307" i="2"/>
  <c r="BF306" i="2"/>
  <c r="AV306" i="2"/>
  <c r="AP306" i="2"/>
  <c r="AZ306" i="2" s="1"/>
  <c r="AG306" i="2"/>
  <c r="AC306" i="2"/>
  <c r="BG305" i="2"/>
  <c r="BC305" i="2"/>
  <c r="AW305" i="2"/>
  <c r="AQ305" i="2"/>
  <c r="AH305" i="2"/>
  <c r="BH304" i="2"/>
  <c r="BD304" i="2"/>
  <c r="AX304" i="2"/>
  <c r="AS304" i="2"/>
  <c r="AN304" i="2"/>
  <c r="BJ303" i="2"/>
  <c r="BE303" i="2"/>
  <c r="AY303" i="2"/>
  <c r="AU303" i="2"/>
  <c r="BF302" i="2"/>
  <c r="AY302" i="2"/>
  <c r="AU302" i="2"/>
  <c r="BF301" i="2"/>
  <c r="AV301" i="2"/>
  <c r="BE320" i="2"/>
  <c r="BF319" i="2"/>
  <c r="AW319" i="2"/>
  <c r="AP319" i="2"/>
  <c r="AZ319" i="2" s="1"/>
  <c r="AG319" i="2"/>
  <c r="BJ318" i="2"/>
  <c r="BD318" i="2"/>
  <c r="AX318" i="2"/>
  <c r="AQ318" i="2"/>
  <c r="BJ317" i="2"/>
  <c r="BD317" i="2"/>
  <c r="AV317" i="2"/>
  <c r="AP317" i="2"/>
  <c r="AZ317" i="2" s="1"/>
  <c r="AG317" i="2"/>
  <c r="AC317" i="2"/>
  <c r="BG316" i="2"/>
  <c r="BC316" i="2"/>
  <c r="AV316" i="2"/>
  <c r="AP316" i="2"/>
  <c r="AZ316" i="2" s="1"/>
  <c r="AG316" i="2"/>
  <c r="AC316" i="2"/>
  <c r="BG315" i="2"/>
  <c r="BC315" i="2"/>
  <c r="AW315" i="2"/>
  <c r="AQ315" i="2"/>
  <c r="AH315" i="2"/>
  <c r="BH314" i="2"/>
  <c r="BD314" i="2"/>
  <c r="AS314" i="2"/>
  <c r="AN314" i="2"/>
  <c r="BJ313" i="2"/>
  <c r="BE313" i="2"/>
  <c r="AY313" i="2"/>
  <c r="AU313" i="2"/>
  <c r="BF312" i="2"/>
  <c r="AV312" i="2"/>
  <c r="AP312" i="2"/>
  <c r="AZ312" i="2" s="1"/>
  <c r="AG312" i="2"/>
  <c r="AC312" i="2"/>
  <c r="BG311" i="2"/>
  <c r="BC311" i="2"/>
  <c r="AW311" i="2"/>
  <c r="AQ311" i="2"/>
  <c r="AH311" i="2"/>
  <c r="BH310" i="2"/>
  <c r="BD310" i="2"/>
  <c r="AX310" i="2"/>
  <c r="AS310" i="2"/>
  <c r="AN310" i="2"/>
  <c r="BJ309" i="2"/>
  <c r="BE309" i="2"/>
  <c r="AY309" i="2"/>
  <c r="AU309" i="2"/>
  <c r="BF308" i="2"/>
  <c r="AV308" i="2"/>
  <c r="AP308" i="2"/>
  <c r="AZ308" i="2" s="1"/>
  <c r="AG308" i="2"/>
  <c r="AC308" i="2"/>
  <c r="BH307" i="2"/>
  <c r="BD307" i="2"/>
  <c r="AX307" i="2"/>
  <c r="AS307" i="2"/>
  <c r="BJ306" i="2"/>
  <c r="BE306" i="2"/>
  <c r="AY306" i="2"/>
  <c r="AU306" i="2"/>
  <c r="BF305" i="2"/>
  <c r="AV305" i="2"/>
  <c r="AP305" i="2"/>
  <c r="AZ305" i="2" s="1"/>
  <c r="AG305" i="2"/>
  <c r="AC305" i="2"/>
  <c r="BG304" i="2"/>
  <c r="BC304" i="2"/>
  <c r="AW304" i="2"/>
  <c r="AQ304" i="2"/>
  <c r="AH304" i="2"/>
  <c r="BH303" i="2"/>
  <c r="BD303" i="2"/>
  <c r="AX303" i="2"/>
  <c r="BC319" i="2"/>
  <c r="AV319" i="2"/>
  <c r="BH318" i="2"/>
  <c r="BC318" i="2"/>
  <c r="AW318" i="2"/>
  <c r="BH317" i="2"/>
  <c r="AU317" i="2"/>
  <c r="BF316" i="2"/>
  <c r="AY316" i="2"/>
  <c r="AU316" i="2"/>
  <c r="BF315" i="2"/>
  <c r="AV315" i="2"/>
  <c r="AP315" i="2"/>
  <c r="AZ315" i="2" s="1"/>
  <c r="AG315" i="2"/>
  <c r="AC315" i="2"/>
  <c r="BG314" i="2"/>
  <c r="BC314" i="2"/>
  <c r="AQ314" i="2"/>
  <c r="AH314" i="2"/>
  <c r="BH313" i="2"/>
  <c r="BD313" i="2"/>
  <c r="AX313" i="2"/>
  <c r="AS313" i="2"/>
  <c r="AN313" i="2"/>
  <c r="BJ312" i="2"/>
  <c r="BE312" i="2"/>
  <c r="AY312" i="2"/>
  <c r="AU312" i="2"/>
  <c r="BF311" i="2"/>
  <c r="AV311" i="2"/>
  <c r="AP311" i="2"/>
  <c r="AZ311" i="2" s="1"/>
  <c r="AG311" i="2"/>
  <c r="AC311" i="2"/>
  <c r="BG310" i="2"/>
  <c r="BC310" i="2"/>
  <c r="AW310" i="2"/>
  <c r="AQ310" i="2"/>
  <c r="AH310" i="2"/>
  <c r="BH309" i="2"/>
  <c r="BD309" i="2"/>
  <c r="AX309" i="2"/>
  <c r="AS309" i="2"/>
  <c r="AN309" i="2"/>
  <c r="BJ308" i="2"/>
  <c r="BE308" i="2"/>
  <c r="AY308" i="2"/>
  <c r="AU308" i="2"/>
  <c r="BG307" i="2"/>
  <c r="BC307" i="2"/>
  <c r="AW307" i="2"/>
  <c r="AQ307" i="2"/>
  <c r="AH307" i="2"/>
  <c r="BH306" i="2"/>
  <c r="BD306" i="2"/>
  <c r="AX306" i="2"/>
  <c r="AS306" i="2"/>
  <c r="AN306" i="2"/>
  <c r="BJ305" i="2"/>
  <c r="BE305" i="2"/>
  <c r="AY305" i="2"/>
  <c r="AU305" i="2"/>
  <c r="BF304" i="2"/>
  <c r="AV304" i="2"/>
  <c r="AP304" i="2"/>
  <c r="AZ304" i="2" s="1"/>
  <c r="AG304" i="2"/>
  <c r="AC304" i="2"/>
  <c r="BG303" i="2"/>
  <c r="BC303" i="2"/>
  <c r="AW303" i="2"/>
  <c r="AQ303" i="2"/>
  <c r="AY320" i="2"/>
  <c r="AS319" i="2"/>
  <c r="AN319" i="2"/>
  <c r="BG318" i="2"/>
  <c r="AU318" i="2"/>
  <c r="AN318" i="2"/>
  <c r="BF317" i="2"/>
  <c r="AY317" i="2"/>
  <c r="AS317" i="2"/>
  <c r="BJ316" i="2"/>
  <c r="BE316" i="2"/>
  <c r="AX316" i="2"/>
  <c r="AS316" i="2"/>
  <c r="BJ315" i="2"/>
  <c r="BE315" i="2"/>
  <c r="AY315" i="2"/>
  <c r="AU315" i="2"/>
  <c r="BF314" i="2"/>
  <c r="AP314" i="2"/>
  <c r="AZ314" i="2" s="1"/>
  <c r="AG314" i="2"/>
  <c r="AC314" i="2"/>
  <c r="BG313" i="2"/>
  <c r="BC313" i="2"/>
  <c r="AW313" i="2"/>
  <c r="AQ313" i="2"/>
  <c r="AH313" i="2"/>
  <c r="BH312" i="2"/>
  <c r="BD312" i="2"/>
  <c r="AX312" i="2"/>
  <c r="AS312" i="2"/>
  <c r="AN312" i="2"/>
  <c r="BJ311" i="2"/>
  <c r="BE311" i="2"/>
  <c r="AY311" i="2"/>
  <c r="AU311" i="2"/>
  <c r="BF310" i="2"/>
  <c r="AV310" i="2"/>
  <c r="AP310" i="2"/>
  <c r="AZ310" i="2" s="1"/>
  <c r="AG310" i="2"/>
  <c r="AC310" i="2"/>
  <c r="BG309" i="2"/>
  <c r="BC309" i="2"/>
  <c r="AW309" i="2"/>
  <c r="AQ309" i="2"/>
  <c r="AH309" i="2"/>
  <c r="BH308" i="2"/>
  <c r="BD308" i="2"/>
  <c r="AX308" i="2"/>
  <c r="AS308" i="2"/>
  <c r="AN308" i="2"/>
  <c r="BF307" i="2"/>
  <c r="AV307" i="2"/>
  <c r="AP307" i="2"/>
  <c r="AZ307" i="2" s="1"/>
  <c r="AG307" i="2"/>
  <c r="AC307" i="2"/>
  <c r="BG306" i="2"/>
  <c r="BC306" i="2"/>
  <c r="AW306" i="2"/>
  <c r="AQ306" i="2"/>
  <c r="AH306" i="2"/>
  <c r="BH305" i="2"/>
  <c r="BD305" i="2"/>
  <c r="AX305" i="2"/>
  <c r="AS305" i="2"/>
  <c r="BJ304" i="2"/>
  <c r="BE304" i="2"/>
  <c r="AY304" i="2"/>
  <c r="AS303" i="2"/>
  <c r="AH303" i="2"/>
  <c r="AC303" i="2"/>
  <c r="BE302" i="2"/>
  <c r="AW302" i="2"/>
  <c r="AP302" i="2"/>
  <c r="AZ302" i="2" s="1"/>
  <c r="AG302" i="2"/>
  <c r="BJ301" i="2"/>
  <c r="BD301" i="2"/>
  <c r="AX301" i="2"/>
  <c r="AQ301" i="2"/>
  <c r="AH301" i="2"/>
  <c r="BH300" i="2"/>
  <c r="BD300" i="2"/>
  <c r="AX300" i="2"/>
  <c r="AS300" i="2"/>
  <c r="AN300" i="2"/>
  <c r="BJ299" i="2"/>
  <c r="BE299" i="2"/>
  <c r="AY299" i="2"/>
  <c r="AU299" i="2"/>
  <c r="BF298" i="2"/>
  <c r="AV298" i="2"/>
  <c r="AP298" i="2"/>
  <c r="AZ298" i="2" s="1"/>
  <c r="AG298" i="2"/>
  <c r="AC298" i="2"/>
  <c r="BG297" i="2"/>
  <c r="BC297" i="2"/>
  <c r="AW297" i="2"/>
  <c r="AQ297" i="2"/>
  <c r="AH297" i="2"/>
  <c r="BH296" i="2"/>
  <c r="BD296" i="2"/>
  <c r="AX296" i="2"/>
  <c r="AS296" i="2"/>
  <c r="AN296" i="2"/>
  <c r="BJ295" i="2"/>
  <c r="BE295" i="2"/>
  <c r="AY295" i="2"/>
  <c r="AU295" i="2"/>
  <c r="BF294" i="2"/>
  <c r="AV294" i="2"/>
  <c r="AP294" i="2"/>
  <c r="AZ294" i="2" s="1"/>
  <c r="AG294" i="2"/>
  <c r="AC294" i="2"/>
  <c r="BG293" i="2"/>
  <c r="BC293" i="2"/>
  <c r="AW293" i="2"/>
  <c r="AQ293" i="2"/>
  <c r="AH293" i="2"/>
  <c r="BJ292" i="2"/>
  <c r="BE292" i="2"/>
  <c r="AY292" i="2"/>
  <c r="AU292" i="2"/>
  <c r="BF291" i="2"/>
  <c r="AV291" i="2"/>
  <c r="AP291" i="2"/>
  <c r="AZ291" i="2" s="1"/>
  <c r="AG291" i="2"/>
  <c r="AC291" i="2"/>
  <c r="BG290" i="2"/>
  <c r="BC290" i="2"/>
  <c r="AW290" i="2"/>
  <c r="AQ290" i="2"/>
  <c r="AH290" i="2"/>
  <c r="BH289" i="2"/>
  <c r="BD289" i="2"/>
  <c r="AX289" i="2"/>
  <c r="AS289" i="2"/>
  <c r="BJ288" i="2"/>
  <c r="BE288" i="2"/>
  <c r="AY288" i="2"/>
  <c r="AU288" i="2"/>
  <c r="BF287" i="2"/>
  <c r="AV287" i="2"/>
  <c r="AP287" i="2"/>
  <c r="AZ287" i="2" s="1"/>
  <c r="AG287" i="2"/>
  <c r="AC287" i="2"/>
  <c r="BG286" i="2"/>
  <c r="BC286" i="2"/>
  <c r="AW286" i="2"/>
  <c r="AQ286" i="2"/>
  <c r="AH286" i="2"/>
  <c r="BH285" i="2"/>
  <c r="BD285" i="2"/>
  <c r="AX285" i="2"/>
  <c r="AS285" i="2"/>
  <c r="AN285" i="2"/>
  <c r="BJ284" i="2"/>
  <c r="BE284" i="2"/>
  <c r="AY284" i="2"/>
  <c r="AU284" i="2"/>
  <c r="BG283" i="2"/>
  <c r="BC283" i="2"/>
  <c r="AW283" i="2"/>
  <c r="AQ283" i="2"/>
  <c r="AH283" i="2"/>
  <c r="BH282" i="2"/>
  <c r="BD282" i="2"/>
  <c r="AX282" i="2"/>
  <c r="AS282" i="2"/>
  <c r="AN282" i="2"/>
  <c r="BJ281" i="2"/>
  <c r="BE281" i="2"/>
  <c r="AY281" i="2"/>
  <c r="AU281" i="2"/>
  <c r="BF280" i="2"/>
  <c r="AV280" i="2"/>
  <c r="AP280" i="2"/>
  <c r="AZ280" i="2" s="1"/>
  <c r="AG280" i="2"/>
  <c r="AC280" i="2"/>
  <c r="BG279" i="2"/>
  <c r="BC279" i="2"/>
  <c r="AV279" i="2"/>
  <c r="AP279" i="2"/>
  <c r="AZ279" i="2" s="1"/>
  <c r="AG279" i="2"/>
  <c r="AC279" i="2"/>
  <c r="BG278" i="2"/>
  <c r="BC278" i="2"/>
  <c r="AW278" i="2"/>
  <c r="AQ278" i="2"/>
  <c r="AH278" i="2"/>
  <c r="BH277" i="2"/>
  <c r="BD277" i="2"/>
  <c r="AW277" i="2"/>
  <c r="AQ277" i="2"/>
  <c r="AH277" i="2"/>
  <c r="BH276" i="2"/>
  <c r="BD276" i="2"/>
  <c r="AX276" i="2"/>
  <c r="AS276" i="2"/>
  <c r="BJ275" i="2"/>
  <c r="BE275" i="2"/>
  <c r="AY275" i="2"/>
  <c r="AU275" i="2"/>
  <c r="BF274" i="2"/>
  <c r="AV274" i="2"/>
  <c r="AP274" i="2"/>
  <c r="AZ274" i="2" s="1"/>
  <c r="AG274" i="2"/>
  <c r="AU304" i="2"/>
  <c r="BF303" i="2"/>
  <c r="AP303" i="2"/>
  <c r="AZ303" i="2" s="1"/>
  <c r="AG303" i="2"/>
  <c r="BJ302" i="2"/>
  <c r="BD302" i="2"/>
  <c r="AV302" i="2"/>
  <c r="BH301" i="2"/>
  <c r="BC301" i="2"/>
  <c r="AW301" i="2"/>
  <c r="AP301" i="2"/>
  <c r="AZ301" i="2" s="1"/>
  <c r="AG301" i="2"/>
  <c r="AC301" i="2"/>
  <c r="BG300" i="2"/>
  <c r="BC300" i="2"/>
  <c r="AW300" i="2"/>
  <c r="AQ300" i="2"/>
  <c r="AH300" i="2"/>
  <c r="BH299" i="2"/>
  <c r="BD299" i="2"/>
  <c r="AX299" i="2"/>
  <c r="AS299" i="2"/>
  <c r="AN299" i="2"/>
  <c r="BJ298" i="2"/>
  <c r="BE298" i="2"/>
  <c r="AY298" i="2"/>
  <c r="AU298" i="2"/>
  <c r="BF297" i="2"/>
  <c r="AV297" i="2"/>
  <c r="AP297" i="2"/>
  <c r="AZ297" i="2" s="1"/>
  <c r="AG297" i="2"/>
  <c r="AC297" i="2"/>
  <c r="BG296" i="2"/>
  <c r="BC296" i="2"/>
  <c r="AW296" i="2"/>
  <c r="AQ296" i="2"/>
  <c r="AH296" i="2"/>
  <c r="BH295" i="2"/>
  <c r="BD295" i="2"/>
  <c r="AX295" i="2"/>
  <c r="AS295" i="2"/>
  <c r="AN295" i="2"/>
  <c r="BJ294" i="2"/>
  <c r="BE294" i="2"/>
  <c r="AY294" i="2"/>
  <c r="AU294" i="2"/>
  <c r="BF293" i="2"/>
  <c r="AV293" i="2"/>
  <c r="AP293" i="2"/>
  <c r="AZ293" i="2" s="1"/>
  <c r="AG293" i="2"/>
  <c r="AC293" i="2"/>
  <c r="BH292" i="2"/>
  <c r="BD292" i="2"/>
  <c r="AX292" i="2"/>
  <c r="AS292" i="2"/>
  <c r="BJ291" i="2"/>
  <c r="BE291" i="2"/>
  <c r="AY291" i="2"/>
  <c r="AU291" i="2"/>
  <c r="BF290" i="2"/>
  <c r="AV290" i="2"/>
  <c r="AP290" i="2"/>
  <c r="AZ290" i="2" s="1"/>
  <c r="AG290" i="2"/>
  <c r="AC290" i="2"/>
  <c r="BG289" i="2"/>
  <c r="BC289" i="2"/>
  <c r="AW289" i="2"/>
  <c r="AQ289" i="2"/>
  <c r="AH289" i="2"/>
  <c r="BH288" i="2"/>
  <c r="BD288" i="2"/>
  <c r="AX288" i="2"/>
  <c r="AS288" i="2"/>
  <c r="BJ287" i="2"/>
  <c r="BE287" i="2"/>
  <c r="AY287" i="2"/>
  <c r="AU287" i="2"/>
  <c r="BF286" i="2"/>
  <c r="AV286" i="2"/>
  <c r="AP286" i="2"/>
  <c r="AZ286" i="2" s="1"/>
  <c r="AG286" i="2"/>
  <c r="AC286" i="2"/>
  <c r="BG285" i="2"/>
  <c r="BC285" i="2"/>
  <c r="AW285" i="2"/>
  <c r="AQ285" i="2"/>
  <c r="AH285" i="2"/>
  <c r="BH284" i="2"/>
  <c r="BD284" i="2"/>
  <c r="AX284" i="2"/>
  <c r="AS284" i="2"/>
  <c r="BF283" i="2"/>
  <c r="AV283" i="2"/>
  <c r="AP283" i="2"/>
  <c r="AZ283" i="2" s="1"/>
  <c r="AG283" i="2"/>
  <c r="AC283" i="2"/>
  <c r="BG282" i="2"/>
  <c r="BC282" i="2"/>
  <c r="AW282" i="2"/>
  <c r="AQ282" i="2"/>
  <c r="AH282" i="2"/>
  <c r="BH281" i="2"/>
  <c r="BD281" i="2"/>
  <c r="AX281" i="2"/>
  <c r="AS281" i="2"/>
  <c r="BJ280" i="2"/>
  <c r="BE280" i="2"/>
  <c r="AY280" i="2"/>
  <c r="AU280" i="2"/>
  <c r="BF279" i="2"/>
  <c r="AY279" i="2"/>
  <c r="AU279" i="2"/>
  <c r="BF278" i="2"/>
  <c r="AV278" i="2"/>
  <c r="AP278" i="2"/>
  <c r="AZ278" i="2" s="1"/>
  <c r="AG278" i="2"/>
  <c r="AC278" i="2"/>
  <c r="BG277" i="2"/>
  <c r="BC277" i="2"/>
  <c r="AV277" i="2"/>
  <c r="AP277" i="2"/>
  <c r="AZ277" i="2" s="1"/>
  <c r="AG277" i="2"/>
  <c r="AC277" i="2"/>
  <c r="BG276" i="2"/>
  <c r="BC276" i="2"/>
  <c r="AW276" i="2"/>
  <c r="AQ276" i="2"/>
  <c r="AH276" i="2"/>
  <c r="BH275" i="2"/>
  <c r="BD275" i="2"/>
  <c r="AX275" i="2"/>
  <c r="BH302" i="2"/>
  <c r="BC302" i="2"/>
  <c r="AS302" i="2"/>
  <c r="AN302" i="2"/>
  <c r="BG301" i="2"/>
  <c r="AU301" i="2"/>
  <c r="BF300" i="2"/>
  <c r="AV300" i="2"/>
  <c r="AP300" i="2"/>
  <c r="AZ300" i="2" s="1"/>
  <c r="AG300" i="2"/>
  <c r="AC300" i="2"/>
  <c r="BG299" i="2"/>
  <c r="BC299" i="2"/>
  <c r="AW299" i="2"/>
  <c r="AQ299" i="2"/>
  <c r="AH299" i="2"/>
  <c r="BH298" i="2"/>
  <c r="BD298" i="2"/>
  <c r="AX298" i="2"/>
  <c r="AS298" i="2"/>
  <c r="AN298" i="2"/>
  <c r="BJ297" i="2"/>
  <c r="BE297" i="2"/>
  <c r="AY297" i="2"/>
  <c r="AU297" i="2"/>
  <c r="BF296" i="2"/>
  <c r="AV296" i="2"/>
  <c r="AP296" i="2"/>
  <c r="AZ296" i="2" s="1"/>
  <c r="AG296" i="2"/>
  <c r="AC296" i="2"/>
  <c r="BG295" i="2"/>
  <c r="BC295" i="2"/>
  <c r="AW295" i="2"/>
  <c r="AQ295" i="2"/>
  <c r="AH295" i="2"/>
  <c r="BH294" i="2"/>
  <c r="BD294" i="2"/>
  <c r="AX294" i="2"/>
  <c r="AS294" i="2"/>
  <c r="BJ293" i="2"/>
  <c r="BE293" i="2"/>
  <c r="AY293" i="2"/>
  <c r="AU293" i="2"/>
  <c r="BG292" i="2"/>
  <c r="BC292" i="2"/>
  <c r="AW292" i="2"/>
  <c r="AQ292" i="2"/>
  <c r="AH292" i="2"/>
  <c r="BH291" i="2"/>
  <c r="BD291" i="2"/>
  <c r="AX291" i="2"/>
  <c r="AS291" i="2"/>
  <c r="BJ290" i="2"/>
  <c r="BE290" i="2"/>
  <c r="AY290" i="2"/>
  <c r="AU290" i="2"/>
  <c r="BF289" i="2"/>
  <c r="AV289" i="2"/>
  <c r="AP289" i="2"/>
  <c r="AZ289" i="2" s="1"/>
  <c r="AG289" i="2"/>
  <c r="AC289" i="2"/>
  <c r="BG288" i="2"/>
  <c r="BC288" i="2"/>
  <c r="AW288" i="2"/>
  <c r="AQ288" i="2"/>
  <c r="AH288" i="2"/>
  <c r="BH287" i="2"/>
  <c r="BD287" i="2"/>
  <c r="AX287" i="2"/>
  <c r="AS287" i="2"/>
  <c r="BJ286" i="2"/>
  <c r="BE286" i="2"/>
  <c r="AY286" i="2"/>
  <c r="AU286" i="2"/>
  <c r="BF285" i="2"/>
  <c r="AV285" i="2"/>
  <c r="AP285" i="2"/>
  <c r="AZ285" i="2" s="1"/>
  <c r="AG285" i="2"/>
  <c r="AC285" i="2"/>
  <c r="BG284" i="2"/>
  <c r="BC284" i="2"/>
  <c r="AW284" i="2"/>
  <c r="AQ284" i="2"/>
  <c r="AH284" i="2"/>
  <c r="BJ283" i="2"/>
  <c r="BE283" i="2"/>
  <c r="AY283" i="2"/>
  <c r="AU283" i="2"/>
  <c r="BF282" i="2"/>
  <c r="AV282" i="2"/>
  <c r="AP282" i="2"/>
  <c r="AZ282" i="2" s="1"/>
  <c r="AG282" i="2"/>
  <c r="AC282" i="2"/>
  <c r="BG281" i="2"/>
  <c r="BC281" i="2"/>
  <c r="AW281" i="2"/>
  <c r="AQ281" i="2"/>
  <c r="AH281" i="2"/>
  <c r="BD280" i="2"/>
  <c r="AX280" i="2"/>
  <c r="AS280" i="2"/>
  <c r="BJ279" i="2"/>
  <c r="BE279" i="2"/>
  <c r="AX279" i="2"/>
  <c r="AS279" i="2"/>
  <c r="BJ278" i="2"/>
  <c r="BE278" i="2"/>
  <c r="AY278" i="2"/>
  <c r="AU278" i="2"/>
  <c r="BF277" i="2"/>
  <c r="AY277" i="2"/>
  <c r="AU277" i="2"/>
  <c r="BF276" i="2"/>
  <c r="AV276" i="2"/>
  <c r="AP276" i="2"/>
  <c r="AZ276" i="2" s="1"/>
  <c r="AG276" i="2"/>
  <c r="AC276" i="2"/>
  <c r="BG275" i="2"/>
  <c r="BC275" i="2"/>
  <c r="AW275" i="2"/>
  <c r="AV303" i="2"/>
  <c r="AN303" i="2"/>
  <c r="BG302" i="2"/>
  <c r="AX302" i="2"/>
  <c r="AQ302" i="2"/>
  <c r="AH302" i="2"/>
  <c r="AC302" i="2"/>
  <c r="BE301" i="2"/>
  <c r="AY301" i="2"/>
  <c r="AS301" i="2"/>
  <c r="AN301" i="2"/>
  <c r="BJ300" i="2"/>
  <c r="BE300" i="2"/>
  <c r="AY300" i="2"/>
  <c r="AU300" i="2"/>
  <c r="BF299" i="2"/>
  <c r="AV299" i="2"/>
  <c r="AP299" i="2"/>
  <c r="AZ299" i="2" s="1"/>
  <c r="AG299" i="2"/>
  <c r="AC299" i="2"/>
  <c r="BG298" i="2"/>
  <c r="BC298" i="2"/>
  <c r="AW298" i="2"/>
  <c r="AQ298" i="2"/>
  <c r="AH298" i="2"/>
  <c r="BH297" i="2"/>
  <c r="BD297" i="2"/>
  <c r="AX297" i="2"/>
  <c r="AS297" i="2"/>
  <c r="BJ296" i="2"/>
  <c r="BE296" i="2"/>
  <c r="AY296" i="2"/>
  <c r="AU296" i="2"/>
  <c r="BF295" i="2"/>
  <c r="AV295" i="2"/>
  <c r="AP295" i="2"/>
  <c r="AZ295" i="2" s="1"/>
  <c r="AG295" i="2"/>
  <c r="AC295" i="2"/>
  <c r="BG294" i="2"/>
  <c r="BC294" i="2"/>
  <c r="AW294" i="2"/>
  <c r="AQ294" i="2"/>
  <c r="AH294" i="2"/>
  <c r="BH293" i="2"/>
  <c r="BD293" i="2"/>
  <c r="AX293" i="2"/>
  <c r="AS293" i="2"/>
  <c r="AN293" i="2"/>
  <c r="BF292" i="2"/>
  <c r="AV292" i="2"/>
  <c r="AP292" i="2"/>
  <c r="AZ292" i="2" s="1"/>
  <c r="AG292" i="2"/>
  <c r="AC292" i="2"/>
  <c r="BG291" i="2"/>
  <c r="BC291" i="2"/>
  <c r="AW291" i="2"/>
  <c r="AQ291" i="2"/>
  <c r="AH291" i="2"/>
  <c r="BH290" i="2"/>
  <c r="BD290" i="2"/>
  <c r="AX290" i="2"/>
  <c r="AS290" i="2"/>
  <c r="BJ289" i="2"/>
  <c r="BE289" i="2"/>
  <c r="AY289" i="2"/>
  <c r="AU289" i="2"/>
  <c r="BF288" i="2"/>
  <c r="AV288" i="2"/>
  <c r="AP288" i="2"/>
  <c r="AZ288" i="2" s="1"/>
  <c r="AG288" i="2"/>
  <c r="AC288" i="2"/>
  <c r="BG287" i="2"/>
  <c r="BC287" i="2"/>
  <c r="AW287" i="2"/>
  <c r="AQ287" i="2"/>
  <c r="AH287" i="2"/>
  <c r="BH286" i="2"/>
  <c r="BD286" i="2"/>
  <c r="AX286" i="2"/>
  <c r="AS286" i="2"/>
  <c r="BJ285" i="2"/>
  <c r="BE285" i="2"/>
  <c r="AY285" i="2"/>
  <c r="AU285" i="2"/>
  <c r="BF284" i="2"/>
  <c r="AV284" i="2"/>
  <c r="AP284" i="2"/>
  <c r="AZ284" i="2" s="1"/>
  <c r="AG284" i="2"/>
  <c r="AC284" i="2"/>
  <c r="BH283" i="2"/>
  <c r="BD283" i="2"/>
  <c r="AX283" i="2"/>
  <c r="AS283" i="2"/>
  <c r="AN283" i="2"/>
  <c r="BJ282" i="2"/>
  <c r="BE282" i="2"/>
  <c r="AY282" i="2"/>
  <c r="AU282" i="2"/>
  <c r="BF281" i="2"/>
  <c r="AV281" i="2"/>
  <c r="AP281" i="2"/>
  <c r="AZ281" i="2" s="1"/>
  <c r="AG281" i="2"/>
  <c r="AC281" i="2"/>
  <c r="BG280" i="2"/>
  <c r="BC280" i="2"/>
  <c r="AW280" i="2"/>
  <c r="AQ280" i="2"/>
  <c r="AH280" i="2"/>
  <c r="BH279" i="2"/>
  <c r="BD279" i="2"/>
  <c r="AW279" i="2"/>
  <c r="AQ279" i="2"/>
  <c r="AH279" i="2"/>
  <c r="BH278" i="2"/>
  <c r="BD278" i="2"/>
  <c r="AX278" i="2"/>
  <c r="AS278" i="2"/>
  <c r="AN278" i="2"/>
  <c r="BJ277" i="2"/>
  <c r="BE277" i="2"/>
  <c r="AX277" i="2"/>
  <c r="AS277" i="2"/>
  <c r="AN277" i="2"/>
  <c r="BJ276" i="2"/>
  <c r="AU276" i="2"/>
  <c r="BF275" i="2"/>
  <c r="AQ275" i="2"/>
  <c r="AH275" i="2"/>
  <c r="AC275" i="2"/>
  <c r="BE274" i="2"/>
  <c r="AY274" i="2"/>
  <c r="AS274" i="2"/>
  <c r="AH274" i="2"/>
  <c r="BF273" i="2"/>
  <c r="AV273" i="2"/>
  <c r="AP273" i="2"/>
  <c r="AZ273" i="2" s="1"/>
  <c r="AG273" i="2"/>
  <c r="AC273" i="2"/>
  <c r="BG272" i="2"/>
  <c r="BC272" i="2"/>
  <c r="AW272" i="2"/>
  <c r="AQ272" i="2"/>
  <c r="AH272" i="2"/>
  <c r="BH271" i="2"/>
  <c r="BD271" i="2"/>
  <c r="AX271" i="2"/>
  <c r="AS271" i="2"/>
  <c r="AN271" i="2"/>
  <c r="BJ270" i="2"/>
  <c r="BE270" i="2"/>
  <c r="AY270" i="2"/>
  <c r="AU270" i="2"/>
  <c r="BF269" i="2"/>
  <c r="AV269" i="2"/>
  <c r="AP269" i="2"/>
  <c r="AZ269" i="2" s="1"/>
  <c r="AC269" i="2"/>
  <c r="BG268" i="2"/>
  <c r="BC268" i="2"/>
  <c r="AW268" i="2"/>
  <c r="AQ268" i="2"/>
  <c r="AH268" i="2"/>
  <c r="BH267" i="2"/>
  <c r="BD267" i="2"/>
  <c r="AX267" i="2"/>
  <c r="AS267" i="2"/>
  <c r="AN267" i="2"/>
  <c r="BJ266" i="2"/>
  <c r="BE266" i="2"/>
  <c r="AY266" i="2"/>
  <c r="AU266" i="2"/>
  <c r="BF265" i="2"/>
  <c r="AV265" i="2"/>
  <c r="AP265" i="2"/>
  <c r="AZ265" i="2" s="1"/>
  <c r="AG265" i="2"/>
  <c r="AC265" i="2"/>
  <c r="BH264" i="2"/>
  <c r="BD264" i="2"/>
  <c r="AW264" i="2"/>
  <c r="AQ264" i="2"/>
  <c r="AH264" i="2"/>
  <c r="BH263" i="2"/>
  <c r="BD263" i="2"/>
  <c r="AW263" i="2"/>
  <c r="AQ263" i="2"/>
  <c r="AH263" i="2"/>
  <c r="BH262" i="2"/>
  <c r="BD262" i="2"/>
  <c r="AX262" i="2"/>
  <c r="AS262" i="2"/>
  <c r="AN262" i="2"/>
  <c r="BJ261" i="2"/>
  <c r="BE261" i="2"/>
  <c r="AY261" i="2"/>
  <c r="AU261" i="2"/>
  <c r="BF260" i="2"/>
  <c r="AV260" i="2"/>
  <c r="AP260" i="2"/>
  <c r="AZ260" i="2" s="1"/>
  <c r="AG260" i="2"/>
  <c r="AC260" i="2"/>
  <c r="BG259" i="2"/>
  <c r="BC259" i="2"/>
  <c r="AW259" i="2"/>
  <c r="AQ259" i="2"/>
  <c r="AH259" i="2"/>
  <c r="BH258" i="2"/>
  <c r="BD258" i="2"/>
  <c r="AX258" i="2"/>
  <c r="AS258" i="2"/>
  <c r="BJ257" i="2"/>
  <c r="BE257" i="2"/>
  <c r="AY257" i="2"/>
  <c r="AU257" i="2"/>
  <c r="BF256" i="2"/>
  <c r="AV256" i="2"/>
  <c r="AP256" i="2"/>
  <c r="AZ256" i="2" s="1"/>
  <c r="AG256" i="2"/>
  <c r="AC256" i="2"/>
  <c r="BG255" i="2"/>
  <c r="BC255" i="2"/>
  <c r="AW255" i="2"/>
  <c r="AQ255" i="2"/>
  <c r="AH255" i="2"/>
  <c r="BH254" i="2"/>
  <c r="BD254" i="2"/>
  <c r="AX254" i="2"/>
  <c r="AS254" i="2"/>
  <c r="AN254" i="2"/>
  <c r="BF253" i="2"/>
  <c r="AV253" i="2"/>
  <c r="AP253" i="2"/>
  <c r="AZ253" i="2" s="1"/>
  <c r="AG253" i="2"/>
  <c r="AC253" i="2"/>
  <c r="BG252" i="2"/>
  <c r="BC252" i="2"/>
  <c r="AQ252" i="2"/>
  <c r="AH252" i="2"/>
  <c r="BH251" i="2"/>
  <c r="BD251" i="2"/>
  <c r="AX251" i="2"/>
  <c r="AS251" i="2"/>
  <c r="BJ250" i="2"/>
  <c r="BE250" i="2"/>
  <c r="AY250" i="2"/>
  <c r="AU250" i="2"/>
  <c r="BF249" i="2"/>
  <c r="AV249" i="2"/>
  <c r="AP249" i="2"/>
  <c r="AZ249" i="2" s="1"/>
  <c r="AG249" i="2"/>
  <c r="AC249" i="2"/>
  <c r="BG248" i="2"/>
  <c r="BC248" i="2"/>
  <c r="AW248" i="2"/>
  <c r="AQ248" i="2"/>
  <c r="AH248" i="2"/>
  <c r="BH247" i="2"/>
  <c r="BD247" i="2"/>
  <c r="AX247" i="2"/>
  <c r="AS247" i="2"/>
  <c r="AN247" i="2"/>
  <c r="BJ246" i="2"/>
  <c r="BE246" i="2"/>
  <c r="AY246" i="2"/>
  <c r="AU246" i="2"/>
  <c r="BF244" i="2"/>
  <c r="AV244" i="2"/>
  <c r="BE276" i="2"/>
  <c r="AP275" i="2"/>
  <c r="AZ275" i="2" s="1"/>
  <c r="AG275" i="2"/>
  <c r="BJ274" i="2"/>
  <c r="BD274" i="2"/>
  <c r="AX274" i="2"/>
  <c r="AQ274" i="2"/>
  <c r="BJ273" i="2"/>
  <c r="BE273" i="2"/>
  <c r="AY273" i="2"/>
  <c r="AU273" i="2"/>
  <c r="BF272" i="2"/>
  <c r="AV272" i="2"/>
  <c r="AP272" i="2"/>
  <c r="AZ272" i="2" s="1"/>
  <c r="AG272" i="2"/>
  <c r="AC272" i="2"/>
  <c r="BG271" i="2"/>
  <c r="BC271" i="2"/>
  <c r="AW271" i="2"/>
  <c r="AQ271" i="2"/>
  <c r="AH271" i="2"/>
  <c r="BH270" i="2"/>
  <c r="BD270" i="2"/>
  <c r="AX270" i="2"/>
  <c r="AS270" i="2"/>
  <c r="AN270" i="2"/>
  <c r="BJ269" i="2"/>
  <c r="BE269" i="2"/>
  <c r="AY269" i="2"/>
  <c r="AU269" i="2"/>
  <c r="BF268" i="2"/>
  <c r="AV268" i="2"/>
  <c r="AP268" i="2"/>
  <c r="AZ268" i="2" s="1"/>
  <c r="AG268" i="2"/>
  <c r="AC268" i="2"/>
  <c r="BG267" i="2"/>
  <c r="BC267" i="2"/>
  <c r="AW267" i="2"/>
  <c r="AQ267" i="2"/>
  <c r="AH267" i="2"/>
  <c r="BH266" i="2"/>
  <c r="BD266" i="2"/>
  <c r="AX266" i="2"/>
  <c r="AS266" i="2"/>
  <c r="BJ265" i="2"/>
  <c r="BE265" i="2"/>
  <c r="AY265" i="2"/>
  <c r="AU265" i="2"/>
  <c r="BG264" i="2"/>
  <c r="BC264" i="2"/>
  <c r="AV264" i="2"/>
  <c r="AP264" i="2"/>
  <c r="AZ264" i="2" s="1"/>
  <c r="AG264" i="2"/>
  <c r="AC264" i="2"/>
  <c r="BG263" i="2"/>
  <c r="BC263" i="2"/>
  <c r="AV263" i="2"/>
  <c r="AP263" i="2"/>
  <c r="AZ263" i="2" s="1"/>
  <c r="AG263" i="2"/>
  <c r="AC263" i="2"/>
  <c r="BG262" i="2"/>
  <c r="BC262" i="2"/>
  <c r="AW262" i="2"/>
  <c r="AQ262" i="2"/>
  <c r="AH262" i="2"/>
  <c r="BH261" i="2"/>
  <c r="BD261" i="2"/>
  <c r="AX261" i="2"/>
  <c r="AS261" i="2"/>
  <c r="BJ260" i="2"/>
  <c r="BE260" i="2"/>
  <c r="AY260" i="2"/>
  <c r="AU260" i="2"/>
  <c r="BF259" i="2"/>
  <c r="AV259" i="2"/>
  <c r="AP259" i="2"/>
  <c r="AZ259" i="2" s="1"/>
  <c r="AG259" i="2"/>
  <c r="AC259" i="2"/>
  <c r="BG258" i="2"/>
  <c r="BC258" i="2"/>
  <c r="AW258" i="2"/>
  <c r="AQ258" i="2"/>
  <c r="AH258" i="2"/>
  <c r="BH257" i="2"/>
  <c r="BD257" i="2"/>
  <c r="AX257" i="2"/>
  <c r="AS257" i="2"/>
  <c r="AN257" i="2"/>
  <c r="BJ256" i="2"/>
  <c r="BE256" i="2"/>
  <c r="AY256" i="2"/>
  <c r="AU256" i="2"/>
  <c r="BF255" i="2"/>
  <c r="AV255" i="2"/>
  <c r="AP255" i="2"/>
  <c r="AZ255" i="2" s="1"/>
  <c r="AG255" i="2"/>
  <c r="AC255" i="2"/>
  <c r="BG254" i="2"/>
  <c r="BC254" i="2"/>
  <c r="AW254" i="2"/>
  <c r="AQ254" i="2"/>
  <c r="AH254" i="2"/>
  <c r="BJ253" i="2"/>
  <c r="BE253" i="2"/>
  <c r="AY253" i="2"/>
  <c r="AU253" i="2"/>
  <c r="BF252" i="2"/>
  <c r="AP252" i="2"/>
  <c r="AZ252" i="2" s="1"/>
  <c r="AG252" i="2"/>
  <c r="AC252" i="2"/>
  <c r="BG251" i="2"/>
  <c r="BC251" i="2"/>
  <c r="AW251" i="2"/>
  <c r="AQ251" i="2"/>
  <c r="AH251" i="2"/>
  <c r="BH250" i="2"/>
  <c r="BD250" i="2"/>
  <c r="AX250" i="2"/>
  <c r="AS250" i="2"/>
  <c r="AN250" i="2"/>
  <c r="BJ249" i="2"/>
  <c r="BE249" i="2"/>
  <c r="AY249" i="2"/>
  <c r="AU249" i="2"/>
  <c r="BF248" i="2"/>
  <c r="AV248" i="2"/>
  <c r="AP248" i="2"/>
  <c r="AZ248" i="2" s="1"/>
  <c r="AG248" i="2"/>
  <c r="AC248" i="2"/>
  <c r="BG247" i="2"/>
  <c r="BC247" i="2"/>
  <c r="AW247" i="2"/>
  <c r="AQ247" i="2"/>
  <c r="AH247" i="2"/>
  <c r="BH246" i="2"/>
  <c r="BD246" i="2"/>
  <c r="AX246" i="2"/>
  <c r="AS246" i="2"/>
  <c r="AN246" i="2"/>
  <c r="AV275" i="2"/>
  <c r="BH274" i="2"/>
  <c r="BC274" i="2"/>
  <c r="AW274" i="2"/>
  <c r="BH273" i="2"/>
  <c r="BD273" i="2"/>
  <c r="AX273" i="2"/>
  <c r="AS273" i="2"/>
  <c r="BJ272" i="2"/>
  <c r="BE272" i="2"/>
  <c r="AY272" i="2"/>
  <c r="AU272" i="2"/>
  <c r="BF271" i="2"/>
  <c r="AV271" i="2"/>
  <c r="AP271" i="2"/>
  <c r="AZ271" i="2" s="1"/>
  <c r="AG271" i="2"/>
  <c r="AC271" i="2"/>
  <c r="BG270" i="2"/>
  <c r="BC270" i="2"/>
  <c r="AW270" i="2"/>
  <c r="AQ270" i="2"/>
  <c r="AH270" i="2"/>
  <c r="BH269" i="2"/>
  <c r="BD269" i="2"/>
  <c r="AX269" i="2"/>
  <c r="AS269" i="2"/>
  <c r="BJ268" i="2"/>
  <c r="BE268" i="2"/>
  <c r="AY268" i="2"/>
  <c r="AU268" i="2"/>
  <c r="BF267" i="2"/>
  <c r="AV267" i="2"/>
  <c r="AP267" i="2"/>
  <c r="AZ267" i="2" s="1"/>
  <c r="AG267" i="2"/>
  <c r="AC267" i="2"/>
  <c r="BC266" i="2"/>
  <c r="AW266" i="2"/>
  <c r="AQ266" i="2"/>
  <c r="AH266" i="2"/>
  <c r="BH265" i="2"/>
  <c r="BD265" i="2"/>
  <c r="AX265" i="2"/>
  <c r="AS265" i="2"/>
  <c r="BF264" i="2"/>
  <c r="AY264" i="2"/>
  <c r="AU264" i="2"/>
  <c r="BF263" i="2"/>
  <c r="AY263" i="2"/>
  <c r="AU263" i="2"/>
  <c r="BF262" i="2"/>
  <c r="AV262" i="2"/>
  <c r="AP262" i="2"/>
  <c r="AZ262" i="2" s="1"/>
  <c r="AG262" i="2"/>
  <c r="AC262" i="2"/>
  <c r="BG261" i="2"/>
  <c r="BC261" i="2"/>
  <c r="AW261" i="2"/>
  <c r="AQ261" i="2"/>
  <c r="AH261" i="2"/>
  <c r="BH260" i="2"/>
  <c r="BD260" i="2"/>
  <c r="AX260" i="2"/>
  <c r="AS260" i="2"/>
  <c r="AN260" i="2"/>
  <c r="BJ259" i="2"/>
  <c r="BE259" i="2"/>
  <c r="AY259" i="2"/>
  <c r="AU259" i="2"/>
  <c r="BF258" i="2"/>
  <c r="AV258" i="2"/>
  <c r="AP258" i="2"/>
  <c r="AZ258" i="2" s="1"/>
  <c r="AG258" i="2"/>
  <c r="AC258" i="2"/>
  <c r="BG257" i="2"/>
  <c r="BC257" i="2"/>
  <c r="AW257" i="2"/>
  <c r="AQ257" i="2"/>
  <c r="AH257" i="2"/>
  <c r="BH256" i="2"/>
  <c r="BD256" i="2"/>
  <c r="AX256" i="2"/>
  <c r="AS256" i="2"/>
  <c r="BJ255" i="2"/>
  <c r="BE255" i="2"/>
  <c r="AY255" i="2"/>
  <c r="AU255" i="2"/>
  <c r="BF254" i="2"/>
  <c r="AV254" i="2"/>
  <c r="AP254" i="2"/>
  <c r="AZ254" i="2" s="1"/>
  <c r="AG254" i="2"/>
  <c r="AC254" i="2"/>
  <c r="BH253" i="2"/>
  <c r="BD253" i="2"/>
  <c r="AX253" i="2"/>
  <c r="AS253" i="2"/>
  <c r="AN253" i="2"/>
  <c r="BJ252" i="2"/>
  <c r="BE252" i="2"/>
  <c r="AY252" i="2"/>
  <c r="BF251" i="2"/>
  <c r="AV251" i="2"/>
  <c r="AP251" i="2"/>
  <c r="AZ251" i="2" s="1"/>
  <c r="AG251" i="2"/>
  <c r="AC251" i="2"/>
  <c r="BG250" i="2"/>
  <c r="BC250" i="2"/>
  <c r="AW250" i="2"/>
  <c r="AQ250" i="2"/>
  <c r="AH250" i="2"/>
  <c r="BH249" i="2"/>
  <c r="BD249" i="2"/>
  <c r="AX249" i="2"/>
  <c r="AS249" i="2"/>
  <c r="BJ248" i="2"/>
  <c r="BE248" i="2"/>
  <c r="AY248" i="2"/>
  <c r="AU248" i="2"/>
  <c r="BF247" i="2"/>
  <c r="AV247" i="2"/>
  <c r="AP247" i="2"/>
  <c r="AZ247" i="2" s="1"/>
  <c r="AG247" i="2"/>
  <c r="AC247" i="2"/>
  <c r="BG246" i="2"/>
  <c r="BC246" i="2"/>
  <c r="AW246" i="2"/>
  <c r="AQ246" i="2"/>
  <c r="AY276" i="2"/>
  <c r="AS275" i="2"/>
  <c r="AN275" i="2"/>
  <c r="BG274" i="2"/>
  <c r="AU274" i="2"/>
  <c r="BG273" i="2"/>
  <c r="BC273" i="2"/>
  <c r="AW273" i="2"/>
  <c r="AQ273" i="2"/>
  <c r="AH273" i="2"/>
  <c r="BH272" i="2"/>
  <c r="BD272" i="2"/>
  <c r="AX272" i="2"/>
  <c r="AS272" i="2"/>
  <c r="BJ271" i="2"/>
  <c r="BE271" i="2"/>
  <c r="AY271" i="2"/>
  <c r="AU271" i="2"/>
  <c r="BF270" i="2"/>
  <c r="AV270" i="2"/>
  <c r="AP270" i="2"/>
  <c r="AZ270" i="2" s="1"/>
  <c r="AG270" i="2"/>
  <c r="AC270" i="2"/>
  <c r="BG269" i="2"/>
  <c r="BC269" i="2"/>
  <c r="AW269" i="2"/>
  <c r="AQ269" i="2"/>
  <c r="BH268" i="2"/>
  <c r="BD268" i="2"/>
  <c r="AX268" i="2"/>
  <c r="AS268" i="2"/>
  <c r="BJ267" i="2"/>
  <c r="BE267" i="2"/>
  <c r="AY267" i="2"/>
  <c r="AU267" i="2"/>
  <c r="BF266" i="2"/>
  <c r="AV266" i="2"/>
  <c r="AP266" i="2"/>
  <c r="AZ266" i="2" s="1"/>
  <c r="AG266" i="2"/>
  <c r="AC266" i="2"/>
  <c r="BG265" i="2"/>
  <c r="BC265" i="2"/>
  <c r="AW265" i="2"/>
  <c r="AQ265" i="2"/>
  <c r="BJ264" i="2"/>
  <c r="BE264" i="2"/>
  <c r="AX264" i="2"/>
  <c r="AS264" i="2"/>
  <c r="AN264" i="2"/>
  <c r="BJ263" i="2"/>
  <c r="BE263" i="2"/>
  <c r="AX263" i="2"/>
  <c r="AS263" i="2"/>
  <c r="AN263" i="2"/>
  <c r="BJ262" i="2"/>
  <c r="BE262" i="2"/>
  <c r="AY262" i="2"/>
  <c r="AU262" i="2"/>
  <c r="BF261" i="2"/>
  <c r="AV261" i="2"/>
  <c r="AP261" i="2"/>
  <c r="AZ261" i="2" s="1"/>
  <c r="AG261" i="2"/>
  <c r="AC261" i="2"/>
  <c r="BG260" i="2"/>
  <c r="BC260" i="2"/>
  <c r="AW260" i="2"/>
  <c r="AQ260" i="2"/>
  <c r="AH260" i="2"/>
  <c r="BH259" i="2"/>
  <c r="BD259" i="2"/>
  <c r="AX259" i="2"/>
  <c r="AS259" i="2"/>
  <c r="AN259" i="2"/>
  <c r="BJ258" i="2"/>
  <c r="BE258" i="2"/>
  <c r="AY258" i="2"/>
  <c r="AU258" i="2"/>
  <c r="BF257" i="2"/>
  <c r="AV257" i="2"/>
  <c r="AP257" i="2"/>
  <c r="AZ257" i="2" s="1"/>
  <c r="AG257" i="2"/>
  <c r="AC257" i="2"/>
  <c r="BG256" i="2"/>
  <c r="BC256" i="2"/>
  <c r="AW256" i="2"/>
  <c r="AQ256" i="2"/>
  <c r="AH256" i="2"/>
  <c r="BH255" i="2"/>
  <c r="BD255" i="2"/>
  <c r="AX255" i="2"/>
  <c r="AS255" i="2"/>
  <c r="AN255" i="2"/>
  <c r="BJ254" i="2"/>
  <c r="BE254" i="2"/>
  <c r="AY254" i="2"/>
  <c r="AU254" i="2"/>
  <c r="BG253" i="2"/>
  <c r="BC253" i="2"/>
  <c r="AW253" i="2"/>
  <c r="AQ253" i="2"/>
  <c r="AH253" i="2"/>
  <c r="BH252" i="2"/>
  <c r="BD252" i="2"/>
  <c r="AS252" i="2"/>
  <c r="BJ251" i="2"/>
  <c r="BE251" i="2"/>
  <c r="AY251" i="2"/>
  <c r="AU251" i="2"/>
  <c r="BF250" i="2"/>
  <c r="AV250" i="2"/>
  <c r="AP250" i="2"/>
  <c r="AZ250" i="2" s="1"/>
  <c r="AG250" i="2"/>
  <c r="AC250" i="2"/>
  <c r="BG249" i="2"/>
  <c r="BC249" i="2"/>
  <c r="AW249" i="2"/>
  <c r="AQ249" i="2"/>
  <c r="AH249" i="2"/>
  <c r="BH248" i="2"/>
  <c r="BD248" i="2"/>
  <c r="AX248" i="2"/>
  <c r="AS248" i="2"/>
  <c r="BJ247" i="2"/>
  <c r="BE247" i="2"/>
  <c r="AY247" i="2"/>
  <c r="AU247" i="2"/>
  <c r="AP246" i="2"/>
  <c r="AZ246" i="2" s="1"/>
  <c r="BG244" i="2"/>
  <c r="AU244" i="2"/>
  <c r="BF243" i="2"/>
  <c r="AV243" i="2"/>
  <c r="AP243" i="2"/>
  <c r="AZ243" i="2" s="1"/>
  <c r="AG243" i="2"/>
  <c r="AC243" i="2"/>
  <c r="BG242" i="2"/>
  <c r="BC242" i="2"/>
  <c r="AW242" i="2"/>
  <c r="AQ242" i="2"/>
  <c r="AH242" i="2"/>
  <c r="BH241" i="2"/>
  <c r="BD241" i="2"/>
  <c r="AX241" i="2"/>
  <c r="AS241" i="2"/>
  <c r="BJ240" i="2"/>
  <c r="BE240" i="2"/>
  <c r="AY240" i="2"/>
  <c r="AU240" i="2"/>
  <c r="BF239" i="2"/>
  <c r="AV239" i="2"/>
  <c r="AP239" i="2"/>
  <c r="AZ239" i="2" s="1"/>
  <c r="AG239" i="2"/>
  <c r="AC239" i="2"/>
  <c r="BG238" i="2"/>
  <c r="BC238" i="2"/>
  <c r="AW238" i="2"/>
  <c r="AQ238" i="2"/>
  <c r="AH238" i="2"/>
  <c r="BH237" i="2"/>
  <c r="BD237" i="2"/>
  <c r="AX237" i="2"/>
  <c r="AS237" i="2"/>
  <c r="BJ236" i="2"/>
  <c r="BE236" i="2"/>
  <c r="AY236" i="2"/>
  <c r="AU236" i="2"/>
  <c r="BF235" i="2"/>
  <c r="AV235" i="2"/>
  <c r="AP235" i="2"/>
  <c r="AZ235" i="2" s="1"/>
  <c r="AG235" i="2"/>
  <c r="AC235" i="2"/>
  <c r="BG234" i="2"/>
  <c r="BC234" i="2"/>
  <c r="AW234" i="2"/>
  <c r="AQ234" i="2"/>
  <c r="AH234" i="2"/>
  <c r="BH233" i="2"/>
  <c r="BD233" i="2"/>
  <c r="AX233" i="2"/>
  <c r="AS233" i="2"/>
  <c r="BJ232" i="2"/>
  <c r="BE232" i="2"/>
  <c r="AY232" i="2"/>
  <c r="AU232" i="2"/>
  <c r="BF231" i="2"/>
  <c r="AV231" i="2"/>
  <c r="AP231" i="2"/>
  <c r="AZ231" i="2" s="1"/>
  <c r="AG231" i="2"/>
  <c r="AC231" i="2"/>
  <c r="BG230" i="2"/>
  <c r="BC230" i="2"/>
  <c r="AW230" i="2"/>
  <c r="AQ230" i="2"/>
  <c r="AH230" i="2"/>
  <c r="BD229" i="2"/>
  <c r="AX229" i="2"/>
  <c r="AS229" i="2"/>
  <c r="BJ228" i="2"/>
  <c r="BE228" i="2"/>
  <c r="AY228" i="2"/>
  <c r="AU228" i="2"/>
  <c r="AY227" i="2"/>
  <c r="AU227" i="2"/>
  <c r="BF226" i="2"/>
  <c r="AV226" i="2"/>
  <c r="AP226" i="2"/>
  <c r="AZ226" i="2" s="1"/>
  <c r="AG226" i="2"/>
  <c r="AC226" i="2"/>
  <c r="BG225" i="2"/>
  <c r="BC225" i="2"/>
  <c r="AW225" i="2"/>
  <c r="AQ225" i="2"/>
  <c r="AH225" i="2"/>
  <c r="BH224" i="2"/>
  <c r="BD224" i="2"/>
  <c r="AX224" i="2"/>
  <c r="AS224" i="2"/>
  <c r="BJ223" i="2"/>
  <c r="BE223" i="2"/>
  <c r="AY223" i="2"/>
  <c r="AU223" i="2"/>
  <c r="BF222" i="2"/>
  <c r="AV222" i="2"/>
  <c r="AP222" i="2"/>
  <c r="AZ222" i="2" s="1"/>
  <c r="AG222" i="2"/>
  <c r="AC222" i="2"/>
  <c r="BG221" i="2"/>
  <c r="BC221" i="2"/>
  <c r="AW221" i="2"/>
  <c r="AQ221" i="2"/>
  <c r="AH221" i="2"/>
  <c r="BH220" i="2"/>
  <c r="BD220" i="2"/>
  <c r="AW220" i="2"/>
  <c r="AQ220" i="2"/>
  <c r="AH220" i="2"/>
  <c r="BH219" i="2"/>
  <c r="BD219" i="2"/>
  <c r="AX219" i="2"/>
  <c r="AS219" i="2"/>
  <c r="AN219" i="2"/>
  <c r="BJ218" i="2"/>
  <c r="BE218" i="2"/>
  <c r="AY218" i="2"/>
  <c r="AU218" i="2"/>
  <c r="BF217" i="2"/>
  <c r="AV217" i="2"/>
  <c r="AP217" i="2"/>
  <c r="AZ217" i="2" s="1"/>
  <c r="AG217" i="2"/>
  <c r="AC217" i="2"/>
  <c r="BD216" i="2"/>
  <c r="AX216" i="2"/>
  <c r="AS216" i="2"/>
  <c r="BJ215" i="2"/>
  <c r="BE215" i="2"/>
  <c r="AY215" i="2"/>
  <c r="AU215" i="2"/>
  <c r="BF214" i="2"/>
  <c r="AV214" i="2"/>
  <c r="AP214" i="2"/>
  <c r="AZ214" i="2" s="1"/>
  <c r="AG214" i="2"/>
  <c r="AC214" i="2"/>
  <c r="BG213" i="2"/>
  <c r="BC213" i="2"/>
  <c r="AW213" i="2"/>
  <c r="AQ213" i="2"/>
  <c r="AH213" i="2"/>
  <c r="BH212" i="2"/>
  <c r="BF246" i="2"/>
  <c r="AC246" i="2"/>
  <c r="BE244" i="2"/>
  <c r="AY244" i="2"/>
  <c r="AS244" i="2"/>
  <c r="BJ243" i="2"/>
  <c r="BE243" i="2"/>
  <c r="AY243" i="2"/>
  <c r="AU243" i="2"/>
  <c r="BF242" i="2"/>
  <c r="AV242" i="2"/>
  <c r="AP242" i="2"/>
  <c r="AZ242" i="2" s="1"/>
  <c r="AG242" i="2"/>
  <c r="AC242" i="2"/>
  <c r="BG241" i="2"/>
  <c r="BC241" i="2"/>
  <c r="AW241" i="2"/>
  <c r="AQ241" i="2"/>
  <c r="AH241" i="2"/>
  <c r="BH240" i="2"/>
  <c r="BD240" i="2"/>
  <c r="AX240" i="2"/>
  <c r="AS240" i="2"/>
  <c r="AN240" i="2"/>
  <c r="BJ239" i="2"/>
  <c r="BE239" i="2"/>
  <c r="AY239" i="2"/>
  <c r="AU239" i="2"/>
  <c r="BF238" i="2"/>
  <c r="AV238" i="2"/>
  <c r="AP238" i="2"/>
  <c r="AZ238" i="2" s="1"/>
  <c r="AG238" i="2"/>
  <c r="AC238" i="2"/>
  <c r="BG237" i="2"/>
  <c r="BC237" i="2"/>
  <c r="AW237" i="2"/>
  <c r="AQ237" i="2"/>
  <c r="AH237" i="2"/>
  <c r="BH236" i="2"/>
  <c r="BD236" i="2"/>
  <c r="AX236" i="2"/>
  <c r="AS236" i="2"/>
  <c r="BJ235" i="2"/>
  <c r="BE235" i="2"/>
  <c r="AY235" i="2"/>
  <c r="AU235" i="2"/>
  <c r="BF234" i="2"/>
  <c r="AV234" i="2"/>
  <c r="AP234" i="2"/>
  <c r="AZ234" i="2" s="1"/>
  <c r="AG234" i="2"/>
  <c r="AC234" i="2"/>
  <c r="BG233" i="2"/>
  <c r="BC233" i="2"/>
  <c r="AW233" i="2"/>
  <c r="AQ233" i="2"/>
  <c r="AH233" i="2"/>
  <c r="BH232" i="2"/>
  <c r="BD232" i="2"/>
  <c r="AX232" i="2"/>
  <c r="AS232" i="2"/>
  <c r="AN232" i="2"/>
  <c r="BJ231" i="2"/>
  <c r="BE231" i="2"/>
  <c r="AY231" i="2"/>
  <c r="AU231" i="2"/>
  <c r="BF230" i="2"/>
  <c r="AV230" i="2"/>
  <c r="AP230" i="2"/>
  <c r="AZ230" i="2" s="1"/>
  <c r="AG230" i="2"/>
  <c r="AC230" i="2"/>
  <c r="BG229" i="2"/>
  <c r="BC229" i="2"/>
  <c r="AW229" i="2"/>
  <c r="AQ229" i="2"/>
  <c r="AH229" i="2"/>
  <c r="BH228" i="2"/>
  <c r="BD228" i="2"/>
  <c r="AX228" i="2"/>
  <c r="AS228" i="2"/>
  <c r="AN228" i="2"/>
  <c r="BJ227" i="2"/>
  <c r="BE227" i="2"/>
  <c r="AX227" i="2"/>
  <c r="AS227" i="2"/>
  <c r="BJ226" i="2"/>
  <c r="BE226" i="2"/>
  <c r="AY226" i="2"/>
  <c r="AU226" i="2"/>
  <c r="BF225" i="2"/>
  <c r="AV225" i="2"/>
  <c r="AP225" i="2"/>
  <c r="AZ225" i="2" s="1"/>
  <c r="AG225" i="2"/>
  <c r="AC225" i="2"/>
  <c r="BG224" i="2"/>
  <c r="BC224" i="2"/>
  <c r="AW224" i="2"/>
  <c r="AQ224" i="2"/>
  <c r="AH224" i="2"/>
  <c r="BH223" i="2"/>
  <c r="BD223" i="2"/>
  <c r="AX223" i="2"/>
  <c r="AS223" i="2"/>
  <c r="BJ222" i="2"/>
  <c r="BE222" i="2"/>
  <c r="AY222" i="2"/>
  <c r="AU222" i="2"/>
  <c r="BF221" i="2"/>
  <c r="AV221" i="2"/>
  <c r="AP221" i="2"/>
  <c r="AZ221" i="2" s="1"/>
  <c r="AG221" i="2"/>
  <c r="AC221" i="2"/>
  <c r="BG220" i="2"/>
  <c r="BC220" i="2"/>
  <c r="AV220" i="2"/>
  <c r="AP220" i="2"/>
  <c r="AZ220" i="2" s="1"/>
  <c r="AG220" i="2"/>
  <c r="AC220" i="2"/>
  <c r="BG219" i="2"/>
  <c r="BC219" i="2"/>
  <c r="AW219" i="2"/>
  <c r="AQ219" i="2"/>
  <c r="AH219" i="2"/>
  <c r="BH218" i="2"/>
  <c r="BD218" i="2"/>
  <c r="AX218" i="2"/>
  <c r="AS218" i="2"/>
  <c r="BJ217" i="2"/>
  <c r="BE217" i="2"/>
  <c r="AY217" i="2"/>
  <c r="AU217" i="2"/>
  <c r="BG216" i="2"/>
  <c r="BC216" i="2"/>
  <c r="AW216" i="2"/>
  <c r="AQ216" i="2"/>
  <c r="AH216" i="2"/>
  <c r="BH215" i="2"/>
  <c r="BD215" i="2"/>
  <c r="AX215" i="2"/>
  <c r="AS215" i="2"/>
  <c r="AN215" i="2"/>
  <c r="BJ214" i="2"/>
  <c r="BE214" i="2"/>
  <c r="AH246" i="2"/>
  <c r="BJ244" i="2"/>
  <c r="BD244" i="2"/>
  <c r="AX244" i="2"/>
  <c r="AQ244" i="2"/>
  <c r="AH244" i="2"/>
  <c r="BH243" i="2"/>
  <c r="BD243" i="2"/>
  <c r="AX243" i="2"/>
  <c r="AS243" i="2"/>
  <c r="BJ242" i="2"/>
  <c r="BE242" i="2"/>
  <c r="AY242" i="2"/>
  <c r="AU242" i="2"/>
  <c r="BF241" i="2"/>
  <c r="AV241" i="2"/>
  <c r="AP241" i="2"/>
  <c r="AZ241" i="2" s="1"/>
  <c r="AG241" i="2"/>
  <c r="AC241" i="2"/>
  <c r="BG240" i="2"/>
  <c r="BC240" i="2"/>
  <c r="AW240" i="2"/>
  <c r="AQ240" i="2"/>
  <c r="AH240" i="2"/>
  <c r="BH239" i="2"/>
  <c r="BD239" i="2"/>
  <c r="AX239" i="2"/>
  <c r="AS239" i="2"/>
  <c r="AN239" i="2"/>
  <c r="BJ238" i="2"/>
  <c r="BE238" i="2"/>
  <c r="AY238" i="2"/>
  <c r="AU238" i="2"/>
  <c r="BF237" i="2"/>
  <c r="AV237" i="2"/>
  <c r="AP237" i="2"/>
  <c r="AZ237" i="2" s="1"/>
  <c r="AG237" i="2"/>
  <c r="AC237" i="2"/>
  <c r="BG236" i="2"/>
  <c r="BC236" i="2"/>
  <c r="AW236" i="2"/>
  <c r="AQ236" i="2"/>
  <c r="AH236" i="2"/>
  <c r="BH235" i="2"/>
  <c r="BD235" i="2"/>
  <c r="AX235" i="2"/>
  <c r="AS235" i="2"/>
  <c r="AN235" i="2"/>
  <c r="BJ234" i="2"/>
  <c r="BE234" i="2"/>
  <c r="AY234" i="2"/>
  <c r="AU234" i="2"/>
  <c r="BF233" i="2"/>
  <c r="AV233" i="2"/>
  <c r="AP233" i="2"/>
  <c r="AZ233" i="2" s="1"/>
  <c r="AG233" i="2"/>
  <c r="AC233" i="2"/>
  <c r="BG232" i="2"/>
  <c r="BC232" i="2"/>
  <c r="AW232" i="2"/>
  <c r="AQ232" i="2"/>
  <c r="AH232" i="2"/>
  <c r="BH231" i="2"/>
  <c r="BD231" i="2"/>
  <c r="AX231" i="2"/>
  <c r="AS231" i="2"/>
  <c r="BE230" i="2"/>
  <c r="AY230" i="2"/>
  <c r="AU230" i="2"/>
  <c r="BF229" i="2"/>
  <c r="AV229" i="2"/>
  <c r="AP229" i="2"/>
  <c r="AZ229" i="2" s="1"/>
  <c r="AG229" i="2"/>
  <c r="AC229" i="2"/>
  <c r="BG228" i="2"/>
  <c r="BC228" i="2"/>
  <c r="AW228" i="2"/>
  <c r="AQ228" i="2"/>
  <c r="AH228" i="2"/>
  <c r="BD227" i="2"/>
  <c r="AW227" i="2"/>
  <c r="AQ227" i="2"/>
  <c r="AH227" i="2"/>
  <c r="BH226" i="2"/>
  <c r="BD226" i="2"/>
  <c r="AX226" i="2"/>
  <c r="AS226" i="2"/>
  <c r="AN226" i="2"/>
  <c r="BJ225" i="2"/>
  <c r="BE225" i="2"/>
  <c r="AY225" i="2"/>
  <c r="AU225" i="2"/>
  <c r="BF224" i="2"/>
  <c r="AV224" i="2"/>
  <c r="AP224" i="2"/>
  <c r="AZ224" i="2" s="1"/>
  <c r="AG224" i="2"/>
  <c r="AC224" i="2"/>
  <c r="BG223" i="2"/>
  <c r="BC223" i="2"/>
  <c r="AW223" i="2"/>
  <c r="AQ223" i="2"/>
  <c r="AH223" i="2"/>
  <c r="BH222" i="2"/>
  <c r="BD222" i="2"/>
  <c r="AX222" i="2"/>
  <c r="AS222" i="2"/>
  <c r="AN222" i="2"/>
  <c r="BJ221" i="2"/>
  <c r="BE221" i="2"/>
  <c r="AY221" i="2"/>
  <c r="AU221" i="2"/>
  <c r="BF220" i="2"/>
  <c r="AY220" i="2"/>
  <c r="AU220" i="2"/>
  <c r="BF219" i="2"/>
  <c r="AV219" i="2"/>
  <c r="AP219" i="2"/>
  <c r="AZ219" i="2" s="1"/>
  <c r="AG219" i="2"/>
  <c r="AC219" i="2"/>
  <c r="BG218" i="2"/>
  <c r="BC218" i="2"/>
  <c r="AW218" i="2"/>
  <c r="AQ218" i="2"/>
  <c r="AH218" i="2"/>
  <c r="BH217" i="2"/>
  <c r="BD217" i="2"/>
  <c r="AX217" i="2"/>
  <c r="AS217" i="2"/>
  <c r="BF216" i="2"/>
  <c r="AV216" i="2"/>
  <c r="AP216" i="2"/>
  <c r="AZ216" i="2" s="1"/>
  <c r="AG216" i="2"/>
  <c r="AC216" i="2"/>
  <c r="BG215" i="2"/>
  <c r="BC215" i="2"/>
  <c r="AW215" i="2"/>
  <c r="AV246" i="2"/>
  <c r="AG246" i="2"/>
  <c r="BH244" i="2"/>
  <c r="BC244" i="2"/>
  <c r="AW244" i="2"/>
  <c r="AP244" i="2"/>
  <c r="AZ244" i="2" s="1"/>
  <c r="AG244" i="2"/>
  <c r="AC244" i="2"/>
  <c r="BG243" i="2"/>
  <c r="BC243" i="2"/>
  <c r="AW243" i="2"/>
  <c r="AQ243" i="2"/>
  <c r="AH243" i="2"/>
  <c r="BH242" i="2"/>
  <c r="BD242" i="2"/>
  <c r="AX242" i="2"/>
  <c r="AS242" i="2"/>
  <c r="AN242" i="2"/>
  <c r="BJ241" i="2"/>
  <c r="BE241" i="2"/>
  <c r="AY241" i="2"/>
  <c r="AU241" i="2"/>
  <c r="BF240" i="2"/>
  <c r="AV240" i="2"/>
  <c r="AP240" i="2"/>
  <c r="AZ240" i="2" s="1"/>
  <c r="AG240" i="2"/>
  <c r="AC240" i="2"/>
  <c r="BG239" i="2"/>
  <c r="BC239" i="2"/>
  <c r="AW239" i="2"/>
  <c r="AQ239" i="2"/>
  <c r="AH239" i="2"/>
  <c r="BH238" i="2"/>
  <c r="BD238" i="2"/>
  <c r="AX238" i="2"/>
  <c r="AS238" i="2"/>
  <c r="AN238" i="2"/>
  <c r="BJ237" i="2"/>
  <c r="BE237" i="2"/>
  <c r="AY237" i="2"/>
  <c r="AU237" i="2"/>
  <c r="BF236" i="2"/>
  <c r="AV236" i="2"/>
  <c r="AP236" i="2"/>
  <c r="AZ236" i="2" s="1"/>
  <c r="AG236" i="2"/>
  <c r="AC236" i="2"/>
  <c r="BG235" i="2"/>
  <c r="BC235" i="2"/>
  <c r="AW235" i="2"/>
  <c r="AQ235" i="2"/>
  <c r="AH235" i="2"/>
  <c r="BH234" i="2"/>
  <c r="BD234" i="2"/>
  <c r="AX234" i="2"/>
  <c r="AS234" i="2"/>
  <c r="BJ233" i="2"/>
  <c r="BE233" i="2"/>
  <c r="AY233" i="2"/>
  <c r="AU233" i="2"/>
  <c r="BF232" i="2"/>
  <c r="AV232" i="2"/>
  <c r="AP232" i="2"/>
  <c r="AZ232" i="2" s="1"/>
  <c r="AG232" i="2"/>
  <c r="AC232" i="2"/>
  <c r="BG231" i="2"/>
  <c r="BC231" i="2"/>
  <c r="AW231" i="2"/>
  <c r="AQ231" i="2"/>
  <c r="AH231" i="2"/>
  <c r="BH230" i="2"/>
  <c r="BD230" i="2"/>
  <c r="AX230" i="2"/>
  <c r="AS230" i="2"/>
  <c r="BJ229" i="2"/>
  <c r="BE229" i="2"/>
  <c r="AY229" i="2"/>
  <c r="AU229" i="2"/>
  <c r="BF228" i="2"/>
  <c r="AV228" i="2"/>
  <c r="AP228" i="2"/>
  <c r="AZ228" i="2" s="1"/>
  <c r="AG228" i="2"/>
  <c r="AC228" i="2"/>
  <c r="BC227" i="2"/>
  <c r="AV227" i="2"/>
  <c r="AP227" i="2"/>
  <c r="AZ227" i="2" s="1"/>
  <c r="AC227" i="2"/>
  <c r="BG226" i="2"/>
  <c r="BC226" i="2"/>
  <c r="AW226" i="2"/>
  <c r="AQ226" i="2"/>
  <c r="AH226" i="2"/>
  <c r="BH225" i="2"/>
  <c r="BD225" i="2"/>
  <c r="AX225" i="2"/>
  <c r="AS225" i="2"/>
  <c r="AN225" i="2"/>
  <c r="BJ224" i="2"/>
  <c r="BE224" i="2"/>
  <c r="AY224" i="2"/>
  <c r="AU224" i="2"/>
  <c r="BF223" i="2"/>
  <c r="AV223" i="2"/>
  <c r="AP223" i="2"/>
  <c r="AZ223" i="2" s="1"/>
  <c r="AG223" i="2"/>
  <c r="AC223" i="2"/>
  <c r="BG222" i="2"/>
  <c r="BC222" i="2"/>
  <c r="AW222" i="2"/>
  <c r="AQ222" i="2"/>
  <c r="AH222" i="2"/>
  <c r="BH221" i="2"/>
  <c r="BD221" i="2"/>
  <c r="AX221" i="2"/>
  <c r="AS221" i="2"/>
  <c r="AN221" i="2"/>
  <c r="BJ220" i="2"/>
  <c r="BE220" i="2"/>
  <c r="AX220" i="2"/>
  <c r="AS220" i="2"/>
  <c r="BJ219" i="2"/>
  <c r="BE219" i="2"/>
  <c r="AY219" i="2"/>
  <c r="AU219" i="2"/>
  <c r="BF218" i="2"/>
  <c r="AV218" i="2"/>
  <c r="AP218" i="2"/>
  <c r="AZ218" i="2" s="1"/>
  <c r="AG218" i="2"/>
  <c r="AC218" i="2"/>
  <c r="BG217" i="2"/>
  <c r="BC217" i="2"/>
  <c r="AW217" i="2"/>
  <c r="AQ217" i="2"/>
  <c r="AH217" i="2"/>
  <c r="BE216" i="2"/>
  <c r="AY216" i="2"/>
  <c r="AQ215" i="2"/>
  <c r="AG215" i="2"/>
  <c r="BG214" i="2"/>
  <c r="AY214" i="2"/>
  <c r="AS214" i="2"/>
  <c r="AH214" i="2"/>
  <c r="BE213" i="2"/>
  <c r="AX213" i="2"/>
  <c r="AP213" i="2"/>
  <c r="AZ213" i="2" s="1"/>
  <c r="BJ212" i="2"/>
  <c r="BD212" i="2"/>
  <c r="AX212" i="2"/>
  <c r="AS212" i="2"/>
  <c r="BJ211" i="2"/>
  <c r="BE211" i="2"/>
  <c r="AY211" i="2"/>
  <c r="AU211" i="2"/>
  <c r="BF210" i="2"/>
  <c r="AV210" i="2"/>
  <c r="AP210" i="2"/>
  <c r="AZ210" i="2" s="1"/>
  <c r="AG210" i="2"/>
  <c r="AC210" i="2"/>
  <c r="BG209" i="2"/>
  <c r="BC209" i="2"/>
  <c r="AW209" i="2"/>
  <c r="AQ209" i="2"/>
  <c r="AH209" i="2"/>
  <c r="BH208" i="2"/>
  <c r="BD208" i="2"/>
  <c r="AX208" i="2"/>
  <c r="AS208" i="2"/>
  <c r="BJ207" i="2"/>
  <c r="BE207" i="2"/>
  <c r="AY207" i="2"/>
  <c r="AU207" i="2"/>
  <c r="BF206" i="2"/>
  <c r="AV206" i="2"/>
  <c r="AP206" i="2"/>
  <c r="AZ206" i="2" s="1"/>
  <c r="AG206" i="2"/>
  <c r="AC206" i="2"/>
  <c r="BG205" i="2"/>
  <c r="BC205" i="2"/>
  <c r="AW205" i="2"/>
  <c r="AQ205" i="2"/>
  <c r="AH205" i="2"/>
  <c r="BH204" i="2"/>
  <c r="BD204" i="2"/>
  <c r="AX204" i="2"/>
  <c r="AS204" i="2"/>
  <c r="AN204" i="2"/>
  <c r="BJ203" i="2"/>
  <c r="BE203" i="2"/>
  <c r="AY203" i="2"/>
  <c r="AU203" i="2"/>
  <c r="BG202" i="2"/>
  <c r="BC202" i="2"/>
  <c r="AW202" i="2"/>
  <c r="AQ202" i="2"/>
  <c r="AH202" i="2"/>
  <c r="BH201" i="2"/>
  <c r="BD201" i="2"/>
  <c r="AX201" i="2"/>
  <c r="AS201" i="2"/>
  <c r="BJ200" i="2"/>
  <c r="BE200" i="2"/>
  <c r="AY200" i="2"/>
  <c r="AU200" i="2"/>
  <c r="BF199" i="2"/>
  <c r="AV199" i="2"/>
  <c r="AP199" i="2"/>
  <c r="AZ199" i="2" s="1"/>
  <c r="AG199" i="2"/>
  <c r="AC199" i="2"/>
  <c r="BG198" i="2"/>
  <c r="BC198" i="2"/>
  <c r="AW198" i="2"/>
  <c r="AQ198" i="2"/>
  <c r="AH198" i="2"/>
  <c r="BH197" i="2"/>
  <c r="BD197" i="2"/>
  <c r="AX197" i="2"/>
  <c r="AS197" i="2"/>
  <c r="AN197" i="2"/>
  <c r="BJ196" i="2"/>
  <c r="BE196" i="2"/>
  <c r="AY196" i="2"/>
  <c r="AU196" i="2"/>
  <c r="BF195" i="2"/>
  <c r="AV195" i="2"/>
  <c r="AP195" i="2"/>
  <c r="AZ195" i="2" s="1"/>
  <c r="AG195" i="2"/>
  <c r="AC195" i="2"/>
  <c r="BG194" i="2"/>
  <c r="AW194" i="2"/>
  <c r="AQ194" i="2"/>
  <c r="AH194" i="2"/>
  <c r="BH193" i="2"/>
  <c r="BD193" i="2"/>
  <c r="AX193" i="2"/>
  <c r="AS193" i="2"/>
  <c r="AN193" i="2"/>
  <c r="BJ192" i="2"/>
  <c r="BE192" i="2"/>
  <c r="AY192" i="2"/>
  <c r="AU192" i="2"/>
  <c r="BF191" i="2"/>
  <c r="AV191" i="2"/>
  <c r="AP191" i="2"/>
  <c r="AZ191" i="2" s="1"/>
  <c r="AC191" i="2"/>
  <c r="BG190" i="2"/>
  <c r="BC190" i="2"/>
  <c r="AW190" i="2"/>
  <c r="AQ190" i="2"/>
  <c r="AH190" i="2"/>
  <c r="BJ189" i="2"/>
  <c r="BE189" i="2"/>
  <c r="AY189" i="2"/>
  <c r="AU189" i="2"/>
  <c r="BF188" i="2"/>
  <c r="AV188" i="2"/>
  <c r="AP188" i="2"/>
  <c r="AZ188" i="2" s="1"/>
  <c r="AG188" i="2"/>
  <c r="AC188" i="2"/>
  <c r="BG187" i="2"/>
  <c r="BC187" i="2"/>
  <c r="AW187" i="2"/>
  <c r="AQ187" i="2"/>
  <c r="AH187" i="2"/>
  <c r="BH186" i="2"/>
  <c r="BD186" i="2"/>
  <c r="AX186" i="2"/>
  <c r="AS186" i="2"/>
  <c r="AN186" i="2"/>
  <c r="BJ185" i="2"/>
  <c r="BE185" i="2"/>
  <c r="AY185" i="2"/>
  <c r="AU185" i="2"/>
  <c r="BF184" i="2"/>
  <c r="AV184" i="2"/>
  <c r="AP184" i="2"/>
  <c r="AZ184" i="2" s="1"/>
  <c r="AG184" i="2"/>
  <c r="AC184" i="2"/>
  <c r="BG183" i="2"/>
  <c r="BC183" i="2"/>
  <c r="AW183" i="2"/>
  <c r="AQ183" i="2"/>
  <c r="AH183" i="2"/>
  <c r="AU216" i="2"/>
  <c r="BF215" i="2"/>
  <c r="AP215" i="2"/>
  <c r="AZ215" i="2" s="1"/>
  <c r="BD214" i="2"/>
  <c r="AX214" i="2"/>
  <c r="AQ214" i="2"/>
  <c r="BJ213" i="2"/>
  <c r="BD213" i="2"/>
  <c r="AV213" i="2"/>
  <c r="BG212" i="2"/>
  <c r="BC212" i="2"/>
  <c r="AW212" i="2"/>
  <c r="AQ212" i="2"/>
  <c r="BH211" i="2"/>
  <c r="BD211" i="2"/>
  <c r="AX211" i="2"/>
  <c r="AS211" i="2"/>
  <c r="AN211" i="2"/>
  <c r="BJ210" i="2"/>
  <c r="BE210" i="2"/>
  <c r="AY210" i="2"/>
  <c r="AU210" i="2"/>
  <c r="BF209" i="2"/>
  <c r="AV209" i="2"/>
  <c r="AP209" i="2"/>
  <c r="AZ209" i="2" s="1"/>
  <c r="AG209" i="2"/>
  <c r="AC209" i="2"/>
  <c r="BG208" i="2"/>
  <c r="BC208" i="2"/>
  <c r="AW208" i="2"/>
  <c r="AQ208" i="2"/>
  <c r="AH208" i="2"/>
  <c r="BH207" i="2"/>
  <c r="BD207" i="2"/>
  <c r="AX207" i="2"/>
  <c r="AS207" i="2"/>
  <c r="BJ206" i="2"/>
  <c r="BE206" i="2"/>
  <c r="AY206" i="2"/>
  <c r="AU206" i="2"/>
  <c r="BF205" i="2"/>
  <c r="AV205" i="2"/>
  <c r="AP205" i="2"/>
  <c r="AZ205" i="2" s="1"/>
  <c r="AG205" i="2"/>
  <c r="AC205" i="2"/>
  <c r="BG204" i="2"/>
  <c r="BC204" i="2"/>
  <c r="AW204" i="2"/>
  <c r="AQ204" i="2"/>
  <c r="AH204" i="2"/>
  <c r="BH203" i="2"/>
  <c r="BD203" i="2"/>
  <c r="AX203" i="2"/>
  <c r="AS203" i="2"/>
  <c r="AN203" i="2"/>
  <c r="BF202" i="2"/>
  <c r="AV202" i="2"/>
  <c r="AP202" i="2"/>
  <c r="AZ202" i="2" s="1"/>
  <c r="AG202" i="2"/>
  <c r="AC202" i="2"/>
  <c r="BG201" i="2"/>
  <c r="BC201" i="2"/>
  <c r="AW201" i="2"/>
  <c r="AQ201" i="2"/>
  <c r="AH201" i="2"/>
  <c r="BH200" i="2"/>
  <c r="BD200" i="2"/>
  <c r="AX200" i="2"/>
  <c r="AS200" i="2"/>
  <c r="AN200" i="2"/>
  <c r="BJ199" i="2"/>
  <c r="BE199" i="2"/>
  <c r="AY199" i="2"/>
  <c r="AU199" i="2"/>
  <c r="BF198" i="2"/>
  <c r="AV198" i="2"/>
  <c r="AP198" i="2"/>
  <c r="AZ198" i="2" s="1"/>
  <c r="AG198" i="2"/>
  <c r="AC198" i="2"/>
  <c r="BG197" i="2"/>
  <c r="BC197" i="2"/>
  <c r="AW197" i="2"/>
  <c r="AQ197" i="2"/>
  <c r="AH197" i="2"/>
  <c r="BH196" i="2"/>
  <c r="BD196" i="2"/>
  <c r="AX196" i="2"/>
  <c r="AS196" i="2"/>
  <c r="AN196" i="2"/>
  <c r="BJ195" i="2"/>
  <c r="BE195" i="2"/>
  <c r="AY195" i="2"/>
  <c r="AU195" i="2"/>
  <c r="BF194" i="2"/>
  <c r="AV194" i="2"/>
  <c r="AP194" i="2"/>
  <c r="AZ194" i="2" s="1"/>
  <c r="AG194" i="2"/>
  <c r="AC194" i="2"/>
  <c r="BG193" i="2"/>
  <c r="BC193" i="2"/>
  <c r="AW193" i="2"/>
  <c r="AQ193" i="2"/>
  <c r="AH193" i="2"/>
  <c r="BH192" i="2"/>
  <c r="BD192" i="2"/>
  <c r="AX192" i="2"/>
  <c r="AS192" i="2"/>
  <c r="AN192" i="2"/>
  <c r="BJ191" i="2"/>
  <c r="BE191" i="2"/>
  <c r="AY191" i="2"/>
  <c r="AU191" i="2"/>
  <c r="AV190" i="2"/>
  <c r="AP190" i="2"/>
  <c r="AZ190" i="2" s="1"/>
  <c r="AG190" i="2"/>
  <c r="AC190" i="2"/>
  <c r="BH189" i="2"/>
  <c r="BD189" i="2"/>
  <c r="AX189" i="2"/>
  <c r="AS189" i="2"/>
  <c r="BJ188" i="2"/>
  <c r="BE188" i="2"/>
  <c r="AY188" i="2"/>
  <c r="AU188" i="2"/>
  <c r="BF187" i="2"/>
  <c r="AV187" i="2"/>
  <c r="AP187" i="2"/>
  <c r="AZ187" i="2" s="1"/>
  <c r="AG187" i="2"/>
  <c r="AC187" i="2"/>
  <c r="BG186" i="2"/>
  <c r="BC186" i="2"/>
  <c r="AW186" i="2"/>
  <c r="AQ186" i="2"/>
  <c r="AH186" i="2"/>
  <c r="BH185" i="2"/>
  <c r="BD185" i="2"/>
  <c r="AX185" i="2"/>
  <c r="AS185" i="2"/>
  <c r="AN185" i="2"/>
  <c r="AC215" i="2"/>
  <c r="BC214" i="2"/>
  <c r="AW214" i="2"/>
  <c r="BH213" i="2"/>
  <c r="AU213" i="2"/>
  <c r="AN213" i="2"/>
  <c r="AC213" i="2"/>
  <c r="BF212" i="2"/>
  <c r="AV212" i="2"/>
  <c r="AP212" i="2"/>
  <c r="AZ212" i="2" s="1"/>
  <c r="AG212" i="2"/>
  <c r="AC212" i="2"/>
  <c r="BG211" i="2"/>
  <c r="BC211" i="2"/>
  <c r="AW211" i="2"/>
  <c r="AQ211" i="2"/>
  <c r="AH211" i="2"/>
  <c r="BH210" i="2"/>
  <c r="BD210" i="2"/>
  <c r="AX210" i="2"/>
  <c r="AS210" i="2"/>
  <c r="AN210" i="2"/>
  <c r="BJ209" i="2"/>
  <c r="BE209" i="2"/>
  <c r="AY209" i="2"/>
  <c r="AU209" i="2"/>
  <c r="BF208" i="2"/>
  <c r="AV208" i="2"/>
  <c r="AP208" i="2"/>
  <c r="AZ208" i="2" s="1"/>
  <c r="AG208" i="2"/>
  <c r="AC208" i="2"/>
  <c r="BG207" i="2"/>
  <c r="BC207" i="2"/>
  <c r="AW207" i="2"/>
  <c r="AQ207" i="2"/>
  <c r="AH207" i="2"/>
  <c r="BH206" i="2"/>
  <c r="BD206" i="2"/>
  <c r="AX206" i="2"/>
  <c r="AS206" i="2"/>
  <c r="AN206" i="2"/>
  <c r="BJ205" i="2"/>
  <c r="BE205" i="2"/>
  <c r="AY205" i="2"/>
  <c r="AU205" i="2"/>
  <c r="BF204" i="2"/>
  <c r="AV204" i="2"/>
  <c r="AP204" i="2"/>
  <c r="AZ204" i="2" s="1"/>
  <c r="AG204" i="2"/>
  <c r="AC204" i="2"/>
  <c r="BG203" i="2"/>
  <c r="BC203" i="2"/>
  <c r="AW203" i="2"/>
  <c r="AQ203" i="2"/>
  <c r="AH203" i="2"/>
  <c r="BJ202" i="2"/>
  <c r="BE202" i="2"/>
  <c r="AY202" i="2"/>
  <c r="AU202" i="2"/>
  <c r="BF201" i="2"/>
  <c r="AV201" i="2"/>
  <c r="AP201" i="2"/>
  <c r="AZ201" i="2" s="1"/>
  <c r="AG201" i="2"/>
  <c r="AC201" i="2"/>
  <c r="BG200" i="2"/>
  <c r="BC200" i="2"/>
  <c r="AW200" i="2"/>
  <c r="AQ200" i="2"/>
  <c r="AH200" i="2"/>
  <c r="BH199" i="2"/>
  <c r="BD199" i="2"/>
  <c r="AX199" i="2"/>
  <c r="AS199" i="2"/>
  <c r="BJ198" i="2"/>
  <c r="BE198" i="2"/>
  <c r="AY198" i="2"/>
  <c r="AU198" i="2"/>
  <c r="BF197" i="2"/>
  <c r="AV197" i="2"/>
  <c r="AP197" i="2"/>
  <c r="AZ197" i="2" s="1"/>
  <c r="AG197" i="2"/>
  <c r="AC197" i="2"/>
  <c r="BG196" i="2"/>
  <c r="BC196" i="2"/>
  <c r="AW196" i="2"/>
  <c r="AQ196" i="2"/>
  <c r="AH196" i="2"/>
  <c r="BH195" i="2"/>
  <c r="BD195" i="2"/>
  <c r="AX195" i="2"/>
  <c r="AS195" i="2"/>
  <c r="BJ194" i="2"/>
  <c r="AY194" i="2"/>
  <c r="AU194" i="2"/>
  <c r="BF193" i="2"/>
  <c r="AV193" i="2"/>
  <c r="AP193" i="2"/>
  <c r="AZ193" i="2" s="1"/>
  <c r="AG193" i="2"/>
  <c r="AC193" i="2"/>
  <c r="BG192" i="2"/>
  <c r="BC192" i="2"/>
  <c r="AW192" i="2"/>
  <c r="AQ192" i="2"/>
  <c r="AH192" i="2"/>
  <c r="BH191" i="2"/>
  <c r="BD191" i="2"/>
  <c r="AX191" i="2"/>
  <c r="AS191" i="2"/>
  <c r="BJ190" i="2"/>
  <c r="BE190" i="2"/>
  <c r="AY190" i="2"/>
  <c r="AU190" i="2"/>
  <c r="BC189" i="2"/>
  <c r="AW189" i="2"/>
  <c r="AQ189" i="2"/>
  <c r="AH189" i="2"/>
  <c r="BH188" i="2"/>
  <c r="BD188" i="2"/>
  <c r="AX188" i="2"/>
  <c r="AS188" i="2"/>
  <c r="AN188" i="2"/>
  <c r="BJ187" i="2"/>
  <c r="BE187" i="2"/>
  <c r="AY187" i="2"/>
  <c r="AU187" i="2"/>
  <c r="BF186" i="2"/>
  <c r="AV186" i="2"/>
  <c r="AP186" i="2"/>
  <c r="AZ186" i="2" s="1"/>
  <c r="AG186" i="2"/>
  <c r="AC186" i="2"/>
  <c r="BG185" i="2"/>
  <c r="BC185" i="2"/>
  <c r="AW185" i="2"/>
  <c r="AV215" i="2"/>
  <c r="AH215" i="2"/>
  <c r="BH214" i="2"/>
  <c r="AU214" i="2"/>
  <c r="BF213" i="2"/>
  <c r="AY213" i="2"/>
  <c r="AS213" i="2"/>
  <c r="AG213" i="2"/>
  <c r="BE212" i="2"/>
  <c r="AY212" i="2"/>
  <c r="AU212" i="2"/>
  <c r="BF211" i="2"/>
  <c r="AV211" i="2"/>
  <c r="AP211" i="2"/>
  <c r="AZ211" i="2" s="1"/>
  <c r="AG211" i="2"/>
  <c r="AC211" i="2"/>
  <c r="BG210" i="2"/>
  <c r="BC210" i="2"/>
  <c r="AW210" i="2"/>
  <c r="AQ210" i="2"/>
  <c r="AH210" i="2"/>
  <c r="BH209" i="2"/>
  <c r="BD209" i="2"/>
  <c r="AX209" i="2"/>
  <c r="AS209" i="2"/>
  <c r="AN209" i="2"/>
  <c r="BJ208" i="2"/>
  <c r="BE208" i="2"/>
  <c r="AY208" i="2"/>
  <c r="AU208" i="2"/>
  <c r="BF207" i="2"/>
  <c r="AV207" i="2"/>
  <c r="AP207" i="2"/>
  <c r="AZ207" i="2" s="1"/>
  <c r="AG207" i="2"/>
  <c r="AC207" i="2"/>
  <c r="BG206" i="2"/>
  <c r="BC206" i="2"/>
  <c r="AW206" i="2"/>
  <c r="AQ206" i="2"/>
  <c r="AH206" i="2"/>
  <c r="BH205" i="2"/>
  <c r="BD205" i="2"/>
  <c r="AX205" i="2"/>
  <c r="AS205" i="2"/>
  <c r="BJ204" i="2"/>
  <c r="BE204" i="2"/>
  <c r="AY204" i="2"/>
  <c r="AU204" i="2"/>
  <c r="BF203" i="2"/>
  <c r="AV203" i="2"/>
  <c r="AP203" i="2"/>
  <c r="AZ203" i="2" s="1"/>
  <c r="AG203" i="2"/>
  <c r="AC203" i="2"/>
  <c r="BH202" i="2"/>
  <c r="BD202" i="2"/>
  <c r="AX202" i="2"/>
  <c r="AS202" i="2"/>
  <c r="AN202" i="2"/>
  <c r="BJ201" i="2"/>
  <c r="BE201" i="2"/>
  <c r="AY201" i="2"/>
  <c r="AU201" i="2"/>
  <c r="BF200" i="2"/>
  <c r="AV200" i="2"/>
  <c r="AP200" i="2"/>
  <c r="AZ200" i="2" s="1"/>
  <c r="AG200" i="2"/>
  <c r="AC200" i="2"/>
  <c r="BG199" i="2"/>
  <c r="BC199" i="2"/>
  <c r="AW199" i="2"/>
  <c r="AQ199" i="2"/>
  <c r="AH199" i="2"/>
  <c r="BH198" i="2"/>
  <c r="BD198" i="2"/>
  <c r="AX198" i="2"/>
  <c r="AS198" i="2"/>
  <c r="BJ197" i="2"/>
  <c r="BE197" i="2"/>
  <c r="AY197" i="2"/>
  <c r="AU197" i="2"/>
  <c r="BF196" i="2"/>
  <c r="AV196" i="2"/>
  <c r="AP196" i="2"/>
  <c r="AZ196" i="2" s="1"/>
  <c r="AG196" i="2"/>
  <c r="AC196" i="2"/>
  <c r="BG195" i="2"/>
  <c r="BC195" i="2"/>
  <c r="AW195" i="2"/>
  <c r="AQ195" i="2"/>
  <c r="AH195" i="2"/>
  <c r="BH194" i="2"/>
  <c r="AX194" i="2"/>
  <c r="AS194" i="2"/>
  <c r="BJ193" i="2"/>
  <c r="BE193" i="2"/>
  <c r="AY193" i="2"/>
  <c r="AU193" i="2"/>
  <c r="BF192" i="2"/>
  <c r="AV192" i="2"/>
  <c r="AP192" i="2"/>
  <c r="AZ192" i="2" s="1"/>
  <c r="AG192" i="2"/>
  <c r="AC192" i="2"/>
  <c r="BG191" i="2"/>
  <c r="BC191" i="2"/>
  <c r="AW191" i="2"/>
  <c r="AQ191" i="2"/>
  <c r="AH191" i="2"/>
  <c r="BH190" i="2"/>
  <c r="BD190" i="2"/>
  <c r="AX190" i="2"/>
  <c r="AS190" i="2"/>
  <c r="BF189" i="2"/>
  <c r="AV189" i="2"/>
  <c r="AP189" i="2"/>
  <c r="AZ189" i="2" s="1"/>
  <c r="AC189" i="2"/>
  <c r="BG188" i="2"/>
  <c r="BC188" i="2"/>
  <c r="AW188" i="2"/>
  <c r="AQ188" i="2"/>
  <c r="AH188" i="2"/>
  <c r="BH187" i="2"/>
  <c r="BD187" i="2"/>
  <c r="AX187" i="2"/>
  <c r="AS187" i="2"/>
  <c r="AN187" i="2"/>
  <c r="BJ186" i="2"/>
  <c r="BE186" i="2"/>
  <c r="AY186" i="2"/>
  <c r="AU186" i="2"/>
  <c r="BF185" i="2"/>
  <c r="AC185" i="2"/>
  <c r="BE184" i="2"/>
  <c r="AY184" i="2"/>
  <c r="AS184" i="2"/>
  <c r="AH184" i="2"/>
  <c r="BE183" i="2"/>
  <c r="AX183" i="2"/>
  <c r="AP183" i="2"/>
  <c r="AZ183" i="2" s="1"/>
  <c r="BF182" i="2"/>
  <c r="AV182" i="2"/>
  <c r="AP182" i="2"/>
  <c r="AZ182" i="2" s="1"/>
  <c r="AG182" i="2"/>
  <c r="AC182" i="2"/>
  <c r="BG181" i="2"/>
  <c r="BC181" i="2"/>
  <c r="AW181" i="2"/>
  <c r="AQ181" i="2"/>
  <c r="AH181" i="2"/>
  <c r="BH180" i="2"/>
  <c r="BD180" i="2"/>
  <c r="AX180" i="2"/>
  <c r="AS180" i="2"/>
  <c r="AN180" i="2"/>
  <c r="BJ179" i="2"/>
  <c r="BE179" i="2"/>
  <c r="AY179" i="2"/>
  <c r="AU179" i="2"/>
  <c r="BF178" i="2"/>
  <c r="AV178" i="2"/>
  <c r="AP178" i="2"/>
  <c r="AZ178" i="2" s="1"/>
  <c r="AG178" i="2"/>
  <c r="AC178" i="2"/>
  <c r="BG177" i="2"/>
  <c r="BC177" i="2"/>
  <c r="AW177" i="2"/>
  <c r="AQ177" i="2"/>
  <c r="AH177" i="2"/>
  <c r="BH176" i="2"/>
  <c r="BD176" i="2"/>
  <c r="AX176" i="2"/>
  <c r="AS176" i="2"/>
  <c r="BJ175" i="2"/>
  <c r="BE175" i="2"/>
  <c r="AY175" i="2"/>
  <c r="AU175" i="2"/>
  <c r="BF174" i="2"/>
  <c r="AV174" i="2"/>
  <c r="AP174" i="2"/>
  <c r="AZ174" i="2" s="1"/>
  <c r="AG174" i="2"/>
  <c r="AC174" i="2"/>
  <c r="BG173" i="2"/>
  <c r="BC173" i="2"/>
  <c r="AW173" i="2"/>
  <c r="AQ173" i="2"/>
  <c r="AH173" i="2"/>
  <c r="BH172" i="2"/>
  <c r="BD172" i="2"/>
  <c r="AX172" i="2"/>
  <c r="AS172" i="2"/>
  <c r="AN172" i="2"/>
  <c r="BJ171" i="2"/>
  <c r="BE171" i="2"/>
  <c r="AY171" i="2"/>
  <c r="AU171" i="2"/>
  <c r="BF170" i="2"/>
  <c r="AV170" i="2"/>
  <c r="AP170" i="2"/>
  <c r="AZ170" i="2" s="1"/>
  <c r="AG170" i="2"/>
  <c r="AC170" i="2"/>
  <c r="BG169" i="2"/>
  <c r="BC169" i="2"/>
  <c r="AW169" i="2"/>
  <c r="AQ169" i="2"/>
  <c r="AH169" i="2"/>
  <c r="BH168" i="2"/>
  <c r="BD168" i="2"/>
  <c r="AX168" i="2"/>
  <c r="AS168" i="2"/>
  <c r="BJ167" i="2"/>
  <c r="BE167" i="2"/>
  <c r="AY167" i="2"/>
  <c r="AU167" i="2"/>
  <c r="BF166" i="2"/>
  <c r="AV166" i="2"/>
  <c r="AP166" i="2"/>
  <c r="AZ166" i="2" s="1"/>
  <c r="AG166" i="2"/>
  <c r="AC166" i="2"/>
  <c r="BG165" i="2"/>
  <c r="BC165" i="2"/>
  <c r="AW165" i="2"/>
  <c r="AQ165" i="2"/>
  <c r="AH165" i="2"/>
  <c r="BH164" i="2"/>
  <c r="BD164" i="2"/>
  <c r="AS164" i="2"/>
  <c r="AN164" i="2"/>
  <c r="BJ163" i="2"/>
  <c r="BE163" i="2"/>
  <c r="AY163" i="2"/>
  <c r="AU163" i="2"/>
  <c r="BF162" i="2"/>
  <c r="AV162" i="2"/>
  <c r="AP162" i="2"/>
  <c r="AZ162" i="2" s="1"/>
  <c r="AG162" i="2"/>
  <c r="AC162" i="2"/>
  <c r="BG161" i="2"/>
  <c r="BC161" i="2"/>
  <c r="AW161" i="2"/>
  <c r="AQ161" i="2"/>
  <c r="AH161" i="2"/>
  <c r="BH160" i="2"/>
  <c r="BD160" i="2"/>
  <c r="AX160" i="2"/>
  <c r="AS160" i="2"/>
  <c r="AN160" i="2"/>
  <c r="BJ159" i="2"/>
  <c r="BE159" i="2"/>
  <c r="AY159" i="2"/>
  <c r="AU159" i="2"/>
  <c r="BF158" i="2"/>
  <c r="AV158" i="2"/>
  <c r="AP158" i="2"/>
  <c r="AZ158" i="2" s="1"/>
  <c r="AG158" i="2"/>
  <c r="AC158" i="2"/>
  <c r="BG157" i="2"/>
  <c r="BC157" i="2"/>
  <c r="AW157" i="2"/>
  <c r="AQ157" i="2"/>
  <c r="AH157" i="2"/>
  <c r="BH156" i="2"/>
  <c r="BD156" i="2"/>
  <c r="AX156" i="2"/>
  <c r="AS156" i="2"/>
  <c r="AN156" i="2"/>
  <c r="BJ155" i="2"/>
  <c r="BE155" i="2"/>
  <c r="AY155" i="2"/>
  <c r="AU155" i="2"/>
  <c r="BF154" i="2"/>
  <c r="AY154" i="2"/>
  <c r="AU154" i="2"/>
  <c r="BF153" i="2"/>
  <c r="AV153" i="2"/>
  <c r="AP153" i="2"/>
  <c r="AZ153" i="2" s="1"/>
  <c r="AG153" i="2"/>
  <c r="AC153" i="2"/>
  <c r="BG152" i="2"/>
  <c r="BC152" i="2"/>
  <c r="AW152" i="2"/>
  <c r="AQ152" i="2"/>
  <c r="AH152" i="2"/>
  <c r="BH151" i="2"/>
  <c r="BD151" i="2"/>
  <c r="AX151" i="2"/>
  <c r="AS151" i="2"/>
  <c r="BJ150" i="2"/>
  <c r="BE150" i="2"/>
  <c r="AY150" i="2"/>
  <c r="AU150" i="2"/>
  <c r="BF149" i="2"/>
  <c r="AV149" i="2"/>
  <c r="AP149" i="2"/>
  <c r="AZ149" i="2" s="1"/>
  <c r="AG149" i="2"/>
  <c r="AC149" i="2"/>
  <c r="BG148" i="2"/>
  <c r="BC148" i="2"/>
  <c r="AW148" i="2"/>
  <c r="AQ148" i="2"/>
  <c r="AH148" i="2"/>
  <c r="BH147" i="2"/>
  <c r="BD147" i="2"/>
  <c r="AX147" i="2"/>
  <c r="AS147" i="2"/>
  <c r="AN147" i="2"/>
  <c r="BJ146" i="2"/>
  <c r="BE146" i="2"/>
  <c r="AY146" i="2"/>
  <c r="AU146" i="2"/>
  <c r="BF145" i="2"/>
  <c r="AV145" i="2"/>
  <c r="AP145" i="2"/>
  <c r="AZ145" i="2" s="1"/>
  <c r="AG145" i="2"/>
  <c r="AC145" i="2"/>
  <c r="BG144" i="2"/>
  <c r="BC144" i="2"/>
  <c r="AW144" i="2"/>
  <c r="AQ144" i="2"/>
  <c r="AH144" i="2"/>
  <c r="BH143" i="2"/>
  <c r="BD143" i="2"/>
  <c r="AX143" i="2"/>
  <c r="AS143" i="2"/>
  <c r="AN143" i="2"/>
  <c r="BJ142" i="2"/>
  <c r="BE142" i="2"/>
  <c r="AY142" i="2"/>
  <c r="AU142" i="2"/>
  <c r="BF141" i="2"/>
  <c r="AV141" i="2"/>
  <c r="AP141" i="2"/>
  <c r="AZ141" i="2" s="1"/>
  <c r="AG141" i="2"/>
  <c r="AC141" i="2"/>
  <c r="BG140" i="2"/>
  <c r="BC140" i="2"/>
  <c r="AW140" i="2"/>
  <c r="AQ140" i="2"/>
  <c r="AH140" i="2"/>
  <c r="BH139" i="2"/>
  <c r="BD139" i="2"/>
  <c r="AX139" i="2"/>
  <c r="AS139" i="2"/>
  <c r="AN139" i="2"/>
  <c r="AY138" i="2"/>
  <c r="AU138" i="2"/>
  <c r="BG137" i="2"/>
  <c r="BC137" i="2"/>
  <c r="AW137" i="2"/>
  <c r="AQ137" i="2"/>
  <c r="AH137" i="2"/>
  <c r="BH136" i="2"/>
  <c r="BD136" i="2"/>
  <c r="AX136" i="2"/>
  <c r="AS136" i="2"/>
  <c r="BJ135" i="2"/>
  <c r="BE135" i="2"/>
  <c r="AX135" i="2"/>
  <c r="AS135" i="2"/>
  <c r="AN135" i="2"/>
  <c r="BJ134" i="2"/>
  <c r="BE134" i="2"/>
  <c r="AY134" i="2"/>
  <c r="AU134" i="2"/>
  <c r="BF133" i="2"/>
  <c r="AV133" i="2"/>
  <c r="AP133" i="2"/>
  <c r="AZ133" i="2" s="1"/>
  <c r="AG133" i="2"/>
  <c r="AC133" i="2"/>
  <c r="BG132" i="2"/>
  <c r="BC132" i="2"/>
  <c r="AW132" i="2"/>
  <c r="AQ132" i="2"/>
  <c r="AH132" i="2"/>
  <c r="BH131" i="2"/>
  <c r="BD131" i="2"/>
  <c r="AX131" i="2"/>
  <c r="AS131" i="2"/>
  <c r="BJ130" i="2"/>
  <c r="BE130" i="2"/>
  <c r="AY130" i="2"/>
  <c r="AU130" i="2"/>
  <c r="BF129" i="2"/>
  <c r="AV129" i="2"/>
  <c r="AP129" i="2"/>
  <c r="AZ129" i="2" s="1"/>
  <c r="AG129" i="2"/>
  <c r="AC129" i="2"/>
  <c r="BG128" i="2"/>
  <c r="BC128" i="2"/>
  <c r="AW128" i="2"/>
  <c r="AQ128" i="2"/>
  <c r="AH128" i="2"/>
  <c r="BH127" i="2"/>
  <c r="BD127" i="2"/>
  <c r="AX127" i="2"/>
  <c r="AS127" i="2"/>
  <c r="BJ126" i="2"/>
  <c r="BE126" i="2"/>
  <c r="AX126" i="2"/>
  <c r="AS126" i="2"/>
  <c r="AN126" i="2"/>
  <c r="BJ125" i="2"/>
  <c r="AV185" i="2"/>
  <c r="AH185" i="2"/>
  <c r="BJ184" i="2"/>
  <c r="BD184" i="2"/>
  <c r="AX184" i="2"/>
  <c r="AQ184" i="2"/>
  <c r="BJ183" i="2"/>
  <c r="BD183" i="2"/>
  <c r="AV183" i="2"/>
  <c r="BJ182" i="2"/>
  <c r="BE182" i="2"/>
  <c r="AY182" i="2"/>
  <c r="AU182" i="2"/>
  <c r="BF181" i="2"/>
  <c r="AV181" i="2"/>
  <c r="AP181" i="2"/>
  <c r="AZ181" i="2" s="1"/>
  <c r="AG181" i="2"/>
  <c r="AC181" i="2"/>
  <c r="BG180" i="2"/>
  <c r="BC180" i="2"/>
  <c r="AW180" i="2"/>
  <c r="AQ180" i="2"/>
  <c r="AH180" i="2"/>
  <c r="BH179" i="2"/>
  <c r="BD179" i="2"/>
  <c r="AX179" i="2"/>
  <c r="AS179" i="2"/>
  <c r="AN179" i="2"/>
  <c r="BJ178" i="2"/>
  <c r="BE178" i="2"/>
  <c r="AY178" i="2"/>
  <c r="AU178" i="2"/>
  <c r="BF177" i="2"/>
  <c r="AV177" i="2"/>
  <c r="AP177" i="2"/>
  <c r="AZ177" i="2" s="1"/>
  <c r="AG177" i="2"/>
  <c r="AC177" i="2"/>
  <c r="BG176" i="2"/>
  <c r="BC176" i="2"/>
  <c r="AW176" i="2"/>
  <c r="AQ176" i="2"/>
  <c r="AH176" i="2"/>
  <c r="BH175" i="2"/>
  <c r="BD175" i="2"/>
  <c r="AX175" i="2"/>
  <c r="AS175" i="2"/>
  <c r="BJ174" i="2"/>
  <c r="BE174" i="2"/>
  <c r="AY174" i="2"/>
  <c r="AU174" i="2"/>
  <c r="BF173" i="2"/>
  <c r="AV173" i="2"/>
  <c r="AP173" i="2"/>
  <c r="AZ173" i="2" s="1"/>
  <c r="AG173" i="2"/>
  <c r="AC173" i="2"/>
  <c r="BG172" i="2"/>
  <c r="BC172" i="2"/>
  <c r="AW172" i="2"/>
  <c r="AQ172" i="2"/>
  <c r="AH172" i="2"/>
  <c r="BH171" i="2"/>
  <c r="BD171" i="2"/>
  <c r="AX171" i="2"/>
  <c r="AS171" i="2"/>
  <c r="AN171" i="2"/>
  <c r="BJ170" i="2"/>
  <c r="BE170" i="2"/>
  <c r="AY170" i="2"/>
  <c r="AU170" i="2"/>
  <c r="BF169" i="2"/>
  <c r="AV169" i="2"/>
  <c r="AP169" i="2"/>
  <c r="AZ169" i="2" s="1"/>
  <c r="AG169" i="2"/>
  <c r="AC169" i="2"/>
  <c r="BG168" i="2"/>
  <c r="BC168" i="2"/>
  <c r="AW168" i="2"/>
  <c r="AQ168" i="2"/>
  <c r="AH168" i="2"/>
  <c r="BH167" i="2"/>
  <c r="BD167" i="2"/>
  <c r="AX167" i="2"/>
  <c r="AS167" i="2"/>
  <c r="AN167" i="2"/>
  <c r="BJ166" i="2"/>
  <c r="BE166" i="2"/>
  <c r="AY166" i="2"/>
  <c r="AU166" i="2"/>
  <c r="BF165" i="2"/>
  <c r="AV165" i="2"/>
  <c r="AP165" i="2"/>
  <c r="AZ165" i="2" s="1"/>
  <c r="AG165" i="2"/>
  <c r="AC165" i="2"/>
  <c r="BG164" i="2"/>
  <c r="BC164" i="2"/>
  <c r="AQ164" i="2"/>
  <c r="AH164" i="2"/>
  <c r="BH163" i="2"/>
  <c r="BD163" i="2"/>
  <c r="AX163" i="2"/>
  <c r="AS163" i="2"/>
  <c r="AN163" i="2"/>
  <c r="BJ162" i="2"/>
  <c r="BE162" i="2"/>
  <c r="AY162" i="2"/>
  <c r="AU162" i="2"/>
  <c r="BF161" i="2"/>
  <c r="AV161" i="2"/>
  <c r="AP161" i="2"/>
  <c r="AZ161" i="2" s="1"/>
  <c r="AG161" i="2"/>
  <c r="AC161" i="2"/>
  <c r="BG160" i="2"/>
  <c r="BC160" i="2"/>
  <c r="AW160" i="2"/>
  <c r="AQ160" i="2"/>
  <c r="AH160" i="2"/>
  <c r="BH159" i="2"/>
  <c r="BD159" i="2"/>
  <c r="AX159" i="2"/>
  <c r="AS159" i="2"/>
  <c r="AN159" i="2"/>
  <c r="BJ158" i="2"/>
  <c r="BE158" i="2"/>
  <c r="AY158" i="2"/>
  <c r="AU158" i="2"/>
  <c r="BF157" i="2"/>
  <c r="AV157" i="2"/>
  <c r="AP157" i="2"/>
  <c r="AZ157" i="2" s="1"/>
  <c r="AG157" i="2"/>
  <c r="AC157" i="2"/>
  <c r="BG156" i="2"/>
  <c r="BC156" i="2"/>
  <c r="AW156" i="2"/>
  <c r="AQ156" i="2"/>
  <c r="AH156" i="2"/>
  <c r="BH155" i="2"/>
  <c r="BD155" i="2"/>
  <c r="AX155" i="2"/>
  <c r="AS155" i="2"/>
  <c r="BJ154" i="2"/>
  <c r="BE154" i="2"/>
  <c r="AX154" i="2"/>
  <c r="AS154" i="2"/>
  <c r="BJ153" i="2"/>
  <c r="BE153" i="2"/>
  <c r="AY153" i="2"/>
  <c r="AU153" i="2"/>
  <c r="BF152" i="2"/>
  <c r="AV152" i="2"/>
  <c r="AP152" i="2"/>
  <c r="AZ152" i="2" s="1"/>
  <c r="AG152" i="2"/>
  <c r="AC152" i="2"/>
  <c r="BG151" i="2"/>
  <c r="BC151" i="2"/>
  <c r="AW151" i="2"/>
  <c r="AQ151" i="2"/>
  <c r="AH151" i="2"/>
  <c r="BH150" i="2"/>
  <c r="BD150" i="2"/>
  <c r="AX150" i="2"/>
  <c r="AS150" i="2"/>
  <c r="BJ149" i="2"/>
  <c r="BE149" i="2"/>
  <c r="AY149" i="2"/>
  <c r="AU149" i="2"/>
  <c r="BF148" i="2"/>
  <c r="AV148" i="2"/>
  <c r="AP148" i="2"/>
  <c r="AZ148" i="2" s="1"/>
  <c r="AG148" i="2"/>
  <c r="AC148" i="2"/>
  <c r="BG147" i="2"/>
  <c r="BC147" i="2"/>
  <c r="AW147" i="2"/>
  <c r="AQ147" i="2"/>
  <c r="AH147" i="2"/>
  <c r="BH146" i="2"/>
  <c r="BD146" i="2"/>
  <c r="AX146" i="2"/>
  <c r="AS146" i="2"/>
  <c r="AN146" i="2"/>
  <c r="BJ145" i="2"/>
  <c r="BE145" i="2"/>
  <c r="AY145" i="2"/>
  <c r="AU145" i="2"/>
  <c r="BF144" i="2"/>
  <c r="AV144" i="2"/>
  <c r="AP144" i="2"/>
  <c r="AZ144" i="2" s="1"/>
  <c r="AG144" i="2"/>
  <c r="AC144" i="2"/>
  <c r="BG143" i="2"/>
  <c r="BC143" i="2"/>
  <c r="AW143" i="2"/>
  <c r="AQ143" i="2"/>
  <c r="AH143" i="2"/>
  <c r="BH142" i="2"/>
  <c r="BD142" i="2"/>
  <c r="AX142" i="2"/>
  <c r="AS142" i="2"/>
  <c r="AN142" i="2"/>
  <c r="BJ141" i="2"/>
  <c r="BE141" i="2"/>
  <c r="AY141" i="2"/>
  <c r="AU141" i="2"/>
  <c r="BF140" i="2"/>
  <c r="AV140" i="2"/>
  <c r="AP140" i="2"/>
  <c r="AZ140" i="2" s="1"/>
  <c r="AG140" i="2"/>
  <c r="AC140" i="2"/>
  <c r="BG139" i="2"/>
  <c r="BC139" i="2"/>
  <c r="AW139" i="2"/>
  <c r="AQ139" i="2"/>
  <c r="AH139" i="2"/>
  <c r="BD138" i="2"/>
  <c r="AX138" i="2"/>
  <c r="AS138" i="2"/>
  <c r="BF137" i="2"/>
  <c r="AV137" i="2"/>
  <c r="AP137" i="2"/>
  <c r="AZ137" i="2" s="1"/>
  <c r="AG137" i="2"/>
  <c r="AC137" i="2"/>
  <c r="BG136" i="2"/>
  <c r="BC136" i="2"/>
  <c r="AW136" i="2"/>
  <c r="AQ136" i="2"/>
  <c r="AH136" i="2"/>
  <c r="BH135" i="2"/>
  <c r="BD135" i="2"/>
  <c r="AW135" i="2"/>
  <c r="AQ135" i="2"/>
  <c r="AH135" i="2"/>
  <c r="BH134" i="2"/>
  <c r="BD134" i="2"/>
  <c r="AX134" i="2"/>
  <c r="AS134" i="2"/>
  <c r="AN134" i="2"/>
  <c r="BJ133" i="2"/>
  <c r="BE133" i="2"/>
  <c r="AY133" i="2"/>
  <c r="AU133" i="2"/>
  <c r="BF132" i="2"/>
  <c r="AV132" i="2"/>
  <c r="AP132" i="2"/>
  <c r="AZ132" i="2" s="1"/>
  <c r="AG132" i="2"/>
  <c r="AC132" i="2"/>
  <c r="BG131" i="2"/>
  <c r="BC131" i="2"/>
  <c r="AW131" i="2"/>
  <c r="AQ131" i="2"/>
  <c r="AH131" i="2"/>
  <c r="BH130" i="2"/>
  <c r="BD130" i="2"/>
  <c r="AX130" i="2"/>
  <c r="AS130" i="2"/>
  <c r="BJ129" i="2"/>
  <c r="BE129" i="2"/>
  <c r="AQ185" i="2"/>
  <c r="AG185" i="2"/>
  <c r="BH184" i="2"/>
  <c r="BC184" i="2"/>
  <c r="AW184" i="2"/>
  <c r="BH183" i="2"/>
  <c r="AU183" i="2"/>
  <c r="AN183" i="2"/>
  <c r="BH182" i="2"/>
  <c r="BD182" i="2"/>
  <c r="AX182" i="2"/>
  <c r="AS182" i="2"/>
  <c r="BJ181" i="2"/>
  <c r="BE181" i="2"/>
  <c r="AY181" i="2"/>
  <c r="AU181" i="2"/>
  <c r="BF180" i="2"/>
  <c r="AV180" i="2"/>
  <c r="AP180" i="2"/>
  <c r="AZ180" i="2" s="1"/>
  <c r="AG180" i="2"/>
  <c r="AC180" i="2"/>
  <c r="BG179" i="2"/>
  <c r="BC179" i="2"/>
  <c r="AW179" i="2"/>
  <c r="AQ179" i="2"/>
  <c r="AH179" i="2"/>
  <c r="BH178" i="2"/>
  <c r="BD178" i="2"/>
  <c r="AX178" i="2"/>
  <c r="AS178" i="2"/>
  <c r="AN178" i="2"/>
  <c r="BJ177" i="2"/>
  <c r="BE177" i="2"/>
  <c r="AY177" i="2"/>
  <c r="AU177" i="2"/>
  <c r="BF176" i="2"/>
  <c r="AV176" i="2"/>
  <c r="AP176" i="2"/>
  <c r="AZ176" i="2" s="1"/>
  <c r="AG176" i="2"/>
  <c r="AC176" i="2"/>
  <c r="BG175" i="2"/>
  <c r="BC175" i="2"/>
  <c r="AW175" i="2"/>
  <c r="AQ175" i="2"/>
  <c r="AH175" i="2"/>
  <c r="BH174" i="2"/>
  <c r="BD174" i="2"/>
  <c r="AX174" i="2"/>
  <c r="AS174" i="2"/>
  <c r="BJ173" i="2"/>
  <c r="BE173" i="2"/>
  <c r="AY173" i="2"/>
  <c r="AU173" i="2"/>
  <c r="BF172" i="2"/>
  <c r="AV172" i="2"/>
  <c r="AP172" i="2"/>
  <c r="AZ172" i="2" s="1"/>
  <c r="AG172" i="2"/>
  <c r="AC172" i="2"/>
  <c r="BG171" i="2"/>
  <c r="BC171" i="2"/>
  <c r="AW171" i="2"/>
  <c r="AQ171" i="2"/>
  <c r="AH171" i="2"/>
  <c r="BH170" i="2"/>
  <c r="BD170" i="2"/>
  <c r="AX170" i="2"/>
  <c r="AS170" i="2"/>
  <c r="AN170" i="2"/>
  <c r="BJ169" i="2"/>
  <c r="BE169" i="2"/>
  <c r="AY169" i="2"/>
  <c r="AU169" i="2"/>
  <c r="BF168" i="2"/>
  <c r="AV168" i="2"/>
  <c r="AP168" i="2"/>
  <c r="AZ168" i="2" s="1"/>
  <c r="AG168" i="2"/>
  <c r="AC168" i="2"/>
  <c r="BG167" i="2"/>
  <c r="BC167" i="2"/>
  <c r="AW167" i="2"/>
  <c r="AQ167" i="2"/>
  <c r="AH167" i="2"/>
  <c r="BH166" i="2"/>
  <c r="BD166" i="2"/>
  <c r="AX166" i="2"/>
  <c r="AS166" i="2"/>
  <c r="AN166" i="2"/>
  <c r="BJ165" i="2"/>
  <c r="BE165" i="2"/>
  <c r="AY165" i="2"/>
  <c r="AU165" i="2"/>
  <c r="BF164" i="2"/>
  <c r="AP164" i="2"/>
  <c r="AZ164" i="2" s="1"/>
  <c r="AG164" i="2"/>
  <c r="AC164" i="2"/>
  <c r="BG163" i="2"/>
  <c r="BC163" i="2"/>
  <c r="AW163" i="2"/>
  <c r="AQ163" i="2"/>
  <c r="AH163" i="2"/>
  <c r="BH162" i="2"/>
  <c r="BD162" i="2"/>
  <c r="AX162" i="2"/>
  <c r="AS162" i="2"/>
  <c r="BJ161" i="2"/>
  <c r="BE161" i="2"/>
  <c r="AY161" i="2"/>
  <c r="AU161" i="2"/>
  <c r="BF160" i="2"/>
  <c r="AV160" i="2"/>
  <c r="AP160" i="2"/>
  <c r="AZ160" i="2" s="1"/>
  <c r="AG160" i="2"/>
  <c r="AC160" i="2"/>
  <c r="BG159" i="2"/>
  <c r="BC159" i="2"/>
  <c r="AW159" i="2"/>
  <c r="AQ159" i="2"/>
  <c r="AH159" i="2"/>
  <c r="BH158" i="2"/>
  <c r="BD158" i="2"/>
  <c r="AX158" i="2"/>
  <c r="AS158" i="2"/>
  <c r="AN158" i="2"/>
  <c r="BJ157" i="2"/>
  <c r="BE157" i="2"/>
  <c r="AY157" i="2"/>
  <c r="AU157" i="2"/>
  <c r="BF156" i="2"/>
  <c r="AV156" i="2"/>
  <c r="AP156" i="2"/>
  <c r="AZ156" i="2" s="1"/>
  <c r="AG156" i="2"/>
  <c r="AC156" i="2"/>
  <c r="BG155" i="2"/>
  <c r="BC155" i="2"/>
  <c r="AW155" i="2"/>
  <c r="AQ155" i="2"/>
  <c r="AH155" i="2"/>
  <c r="BH154" i="2"/>
  <c r="BD154" i="2"/>
  <c r="AW154" i="2"/>
  <c r="AQ154" i="2"/>
  <c r="AH154" i="2"/>
  <c r="BH153" i="2"/>
  <c r="BD153" i="2"/>
  <c r="AX153" i="2"/>
  <c r="AS153" i="2"/>
  <c r="AN153" i="2"/>
  <c r="BJ152" i="2"/>
  <c r="BE152" i="2"/>
  <c r="AY152" i="2"/>
  <c r="AU152" i="2"/>
  <c r="BF151" i="2"/>
  <c r="AV151" i="2"/>
  <c r="AP151" i="2"/>
  <c r="AZ151" i="2" s="1"/>
  <c r="AG151" i="2"/>
  <c r="AC151" i="2"/>
  <c r="BG150" i="2"/>
  <c r="BC150" i="2"/>
  <c r="AW150" i="2"/>
  <c r="AQ150" i="2"/>
  <c r="AH150" i="2"/>
  <c r="BH149" i="2"/>
  <c r="BD149" i="2"/>
  <c r="AX149" i="2"/>
  <c r="AS149" i="2"/>
  <c r="BJ148" i="2"/>
  <c r="BE148" i="2"/>
  <c r="AY148" i="2"/>
  <c r="AU148" i="2"/>
  <c r="BF147" i="2"/>
  <c r="AV147" i="2"/>
  <c r="AP147" i="2"/>
  <c r="AZ147" i="2" s="1"/>
  <c r="AG147" i="2"/>
  <c r="AC147" i="2"/>
  <c r="BG146" i="2"/>
  <c r="BC146" i="2"/>
  <c r="AW146" i="2"/>
  <c r="AQ146" i="2"/>
  <c r="AH146" i="2"/>
  <c r="BH145" i="2"/>
  <c r="BD145" i="2"/>
  <c r="AX145" i="2"/>
  <c r="AS145" i="2"/>
  <c r="BJ144" i="2"/>
  <c r="BE144" i="2"/>
  <c r="AY144" i="2"/>
  <c r="AU144" i="2"/>
  <c r="BF143" i="2"/>
  <c r="AV143" i="2"/>
  <c r="AP143" i="2"/>
  <c r="AZ143" i="2" s="1"/>
  <c r="AG143" i="2"/>
  <c r="AC143" i="2"/>
  <c r="BG142" i="2"/>
  <c r="BC142" i="2"/>
  <c r="AW142" i="2"/>
  <c r="AQ142" i="2"/>
  <c r="AH142" i="2"/>
  <c r="BH141" i="2"/>
  <c r="BD141" i="2"/>
  <c r="AX141" i="2"/>
  <c r="AS141" i="2"/>
  <c r="AN141" i="2"/>
  <c r="BJ140" i="2"/>
  <c r="BE140" i="2"/>
  <c r="AY140" i="2"/>
  <c r="AU140" i="2"/>
  <c r="BF139" i="2"/>
  <c r="AV139" i="2"/>
  <c r="AP139" i="2"/>
  <c r="AZ139" i="2" s="1"/>
  <c r="AG139" i="2"/>
  <c r="AC139" i="2"/>
  <c r="BC138" i="2"/>
  <c r="AW138" i="2"/>
  <c r="AQ138" i="2"/>
  <c r="BJ137" i="2"/>
  <c r="BE137" i="2"/>
  <c r="AY137" i="2"/>
  <c r="AU137" i="2"/>
  <c r="BF136" i="2"/>
  <c r="AV136" i="2"/>
  <c r="AP136" i="2"/>
  <c r="AZ136" i="2" s="1"/>
  <c r="AG136" i="2"/>
  <c r="AC136" i="2"/>
  <c r="BG135" i="2"/>
  <c r="BC135" i="2"/>
  <c r="AV135" i="2"/>
  <c r="AP135" i="2"/>
  <c r="AZ135" i="2" s="1"/>
  <c r="AG135" i="2"/>
  <c r="AC135" i="2"/>
  <c r="BG134" i="2"/>
  <c r="BC134" i="2"/>
  <c r="AW134" i="2"/>
  <c r="AQ134" i="2"/>
  <c r="AH134" i="2"/>
  <c r="BH133" i="2"/>
  <c r="BD133" i="2"/>
  <c r="AX133" i="2"/>
  <c r="AS133" i="2"/>
  <c r="BJ132" i="2"/>
  <c r="BE132" i="2"/>
  <c r="AY132" i="2"/>
  <c r="AU132" i="2"/>
  <c r="AV131" i="2"/>
  <c r="AP131" i="2"/>
  <c r="AZ131" i="2" s="1"/>
  <c r="AG131" i="2"/>
  <c r="AC131" i="2"/>
  <c r="BG130" i="2"/>
  <c r="BC130" i="2"/>
  <c r="AW130" i="2"/>
  <c r="AQ130" i="2"/>
  <c r="AH130" i="2"/>
  <c r="BH129" i="2"/>
  <c r="BD129" i="2"/>
  <c r="AX129" i="2"/>
  <c r="AS129" i="2"/>
  <c r="AN129" i="2"/>
  <c r="BJ128" i="2"/>
  <c r="BE128" i="2"/>
  <c r="AY128" i="2"/>
  <c r="AU128" i="2"/>
  <c r="AP185" i="2"/>
  <c r="AZ185" i="2" s="1"/>
  <c r="BG184" i="2"/>
  <c r="AU184" i="2"/>
  <c r="BF183" i="2"/>
  <c r="AY183" i="2"/>
  <c r="AS183" i="2"/>
  <c r="AG183" i="2"/>
  <c r="AC183" i="2"/>
  <c r="BG182" i="2"/>
  <c r="BC182" i="2"/>
  <c r="AW182" i="2"/>
  <c r="AQ182" i="2"/>
  <c r="AH182" i="2"/>
  <c r="BH181" i="2"/>
  <c r="BD181" i="2"/>
  <c r="AX181" i="2"/>
  <c r="AS181" i="2"/>
  <c r="AN181" i="2"/>
  <c r="BJ180" i="2"/>
  <c r="BE180" i="2"/>
  <c r="AY180" i="2"/>
  <c r="AU180" i="2"/>
  <c r="BF179" i="2"/>
  <c r="AV179" i="2"/>
  <c r="AP179" i="2"/>
  <c r="AZ179" i="2" s="1"/>
  <c r="AG179" i="2"/>
  <c r="AC179" i="2"/>
  <c r="BG178" i="2"/>
  <c r="BC178" i="2"/>
  <c r="AW178" i="2"/>
  <c r="AQ178" i="2"/>
  <c r="AH178" i="2"/>
  <c r="BH177" i="2"/>
  <c r="BD177" i="2"/>
  <c r="AX177" i="2"/>
  <c r="AS177" i="2"/>
  <c r="AN177" i="2"/>
  <c r="BJ176" i="2"/>
  <c r="BE176" i="2"/>
  <c r="AY176" i="2"/>
  <c r="AU176" i="2"/>
  <c r="BF175" i="2"/>
  <c r="AV175" i="2"/>
  <c r="AP175" i="2"/>
  <c r="AZ175" i="2" s="1"/>
  <c r="AG175" i="2"/>
  <c r="AC175" i="2"/>
  <c r="BG174" i="2"/>
  <c r="BC174" i="2"/>
  <c r="AW174" i="2"/>
  <c r="AQ174" i="2"/>
  <c r="AH174" i="2"/>
  <c r="BH173" i="2"/>
  <c r="BD173" i="2"/>
  <c r="AX173" i="2"/>
  <c r="AS173" i="2"/>
  <c r="AN173" i="2"/>
  <c r="BJ172" i="2"/>
  <c r="BE172" i="2"/>
  <c r="AY172" i="2"/>
  <c r="AU172" i="2"/>
  <c r="BF171" i="2"/>
  <c r="AV171" i="2"/>
  <c r="AP171" i="2"/>
  <c r="AZ171" i="2" s="1"/>
  <c r="AG171" i="2"/>
  <c r="AC171" i="2"/>
  <c r="BG170" i="2"/>
  <c r="BC170" i="2"/>
  <c r="AW170" i="2"/>
  <c r="AQ170" i="2"/>
  <c r="AH170" i="2"/>
  <c r="BH169" i="2"/>
  <c r="BD169" i="2"/>
  <c r="AX169" i="2"/>
  <c r="AS169" i="2"/>
  <c r="BJ168" i="2"/>
  <c r="BE168" i="2"/>
  <c r="AY168" i="2"/>
  <c r="AU168" i="2"/>
  <c r="BF167" i="2"/>
  <c r="AV167" i="2"/>
  <c r="AP167" i="2"/>
  <c r="AZ167" i="2" s="1"/>
  <c r="AG167" i="2"/>
  <c r="AC167" i="2"/>
  <c r="BG166" i="2"/>
  <c r="BC166" i="2"/>
  <c r="AW166" i="2"/>
  <c r="AQ166" i="2"/>
  <c r="AH166" i="2"/>
  <c r="BH165" i="2"/>
  <c r="BD165" i="2"/>
  <c r="AX165" i="2"/>
  <c r="AS165" i="2"/>
  <c r="BJ164" i="2"/>
  <c r="BE164" i="2"/>
  <c r="AY164" i="2"/>
  <c r="BF163" i="2"/>
  <c r="AV163" i="2"/>
  <c r="AP163" i="2"/>
  <c r="AZ163" i="2" s="1"/>
  <c r="AG163" i="2"/>
  <c r="AC163" i="2"/>
  <c r="BG162" i="2"/>
  <c r="BC162" i="2"/>
  <c r="AW162" i="2"/>
  <c r="AQ162" i="2"/>
  <c r="AH162" i="2"/>
  <c r="BH161" i="2"/>
  <c r="BD161" i="2"/>
  <c r="AX161" i="2"/>
  <c r="AS161" i="2"/>
  <c r="AN161" i="2"/>
  <c r="BJ160" i="2"/>
  <c r="BE160" i="2"/>
  <c r="AY160" i="2"/>
  <c r="AU160" i="2"/>
  <c r="BF159" i="2"/>
  <c r="AV159" i="2"/>
  <c r="AP159" i="2"/>
  <c r="AZ159" i="2" s="1"/>
  <c r="AG159" i="2"/>
  <c r="AC159" i="2"/>
  <c r="BG158" i="2"/>
  <c r="BC158" i="2"/>
  <c r="AW158" i="2"/>
  <c r="AQ158" i="2"/>
  <c r="AH158" i="2"/>
  <c r="BH157" i="2"/>
  <c r="BD157" i="2"/>
  <c r="AX157" i="2"/>
  <c r="AS157" i="2"/>
  <c r="BJ156" i="2"/>
  <c r="BE156" i="2"/>
  <c r="AY156" i="2"/>
  <c r="AU156" i="2"/>
  <c r="AV155" i="2"/>
  <c r="AP155" i="2"/>
  <c r="AZ155" i="2" s="1"/>
  <c r="AG155" i="2"/>
  <c r="AC155" i="2"/>
  <c r="BG154" i="2"/>
  <c r="BC154" i="2"/>
  <c r="AV154" i="2"/>
  <c r="AP154" i="2"/>
  <c r="AZ154" i="2" s="1"/>
  <c r="AG154" i="2"/>
  <c r="AC154" i="2"/>
  <c r="BG153" i="2"/>
  <c r="BC153" i="2"/>
  <c r="AW153" i="2"/>
  <c r="AQ153" i="2"/>
  <c r="AH153" i="2"/>
  <c r="BH152" i="2"/>
  <c r="BD152" i="2"/>
  <c r="AX152" i="2"/>
  <c r="AS152" i="2"/>
  <c r="AN152" i="2"/>
  <c r="BJ151" i="2"/>
  <c r="BE151" i="2"/>
  <c r="AY151" i="2"/>
  <c r="AU151" i="2"/>
  <c r="BF150" i="2"/>
  <c r="AV150" i="2"/>
  <c r="AP150" i="2"/>
  <c r="AZ150" i="2" s="1"/>
  <c r="AG150" i="2"/>
  <c r="AC150" i="2"/>
  <c r="BG149" i="2"/>
  <c r="BC149" i="2"/>
  <c r="AW149" i="2"/>
  <c r="AQ149" i="2"/>
  <c r="AH149" i="2"/>
  <c r="BH148" i="2"/>
  <c r="BD148" i="2"/>
  <c r="AX148" i="2"/>
  <c r="AS148" i="2"/>
  <c r="AN148" i="2"/>
  <c r="BJ147" i="2"/>
  <c r="BE147" i="2"/>
  <c r="AY147" i="2"/>
  <c r="AU147" i="2"/>
  <c r="BF146" i="2"/>
  <c r="AV146" i="2"/>
  <c r="AP146" i="2"/>
  <c r="AZ146" i="2" s="1"/>
  <c r="AG146" i="2"/>
  <c r="AC146" i="2"/>
  <c r="BG145" i="2"/>
  <c r="BC145" i="2"/>
  <c r="AW145" i="2"/>
  <c r="AQ145" i="2"/>
  <c r="AH145" i="2"/>
  <c r="BH144" i="2"/>
  <c r="BD144" i="2"/>
  <c r="AX144" i="2"/>
  <c r="AS144" i="2"/>
  <c r="AN144" i="2"/>
  <c r="BJ143" i="2"/>
  <c r="BE143" i="2"/>
  <c r="AY143" i="2"/>
  <c r="AU143" i="2"/>
  <c r="BF142" i="2"/>
  <c r="AV142" i="2"/>
  <c r="AP142" i="2"/>
  <c r="AZ142" i="2" s="1"/>
  <c r="AG142" i="2"/>
  <c r="AC142" i="2"/>
  <c r="BG141" i="2"/>
  <c r="BC141" i="2"/>
  <c r="AW141" i="2"/>
  <c r="AQ141" i="2"/>
  <c r="AH141" i="2"/>
  <c r="BH140" i="2"/>
  <c r="BD140" i="2"/>
  <c r="AX140" i="2"/>
  <c r="AS140" i="2"/>
  <c r="BJ139" i="2"/>
  <c r="BE139" i="2"/>
  <c r="AY139" i="2"/>
  <c r="AU139" i="2"/>
  <c r="AV138" i="2"/>
  <c r="AP138" i="2"/>
  <c r="AZ138" i="2" s="1"/>
  <c r="AG138" i="2"/>
  <c r="AC138" i="2"/>
  <c r="BH137" i="2"/>
  <c r="BD137" i="2"/>
  <c r="AX137" i="2"/>
  <c r="AS137" i="2"/>
  <c r="AN137" i="2"/>
  <c r="BJ136" i="2"/>
  <c r="BE136" i="2"/>
  <c r="AY136" i="2"/>
  <c r="AU136" i="2"/>
  <c r="BF135" i="2"/>
  <c r="AY135" i="2"/>
  <c r="AU135" i="2"/>
  <c r="BF134" i="2"/>
  <c r="AV134" i="2"/>
  <c r="AP134" i="2"/>
  <c r="AZ134" i="2" s="1"/>
  <c r="AG134" i="2"/>
  <c r="AC134" i="2"/>
  <c r="BG133" i="2"/>
  <c r="BC133" i="2"/>
  <c r="AW133" i="2"/>
  <c r="AQ133" i="2"/>
  <c r="AH133" i="2"/>
  <c r="BH132" i="2"/>
  <c r="BD132" i="2"/>
  <c r="AX132" i="2"/>
  <c r="AS132" i="2"/>
  <c r="BJ131" i="2"/>
  <c r="AY131" i="2"/>
  <c r="AU131" i="2"/>
  <c r="BF130" i="2"/>
  <c r="AV130" i="2"/>
  <c r="AP130" i="2"/>
  <c r="AZ130" i="2" s="1"/>
  <c r="AG130" i="2"/>
  <c r="AC130" i="2"/>
  <c r="BG129" i="2"/>
  <c r="BC129" i="2"/>
  <c r="AW129" i="2"/>
  <c r="AQ129" i="2"/>
  <c r="AH129" i="2"/>
  <c r="BH128" i="2"/>
  <c r="BD128" i="2"/>
  <c r="AY129" i="2"/>
  <c r="AV128" i="2"/>
  <c r="AC128" i="2"/>
  <c r="BF127" i="2"/>
  <c r="AY127" i="2"/>
  <c r="AQ127" i="2"/>
  <c r="AG127" i="2"/>
  <c r="BD126" i="2"/>
  <c r="AV126" i="2"/>
  <c r="BG125" i="2"/>
  <c r="BC125" i="2"/>
  <c r="AQ125" i="2"/>
  <c r="AH125" i="2"/>
  <c r="BH124" i="2"/>
  <c r="BD124" i="2"/>
  <c r="AW124" i="2"/>
  <c r="AQ124" i="2"/>
  <c r="AH124" i="2"/>
  <c r="BH123" i="2"/>
  <c r="BD123" i="2"/>
  <c r="AX123" i="2"/>
  <c r="AS123" i="2"/>
  <c r="BJ122" i="2"/>
  <c r="BE122" i="2"/>
  <c r="AY122" i="2"/>
  <c r="AU122" i="2"/>
  <c r="BG121" i="2"/>
  <c r="BC121" i="2"/>
  <c r="AV121" i="2"/>
  <c r="AP121" i="2"/>
  <c r="AZ121" i="2" s="1"/>
  <c r="AG121" i="2"/>
  <c r="AC121" i="2"/>
  <c r="BG120" i="2"/>
  <c r="BC120" i="2"/>
  <c r="AW120" i="2"/>
  <c r="AQ120" i="2"/>
  <c r="AH120" i="2"/>
  <c r="BH119" i="2"/>
  <c r="BD119" i="2"/>
  <c r="AX119" i="2"/>
  <c r="AS119" i="2"/>
  <c r="AN119" i="2"/>
  <c r="BJ118" i="2"/>
  <c r="BE118" i="2"/>
  <c r="AY118" i="2"/>
  <c r="AU118" i="2"/>
  <c r="BF117" i="2"/>
  <c r="AY117" i="2"/>
  <c r="AU117" i="2"/>
  <c r="BF116" i="2"/>
  <c r="AV116" i="2"/>
  <c r="AP116" i="2"/>
  <c r="AZ116" i="2" s="1"/>
  <c r="AG116" i="2"/>
  <c r="AC116" i="2"/>
  <c r="BG115" i="2"/>
  <c r="BC115" i="2"/>
  <c r="AW115" i="2"/>
  <c r="AQ115" i="2"/>
  <c r="AH115" i="2"/>
  <c r="BH114" i="2"/>
  <c r="BD114" i="2"/>
  <c r="AW114" i="2"/>
  <c r="AQ114" i="2"/>
  <c r="AH114" i="2"/>
  <c r="BH113" i="2"/>
  <c r="BD113" i="2"/>
  <c r="AW113" i="2"/>
  <c r="AQ113" i="2"/>
  <c r="AH113" i="2"/>
  <c r="BH112" i="2"/>
  <c r="BD112" i="2"/>
  <c r="AX112" i="2"/>
  <c r="AS112" i="2"/>
  <c r="AN112" i="2"/>
  <c r="BJ111" i="2"/>
  <c r="BE111" i="2"/>
  <c r="AY111" i="2"/>
  <c r="AU111" i="2"/>
  <c r="BF110" i="2"/>
  <c r="AV110" i="2"/>
  <c r="AP110" i="2"/>
  <c r="AZ110" i="2" s="1"/>
  <c r="AG110" i="2"/>
  <c r="AC110" i="2"/>
  <c r="BG109" i="2"/>
  <c r="BC109" i="2"/>
  <c r="AW109" i="2"/>
  <c r="AQ109" i="2"/>
  <c r="AH109" i="2"/>
  <c r="BH108" i="2"/>
  <c r="BD108" i="2"/>
  <c r="AX108" i="2"/>
  <c r="AS108" i="2"/>
  <c r="BJ107" i="2"/>
  <c r="BE107" i="2"/>
  <c r="AY107" i="2"/>
  <c r="AU107" i="2"/>
  <c r="BF106" i="2"/>
  <c r="AV106" i="2"/>
  <c r="AP106" i="2"/>
  <c r="AZ106" i="2" s="1"/>
  <c r="AG106" i="2"/>
  <c r="AC106" i="2"/>
  <c r="BG105" i="2"/>
  <c r="BC105" i="2"/>
  <c r="AW105" i="2"/>
  <c r="AQ105" i="2"/>
  <c r="AH105" i="2"/>
  <c r="BH104" i="2"/>
  <c r="BD104" i="2"/>
  <c r="AX104" i="2"/>
  <c r="AS104" i="2"/>
  <c r="BJ103" i="2"/>
  <c r="BE103" i="2"/>
  <c r="AY103" i="2"/>
  <c r="AU103" i="2"/>
  <c r="BG102" i="2"/>
  <c r="BC102" i="2"/>
  <c r="AW102" i="2"/>
  <c r="AQ102" i="2"/>
  <c r="AH102" i="2"/>
  <c r="BH101" i="2"/>
  <c r="BD101" i="2"/>
  <c r="AX101" i="2"/>
  <c r="AS101" i="2"/>
  <c r="AN101" i="2"/>
  <c r="BJ100" i="2"/>
  <c r="BE100" i="2"/>
  <c r="AY100" i="2"/>
  <c r="AU100" i="2"/>
  <c r="BF99" i="2"/>
  <c r="AV99" i="2"/>
  <c r="AP99" i="2"/>
  <c r="AZ99" i="2" s="1"/>
  <c r="AG99" i="2"/>
  <c r="AC99" i="2"/>
  <c r="BG98" i="2"/>
  <c r="BC98" i="2"/>
  <c r="AW98" i="2"/>
  <c r="AQ98" i="2"/>
  <c r="AH98" i="2"/>
  <c r="BH97" i="2"/>
  <c r="BD97" i="2"/>
  <c r="AX97" i="2"/>
  <c r="AS97" i="2"/>
  <c r="AN97" i="2"/>
  <c r="BJ96" i="2"/>
  <c r="BE96" i="2"/>
  <c r="AY96" i="2"/>
  <c r="AU96" i="2"/>
  <c r="BF95" i="2"/>
  <c r="AV95" i="2"/>
  <c r="AP95" i="2"/>
  <c r="AZ95" i="2" s="1"/>
  <c r="AG95" i="2"/>
  <c r="AC95" i="2"/>
  <c r="BG94" i="2"/>
  <c r="BC94" i="2"/>
  <c r="AW94" i="2"/>
  <c r="AQ94" i="2"/>
  <c r="AH94" i="2"/>
  <c r="BH93" i="2"/>
  <c r="BD93" i="2"/>
  <c r="AX93" i="2"/>
  <c r="AS93" i="2"/>
  <c r="AN93" i="2"/>
  <c r="BJ92" i="2"/>
  <c r="BE92" i="2"/>
  <c r="AY92" i="2"/>
  <c r="AU92" i="2"/>
  <c r="BF91" i="2"/>
  <c r="AV91" i="2"/>
  <c r="AP91" i="2"/>
  <c r="AZ91" i="2" s="1"/>
  <c r="AG91" i="2"/>
  <c r="AC91" i="2"/>
  <c r="BG90" i="2"/>
  <c r="BC90" i="2"/>
  <c r="AW90" i="2"/>
  <c r="AQ90" i="2"/>
  <c r="AH90" i="2"/>
  <c r="BH89" i="2"/>
  <c r="BD89" i="2"/>
  <c r="AX89" i="2"/>
  <c r="AS89" i="2"/>
  <c r="AN89" i="2"/>
  <c r="BJ88" i="2"/>
  <c r="BE88" i="2"/>
  <c r="AY88" i="2"/>
  <c r="AU88" i="2"/>
  <c r="BF87" i="2"/>
  <c r="AV87" i="2"/>
  <c r="AP87" i="2"/>
  <c r="AZ87" i="2" s="1"/>
  <c r="AG87" i="2"/>
  <c r="AC87" i="2"/>
  <c r="BG86" i="2"/>
  <c r="BC86" i="2"/>
  <c r="AV86" i="2"/>
  <c r="AP86" i="2"/>
  <c r="AZ86" i="2" s="1"/>
  <c r="AG86" i="2"/>
  <c r="AC86" i="2"/>
  <c r="BG85" i="2"/>
  <c r="BC85" i="2"/>
  <c r="AV85" i="2"/>
  <c r="AP85" i="2"/>
  <c r="AZ85" i="2" s="1"/>
  <c r="AG85" i="2"/>
  <c r="AC85" i="2"/>
  <c r="BG84" i="2"/>
  <c r="BC84" i="2"/>
  <c r="AW84" i="2"/>
  <c r="AQ84" i="2"/>
  <c r="AH84" i="2"/>
  <c r="BH83" i="2"/>
  <c r="BD83" i="2"/>
  <c r="AX83" i="2"/>
  <c r="AS83" i="2"/>
  <c r="BJ82" i="2"/>
  <c r="BE82" i="2"/>
  <c r="AY82" i="2"/>
  <c r="AU82" i="2"/>
  <c r="BF81" i="2"/>
  <c r="AV81" i="2"/>
  <c r="AP81" i="2"/>
  <c r="AZ81" i="2" s="1"/>
  <c r="AG81" i="2"/>
  <c r="AC81" i="2"/>
  <c r="BG80" i="2"/>
  <c r="BC80" i="2"/>
  <c r="AW80" i="2"/>
  <c r="AQ80" i="2"/>
  <c r="AH80" i="2"/>
  <c r="BH78" i="2"/>
  <c r="BD78" i="2"/>
  <c r="AX78" i="2"/>
  <c r="AS78" i="2"/>
  <c r="BJ77" i="2"/>
  <c r="BE77" i="2"/>
  <c r="AY77" i="2"/>
  <c r="AU77" i="2"/>
  <c r="BF76" i="2"/>
  <c r="AV76" i="2"/>
  <c r="AP76" i="2"/>
  <c r="AZ76" i="2" s="1"/>
  <c r="AG76" i="2"/>
  <c r="AC76" i="2"/>
  <c r="BG75" i="2"/>
  <c r="BC75" i="2"/>
  <c r="AW75" i="2"/>
  <c r="AQ75" i="2"/>
  <c r="AH75" i="2"/>
  <c r="BH74" i="2"/>
  <c r="BD74" i="2"/>
  <c r="AX74" i="2"/>
  <c r="AS74" i="2"/>
  <c r="AN74" i="2"/>
  <c r="BJ73" i="2"/>
  <c r="BE73" i="2"/>
  <c r="AY73" i="2"/>
  <c r="AU73" i="2"/>
  <c r="BF72" i="2"/>
  <c r="AV72" i="2"/>
  <c r="AP72" i="2"/>
  <c r="AZ72" i="2" s="1"/>
  <c r="AG72" i="2"/>
  <c r="AC72" i="2"/>
  <c r="BG71" i="2"/>
  <c r="BC71" i="2"/>
  <c r="AW71" i="2"/>
  <c r="AQ71" i="2"/>
  <c r="AH71" i="2"/>
  <c r="BH70" i="2"/>
  <c r="BD70" i="2"/>
  <c r="AX70" i="2"/>
  <c r="AS70" i="2"/>
  <c r="AN70" i="2"/>
  <c r="BJ69" i="2"/>
  <c r="BE69" i="2"/>
  <c r="AY69" i="2"/>
  <c r="AU69" i="2"/>
  <c r="BG68" i="2"/>
  <c r="BC68" i="2"/>
  <c r="AW68" i="2"/>
  <c r="AQ68" i="2"/>
  <c r="AH68" i="2"/>
  <c r="AU129" i="2"/>
  <c r="BF128" i="2"/>
  <c r="AS128" i="2"/>
  <c r="AG128" i="2"/>
  <c r="BE127" i="2"/>
  <c r="AW127" i="2"/>
  <c r="AP127" i="2"/>
  <c r="AZ127" i="2" s="1"/>
  <c r="BH126" i="2"/>
  <c r="BC126" i="2"/>
  <c r="AU126" i="2"/>
  <c r="AH126" i="2"/>
  <c r="AC126" i="2"/>
  <c r="BF125" i="2"/>
  <c r="AP125" i="2"/>
  <c r="AZ125" i="2" s="1"/>
  <c r="AG125" i="2"/>
  <c r="AC125" i="2"/>
  <c r="BG124" i="2"/>
  <c r="BC124" i="2"/>
  <c r="AV124" i="2"/>
  <c r="AP124" i="2"/>
  <c r="AZ124" i="2" s="1"/>
  <c r="AG124" i="2"/>
  <c r="AC124" i="2"/>
  <c r="BG123" i="2"/>
  <c r="BC123" i="2"/>
  <c r="AW123" i="2"/>
  <c r="AQ123" i="2"/>
  <c r="BH122" i="2"/>
  <c r="BD122" i="2"/>
  <c r="AX122" i="2"/>
  <c r="AS122" i="2"/>
  <c r="BF121" i="2"/>
  <c r="AY121" i="2"/>
  <c r="AU121" i="2"/>
  <c r="BF120" i="2"/>
  <c r="AV120" i="2"/>
  <c r="AP120" i="2"/>
  <c r="AZ120" i="2" s="1"/>
  <c r="AG120" i="2"/>
  <c r="AC120" i="2"/>
  <c r="BG119" i="2"/>
  <c r="BC119" i="2"/>
  <c r="AW119" i="2"/>
  <c r="AQ119" i="2"/>
  <c r="AH119" i="2"/>
  <c r="BH118" i="2"/>
  <c r="BD118" i="2"/>
  <c r="AX118" i="2"/>
  <c r="AS118" i="2"/>
  <c r="BE117" i="2"/>
  <c r="AX117" i="2"/>
  <c r="AS117" i="2"/>
  <c r="BJ116" i="2"/>
  <c r="BE116" i="2"/>
  <c r="AY116" i="2"/>
  <c r="AU116" i="2"/>
  <c r="BF115" i="2"/>
  <c r="AV115" i="2"/>
  <c r="AP115" i="2"/>
  <c r="AZ115" i="2" s="1"/>
  <c r="AG115" i="2"/>
  <c r="AC115" i="2"/>
  <c r="BG114" i="2"/>
  <c r="BC114" i="2"/>
  <c r="AV114" i="2"/>
  <c r="AP114" i="2"/>
  <c r="AZ114" i="2" s="1"/>
  <c r="AG114" i="2"/>
  <c r="AC114" i="2"/>
  <c r="BG113" i="2"/>
  <c r="BC113" i="2"/>
  <c r="AV113" i="2"/>
  <c r="AP113" i="2"/>
  <c r="AZ113" i="2" s="1"/>
  <c r="AG113" i="2"/>
  <c r="AC113" i="2"/>
  <c r="BG112" i="2"/>
  <c r="BC112" i="2"/>
  <c r="AW112" i="2"/>
  <c r="AQ112" i="2"/>
  <c r="AH112" i="2"/>
  <c r="BH111" i="2"/>
  <c r="BD111" i="2"/>
  <c r="AX111" i="2"/>
  <c r="AS111" i="2"/>
  <c r="BJ110" i="2"/>
  <c r="BE110" i="2"/>
  <c r="AY110" i="2"/>
  <c r="AU110" i="2"/>
  <c r="BF109" i="2"/>
  <c r="AV109" i="2"/>
  <c r="AP109" i="2"/>
  <c r="AZ109" i="2" s="1"/>
  <c r="AG109" i="2"/>
  <c r="AC109" i="2"/>
  <c r="BG108" i="2"/>
  <c r="BC108" i="2"/>
  <c r="AW108" i="2"/>
  <c r="AQ108" i="2"/>
  <c r="AH108" i="2"/>
  <c r="BH107" i="2"/>
  <c r="BD107" i="2"/>
  <c r="AX107" i="2"/>
  <c r="AS107" i="2"/>
  <c r="AN107" i="2"/>
  <c r="BJ106" i="2"/>
  <c r="BE106" i="2"/>
  <c r="AY106" i="2"/>
  <c r="AU106" i="2"/>
  <c r="BF105" i="2"/>
  <c r="AV105" i="2"/>
  <c r="AP105" i="2"/>
  <c r="AZ105" i="2" s="1"/>
  <c r="AG105" i="2"/>
  <c r="AC105" i="2"/>
  <c r="BG104" i="2"/>
  <c r="BC104" i="2"/>
  <c r="AW104" i="2"/>
  <c r="AQ104" i="2"/>
  <c r="AH104" i="2"/>
  <c r="BH103" i="2"/>
  <c r="BD103" i="2"/>
  <c r="AX103" i="2"/>
  <c r="AS103" i="2"/>
  <c r="AN103" i="2"/>
  <c r="BF102" i="2"/>
  <c r="AV102" i="2"/>
  <c r="AP102" i="2"/>
  <c r="AZ102" i="2" s="1"/>
  <c r="AG102" i="2"/>
  <c r="AC102" i="2"/>
  <c r="BG101" i="2"/>
  <c r="BC101" i="2"/>
  <c r="AW101" i="2"/>
  <c r="AQ101" i="2"/>
  <c r="AH101" i="2"/>
  <c r="BH100" i="2"/>
  <c r="BD100" i="2"/>
  <c r="AX100" i="2"/>
  <c r="AS100" i="2"/>
  <c r="AN100" i="2"/>
  <c r="BJ99" i="2"/>
  <c r="BE99" i="2"/>
  <c r="AY99" i="2"/>
  <c r="AU99" i="2"/>
  <c r="BF98" i="2"/>
  <c r="AV98" i="2"/>
  <c r="AP98" i="2"/>
  <c r="AZ98" i="2" s="1"/>
  <c r="AG98" i="2"/>
  <c r="AC98" i="2"/>
  <c r="BG97" i="2"/>
  <c r="BC97" i="2"/>
  <c r="AW97" i="2"/>
  <c r="AQ97" i="2"/>
  <c r="AH97" i="2"/>
  <c r="BH96" i="2"/>
  <c r="BD96" i="2"/>
  <c r="AX96" i="2"/>
  <c r="AS96" i="2"/>
  <c r="BJ95" i="2"/>
  <c r="BE95" i="2"/>
  <c r="AY95" i="2"/>
  <c r="AU95" i="2"/>
  <c r="BF94" i="2"/>
  <c r="AV94" i="2"/>
  <c r="AP94" i="2"/>
  <c r="AZ94" i="2" s="1"/>
  <c r="AG94" i="2"/>
  <c r="AC94" i="2"/>
  <c r="BG93" i="2"/>
  <c r="BC93" i="2"/>
  <c r="AW93" i="2"/>
  <c r="AQ93" i="2"/>
  <c r="AH93" i="2"/>
  <c r="BH92" i="2"/>
  <c r="BD92" i="2"/>
  <c r="AX92" i="2"/>
  <c r="AS92" i="2"/>
  <c r="AN92" i="2"/>
  <c r="BJ91" i="2"/>
  <c r="BE91" i="2"/>
  <c r="AY91" i="2"/>
  <c r="AU91" i="2"/>
  <c r="BF90" i="2"/>
  <c r="AV90" i="2"/>
  <c r="AP90" i="2"/>
  <c r="AZ90" i="2" s="1"/>
  <c r="AG90" i="2"/>
  <c r="AC90" i="2"/>
  <c r="BG89" i="2"/>
  <c r="BC89" i="2"/>
  <c r="AW89" i="2"/>
  <c r="AQ89" i="2"/>
  <c r="AH89" i="2"/>
  <c r="BH88" i="2"/>
  <c r="BD88" i="2"/>
  <c r="AX88" i="2"/>
  <c r="AS88" i="2"/>
  <c r="AN88" i="2"/>
  <c r="BJ87" i="2"/>
  <c r="BE87" i="2"/>
  <c r="AY87" i="2"/>
  <c r="AU87" i="2"/>
  <c r="BF86" i="2"/>
  <c r="AY86" i="2"/>
  <c r="AU86" i="2"/>
  <c r="BF85" i="2"/>
  <c r="AY85" i="2"/>
  <c r="AU85" i="2"/>
  <c r="BF84" i="2"/>
  <c r="AV84" i="2"/>
  <c r="AP84" i="2"/>
  <c r="AZ84" i="2" s="1"/>
  <c r="AG84" i="2"/>
  <c r="AC84" i="2"/>
  <c r="BG83" i="2"/>
  <c r="BC83" i="2"/>
  <c r="AW83" i="2"/>
  <c r="AQ83" i="2"/>
  <c r="AH83" i="2"/>
  <c r="BH82" i="2"/>
  <c r="BD82" i="2"/>
  <c r="AX82" i="2"/>
  <c r="AS82" i="2"/>
  <c r="AN82" i="2"/>
  <c r="BJ81" i="2"/>
  <c r="BE81" i="2"/>
  <c r="AY81" i="2"/>
  <c r="AU81" i="2"/>
  <c r="BF80" i="2"/>
  <c r="AV80" i="2"/>
  <c r="AP80" i="2"/>
  <c r="AZ80" i="2" s="1"/>
  <c r="AG80" i="2"/>
  <c r="AC80" i="2"/>
  <c r="BC78" i="2"/>
  <c r="AW78" i="2"/>
  <c r="AQ78" i="2"/>
  <c r="AH78" i="2"/>
  <c r="BH77" i="2"/>
  <c r="BD77" i="2"/>
  <c r="AX77" i="2"/>
  <c r="AS77" i="2"/>
  <c r="BJ76" i="2"/>
  <c r="BE76" i="2"/>
  <c r="AY76" i="2"/>
  <c r="AU76" i="2"/>
  <c r="BF75" i="2"/>
  <c r="AV75" i="2"/>
  <c r="AP75" i="2"/>
  <c r="AZ75" i="2" s="1"/>
  <c r="AG75" i="2"/>
  <c r="AC75" i="2"/>
  <c r="BG74" i="2"/>
  <c r="BC74" i="2"/>
  <c r="AW74" i="2"/>
  <c r="AQ74" i="2"/>
  <c r="AH74" i="2"/>
  <c r="BH73" i="2"/>
  <c r="BD73" i="2"/>
  <c r="AX73" i="2"/>
  <c r="AS73" i="2"/>
  <c r="AN73" i="2"/>
  <c r="BJ72" i="2"/>
  <c r="BE72" i="2"/>
  <c r="AY72" i="2"/>
  <c r="AU72" i="2"/>
  <c r="BF71" i="2"/>
  <c r="AV71" i="2"/>
  <c r="AP71" i="2"/>
  <c r="AZ71" i="2" s="1"/>
  <c r="AG71" i="2"/>
  <c r="AC71" i="2"/>
  <c r="BG70" i="2"/>
  <c r="BC70" i="2"/>
  <c r="AW70" i="2"/>
  <c r="AQ70" i="2"/>
  <c r="AH70" i="2"/>
  <c r="BH69" i="2"/>
  <c r="BD69" i="2"/>
  <c r="AX69" i="2"/>
  <c r="AS69" i="2"/>
  <c r="BF68" i="2"/>
  <c r="AV68" i="2"/>
  <c r="AP68" i="2"/>
  <c r="AZ68" i="2" s="1"/>
  <c r="AP128" i="2"/>
  <c r="AZ128" i="2" s="1"/>
  <c r="BJ127" i="2"/>
  <c r="BC127" i="2"/>
  <c r="AV127" i="2"/>
  <c r="BG126" i="2"/>
  <c r="AY126" i="2"/>
  <c r="AQ126" i="2"/>
  <c r="AG126" i="2"/>
  <c r="BE125" i="2"/>
  <c r="AY125" i="2"/>
  <c r="BF124" i="2"/>
  <c r="AY124" i="2"/>
  <c r="AU124" i="2"/>
  <c r="BF123" i="2"/>
  <c r="AV123" i="2"/>
  <c r="AP123" i="2"/>
  <c r="AZ123" i="2" s="1"/>
  <c r="AG123" i="2"/>
  <c r="AC123" i="2"/>
  <c r="BG122" i="2"/>
  <c r="BC122" i="2"/>
  <c r="AW122" i="2"/>
  <c r="AQ122" i="2"/>
  <c r="AH122" i="2"/>
  <c r="BJ121" i="2"/>
  <c r="BE121" i="2"/>
  <c r="AX121" i="2"/>
  <c r="AS121" i="2"/>
  <c r="AN121" i="2"/>
  <c r="BJ120" i="2"/>
  <c r="BE120" i="2"/>
  <c r="AY120" i="2"/>
  <c r="AU120" i="2"/>
  <c r="BF119" i="2"/>
  <c r="AV119" i="2"/>
  <c r="AP119" i="2"/>
  <c r="AZ119" i="2" s="1"/>
  <c r="AG119" i="2"/>
  <c r="AC119" i="2"/>
  <c r="BG118" i="2"/>
  <c r="BC118" i="2"/>
  <c r="AW118" i="2"/>
  <c r="AQ118" i="2"/>
  <c r="AH118" i="2"/>
  <c r="BH117" i="2"/>
  <c r="BD117" i="2"/>
  <c r="AW117" i="2"/>
  <c r="AQ117" i="2"/>
  <c r="AH117" i="2"/>
  <c r="BH116" i="2"/>
  <c r="BD116" i="2"/>
  <c r="AX116" i="2"/>
  <c r="AS116" i="2"/>
  <c r="BJ115" i="2"/>
  <c r="BE115" i="2"/>
  <c r="AY115" i="2"/>
  <c r="AU115" i="2"/>
  <c r="BF114" i="2"/>
  <c r="AY114" i="2"/>
  <c r="AU114" i="2"/>
  <c r="BF113" i="2"/>
  <c r="AY113" i="2"/>
  <c r="AU113" i="2"/>
  <c r="BF112" i="2"/>
  <c r="AV112" i="2"/>
  <c r="AP112" i="2"/>
  <c r="AZ112" i="2" s="1"/>
  <c r="AG112" i="2"/>
  <c r="AC112" i="2"/>
  <c r="BG111" i="2"/>
  <c r="BC111" i="2"/>
  <c r="AW111" i="2"/>
  <c r="AQ111" i="2"/>
  <c r="AH111" i="2"/>
  <c r="BH110" i="2"/>
  <c r="BD110" i="2"/>
  <c r="AX110" i="2"/>
  <c r="AS110" i="2"/>
  <c r="AN110" i="2"/>
  <c r="BJ109" i="2"/>
  <c r="BE109" i="2"/>
  <c r="AY109" i="2"/>
  <c r="AU109" i="2"/>
  <c r="BF108" i="2"/>
  <c r="AV108" i="2"/>
  <c r="AP108" i="2"/>
  <c r="AZ108" i="2" s="1"/>
  <c r="AG108" i="2"/>
  <c r="AC108" i="2"/>
  <c r="BG107" i="2"/>
  <c r="BC107" i="2"/>
  <c r="AW107" i="2"/>
  <c r="AQ107" i="2"/>
  <c r="AH107" i="2"/>
  <c r="BH106" i="2"/>
  <c r="BD106" i="2"/>
  <c r="AX106" i="2"/>
  <c r="AS106" i="2"/>
  <c r="BJ105" i="2"/>
  <c r="BE105" i="2"/>
  <c r="AY105" i="2"/>
  <c r="AU105" i="2"/>
  <c r="BF104" i="2"/>
  <c r="AV104" i="2"/>
  <c r="AP104" i="2"/>
  <c r="AZ104" i="2" s="1"/>
  <c r="AG104" i="2"/>
  <c r="AC104" i="2"/>
  <c r="BG103" i="2"/>
  <c r="BC103" i="2"/>
  <c r="AW103" i="2"/>
  <c r="AQ103" i="2"/>
  <c r="AH103" i="2"/>
  <c r="BJ102" i="2"/>
  <c r="BE102" i="2"/>
  <c r="AY102" i="2"/>
  <c r="AU102" i="2"/>
  <c r="BF101" i="2"/>
  <c r="AV101" i="2"/>
  <c r="AP101" i="2"/>
  <c r="AZ101" i="2" s="1"/>
  <c r="AG101" i="2"/>
  <c r="AC101" i="2"/>
  <c r="BG100" i="2"/>
  <c r="BC100" i="2"/>
  <c r="AW100" i="2"/>
  <c r="AQ100" i="2"/>
  <c r="AH100" i="2"/>
  <c r="BH99" i="2"/>
  <c r="BD99" i="2"/>
  <c r="AX99" i="2"/>
  <c r="AS99" i="2"/>
  <c r="AN99" i="2"/>
  <c r="BJ98" i="2"/>
  <c r="BE98" i="2"/>
  <c r="AY98" i="2"/>
  <c r="AU98" i="2"/>
  <c r="BF97" i="2"/>
  <c r="AV97" i="2"/>
  <c r="AP97" i="2"/>
  <c r="AZ97" i="2" s="1"/>
  <c r="AG97" i="2"/>
  <c r="AC97" i="2"/>
  <c r="BG96" i="2"/>
  <c r="BC96" i="2"/>
  <c r="AW96" i="2"/>
  <c r="AQ96" i="2"/>
  <c r="AH96" i="2"/>
  <c r="BH95" i="2"/>
  <c r="BD95" i="2"/>
  <c r="AX95" i="2"/>
  <c r="AS95" i="2"/>
  <c r="AN95" i="2"/>
  <c r="BJ94" i="2"/>
  <c r="BE94" i="2"/>
  <c r="AY94" i="2"/>
  <c r="AU94" i="2"/>
  <c r="BF93" i="2"/>
  <c r="AV93" i="2"/>
  <c r="AP93" i="2"/>
  <c r="AZ93" i="2" s="1"/>
  <c r="AG93" i="2"/>
  <c r="AC93" i="2"/>
  <c r="BG92" i="2"/>
  <c r="BC92" i="2"/>
  <c r="AW92" i="2"/>
  <c r="AQ92" i="2"/>
  <c r="AH92" i="2"/>
  <c r="BH91" i="2"/>
  <c r="BD91" i="2"/>
  <c r="AX91" i="2"/>
  <c r="AS91" i="2"/>
  <c r="AN91" i="2"/>
  <c r="BJ90" i="2"/>
  <c r="BE90" i="2"/>
  <c r="AY90" i="2"/>
  <c r="AU90" i="2"/>
  <c r="BF89" i="2"/>
  <c r="AV89" i="2"/>
  <c r="AP89" i="2"/>
  <c r="AZ89" i="2" s="1"/>
  <c r="AG89" i="2"/>
  <c r="AC89" i="2"/>
  <c r="BG88" i="2"/>
  <c r="BC88" i="2"/>
  <c r="AW88" i="2"/>
  <c r="AQ88" i="2"/>
  <c r="AH88" i="2"/>
  <c r="BH87" i="2"/>
  <c r="BD87" i="2"/>
  <c r="AX87" i="2"/>
  <c r="AS87" i="2"/>
  <c r="AN87" i="2"/>
  <c r="BJ86" i="2"/>
  <c r="BE86" i="2"/>
  <c r="AX86" i="2"/>
  <c r="AS86" i="2"/>
  <c r="AN86" i="2"/>
  <c r="BJ85" i="2"/>
  <c r="BE85" i="2"/>
  <c r="AX85" i="2"/>
  <c r="AS85" i="2"/>
  <c r="BJ84" i="2"/>
  <c r="BE84" i="2"/>
  <c r="AY84" i="2"/>
  <c r="AU84" i="2"/>
  <c r="BF83" i="2"/>
  <c r="AV83" i="2"/>
  <c r="AP83" i="2"/>
  <c r="AZ83" i="2" s="1"/>
  <c r="AG83" i="2"/>
  <c r="AC83" i="2"/>
  <c r="BG82" i="2"/>
  <c r="BC82" i="2"/>
  <c r="AW82" i="2"/>
  <c r="AQ82" i="2"/>
  <c r="AH82" i="2"/>
  <c r="BH81" i="2"/>
  <c r="BD81" i="2"/>
  <c r="AX81" i="2"/>
  <c r="AS81" i="2"/>
  <c r="AN81" i="2"/>
  <c r="BJ80" i="2"/>
  <c r="BE80" i="2"/>
  <c r="AY80" i="2"/>
  <c r="AU80" i="2"/>
  <c r="BF78" i="2"/>
  <c r="AV78" i="2"/>
  <c r="AP78" i="2"/>
  <c r="AZ78" i="2" s="1"/>
  <c r="AG78" i="2"/>
  <c r="AC78" i="2"/>
  <c r="BG77" i="2"/>
  <c r="BC77" i="2"/>
  <c r="AW77" i="2"/>
  <c r="AQ77" i="2"/>
  <c r="AH77" i="2"/>
  <c r="BH76" i="2"/>
  <c r="BD76" i="2"/>
  <c r="AX76" i="2"/>
  <c r="AS76" i="2"/>
  <c r="BJ75" i="2"/>
  <c r="BE75" i="2"/>
  <c r="AY75" i="2"/>
  <c r="AU75" i="2"/>
  <c r="BF74" i="2"/>
  <c r="AV74" i="2"/>
  <c r="AP74" i="2"/>
  <c r="AZ74" i="2" s="1"/>
  <c r="AG74" i="2"/>
  <c r="AC74" i="2"/>
  <c r="BG73" i="2"/>
  <c r="BC73" i="2"/>
  <c r="AW73" i="2"/>
  <c r="AQ73" i="2"/>
  <c r="AH73" i="2"/>
  <c r="BH72" i="2"/>
  <c r="BD72" i="2"/>
  <c r="AX72" i="2"/>
  <c r="AS72" i="2"/>
  <c r="BJ71" i="2"/>
  <c r="BE71" i="2"/>
  <c r="AY71" i="2"/>
  <c r="AU71" i="2"/>
  <c r="BF70" i="2"/>
  <c r="AV70" i="2"/>
  <c r="AP70" i="2"/>
  <c r="AZ70" i="2" s="1"/>
  <c r="AG70" i="2"/>
  <c r="AC70" i="2"/>
  <c r="BG69" i="2"/>
  <c r="BC69" i="2"/>
  <c r="AW69" i="2"/>
  <c r="AQ69" i="2"/>
  <c r="AH69" i="2"/>
  <c r="BJ68" i="2"/>
  <c r="AX128" i="2"/>
  <c r="BG127" i="2"/>
  <c r="AU127" i="2"/>
  <c r="AH127" i="2"/>
  <c r="AC127" i="2"/>
  <c r="BF126" i="2"/>
  <c r="AW126" i="2"/>
  <c r="AP126" i="2"/>
  <c r="AZ126" i="2" s="1"/>
  <c r="BH125" i="2"/>
  <c r="BD125" i="2"/>
  <c r="AS125" i="2"/>
  <c r="AN125" i="2"/>
  <c r="BJ124" i="2"/>
  <c r="BE124" i="2"/>
  <c r="AX124" i="2"/>
  <c r="AS124" i="2"/>
  <c r="BJ123" i="2"/>
  <c r="BE123" i="2"/>
  <c r="AY123" i="2"/>
  <c r="AU123" i="2"/>
  <c r="BF122" i="2"/>
  <c r="AV122" i="2"/>
  <c r="AP122" i="2"/>
  <c r="AZ122" i="2" s="1"/>
  <c r="AG122" i="2"/>
  <c r="AC122" i="2"/>
  <c r="BH121" i="2"/>
  <c r="BD121" i="2"/>
  <c r="AW121" i="2"/>
  <c r="AQ121" i="2"/>
  <c r="AH121" i="2"/>
  <c r="BH120" i="2"/>
  <c r="BD120" i="2"/>
  <c r="AX120" i="2"/>
  <c r="AS120" i="2"/>
  <c r="AN120" i="2"/>
  <c r="BJ119" i="2"/>
  <c r="BE119" i="2"/>
  <c r="AY119" i="2"/>
  <c r="AU119" i="2"/>
  <c r="BF118" i="2"/>
  <c r="AV118" i="2"/>
  <c r="AP118" i="2"/>
  <c r="AZ118" i="2" s="1"/>
  <c r="AG118" i="2"/>
  <c r="AC118" i="2"/>
  <c r="BG117" i="2"/>
  <c r="BC117" i="2"/>
  <c r="AV117" i="2"/>
  <c r="AP117" i="2"/>
  <c r="AZ117" i="2" s="1"/>
  <c r="AG117" i="2"/>
  <c r="AC117" i="2"/>
  <c r="BG116" i="2"/>
  <c r="BC116" i="2"/>
  <c r="AW116" i="2"/>
  <c r="AQ116" i="2"/>
  <c r="AH116" i="2"/>
  <c r="BD115" i="2"/>
  <c r="AX115" i="2"/>
  <c r="AS115" i="2"/>
  <c r="BJ114" i="2"/>
  <c r="BE114" i="2"/>
  <c r="AX114" i="2"/>
  <c r="AS114" i="2"/>
  <c r="AN114" i="2"/>
  <c r="BJ113" i="2"/>
  <c r="BE113" i="2"/>
  <c r="AX113" i="2"/>
  <c r="AS113" i="2"/>
  <c r="BJ112" i="2"/>
  <c r="BE112" i="2"/>
  <c r="AY112" i="2"/>
  <c r="AU112" i="2"/>
  <c r="BF111" i="2"/>
  <c r="AV111" i="2"/>
  <c r="AP111" i="2"/>
  <c r="AZ111" i="2" s="1"/>
  <c r="AG111" i="2"/>
  <c r="AC111" i="2"/>
  <c r="BG110" i="2"/>
  <c r="BC110" i="2"/>
  <c r="AW110" i="2"/>
  <c r="AQ110" i="2"/>
  <c r="AH110" i="2"/>
  <c r="BH109" i="2"/>
  <c r="BD109" i="2"/>
  <c r="AX109" i="2"/>
  <c r="AS109" i="2"/>
  <c r="AN109" i="2"/>
  <c r="BJ108" i="2"/>
  <c r="BE108" i="2"/>
  <c r="AY108" i="2"/>
  <c r="AU108" i="2"/>
  <c r="BF107" i="2"/>
  <c r="AV107" i="2"/>
  <c r="AP107" i="2"/>
  <c r="AZ107" i="2" s="1"/>
  <c r="AG107" i="2"/>
  <c r="AC107" i="2"/>
  <c r="BG106" i="2"/>
  <c r="BC106" i="2"/>
  <c r="AW106" i="2"/>
  <c r="AQ106" i="2"/>
  <c r="AH106" i="2"/>
  <c r="BH105" i="2"/>
  <c r="BD105" i="2"/>
  <c r="AX105" i="2"/>
  <c r="AS105" i="2"/>
  <c r="BJ104" i="2"/>
  <c r="BE104" i="2"/>
  <c r="AY104" i="2"/>
  <c r="AU104" i="2"/>
  <c r="BF103" i="2"/>
  <c r="AV103" i="2"/>
  <c r="AP103" i="2"/>
  <c r="AZ103" i="2" s="1"/>
  <c r="AG103" i="2"/>
  <c r="AC103" i="2"/>
  <c r="BH102" i="2"/>
  <c r="BD102" i="2"/>
  <c r="AX102" i="2"/>
  <c r="AS102" i="2"/>
  <c r="BJ101" i="2"/>
  <c r="BE101" i="2"/>
  <c r="AY101" i="2"/>
  <c r="AU101" i="2"/>
  <c r="BF100" i="2"/>
  <c r="AV100" i="2"/>
  <c r="AP100" i="2"/>
  <c r="AZ100" i="2" s="1"/>
  <c r="AG100" i="2"/>
  <c r="AC100" i="2"/>
  <c r="BG99" i="2"/>
  <c r="BC99" i="2"/>
  <c r="AW99" i="2"/>
  <c r="AQ99" i="2"/>
  <c r="AH99" i="2"/>
  <c r="BH98" i="2"/>
  <c r="BD98" i="2"/>
  <c r="AX98" i="2"/>
  <c r="AS98" i="2"/>
  <c r="AN98" i="2"/>
  <c r="BJ97" i="2"/>
  <c r="BE97" i="2"/>
  <c r="AY97" i="2"/>
  <c r="AU97" i="2"/>
  <c r="BF96" i="2"/>
  <c r="AV96" i="2"/>
  <c r="AP96" i="2"/>
  <c r="AZ96" i="2" s="1"/>
  <c r="AG96" i="2"/>
  <c r="AC96" i="2"/>
  <c r="BG95" i="2"/>
  <c r="BC95" i="2"/>
  <c r="AW95" i="2"/>
  <c r="AQ95" i="2"/>
  <c r="AH95" i="2"/>
  <c r="BH94" i="2"/>
  <c r="BD94" i="2"/>
  <c r="AX94" i="2"/>
  <c r="AS94" i="2"/>
  <c r="AN94" i="2"/>
  <c r="BJ93" i="2"/>
  <c r="BE93" i="2"/>
  <c r="AY93" i="2"/>
  <c r="AU93" i="2"/>
  <c r="BF92" i="2"/>
  <c r="AV92" i="2"/>
  <c r="AP92" i="2"/>
  <c r="AZ92" i="2" s="1"/>
  <c r="AG92" i="2"/>
  <c r="AC92" i="2"/>
  <c r="BG91" i="2"/>
  <c r="BC91" i="2"/>
  <c r="AW91" i="2"/>
  <c r="AQ91" i="2"/>
  <c r="AH91" i="2"/>
  <c r="BH90" i="2"/>
  <c r="BD90" i="2"/>
  <c r="AX90" i="2"/>
  <c r="AS90" i="2"/>
  <c r="AN90" i="2"/>
  <c r="BJ89" i="2"/>
  <c r="BE89" i="2"/>
  <c r="AY89" i="2"/>
  <c r="AU89" i="2"/>
  <c r="BF88" i="2"/>
  <c r="AV88" i="2"/>
  <c r="AP88" i="2"/>
  <c r="AZ88" i="2" s="1"/>
  <c r="AG88" i="2"/>
  <c r="AC88" i="2"/>
  <c r="BG87" i="2"/>
  <c r="BC87" i="2"/>
  <c r="AW87" i="2"/>
  <c r="AQ87" i="2"/>
  <c r="AH87" i="2"/>
  <c r="BH86" i="2"/>
  <c r="BD86" i="2"/>
  <c r="AW86" i="2"/>
  <c r="AQ86" i="2"/>
  <c r="AH86" i="2"/>
  <c r="BH85" i="2"/>
  <c r="BD85" i="2"/>
  <c r="AW85" i="2"/>
  <c r="AQ85" i="2"/>
  <c r="AH85" i="2"/>
  <c r="BH84" i="2"/>
  <c r="BD84" i="2"/>
  <c r="AX84" i="2"/>
  <c r="AS84" i="2"/>
  <c r="BJ83" i="2"/>
  <c r="BE83" i="2"/>
  <c r="AY83" i="2"/>
  <c r="AU83" i="2"/>
  <c r="BF82" i="2"/>
  <c r="AV82" i="2"/>
  <c r="AP82" i="2"/>
  <c r="AZ82" i="2" s="1"/>
  <c r="AG82" i="2"/>
  <c r="AC82" i="2"/>
  <c r="BG81" i="2"/>
  <c r="BC81" i="2"/>
  <c r="AW81" i="2"/>
  <c r="AQ81" i="2"/>
  <c r="AH81" i="2"/>
  <c r="BH80" i="2"/>
  <c r="BD80" i="2"/>
  <c r="AX80" i="2"/>
  <c r="AS80" i="2"/>
  <c r="BJ78" i="2"/>
  <c r="BE78" i="2"/>
  <c r="AY78" i="2"/>
  <c r="AU78" i="2"/>
  <c r="BF77" i="2"/>
  <c r="AV77" i="2"/>
  <c r="AP77" i="2"/>
  <c r="AZ77" i="2" s="1"/>
  <c r="AG77" i="2"/>
  <c r="AC77" i="2"/>
  <c r="BG76" i="2"/>
  <c r="BC76" i="2"/>
  <c r="AW76" i="2"/>
  <c r="AQ76" i="2"/>
  <c r="AH76" i="2"/>
  <c r="BH75" i="2"/>
  <c r="BD75" i="2"/>
  <c r="AX75" i="2"/>
  <c r="AS75" i="2"/>
  <c r="BE74" i="2"/>
  <c r="AG73" i="2"/>
  <c r="AV69" i="2"/>
  <c r="AC69" i="2"/>
  <c r="BD68" i="2"/>
  <c r="AU68" i="2"/>
  <c r="AG68" i="2"/>
  <c r="AC68" i="2"/>
  <c r="BG67" i="2"/>
  <c r="BC67" i="2"/>
  <c r="AW67" i="2"/>
  <c r="AQ67" i="2"/>
  <c r="AH67" i="2"/>
  <c r="BH66" i="2"/>
  <c r="BD66" i="2"/>
  <c r="AX66" i="2"/>
  <c r="AS66" i="2"/>
  <c r="BJ65" i="2"/>
  <c r="BE65" i="2"/>
  <c r="AY65" i="2"/>
  <c r="AU65" i="2"/>
  <c r="BF64" i="2"/>
  <c r="AV64" i="2"/>
  <c r="AP64" i="2"/>
  <c r="AZ64" i="2" s="1"/>
  <c r="AG64" i="2"/>
  <c r="AC64" i="2"/>
  <c r="BG63" i="2"/>
  <c r="BC63" i="2"/>
  <c r="AW63" i="2"/>
  <c r="AQ63" i="2"/>
  <c r="AH63" i="2"/>
  <c r="BH62" i="2"/>
  <c r="BD62" i="2"/>
  <c r="AX62" i="2"/>
  <c r="AS62" i="2"/>
  <c r="AN62" i="2"/>
  <c r="BJ61" i="2"/>
  <c r="BE61" i="2"/>
  <c r="AY61" i="2"/>
  <c r="AU61" i="2"/>
  <c r="BF60" i="2"/>
  <c r="AV60" i="2"/>
  <c r="AP60" i="2"/>
  <c r="AZ60" i="2" s="1"/>
  <c r="AG60" i="2"/>
  <c r="AC60" i="2"/>
  <c r="BG59" i="2"/>
  <c r="BC59" i="2"/>
  <c r="AW59" i="2"/>
  <c r="AQ59" i="2"/>
  <c r="AH59" i="2"/>
  <c r="BH58" i="2"/>
  <c r="BD58" i="2"/>
  <c r="AX58" i="2"/>
  <c r="AS58" i="2"/>
  <c r="AN58" i="2"/>
  <c r="BJ57" i="2"/>
  <c r="BE57" i="2"/>
  <c r="AY57" i="2"/>
  <c r="AU57" i="2"/>
  <c r="BF56" i="2"/>
  <c r="AV56" i="2"/>
  <c r="AP56" i="2"/>
  <c r="AZ56" i="2" s="1"/>
  <c r="AG56" i="2"/>
  <c r="AC56" i="2"/>
  <c r="BC55" i="2"/>
  <c r="AW55" i="2"/>
  <c r="AQ55" i="2"/>
  <c r="AH55" i="2"/>
  <c r="BH54" i="2"/>
  <c r="BD54" i="2"/>
  <c r="AX54" i="2"/>
  <c r="AS54" i="2"/>
  <c r="BJ53" i="2"/>
  <c r="BE53" i="2"/>
  <c r="AY53" i="2"/>
  <c r="AU53" i="2"/>
  <c r="BF52" i="2"/>
  <c r="AV52" i="2"/>
  <c r="AP52" i="2"/>
  <c r="AZ52" i="2" s="1"/>
  <c r="AG52" i="2"/>
  <c r="AC52" i="2"/>
  <c r="BG51" i="2"/>
  <c r="BC51" i="2"/>
  <c r="AW51" i="2"/>
  <c r="AQ51" i="2"/>
  <c r="AH51" i="2"/>
  <c r="BH50" i="2"/>
  <c r="BD50" i="2"/>
  <c r="AX50" i="2"/>
  <c r="AS50" i="2"/>
  <c r="BJ49" i="2"/>
  <c r="BE49" i="2"/>
  <c r="AY49" i="2"/>
  <c r="AU49" i="2"/>
  <c r="BF48" i="2"/>
  <c r="AV48" i="2"/>
  <c r="AP48" i="2"/>
  <c r="AZ48" i="2" s="1"/>
  <c r="AG48" i="2"/>
  <c r="AC48" i="2"/>
  <c r="BG47" i="2"/>
  <c r="BC47" i="2"/>
  <c r="AQ47" i="2"/>
  <c r="AH47" i="2"/>
  <c r="BH46" i="2"/>
  <c r="BD46" i="2"/>
  <c r="AX46" i="2"/>
  <c r="AS46" i="2"/>
  <c r="AN46" i="2"/>
  <c r="BJ45" i="2"/>
  <c r="BE45" i="2"/>
  <c r="AY45" i="2"/>
  <c r="AU45" i="2"/>
  <c r="BF44" i="2"/>
  <c r="AV44" i="2"/>
  <c r="AP44" i="2"/>
  <c r="AZ44" i="2" s="1"/>
  <c r="AG44" i="2"/>
  <c r="AC44" i="2"/>
  <c r="BG43" i="2"/>
  <c r="BC43" i="2"/>
  <c r="AW43" i="2"/>
  <c r="AQ43" i="2"/>
  <c r="AH43" i="2"/>
  <c r="BH42" i="2"/>
  <c r="BD42" i="2"/>
  <c r="AX42" i="2"/>
  <c r="AS42" i="2"/>
  <c r="AN42" i="2"/>
  <c r="BJ41" i="2"/>
  <c r="BE41" i="2"/>
  <c r="AY41" i="2"/>
  <c r="AU41" i="2"/>
  <c r="BF40" i="2"/>
  <c r="AV40" i="2"/>
  <c r="AP40" i="2"/>
  <c r="AZ40" i="2" s="1"/>
  <c r="AG40" i="2"/>
  <c r="AC40" i="2"/>
  <c r="BG39" i="2"/>
  <c r="BC39" i="2"/>
  <c r="AW39" i="2"/>
  <c r="AQ39" i="2"/>
  <c r="AH39" i="2"/>
  <c r="BH38" i="2"/>
  <c r="BD38" i="2"/>
  <c r="AX38" i="2"/>
  <c r="AS38" i="2"/>
  <c r="AN38" i="2"/>
  <c r="BH37" i="2"/>
  <c r="BD37" i="2"/>
  <c r="AX37" i="2"/>
  <c r="AS37" i="2"/>
  <c r="BJ36" i="2"/>
  <c r="BE36" i="2"/>
  <c r="AY36" i="2"/>
  <c r="AU36" i="2"/>
  <c r="BF35" i="2"/>
  <c r="AV35" i="2"/>
  <c r="AP35" i="2"/>
  <c r="AZ35" i="2" s="1"/>
  <c r="AG35" i="2"/>
  <c r="AC35" i="2"/>
  <c r="BG34" i="2"/>
  <c r="BC34" i="2"/>
  <c r="AW34" i="2"/>
  <c r="AQ34" i="2"/>
  <c r="AH34" i="2"/>
  <c r="BH33" i="2"/>
  <c r="BD33" i="2"/>
  <c r="AX33" i="2"/>
  <c r="AS33" i="2"/>
  <c r="AN33" i="2"/>
  <c r="BJ32" i="2"/>
  <c r="BE32" i="2"/>
  <c r="AY32" i="2"/>
  <c r="AU32" i="2"/>
  <c r="BJ31" i="2"/>
  <c r="BE31" i="2"/>
  <c r="AY31" i="2"/>
  <c r="AU31" i="2"/>
  <c r="BJ30" i="2"/>
  <c r="BE30" i="2"/>
  <c r="AY30" i="2"/>
  <c r="AU30" i="2"/>
  <c r="BG29" i="2"/>
  <c r="BC29" i="2"/>
  <c r="AV29" i="2"/>
  <c r="AP29" i="2"/>
  <c r="AZ29" i="2" s="1"/>
  <c r="AG29" i="2"/>
  <c r="AC29" i="2"/>
  <c r="BF28" i="2"/>
  <c r="AV28" i="2"/>
  <c r="AP28" i="2"/>
  <c r="AZ28" i="2" s="1"/>
  <c r="AG28" i="2"/>
  <c r="AC28" i="2"/>
  <c r="BJ27" i="2"/>
  <c r="BE27" i="2"/>
  <c r="AY27" i="2"/>
  <c r="AU27" i="2"/>
  <c r="BF26" i="2"/>
  <c r="AV26" i="2"/>
  <c r="AP26" i="2"/>
  <c r="AZ26" i="2" s="1"/>
  <c r="AG26" i="2"/>
  <c r="AC26" i="2"/>
  <c r="BG25" i="2"/>
  <c r="BC25" i="2"/>
  <c r="AW25" i="2"/>
  <c r="AQ25" i="2"/>
  <c r="AH25" i="2"/>
  <c r="BJ24" i="2"/>
  <c r="BE24" i="2"/>
  <c r="AY24" i="2"/>
  <c r="AU24" i="2"/>
  <c r="BF23" i="2"/>
  <c r="AV23" i="2"/>
  <c r="AP23" i="2"/>
  <c r="AZ23" i="2" s="1"/>
  <c r="AG23" i="2"/>
  <c r="AC23" i="2"/>
  <c r="BG22" i="2"/>
  <c r="BC22" i="2"/>
  <c r="AW22" i="2"/>
  <c r="AQ22" i="2"/>
  <c r="AH22" i="2"/>
  <c r="BF21" i="2"/>
  <c r="AV21" i="2"/>
  <c r="AP21" i="2"/>
  <c r="AZ21" i="2" s="1"/>
  <c r="AG21" i="2"/>
  <c r="AC21" i="2"/>
  <c r="BH20" i="2"/>
  <c r="BD20" i="2"/>
  <c r="AX20" i="2"/>
  <c r="AS20" i="2"/>
  <c r="BG19" i="2"/>
  <c r="BC19" i="2"/>
  <c r="AW19" i="2"/>
  <c r="AQ19" i="2"/>
  <c r="AH19" i="2"/>
  <c r="BJ17" i="2"/>
  <c r="BE17" i="2"/>
  <c r="AY17" i="2"/>
  <c r="AU17" i="2"/>
  <c r="BH16" i="2"/>
  <c r="BD16" i="2"/>
  <c r="AX16" i="2"/>
  <c r="AS16" i="2"/>
  <c r="AN16" i="2"/>
  <c r="BH15" i="2"/>
  <c r="BD15" i="2"/>
  <c r="AX15" i="2"/>
  <c r="AS15" i="2"/>
  <c r="AN15" i="2"/>
  <c r="BH14" i="2"/>
  <c r="BD14" i="2"/>
  <c r="AX14" i="2"/>
  <c r="AS14" i="2"/>
  <c r="AN14" i="2"/>
  <c r="BG13" i="2"/>
  <c r="BC13" i="2"/>
  <c r="AW13" i="2"/>
  <c r="AQ13" i="2"/>
  <c r="AH13" i="2"/>
  <c r="BF12" i="2"/>
  <c r="AV12" i="2"/>
  <c r="AP12" i="2"/>
  <c r="AZ12" i="2" s="1"/>
  <c r="AG12" i="2"/>
  <c r="AC12" i="2"/>
  <c r="BJ11" i="2"/>
  <c r="BE11" i="2"/>
  <c r="AY11" i="2"/>
  <c r="AU11" i="2"/>
  <c r="BF10" i="2"/>
  <c r="AV10" i="2"/>
  <c r="AP10" i="2"/>
  <c r="AZ10" i="2" s="1"/>
  <c r="AG10" i="2"/>
  <c r="AC10" i="2"/>
  <c r="BJ9" i="2"/>
  <c r="BE9" i="2"/>
  <c r="AY9" i="2"/>
  <c r="AU9" i="2"/>
  <c r="BH8" i="2"/>
  <c r="BD8" i="2"/>
  <c r="AN75" i="2"/>
  <c r="AV73" i="2"/>
  <c r="AC73" i="2"/>
  <c r="AW72" i="2"/>
  <c r="AX71" i="2"/>
  <c r="AY70" i="2"/>
  <c r="AP69" i="2"/>
  <c r="AZ69" i="2" s="1"/>
  <c r="AS68" i="2"/>
  <c r="BF67" i="2"/>
  <c r="AV67" i="2"/>
  <c r="AP67" i="2"/>
  <c r="AZ67" i="2" s="1"/>
  <c r="AG67" i="2"/>
  <c r="AC67" i="2"/>
  <c r="BG66" i="2"/>
  <c r="BC66" i="2"/>
  <c r="AW66" i="2"/>
  <c r="AQ66" i="2"/>
  <c r="AH66" i="2"/>
  <c r="BH65" i="2"/>
  <c r="BD65" i="2"/>
  <c r="AX65" i="2"/>
  <c r="AS65" i="2"/>
  <c r="BJ64" i="2"/>
  <c r="BE64" i="2"/>
  <c r="AY64" i="2"/>
  <c r="AU64" i="2"/>
  <c r="BF63" i="2"/>
  <c r="AV63" i="2"/>
  <c r="AP63" i="2"/>
  <c r="AZ63" i="2" s="1"/>
  <c r="AG63" i="2"/>
  <c r="AC63" i="2"/>
  <c r="BG62" i="2"/>
  <c r="BC62" i="2"/>
  <c r="AW62" i="2"/>
  <c r="AQ62" i="2"/>
  <c r="AH62" i="2"/>
  <c r="BH61" i="2"/>
  <c r="BD61" i="2"/>
  <c r="AX61" i="2"/>
  <c r="AS61" i="2"/>
  <c r="AN61" i="2"/>
  <c r="BJ60" i="2"/>
  <c r="BE60" i="2"/>
  <c r="AY60" i="2"/>
  <c r="AU60" i="2"/>
  <c r="BF59" i="2"/>
  <c r="AV59" i="2"/>
  <c r="AP59" i="2"/>
  <c r="AZ59" i="2" s="1"/>
  <c r="AG59" i="2"/>
  <c r="AC59" i="2"/>
  <c r="BG58" i="2"/>
  <c r="BC58" i="2"/>
  <c r="AW58" i="2"/>
  <c r="AQ58" i="2"/>
  <c r="AH58" i="2"/>
  <c r="BH57" i="2"/>
  <c r="BD57" i="2"/>
  <c r="AX57" i="2"/>
  <c r="AS57" i="2"/>
  <c r="AN57" i="2"/>
  <c r="BJ56" i="2"/>
  <c r="BE56" i="2"/>
  <c r="AY56" i="2"/>
  <c r="AU56" i="2"/>
  <c r="BF55" i="2"/>
  <c r="AV55" i="2"/>
  <c r="AP55" i="2"/>
  <c r="AZ55" i="2" s="1"/>
  <c r="AG55" i="2"/>
  <c r="AC55" i="2"/>
  <c r="BG54" i="2"/>
  <c r="BC54" i="2"/>
  <c r="AW54" i="2"/>
  <c r="AQ54" i="2"/>
  <c r="AH54" i="2"/>
  <c r="BH53" i="2"/>
  <c r="BD53" i="2"/>
  <c r="AX53" i="2"/>
  <c r="AS53" i="2"/>
  <c r="AN53" i="2"/>
  <c r="BJ52" i="2"/>
  <c r="BE52" i="2"/>
  <c r="AY52" i="2"/>
  <c r="AU52" i="2"/>
  <c r="BF51" i="2"/>
  <c r="AV51" i="2"/>
  <c r="AP51" i="2"/>
  <c r="AZ51" i="2" s="1"/>
  <c r="AG51" i="2"/>
  <c r="AC51" i="2"/>
  <c r="BG50" i="2"/>
  <c r="BC50" i="2"/>
  <c r="AW50" i="2"/>
  <c r="AQ50" i="2"/>
  <c r="AH50" i="2"/>
  <c r="BH49" i="2"/>
  <c r="BD49" i="2"/>
  <c r="AX49" i="2"/>
  <c r="AS49" i="2"/>
  <c r="AN49" i="2"/>
  <c r="BJ48" i="2"/>
  <c r="BE48" i="2"/>
  <c r="AY48" i="2"/>
  <c r="AU48" i="2"/>
  <c r="BF47" i="2"/>
  <c r="AP47" i="2"/>
  <c r="AZ47" i="2" s="1"/>
  <c r="AG47" i="2"/>
  <c r="AC47" i="2"/>
  <c r="BG46" i="2"/>
  <c r="BC46" i="2"/>
  <c r="AW46" i="2"/>
  <c r="AQ46" i="2"/>
  <c r="AH46" i="2"/>
  <c r="BH45" i="2"/>
  <c r="BD45" i="2"/>
  <c r="AX45" i="2"/>
  <c r="AS45" i="2"/>
  <c r="BJ44" i="2"/>
  <c r="BE44" i="2"/>
  <c r="AY44" i="2"/>
  <c r="AU44" i="2"/>
  <c r="BF43" i="2"/>
  <c r="AV43" i="2"/>
  <c r="AP43" i="2"/>
  <c r="AZ43" i="2" s="1"/>
  <c r="AG43" i="2"/>
  <c r="AC43" i="2"/>
  <c r="BG42" i="2"/>
  <c r="BC42" i="2"/>
  <c r="AW42" i="2"/>
  <c r="AQ42" i="2"/>
  <c r="AH42" i="2"/>
  <c r="BH41" i="2"/>
  <c r="BD41" i="2"/>
  <c r="AX41" i="2"/>
  <c r="AS41" i="2"/>
  <c r="BJ40" i="2"/>
  <c r="BE40" i="2"/>
  <c r="AY40" i="2"/>
  <c r="AU40" i="2"/>
  <c r="BF39" i="2"/>
  <c r="AV39" i="2"/>
  <c r="AP39" i="2"/>
  <c r="AZ39" i="2" s="1"/>
  <c r="AG39" i="2"/>
  <c r="AC39" i="2"/>
  <c r="BG38" i="2"/>
  <c r="BC38" i="2"/>
  <c r="AW38" i="2"/>
  <c r="AQ38" i="2"/>
  <c r="AH38" i="2"/>
  <c r="BG37" i="2"/>
  <c r="BC37" i="2"/>
  <c r="AW37" i="2"/>
  <c r="AQ37" i="2"/>
  <c r="AH37" i="2"/>
  <c r="BH36" i="2"/>
  <c r="BD36" i="2"/>
  <c r="AX36" i="2"/>
  <c r="AS36" i="2"/>
  <c r="AN36" i="2"/>
  <c r="BJ35" i="2"/>
  <c r="BE35" i="2"/>
  <c r="AY35" i="2"/>
  <c r="AU35" i="2"/>
  <c r="BF34" i="2"/>
  <c r="AV34" i="2"/>
  <c r="AP34" i="2"/>
  <c r="AZ34" i="2" s="1"/>
  <c r="AG34" i="2"/>
  <c r="AC34" i="2"/>
  <c r="BG33" i="2"/>
  <c r="BC33" i="2"/>
  <c r="AW33" i="2"/>
  <c r="AQ33" i="2"/>
  <c r="AH33" i="2"/>
  <c r="BH32" i="2"/>
  <c r="BD32" i="2"/>
  <c r="AX32" i="2"/>
  <c r="AS32" i="2"/>
  <c r="AN32" i="2"/>
  <c r="BH31" i="2"/>
  <c r="BD31" i="2"/>
  <c r="AX31" i="2"/>
  <c r="AS31" i="2"/>
  <c r="BH30" i="2"/>
  <c r="BD30" i="2"/>
  <c r="AX30" i="2"/>
  <c r="AS30" i="2"/>
  <c r="AN30" i="2"/>
  <c r="BF29" i="2"/>
  <c r="AY29" i="2"/>
  <c r="AU29" i="2"/>
  <c r="BJ28" i="2"/>
  <c r="BE28" i="2"/>
  <c r="AY28" i="2"/>
  <c r="AU28" i="2"/>
  <c r="BH27" i="2"/>
  <c r="BD27" i="2"/>
  <c r="AX27" i="2"/>
  <c r="AS27" i="2"/>
  <c r="BJ26" i="2"/>
  <c r="BE26" i="2"/>
  <c r="AY26" i="2"/>
  <c r="AU26" i="2"/>
  <c r="BF25" i="2"/>
  <c r="AV25" i="2"/>
  <c r="AP25" i="2"/>
  <c r="AZ25" i="2" s="1"/>
  <c r="AG25" i="2"/>
  <c r="AC25" i="2"/>
  <c r="BH24" i="2"/>
  <c r="BD24" i="2"/>
  <c r="AX24" i="2"/>
  <c r="AS24" i="2"/>
  <c r="AN24" i="2"/>
  <c r="BJ23" i="2"/>
  <c r="BE23" i="2"/>
  <c r="AY23" i="2"/>
  <c r="AU23" i="2"/>
  <c r="BF22" i="2"/>
  <c r="AV22" i="2"/>
  <c r="AP22" i="2"/>
  <c r="AZ22" i="2" s="1"/>
  <c r="AG22" i="2"/>
  <c r="AC22" i="2"/>
  <c r="BJ21" i="2"/>
  <c r="BE21" i="2"/>
  <c r="AY21" i="2"/>
  <c r="AU21" i="2"/>
  <c r="BG20" i="2"/>
  <c r="BC20" i="2"/>
  <c r="AW20" i="2"/>
  <c r="AQ20" i="2"/>
  <c r="AH20" i="2"/>
  <c r="BF19" i="2"/>
  <c r="AV19" i="2"/>
  <c r="AP19" i="2"/>
  <c r="AZ19" i="2" s="1"/>
  <c r="AG19" i="2"/>
  <c r="AC19" i="2"/>
  <c r="BH17" i="2"/>
  <c r="BD17" i="2"/>
  <c r="AX17" i="2"/>
  <c r="AS17" i="2"/>
  <c r="AN17" i="2"/>
  <c r="BG16" i="2"/>
  <c r="BC16" i="2"/>
  <c r="AW16" i="2"/>
  <c r="AQ16" i="2"/>
  <c r="AH16" i="2"/>
  <c r="BG15" i="2"/>
  <c r="BC15" i="2"/>
  <c r="AW15" i="2"/>
  <c r="AQ15" i="2"/>
  <c r="AH15" i="2"/>
  <c r="BG14" i="2"/>
  <c r="BC14" i="2"/>
  <c r="AW14" i="2"/>
  <c r="AQ14" i="2"/>
  <c r="AH14" i="2"/>
  <c r="BF13" i="2"/>
  <c r="AV13" i="2"/>
  <c r="AP13" i="2"/>
  <c r="AZ13" i="2" s="1"/>
  <c r="AG13" i="2"/>
  <c r="AC13" i="2"/>
  <c r="BJ12" i="2"/>
  <c r="BE12" i="2"/>
  <c r="AY12" i="2"/>
  <c r="AU12" i="2"/>
  <c r="BH11" i="2"/>
  <c r="BD11" i="2"/>
  <c r="AX11" i="2"/>
  <c r="AS11" i="2"/>
  <c r="AN11" i="2"/>
  <c r="BJ10" i="2"/>
  <c r="BE10" i="2"/>
  <c r="AY10" i="2"/>
  <c r="AU10" i="2"/>
  <c r="BH9" i="2"/>
  <c r="AY74" i="2"/>
  <c r="AP73" i="2"/>
  <c r="AZ73" i="2" s="1"/>
  <c r="BG72" i="2"/>
  <c r="AQ72" i="2"/>
  <c r="BH71" i="2"/>
  <c r="AS71" i="2"/>
  <c r="BJ70" i="2"/>
  <c r="AU70" i="2"/>
  <c r="BF69" i="2"/>
  <c r="BH68" i="2"/>
  <c r="AY68" i="2"/>
  <c r="BJ67" i="2"/>
  <c r="BE67" i="2"/>
  <c r="AY67" i="2"/>
  <c r="AU67" i="2"/>
  <c r="BF66" i="2"/>
  <c r="AV66" i="2"/>
  <c r="AP66" i="2"/>
  <c r="AZ66" i="2" s="1"/>
  <c r="AG66" i="2"/>
  <c r="AC66" i="2"/>
  <c r="BG65" i="2"/>
  <c r="BC65" i="2"/>
  <c r="AW65" i="2"/>
  <c r="AQ65" i="2"/>
  <c r="AH65" i="2"/>
  <c r="BH64" i="2"/>
  <c r="BD64" i="2"/>
  <c r="AX64" i="2"/>
  <c r="AS64" i="2"/>
  <c r="BJ63" i="2"/>
  <c r="BE63" i="2"/>
  <c r="AY63" i="2"/>
  <c r="AU63" i="2"/>
  <c r="BF62" i="2"/>
  <c r="AV62" i="2"/>
  <c r="AP62" i="2"/>
  <c r="AZ62" i="2" s="1"/>
  <c r="AG62" i="2"/>
  <c r="AC62" i="2"/>
  <c r="BG61" i="2"/>
  <c r="BC61" i="2"/>
  <c r="AW61" i="2"/>
  <c r="AQ61" i="2"/>
  <c r="AH61" i="2"/>
  <c r="BH60" i="2"/>
  <c r="BD60" i="2"/>
  <c r="AX60" i="2"/>
  <c r="AS60" i="2"/>
  <c r="AN60" i="2"/>
  <c r="BJ59" i="2"/>
  <c r="BE59" i="2"/>
  <c r="AY59" i="2"/>
  <c r="AU59" i="2"/>
  <c r="BF58" i="2"/>
  <c r="AV58" i="2"/>
  <c r="AP58" i="2"/>
  <c r="AZ58" i="2" s="1"/>
  <c r="AG58" i="2"/>
  <c r="AC58" i="2"/>
  <c r="BG57" i="2"/>
  <c r="BC57" i="2"/>
  <c r="AW57" i="2"/>
  <c r="AQ57" i="2"/>
  <c r="AH57" i="2"/>
  <c r="BH56" i="2"/>
  <c r="BD56" i="2"/>
  <c r="AX56" i="2"/>
  <c r="AS56" i="2"/>
  <c r="BJ55" i="2"/>
  <c r="BE55" i="2"/>
  <c r="AY55" i="2"/>
  <c r="AU55" i="2"/>
  <c r="BF54" i="2"/>
  <c r="AV54" i="2"/>
  <c r="AP54" i="2"/>
  <c r="AZ54" i="2" s="1"/>
  <c r="AG54" i="2"/>
  <c r="AC54" i="2"/>
  <c r="BG53" i="2"/>
  <c r="BC53" i="2"/>
  <c r="AW53" i="2"/>
  <c r="AQ53" i="2"/>
  <c r="AH53" i="2"/>
  <c r="BH52" i="2"/>
  <c r="BD52" i="2"/>
  <c r="AX52" i="2"/>
  <c r="AS52" i="2"/>
  <c r="BJ51" i="2"/>
  <c r="BE51" i="2"/>
  <c r="AY51" i="2"/>
  <c r="AU51" i="2"/>
  <c r="AV50" i="2"/>
  <c r="AP50" i="2"/>
  <c r="AZ50" i="2" s="1"/>
  <c r="AG50" i="2"/>
  <c r="AC50" i="2"/>
  <c r="BG49" i="2"/>
  <c r="BC49" i="2"/>
  <c r="AW49" i="2"/>
  <c r="AQ49" i="2"/>
  <c r="AH49" i="2"/>
  <c r="BH48" i="2"/>
  <c r="BD48" i="2"/>
  <c r="AX48" i="2"/>
  <c r="AS48" i="2"/>
  <c r="AN48" i="2"/>
  <c r="BJ47" i="2"/>
  <c r="BE47" i="2"/>
  <c r="AY47" i="2"/>
  <c r="BF46" i="2"/>
  <c r="AV46" i="2"/>
  <c r="AP46" i="2"/>
  <c r="AZ46" i="2" s="1"/>
  <c r="AG46" i="2"/>
  <c r="AC46" i="2"/>
  <c r="BG45" i="2"/>
  <c r="BC45" i="2"/>
  <c r="AW45" i="2"/>
  <c r="AQ45" i="2"/>
  <c r="AH45" i="2"/>
  <c r="BH44" i="2"/>
  <c r="BD44" i="2"/>
  <c r="AX44" i="2"/>
  <c r="AS44" i="2"/>
  <c r="BJ43" i="2"/>
  <c r="BE43" i="2"/>
  <c r="AY43" i="2"/>
  <c r="AU43" i="2"/>
  <c r="BF42" i="2"/>
  <c r="AV42" i="2"/>
  <c r="AP42" i="2"/>
  <c r="AZ42" i="2" s="1"/>
  <c r="AG42" i="2"/>
  <c r="AC42" i="2"/>
  <c r="BG41" i="2"/>
  <c r="BC41" i="2"/>
  <c r="AW41" i="2"/>
  <c r="AQ41" i="2"/>
  <c r="AH41" i="2"/>
  <c r="BH40" i="2"/>
  <c r="BD40" i="2"/>
  <c r="AX40" i="2"/>
  <c r="AS40" i="2"/>
  <c r="AN40" i="2"/>
  <c r="BJ39" i="2"/>
  <c r="BE39" i="2"/>
  <c r="AY39" i="2"/>
  <c r="AU39" i="2"/>
  <c r="BF38" i="2"/>
  <c r="AV38" i="2"/>
  <c r="AP38" i="2"/>
  <c r="AZ38" i="2" s="1"/>
  <c r="AG38" i="2"/>
  <c r="AC38" i="2"/>
  <c r="BF37" i="2"/>
  <c r="AV37" i="2"/>
  <c r="AP37" i="2"/>
  <c r="AZ37" i="2" s="1"/>
  <c r="AG37" i="2"/>
  <c r="AC37" i="2"/>
  <c r="BG36" i="2"/>
  <c r="BC36" i="2"/>
  <c r="AW36" i="2"/>
  <c r="AQ36" i="2"/>
  <c r="AH36" i="2"/>
  <c r="BH35" i="2"/>
  <c r="BD35" i="2"/>
  <c r="AX35" i="2"/>
  <c r="AS35" i="2"/>
  <c r="AN35" i="2"/>
  <c r="BJ34" i="2"/>
  <c r="BE34" i="2"/>
  <c r="AY34" i="2"/>
  <c r="AU34" i="2"/>
  <c r="BF33" i="2"/>
  <c r="AV33" i="2"/>
  <c r="AP33" i="2"/>
  <c r="AZ33" i="2" s="1"/>
  <c r="AG33" i="2"/>
  <c r="AC33" i="2"/>
  <c r="BG32" i="2"/>
  <c r="BC32" i="2"/>
  <c r="AW32" i="2"/>
  <c r="AQ32" i="2"/>
  <c r="AH32" i="2"/>
  <c r="BG31" i="2"/>
  <c r="BC31" i="2"/>
  <c r="AW31" i="2"/>
  <c r="AQ31" i="2"/>
  <c r="AH31" i="2"/>
  <c r="BG30" i="2"/>
  <c r="BC30" i="2"/>
  <c r="AW30" i="2"/>
  <c r="AQ30" i="2"/>
  <c r="AH30" i="2"/>
  <c r="BJ29" i="2"/>
  <c r="BE29" i="2"/>
  <c r="AX29" i="2"/>
  <c r="AS29" i="2"/>
  <c r="AN29" i="2"/>
  <c r="BH28" i="2"/>
  <c r="BD28" i="2"/>
  <c r="AX28" i="2"/>
  <c r="AS28" i="2"/>
  <c r="AN28" i="2"/>
  <c r="BG27" i="2"/>
  <c r="BC27" i="2"/>
  <c r="AW27" i="2"/>
  <c r="AQ27" i="2"/>
  <c r="AH27" i="2"/>
  <c r="BH26" i="2"/>
  <c r="BD26" i="2"/>
  <c r="AX26" i="2"/>
  <c r="AS26" i="2"/>
  <c r="BJ25" i="2"/>
  <c r="BE25" i="2"/>
  <c r="AY25" i="2"/>
  <c r="AU25" i="2"/>
  <c r="BG24" i="2"/>
  <c r="BC24" i="2"/>
  <c r="AW24" i="2"/>
  <c r="AQ24" i="2"/>
  <c r="AH24" i="2"/>
  <c r="BH23" i="2"/>
  <c r="BD23" i="2"/>
  <c r="AX23" i="2"/>
  <c r="AS23" i="2"/>
  <c r="AN23" i="2"/>
  <c r="BJ22" i="2"/>
  <c r="BE22" i="2"/>
  <c r="AY22" i="2"/>
  <c r="AU22" i="2"/>
  <c r="BH21" i="2"/>
  <c r="BD21" i="2"/>
  <c r="AX21" i="2"/>
  <c r="AS21" i="2"/>
  <c r="AN21" i="2"/>
  <c r="BF20" i="2"/>
  <c r="AV20" i="2"/>
  <c r="AP20" i="2"/>
  <c r="AZ20" i="2" s="1"/>
  <c r="AG20" i="2"/>
  <c r="AC20" i="2"/>
  <c r="BJ19" i="2"/>
  <c r="BE19" i="2"/>
  <c r="AY19" i="2"/>
  <c r="AU19" i="2"/>
  <c r="BG17" i="2"/>
  <c r="BC17" i="2"/>
  <c r="AW17" i="2"/>
  <c r="AQ17" i="2"/>
  <c r="AH17" i="2"/>
  <c r="BF16" i="2"/>
  <c r="AV16" i="2"/>
  <c r="AP16" i="2"/>
  <c r="AZ16" i="2" s="1"/>
  <c r="AG16" i="2"/>
  <c r="AC16" i="2"/>
  <c r="BF15" i="2"/>
  <c r="AV15" i="2"/>
  <c r="AP15" i="2"/>
  <c r="AZ15" i="2" s="1"/>
  <c r="AG15" i="2"/>
  <c r="AC15" i="2"/>
  <c r="BF14" i="2"/>
  <c r="AV14" i="2"/>
  <c r="AP14" i="2"/>
  <c r="AZ14" i="2" s="1"/>
  <c r="AG14" i="2"/>
  <c r="AC14" i="2"/>
  <c r="BJ13" i="2"/>
  <c r="BE13" i="2"/>
  <c r="AY13" i="2"/>
  <c r="AU13" i="2"/>
  <c r="BH12" i="2"/>
  <c r="BD12" i="2"/>
  <c r="AX12" i="2"/>
  <c r="AS12" i="2"/>
  <c r="AN12" i="2"/>
  <c r="BJ74" i="2"/>
  <c r="AU74" i="2"/>
  <c r="BF73" i="2"/>
  <c r="BC72" i="2"/>
  <c r="BD71" i="2"/>
  <c r="BE70" i="2"/>
  <c r="AG69" i="2"/>
  <c r="BE68" i="2"/>
  <c r="AX68" i="2"/>
  <c r="BH67" i="2"/>
  <c r="BD67" i="2"/>
  <c r="AX67" i="2"/>
  <c r="AS67" i="2"/>
  <c r="AN67" i="2"/>
  <c r="BJ66" i="2"/>
  <c r="BE66" i="2"/>
  <c r="AY66" i="2"/>
  <c r="AU66" i="2"/>
  <c r="BF65" i="2"/>
  <c r="AV65" i="2"/>
  <c r="AP65" i="2"/>
  <c r="AZ65" i="2" s="1"/>
  <c r="AG65" i="2"/>
  <c r="AC65" i="2"/>
  <c r="BG64" i="2"/>
  <c r="BC64" i="2"/>
  <c r="AW64" i="2"/>
  <c r="AQ64" i="2"/>
  <c r="AH64" i="2"/>
  <c r="BH63" i="2"/>
  <c r="BD63" i="2"/>
  <c r="AX63" i="2"/>
  <c r="AS63" i="2"/>
  <c r="BJ62" i="2"/>
  <c r="BE62" i="2"/>
  <c r="AY62" i="2"/>
  <c r="AU62" i="2"/>
  <c r="BF61" i="2"/>
  <c r="AV61" i="2"/>
  <c r="AP61" i="2"/>
  <c r="AZ61" i="2" s="1"/>
  <c r="AG61" i="2"/>
  <c r="AC61" i="2"/>
  <c r="BG60" i="2"/>
  <c r="BC60" i="2"/>
  <c r="AW60" i="2"/>
  <c r="AQ60" i="2"/>
  <c r="AH60" i="2"/>
  <c r="BH59" i="2"/>
  <c r="BD59" i="2"/>
  <c r="AX59" i="2"/>
  <c r="AS59" i="2"/>
  <c r="AN59" i="2"/>
  <c r="BJ58" i="2"/>
  <c r="BE58" i="2"/>
  <c r="AY58" i="2"/>
  <c r="AU58" i="2"/>
  <c r="BF57" i="2"/>
  <c r="AV57" i="2"/>
  <c r="AP57" i="2"/>
  <c r="AZ57" i="2" s="1"/>
  <c r="AG57" i="2"/>
  <c r="AC57" i="2"/>
  <c r="BG56" i="2"/>
  <c r="BC56" i="2"/>
  <c r="AW56" i="2"/>
  <c r="AQ56" i="2"/>
  <c r="AH56" i="2"/>
  <c r="BD55" i="2"/>
  <c r="AX55" i="2"/>
  <c r="AS55" i="2"/>
  <c r="BJ54" i="2"/>
  <c r="BE54" i="2"/>
  <c r="AY54" i="2"/>
  <c r="AU54" i="2"/>
  <c r="BF53" i="2"/>
  <c r="AV53" i="2"/>
  <c r="AP53" i="2"/>
  <c r="AZ53" i="2" s="1"/>
  <c r="AG53" i="2"/>
  <c r="AC53" i="2"/>
  <c r="BG52" i="2"/>
  <c r="BC52" i="2"/>
  <c r="AW52" i="2"/>
  <c r="AQ52" i="2"/>
  <c r="AH52" i="2"/>
  <c r="BH51" i="2"/>
  <c r="BD51" i="2"/>
  <c r="AX51" i="2"/>
  <c r="AS51" i="2"/>
  <c r="AN51" i="2"/>
  <c r="BJ50" i="2"/>
  <c r="BE50" i="2"/>
  <c r="AY50" i="2"/>
  <c r="AU50" i="2"/>
  <c r="BF49" i="2"/>
  <c r="AV49" i="2"/>
  <c r="AP49" i="2"/>
  <c r="AZ49" i="2" s="1"/>
  <c r="AG49" i="2"/>
  <c r="AC49" i="2"/>
  <c r="BG48" i="2"/>
  <c r="BC48" i="2"/>
  <c r="AW48" i="2"/>
  <c r="AQ48" i="2"/>
  <c r="AH48" i="2"/>
  <c r="BH47" i="2"/>
  <c r="BD47" i="2"/>
  <c r="AS47" i="2"/>
  <c r="AN47" i="2"/>
  <c r="BJ46" i="2"/>
  <c r="BE46" i="2"/>
  <c r="AY46" i="2"/>
  <c r="AU46" i="2"/>
  <c r="BF45" i="2"/>
  <c r="AV45" i="2"/>
  <c r="AP45" i="2"/>
  <c r="AZ45" i="2" s="1"/>
  <c r="AG45" i="2"/>
  <c r="AC45" i="2"/>
  <c r="BG44" i="2"/>
  <c r="BC44" i="2"/>
  <c r="AW44" i="2"/>
  <c r="AQ44" i="2"/>
  <c r="AH44" i="2"/>
  <c r="BH43" i="2"/>
  <c r="BD43" i="2"/>
  <c r="AX43" i="2"/>
  <c r="AS43" i="2"/>
  <c r="AN43" i="2"/>
  <c r="BJ42" i="2"/>
  <c r="BE42" i="2"/>
  <c r="AY42" i="2"/>
  <c r="AU42" i="2"/>
  <c r="BF41" i="2"/>
  <c r="AV41" i="2"/>
  <c r="AP41" i="2"/>
  <c r="AZ41" i="2" s="1"/>
  <c r="AG41" i="2"/>
  <c r="AC41" i="2"/>
  <c r="BG40" i="2"/>
  <c r="BC40" i="2"/>
  <c r="AW40" i="2"/>
  <c r="AQ40" i="2"/>
  <c r="AH40" i="2"/>
  <c r="BH39" i="2"/>
  <c r="BD39" i="2"/>
  <c r="AX39" i="2"/>
  <c r="AS39" i="2"/>
  <c r="BJ38" i="2"/>
  <c r="BE38" i="2"/>
  <c r="AY38" i="2"/>
  <c r="AU38" i="2"/>
  <c r="BJ37" i="2"/>
  <c r="BE37" i="2"/>
  <c r="AY37" i="2"/>
  <c r="AU37" i="2"/>
  <c r="BF36" i="2"/>
  <c r="AV36" i="2"/>
  <c r="AP36" i="2"/>
  <c r="AZ36" i="2" s="1"/>
  <c r="AG36" i="2"/>
  <c r="AC36" i="2"/>
  <c r="BG35" i="2"/>
  <c r="BC35" i="2"/>
  <c r="AW35" i="2"/>
  <c r="AQ35" i="2"/>
  <c r="AH35" i="2"/>
  <c r="BH34" i="2"/>
  <c r="BD34" i="2"/>
  <c r="AX34" i="2"/>
  <c r="AS34" i="2"/>
  <c r="BJ33" i="2"/>
  <c r="BE33" i="2"/>
  <c r="AY33" i="2"/>
  <c r="AU33" i="2"/>
  <c r="BF32" i="2"/>
  <c r="AV32" i="2"/>
  <c r="AP32" i="2"/>
  <c r="AZ32" i="2" s="1"/>
  <c r="AG32" i="2"/>
  <c r="AC32" i="2"/>
  <c r="BF31" i="2"/>
  <c r="AV31" i="2"/>
  <c r="AP31" i="2"/>
  <c r="AZ31" i="2" s="1"/>
  <c r="AG31" i="2"/>
  <c r="AC31" i="2"/>
  <c r="BF30" i="2"/>
  <c r="AV30" i="2"/>
  <c r="AP30" i="2"/>
  <c r="AZ30" i="2" s="1"/>
  <c r="AG30" i="2"/>
  <c r="AC30" i="2"/>
  <c r="BH29" i="2"/>
  <c r="BD29" i="2"/>
  <c r="AW29" i="2"/>
  <c r="AQ29" i="2"/>
  <c r="AH29" i="2"/>
  <c r="BG28" i="2"/>
  <c r="BC28" i="2"/>
  <c r="AW28" i="2"/>
  <c r="AQ28" i="2"/>
  <c r="AH28" i="2"/>
  <c r="BF27" i="2"/>
  <c r="AV27" i="2"/>
  <c r="AP27" i="2"/>
  <c r="AZ27" i="2" s="1"/>
  <c r="AG27" i="2"/>
  <c r="AC27" i="2"/>
  <c r="BG26" i="2"/>
  <c r="BC26" i="2"/>
  <c r="AW26" i="2"/>
  <c r="AQ26" i="2"/>
  <c r="AH26" i="2"/>
  <c r="BH25" i="2"/>
  <c r="BD25" i="2"/>
  <c r="AX25" i="2"/>
  <c r="AS25" i="2"/>
  <c r="AN25" i="2"/>
  <c r="BF24" i="2"/>
  <c r="AV24" i="2"/>
  <c r="AP24" i="2"/>
  <c r="AZ24" i="2" s="1"/>
  <c r="AG24" i="2"/>
  <c r="AC24" i="2"/>
  <c r="BG23" i="2"/>
  <c r="BC23" i="2"/>
  <c r="AW23" i="2"/>
  <c r="AQ23" i="2"/>
  <c r="AH23" i="2"/>
  <c r="BH22" i="2"/>
  <c r="BD22" i="2"/>
  <c r="AX22" i="2"/>
  <c r="AS22" i="2"/>
  <c r="AN22" i="2"/>
  <c r="BG21" i="2"/>
  <c r="BC21" i="2"/>
  <c r="AW21" i="2"/>
  <c r="AQ21" i="2"/>
  <c r="AH21" i="2"/>
  <c r="BJ20" i="2"/>
  <c r="BE20" i="2"/>
  <c r="AY20" i="2"/>
  <c r="AU20" i="2"/>
  <c r="BH19" i="2"/>
  <c r="BD19" i="2"/>
  <c r="AX19" i="2"/>
  <c r="AS19" i="2"/>
  <c r="BF17" i="2"/>
  <c r="AV17" i="2"/>
  <c r="AP17" i="2"/>
  <c r="AZ17" i="2" s="1"/>
  <c r="AG17" i="2"/>
  <c r="AC17" i="2"/>
  <c r="BJ16" i="2"/>
  <c r="BE16" i="2"/>
  <c r="AY16" i="2"/>
  <c r="AU16" i="2"/>
  <c r="BJ15" i="2"/>
  <c r="BE15" i="2"/>
  <c r="AY15" i="2"/>
  <c r="AU15" i="2"/>
  <c r="BJ14" i="2"/>
  <c r="BE14" i="2"/>
  <c r="AY14" i="2"/>
  <c r="AU14" i="2"/>
  <c r="BH13" i="2"/>
  <c r="BD13" i="2"/>
  <c r="AX13" i="2"/>
  <c r="AS13" i="2"/>
  <c r="AN13" i="2"/>
  <c r="BG12" i="2"/>
  <c r="BC12" i="2"/>
  <c r="AW12" i="2"/>
  <c r="AQ12" i="2"/>
  <c r="AH12" i="2"/>
  <c r="BF11" i="2"/>
  <c r="AV11" i="2"/>
  <c r="BG11" i="2"/>
  <c r="AQ11" i="2"/>
  <c r="AG11" i="2"/>
  <c r="BC10" i="2"/>
  <c r="AS10" i="2"/>
  <c r="AH10" i="2"/>
  <c r="BG9" i="2"/>
  <c r="AS9" i="2"/>
  <c r="AN9" i="2"/>
  <c r="BG8" i="2"/>
  <c r="AV8" i="2"/>
  <c r="AP8" i="2"/>
  <c r="AZ8" i="2" s="1"/>
  <c r="AG8" i="2"/>
  <c r="AC8" i="2"/>
  <c r="BJ7" i="2"/>
  <c r="BE7" i="2"/>
  <c r="AY7" i="2"/>
  <c r="AU7" i="2"/>
  <c r="BH6" i="2"/>
  <c r="BD6" i="2"/>
  <c r="AX6" i="2"/>
  <c r="AS6" i="2"/>
  <c r="AN6" i="2"/>
  <c r="BH5" i="2"/>
  <c r="BD5" i="2"/>
  <c r="AX5" i="2"/>
  <c r="AS5" i="2"/>
  <c r="AN5" i="2"/>
  <c r="BH4" i="2"/>
  <c r="BD4" i="2"/>
  <c r="AX4" i="2"/>
  <c r="AS4" i="2"/>
  <c r="AN4" i="2"/>
  <c r="BG3" i="2"/>
  <c r="BC3" i="2"/>
  <c r="AW3" i="2"/>
  <c r="AQ3" i="2"/>
  <c r="AH3" i="2"/>
  <c r="BH2" i="2"/>
  <c r="BD2" i="2"/>
  <c r="AX2" i="2"/>
  <c r="AS2" i="2"/>
  <c r="AN2" i="2"/>
  <c r="BC11" i="2"/>
  <c r="AP11" i="2"/>
  <c r="AZ11" i="2" s="1"/>
  <c r="BH10" i="2"/>
  <c r="AQ10" i="2"/>
  <c r="BF9" i="2"/>
  <c r="AX9" i="2"/>
  <c r="AQ9" i="2"/>
  <c r="AH9" i="2"/>
  <c r="AC9" i="2"/>
  <c r="BF8" i="2"/>
  <c r="AY8" i="2"/>
  <c r="AU8" i="2"/>
  <c r="BH7" i="2"/>
  <c r="BD7" i="2"/>
  <c r="AX7" i="2"/>
  <c r="AS7" i="2"/>
  <c r="AN7" i="2"/>
  <c r="BG6" i="2"/>
  <c r="BC6" i="2"/>
  <c r="AW6" i="2"/>
  <c r="AQ6" i="2"/>
  <c r="AH6" i="2"/>
  <c r="BG5" i="2"/>
  <c r="BC5" i="2"/>
  <c r="AW5" i="2"/>
  <c r="AQ5" i="2"/>
  <c r="AH5" i="2"/>
  <c r="BG4" i="2"/>
  <c r="BC4" i="2"/>
  <c r="AW4" i="2"/>
  <c r="AQ4" i="2"/>
  <c r="AH4" i="2"/>
  <c r="BF3" i="2"/>
  <c r="AV3" i="2"/>
  <c r="AP3" i="2"/>
  <c r="AZ3" i="2" s="1"/>
  <c r="AG3" i="2"/>
  <c r="AC3" i="2"/>
  <c r="BG2" i="2"/>
  <c r="BC2" i="2"/>
  <c r="AW2" i="2"/>
  <c r="AQ2" i="2"/>
  <c r="AH2" i="2"/>
  <c r="AC11" i="2"/>
  <c r="BG10" i="2"/>
  <c r="AX10" i="2"/>
  <c r="BD9" i="2"/>
  <c r="AW9" i="2"/>
  <c r="AP9" i="2"/>
  <c r="AZ9" i="2" s="1"/>
  <c r="AG9" i="2"/>
  <c r="BE8" i="2"/>
  <c r="AX8" i="2"/>
  <c r="AS8" i="2"/>
  <c r="AN8" i="2"/>
  <c r="BG7" i="2"/>
  <c r="BC7" i="2"/>
  <c r="AW7" i="2"/>
  <c r="AQ7" i="2"/>
  <c r="AH7" i="2"/>
  <c r="BF6" i="2"/>
  <c r="AV6" i="2"/>
  <c r="AP6" i="2"/>
  <c r="AZ6" i="2" s="1"/>
  <c r="AG6" i="2"/>
  <c r="AC6" i="2"/>
  <c r="BF5" i="2"/>
  <c r="AV5" i="2"/>
  <c r="AP5" i="2"/>
  <c r="AZ5" i="2" s="1"/>
  <c r="AG5" i="2"/>
  <c r="AC5" i="2"/>
  <c r="BF4" i="2"/>
  <c r="AV4" i="2"/>
  <c r="AP4" i="2"/>
  <c r="AZ4" i="2" s="1"/>
  <c r="AG4" i="2"/>
  <c r="AC4" i="2"/>
  <c r="BJ3" i="2"/>
  <c r="BE3" i="2"/>
  <c r="AY3" i="2"/>
  <c r="AU3" i="2"/>
  <c r="BF2" i="2"/>
  <c r="AV2" i="2"/>
  <c r="AP2" i="2"/>
  <c r="AZ2" i="2" s="1"/>
  <c r="AG2" i="2"/>
  <c r="AC2" i="2"/>
  <c r="AW11" i="2"/>
  <c r="AH11" i="2"/>
  <c r="BD10" i="2"/>
  <c r="AW10" i="2"/>
  <c r="AN10" i="2"/>
  <c r="BC9" i="2"/>
  <c r="AV9" i="2"/>
  <c r="BJ8" i="2"/>
  <c r="BC8" i="2"/>
  <c r="AW8" i="2"/>
  <c r="AQ8" i="2"/>
  <c r="AH8" i="2"/>
  <c r="BF7" i="2"/>
  <c r="AV7" i="2"/>
  <c r="AP7" i="2"/>
  <c r="AZ7" i="2" s="1"/>
  <c r="AG7" i="2"/>
  <c r="AC7" i="2"/>
  <c r="BJ6" i="2"/>
  <c r="BE6" i="2"/>
  <c r="AY6" i="2"/>
  <c r="AU6" i="2"/>
  <c r="BJ5" i="2"/>
  <c r="BE5" i="2"/>
  <c r="AY5" i="2"/>
  <c r="AU5" i="2"/>
  <c r="BJ4" i="2"/>
  <c r="BE4" i="2"/>
  <c r="AY4" i="2"/>
  <c r="AU4" i="2"/>
  <c r="BH3" i="2"/>
  <c r="BD3" i="2"/>
  <c r="AX3" i="2"/>
  <c r="AS3" i="2"/>
  <c r="AN3" i="2"/>
  <c r="BJ2" i="2"/>
  <c r="BE2" i="2"/>
  <c r="AY2" i="2"/>
  <c r="AU2" i="2"/>
  <c r="R151" i="1"/>
  <c r="H156" i="1"/>
  <c r="H158" i="1"/>
  <c r="R333" i="1"/>
  <c r="J368" i="1"/>
  <c r="I464" i="1"/>
  <c r="R660" i="1"/>
  <c r="R731" i="1"/>
  <c r="R1084" i="1"/>
  <c r="N1200" i="1"/>
  <c r="Q1333" i="1"/>
  <c r="BG78" i="2" s="1"/>
  <c r="S1721" i="1"/>
  <c r="S1727" i="1"/>
  <c r="S1737" i="1"/>
  <c r="S1741" i="1"/>
  <c r="S1745" i="1"/>
  <c r="S1749" i="1"/>
  <c r="S1753" i="1"/>
  <c r="S1757" i="1"/>
  <c r="S1761" i="1"/>
  <c r="S1767" i="1"/>
  <c r="S1771" i="1"/>
  <c r="S1775" i="1"/>
  <c r="S1779" i="1"/>
  <c r="S1828" i="1"/>
  <c r="S1860" i="1"/>
  <c r="S1864" i="1"/>
  <c r="S1866" i="1"/>
  <c r="S1868" i="1"/>
  <c r="S1889" i="1"/>
  <c r="S1893" i="1"/>
  <c r="S1897" i="1"/>
  <c r="S1909" i="1"/>
  <c r="S1919" i="1"/>
  <c r="S1923" i="1"/>
  <c r="S1935" i="1"/>
  <c r="S1939" i="1"/>
  <c r="S1943" i="1"/>
  <c r="S2099" i="1"/>
  <c r="S2109" i="1"/>
  <c r="S2113" i="1"/>
  <c r="S2117" i="1"/>
  <c r="S2121" i="1"/>
  <c r="S2335" i="1"/>
  <c r="R2335" i="1"/>
  <c r="S4263" i="1"/>
  <c r="R4263" i="1"/>
  <c r="H1667" i="1"/>
  <c r="P1975" i="1"/>
  <c r="M1975" i="1" s="1"/>
  <c r="O1975" i="1" s="1"/>
  <c r="S4261" i="1"/>
  <c r="R4261" i="1"/>
  <c r="I374" i="1"/>
  <c r="H611" i="1"/>
  <c r="R15" i="1"/>
  <c r="R37" i="1"/>
  <c r="R41" i="1"/>
  <c r="R64" i="1"/>
  <c r="R67" i="1"/>
  <c r="R319" i="1"/>
  <c r="R335" i="1"/>
  <c r="R343" i="1"/>
  <c r="N371" i="1"/>
  <c r="S371" i="1"/>
  <c r="N373" i="1"/>
  <c r="N375" i="1"/>
  <c r="I436" i="1"/>
  <c r="R511" i="1"/>
  <c r="R529" i="1"/>
  <c r="R533" i="1"/>
  <c r="R537" i="1"/>
  <c r="R541" i="1"/>
  <c r="R545" i="1"/>
  <c r="R549" i="1"/>
  <c r="R604" i="1"/>
  <c r="R610" i="1"/>
  <c r="R614" i="1"/>
  <c r="R636" i="1"/>
  <c r="R642" i="1"/>
  <c r="R672" i="1"/>
  <c r="R729" i="1"/>
  <c r="R733" i="1"/>
  <c r="R737" i="1"/>
  <c r="R741" i="1"/>
  <c r="R745" i="1"/>
  <c r="R767" i="1"/>
  <c r="R813" i="1"/>
  <c r="R817" i="1"/>
  <c r="R847" i="1"/>
  <c r="R1015" i="1"/>
  <c r="R1019" i="1"/>
  <c r="R1027" i="1"/>
  <c r="R1031" i="1"/>
  <c r="R1202" i="1"/>
  <c r="R1208" i="1"/>
  <c r="R1212" i="1"/>
  <c r="R1216" i="1"/>
  <c r="R1220" i="1"/>
  <c r="R1233" i="1"/>
  <c r="R1256" i="1"/>
  <c r="R1260" i="1"/>
  <c r="R1264" i="1"/>
  <c r="R1273" i="1"/>
  <c r="R1305" i="1"/>
  <c r="L1331" i="1"/>
  <c r="O1331" i="1" s="1"/>
  <c r="R1399" i="1"/>
  <c r="R1407" i="1"/>
  <c r="R1502" i="1"/>
  <c r="R1506" i="1"/>
  <c r="R1516" i="1"/>
  <c r="R1526" i="1"/>
  <c r="R1530" i="1"/>
  <c r="R1534" i="1"/>
  <c r="R1538" i="1"/>
  <c r="P1553" i="1"/>
  <c r="M1553" i="1" s="1"/>
  <c r="O1553" i="1" s="1"/>
  <c r="N1557" i="1"/>
  <c r="N1561" i="1"/>
  <c r="N1565" i="1"/>
  <c r="N1569" i="1"/>
  <c r="R1596" i="1"/>
  <c r="R1600" i="1"/>
  <c r="R1604" i="1"/>
  <c r="R1612" i="1"/>
  <c r="R1652" i="1"/>
  <c r="R1666" i="1"/>
  <c r="R1723" i="1"/>
  <c r="R1729" i="1"/>
  <c r="R1788" i="1"/>
  <c r="R1792" i="1"/>
  <c r="R1796" i="1"/>
  <c r="R1800" i="1"/>
  <c r="R1804" i="1"/>
  <c r="R1808" i="1"/>
  <c r="R1812" i="1"/>
  <c r="R1816" i="1"/>
  <c r="R1872" i="1"/>
  <c r="R1880" i="1"/>
  <c r="R1962" i="1"/>
  <c r="R2002" i="1"/>
  <c r="R2006" i="1"/>
  <c r="R2010" i="1"/>
  <c r="R2014" i="1"/>
  <c r="R2018" i="1"/>
  <c r="R2036" i="1"/>
  <c r="R2040" i="1"/>
  <c r="R2044" i="1"/>
  <c r="R2140" i="1"/>
  <c r="CD29" i="2"/>
  <c r="S2194" i="1"/>
  <c r="S2333" i="1"/>
  <c r="R2333" i="1"/>
  <c r="R2337" i="1"/>
  <c r="S2337" i="1"/>
  <c r="R4259" i="1"/>
  <c r="S4259" i="1"/>
  <c r="R4267" i="1"/>
  <c r="S4267" i="1"/>
  <c r="CE5" i="2"/>
  <c r="S604" i="1"/>
  <c r="S1652" i="1"/>
  <c r="R2099" i="1"/>
  <c r="R2136" i="1"/>
  <c r="J2195" i="1"/>
  <c r="N2194" i="1"/>
  <c r="R2194" i="1"/>
  <c r="R2200" i="1"/>
  <c r="S3326" i="1"/>
  <c r="H3327" i="1"/>
  <c r="S4257" i="1"/>
  <c r="R4257" i="1"/>
  <c r="S4265" i="1"/>
  <c r="R4265" i="1"/>
  <c r="CE4" i="2"/>
  <c r="R3140" i="1"/>
  <c r="R3144" i="1"/>
  <c r="R3148" i="1"/>
  <c r="R3152" i="1"/>
  <c r="R3162" i="1"/>
  <c r="R3166" i="1"/>
  <c r="R3170" i="1"/>
  <c r="R3174" i="1"/>
  <c r="R3188" i="1"/>
  <c r="R3196" i="1"/>
  <c r="R3275" i="1"/>
  <c r="R3279" i="1"/>
  <c r="R3283" i="1"/>
  <c r="R3295" i="1"/>
  <c r="R3299" i="1"/>
  <c r="R3303" i="1"/>
  <c r="R3307" i="1"/>
  <c r="R3311" i="1"/>
  <c r="R3328" i="1"/>
  <c r="R3334" i="1"/>
  <c r="R3342" i="1"/>
  <c r="R3360" i="1"/>
  <c r="R3441" i="1"/>
  <c r="R4546" i="1"/>
  <c r="N3789" i="1"/>
  <c r="H4013" i="1"/>
  <c r="S4039" i="1"/>
  <c r="S4058" i="1"/>
  <c r="S4066" i="1"/>
  <c r="S4098" i="1"/>
  <c r="N4141" i="1"/>
  <c r="S4141" i="1"/>
  <c r="S4145" i="1"/>
  <c r="S4149" i="1"/>
  <c r="S4153" i="1"/>
  <c r="S4157" i="1"/>
  <c r="S4161" i="1"/>
  <c r="S4165" i="1"/>
  <c r="S4179" i="1"/>
  <c r="S4183" i="1"/>
  <c r="S4187" i="1"/>
  <c r="S4223" i="1"/>
  <c r="S4241" i="1"/>
  <c r="S4245" i="1"/>
  <c r="S4249" i="1"/>
  <c r="S4253" i="1"/>
  <c r="S4283" i="1"/>
  <c r="S943" i="1"/>
  <c r="S947" i="1"/>
  <c r="S4304" i="1"/>
  <c r="S4308" i="1"/>
  <c r="S4312" i="1"/>
  <c r="S4404" i="1"/>
  <c r="CE28" i="2"/>
  <c r="CE30" i="2"/>
  <c r="R2307" i="1"/>
  <c r="R2315" i="1"/>
  <c r="R2323" i="1"/>
  <c r="R2354" i="1"/>
  <c r="R2358" i="1"/>
  <c r="R2391" i="1"/>
  <c r="R2395" i="1"/>
  <c r="R2399" i="1"/>
  <c r="R2403" i="1"/>
  <c r="R2416" i="1"/>
  <c r="R2420" i="1"/>
  <c r="R2464" i="1"/>
  <c r="R2468" i="1"/>
  <c r="R2472" i="1"/>
  <c r="R2476" i="1"/>
  <c r="R2493" i="1"/>
  <c r="R2501" i="1"/>
  <c r="R2509" i="1"/>
  <c r="R2539" i="1"/>
  <c r="R2543" i="1"/>
  <c r="R2547" i="1"/>
  <c r="R2555" i="1"/>
  <c r="R2559" i="1"/>
  <c r="R2563" i="1"/>
  <c r="R2567" i="1"/>
  <c r="R2577" i="1"/>
  <c r="R2581" i="1"/>
  <c r="R2585" i="1"/>
  <c r="R2589" i="1"/>
  <c r="R2646" i="1"/>
  <c r="R2650" i="1"/>
  <c r="R2654" i="1"/>
  <c r="R2658" i="1"/>
  <c r="R4568" i="1"/>
  <c r="R2679" i="1"/>
  <c r="R2687" i="1"/>
  <c r="R2695" i="1"/>
  <c r="R2703" i="1"/>
  <c r="R2719" i="1"/>
  <c r="R2755" i="1"/>
  <c r="R2759" i="1"/>
  <c r="R2763" i="1"/>
  <c r="R2767" i="1"/>
  <c r="R2781" i="1"/>
  <c r="R2785" i="1"/>
  <c r="R2789" i="1"/>
  <c r="R2793" i="1"/>
  <c r="R2797" i="1"/>
  <c r="R2805" i="1"/>
  <c r="R2809" i="1"/>
  <c r="R2813" i="1"/>
  <c r="J2822" i="1"/>
  <c r="U2915" i="1"/>
  <c r="R2917" i="1"/>
  <c r="R2921" i="1"/>
  <c r="R2991" i="1"/>
  <c r="R3023" i="1"/>
  <c r="R3055" i="1"/>
  <c r="R3118" i="1"/>
  <c r="R3190" i="1"/>
  <c r="R3332" i="1"/>
  <c r="R3340" i="1"/>
  <c r="R3453" i="1"/>
  <c r="R3457" i="1"/>
  <c r="R3475" i="1"/>
  <c r="R3479" i="1"/>
  <c r="R3483" i="1"/>
  <c r="R3531" i="1"/>
  <c r="R3535" i="1"/>
  <c r="R3539" i="1"/>
  <c r="R3543" i="1"/>
  <c r="R3547" i="1"/>
  <c r="R3551" i="1"/>
  <c r="R3611" i="1"/>
  <c r="R3615" i="1"/>
  <c r="R3619" i="1"/>
  <c r="CE10" i="2"/>
  <c r="S2259" i="1"/>
  <c r="R2309" i="1"/>
  <c r="R2317" i="1"/>
  <c r="R2325" i="1"/>
  <c r="R2352" i="1"/>
  <c r="N3023" i="1"/>
  <c r="S3118" i="1"/>
  <c r="S3405" i="1"/>
  <c r="R3675" i="1"/>
  <c r="R3679" i="1"/>
  <c r="R3683" i="1"/>
  <c r="R3729" i="1"/>
  <c r="R3771" i="1"/>
  <c r="R3775" i="1"/>
  <c r="R3791" i="1"/>
  <c r="R3799" i="1"/>
  <c r="R3809" i="1"/>
  <c r="R3819" i="1"/>
  <c r="R3823" i="1"/>
  <c r="R3955" i="1"/>
  <c r="R3963" i="1"/>
  <c r="R3982" i="1"/>
  <c r="R3986" i="1"/>
  <c r="R3990" i="1"/>
  <c r="R3994" i="1"/>
  <c r="R3998" i="1"/>
  <c r="R4018" i="1"/>
  <c r="R4026" i="1"/>
  <c r="R4056" i="1"/>
  <c r="R4064" i="1"/>
  <c r="R4074" i="1"/>
  <c r="R4078" i="1"/>
  <c r="R4082" i="1"/>
  <c r="R4100" i="1"/>
  <c r="R4106" i="1"/>
  <c r="R4110" i="1"/>
  <c r="R4114" i="1"/>
  <c r="R4118" i="1"/>
  <c r="R4122" i="1"/>
  <c r="R4126" i="1"/>
  <c r="R4130" i="1"/>
  <c r="CD6" i="2"/>
  <c r="CE6" i="2" s="1"/>
  <c r="CE26" i="2"/>
  <c r="R2579" i="1"/>
  <c r="S3663" i="1"/>
  <c r="N3791" i="1"/>
  <c r="CE25" i="2"/>
  <c r="CE31" i="2"/>
  <c r="AA282" i="2"/>
  <c r="AA175" i="2"/>
  <c r="AA275" i="2"/>
  <c r="AA24" i="2"/>
  <c r="X254" i="2"/>
  <c r="AA101" i="2"/>
  <c r="AA128" i="2"/>
  <c r="AA147" i="2"/>
  <c r="AA286" i="2"/>
  <c r="AA167" i="2"/>
  <c r="AA132" i="2"/>
  <c r="AA177" i="2"/>
  <c r="AA317" i="2"/>
  <c r="AA253" i="2"/>
  <c r="AA290" i="2"/>
  <c r="AA173" i="2"/>
  <c r="BL162" i="2"/>
  <c r="AA162" i="2"/>
  <c r="AA115" i="2"/>
  <c r="AA92" i="2"/>
  <c r="AA127" i="2"/>
  <c r="AA336" i="2"/>
  <c r="AA325" i="2"/>
  <c r="BL316" i="2"/>
  <c r="X138" i="2"/>
  <c r="BL49" i="2"/>
  <c r="AA49" i="2"/>
  <c r="AA241" i="2"/>
  <c r="AA76" i="2"/>
  <c r="BL197" i="2"/>
  <c r="BL237" i="2"/>
  <c r="BL73" i="2"/>
  <c r="BL229" i="2"/>
  <c r="AA16" i="2"/>
  <c r="AA311" i="2"/>
  <c r="AA306" i="2"/>
  <c r="AA37" i="2"/>
  <c r="AA73" i="2"/>
  <c r="X203" i="2"/>
  <c r="AA264" i="2"/>
  <c r="AA298" i="2"/>
  <c r="AA19" i="2"/>
  <c r="AA82" i="2"/>
  <c r="AA88" i="2"/>
  <c r="AA42" i="2"/>
  <c r="BL201" i="2"/>
  <c r="AA65" i="2"/>
  <c r="AA215" i="2"/>
  <c r="AA299" i="2"/>
  <c r="AA237" i="2"/>
  <c r="AA38" i="2"/>
  <c r="AA227" i="2"/>
  <c r="AA151" i="2"/>
  <c r="AA211" i="2"/>
  <c r="AA233" i="2"/>
  <c r="AA295" i="2"/>
  <c r="AA119" i="2"/>
  <c r="AA158" i="2"/>
  <c r="AA28" i="2"/>
  <c r="BL37" i="2"/>
  <c r="AA303" i="2"/>
  <c r="AA139" i="2"/>
  <c r="AA197" i="2"/>
  <c r="AA218" i="2"/>
  <c r="AA229" i="2"/>
  <c r="AA69" i="2"/>
  <c r="BL69" i="2"/>
  <c r="AA60" i="2"/>
  <c r="BL60" i="2"/>
  <c r="AA34" i="2"/>
  <c r="BL52" i="2"/>
  <c r="BL41" i="2"/>
  <c r="BL93" i="2"/>
  <c r="BL270" i="2"/>
  <c r="BL185" i="2"/>
  <c r="BL190" i="2"/>
  <c r="AA266" i="2"/>
  <c r="BL266" i="2"/>
  <c r="BL275" i="2"/>
  <c r="X293" i="2"/>
  <c r="AA46" i="2"/>
  <c r="BL48" i="2"/>
  <c r="AA94" i="2"/>
  <c r="BL211" i="2"/>
  <c r="BL223" i="2"/>
  <c r="BL307" i="2"/>
  <c r="BL281" i="2"/>
  <c r="BL146" i="2"/>
  <c r="BL165" i="2"/>
  <c r="AA165" i="2"/>
  <c r="BL173" i="2"/>
  <c r="BL233" i="2"/>
  <c r="BL287" i="2"/>
  <c r="AA287" i="2"/>
  <c r="X308" i="2"/>
  <c r="BL324" i="2"/>
  <c r="AA56" i="2"/>
  <c r="AA14" i="2"/>
  <c r="AA72" i="2"/>
  <c r="BL89" i="2"/>
  <c r="BL134" i="2"/>
  <c r="BL207" i="2"/>
  <c r="BL218" i="2"/>
  <c r="AA281" i="2"/>
  <c r="BL17" i="2"/>
  <c r="BL27" i="2"/>
  <c r="AA85" i="2"/>
  <c r="BL262" i="2"/>
  <c r="AA262" i="2"/>
  <c r="AA270" i="2"/>
  <c r="BL302" i="2"/>
  <c r="X27" i="2"/>
  <c r="AA89" i="2"/>
  <c r="AA134" i="2"/>
  <c r="BL135" i="2"/>
  <c r="AA135" i="2"/>
  <c r="BL154" i="2"/>
  <c r="AA154" i="2"/>
  <c r="BL181" i="2"/>
  <c r="AA185" i="2"/>
  <c r="BL246" i="2"/>
  <c r="AA250" i="2"/>
  <c r="AA78" i="2"/>
  <c r="AA53" i="2"/>
  <c r="AA100" i="2"/>
  <c r="BL161" i="2"/>
  <c r="AA161" i="2"/>
  <c r="BL174" i="2"/>
  <c r="BL326" i="2"/>
  <c r="X15" i="2"/>
  <c r="BL45" i="2"/>
  <c r="AA57" i="2"/>
  <c r="BL61" i="2"/>
  <c r="AA61" i="2"/>
  <c r="BL86" i="2"/>
  <c r="AA86" i="2"/>
  <c r="AA146" i="2"/>
  <c r="AA302" i="2"/>
  <c r="AA27" i="2"/>
  <c r="AA96" i="2"/>
  <c r="BL97" i="2"/>
  <c r="AA102" i="2"/>
  <c r="BL137" i="2"/>
  <c r="AA246" i="2"/>
  <c r="AA17" i="2"/>
  <c r="BL77" i="2"/>
  <c r="AA77" i="2"/>
  <c r="AA81" i="2"/>
  <c r="BL82" i="2"/>
  <c r="AA122" i="2"/>
  <c r="BL131" i="2"/>
  <c r="AA131" i="2"/>
  <c r="BL291" i="2"/>
  <c r="AA291" i="2"/>
  <c r="AA326" i="2"/>
  <c r="AA21" i="2"/>
  <c r="BL264" i="2"/>
  <c r="BL298" i="2"/>
  <c r="BL320" i="2"/>
  <c r="AA340" i="2"/>
  <c r="BL340" i="2"/>
  <c r="BL19" i="2"/>
  <c r="BL21" i="2"/>
  <c r="AA98" i="2"/>
  <c r="BL177" i="2"/>
  <c r="AA181" i="2"/>
  <c r="BL241" i="2"/>
  <c r="BL341" i="2"/>
  <c r="BL14" i="2"/>
  <c r="BL143" i="2"/>
  <c r="AA143" i="2"/>
  <c r="BL150" i="2"/>
  <c r="AA170" i="2"/>
  <c r="BL170" i="2"/>
  <c r="AA142" i="2"/>
  <c r="AA150" i="2"/>
  <c r="AA157" i="2"/>
  <c r="AA274" i="2"/>
  <c r="BL335" i="2"/>
  <c r="X122" i="2"/>
  <c r="AA193" i="2"/>
  <c r="AA307" i="2"/>
  <c r="BL339" i="2"/>
  <c r="AA93" i="2"/>
  <c r="AA279" i="2"/>
  <c r="BL318" i="2"/>
  <c r="BL167" i="2"/>
  <c r="BL305" i="2"/>
  <c r="AA97" i="2"/>
  <c r="AA137" i="2"/>
  <c r="AA174" i="2"/>
  <c r="BL337" i="2"/>
  <c r="AA207" i="2"/>
  <c r="AA223" i="2"/>
  <c r="AA267" i="2"/>
  <c r="AA318" i="2"/>
  <c r="X69" i="2"/>
  <c r="AA124" i="2"/>
  <c r="BL138" i="2"/>
  <c r="BL157" i="2"/>
  <c r="AA186" i="2"/>
  <c r="AA201" i="2"/>
  <c r="AA294" i="2"/>
  <c r="AA322" i="2"/>
  <c r="AA116" i="2"/>
  <c r="BL142" i="2"/>
  <c r="AA187" i="2"/>
  <c r="X190" i="2"/>
  <c r="BL274" i="2"/>
  <c r="AA337" i="2"/>
  <c r="AA126" i="2"/>
  <c r="AA138" i="2"/>
  <c r="X265" i="2"/>
  <c r="AA341" i="2"/>
  <c r="AA84" i="2"/>
  <c r="BL84" i="2"/>
  <c r="AA9" i="2"/>
  <c r="BL9" i="2"/>
  <c r="BL2" i="2"/>
  <c r="AA2" i="2"/>
  <c r="AA5" i="2"/>
  <c r="BL5" i="2"/>
  <c r="AA55" i="2"/>
  <c r="BL55" i="2"/>
  <c r="AA91" i="2"/>
  <c r="BL91" i="2"/>
  <c r="AA7" i="2"/>
  <c r="BL7" i="2"/>
  <c r="AA103" i="2"/>
  <c r="BL103" i="2"/>
  <c r="BL3" i="2"/>
  <c r="AA3" i="2"/>
  <c r="AA35" i="2"/>
  <c r="BL35" i="2"/>
  <c r="AA10" i="2"/>
  <c r="BL10" i="2"/>
  <c r="AA30" i="2"/>
  <c r="BL30" i="2"/>
  <c r="AA95" i="2"/>
  <c r="BL95" i="2"/>
  <c r="AA6" i="2"/>
  <c r="BL6" i="2"/>
  <c r="AA4" i="2"/>
  <c r="AA87" i="2"/>
  <c r="BL87" i="2"/>
  <c r="AA44" i="2"/>
  <c r="BL44" i="2"/>
  <c r="AA75" i="2"/>
  <c r="BL75" i="2"/>
  <c r="BL11" i="2"/>
  <c r="AA11" i="2"/>
  <c r="AA22" i="2"/>
  <c r="BL22" i="2"/>
  <c r="BL31" i="2"/>
  <c r="AA50" i="2"/>
  <c r="BL50" i="2"/>
  <c r="AA71" i="2"/>
  <c r="BL71" i="2"/>
  <c r="AA188" i="2"/>
  <c r="BL188" i="2"/>
  <c r="AA235" i="2"/>
  <c r="BL235" i="2"/>
  <c r="AA104" i="2"/>
  <c r="BL104" i="2"/>
  <c r="AA120" i="2"/>
  <c r="AA133" i="2"/>
  <c r="BL133" i="2"/>
  <c r="BL13" i="2"/>
  <c r="AA15" i="2"/>
  <c r="AA23" i="2"/>
  <c r="AA47" i="2"/>
  <c r="BL47" i="2"/>
  <c r="BL107" i="2"/>
  <c r="AA107" i="2"/>
  <c r="AA62" i="2"/>
  <c r="BL62" i="2"/>
  <c r="BL113" i="2"/>
  <c r="AA113" i="2"/>
  <c r="BL8" i="2"/>
  <c r="BL23" i="2"/>
  <c r="BL33" i="2"/>
  <c r="AA67" i="2"/>
  <c r="BL67" i="2"/>
  <c r="AA12" i="2"/>
  <c r="AA90" i="2"/>
  <c r="BL117" i="2"/>
  <c r="AA117" i="2"/>
  <c r="AA130" i="2"/>
  <c r="AA26" i="2"/>
  <c r="AA31" i="2"/>
  <c r="AA58" i="2"/>
  <c r="BL58" i="2"/>
  <c r="BL105" i="2"/>
  <c r="AA105" i="2"/>
  <c r="BL108" i="2"/>
  <c r="AA108" i="2"/>
  <c r="AA8" i="2"/>
  <c r="AA13" i="2"/>
  <c r="AA36" i="2"/>
  <c r="AA51" i="2"/>
  <c r="BL51" i="2"/>
  <c r="AA80" i="2"/>
  <c r="BL80" i="2"/>
  <c r="BL111" i="2"/>
  <c r="AA33" i="2"/>
  <c r="AA40" i="2"/>
  <c r="BL40" i="2"/>
  <c r="AA68" i="2"/>
  <c r="AA213" i="2"/>
  <c r="BL213" i="2"/>
  <c r="BL16" i="2"/>
  <c r="AA43" i="2"/>
  <c r="BL43" i="2"/>
  <c r="AA54" i="2"/>
  <c r="BL54" i="2"/>
  <c r="BL68" i="2"/>
  <c r="AA70" i="2"/>
  <c r="BL70" i="2"/>
  <c r="AA32" i="2"/>
  <c r="AA63" i="2"/>
  <c r="BL63" i="2"/>
  <c r="AA136" i="2"/>
  <c r="BL136" i="2"/>
  <c r="AA20" i="2"/>
  <c r="AA25" i="2"/>
  <c r="BL32" i="2"/>
  <c r="BL101" i="2"/>
  <c r="X103" i="2"/>
  <c r="AA106" i="2"/>
  <c r="BL106" i="2"/>
  <c r="AA39" i="2"/>
  <c r="BL39" i="2"/>
  <c r="AA99" i="2"/>
  <c r="BL99" i="2"/>
  <c r="AA191" i="2"/>
  <c r="BL191" i="2"/>
  <c r="AA200" i="2"/>
  <c r="BL200" i="2"/>
  <c r="BL15" i="2"/>
  <c r="BL24" i="2"/>
  <c r="AA66" i="2"/>
  <c r="BL66" i="2"/>
  <c r="AA83" i="2"/>
  <c r="AA111" i="2"/>
  <c r="BL112" i="2"/>
  <c r="AA112" i="2"/>
  <c r="BL123" i="2"/>
  <c r="AA123" i="2"/>
  <c r="AA29" i="2"/>
  <c r="BL29" i="2"/>
  <c r="AA59" i="2"/>
  <c r="BL59" i="2"/>
  <c r="AA64" i="2"/>
  <c r="BL72" i="2"/>
  <c r="BL76" i="2"/>
  <c r="BL81" i="2"/>
  <c r="BL88" i="2"/>
  <c r="BL92" i="2"/>
  <c r="BL96" i="2"/>
  <c r="BL100" i="2"/>
  <c r="BL110" i="2"/>
  <c r="AA140" i="2"/>
  <c r="BL140" i="2"/>
  <c r="AA159" i="2"/>
  <c r="BL159" i="2"/>
  <c r="AA41" i="2"/>
  <c r="AA45" i="2"/>
  <c r="AA48" i="2"/>
  <c r="AA52" i="2"/>
  <c r="BL127" i="2"/>
  <c r="AA153" i="2"/>
  <c r="BL153" i="2"/>
  <c r="AA156" i="2"/>
  <c r="BL156" i="2"/>
  <c r="AA217" i="2"/>
  <c r="BL217" i="2"/>
  <c r="AA238" i="2"/>
  <c r="BL238" i="2"/>
  <c r="BL114" i="2"/>
  <c r="BL118" i="2"/>
  <c r="AA220" i="2"/>
  <c r="BL220" i="2"/>
  <c r="BL121" i="2"/>
  <c r="AA163" i="2"/>
  <c r="BL163" i="2"/>
  <c r="AA110" i="2"/>
  <c r="BL124" i="2"/>
  <c r="BL128" i="2"/>
  <c r="AA144" i="2"/>
  <c r="BL144" i="2"/>
  <c r="AA171" i="2"/>
  <c r="BL171" i="2"/>
  <c r="AA230" i="2"/>
  <c r="BL230" i="2"/>
  <c r="AA276" i="2"/>
  <c r="BL276" i="2"/>
  <c r="AA141" i="2"/>
  <c r="BL141" i="2"/>
  <c r="BL175" i="2"/>
  <c r="BL257" i="2"/>
  <c r="AA257" i="2"/>
  <c r="AA118" i="2"/>
  <c r="AA160" i="2"/>
  <c r="BL160" i="2"/>
  <c r="AA179" i="2"/>
  <c r="BL179" i="2"/>
  <c r="AA183" i="2"/>
  <c r="BL183" i="2"/>
  <c r="BL28" i="2"/>
  <c r="BL34" i="2"/>
  <c r="AA121" i="2"/>
  <c r="BL132" i="2"/>
  <c r="AA148" i="2"/>
  <c r="BL148" i="2"/>
  <c r="AA172" i="2"/>
  <c r="BL172" i="2"/>
  <c r="AA221" i="2"/>
  <c r="BL221" i="2"/>
  <c r="BL74" i="2"/>
  <c r="BL78" i="2"/>
  <c r="BL83" i="2"/>
  <c r="BL90" i="2"/>
  <c r="BL94" i="2"/>
  <c r="BL98" i="2"/>
  <c r="BL102" i="2"/>
  <c r="BL119" i="2"/>
  <c r="AA205" i="2"/>
  <c r="BL205" i="2"/>
  <c r="AA114" i="2"/>
  <c r="BL122" i="2"/>
  <c r="AA125" i="2"/>
  <c r="BL125" i="2"/>
  <c r="AA145" i="2"/>
  <c r="BL145" i="2"/>
  <c r="AA164" i="2"/>
  <c r="BL164" i="2"/>
  <c r="AA176" i="2"/>
  <c r="BL176" i="2"/>
  <c r="AA180" i="2"/>
  <c r="BL180" i="2"/>
  <c r="AA184" i="2"/>
  <c r="BL184" i="2"/>
  <c r="AA109" i="2"/>
  <c r="AA129" i="2"/>
  <c r="BL129" i="2"/>
  <c r="AA209" i="2"/>
  <c r="BL209" i="2"/>
  <c r="AA243" i="2"/>
  <c r="BL243" i="2"/>
  <c r="AA74" i="2"/>
  <c r="AA155" i="2"/>
  <c r="BL155" i="2"/>
  <c r="AA149" i="2"/>
  <c r="BL149" i="2"/>
  <c r="AA152" i="2"/>
  <c r="BL152" i="2"/>
  <c r="AA225" i="2"/>
  <c r="BL225" i="2"/>
  <c r="AA195" i="2"/>
  <c r="BL195" i="2"/>
  <c r="AA228" i="2"/>
  <c r="BL228" i="2"/>
  <c r="AA242" i="2"/>
  <c r="AA248" i="2"/>
  <c r="BL248" i="2"/>
  <c r="AA296" i="2"/>
  <c r="BL296" i="2"/>
  <c r="AA240" i="2"/>
  <c r="BL240" i="2"/>
  <c r="AA272" i="2"/>
  <c r="BL272" i="2"/>
  <c r="AA269" i="2"/>
  <c r="BL269" i="2"/>
  <c r="AA280" i="2"/>
  <c r="BL280" i="2"/>
  <c r="AA283" i="2"/>
  <c r="BL283" i="2"/>
  <c r="AA189" i="2"/>
  <c r="AA206" i="2"/>
  <c r="AA208" i="2"/>
  <c r="BL208" i="2"/>
  <c r="AA214" i="2"/>
  <c r="AA216" i="2"/>
  <c r="BL216" i="2"/>
  <c r="AA226" i="2"/>
  <c r="AA258" i="2"/>
  <c r="BL343" i="2"/>
  <c r="AA343" i="2"/>
  <c r="BL169" i="2"/>
  <c r="AA198" i="2"/>
  <c r="AA231" i="2"/>
  <c r="BL231" i="2"/>
  <c r="BL189" i="2"/>
  <c r="AA196" i="2"/>
  <c r="BL196" i="2"/>
  <c r="BL206" i="2"/>
  <c r="BL214" i="2"/>
  <c r="BL226" i="2"/>
  <c r="AA236" i="2"/>
  <c r="BL236" i="2"/>
  <c r="AA251" i="2"/>
  <c r="AA255" i="2"/>
  <c r="AA273" i="2"/>
  <c r="BL273" i="2"/>
  <c r="AA329" i="2"/>
  <c r="BL329" i="2"/>
  <c r="AA353" i="2"/>
  <c r="BL353" i="2"/>
  <c r="BL166" i="2"/>
  <c r="AA249" i="2"/>
  <c r="BL249" i="2"/>
  <c r="AA254" i="2"/>
  <c r="AA256" i="2"/>
  <c r="BL256" i="2"/>
  <c r="BL347" i="2"/>
  <c r="AA347" i="2"/>
  <c r="AA169" i="2"/>
  <c r="AA178" i="2"/>
  <c r="AA182" i="2"/>
  <c r="AA259" i="2"/>
  <c r="BL259" i="2"/>
  <c r="BL314" i="2"/>
  <c r="AA314" i="2"/>
  <c r="AA315" i="2"/>
  <c r="BL315" i="2"/>
  <c r="AA333" i="2"/>
  <c r="BL333" i="2"/>
  <c r="BL187" i="2"/>
  <c r="AA199" i="2"/>
  <c r="BL199" i="2"/>
  <c r="AA222" i="2"/>
  <c r="AA224" i="2"/>
  <c r="BL224" i="2"/>
  <c r="AA330" i="2"/>
  <c r="BL330" i="2"/>
  <c r="AA166" i="2"/>
  <c r="BL168" i="2"/>
  <c r="AA194" i="2"/>
  <c r="BL194" i="2"/>
  <c r="AA203" i="2"/>
  <c r="AA219" i="2"/>
  <c r="AA234" i="2"/>
  <c r="AA239" i="2"/>
  <c r="BL239" i="2"/>
  <c r="AA192" i="2"/>
  <c r="BL192" i="2"/>
  <c r="AA204" i="2"/>
  <c r="BL204" i="2"/>
  <c r="AA210" i="2"/>
  <c r="AA212" i="2"/>
  <c r="BL212" i="2"/>
  <c r="AA232" i="2"/>
  <c r="BL232" i="2"/>
  <c r="AA247" i="2"/>
  <c r="AA252" i="2"/>
  <c r="BL252" i="2"/>
  <c r="BL254" i="2"/>
  <c r="X217" i="2"/>
  <c r="BL222" i="2"/>
  <c r="AA244" i="2"/>
  <c r="BL244" i="2"/>
  <c r="AA190" i="2"/>
  <c r="AA202" i="2"/>
  <c r="BL202" i="2"/>
  <c r="AA289" i="2"/>
  <c r="BL289" i="2"/>
  <c r="AA168" i="2"/>
  <c r="BL260" i="2"/>
  <c r="AA260" i="2"/>
  <c r="BL268" i="2"/>
  <c r="AA268" i="2"/>
  <c r="AA319" i="2"/>
  <c r="BL319" i="2"/>
  <c r="AA323" i="2"/>
  <c r="BL323" i="2"/>
  <c r="AA356" i="2"/>
  <c r="BL356" i="2"/>
  <c r="AA265" i="2"/>
  <c r="BL265" i="2"/>
  <c r="AA344" i="2"/>
  <c r="BL344" i="2"/>
  <c r="AA263" i="2"/>
  <c r="AA308" i="2"/>
  <c r="BL308" i="2"/>
  <c r="AA327" i="2"/>
  <c r="BL327" i="2"/>
  <c r="AA334" i="2"/>
  <c r="BL334" i="2"/>
  <c r="BL263" i="2"/>
  <c r="AA300" i="2"/>
  <c r="BL300" i="2"/>
  <c r="AA304" i="2"/>
  <c r="BL304" i="2"/>
  <c r="BL267" i="2"/>
  <c r="AA284" i="2"/>
  <c r="BL284" i="2"/>
  <c r="AA297" i="2"/>
  <c r="BL297" i="2"/>
  <c r="AA338" i="2"/>
  <c r="BL338" i="2"/>
  <c r="BL351" i="2"/>
  <c r="AA351" i="2"/>
  <c r="AA277" i="2"/>
  <c r="AA312" i="2"/>
  <c r="BL312" i="2"/>
  <c r="BL328" i="2"/>
  <c r="AA328" i="2"/>
  <c r="AA345" i="2"/>
  <c r="BL345" i="2"/>
  <c r="AA348" i="2"/>
  <c r="BL348" i="2"/>
  <c r="AA271" i="2"/>
  <c r="X284" i="2"/>
  <c r="AA288" i="2"/>
  <c r="BL288" i="2"/>
  <c r="AA261" i="2"/>
  <c r="AA278" i="2"/>
  <c r="BL278" i="2"/>
  <c r="AA301" i="2"/>
  <c r="BL301" i="2"/>
  <c r="AA309" i="2"/>
  <c r="BL309" i="2"/>
  <c r="AA342" i="2"/>
  <c r="BL342" i="2"/>
  <c r="AA285" i="2"/>
  <c r="BL285" i="2"/>
  <c r="AA321" i="2"/>
  <c r="BL332" i="2"/>
  <c r="AA332" i="2"/>
  <c r="AA349" i="2"/>
  <c r="BL349" i="2"/>
  <c r="AA292" i="2"/>
  <c r="BL292" i="2"/>
  <c r="BL310" i="2"/>
  <c r="AA310" i="2"/>
  <c r="AA352" i="2"/>
  <c r="BL352" i="2"/>
  <c r="BL355" i="2"/>
  <c r="AA355" i="2"/>
  <c r="BL293" i="2"/>
  <c r="BL313" i="2"/>
  <c r="BL331" i="2"/>
  <c r="BL346" i="2"/>
  <c r="BL350" i="2"/>
  <c r="BL354" i="2"/>
  <c r="AA305" i="2"/>
  <c r="AA320" i="2"/>
  <c r="AA324" i="2"/>
  <c r="AA335" i="2"/>
  <c r="AA339" i="2"/>
  <c r="AA293" i="2"/>
  <c r="AA313" i="2"/>
  <c r="AA316" i="2"/>
  <c r="AA331" i="2"/>
  <c r="AA346" i="2"/>
  <c r="AA350" i="2"/>
  <c r="AA354" i="2"/>
  <c r="BL286" i="2"/>
  <c r="BL290" i="2"/>
  <c r="BL306" i="2"/>
  <c r="BL317" i="2"/>
  <c r="BL321" i="2"/>
  <c r="BL325" i="2"/>
  <c r="BL336" i="2"/>
  <c r="Y85" i="43" l="1"/>
  <c r="C46" i="18"/>
  <c r="Y86" i="43"/>
  <c r="Y235" i="43"/>
  <c r="C90" i="18"/>
  <c r="Y234" i="43"/>
  <c r="Y121" i="43"/>
  <c r="C63" i="18"/>
  <c r="Y122" i="43"/>
  <c r="Y137" i="43"/>
  <c r="C71" i="18"/>
  <c r="AB18" i="2"/>
  <c r="C70" i="18"/>
  <c r="Y136" i="43"/>
  <c r="Y135" i="43"/>
  <c r="Y49" i="43"/>
  <c r="Y48" i="43"/>
  <c r="Y50" i="43"/>
  <c r="C27" i="18"/>
  <c r="Y7" i="43"/>
  <c r="Y6" i="43"/>
  <c r="C45" i="18"/>
  <c r="Y197" i="43"/>
  <c r="Y199" i="43"/>
  <c r="C62" i="18"/>
  <c r="Y120" i="43"/>
  <c r="Y119" i="43"/>
  <c r="Y211" i="43"/>
  <c r="Y83" i="43"/>
  <c r="Y210" i="43"/>
  <c r="Y37" i="43"/>
  <c r="C20" i="18"/>
  <c r="C78" i="18"/>
  <c r="C42" i="18"/>
  <c r="C17" i="18"/>
  <c r="Y32" i="43"/>
  <c r="Y3" i="43"/>
  <c r="C36" i="18"/>
  <c r="Y183" i="43"/>
  <c r="Y63" i="43"/>
  <c r="Y64" i="43"/>
  <c r="Y145" i="43"/>
  <c r="C75" i="18"/>
  <c r="Y9" i="43"/>
  <c r="Y25" i="43"/>
  <c r="Y91" i="43"/>
  <c r="C23" i="18"/>
  <c r="Y165" i="43"/>
  <c r="Y47" i="43"/>
  <c r="C26" i="18"/>
  <c r="Y178" i="43"/>
  <c r="Y77" i="43"/>
  <c r="Y46" i="43"/>
  <c r="Y225" i="43"/>
  <c r="C60" i="18"/>
  <c r="Y116" i="43"/>
  <c r="Y109" i="43"/>
  <c r="Y110" i="43"/>
  <c r="C10" i="18"/>
  <c r="Y34" i="43"/>
  <c r="C18" i="18"/>
  <c r="Y26" i="43"/>
  <c r="Y33" i="43"/>
  <c r="Y23" i="43"/>
  <c r="Y150" i="43"/>
  <c r="C76" i="18"/>
  <c r="Y148" i="43"/>
  <c r="Y130" i="43"/>
  <c r="Y249" i="43"/>
  <c r="Y108" i="43"/>
  <c r="C67" i="18"/>
  <c r="C49" i="18"/>
  <c r="Y18" i="43"/>
  <c r="Y66" i="43"/>
  <c r="Y17" i="43"/>
  <c r="Y131" i="43"/>
  <c r="C35" i="18"/>
  <c r="Y132" i="43"/>
  <c r="C81" i="18"/>
  <c r="Y248" i="43"/>
  <c r="Y230" i="43"/>
  <c r="Y68" i="43"/>
  <c r="Y193" i="43"/>
  <c r="C13" i="18"/>
  <c r="C65" i="18"/>
  <c r="Y127" i="43"/>
  <c r="Y212" i="43"/>
  <c r="C24" i="18"/>
  <c r="Y10" i="43"/>
  <c r="Y128" i="43"/>
  <c r="Y189" i="43"/>
  <c r="C86" i="18"/>
  <c r="Y191" i="43"/>
  <c r="Y188" i="43"/>
  <c r="Y221" i="43"/>
  <c r="Y93" i="43"/>
  <c r="Y216" i="43"/>
  <c r="Y101" i="43"/>
  <c r="Y129" i="43"/>
  <c r="C92" i="18"/>
  <c r="C53" i="18"/>
  <c r="Y171" i="43"/>
  <c r="Y36" i="43"/>
  <c r="Y172" i="43"/>
  <c r="Y45" i="43"/>
  <c r="Y226" i="43"/>
  <c r="Y71" i="43"/>
  <c r="Y88" i="43"/>
  <c r="Y61" i="43"/>
  <c r="Y133" i="43"/>
  <c r="Y89" i="43"/>
  <c r="Y72" i="43"/>
  <c r="C47" i="18"/>
  <c r="Y245" i="43"/>
  <c r="Y4" i="43"/>
  <c r="Y151" i="43"/>
  <c r="Y242" i="43"/>
  <c r="Y202" i="43"/>
  <c r="Y203" i="43"/>
  <c r="Y75" i="43"/>
  <c r="Y5" i="43"/>
  <c r="C41" i="18"/>
  <c r="C39" i="18"/>
  <c r="Y42" i="43"/>
  <c r="I3115" i="1"/>
  <c r="O3116" i="1"/>
  <c r="S2105" i="1"/>
  <c r="Y126" i="43"/>
  <c r="Y175" i="43"/>
  <c r="C6" i="18"/>
  <c r="Y92" i="43"/>
  <c r="Y62" i="43"/>
  <c r="Y167" i="43"/>
  <c r="Y24" i="43"/>
  <c r="Y104" i="43"/>
  <c r="Y246" i="43"/>
  <c r="Y81" i="43"/>
  <c r="Y213" i="43"/>
  <c r="Y114" i="43"/>
  <c r="Y67" i="43"/>
  <c r="Y208" i="43"/>
  <c r="C44" i="18"/>
  <c r="C31" i="18"/>
  <c r="Y236" i="43"/>
  <c r="Y118" i="43"/>
  <c r="C61" i="18"/>
  <c r="Y176" i="43"/>
  <c r="Y156" i="43"/>
  <c r="Y155" i="43"/>
  <c r="Y157" i="43"/>
  <c r="Y154" i="43"/>
  <c r="Y153" i="43"/>
  <c r="Y147" i="43"/>
  <c r="Y146" i="43"/>
  <c r="Y80" i="43"/>
  <c r="Y79" i="43"/>
  <c r="S11" i="1"/>
  <c r="Y11" i="43"/>
  <c r="C7" i="18"/>
  <c r="R369" i="1"/>
  <c r="BF50" i="2"/>
  <c r="R383" i="1"/>
  <c r="Q2348" i="1"/>
  <c r="M2348" i="1"/>
  <c r="R2105" i="1"/>
  <c r="S2350" i="1"/>
  <c r="R2350" i="1"/>
  <c r="C8" i="18"/>
  <c r="Y12" i="43"/>
  <c r="Y13" i="43"/>
  <c r="Y84" i="43"/>
  <c r="R4408" i="1"/>
  <c r="BH115" i="2"/>
  <c r="S383" i="1"/>
  <c r="S4408" i="1"/>
  <c r="BG227" i="2"/>
  <c r="S4572" i="1"/>
  <c r="S153" i="1"/>
  <c r="BE138" i="2"/>
  <c r="BH227" i="2"/>
  <c r="R153" i="1"/>
  <c r="R2196" i="1"/>
  <c r="S4410" i="1"/>
  <c r="S2196" i="1"/>
  <c r="R4570" i="1"/>
  <c r="BE131" i="2"/>
  <c r="R2963" i="1"/>
  <c r="BH229" i="2"/>
  <c r="S2963" i="1"/>
  <c r="S1977" i="1"/>
  <c r="R4414" i="1"/>
  <c r="R1555" i="1"/>
  <c r="R3767" i="1"/>
  <c r="Y241" i="43"/>
  <c r="C50" i="18"/>
  <c r="Y134" i="43"/>
  <c r="Y201" i="43"/>
  <c r="Y232" i="43"/>
  <c r="Y95" i="43"/>
  <c r="C88" i="18"/>
  <c r="Y94" i="43"/>
  <c r="Y142" i="43"/>
  <c r="Y22" i="43"/>
  <c r="Y227" i="43"/>
  <c r="Y59" i="43"/>
  <c r="Y141" i="43"/>
  <c r="Y113" i="43"/>
  <c r="Y228" i="43"/>
  <c r="Y186" i="43"/>
  <c r="Y238" i="43"/>
  <c r="Y60" i="43"/>
  <c r="Y70" i="43"/>
  <c r="Y187" i="43"/>
  <c r="C91" i="18"/>
  <c r="Y74" i="43"/>
  <c r="C30" i="18"/>
  <c r="C80" i="18"/>
  <c r="Y160" i="43"/>
  <c r="Y209" i="43"/>
  <c r="Y20" i="43"/>
  <c r="Y139" i="43"/>
  <c r="Y168" i="43"/>
  <c r="C77" i="18"/>
  <c r="Y39" i="43"/>
  <c r="C48" i="18"/>
  <c r="Y217" i="43"/>
  <c r="C11" i="18"/>
  <c r="C29" i="18"/>
  <c r="Y158" i="43"/>
  <c r="Y140" i="43"/>
  <c r="C21" i="18"/>
  <c r="Y19" i="43"/>
  <c r="Y52" i="43"/>
  <c r="Y40" i="43"/>
  <c r="C9" i="18"/>
  <c r="Y194" i="43"/>
  <c r="C85" i="18"/>
  <c r="Y169" i="43"/>
  <c r="C59" i="18"/>
  <c r="Y8" i="43"/>
  <c r="Y138" i="43"/>
  <c r="Y219" i="43"/>
  <c r="C83" i="18"/>
  <c r="Y181" i="43"/>
  <c r="Y112" i="43"/>
  <c r="Y57" i="43"/>
  <c r="Y106" i="43"/>
  <c r="Y107" i="43"/>
  <c r="C56" i="18"/>
  <c r="Y103" i="43"/>
  <c r="C82" i="18"/>
  <c r="C54" i="18"/>
  <c r="Y159" i="43"/>
  <c r="Y184" i="43"/>
  <c r="C22" i="18"/>
  <c r="Y15" i="43"/>
  <c r="Y143" i="43"/>
  <c r="Y124" i="43"/>
  <c r="Y144" i="43"/>
  <c r="C74" i="18"/>
  <c r="Y162" i="43"/>
  <c r="Y58" i="43"/>
  <c r="Y196" i="43"/>
  <c r="Y231" i="43"/>
  <c r="Y16" i="43"/>
  <c r="C12" i="18"/>
  <c r="Y163" i="43"/>
  <c r="C33" i="18"/>
  <c r="C89" i="18"/>
  <c r="Y220" i="43"/>
  <c r="C64" i="18"/>
  <c r="Y55" i="43"/>
  <c r="Y27" i="43"/>
  <c r="Y218" i="43"/>
  <c r="Y56" i="43"/>
  <c r="C15" i="18"/>
  <c r="Y205" i="43"/>
  <c r="C55" i="18"/>
  <c r="C38" i="18"/>
  <c r="Y206" i="43"/>
  <c r="C58" i="18"/>
  <c r="C51" i="18"/>
  <c r="Y223" i="43"/>
  <c r="Y35" i="43"/>
  <c r="Y96" i="43"/>
  <c r="Y98" i="43"/>
  <c r="C52" i="18"/>
  <c r="Y99" i="43"/>
  <c r="S1107" i="1"/>
  <c r="R2495" i="1"/>
  <c r="BG189" i="2"/>
  <c r="AB254" i="2"/>
  <c r="R2801" i="1"/>
  <c r="V1331" i="1"/>
  <c r="M1331" i="1"/>
  <c r="BG55" i="2"/>
  <c r="P2903" i="1"/>
  <c r="M2901" i="1"/>
  <c r="O2901" i="1" s="1"/>
  <c r="S2331" i="1"/>
  <c r="R1931" i="1"/>
  <c r="I601" i="1"/>
  <c r="BH55" i="2"/>
  <c r="S2329" i="1"/>
  <c r="AB246" i="2"/>
  <c r="BF227" i="2"/>
  <c r="AB192" i="2"/>
  <c r="Q2640" i="1"/>
  <c r="S2640" i="1" s="1"/>
  <c r="P2638" i="1"/>
  <c r="H2641" i="1"/>
  <c r="AB302" i="2"/>
  <c r="AB262" i="2"/>
  <c r="U2097" i="1"/>
  <c r="U658" i="1"/>
  <c r="AB5" i="2"/>
  <c r="AB354" i="2"/>
  <c r="AB350" i="2"/>
  <c r="AB244" i="2"/>
  <c r="AB228" i="2"/>
  <c r="AB232" i="2"/>
  <c r="AB236" i="2"/>
  <c r="AB339" i="2"/>
  <c r="AB218" i="2"/>
  <c r="AB240" i="2"/>
  <c r="AB227" i="2"/>
  <c r="BJ230" i="2"/>
  <c r="R2642" i="1"/>
  <c r="AB160" i="2"/>
  <c r="AB346" i="2"/>
  <c r="AB315" i="2"/>
  <c r="AB49" i="2"/>
  <c r="AB136" i="2"/>
  <c r="H1234" i="1"/>
  <c r="U1233" i="1"/>
  <c r="AB189" i="2"/>
  <c r="U2640" i="1"/>
  <c r="AB171" i="2"/>
  <c r="S1233" i="1"/>
  <c r="S1202" i="1"/>
  <c r="U1202" i="1"/>
  <c r="AB251" i="2"/>
  <c r="AB24" i="2"/>
  <c r="AB15" i="2"/>
  <c r="AB127" i="2"/>
  <c r="AB2" i="2"/>
  <c r="AB271" i="2"/>
  <c r="AB16" i="2"/>
  <c r="AB180" i="2"/>
  <c r="AB77" i="2"/>
  <c r="AB38" i="2"/>
  <c r="AB323" i="2"/>
  <c r="AB332" i="2"/>
  <c r="AB33" i="2"/>
  <c r="AB134" i="2"/>
  <c r="AB320" i="2"/>
  <c r="AB32" i="2"/>
  <c r="AB299" i="2"/>
  <c r="AB58" i="2"/>
  <c r="AB281" i="2"/>
  <c r="AB295" i="2"/>
  <c r="AB142" i="2"/>
  <c r="AB143" i="2"/>
  <c r="AB267" i="2"/>
  <c r="AB314" i="2"/>
  <c r="AB311" i="2"/>
  <c r="AB30" i="2"/>
  <c r="AB61" i="2"/>
  <c r="AB96" i="2"/>
  <c r="AB103" i="2"/>
  <c r="AB78" i="2"/>
  <c r="AB97" i="2"/>
  <c r="AB163" i="2"/>
  <c r="AB167" i="2"/>
  <c r="AB183" i="2"/>
  <c r="AB139" i="2"/>
  <c r="AB164" i="2"/>
  <c r="AB203" i="2"/>
  <c r="AB250" i="2"/>
  <c r="AB296" i="2"/>
  <c r="AB342" i="2"/>
  <c r="AB345" i="2"/>
  <c r="AB36" i="2"/>
  <c r="AB307" i="2"/>
  <c r="AB308" i="2"/>
  <c r="AB3" i="2"/>
  <c r="AB9" i="2"/>
  <c r="AB327" i="2"/>
  <c r="AB329" i="2"/>
  <c r="AB355" i="2"/>
  <c r="AB7" i="2"/>
  <c r="AB4" i="2"/>
  <c r="AB11" i="2"/>
  <c r="AB270" i="2"/>
  <c r="AB284" i="2"/>
  <c r="AB301" i="2"/>
  <c r="AB324" i="2"/>
  <c r="AB197" i="2"/>
  <c r="AB300" i="2"/>
  <c r="AB57" i="2"/>
  <c r="AB46" i="2"/>
  <c r="AB66" i="2"/>
  <c r="AB92" i="2"/>
  <c r="AB74" i="2"/>
  <c r="AB93" i="2"/>
  <c r="AB119" i="2"/>
  <c r="AB282" i="2"/>
  <c r="AB151" i="2"/>
  <c r="AB82" i="2"/>
  <c r="AB107" i="2"/>
  <c r="AB126" i="2"/>
  <c r="AB53" i="2"/>
  <c r="AB42" i="2"/>
  <c r="AB62" i="2"/>
  <c r="AB73" i="2"/>
  <c r="AB146" i="2"/>
  <c r="AB175" i="2"/>
  <c r="AB172" i="2"/>
  <c r="AB185" i="2"/>
  <c r="AB204" i="2"/>
  <c r="AB241" i="2"/>
  <c r="AB80" i="2"/>
  <c r="AB114" i="2"/>
  <c r="AB110" i="2"/>
  <c r="AB22" i="2"/>
  <c r="AB23" i="2"/>
  <c r="AB28" i="2"/>
  <c r="AB152" i="2"/>
  <c r="AB161" i="2"/>
  <c r="AB181" i="2"/>
  <c r="AB210" i="2"/>
  <c r="AB217" i="2"/>
  <c r="I3117" i="1"/>
  <c r="S2899" i="1"/>
  <c r="R2899" i="1"/>
  <c r="AB191" i="2"/>
  <c r="AB235" i="2"/>
  <c r="AB248" i="2"/>
  <c r="AB253" i="2"/>
  <c r="AB275" i="2"/>
  <c r="AB312" i="2"/>
  <c r="AB316" i="2"/>
  <c r="AB353" i="2"/>
  <c r="H1203" i="1"/>
  <c r="H1200" i="1"/>
  <c r="AB112" i="2"/>
  <c r="AB125" i="2"/>
  <c r="AB156" i="2"/>
  <c r="AB211" i="2"/>
  <c r="AB188" i="2"/>
  <c r="AB304" i="2"/>
  <c r="AB25" i="2"/>
  <c r="AB55" i="2"/>
  <c r="AB10" i="2"/>
  <c r="AB35" i="2"/>
  <c r="AB48" i="2"/>
  <c r="AB75" i="2"/>
  <c r="AB102" i="2"/>
  <c r="AB85" i="2"/>
  <c r="AB87" i="2"/>
  <c r="AB148" i="2"/>
  <c r="AB177" i="2"/>
  <c r="AB133" i="2"/>
  <c r="AB170" i="2"/>
  <c r="AB200" i="2"/>
  <c r="AB225" i="2"/>
  <c r="AB226" i="2"/>
  <c r="AB257" i="2"/>
  <c r="AB255" i="2"/>
  <c r="AB264" i="2"/>
  <c r="AB277" i="2"/>
  <c r="AB319" i="2"/>
  <c r="AB333" i="2"/>
  <c r="AB352" i="2"/>
  <c r="Q1975" i="1"/>
  <c r="P1973" i="1"/>
  <c r="M1973" i="1" s="1"/>
  <c r="O1973" i="1" s="1"/>
  <c r="AB90" i="2"/>
  <c r="AB91" i="2"/>
  <c r="AB137" i="2"/>
  <c r="AB202" i="2"/>
  <c r="AB259" i="2"/>
  <c r="AB318" i="2"/>
  <c r="AB340" i="2"/>
  <c r="AB356" i="2"/>
  <c r="Q1553" i="1"/>
  <c r="P1551" i="1"/>
  <c r="M1551" i="1" s="1"/>
  <c r="O1551" i="1" s="1"/>
  <c r="S658" i="1"/>
  <c r="AB8" i="2"/>
  <c r="AB13" i="2"/>
  <c r="AB59" i="2"/>
  <c r="AB12" i="2"/>
  <c r="H2916" i="1"/>
  <c r="S2915" i="1"/>
  <c r="H2098" i="1"/>
  <c r="S2097" i="1"/>
  <c r="AB6" i="2"/>
  <c r="AB17" i="2"/>
  <c r="AB14" i="2"/>
  <c r="AB43" i="2"/>
  <c r="AB63" i="2"/>
  <c r="AB21" i="2"/>
  <c r="AB29" i="2"/>
  <c r="AB100" i="2"/>
  <c r="AB83" i="2"/>
  <c r="AB101" i="2"/>
  <c r="AB84" i="2"/>
  <c r="AB94" i="2"/>
  <c r="AB109" i="2"/>
  <c r="AB120" i="2"/>
  <c r="AB86" i="2"/>
  <c r="AB95" i="2"/>
  <c r="AB121" i="2"/>
  <c r="AB159" i="2"/>
  <c r="AB179" i="2"/>
  <c r="AB147" i="2"/>
  <c r="AB153" i="2"/>
  <c r="AB158" i="2"/>
  <c r="AB178" i="2"/>
  <c r="AB186" i="2"/>
  <c r="AB215" i="2"/>
  <c r="AB190" i="2"/>
  <c r="AB242" i="2"/>
  <c r="AB239" i="2"/>
  <c r="AB263" i="2"/>
  <c r="AB276" i="2"/>
  <c r="AB278" i="2"/>
  <c r="AB283" i="2"/>
  <c r="AB279" i="2"/>
  <c r="AB298" i="2"/>
  <c r="AB310" i="2"/>
  <c r="AB309" i="2"/>
  <c r="AB328" i="2"/>
  <c r="AB325" i="2"/>
  <c r="AB341" i="2"/>
  <c r="AB347" i="2"/>
  <c r="AB344" i="2"/>
  <c r="S2901" i="1"/>
  <c r="R2901" i="1"/>
  <c r="N1555" i="1"/>
  <c r="N1331" i="1"/>
  <c r="S1333" i="1"/>
  <c r="R1333" i="1"/>
  <c r="AB47" i="2"/>
  <c r="AB51" i="2"/>
  <c r="AB67" i="2"/>
  <c r="AB40" i="2"/>
  <c r="AB60" i="2"/>
  <c r="AB88" i="2"/>
  <c r="AB70" i="2"/>
  <c r="AB89" i="2"/>
  <c r="AB98" i="2"/>
  <c r="AB81" i="2"/>
  <c r="AB99" i="2"/>
  <c r="AB135" i="2"/>
  <c r="AB144" i="2"/>
  <c r="AB173" i="2"/>
  <c r="AB129" i="2"/>
  <c r="AB141" i="2"/>
  <c r="AB166" i="2"/>
  <c r="BD194" i="2"/>
  <c r="AB196" i="2"/>
  <c r="AB193" i="2"/>
  <c r="AB213" i="2"/>
  <c r="AB187" i="2"/>
  <c r="AB194" i="2"/>
  <c r="AB209" i="2"/>
  <c r="AB206" i="2"/>
  <c r="AB219" i="2"/>
  <c r="AB233" i="2"/>
  <c r="AB221" i="2"/>
  <c r="AB222" i="2"/>
  <c r="AB243" i="2"/>
  <c r="AB247" i="2"/>
  <c r="AB260" i="2"/>
  <c r="AB285" i="2"/>
  <c r="AB293" i="2"/>
  <c r="AB303" i="2"/>
  <c r="AB306" i="2"/>
  <c r="AB313" i="2"/>
  <c r="AB343" i="2"/>
  <c r="AB348" i="2"/>
  <c r="R1331" i="1"/>
  <c r="M2638" i="1" l="1"/>
  <c r="P2636" i="1"/>
  <c r="BJ216" i="2"/>
  <c r="R2348" i="1"/>
  <c r="M2903" i="1"/>
  <c r="O2903" i="1" s="1"/>
  <c r="P2905" i="1"/>
  <c r="Q2903" i="1"/>
  <c r="U1200" i="1"/>
  <c r="Q2638" i="1"/>
  <c r="R2640" i="1"/>
  <c r="I1649" i="1"/>
  <c r="I2240" i="1"/>
  <c r="H1201" i="1"/>
  <c r="AH269" i="2"/>
  <c r="S1200" i="1"/>
  <c r="N1553" i="1"/>
  <c r="S1553" i="1"/>
  <c r="R1553" i="1"/>
  <c r="R1975" i="1"/>
  <c r="S1975" i="1"/>
  <c r="BF138" i="2"/>
  <c r="Q1551" i="1"/>
  <c r="P1549" i="1"/>
  <c r="M1549" i="1" s="1"/>
  <c r="O1549" i="1" s="1"/>
  <c r="Q1973" i="1"/>
  <c r="P1971" i="1"/>
  <c r="M1971" i="1" s="1"/>
  <c r="O1971" i="1" s="1"/>
  <c r="Q2636" i="1" l="1"/>
  <c r="R2636" i="1" s="1"/>
  <c r="M2636" i="1"/>
  <c r="BC194" i="2"/>
  <c r="S2903" i="1"/>
  <c r="R2903" i="1"/>
  <c r="M2905" i="1"/>
  <c r="O2905" i="1" s="1"/>
  <c r="Q2905" i="1"/>
  <c r="P2907" i="1"/>
  <c r="R2638" i="1"/>
  <c r="Q1971" i="1"/>
  <c r="P1969" i="1"/>
  <c r="M1969" i="1" s="1"/>
  <c r="O1969" i="1" s="1"/>
  <c r="N1551" i="1"/>
  <c r="S1551" i="1"/>
  <c r="R1551" i="1"/>
  <c r="S1973" i="1"/>
  <c r="R1973" i="1"/>
  <c r="BG138" i="2"/>
  <c r="P1547" i="1"/>
  <c r="M1547" i="1" s="1"/>
  <c r="O1547" i="1" s="1"/>
  <c r="Q1549" i="1"/>
  <c r="M2907" i="1" l="1"/>
  <c r="O2907" i="1" s="1"/>
  <c r="Q2907" i="1"/>
  <c r="R2905" i="1"/>
  <c r="S2905" i="1"/>
  <c r="N1549" i="1"/>
  <c r="Q1969" i="1"/>
  <c r="R1549" i="1"/>
  <c r="Q1547" i="1"/>
  <c r="S1971" i="1"/>
  <c r="R1971" i="1"/>
  <c r="BH138" i="2"/>
  <c r="R2907" i="1" l="1"/>
  <c r="S2907" i="1"/>
  <c r="N1547" i="1"/>
  <c r="R1547" i="1"/>
  <c r="R1969" i="1"/>
  <c r="BJ138" i="2"/>
  <c r="V3876" i="1"/>
  <c r="I1706" i="1"/>
  <c r="O3785" i="1"/>
  <c r="I2637" i="1"/>
  <c r="O4094" i="1"/>
  <c r="H330" i="1"/>
  <c r="I3876" i="1"/>
  <c r="I4095" i="1" l="1"/>
  <c r="O3875" i="1"/>
  <c r="S329" i="1"/>
  <c r="I3786" i="1"/>
  <c r="U329" i="1"/>
  <c r="I2639" i="1"/>
  <c r="Q759" i="1" l="1"/>
  <c r="R759" i="1" s="1"/>
  <c r="M759" i="1"/>
  <c r="Z562" i="1"/>
  <c r="Z488" i="1"/>
  <c r="Z238" i="1"/>
  <c r="Z434" i="1"/>
  <c r="Z35" i="1"/>
  <c r="Z43" i="1"/>
  <c r="Z306" i="1"/>
  <c r="Z360" i="1"/>
  <c r="Z741" i="1"/>
  <c r="Z815" i="1"/>
  <c r="Z286" i="1"/>
  <c r="Z846" i="1"/>
  <c r="Z653" i="1"/>
  <c r="Z796" i="1"/>
  <c r="Z968" i="1"/>
  <c r="Z231" i="1"/>
  <c r="Z896" i="1"/>
  <c r="Z433" i="1"/>
  <c r="Z537" i="1"/>
  <c r="Z354" i="1"/>
  <c r="Z482" i="1"/>
  <c r="Z610" i="1"/>
  <c r="Z24" i="1"/>
  <c r="Z414" i="1"/>
  <c r="Z50" i="1"/>
  <c r="Z120" i="1"/>
  <c r="Z232" i="1"/>
  <c r="Z260" i="1"/>
  <c r="Z280" i="1"/>
  <c r="Z389" i="1"/>
  <c r="Z408" i="1"/>
  <c r="Z536" i="1"/>
  <c r="Z663" i="1"/>
  <c r="Z664" i="1"/>
  <c r="Z682" i="1"/>
  <c r="Z105" i="1"/>
  <c r="Z132" i="1"/>
  <c r="Z372" i="1"/>
  <c r="Z715" i="1"/>
  <c r="Z915" i="1"/>
  <c r="Z845" i="1"/>
  <c r="Z967" i="1"/>
  <c r="Z1023" i="1"/>
  <c r="Z23" i="1"/>
  <c r="Z261" i="1"/>
  <c r="Z487" i="1"/>
  <c r="Z789" i="1"/>
  <c r="Z469" i="1"/>
  <c r="Z1030" i="1"/>
  <c r="Z609" i="1"/>
  <c r="Z178" i="1"/>
  <c r="Z176" i="1"/>
  <c r="Z352" i="1"/>
  <c r="Z626" i="1"/>
  <c r="Z665" i="1"/>
  <c r="Z174" i="1"/>
  <c r="Z787" i="1"/>
  <c r="Z984" i="1"/>
  <c r="Z7" i="1"/>
  <c r="Z104" i="1"/>
  <c r="Z118" i="1"/>
  <c r="Z166" i="1"/>
  <c r="Z169" i="1"/>
  <c r="Z247" i="1"/>
  <c r="Z277" i="1"/>
  <c r="Z314" i="1"/>
  <c r="Z405" i="1"/>
  <c r="Z424" i="1"/>
  <c r="Z679" i="1"/>
  <c r="Z233" i="1"/>
  <c r="Z378" i="1"/>
  <c r="Z506" i="1"/>
  <c r="Z48" i="1"/>
  <c r="Z588" i="1"/>
  <c r="Z730" i="1"/>
  <c r="Z804" i="1"/>
  <c r="Z913" i="1"/>
  <c r="Z983" i="1"/>
  <c r="AA1063" i="1"/>
  <c r="Z1063" i="1"/>
  <c r="Z992" i="1"/>
  <c r="Z279" i="1"/>
  <c r="Z515" i="1"/>
  <c r="Z616" i="1"/>
  <c r="Z442" i="1"/>
  <c r="Z34" i="1"/>
  <c r="Z388" i="1"/>
  <c r="Z589" i="1"/>
  <c r="Z680" i="1"/>
  <c r="Z148" i="1"/>
  <c r="Z165" i="1"/>
  <c r="Z497" i="1"/>
  <c r="Z20" i="1"/>
  <c r="Z80" i="1"/>
  <c r="Z350" i="1"/>
  <c r="Z478" i="1"/>
  <c r="Z1056" i="1"/>
  <c r="Z732" i="1"/>
  <c r="Z1032" i="1"/>
  <c r="Z119" i="1"/>
  <c r="Z579" i="1"/>
  <c r="Z1001" i="1"/>
  <c r="Z634" i="1"/>
  <c r="Z297" i="1"/>
  <c r="Z186" i="1"/>
  <c r="Z570" i="1"/>
  <c r="Z524" i="1"/>
  <c r="Z22" i="1"/>
  <c r="Z58" i="1"/>
  <c r="Z209" i="1"/>
  <c r="Z42" i="1"/>
  <c r="Z112" i="1"/>
  <c r="Z222" i="1"/>
  <c r="Z296" i="1"/>
  <c r="Z370" i="1"/>
  <c r="Z480" i="1"/>
  <c r="Z552" i="1"/>
  <c r="Z608" i="1"/>
  <c r="Z113" i="1"/>
  <c r="Z553" i="1"/>
  <c r="Z498" i="1"/>
  <c r="Z6" i="1"/>
  <c r="Z40" i="1"/>
  <c r="Z110" i="1"/>
  <c r="Z117" i="1"/>
  <c r="Z122" i="1"/>
  <c r="Z136" i="1"/>
  <c r="Z158" i="1"/>
  <c r="Z168" i="1"/>
  <c r="Z240" i="1"/>
  <c r="Z245" i="1"/>
  <c r="Z250" i="1"/>
  <c r="Z290" i="1"/>
  <c r="Z345" i="1"/>
  <c r="Z418" i="1"/>
  <c r="Z546" i="1"/>
  <c r="Z601" i="1"/>
  <c r="Z637" i="1"/>
  <c r="Z145" i="1"/>
  <c r="Z4" i="1"/>
  <c r="Z25" i="1"/>
  <c r="Z32" i="1"/>
  <c r="Z39" i="1"/>
  <c r="Z44" i="1"/>
  <c r="Z114" i="1"/>
  <c r="Z121" i="1"/>
  <c r="Z128" i="1"/>
  <c r="Z184" i="1"/>
  <c r="Z242" i="1"/>
  <c r="Z288" i="1"/>
  <c r="Z289" i="1"/>
  <c r="Z344" i="1"/>
  <c r="Z362" i="1"/>
  <c r="Z416" i="1"/>
  <c r="Z453" i="1"/>
  <c r="Z471" i="1"/>
  <c r="Z472" i="1"/>
  <c r="Z490" i="1"/>
  <c r="Z544" i="1"/>
  <c r="Z545" i="1"/>
  <c r="Z600" i="1"/>
  <c r="Z672" i="1"/>
  <c r="Z673" i="1"/>
  <c r="Z281" i="1"/>
  <c r="Z298" i="1"/>
  <c r="Z426" i="1"/>
  <c r="Z554" i="1"/>
  <c r="Z674" i="1"/>
  <c r="Z102" i="1"/>
  <c r="Z230" i="1"/>
  <c r="Z499" i="1"/>
  <c r="Z652" i="1"/>
  <c r="Z723" i="1"/>
  <c r="Z779" i="1"/>
  <c r="Z797" i="1"/>
  <c r="AN162" i="2"/>
  <c r="Z905" i="1"/>
  <c r="Z853" i="1"/>
  <c r="AN218" i="2"/>
  <c r="Z855" i="1"/>
  <c r="Z975" i="1"/>
  <c r="Z976" i="1"/>
  <c r="Z1031" i="1"/>
  <c r="Z564" i="1"/>
  <c r="Z740" i="1"/>
  <c r="Z1040" i="1"/>
  <c r="Z135" i="1"/>
  <c r="Z359" i="1"/>
  <c r="Z590" i="1"/>
  <c r="Z733" i="1"/>
  <c r="AN184" i="2"/>
  <c r="Z907" i="1"/>
  <c r="Z534" i="1"/>
  <c r="Z734" i="1"/>
  <c r="Z26" i="1"/>
  <c r="Z27" i="1"/>
  <c r="Z36" i="1"/>
  <c r="Z82" i="1"/>
  <c r="Z83" i="1"/>
  <c r="Z106" i="1"/>
  <c r="Z133" i="1"/>
  <c r="AN266" i="2"/>
  <c r="Z151" i="1"/>
  <c r="Z160" i="1"/>
  <c r="Z161" i="1"/>
  <c r="Z170" i="1"/>
  <c r="Z224" i="1"/>
  <c r="Z225" i="1"/>
  <c r="Z234" i="1"/>
  <c r="Z263" i="1"/>
  <c r="Z272" i="1"/>
  <c r="Z273" i="1"/>
  <c r="Z291" i="1"/>
  <c r="Z336" i="1"/>
  <c r="Z337" i="1"/>
  <c r="Z373" i="1"/>
  <c r="Z391" i="1"/>
  <c r="Z400" i="1"/>
  <c r="Z464" i="1"/>
  <c r="Z501" i="1"/>
  <c r="Z510" i="1"/>
  <c r="Z528" i="1"/>
  <c r="Z574" i="1"/>
  <c r="Z592" i="1"/>
  <c r="Z593" i="1"/>
  <c r="Z657" i="1"/>
  <c r="Z666" i="1"/>
  <c r="Z137" i="1"/>
  <c r="Z425" i="1"/>
  <c r="Z489" i="1"/>
  <c r="Z529" i="1"/>
  <c r="Z12" i="1"/>
  <c r="Z154" i="1"/>
  <c r="Z282" i="1"/>
  <c r="Z346" i="1"/>
  <c r="Z410" i="1"/>
  <c r="Z474" i="1"/>
  <c r="Z538" i="1"/>
  <c r="Z16" i="1"/>
  <c r="Z72" i="1"/>
  <c r="Z150" i="1"/>
  <c r="Z214" i="1"/>
  <c r="Z278" i="1"/>
  <c r="Z342" i="1"/>
  <c r="Z406" i="1"/>
  <c r="Z470" i="1"/>
  <c r="Z86" i="1"/>
  <c r="Z563" i="1"/>
  <c r="AN321" i="2"/>
  <c r="Z638" i="1"/>
  <c r="Z771" i="1"/>
  <c r="Z781" i="1"/>
  <c r="Z897" i="1"/>
  <c r="Z899" i="1"/>
  <c r="Z837" i="1"/>
  <c r="Z838" i="1"/>
  <c r="Z868" i="1"/>
  <c r="Z877" i="1"/>
  <c r="AA1055" i="1"/>
  <c r="Z1055" i="1"/>
  <c r="Z1095" i="1"/>
  <c r="Z229" i="1"/>
  <c r="Z724" i="1"/>
  <c r="Z788" i="1"/>
  <c r="Z814" i="1"/>
  <c r="Z878" i="1"/>
  <c r="Z1024" i="1"/>
  <c r="Z215" i="1"/>
  <c r="Z343" i="1"/>
  <c r="Z455" i="1"/>
  <c r="Z565" i="1"/>
  <c r="Z725" i="1"/>
  <c r="Z847" i="1"/>
  <c r="Z993" i="1"/>
  <c r="Z131" i="1"/>
  <c r="Z259" i="1"/>
  <c r="Z419" i="1"/>
  <c r="Z722" i="1"/>
  <c r="Z1022" i="1"/>
  <c r="Z251" i="1"/>
  <c r="AN71" i="2"/>
  <c r="Z527" i="1"/>
  <c r="Z607" i="1"/>
  <c r="Z777" i="1"/>
  <c r="Z124" i="1"/>
  <c r="Z1360" i="1"/>
  <c r="Z635" i="1"/>
  <c r="Z1092" i="1"/>
  <c r="Z1174" i="1"/>
  <c r="Z163" i="1"/>
  <c r="Z307" i="1"/>
  <c r="Z435" i="1"/>
  <c r="Z904" i="1"/>
  <c r="Z876" i="1"/>
  <c r="Z1054" i="1"/>
  <c r="Z315" i="1"/>
  <c r="Z986" i="1"/>
  <c r="Z1166" i="1"/>
  <c r="Z1352" i="1"/>
  <c r="Z1450" i="1"/>
  <c r="Z1664" i="1"/>
  <c r="Z1883" i="1"/>
  <c r="Z156" i="1"/>
  <c r="Z1003" i="1"/>
  <c r="Z1192" i="1"/>
  <c r="Z1368" i="1"/>
  <c r="AN289" i="2"/>
  <c r="Z1305" i="1"/>
  <c r="Z1891" i="1"/>
  <c r="Z1182" i="1"/>
  <c r="Z179" i="1"/>
  <c r="Z323" i="1"/>
  <c r="Z451" i="1"/>
  <c r="Z762" i="1"/>
  <c r="Z912" i="1"/>
  <c r="Z966" i="1"/>
  <c r="Z13" i="1"/>
  <c r="Z798" i="1"/>
  <c r="Z1002" i="1"/>
  <c r="Z1184" i="1"/>
  <c r="Z1375" i="1"/>
  <c r="AN26" i="2"/>
  <c r="Z1423" i="1"/>
  <c r="Z1431" i="1"/>
  <c r="Z1479" i="1"/>
  <c r="Z1505" i="1"/>
  <c r="Z1689" i="1"/>
  <c r="Z1737" i="1"/>
  <c r="Z1744" i="1"/>
  <c r="Z1882" i="1"/>
  <c r="Z2042" i="1"/>
  <c r="Z252" i="1"/>
  <c r="Z703" i="1"/>
  <c r="Z1035" i="1"/>
  <c r="Z47" i="1"/>
  <c r="Z752" i="1"/>
  <c r="Z1134" i="1"/>
  <c r="Z175" i="1"/>
  <c r="Z867" i="1"/>
  <c r="Z1808" i="1"/>
  <c r="Z1025" i="1"/>
  <c r="Z1057" i="1"/>
  <c r="AA1057" i="1"/>
  <c r="Z53" i="1"/>
  <c r="Z195" i="1"/>
  <c r="Z573" i="1"/>
  <c r="Z770" i="1"/>
  <c r="Z45" i="1"/>
  <c r="Z379" i="1"/>
  <c r="Z884" i="1"/>
  <c r="Z1176" i="1"/>
  <c r="Z1207" i="1"/>
  <c r="Z1319" i="1"/>
  <c r="Z1367" i="1"/>
  <c r="Z1415" i="1"/>
  <c r="Z1471" i="1"/>
  <c r="Z1497" i="1"/>
  <c r="Z1631" i="1"/>
  <c r="Z1681" i="1"/>
  <c r="Z1688" i="1"/>
  <c r="Z1729" i="1"/>
  <c r="Z1881" i="1"/>
  <c r="Z1937" i="1"/>
  <c r="Z1256" i="1"/>
  <c r="Z1432" i="1"/>
  <c r="Z1770" i="1"/>
  <c r="I1954" i="1"/>
  <c r="I1955" i="1" s="1"/>
  <c r="Z221" i="1"/>
  <c r="Z826" i="1"/>
  <c r="Z1185" i="1"/>
  <c r="Z1779" i="1"/>
  <c r="Z1955" i="1"/>
  <c r="Z399" i="1"/>
  <c r="Z223" i="1"/>
  <c r="Z164" i="1"/>
  <c r="Z182" i="1"/>
  <c r="Z200" i="1"/>
  <c r="Z192" i="1"/>
  <c r="Z201" i="1"/>
  <c r="Z228" i="1"/>
  <c r="AN237" i="2"/>
  <c r="Z248" i="1"/>
  <c r="Z276" i="1"/>
  <c r="Z294" i="1"/>
  <c r="Z304" i="1"/>
  <c r="Z313" i="1"/>
  <c r="Z340" i="1"/>
  <c r="Z358" i="1"/>
  <c r="Z368" i="1"/>
  <c r="Z377" i="1"/>
  <c r="Z404" i="1"/>
  <c r="Z422" i="1"/>
  <c r="Z432" i="1"/>
  <c r="Z441" i="1"/>
  <c r="Z468" i="1"/>
  <c r="Z486" i="1"/>
  <c r="Z496" i="1"/>
  <c r="AN85" i="2"/>
  <c r="Z505" i="1"/>
  <c r="Z523" i="1"/>
  <c r="Z550" i="1"/>
  <c r="Z560" i="1"/>
  <c r="Z623" i="1"/>
  <c r="Z624" i="1"/>
  <c r="Z651" i="1"/>
  <c r="Z678" i="1"/>
  <c r="Z687" i="1"/>
  <c r="Z51" i="1"/>
  <c r="Z177" i="1"/>
  <c r="Z241" i="1"/>
  <c r="Z353" i="1"/>
  <c r="Z401" i="1"/>
  <c r="Z465" i="1"/>
  <c r="Z561" i="1"/>
  <c r="AN108" i="2"/>
  <c r="Z617" i="1"/>
  <c r="Z681" i="1"/>
  <c r="Z52" i="1"/>
  <c r="Z130" i="1"/>
  <c r="Z194" i="1"/>
  <c r="Z258" i="1"/>
  <c r="Z322" i="1"/>
  <c r="Z386" i="1"/>
  <c r="Z450" i="1"/>
  <c r="Z514" i="1"/>
  <c r="Z578" i="1"/>
  <c r="Z642" i="1"/>
  <c r="Z56" i="1"/>
  <c r="Z126" i="1"/>
  <c r="Z190" i="1"/>
  <c r="Z318" i="1"/>
  <c r="Z382" i="1"/>
  <c r="Z446" i="1"/>
  <c r="Z38" i="1"/>
  <c r="Z599" i="1"/>
  <c r="Z693" i="1"/>
  <c r="Z739" i="1"/>
  <c r="Z748" i="1"/>
  <c r="Z793" i="1"/>
  <c r="Z803" i="1"/>
  <c r="Z882" i="1"/>
  <c r="Z812" i="1"/>
  <c r="Z813" i="1"/>
  <c r="Z822" i="1"/>
  <c r="Z860" i="1"/>
  <c r="Z863" i="1"/>
  <c r="Z872" i="1"/>
  <c r="Z990" i="1"/>
  <c r="Z991" i="1"/>
  <c r="Z1009" i="1"/>
  <c r="Z1039" i="1"/>
  <c r="Z1081" i="1"/>
  <c r="Z181" i="1"/>
  <c r="Z309" i="1"/>
  <c r="Z500" i="1"/>
  <c r="Z898" i="1"/>
  <c r="Z854" i="1"/>
  <c r="Z1000" i="1"/>
  <c r="Z1064" i="1"/>
  <c r="Z41" i="1"/>
  <c r="Z167" i="1"/>
  <c r="Z295" i="1"/>
  <c r="Z407" i="1"/>
  <c r="Z526" i="1"/>
  <c r="Z615" i="1"/>
  <c r="Z749" i="1"/>
  <c r="Z823" i="1"/>
  <c r="Z969" i="1"/>
  <c r="Z1033" i="1"/>
  <c r="Z69" i="1"/>
  <c r="Z211" i="1"/>
  <c r="Z355" i="1"/>
  <c r="Z587" i="1"/>
  <c r="Z698" i="1"/>
  <c r="Z778" i="1"/>
  <c r="Z77" i="1"/>
  <c r="Z655" i="1"/>
  <c r="Z1034" i="1"/>
  <c r="Z1132" i="1"/>
  <c r="Z1175" i="1"/>
  <c r="Z1199" i="1"/>
  <c r="Z1239" i="1"/>
  <c r="Z1287" i="1"/>
  <c r="Z1311" i="1"/>
  <c r="Z1359" i="1"/>
  <c r="Z1489" i="1"/>
  <c r="Z1503" i="1"/>
  <c r="Z1551" i="1"/>
  <c r="Z1599" i="1"/>
  <c r="Z1623" i="1"/>
  <c r="Z1671" i="1"/>
  <c r="Z1680" i="1"/>
  <c r="Z1699" i="1"/>
  <c r="Z1761" i="1"/>
  <c r="Z1809" i="1"/>
  <c r="Z1865" i="1"/>
  <c r="Z1921" i="1"/>
  <c r="Z380" i="1"/>
  <c r="Z799" i="1"/>
  <c r="Z317" i="1"/>
  <c r="Z842" i="1"/>
  <c r="Z1193" i="1"/>
  <c r="Z1803" i="1"/>
  <c r="Z431" i="1"/>
  <c r="AA1061" i="1"/>
  <c r="Z1061" i="1"/>
  <c r="Z583" i="1"/>
  <c r="Z293" i="1"/>
  <c r="Z302" i="1"/>
  <c r="Z312" i="1"/>
  <c r="Z321" i="1"/>
  <c r="Z339" i="1"/>
  <c r="Z348" i="1"/>
  <c r="Z357" i="1"/>
  <c r="Z366" i="1"/>
  <c r="Z375" i="1"/>
  <c r="Z376" i="1"/>
  <c r="Z385" i="1"/>
  <c r="AN117" i="2"/>
  <c r="Z421" i="1"/>
  <c r="Z430" i="1"/>
  <c r="Z440" i="1"/>
  <c r="Z449" i="1"/>
  <c r="Z467" i="1"/>
  <c r="Z485" i="1"/>
  <c r="Z504" i="1"/>
  <c r="Z513" i="1"/>
  <c r="Z568" i="1"/>
  <c r="Z577" i="1"/>
  <c r="AN212" i="2"/>
  <c r="Z604" i="1"/>
  <c r="Z631" i="1"/>
  <c r="Z632" i="1"/>
  <c r="Z641" i="1"/>
  <c r="Z659" i="1"/>
  <c r="Z668" i="1"/>
  <c r="Z677" i="1"/>
  <c r="Z59" i="1"/>
  <c r="Z185" i="1"/>
  <c r="Z249" i="1"/>
  <c r="Z305" i="1"/>
  <c r="Z361" i="1"/>
  <c r="Z473" i="1"/>
  <c r="Z625" i="1"/>
  <c r="Z689" i="1"/>
  <c r="Z68" i="1"/>
  <c r="Z138" i="1"/>
  <c r="Z202" i="1"/>
  <c r="Z266" i="1"/>
  <c r="Z330" i="1"/>
  <c r="Z394" i="1"/>
  <c r="Z458" i="1"/>
  <c r="Z522" i="1"/>
  <c r="Z586" i="1"/>
  <c r="Z650" i="1"/>
  <c r="Z5" i="1"/>
  <c r="Z262" i="1"/>
  <c r="Z326" i="1"/>
  <c r="Z390" i="1"/>
  <c r="Z454" i="1"/>
  <c r="Z54" i="1"/>
  <c r="Z196" i="1"/>
  <c r="Z308" i="1"/>
  <c r="Z436" i="1"/>
  <c r="Z535" i="1"/>
  <c r="Z613" i="1"/>
  <c r="Z690" i="1"/>
  <c r="Z692" i="1"/>
  <c r="Z701" i="1"/>
  <c r="Z747" i="1"/>
  <c r="Z756" i="1"/>
  <c r="Z783" i="1"/>
  <c r="Z881" i="1"/>
  <c r="Z891" i="1"/>
  <c r="Z820" i="1"/>
  <c r="Z821" i="1"/>
  <c r="Z871" i="1"/>
  <c r="Z998" i="1"/>
  <c r="Z999" i="1"/>
  <c r="Z1018" i="1"/>
  <c r="AA1071" i="1"/>
  <c r="Z1071" i="1"/>
  <c r="Z1089" i="1"/>
  <c r="Z197" i="1"/>
  <c r="Z325" i="1"/>
  <c r="Z614" i="1"/>
  <c r="Z708" i="1"/>
  <c r="Z772" i="1"/>
  <c r="Z906" i="1"/>
  <c r="Z862" i="1"/>
  <c r="Z1008" i="1"/>
  <c r="Z1072" i="1"/>
  <c r="Z73" i="1"/>
  <c r="Z183" i="1"/>
  <c r="Z311" i="1"/>
  <c r="Z423" i="1"/>
  <c r="Z540" i="1"/>
  <c r="Z629" i="1"/>
  <c r="Z757" i="1"/>
  <c r="Z805" i="1"/>
  <c r="Z831" i="1"/>
  <c r="Z977" i="1"/>
  <c r="Z1065" i="1"/>
  <c r="AA1065" i="1"/>
  <c r="Z85" i="1"/>
  <c r="Z227" i="1"/>
  <c r="Z371" i="1"/>
  <c r="Z483" i="1"/>
  <c r="AN113" i="2"/>
  <c r="Z706" i="1"/>
  <c r="Z786" i="1"/>
  <c r="Z844" i="1"/>
  <c r="Z123" i="1"/>
  <c r="Z683" i="1"/>
  <c r="Z916" i="1"/>
  <c r="Z1076" i="1"/>
  <c r="Z1124" i="1"/>
  <c r="Z1150" i="1"/>
  <c r="Z1191" i="1"/>
  <c r="H1231" i="1"/>
  <c r="H1232" i="1" s="1"/>
  <c r="Z1255" i="1"/>
  <c r="Z1351" i="1"/>
  <c r="Z1377" i="1"/>
  <c r="Z1384" i="1"/>
  <c r="Z1406" i="1"/>
  <c r="Z1454" i="1"/>
  <c r="Z1495" i="1"/>
  <c r="Z1543" i="1"/>
  <c r="Z1567" i="1"/>
  <c r="Z1615" i="1"/>
  <c r="Z1663" i="1"/>
  <c r="Z1691" i="1"/>
  <c r="Z1698" i="1"/>
  <c r="Z1739" i="1"/>
  <c r="Z1753" i="1"/>
  <c r="Z1801" i="1"/>
  <c r="Z1825" i="1"/>
  <c r="Z1873" i="1"/>
  <c r="Z2068" i="1"/>
  <c r="Z412" i="1"/>
  <c r="Z885" i="1"/>
  <c r="Z1117" i="1"/>
  <c r="Z1288" i="1"/>
  <c r="Z1600" i="1"/>
  <c r="Z1794" i="1"/>
  <c r="Z349" i="1"/>
  <c r="Z1201" i="1"/>
  <c r="Z1393" i="1"/>
  <c r="Z1609" i="1"/>
  <c r="Z1811" i="1"/>
  <c r="Z463" i="1"/>
  <c r="Z1075" i="1"/>
  <c r="Z1278" i="1"/>
  <c r="Z686" i="1"/>
  <c r="Z18" i="1"/>
  <c r="Z10" i="1"/>
  <c r="Z19" i="1"/>
  <c r="Z28" i="1"/>
  <c r="Z37" i="1"/>
  <c r="Z55" i="1"/>
  <c r="Z74" i="1"/>
  <c r="Z66" i="1"/>
  <c r="Z75" i="1"/>
  <c r="Z84" i="1"/>
  <c r="Z116" i="1"/>
  <c r="Z134" i="1"/>
  <c r="Z152" i="1"/>
  <c r="Z144" i="1"/>
  <c r="Z153" i="1"/>
  <c r="Z162" i="1"/>
  <c r="Z180" i="1"/>
  <c r="Z198" i="1"/>
  <c r="Z216" i="1"/>
  <c r="Z208" i="1"/>
  <c r="Z217" i="1"/>
  <c r="Z226" i="1"/>
  <c r="Z244" i="1"/>
  <c r="Z254" i="1"/>
  <c r="Z264" i="1"/>
  <c r="Z256" i="1"/>
  <c r="Z265" i="1"/>
  <c r="Z283" i="1"/>
  <c r="Z292" i="1"/>
  <c r="Z310" i="1"/>
  <c r="Z328" i="1"/>
  <c r="Z320" i="1"/>
  <c r="Z329" i="1"/>
  <c r="Z347" i="1"/>
  <c r="Z356" i="1"/>
  <c r="Z374" i="1"/>
  <c r="Z392" i="1"/>
  <c r="Z384" i="1"/>
  <c r="Z393" i="1"/>
  <c r="Z420" i="1"/>
  <c r="Z438" i="1"/>
  <c r="Z456" i="1"/>
  <c r="Z448" i="1"/>
  <c r="Z457" i="1"/>
  <c r="Z475" i="1"/>
  <c r="Z484" i="1"/>
  <c r="Z511" i="1"/>
  <c r="Z520" i="1"/>
  <c r="Z512" i="1"/>
  <c r="Z539" i="1"/>
  <c r="Z548" i="1"/>
  <c r="Z575" i="1"/>
  <c r="Z584" i="1"/>
  <c r="Z576" i="1"/>
  <c r="Z585" i="1"/>
  <c r="Z603" i="1"/>
  <c r="Z630" i="1"/>
  <c r="Z639" i="1"/>
  <c r="Z648" i="1"/>
  <c r="Z640" i="1"/>
  <c r="Z649" i="1"/>
  <c r="Z667" i="1"/>
  <c r="Z685" i="1"/>
  <c r="AN115" i="2"/>
  <c r="Z11" i="1"/>
  <c r="Z67" i="1"/>
  <c r="Z129" i="1"/>
  <c r="Z193" i="1"/>
  <c r="Z257" i="1"/>
  <c r="Z369" i="1"/>
  <c r="Z417" i="1"/>
  <c r="Z521" i="1"/>
  <c r="Z569" i="1"/>
  <c r="Z633" i="1"/>
  <c r="Z688" i="1"/>
  <c r="Z146" i="1"/>
  <c r="Z210" i="1"/>
  <c r="Z274" i="1"/>
  <c r="Z338" i="1"/>
  <c r="Z402" i="1"/>
  <c r="Z466" i="1"/>
  <c r="Z530" i="1"/>
  <c r="Z594" i="1"/>
  <c r="Z658" i="1"/>
  <c r="Z8" i="1"/>
  <c r="Z64" i="1"/>
  <c r="AN297" i="2"/>
  <c r="Z142" i="1"/>
  <c r="Z206" i="1"/>
  <c r="Z270" i="1"/>
  <c r="Z334" i="1"/>
  <c r="Z398" i="1"/>
  <c r="Z462" i="1"/>
  <c r="Z70" i="1"/>
  <c r="Z212" i="1"/>
  <c r="Z324" i="1"/>
  <c r="Z452" i="1"/>
  <c r="Z549" i="1"/>
  <c r="Z627" i="1"/>
  <c r="Z699" i="1"/>
  <c r="Z691" i="1"/>
  <c r="Z700" i="1"/>
  <c r="Z709" i="1"/>
  <c r="AN249" i="2"/>
  <c r="Z718" i="1"/>
  <c r="Z754" i="1"/>
  <c r="Z763" i="1"/>
  <c r="Z755" i="1"/>
  <c r="Z764" i="1"/>
  <c r="Z773" i="1"/>
  <c r="Z782" i="1"/>
  <c r="Z809" i="1"/>
  <c r="Z888" i="1"/>
  <c r="Z889" i="1"/>
  <c r="AN198" i="2"/>
  <c r="Z890" i="1"/>
  <c r="Z900" i="1"/>
  <c r="Z829" i="1"/>
  <c r="AN243" i="2"/>
  <c r="Z830" i="1"/>
  <c r="Z858" i="1"/>
  <c r="Z869" i="1"/>
  <c r="Z861" i="1"/>
  <c r="Z879" i="1"/>
  <c r="Z970" i="1"/>
  <c r="Z1006" i="1"/>
  <c r="AN20" i="2"/>
  <c r="Z1015" i="1"/>
  <c r="Z1007" i="1"/>
  <c r="Z1017" i="1"/>
  <c r="Z1048" i="1"/>
  <c r="Z1087" i="1"/>
  <c r="Z1079" i="1"/>
  <c r="Z1088" i="1"/>
  <c r="Z71" i="1"/>
  <c r="Z213" i="1"/>
  <c r="Z341" i="1"/>
  <c r="Z437" i="1"/>
  <c r="Z628" i="1"/>
  <c r="Z716" i="1"/>
  <c r="Z780" i="1"/>
  <c r="Z914" i="1"/>
  <c r="Z870" i="1"/>
  <c r="Z1016" i="1"/>
  <c r="Z1080" i="1"/>
  <c r="AN122" i="2"/>
  <c r="Z103" i="1"/>
  <c r="Z199" i="1"/>
  <c r="Z439" i="1"/>
  <c r="Z551" i="1"/>
  <c r="Z654" i="1"/>
  <c r="Z717" i="1"/>
  <c r="Z883" i="1"/>
  <c r="Z839" i="1"/>
  <c r="AA1049" i="1"/>
  <c r="Z1049" i="1"/>
  <c r="AN104" i="2"/>
  <c r="AA1073" i="1"/>
  <c r="Z1073" i="1"/>
  <c r="Z115" i="1"/>
  <c r="Z243" i="1"/>
  <c r="Z387" i="1"/>
  <c r="Z509" i="1"/>
  <c r="Z612" i="1"/>
  <c r="Z714" i="1"/>
  <c r="Z794" i="1"/>
  <c r="Z852" i="1"/>
  <c r="Z1014" i="1"/>
  <c r="Z155" i="1"/>
  <c r="Z502" i="1"/>
  <c r="Z702" i="1"/>
  <c r="Z824" i="1"/>
  <c r="Z1090" i="1"/>
  <c r="Z1116" i="1"/>
  <c r="Z1142" i="1"/>
  <c r="Z1183" i="1"/>
  <c r="Z1247" i="1"/>
  <c r="Z1295" i="1"/>
  <c r="Z1369" i="1"/>
  <c r="Z1383" i="1"/>
  <c r="Z1440" i="1"/>
  <c r="Z1487" i="1"/>
  <c r="Z1535" i="1"/>
  <c r="Z1559" i="1"/>
  <c r="Z1578" i="1"/>
  <c r="Z1585" i="1"/>
  <c r="Z1607" i="1"/>
  <c r="Z1683" i="1"/>
  <c r="Z1690" i="1"/>
  <c r="Z1697" i="1"/>
  <c r="Z1745" i="1"/>
  <c r="Z1793" i="1"/>
  <c r="Z1817" i="1"/>
  <c r="Z1857" i="1"/>
  <c r="Z1913" i="1"/>
  <c r="Z1922" i="1"/>
  <c r="Z2051" i="1"/>
  <c r="Z444" i="1"/>
  <c r="Z841" i="1"/>
  <c r="Z1133" i="1"/>
  <c r="Z1304" i="1"/>
  <c r="Z1480" i="1"/>
  <c r="Z1632" i="1"/>
  <c r="Z1826" i="1"/>
  <c r="Z1994" i="1"/>
  <c r="Z413" i="1"/>
  <c r="Z988" i="1"/>
  <c r="Z1241" i="1"/>
  <c r="Z1425" i="1"/>
  <c r="Z1625" i="1"/>
  <c r="Z1827" i="1"/>
  <c r="Z2003" i="1"/>
  <c r="Z622" i="1"/>
  <c r="Z1566" i="1"/>
  <c r="Z2086" i="1"/>
  <c r="Z299" i="1"/>
  <c r="Z1821" i="1"/>
  <c r="Z759" i="1"/>
  <c r="Z1580" i="1"/>
  <c r="Z1466" i="1"/>
  <c r="Z1820" i="1"/>
  <c r="Z2205" i="1"/>
  <c r="Z2355" i="1"/>
  <c r="Z694" i="1"/>
  <c r="Z1291" i="1"/>
  <c r="Z1837" i="1"/>
  <c r="Z791" i="1"/>
  <c r="Z684" i="1"/>
  <c r="Z825" i="1"/>
  <c r="Z1019" i="1"/>
  <c r="Z1125" i="1"/>
  <c r="Z1216" i="1"/>
  <c r="Z1296" i="1"/>
  <c r="Z1376" i="1"/>
  <c r="Z1472" i="1"/>
  <c r="Z1536" i="1"/>
  <c r="Z1706" i="1"/>
  <c r="Z1818" i="1"/>
  <c r="Z2067" i="1"/>
  <c r="Z381" i="1"/>
  <c r="Z736" i="1"/>
  <c r="Z874" i="1"/>
  <c r="Z1126" i="1"/>
  <c r="Z1217" i="1"/>
  <c r="Z1313" i="1"/>
  <c r="Z1513" i="1"/>
  <c r="Z1617" i="1"/>
  <c r="Z1715" i="1"/>
  <c r="Z1819" i="1"/>
  <c r="Z33" i="1"/>
  <c r="Z494" i="1"/>
  <c r="Z895" i="1"/>
  <c r="Z1190" i="1"/>
  <c r="Z1286" i="1"/>
  <c r="Z1414" i="1"/>
  <c r="Z1558" i="1"/>
  <c r="Z1696" i="1"/>
  <c r="AN241" i="2"/>
  <c r="Z1856" i="1"/>
  <c r="Z1992" i="1"/>
  <c r="Z1210" i="1"/>
  <c r="Z1836" i="1"/>
  <c r="Z2103" i="1"/>
  <c r="Z4546" i="1"/>
  <c r="Z2283" i="1"/>
  <c r="Z2547" i="1"/>
  <c r="Z726" i="1"/>
  <c r="Z1853" i="1"/>
  <c r="Z1612" i="1"/>
  <c r="Z2475" i="1"/>
  <c r="Z758" i="1"/>
  <c r="Z1403" i="1"/>
  <c r="Z1852" i="1"/>
  <c r="Z1890" i="1"/>
  <c r="Z1944" i="1"/>
  <c r="Z1986" i="1"/>
  <c r="Z1993" i="1"/>
  <c r="Z2041" i="1"/>
  <c r="Z2066" i="1"/>
  <c r="Z188" i="1"/>
  <c r="Z476" i="1"/>
  <c r="Z751" i="1"/>
  <c r="Z857" i="1"/>
  <c r="Z1159" i="1"/>
  <c r="Z1232" i="1"/>
  <c r="Z1312" i="1"/>
  <c r="Z1488" i="1"/>
  <c r="Z1544" i="1"/>
  <c r="Z1640" i="1"/>
  <c r="Z1730" i="1"/>
  <c r="Z1834" i="1"/>
  <c r="Z1946" i="1"/>
  <c r="Z2002" i="1"/>
  <c r="Z79" i="1"/>
  <c r="Z477" i="1"/>
  <c r="Z768" i="1"/>
  <c r="Z1036" i="1"/>
  <c r="Z1144" i="1"/>
  <c r="Z1249" i="1"/>
  <c r="Z1329" i="1"/>
  <c r="Z1433" i="1"/>
  <c r="Z1553" i="1"/>
  <c r="Z1633" i="1"/>
  <c r="Z1747" i="1"/>
  <c r="Z1843" i="1"/>
  <c r="Z2011" i="1"/>
  <c r="Z207" i="1"/>
  <c r="Z647" i="1"/>
  <c r="Z965" i="1"/>
  <c r="Z1115" i="1"/>
  <c r="Z1230" i="1"/>
  <c r="Z1462" i="1"/>
  <c r="Z1752" i="1"/>
  <c r="AN265" i="2"/>
  <c r="Z2000" i="1"/>
  <c r="Z1226" i="1"/>
  <c r="Z1594" i="1"/>
  <c r="Z1948" i="1"/>
  <c r="Z2419" i="1"/>
  <c r="Z1058" i="1"/>
  <c r="Z1419" i="1"/>
  <c r="Z1121" i="1"/>
  <c r="Z662" i="1"/>
  <c r="AN123" i="2"/>
  <c r="Z738" i="1"/>
  <c r="Z802" i="1"/>
  <c r="Z828" i="1"/>
  <c r="Z974" i="1"/>
  <c r="Z1038" i="1"/>
  <c r="Z187" i="1"/>
  <c r="Z411" i="1"/>
  <c r="AN330" i="2"/>
  <c r="Z580" i="1"/>
  <c r="AN84" i="2"/>
  <c r="Z750" i="1"/>
  <c r="Z840" i="1"/>
  <c r="Z1050" i="1"/>
  <c r="Z1096" i="1"/>
  <c r="Z1101" i="1"/>
  <c r="Z1119" i="1"/>
  <c r="Z1158" i="1"/>
  <c r="Z1215" i="1"/>
  <c r="Z1224" i="1"/>
  <c r="Z1263" i="1"/>
  <c r="Z1281" i="1"/>
  <c r="Z1326" i="1"/>
  <c r="Z1327" i="1"/>
  <c r="Z1390" i="1"/>
  <c r="Z1391" i="1"/>
  <c r="Z1439" i="1"/>
  <c r="Z1448" i="1"/>
  <c r="Z1510" i="1"/>
  <c r="Z1511" i="1"/>
  <c r="Z1529" i="1"/>
  <c r="Z1574" i="1"/>
  <c r="Z1575" i="1"/>
  <c r="Z1584" i="1"/>
  <c r="Z1639" i="1"/>
  <c r="Z1705" i="1"/>
  <c r="Z1714" i="1"/>
  <c r="Z1769" i="1"/>
  <c r="Z1778" i="1"/>
  <c r="Z1833" i="1"/>
  <c r="Z1889" i="1"/>
  <c r="AN233" i="2"/>
  <c r="Z1898" i="1"/>
  <c r="Z1978" i="1"/>
  <c r="Z1985" i="1"/>
  <c r="Z2033" i="1"/>
  <c r="Z2058" i="1"/>
  <c r="Z503" i="1"/>
  <c r="Z1051" i="1"/>
  <c r="AA1051" i="1"/>
  <c r="Z1240" i="1"/>
  <c r="Z1320" i="1"/>
  <c r="Z1416" i="1"/>
  <c r="Z1496" i="1"/>
  <c r="Z1552" i="1"/>
  <c r="Z1754" i="1"/>
  <c r="Z1842" i="1"/>
  <c r="Z125" i="1"/>
  <c r="Z557" i="1"/>
  <c r="Z784" i="1"/>
  <c r="Z1052" i="1"/>
  <c r="Z1160" i="1"/>
  <c r="Z1257" i="1"/>
  <c r="Z1441" i="1"/>
  <c r="Z1561" i="1"/>
  <c r="Z1649" i="1"/>
  <c r="Z1755" i="1"/>
  <c r="Z1867" i="1"/>
  <c r="Z2019" i="1"/>
  <c r="Z239" i="1"/>
  <c r="Z675" i="1"/>
  <c r="Z981" i="1"/>
  <c r="Z1123" i="1"/>
  <c r="Z1238" i="1"/>
  <c r="Z1342" i="1"/>
  <c r="Z1470" i="1"/>
  <c r="Z1614" i="1"/>
  <c r="Z1760" i="1"/>
  <c r="Z2040" i="1"/>
  <c r="Z843" i="1"/>
  <c r="Z1322" i="1"/>
  <c r="Z1964" i="1"/>
  <c r="Z2197" i="1"/>
  <c r="Z2347" i="1"/>
  <c r="Z1083" i="1"/>
  <c r="Z1595" i="1"/>
  <c r="Z2078" i="1"/>
  <c r="Z1324" i="1"/>
  <c r="Z2159" i="1"/>
  <c r="Z21" i="1"/>
  <c r="Z147" i="1"/>
  <c r="Z275" i="1"/>
  <c r="Z403" i="1"/>
  <c r="Z495" i="1"/>
  <c r="Z676" i="1"/>
  <c r="Z746" i="1"/>
  <c r="Z810" i="1"/>
  <c r="Z836" i="1"/>
  <c r="Z982" i="1"/>
  <c r="Z1046" i="1"/>
  <c r="Z219" i="1"/>
  <c r="Z443" i="1"/>
  <c r="Z605" i="1"/>
  <c r="Z766" i="1"/>
  <c r="Z856" i="1"/>
  <c r="Z1062" i="1"/>
  <c r="Z1108" i="1"/>
  <c r="Z1100" i="1"/>
  <c r="Z1118" i="1"/>
  <c r="Z1167" i="1"/>
  <c r="Z1222" i="1"/>
  <c r="Z1231" i="1"/>
  <c r="Z1223" i="1"/>
  <c r="Z1270" i="1"/>
  <c r="Z1279" i="1"/>
  <c r="Z1271" i="1"/>
  <c r="Z1280" i="1"/>
  <c r="Z1334" i="1"/>
  <c r="Z1343" i="1"/>
  <c r="Z1335" i="1"/>
  <c r="Z1398" i="1"/>
  <c r="Z1407" i="1"/>
  <c r="Z1399" i="1"/>
  <c r="Z1408" i="1"/>
  <c r="Z1417" i="1"/>
  <c r="Z1463" i="1"/>
  <c r="Z1447" i="1"/>
  <c r="Z1482" i="1"/>
  <c r="Z1527" i="1"/>
  <c r="Z1519" i="1"/>
  <c r="Z1528" i="1"/>
  <c r="AN45" i="2"/>
  <c r="Z1591" i="1"/>
  <c r="Z1583" i="1"/>
  <c r="Z1592" i="1"/>
  <c r="Z1610" i="1"/>
  <c r="Z1655" i="1"/>
  <c r="Z1647" i="1"/>
  <c r="Z1721" i="1"/>
  <c r="Z1713" i="1"/>
  <c r="Z1740" i="1"/>
  <c r="Z1785" i="1"/>
  <c r="Z1777" i="1"/>
  <c r="Z1849" i="1"/>
  <c r="Z1841" i="1"/>
  <c r="Z1905" i="1"/>
  <c r="Z1897" i="1"/>
  <c r="Z1906" i="1"/>
  <c r="AN77" i="2"/>
  <c r="Z1915" i="1"/>
  <c r="Z1977" i="1"/>
  <c r="Z2001" i="1"/>
  <c r="Z2050" i="1"/>
  <c r="Z2062" i="1"/>
  <c r="AN331" i="2"/>
  <c r="Z220" i="1"/>
  <c r="Z581" i="1"/>
  <c r="Z767" i="1"/>
  <c r="AN199" i="2"/>
  <c r="AN251" i="2"/>
  <c r="Z873" i="1"/>
  <c r="Z1091" i="1"/>
  <c r="Z1168" i="1"/>
  <c r="Z1248" i="1"/>
  <c r="Z1344" i="1"/>
  <c r="Z1424" i="1"/>
  <c r="Z1504" i="1"/>
  <c r="Z1576" i="1"/>
  <c r="Z1648" i="1"/>
  <c r="Z1762" i="1"/>
  <c r="Z1858" i="1"/>
  <c r="Z157" i="1"/>
  <c r="Z582" i="1"/>
  <c r="Z886" i="1"/>
  <c r="Z1067" i="1"/>
  <c r="AA1067" i="1"/>
  <c r="Z1177" i="1"/>
  <c r="Z1265" i="1"/>
  <c r="Z1361" i="1"/>
  <c r="Z1465" i="1"/>
  <c r="Z1569" i="1"/>
  <c r="Z1673" i="1"/>
  <c r="Z1763" i="1"/>
  <c r="Z1875" i="1"/>
  <c r="Z1931" i="1"/>
  <c r="Z271" i="1"/>
  <c r="Z697" i="1"/>
  <c r="Z997" i="1"/>
  <c r="Z1131" i="1"/>
  <c r="Z1246" i="1"/>
  <c r="Z1350" i="1"/>
  <c r="Z1478" i="1"/>
  <c r="Z1622" i="1"/>
  <c r="Z1888" i="1"/>
  <c r="Z2049" i="1"/>
  <c r="Z875" i="1"/>
  <c r="Z1338" i="1"/>
  <c r="Z1708" i="1"/>
  <c r="Z4554" i="1"/>
  <c r="AN150" i="2"/>
  <c r="Z4523" i="1"/>
  <c r="Z2291" i="1"/>
  <c r="Z2539" i="1"/>
  <c r="Z2651" i="1"/>
  <c r="Z29" i="1"/>
  <c r="Z1104" i="1"/>
  <c r="Z1611" i="1"/>
  <c r="Z1340" i="1"/>
  <c r="Z1630" i="1"/>
  <c r="Z1800" i="1"/>
  <c r="Z1936" i="1"/>
  <c r="Z159" i="1"/>
  <c r="Z1103" i="1"/>
  <c r="Z1354" i="1"/>
  <c r="Z1724" i="1"/>
  <c r="Z2411" i="1"/>
  <c r="Z2483" i="1"/>
  <c r="Z2595" i="1"/>
  <c r="Z235" i="1"/>
  <c r="Z1227" i="1"/>
  <c r="Z1627" i="1"/>
  <c r="Z727" i="1"/>
  <c r="Z1356" i="1"/>
  <c r="Z1961" i="1"/>
  <c r="Z1953" i="1"/>
  <c r="Z1971" i="1"/>
  <c r="AN138" i="2"/>
  <c r="Z1980" i="1"/>
  <c r="Z2025" i="1"/>
  <c r="Z78" i="1"/>
  <c r="Z316" i="1"/>
  <c r="Z556" i="1"/>
  <c r="Z735" i="1"/>
  <c r="Z917" i="1"/>
  <c r="Z1077" i="1"/>
  <c r="Z1151" i="1"/>
  <c r="Z1208" i="1"/>
  <c r="Z1272" i="1"/>
  <c r="Z1336" i="1"/>
  <c r="Z1400" i="1"/>
  <c r="Z1464" i="1"/>
  <c r="Z1520" i="1"/>
  <c r="Z1568" i="1"/>
  <c r="Z1624" i="1"/>
  <c r="Z1682" i="1"/>
  <c r="Z1746" i="1"/>
  <c r="Z1810" i="1"/>
  <c r="Z1938" i="1"/>
  <c r="Z1970" i="1"/>
  <c r="AN27" i="2"/>
  <c r="Z2034" i="1"/>
  <c r="Z2074" i="1"/>
  <c r="Z285" i="1"/>
  <c r="Z532" i="1"/>
  <c r="Z720" i="1"/>
  <c r="Z918" i="1"/>
  <c r="Z1020" i="1"/>
  <c r="Z1110" i="1"/>
  <c r="Z1169" i="1"/>
  <c r="Z1233" i="1"/>
  <c r="Z1297" i="1"/>
  <c r="Z1345" i="1"/>
  <c r="Z1409" i="1"/>
  <c r="Z1481" i="1"/>
  <c r="Z1545" i="1"/>
  <c r="Z1601" i="1"/>
  <c r="Z1665" i="1"/>
  <c r="Z1731" i="1"/>
  <c r="Z1795" i="1"/>
  <c r="Z1859" i="1"/>
  <c r="Z1907" i="1"/>
  <c r="Z1947" i="1"/>
  <c r="Z1995" i="1"/>
  <c r="Z2060" i="1"/>
  <c r="Z143" i="1"/>
  <c r="Z367" i="1"/>
  <c r="Z597" i="1"/>
  <c r="Z761" i="1"/>
  <c r="Z851" i="1"/>
  <c r="Z1214" i="1"/>
  <c r="Z1318" i="1"/>
  <c r="Z1382" i="1"/>
  <c r="Z1446" i="1"/>
  <c r="Z1502" i="1"/>
  <c r="Z1550" i="1"/>
  <c r="Z1606" i="1"/>
  <c r="Z1670" i="1"/>
  <c r="Z1736" i="1"/>
  <c r="Z1848" i="1"/>
  <c r="Z1880" i="1"/>
  <c r="Z1928" i="1"/>
  <c r="Z1984" i="1"/>
  <c r="Z81" i="1"/>
  <c r="Z533" i="1"/>
  <c r="AN315" i="2"/>
  <c r="Z811" i="1"/>
  <c r="Z1082" i="1"/>
  <c r="Z1194" i="1"/>
  <c r="Z1306" i="1"/>
  <c r="Z1434" i="1"/>
  <c r="Z1562" i="1"/>
  <c r="Z1692" i="1"/>
  <c r="Z1804" i="1"/>
  <c r="Z1932" i="1"/>
  <c r="Z2061" i="1"/>
  <c r="Z4538" i="1"/>
  <c r="Z2189" i="1"/>
  <c r="Z4515" i="1"/>
  <c r="Z2275" i="1"/>
  <c r="Z2276" i="1"/>
  <c r="Z2339" i="1"/>
  <c r="Z2403" i="1"/>
  <c r="Z2404" i="1"/>
  <c r="Z2467" i="1"/>
  <c r="Z2531" i="1"/>
  <c r="Z2587" i="1"/>
  <c r="Z2643" i="1"/>
  <c r="Z2678" i="1"/>
  <c r="Z644" i="1"/>
  <c r="Z1026" i="1"/>
  <c r="Z1211" i="1"/>
  <c r="Z1371" i="1"/>
  <c r="Z1965" i="1"/>
  <c r="Z4539" i="1"/>
  <c r="Z4516" i="1"/>
  <c r="Z492" i="1"/>
  <c r="Z1244" i="1"/>
  <c r="Z1500" i="1"/>
  <c r="Z1742" i="1"/>
  <c r="Z1982" i="1"/>
  <c r="Z49" i="1"/>
  <c r="Z776" i="1"/>
  <c r="Z1205" i="1"/>
  <c r="Z1413" i="1"/>
  <c r="Z1669" i="1"/>
  <c r="Z1879" i="1"/>
  <c r="Z2102" i="1"/>
  <c r="Z447" i="1"/>
  <c r="Z1299" i="1"/>
  <c r="Z1717" i="1"/>
  <c r="Z1822" i="1"/>
  <c r="Z2063" i="1"/>
  <c r="Z2151" i="1"/>
  <c r="Z980" i="1"/>
  <c r="Z1269" i="1"/>
  <c r="Z1493" i="1"/>
  <c r="Z1943" i="1"/>
  <c r="Z2142" i="1"/>
  <c r="Z2244" i="1"/>
  <c r="Z2338" i="1"/>
  <c r="Z1877" i="1"/>
  <c r="Z646" i="1"/>
  <c r="Z1012" i="1"/>
  <c r="Z1509" i="1"/>
  <c r="Z1959" i="1"/>
  <c r="Z4537" i="1"/>
  <c r="Z2252" i="1"/>
  <c r="Z2346" i="1"/>
  <c r="Z1909" i="1"/>
  <c r="Z2242" i="1"/>
  <c r="Z1838" i="1"/>
  <c r="Z696" i="1"/>
  <c r="Z397" i="1"/>
  <c r="Z1044" i="1"/>
  <c r="Z1285" i="1"/>
  <c r="Z1525" i="1"/>
  <c r="Z1735" i="1"/>
  <c r="AN214" i="2"/>
  <c r="Z1975" i="1"/>
  <c r="Z4545" i="1"/>
  <c r="Z4522" i="1"/>
  <c r="Z2354" i="1"/>
  <c r="Z1010" i="1"/>
  <c r="Z1427" i="1"/>
  <c r="Z1941" i="1"/>
  <c r="Z1518" i="1"/>
  <c r="Z1582" i="1"/>
  <c r="Z1638" i="1"/>
  <c r="Z1704" i="1"/>
  <c r="Z1768" i="1"/>
  <c r="Z1816" i="1"/>
  <c r="Z1896" i="1"/>
  <c r="AN279" i="2"/>
  <c r="Z1952" i="1"/>
  <c r="Z2057" i="1"/>
  <c r="AN69" i="2"/>
  <c r="Z2077" i="1"/>
  <c r="Z287" i="1"/>
  <c r="Z721" i="1"/>
  <c r="Z989" i="1"/>
  <c r="Z1137" i="1"/>
  <c r="Z1242" i="1"/>
  <c r="Z1370" i="1"/>
  <c r="Z1498" i="1"/>
  <c r="Z1626" i="1"/>
  <c r="Z1756" i="1"/>
  <c r="Z1868" i="1"/>
  <c r="Z1996" i="1"/>
  <c r="Z2111" i="1"/>
  <c r="Z4543" i="1"/>
  <c r="Z2149" i="1"/>
  <c r="Z2167" i="1"/>
  <c r="Z2213" i="1"/>
  <c r="Z4520" i="1"/>
  <c r="Z4531" i="1"/>
  <c r="Z2298" i="1"/>
  <c r="Z2299" i="1"/>
  <c r="Z2363" i="1"/>
  <c r="Z2381" i="1"/>
  <c r="Z2427" i="1"/>
  <c r="Z2491" i="1"/>
  <c r="Z2555" i="1"/>
  <c r="Z2603" i="1"/>
  <c r="Z4585" i="1"/>
  <c r="Z790" i="1"/>
  <c r="Z1154" i="1"/>
  <c r="Z1307" i="1"/>
  <c r="Z1435" i="1"/>
  <c r="Z1643" i="1"/>
  <c r="Z1869" i="1"/>
  <c r="Z2087" i="1"/>
  <c r="Z2284" i="1"/>
  <c r="Z2412" i="1"/>
  <c r="Z893" i="1"/>
  <c r="Z1139" i="1"/>
  <c r="Z1372" i="1"/>
  <c r="Z1628" i="1"/>
  <c r="Z1854" i="1"/>
  <c r="Z2079" i="1"/>
  <c r="Z728" i="1"/>
  <c r="Z1074" i="1"/>
  <c r="Z1301" i="1"/>
  <c r="Z1541" i="1"/>
  <c r="Z1751" i="1"/>
  <c r="Z1991" i="1"/>
  <c r="Z4553" i="1"/>
  <c r="Z4530" i="1"/>
  <c r="Z2362" i="1"/>
  <c r="AN130" i="2"/>
  <c r="Z1973" i="1"/>
  <c r="Z2589" i="1"/>
  <c r="Z2784" i="1"/>
  <c r="Z1608" i="1"/>
  <c r="Z1656" i="1"/>
  <c r="Z1722" i="1"/>
  <c r="Z1850" i="1"/>
  <c r="Z1914" i="1"/>
  <c r="Z2010" i="1"/>
  <c r="Z2059" i="1"/>
  <c r="Z189" i="1"/>
  <c r="Z445" i="1"/>
  <c r="Z800" i="1"/>
  <c r="Z972" i="1"/>
  <c r="Z1078" i="1"/>
  <c r="Z1152" i="1"/>
  <c r="Z1209" i="1"/>
  <c r="Z1321" i="1"/>
  <c r="Z1385" i="1"/>
  <c r="Z1449" i="1"/>
  <c r="Z1521" i="1"/>
  <c r="Z1577" i="1"/>
  <c r="AN316" i="2"/>
  <c r="Z1641" i="1"/>
  <c r="Z1707" i="1"/>
  <c r="Z1771" i="1"/>
  <c r="Z1835" i="1"/>
  <c r="Z1923" i="1"/>
  <c r="Z2035" i="1"/>
  <c r="Z65" i="1"/>
  <c r="Z303" i="1"/>
  <c r="Z519" i="1"/>
  <c r="Z713" i="1"/>
  <c r="Z911" i="1"/>
  <c r="AN19" i="2"/>
  <c r="Z1086" i="1"/>
  <c r="Z1141" i="1"/>
  <c r="Z1294" i="1"/>
  <c r="Z1358" i="1"/>
  <c r="Z1422" i="1"/>
  <c r="Z1486" i="1"/>
  <c r="Z1590" i="1"/>
  <c r="Z1712" i="1"/>
  <c r="Z1776" i="1"/>
  <c r="Z1824" i="1"/>
  <c r="Z1864" i="1"/>
  <c r="Z1904" i="1"/>
  <c r="Z1960" i="1"/>
  <c r="Z2076" i="1"/>
  <c r="Z351" i="1"/>
  <c r="Z753" i="1"/>
  <c r="Z1021" i="1"/>
  <c r="Z1153" i="1"/>
  <c r="Z1258" i="1"/>
  <c r="Z1386" i="1"/>
  <c r="Z1514" i="1"/>
  <c r="Z1642" i="1"/>
  <c r="Z1772" i="1"/>
  <c r="Z1884" i="1"/>
  <c r="Z2012" i="1"/>
  <c r="Z2119" i="1"/>
  <c r="Z2137" i="1"/>
  <c r="Z2157" i="1"/>
  <c r="Z2166" i="1"/>
  <c r="Z2175" i="1"/>
  <c r="I2237" i="1"/>
  <c r="I2238" i="1" s="1"/>
  <c r="Z2261" i="1"/>
  <c r="AN268" i="2"/>
  <c r="Z2307" i="1"/>
  <c r="Z2371" i="1"/>
  <c r="Z2389" i="1"/>
  <c r="Z2435" i="1"/>
  <c r="Z2499" i="1"/>
  <c r="Z2563" i="1"/>
  <c r="Z2611" i="1"/>
  <c r="Z4577" i="1"/>
  <c r="Z4584" i="1"/>
  <c r="Z427" i="1"/>
  <c r="Z892" i="1"/>
  <c r="Z1163" i="1"/>
  <c r="Z1323" i="1"/>
  <c r="Z1499" i="1"/>
  <c r="Z1725" i="1"/>
  <c r="Z2128" i="1"/>
  <c r="Z2214" i="1"/>
  <c r="Z300" i="1"/>
  <c r="Z1196" i="1"/>
  <c r="Z1452" i="1"/>
  <c r="Z1694" i="1"/>
  <c r="Z1934" i="1"/>
  <c r="Z2113" i="1"/>
  <c r="Z2215" i="1"/>
  <c r="Z2309" i="1"/>
  <c r="Z237" i="1"/>
  <c r="Z850" i="1"/>
  <c r="Z671" i="1"/>
  <c r="Z1621" i="1"/>
  <c r="Z1831" i="1"/>
  <c r="Z2072" i="1"/>
  <c r="Z2180" i="1"/>
  <c r="Z2274" i="1"/>
  <c r="Z2402" i="1"/>
  <c r="Z1203" i="1"/>
  <c r="Z1619" i="1"/>
  <c r="Z2320" i="1"/>
  <c r="Z2634" i="1"/>
  <c r="Z2832" i="1"/>
  <c r="Z1979" i="1"/>
  <c r="Z2043" i="1"/>
  <c r="Z547" i="1"/>
  <c r="Z729" i="1"/>
  <c r="Z819" i="1"/>
  <c r="Z1029" i="1"/>
  <c r="Z1099" i="1"/>
  <c r="Z1149" i="1"/>
  <c r="Z1198" i="1"/>
  <c r="Z1254" i="1"/>
  <c r="AN66" i="2"/>
  <c r="Z1302" i="1"/>
  <c r="Z1366" i="1"/>
  <c r="Z1430" i="1"/>
  <c r="Z1534" i="1"/>
  <c r="Z1720" i="1"/>
  <c r="Z1832" i="1"/>
  <c r="Z1912" i="1"/>
  <c r="Z1968" i="1"/>
  <c r="Z2016" i="1"/>
  <c r="Z2065" i="1"/>
  <c r="Z2089" i="1"/>
  <c r="Z2081" i="1"/>
  <c r="Z415" i="1"/>
  <c r="Z785" i="1"/>
  <c r="Z1162" i="1"/>
  <c r="Z1274" i="1"/>
  <c r="Z1402" i="1"/>
  <c r="Z1530" i="1"/>
  <c r="Z1658" i="1"/>
  <c r="Z1900" i="1"/>
  <c r="Z2028" i="1"/>
  <c r="Z2108" i="1"/>
  <c r="Z2127" i="1"/>
  <c r="Z2165" i="1"/>
  <c r="Z2174" i="1"/>
  <c r="Z2210" i="1"/>
  <c r="Z2260" i="1"/>
  <c r="Z2269" i="1"/>
  <c r="Z2315" i="1"/>
  <c r="Z2324" i="1"/>
  <c r="Z2333" i="1"/>
  <c r="Z2379" i="1"/>
  <c r="Z2388" i="1"/>
  <c r="Z2397" i="1"/>
  <c r="Z2433" i="1"/>
  <c r="Z2442" i="1"/>
  <c r="Z2443" i="1"/>
  <c r="Z2452" i="1"/>
  <c r="Z2461" i="1"/>
  <c r="Z2506" i="1"/>
  <c r="Z2507" i="1"/>
  <c r="Z2534" i="1"/>
  <c r="Z2570" i="1"/>
  <c r="Z2571" i="1"/>
  <c r="Z2619" i="1"/>
  <c r="Z4569" i="1"/>
  <c r="Z880" i="1"/>
  <c r="Z1179" i="1"/>
  <c r="Z1515" i="1"/>
  <c r="Z1741" i="1"/>
  <c r="Z1933" i="1"/>
  <c r="Z2136" i="1"/>
  <c r="Z2238" i="1"/>
  <c r="Z364" i="1"/>
  <c r="Z963" i="1"/>
  <c r="AN339" i="2"/>
  <c r="Z1212" i="1"/>
  <c r="Z1468" i="1"/>
  <c r="Z1710" i="1"/>
  <c r="Z1950" i="1"/>
  <c r="Z2121" i="1"/>
  <c r="Z2239" i="1"/>
  <c r="Z2317" i="1"/>
  <c r="Z301" i="1"/>
  <c r="Z964" i="1"/>
  <c r="Z712" i="1"/>
  <c r="Z1173" i="1"/>
  <c r="Z1381" i="1"/>
  <c r="Z1637" i="1"/>
  <c r="Z1847" i="1"/>
  <c r="Z2085" i="1"/>
  <c r="Z2282" i="1"/>
  <c r="Z62" i="1"/>
  <c r="Z1651" i="1"/>
  <c r="Z2124" i="1"/>
  <c r="Z2336" i="1"/>
  <c r="Z2516" i="1"/>
  <c r="Z1945" i="1"/>
  <c r="Z1954" i="1"/>
  <c r="Z1963" i="1"/>
  <c r="Z2008" i="1"/>
  <c r="Z2017" i="1"/>
  <c r="Z2009" i="1"/>
  <c r="Z2018" i="1"/>
  <c r="Z2027" i="1"/>
  <c r="Z2045" i="1"/>
  <c r="Z46" i="1"/>
  <c r="Z284" i="1"/>
  <c r="Z531" i="1"/>
  <c r="Z719" i="1"/>
  <c r="Z901" i="1"/>
  <c r="Z971" i="1"/>
  <c r="Z1066" i="1"/>
  <c r="Z1143" i="1"/>
  <c r="Z1264" i="1"/>
  <c r="Z1328" i="1"/>
  <c r="Z1392" i="1"/>
  <c r="Z1456" i="1"/>
  <c r="AN175" i="2"/>
  <c r="Z1512" i="1"/>
  <c r="Z1560" i="1"/>
  <c r="Z1616" i="1"/>
  <c r="Z1672" i="1"/>
  <c r="Z1738" i="1"/>
  <c r="Z1802" i="1"/>
  <c r="Z1866" i="1"/>
  <c r="Z1930" i="1"/>
  <c r="Z2026" i="1"/>
  <c r="Z2075" i="1"/>
  <c r="Z253" i="1"/>
  <c r="Z507" i="1"/>
  <c r="Z704" i="1"/>
  <c r="Z902" i="1"/>
  <c r="Z1004" i="1"/>
  <c r="Z1102" i="1"/>
  <c r="Z1161" i="1"/>
  <c r="Z1225" i="1"/>
  <c r="Z1289" i="1"/>
  <c r="Z1337" i="1"/>
  <c r="Z1401" i="1"/>
  <c r="Z1473" i="1"/>
  <c r="Z1537" i="1"/>
  <c r="Z1593" i="1"/>
  <c r="Z1657" i="1"/>
  <c r="Z1723" i="1"/>
  <c r="Z1787" i="1"/>
  <c r="Z1851" i="1"/>
  <c r="Z1899" i="1"/>
  <c r="Z1939" i="1"/>
  <c r="Z1987" i="1"/>
  <c r="Z2052" i="1"/>
  <c r="Z111" i="1"/>
  <c r="AN335" i="2"/>
  <c r="Z335" i="1"/>
  <c r="Z572" i="1"/>
  <c r="Z745" i="1"/>
  <c r="Z835" i="1"/>
  <c r="Z1045" i="1"/>
  <c r="AA1045" i="1"/>
  <c r="Z1107" i="1"/>
  <c r="Z1157" i="1"/>
  <c r="Z1206" i="1"/>
  <c r="Z1262" i="1"/>
  <c r="Z1310" i="1"/>
  <c r="Z1374" i="1"/>
  <c r="Z1438" i="1"/>
  <c r="Z1494" i="1"/>
  <c r="AN281" i="2"/>
  <c r="Z1542" i="1"/>
  <c r="Z1598" i="1"/>
  <c r="AN223" i="2"/>
  <c r="Z1662" i="1"/>
  <c r="Z1728" i="1"/>
  <c r="AN326" i="2"/>
  <c r="Z1792" i="1"/>
  <c r="Z1840" i="1"/>
  <c r="Z1920" i="1"/>
  <c r="Z1976" i="1"/>
  <c r="Z2024" i="1"/>
  <c r="Z2073" i="1"/>
  <c r="Z17" i="1"/>
  <c r="Z479" i="1"/>
  <c r="AA1053" i="1"/>
  <c r="Z1053" i="1"/>
  <c r="Z1290" i="1"/>
  <c r="Z1418" i="1"/>
  <c r="Z1546" i="1"/>
  <c r="Z1674" i="1"/>
  <c r="Z1788" i="1"/>
  <c r="Z1916" i="1"/>
  <c r="Z2044" i="1"/>
  <c r="Z2143" i="1"/>
  <c r="Z2135" i="1"/>
  <c r="Z2181" i="1"/>
  <c r="Z2173" i="1"/>
  <c r="Z2245" i="1"/>
  <c r="Z2237" i="1"/>
  <c r="Z4517" i="1"/>
  <c r="Z2267" i="1"/>
  <c r="Z2268" i="1"/>
  <c r="Z2331" i="1"/>
  <c r="Z2323" i="1"/>
  <c r="Z2332" i="1"/>
  <c r="Z2368" i="1"/>
  <c r="Z2395" i="1"/>
  <c r="Z2387" i="1"/>
  <c r="Z2396" i="1"/>
  <c r="Z2405" i="1"/>
  <c r="Z2459" i="1"/>
  <c r="Z2451" i="1"/>
  <c r="Z2523" i="1"/>
  <c r="Z2515" i="1"/>
  <c r="Z2579" i="1"/>
  <c r="AN157" i="2"/>
  <c r="Z2580" i="1"/>
  <c r="Z2635" i="1"/>
  <c r="Z2627" i="1"/>
  <c r="Z2653" i="1"/>
  <c r="AN106" i="2"/>
  <c r="Z2679" i="1"/>
  <c r="Z491" i="1"/>
  <c r="Z994" i="1"/>
  <c r="Z1195" i="1"/>
  <c r="Z1531" i="1"/>
  <c r="Z1757" i="1"/>
  <c r="Z1949" i="1"/>
  <c r="Z2144" i="1"/>
  <c r="Z2246" i="1"/>
  <c r="Z2340" i="1"/>
  <c r="Z428" i="1"/>
  <c r="Z995" i="1"/>
  <c r="Z1228" i="1"/>
  <c r="Z1484" i="1"/>
  <c r="Z1726" i="1"/>
  <c r="Z1966" i="1"/>
  <c r="Z2129" i="1"/>
  <c r="Z2247" i="1"/>
  <c r="Z2325" i="1"/>
  <c r="Z365" i="1"/>
  <c r="AN50" i="2"/>
  <c r="Z996" i="1"/>
  <c r="Z744" i="1"/>
  <c r="Z1189" i="1"/>
  <c r="Z1653" i="1"/>
  <c r="Z1863" i="1"/>
  <c r="Z2094" i="1"/>
  <c r="AN280" i="2"/>
  <c r="Z2196" i="1"/>
  <c r="Z2290" i="1"/>
  <c r="Z267" i="1"/>
  <c r="Z1267" i="1"/>
  <c r="Z2140" i="1"/>
  <c r="Z2352" i="1"/>
  <c r="Z2525" i="1"/>
  <c r="AN230" i="2"/>
  <c r="Z2644" i="1"/>
  <c r="Z1387" i="1"/>
  <c r="AN80" i="2"/>
  <c r="Z1483" i="1"/>
  <c r="Z1805" i="1"/>
  <c r="Z2029" i="1"/>
  <c r="Z2120" i="1"/>
  <c r="AN79" i="2"/>
  <c r="Z2158" i="1"/>
  <c r="Z2206" i="1"/>
  <c r="Z4534" i="1"/>
  <c r="Z2316" i="1"/>
  <c r="Z2380" i="1"/>
  <c r="Z236" i="1"/>
  <c r="Z695" i="1"/>
  <c r="Z849" i="1"/>
  <c r="Z1308" i="1"/>
  <c r="Z1436" i="1"/>
  <c r="Z1564" i="1"/>
  <c r="Z1678" i="1"/>
  <c r="Z1806" i="1"/>
  <c r="Z1918" i="1"/>
  <c r="Z2046" i="1"/>
  <c r="Z2105" i="1"/>
  <c r="Z4556" i="1"/>
  <c r="Z2207" i="1"/>
  <c r="Z2253" i="1"/>
  <c r="Z2373" i="1"/>
  <c r="Z173" i="1"/>
  <c r="Z596" i="1"/>
  <c r="Z818" i="1"/>
  <c r="Z205" i="1"/>
  <c r="Z621" i="1"/>
  <c r="Z866" i="1"/>
  <c r="Z1148" i="1"/>
  <c r="Z1253" i="1"/>
  <c r="Z1365" i="1"/>
  <c r="Z1477" i="1"/>
  <c r="Z1605" i="1"/>
  <c r="Z1719" i="1"/>
  <c r="Z1815" i="1"/>
  <c r="Z2056" i="1"/>
  <c r="Z2134" i="1"/>
  <c r="Z2172" i="1"/>
  <c r="Z2236" i="1"/>
  <c r="Z2266" i="1"/>
  <c r="Z2330" i="1"/>
  <c r="Z2394" i="1"/>
  <c r="Z833" i="1"/>
  <c r="Z1171" i="1"/>
  <c r="Z1587" i="1"/>
  <c r="Z1845" i="1"/>
  <c r="Z2092" i="1"/>
  <c r="Z2304" i="1"/>
  <c r="Z2424" i="1"/>
  <c r="Z2497" i="1"/>
  <c r="Z2625" i="1"/>
  <c r="Z4575" i="1"/>
  <c r="Z2792" i="1"/>
  <c r="Z2840" i="1"/>
  <c r="Z2900" i="1"/>
  <c r="Z806" i="1"/>
  <c r="Z2141" i="1"/>
  <c r="Z2385" i="1"/>
  <c r="Z2973" i="1"/>
  <c r="Z460" i="1"/>
  <c r="Z1791" i="1"/>
  <c r="Z2390" i="1"/>
  <c r="Z4578" i="1"/>
  <c r="Z2934" i="1"/>
  <c r="Z1554" i="1"/>
  <c r="Z2287" i="1"/>
  <c r="Z2624" i="1"/>
  <c r="Z2971" i="1"/>
  <c r="Z2647" i="1"/>
  <c r="Z1989" i="1"/>
  <c r="Z3172" i="1"/>
  <c r="Z3285" i="1"/>
  <c r="Z3341" i="1"/>
  <c r="Z859" i="1"/>
  <c r="AN338" i="2"/>
  <c r="Z1652" i="1"/>
  <c r="Z4560" i="1"/>
  <c r="Z3117" i="1"/>
  <c r="Z737" i="1"/>
  <c r="Z1823" i="1"/>
  <c r="Z2406" i="1"/>
  <c r="Z2672" i="1"/>
  <c r="Z2942" i="1"/>
  <c r="Z1586" i="1"/>
  <c r="Z2819" i="1"/>
  <c r="Z2465" i="1"/>
  <c r="Z3245" i="1"/>
  <c r="Z1011" i="1"/>
  <c r="Z1686" i="1"/>
  <c r="Z2163" i="1"/>
  <c r="Z2434" i="1"/>
  <c r="Z2645" i="1"/>
  <c r="Z1028" i="1"/>
  <c r="Z1855" i="1"/>
  <c r="Z2417" i="1"/>
  <c r="Z2681" i="1"/>
  <c r="Z2950" i="1"/>
  <c r="Z1618" i="1"/>
  <c r="AN176" i="2"/>
  <c r="Z2303" i="1"/>
  <c r="Z1474" i="1"/>
  <c r="Z2879" i="1"/>
  <c r="Z1268" i="1"/>
  <c r="Z1910" i="1"/>
  <c r="Z2508" i="1"/>
  <c r="Z2877" i="1"/>
  <c r="Z2152" i="1"/>
  <c r="Z2536" i="1"/>
  <c r="Z1068" i="1"/>
  <c r="Z2036" i="1"/>
  <c r="Z2450" i="1"/>
  <c r="Z1602" i="1"/>
  <c r="Z3019" i="1"/>
  <c r="Z3028" i="1"/>
  <c r="Z3109" i="1"/>
  <c r="Z3164" i="1"/>
  <c r="Z3277" i="1"/>
  <c r="Z3333" i="1"/>
  <c r="Z1300" i="1"/>
  <c r="Z1942" i="1"/>
  <c r="Z2257" i="1"/>
  <c r="Z2517" i="1"/>
  <c r="Z2697" i="1"/>
  <c r="Z1309" i="1"/>
  <c r="Z2168" i="1"/>
  <c r="Z2545" i="1"/>
  <c r="Z2069" i="1"/>
  <c r="Z2469" i="1"/>
  <c r="Z1666" i="1"/>
  <c r="Z2659" i="1"/>
  <c r="Z107" i="1"/>
  <c r="Z541" i="1"/>
  <c r="Z816" i="1"/>
  <c r="Z1120" i="1"/>
  <c r="Z1243" i="1"/>
  <c r="Z1339" i="1"/>
  <c r="Z1451" i="1"/>
  <c r="Z1563" i="1"/>
  <c r="Z1659" i="1"/>
  <c r="Z1885" i="1"/>
  <c r="Z1981" i="1"/>
  <c r="Z2096" i="1"/>
  <c r="Z4547" i="1"/>
  <c r="Z2182" i="1"/>
  <c r="Z4524" i="1"/>
  <c r="Z2292" i="1"/>
  <c r="Z2356" i="1"/>
  <c r="Z30" i="1"/>
  <c r="Z542" i="1"/>
  <c r="Z1027" i="1"/>
  <c r="Z1155" i="1"/>
  <c r="Z1260" i="1"/>
  <c r="Z1388" i="1"/>
  <c r="Z1516" i="1"/>
  <c r="Z1758" i="1"/>
  <c r="Z1870" i="1"/>
  <c r="Z2088" i="1"/>
  <c r="Z2145" i="1"/>
  <c r="Z2183" i="1"/>
  <c r="Z4525" i="1"/>
  <c r="Z2277" i="1"/>
  <c r="Z2341" i="1"/>
  <c r="Z2413" i="1"/>
  <c r="Z429" i="1"/>
  <c r="Z760" i="1"/>
  <c r="AN124" i="2"/>
  <c r="Z461" i="1"/>
  <c r="Z808" i="1"/>
  <c r="Z1098" i="1"/>
  <c r="Z1221" i="1"/>
  <c r="Z1317" i="1"/>
  <c r="Z1429" i="1"/>
  <c r="Z1557" i="1"/>
  <c r="Z1767" i="1"/>
  <c r="Z1895" i="1"/>
  <c r="Z2007" i="1"/>
  <c r="Z2110" i="1"/>
  <c r="Z4561" i="1"/>
  <c r="Z2306" i="1"/>
  <c r="Z2370" i="1"/>
  <c r="Z567" i="1"/>
  <c r="Z1069" i="1"/>
  <c r="AA1069" i="1"/>
  <c r="Z1491" i="1"/>
  <c r="Z1749" i="1"/>
  <c r="Z2005" i="1"/>
  <c r="Z4559" i="1"/>
  <c r="Z2256" i="1"/>
  <c r="Z2384" i="1"/>
  <c r="Z2470" i="1"/>
  <c r="Z2598" i="1"/>
  <c r="Z2662" i="1"/>
  <c r="Z2688" i="1"/>
  <c r="Z2728" i="1"/>
  <c r="Z2776" i="1"/>
  <c r="Z2824" i="1"/>
  <c r="Z2924" i="1"/>
  <c r="Z2972" i="1"/>
  <c r="Z3044" i="1"/>
  <c r="Z3108" i="1"/>
  <c r="Z3237" i="1"/>
  <c r="Z1396" i="1"/>
  <c r="Z1974" i="1"/>
  <c r="Z2273" i="1"/>
  <c r="Z2526" i="1"/>
  <c r="Z2705" i="1"/>
  <c r="Z1341" i="1"/>
  <c r="Z2184" i="1"/>
  <c r="Z2554" i="1"/>
  <c r="Z2802" i="1"/>
  <c r="AN41" i="2"/>
  <c r="Z1111" i="1"/>
  <c r="Z2091" i="1"/>
  <c r="Z2478" i="1"/>
  <c r="Z2839" i="1"/>
  <c r="Z2861" i="1"/>
  <c r="Z2667" i="1"/>
  <c r="Z171" i="1"/>
  <c r="Z591" i="1"/>
  <c r="Z848" i="1"/>
  <c r="Z1138" i="1"/>
  <c r="Z1259" i="1"/>
  <c r="Z1677" i="1"/>
  <c r="Z1773" i="1"/>
  <c r="Z1901" i="1"/>
  <c r="Z1997" i="1"/>
  <c r="Z2104" i="1"/>
  <c r="Z4555" i="1"/>
  <c r="Z2190" i="1"/>
  <c r="Z4532" i="1"/>
  <c r="Z2300" i="1"/>
  <c r="Z2364" i="1"/>
  <c r="Z108" i="1"/>
  <c r="Z595" i="1"/>
  <c r="Z817" i="1"/>
  <c r="Z1164" i="1"/>
  <c r="Z1276" i="1"/>
  <c r="Z1404" i="1"/>
  <c r="Z1532" i="1"/>
  <c r="Z1774" i="1"/>
  <c r="Z1886" i="1"/>
  <c r="Z2014" i="1"/>
  <c r="Z4540" i="1"/>
  <c r="Z2191" i="1"/>
  <c r="Z2285" i="1"/>
  <c r="Z2357" i="1"/>
  <c r="Z31" i="1"/>
  <c r="Z493" i="1"/>
  <c r="Z792" i="1"/>
  <c r="Z63" i="1"/>
  <c r="Z518" i="1"/>
  <c r="Z910" i="1"/>
  <c r="Z1114" i="1"/>
  <c r="Z1333" i="1"/>
  <c r="Z1445" i="1"/>
  <c r="Z1573" i="1"/>
  <c r="Z1687" i="1"/>
  <c r="AN334" i="2"/>
  <c r="Z1783" i="1"/>
  <c r="Z1911" i="1"/>
  <c r="Z2023" i="1"/>
  <c r="Z2118" i="1"/>
  <c r="Z2204" i="1"/>
  <c r="Z2314" i="1"/>
  <c r="Z2378" i="1"/>
  <c r="Z710" i="1"/>
  <c r="Z1112" i="1"/>
  <c r="AN78" i="2"/>
  <c r="Z1331" i="1"/>
  <c r="Z1523" i="1"/>
  <c r="Z1781" i="1"/>
  <c r="Z2037" i="1"/>
  <c r="Z2162" i="1"/>
  <c r="Z2272" i="1"/>
  <c r="Z2400" i="1"/>
  <c r="Z2479" i="1"/>
  <c r="Z2543" i="1"/>
  <c r="Z2607" i="1"/>
  <c r="Z2696" i="1"/>
  <c r="Z2704" i="1"/>
  <c r="Z2712" i="1"/>
  <c r="Z2720" i="1"/>
  <c r="Z2768" i="1"/>
  <c r="Z2794" i="1"/>
  <c r="Z2868" i="1"/>
  <c r="Z2916" i="1"/>
  <c r="Z2964" i="1"/>
  <c r="Z2988" i="1"/>
  <c r="Z3052" i="1"/>
  <c r="Z3092" i="1"/>
  <c r="Z3180" i="1"/>
  <c r="Z3349" i="1"/>
  <c r="Z3501" i="1"/>
  <c r="Z1428" i="1"/>
  <c r="Z2006" i="1"/>
  <c r="Z2289" i="1"/>
  <c r="Z2721" i="1"/>
  <c r="Z3238" i="1"/>
  <c r="Z1373" i="1"/>
  <c r="Z2200" i="1"/>
  <c r="Z2564" i="1"/>
  <c r="Z2810" i="1"/>
  <c r="Z1145" i="1"/>
  <c r="Z2107" i="1"/>
  <c r="Z2597" i="1"/>
  <c r="Z2847" i="1"/>
  <c r="Z3370" i="1"/>
  <c r="Z1467" i="1"/>
  <c r="Z1579" i="1"/>
  <c r="Z1693" i="1"/>
  <c r="Z1789" i="1"/>
  <c r="Z1917" i="1"/>
  <c r="Z2013" i="1"/>
  <c r="Z2112" i="1"/>
  <c r="Z2150" i="1"/>
  <c r="Z2198" i="1"/>
  <c r="Z2308" i="1"/>
  <c r="Z2372" i="1"/>
  <c r="Z172" i="1"/>
  <c r="Z645" i="1"/>
  <c r="Z1059" i="1"/>
  <c r="AA1059" i="1"/>
  <c r="AN105" i="2"/>
  <c r="Z1180" i="1"/>
  <c r="Z1292" i="1"/>
  <c r="Z1420" i="1"/>
  <c r="Z1548" i="1"/>
  <c r="Z1660" i="1"/>
  <c r="Z1902" i="1"/>
  <c r="Z2030" i="1"/>
  <c r="Z2097" i="1"/>
  <c r="Z4548" i="1"/>
  <c r="Z2199" i="1"/>
  <c r="Z2293" i="1"/>
  <c r="Z2365" i="1"/>
  <c r="Z543" i="1"/>
  <c r="Z894" i="1"/>
  <c r="Z141" i="1"/>
  <c r="Z571" i="1"/>
  <c r="Z834" i="1"/>
  <c r="Z1130" i="1"/>
  <c r="Z1237" i="1"/>
  <c r="AN234" i="2"/>
  <c r="Z1349" i="1"/>
  <c r="Z1461" i="1"/>
  <c r="Z1589" i="1"/>
  <c r="Z1703" i="1"/>
  <c r="Z1799" i="1"/>
  <c r="Z2039" i="1"/>
  <c r="Z2126" i="1"/>
  <c r="Z2164" i="1"/>
  <c r="Z2212" i="1"/>
  <c r="Z2258" i="1"/>
  <c r="Z2322" i="1"/>
  <c r="Z2386" i="1"/>
  <c r="Z801" i="1"/>
  <c r="Z1146" i="1"/>
  <c r="Z1363" i="1"/>
  <c r="Z1555" i="1"/>
  <c r="Z1813" i="1"/>
  <c r="Z2070" i="1"/>
  <c r="Z2178" i="1"/>
  <c r="Z2288" i="1"/>
  <c r="Z2415" i="1"/>
  <c r="Z2488" i="1"/>
  <c r="Z2552" i="1"/>
  <c r="Z4562" i="1"/>
  <c r="Z2695" i="1"/>
  <c r="Z2711" i="1"/>
  <c r="Z2719" i="1"/>
  <c r="Z2724" i="1"/>
  <c r="Z2760" i="1"/>
  <c r="Z2786" i="1"/>
  <c r="Z2848" i="1"/>
  <c r="Z2908" i="1"/>
  <c r="Z2932" i="1"/>
  <c r="Z2980" i="1"/>
  <c r="Z2990" i="1"/>
  <c r="Z3036" i="1"/>
  <c r="Z3045" i="1"/>
  <c r="Z3100" i="1"/>
  <c r="Z3229" i="1"/>
  <c r="Z3230" i="1"/>
  <c r="Z3397" i="1"/>
  <c r="Z3453" i="1"/>
  <c r="Z711" i="1"/>
  <c r="Z1620" i="1"/>
  <c r="Z2125" i="1"/>
  <c r="Z2369" i="1"/>
  <c r="Z2599" i="1"/>
  <c r="Z2785" i="1"/>
  <c r="Z2965" i="1"/>
  <c r="Z3101" i="1"/>
  <c r="Z319" i="1"/>
  <c r="Z1759" i="1"/>
  <c r="Z2374" i="1"/>
  <c r="Z4568" i="1"/>
  <c r="Z2926" i="1"/>
  <c r="Z1522" i="1"/>
  <c r="Z2271" i="1"/>
  <c r="Z2615" i="1"/>
  <c r="Z2955" i="1"/>
  <c r="Z2592" i="1"/>
  <c r="Z973" i="1"/>
  <c r="Z3156" i="1"/>
  <c r="Z3220" i="1"/>
  <c r="Z3221" i="1"/>
  <c r="Z3325" i="1"/>
  <c r="Z3380" i="1"/>
  <c r="Z3389" i="1"/>
  <c r="Z3461" i="1"/>
  <c r="Z3509" i="1"/>
  <c r="Z3557" i="1"/>
  <c r="Z611" i="1"/>
  <c r="Z1236" i="1"/>
  <c r="Z1878" i="1"/>
  <c r="Z2353" i="1"/>
  <c r="Z2480" i="1"/>
  <c r="Z2590" i="1"/>
  <c r="Z2680" i="1"/>
  <c r="Z2769" i="1"/>
  <c r="Z2941" i="1"/>
  <c r="Z3093" i="1"/>
  <c r="Z3181" i="1"/>
  <c r="Z139" i="1"/>
  <c r="Z1213" i="1"/>
  <c r="Z1629" i="1"/>
  <c r="Z2098" i="1"/>
  <c r="Z2310" i="1"/>
  <c r="Z2490" i="1"/>
  <c r="Z2637" i="1"/>
  <c r="Z2746" i="1"/>
  <c r="Z2886" i="1"/>
  <c r="Z705" i="1"/>
  <c r="Z1362" i="1"/>
  <c r="Z1876" i="1"/>
  <c r="Z2209" i="1"/>
  <c r="Z2551" i="1"/>
  <c r="Z4574" i="1"/>
  <c r="Z2783" i="1"/>
  <c r="Z2131" i="1"/>
  <c r="Z2501" i="1"/>
  <c r="Z3137" i="1"/>
  <c r="Z3434" i="1"/>
  <c r="Z1475" i="1"/>
  <c r="Z2612" i="1"/>
  <c r="Z2852" i="1"/>
  <c r="Z3074" i="1"/>
  <c r="Z978" i="1"/>
  <c r="Z2409" i="1"/>
  <c r="Z2913" i="1"/>
  <c r="Z3191" i="1"/>
  <c r="Z3343" i="1"/>
  <c r="Z191" i="1"/>
  <c r="Z1797" i="1"/>
  <c r="Z2408" i="1"/>
  <c r="Z2674" i="1"/>
  <c r="Z2944" i="1"/>
  <c r="Z3307" i="1"/>
  <c r="Z1348" i="1"/>
  <c r="Z2460" i="1"/>
  <c r="Z2703" i="1"/>
  <c r="Z2831" i="1"/>
  <c r="Z2963" i="1"/>
  <c r="Z1538" i="1"/>
  <c r="Z2279" i="1"/>
  <c r="Z2610" i="1"/>
  <c r="Z3201" i="1"/>
  <c r="Z3352" i="1"/>
  <c r="Z516" i="1"/>
  <c r="Z1861" i="1"/>
  <c r="Z2429" i="1"/>
  <c r="Z2692" i="1"/>
  <c r="Z2960" i="1"/>
  <c r="Z3128" i="1"/>
  <c r="Z3316" i="1"/>
  <c r="Z1604" i="1"/>
  <c r="Z2503" i="1"/>
  <c r="Z2311" i="1"/>
  <c r="Z2629" i="1"/>
  <c r="Z2851" i="1"/>
  <c r="Z3211" i="1"/>
  <c r="Z3361" i="1"/>
  <c r="Z743" i="1"/>
  <c r="Z1925" i="1"/>
  <c r="Z2447" i="1"/>
  <c r="Z2708" i="1"/>
  <c r="Z3138" i="1"/>
  <c r="Z3362" i="1"/>
  <c r="Z1668" i="1"/>
  <c r="Z2576" i="1"/>
  <c r="Z3107" i="1"/>
  <c r="Z1197" i="1"/>
  <c r="Z2594" i="1"/>
  <c r="Z3161" i="1"/>
  <c r="Z4541" i="1"/>
  <c r="Z2996" i="1"/>
  <c r="Z3041" i="1"/>
  <c r="Z3060" i="1"/>
  <c r="Z3124" i="1"/>
  <c r="Z3133" i="1"/>
  <c r="Z3188" i="1"/>
  <c r="Z3197" i="1"/>
  <c r="Z3253" i="1"/>
  <c r="Z3293" i="1"/>
  <c r="Z3357" i="1"/>
  <c r="Z3409" i="1"/>
  <c r="Z3445" i="1"/>
  <c r="Z3581" i="1"/>
  <c r="Z1147" i="1"/>
  <c r="Z1460" i="1"/>
  <c r="Z1718" i="1"/>
  <c r="Z2179" i="1"/>
  <c r="Z2305" i="1"/>
  <c r="Z2444" i="1"/>
  <c r="Z2544" i="1"/>
  <c r="Z2654" i="1"/>
  <c r="AN68" i="2"/>
  <c r="Z2825" i="1"/>
  <c r="Z2909" i="1"/>
  <c r="Z3053" i="1"/>
  <c r="AN273" i="2"/>
  <c r="Z3157" i="1"/>
  <c r="Z3246" i="1"/>
  <c r="Z1085" i="1"/>
  <c r="Z1533" i="1"/>
  <c r="Z2015" i="1"/>
  <c r="Z2262" i="1"/>
  <c r="Z2463" i="1"/>
  <c r="Z2609" i="1"/>
  <c r="Z2722" i="1"/>
  <c r="Z2850" i="1"/>
  <c r="Z255" i="1"/>
  <c r="Z1266" i="1"/>
  <c r="Z1780" i="1"/>
  <c r="Z2161" i="1"/>
  <c r="Z2383" i="1"/>
  <c r="Z2524" i="1"/>
  <c r="Z2661" i="1"/>
  <c r="Z2759" i="1"/>
  <c r="Z2899" i="1"/>
  <c r="Z742" i="1"/>
  <c r="Z1988" i="1"/>
  <c r="Z2446" i="1"/>
  <c r="Z2943" i="1"/>
  <c r="Z3105" i="1"/>
  <c r="Z3276" i="1"/>
  <c r="Z2170" i="1"/>
  <c r="Z2557" i="1"/>
  <c r="Z2804" i="1"/>
  <c r="Z3042" i="1"/>
  <c r="Z3202" i="1"/>
  <c r="Z3390" i="1"/>
  <c r="Z2133" i="1"/>
  <c r="Z2693" i="1"/>
  <c r="Z3258" i="1"/>
  <c r="Z2586" i="1"/>
  <c r="Z2736" i="1"/>
  <c r="Z2745" i="1"/>
  <c r="Z2800" i="1"/>
  <c r="Z2809" i="1"/>
  <c r="Z2876" i="1"/>
  <c r="Z2885" i="1"/>
  <c r="Z2940" i="1"/>
  <c r="Z2976" i="1"/>
  <c r="Z3004" i="1"/>
  <c r="Z3031" i="1"/>
  <c r="Z3068" i="1"/>
  <c r="Z3132" i="1"/>
  <c r="Z3150" i="1"/>
  <c r="Z3196" i="1"/>
  <c r="Z3224" i="1"/>
  <c r="Z3301" i="1"/>
  <c r="Z3365" i="1"/>
  <c r="Z3437" i="1"/>
  <c r="Z3525" i="1"/>
  <c r="Z3573" i="1"/>
  <c r="Z1172" i="1"/>
  <c r="Z1492" i="1"/>
  <c r="Z1750" i="1"/>
  <c r="Z2195" i="1"/>
  <c r="Z2321" i="1"/>
  <c r="Z2453" i="1"/>
  <c r="Z2572" i="1"/>
  <c r="Z2663" i="1"/>
  <c r="Z3005" i="1"/>
  <c r="Z3165" i="1"/>
  <c r="Z3262" i="1"/>
  <c r="Z1122" i="1"/>
  <c r="Z1565" i="1"/>
  <c r="Z2048" i="1"/>
  <c r="Z2278" i="1"/>
  <c r="Z2472" i="1"/>
  <c r="Z2618" i="1"/>
  <c r="Z2730" i="1"/>
  <c r="Z2870" i="1"/>
  <c r="Z396" i="1"/>
  <c r="Z1298" i="1"/>
  <c r="Z1812" i="1"/>
  <c r="Z2177" i="1"/>
  <c r="Z2399" i="1"/>
  <c r="Z2670" i="1"/>
  <c r="Z2767" i="1"/>
  <c r="Z2907" i="1"/>
  <c r="Z865" i="1"/>
  <c r="Z2053" i="1"/>
  <c r="Z2464" i="1"/>
  <c r="Z2723" i="1"/>
  <c r="Z2959" i="1"/>
  <c r="Z3115" i="1"/>
  <c r="Z3288" i="1"/>
  <c r="Z3416" i="1"/>
  <c r="Z1347" i="1"/>
  <c r="Z2202" i="1"/>
  <c r="Z2575" i="1"/>
  <c r="Z2820" i="1"/>
  <c r="Z3054" i="1"/>
  <c r="Z3225" i="1"/>
  <c r="Z3454" i="1"/>
  <c r="Z4552" i="1"/>
  <c r="Z2561" i="1"/>
  <c r="Z2616" i="1"/>
  <c r="AN151" i="2"/>
  <c r="Z2857" i="1"/>
  <c r="Z2686" i="1"/>
  <c r="Z2689" i="1"/>
  <c r="Z2707" i="1"/>
  <c r="Z2752" i="1"/>
  <c r="Z2744" i="1"/>
  <c r="Z2816" i="1"/>
  <c r="Z2808" i="1"/>
  <c r="Z2817" i="1"/>
  <c r="Z2835" i="1"/>
  <c r="Z2892" i="1"/>
  <c r="Z2884" i="1"/>
  <c r="Z2956" i="1"/>
  <c r="Z2948" i="1"/>
  <c r="Z3011" i="1"/>
  <c r="Z3020" i="1"/>
  <c r="Z3012" i="1"/>
  <c r="Z3021" i="1"/>
  <c r="Z3084" i="1"/>
  <c r="Z3076" i="1"/>
  <c r="Z3148" i="1"/>
  <c r="Z3140" i="1"/>
  <c r="Z3212" i="1"/>
  <c r="Z3204" i="1"/>
  <c r="Z3269" i="1"/>
  <c r="Z3261" i="1"/>
  <c r="AN195" i="2"/>
  <c r="Z3280" i="1"/>
  <c r="Z3289" i="1"/>
  <c r="Z3317" i="1"/>
  <c r="Z3309" i="1"/>
  <c r="Z3381" i="1"/>
  <c r="Z3373" i="1"/>
  <c r="Z3429" i="1"/>
  <c r="Z3491" i="1"/>
  <c r="Z3517" i="1"/>
  <c r="Z3565" i="1"/>
  <c r="Z1204" i="1"/>
  <c r="Z1524" i="1"/>
  <c r="Z1846" i="1"/>
  <c r="Z2109" i="1"/>
  <c r="Z2211" i="1"/>
  <c r="Z2462" i="1"/>
  <c r="Z2581" i="1"/>
  <c r="Z4567" i="1"/>
  <c r="Z2761" i="1"/>
  <c r="Z2869" i="1"/>
  <c r="AN217" i="2"/>
  <c r="Z2925" i="1"/>
  <c r="Z3013" i="1"/>
  <c r="AN133" i="2"/>
  <c r="Z3069" i="1"/>
  <c r="Z3173" i="1"/>
  <c r="Z3286" i="1"/>
  <c r="Z1156" i="1"/>
  <c r="Z1597" i="1"/>
  <c r="Z2080" i="1"/>
  <c r="Z2294" i="1"/>
  <c r="Z2481" i="1"/>
  <c r="Z2628" i="1"/>
  <c r="Z2738" i="1"/>
  <c r="Z2878" i="1"/>
  <c r="Z566" i="1"/>
  <c r="Z1330" i="1"/>
  <c r="Z1844" i="1"/>
  <c r="Z2193" i="1"/>
  <c r="AN248" i="2"/>
  <c r="Z2414" i="1"/>
  <c r="Z2542" i="1"/>
  <c r="Z2865" i="1"/>
  <c r="Z2775" i="1"/>
  <c r="Z2915" i="1"/>
  <c r="Z1093" i="1"/>
  <c r="Z2482" i="1"/>
  <c r="Z2739" i="1"/>
  <c r="Z2975" i="1"/>
  <c r="S2975" i="1"/>
  <c r="Z3127" i="1"/>
  <c r="AN154" i="2"/>
  <c r="Z3297" i="1"/>
  <c r="Z3425" i="1"/>
  <c r="Z1411" i="1"/>
  <c r="Z2250" i="1"/>
  <c r="Z2593" i="1"/>
  <c r="Z2836" i="1"/>
  <c r="Z3064" i="1"/>
  <c r="Z3235" i="1"/>
  <c r="Z203" i="1"/>
  <c r="Z2345" i="1"/>
  <c r="Z3391" i="1"/>
  <c r="Z3632" i="1"/>
  <c r="Z3421" i="1"/>
  <c r="Z3485" i="1"/>
  <c r="Z3549" i="1"/>
  <c r="Z268" i="1"/>
  <c r="Z1113" i="1"/>
  <c r="Z1364" i="1"/>
  <c r="Z1588" i="1"/>
  <c r="Z1814" i="1"/>
  <c r="AN127" i="2"/>
  <c r="Z2071" i="1"/>
  <c r="Z2425" i="1"/>
  <c r="Z2498" i="1"/>
  <c r="Z2562" i="1"/>
  <c r="Z2626" i="1"/>
  <c r="Z2671" i="1"/>
  <c r="Z2737" i="1"/>
  <c r="Z2801" i="1"/>
  <c r="Z2849" i="1"/>
  <c r="Z2957" i="1"/>
  <c r="Z3037" i="1"/>
  <c r="Z3085" i="1"/>
  <c r="Z3149" i="1"/>
  <c r="Z3213" i="1"/>
  <c r="Z3278" i="1"/>
  <c r="Z864" i="1"/>
  <c r="Z1277" i="1"/>
  <c r="AN56" i="2"/>
  <c r="Z1501" i="1"/>
  <c r="Z1727" i="1"/>
  <c r="Z1983" i="1"/>
  <c r="Z4549" i="1"/>
  <c r="Z2454" i="1"/>
  <c r="Z2527" i="1"/>
  <c r="Z2600" i="1"/>
  <c r="Z2859" i="1"/>
  <c r="Z2714" i="1"/>
  <c r="Z2778" i="1"/>
  <c r="Z2842" i="1"/>
  <c r="Z2918" i="1"/>
  <c r="Z2982" i="1"/>
  <c r="Z1005" i="1"/>
  <c r="Z1234" i="1"/>
  <c r="Z1490" i="1"/>
  <c r="Z1748" i="1"/>
  <c r="Z2004" i="1"/>
  <c r="Z4558" i="1"/>
  <c r="Z2255" i="1"/>
  <c r="Z2367" i="1"/>
  <c r="Z2441" i="1"/>
  <c r="Z2514" i="1"/>
  <c r="Z2588" i="1"/>
  <c r="Z2751" i="1"/>
  <c r="Z2815" i="1"/>
  <c r="Z2891" i="1"/>
  <c r="Z2947" i="1"/>
  <c r="Z508" i="1"/>
  <c r="Z1410" i="1"/>
  <c r="Z1924" i="1"/>
  <c r="Z2249" i="1"/>
  <c r="Z2428" i="1"/>
  <c r="Z2574" i="1"/>
  <c r="Z2691" i="1"/>
  <c r="Z2803" i="1"/>
  <c r="Z3009" i="1"/>
  <c r="Z3095" i="1"/>
  <c r="Z3179" i="1"/>
  <c r="Z3266" i="1"/>
  <c r="Z3334" i="1"/>
  <c r="AN116" i="2"/>
  <c r="Z3407" i="1"/>
  <c r="Z3462" i="1"/>
  <c r="Z1219" i="1"/>
  <c r="Z4551" i="1"/>
  <c r="Z2376" i="1"/>
  <c r="Z2538" i="1"/>
  <c r="Z4571" i="1"/>
  <c r="Z2788" i="1"/>
  <c r="Z2928" i="1"/>
  <c r="Z3032" i="1"/>
  <c r="Z3118" i="1"/>
  <c r="AN294" i="2"/>
  <c r="Z3192" i="1"/>
  <c r="Z3279" i="1"/>
  <c r="Z3353" i="1"/>
  <c r="Z3444" i="1"/>
  <c r="Z1284" i="1"/>
  <c r="Z2313" i="1"/>
  <c r="Z2675" i="1"/>
  <c r="Z2821" i="1"/>
  <c r="Z3097" i="1"/>
  <c r="Z3248" i="1"/>
  <c r="Z3354" i="1"/>
  <c r="Z3482" i="1"/>
  <c r="Z3592" i="1"/>
  <c r="Z1967" i="1"/>
  <c r="Z2922" i="1"/>
  <c r="Z3314" i="1"/>
  <c r="Z2866" i="1"/>
  <c r="Z2263" i="1"/>
  <c r="Z3040" i="1"/>
  <c r="Z3142" i="1"/>
  <c r="Z3214" i="1"/>
  <c r="Z3298" i="1"/>
  <c r="Z3371" i="1"/>
  <c r="Z3463" i="1"/>
  <c r="Z1540" i="1"/>
  <c r="AN155" i="2"/>
  <c r="Z2101" i="1"/>
  <c r="Z2377" i="1"/>
  <c r="Z2558" i="1"/>
  <c r="Z2709" i="1"/>
  <c r="Z2837" i="1"/>
  <c r="Z3001" i="1"/>
  <c r="Z3151" i="1"/>
  <c r="Z3268" i="1"/>
  <c r="Z3400" i="1"/>
  <c r="Z3500" i="1"/>
  <c r="Z3770" i="1"/>
  <c r="Z3842" i="1"/>
  <c r="Z1261" i="1"/>
  <c r="Z2605" i="1"/>
  <c r="Z3050" i="1"/>
  <c r="Z3415" i="1"/>
  <c r="Z3162" i="1"/>
  <c r="Z3589" i="1"/>
  <c r="Z3712" i="1"/>
  <c r="Z3914" i="1"/>
  <c r="Z1325" i="1"/>
  <c r="Z2192" i="1"/>
  <c r="Z2864" i="1"/>
  <c r="Z3062" i="1"/>
  <c r="Z3424" i="1"/>
  <c r="Z3249" i="1"/>
  <c r="Z2725" i="1"/>
  <c r="Z2929" i="1"/>
  <c r="Z3023" i="1"/>
  <c r="Z3171" i="1"/>
  <c r="Z3318" i="1"/>
  <c r="Z3418" i="1"/>
  <c r="Z3537" i="1"/>
  <c r="Z1517" i="1"/>
  <c r="Z4533" i="1"/>
  <c r="Z2685" i="1"/>
  <c r="Z3136" i="1"/>
  <c r="Z1229" i="1"/>
  <c r="Z3419" i="1"/>
  <c r="Z2401" i="1"/>
  <c r="Z2471" i="1"/>
  <c r="AN64" i="2"/>
  <c r="Z2535" i="1"/>
  <c r="AN201" i="2"/>
  <c r="Z2608" i="1"/>
  <c r="Z2858" i="1"/>
  <c r="Z2713" i="1"/>
  <c r="Z2777" i="1"/>
  <c r="Z2833" i="1"/>
  <c r="Z2893" i="1"/>
  <c r="AN194" i="2"/>
  <c r="Z2933" i="1"/>
  <c r="S2989" i="1"/>
  <c r="Z2989" i="1"/>
  <c r="Z3061" i="1"/>
  <c r="Z3125" i="1"/>
  <c r="Z3189" i="1"/>
  <c r="Z3254" i="1"/>
  <c r="Z619" i="1"/>
  <c r="Z1181" i="1"/>
  <c r="Z1405" i="1"/>
  <c r="Z1661" i="1"/>
  <c r="Z1887" i="1"/>
  <c r="Z2114" i="1"/>
  <c r="Z2216" i="1"/>
  <c r="Z2326" i="1"/>
  <c r="Z2426" i="1"/>
  <c r="Z2500" i="1"/>
  <c r="Z2573" i="1"/>
  <c r="Z2646" i="1"/>
  <c r="Z2690" i="1"/>
  <c r="Z2754" i="1"/>
  <c r="Z2818" i="1"/>
  <c r="Z2894" i="1"/>
  <c r="Z2958" i="1"/>
  <c r="Z1170" i="1"/>
  <c r="Z1394" i="1"/>
  <c r="Z1908" i="1"/>
  <c r="Z2123" i="1"/>
  <c r="Z2319" i="1"/>
  <c r="Z2423" i="1"/>
  <c r="Z2487" i="1"/>
  <c r="Z2560" i="1"/>
  <c r="Z2633" i="1"/>
  <c r="Z4583" i="1"/>
  <c r="Z2727" i="1"/>
  <c r="Z2791" i="1"/>
  <c r="Z2867" i="1"/>
  <c r="Z2923" i="1"/>
  <c r="Z1218" i="1"/>
  <c r="Z1732" i="1"/>
  <c r="Z4550" i="1"/>
  <c r="Z2343" i="1"/>
  <c r="Z2519" i="1"/>
  <c r="Z2665" i="1"/>
  <c r="AN72" i="2"/>
  <c r="Z2755" i="1"/>
  <c r="Z2895" i="1"/>
  <c r="Z3063" i="1"/>
  <c r="Z3147" i="1"/>
  <c r="Z3234" i="1"/>
  <c r="Z3306" i="1"/>
  <c r="Z3379" i="1"/>
  <c r="Z1539" i="1"/>
  <c r="Z2054" i="1"/>
  <c r="Z2280" i="1"/>
  <c r="Z2484" i="1"/>
  <c r="Z2630" i="1"/>
  <c r="Z2740" i="1"/>
  <c r="Z2880" i="1"/>
  <c r="Z3000" i="1"/>
  <c r="Z3086" i="1"/>
  <c r="Z3160" i="1"/>
  <c r="Z3247" i="1"/>
  <c r="Z3399" i="1"/>
  <c r="Z1097" i="1"/>
  <c r="Z1734" i="1"/>
  <c r="Z2171" i="1"/>
  <c r="Z2466" i="1"/>
  <c r="Z2613" i="1"/>
  <c r="Z2741" i="1"/>
  <c r="Z2945" i="1"/>
  <c r="Z3065" i="1"/>
  <c r="Z3183" i="1"/>
  <c r="Z3327" i="1"/>
  <c r="Z3427" i="1"/>
  <c r="Z3546" i="1"/>
  <c r="Z3650" i="1"/>
  <c r="Z3780" i="1"/>
  <c r="Z3798" i="1"/>
  <c r="Z2398" i="1"/>
  <c r="Z2798" i="1"/>
  <c r="Z2382" i="1"/>
  <c r="Z3553" i="1"/>
  <c r="Z3893" i="1"/>
  <c r="Z1437" i="1"/>
  <c r="Z1919" i="1"/>
  <c r="Z2130" i="1"/>
  <c r="Z2248" i="1"/>
  <c r="Z2342" i="1"/>
  <c r="Z2436" i="1"/>
  <c r="Z2509" i="1"/>
  <c r="Z2582" i="1"/>
  <c r="Z2655" i="1"/>
  <c r="Z2698" i="1"/>
  <c r="Z2762" i="1"/>
  <c r="Z2826" i="1"/>
  <c r="Z2902" i="1"/>
  <c r="Z2966" i="1"/>
  <c r="Z775" i="1"/>
  <c r="Z1426" i="1"/>
  <c r="Z1684" i="1"/>
  <c r="Z1940" i="1"/>
  <c r="Z2139" i="1"/>
  <c r="Z4519" i="1"/>
  <c r="Z2335" i="1"/>
  <c r="Z2496" i="1"/>
  <c r="Z2569" i="1"/>
  <c r="Z2735" i="1"/>
  <c r="Z2799" i="1"/>
  <c r="Z2875" i="1"/>
  <c r="Z2931" i="1"/>
  <c r="Z2979" i="1"/>
  <c r="S2979" i="1"/>
  <c r="Z1282" i="1"/>
  <c r="Z1796" i="1"/>
  <c r="Z2169" i="1"/>
  <c r="Z2375" i="1"/>
  <c r="Z2537" i="1"/>
  <c r="Z4570" i="1"/>
  <c r="Z2771" i="1"/>
  <c r="Z2911" i="1"/>
  <c r="Z2987" i="1"/>
  <c r="S2987" i="1"/>
  <c r="Z3073" i="1"/>
  <c r="Z3159" i="1"/>
  <c r="Z3244" i="1"/>
  <c r="Z3315" i="1"/>
  <c r="Z3388" i="1"/>
  <c r="Z1094" i="1"/>
  <c r="Z1603" i="1"/>
  <c r="Z2100" i="1"/>
  <c r="Z2312" i="1"/>
  <c r="Z2502" i="1"/>
  <c r="Z2648" i="1"/>
  <c r="Z2756" i="1"/>
  <c r="Z2896" i="1"/>
  <c r="Z3010" i="1"/>
  <c r="Z3096" i="1"/>
  <c r="Z3170" i="1"/>
  <c r="Z3257" i="1"/>
  <c r="Z3326" i="1"/>
  <c r="Z3426" i="1"/>
  <c r="Z1798" i="1"/>
  <c r="Z2631" i="1"/>
  <c r="Z3075" i="1"/>
  <c r="Z3193" i="1"/>
  <c r="Z3336" i="1"/>
  <c r="Z3464" i="1"/>
  <c r="Z3704" i="1"/>
  <c r="Z3906" i="1"/>
  <c r="Z1775" i="1"/>
  <c r="Z2422" i="1"/>
  <c r="Z2814" i="1"/>
  <c r="Z3233" i="1"/>
  <c r="AN317" i="2"/>
  <c r="Z2431" i="1"/>
  <c r="Z3575" i="1"/>
  <c r="Z3413" i="1"/>
  <c r="Z3477" i="1"/>
  <c r="Z3541" i="1"/>
  <c r="Z3533" i="1"/>
  <c r="AN284" i="2"/>
  <c r="Z127" i="1"/>
  <c r="Z1070" i="1"/>
  <c r="Z1332" i="1"/>
  <c r="Z1556" i="1"/>
  <c r="Z1782" i="1"/>
  <c r="Z2038" i="1"/>
  <c r="AN128" i="2"/>
  <c r="Z4544" i="1"/>
  <c r="AN145" i="2"/>
  <c r="Z2243" i="1"/>
  <c r="Z2337" i="1"/>
  <c r="Z2416" i="1"/>
  <c r="Z2489" i="1"/>
  <c r="Z2553" i="1"/>
  <c r="Z2617" i="1"/>
  <c r="Z4576" i="1"/>
  <c r="Z2729" i="1"/>
  <c r="Z2793" i="1"/>
  <c r="Z2841" i="1"/>
  <c r="Z2901" i="1"/>
  <c r="Z2949" i="1"/>
  <c r="S2997" i="1"/>
  <c r="Z2997" i="1"/>
  <c r="Z3029" i="1"/>
  <c r="Z3077" i="1"/>
  <c r="Z3141" i="1"/>
  <c r="Z3205" i="1"/>
  <c r="Z3270" i="1"/>
  <c r="Z807" i="1"/>
  <c r="Z1245" i="1"/>
  <c r="Z1469" i="1"/>
  <c r="Z1695" i="1"/>
  <c r="Z1951" i="1"/>
  <c r="Z2146" i="1"/>
  <c r="Z4526" i="1"/>
  <c r="Z2358" i="1"/>
  <c r="Z2445" i="1"/>
  <c r="Z2518" i="1"/>
  <c r="Z2591" i="1"/>
  <c r="Z2664" i="1"/>
  <c r="Z2706" i="1"/>
  <c r="Z2770" i="1"/>
  <c r="Z2834" i="1"/>
  <c r="Z2910" i="1"/>
  <c r="Z2974" i="1"/>
  <c r="Z832" i="1"/>
  <c r="AN269" i="2"/>
  <c r="Z1202" i="1"/>
  <c r="Z1458" i="1"/>
  <c r="Z1716" i="1"/>
  <c r="Z1972" i="1"/>
  <c r="Z2351" i="1"/>
  <c r="AN307" i="2"/>
  <c r="Z2432" i="1"/>
  <c r="Z2505" i="1"/>
  <c r="Z2578" i="1"/>
  <c r="Z2652" i="1"/>
  <c r="Z2687" i="1"/>
  <c r="Z2743" i="1"/>
  <c r="Z2807" i="1"/>
  <c r="Z2883" i="1"/>
  <c r="Z2939" i="1"/>
  <c r="Z140" i="1"/>
  <c r="Z1346" i="1"/>
  <c r="Z1860" i="1"/>
  <c r="Z2201" i="1"/>
  <c r="Z2407" i="1"/>
  <c r="Z2556" i="1"/>
  <c r="Z2673" i="1"/>
  <c r="Z2787" i="1"/>
  <c r="Z2927" i="1"/>
  <c r="Z2999" i="1"/>
  <c r="Z3083" i="1"/>
  <c r="Z3169" i="1"/>
  <c r="Z3256" i="1"/>
  <c r="Z3324" i="1"/>
  <c r="Z3398" i="1"/>
  <c r="Z3452" i="1"/>
  <c r="Z1667" i="1"/>
  <c r="Z2132" i="1"/>
  <c r="Z2344" i="1"/>
  <c r="Z2520" i="1"/>
  <c r="Z2666" i="1"/>
  <c r="Z2772" i="1"/>
  <c r="Z2912" i="1"/>
  <c r="Z3022" i="1"/>
  <c r="Z3106" i="1"/>
  <c r="Z3182" i="1"/>
  <c r="Z3267" i="1"/>
  <c r="Z3335" i="1"/>
  <c r="Z3435" i="1"/>
  <c r="Z1220" i="1"/>
  <c r="Z1862" i="1"/>
  <c r="Z2281" i="1"/>
  <c r="Z2485" i="1"/>
  <c r="Z2649" i="1"/>
  <c r="Z2805" i="1"/>
  <c r="Z2961" i="1"/>
  <c r="AN190" i="2"/>
  <c r="Z3087" i="1"/>
  <c r="Z3236" i="1"/>
  <c r="Z3345" i="1"/>
  <c r="Z3473" i="1"/>
  <c r="AN136" i="2"/>
  <c r="Z3555" i="1"/>
  <c r="Z3648" i="1"/>
  <c r="Z3778" i="1"/>
  <c r="Z3850" i="1"/>
  <c r="Z3922" i="1"/>
  <c r="Z2440" i="1"/>
  <c r="Z2830" i="1"/>
  <c r="Z3243" i="1"/>
  <c r="Z2468" i="1"/>
  <c r="Z3300" i="1"/>
  <c r="Z3588" i="1"/>
  <c r="Z2486" i="1"/>
  <c r="Z2020" i="1"/>
  <c r="Z3347" i="1"/>
  <c r="Z3152" i="1"/>
  <c r="Z2217" i="1"/>
  <c r="Z3366" i="1"/>
  <c r="Z3847" i="1"/>
  <c r="Z4145" i="1"/>
  <c r="Z3664" i="1"/>
  <c r="Z3656" i="1"/>
  <c r="Z3728" i="1"/>
  <c r="Z3720" i="1"/>
  <c r="Z3794" i="1"/>
  <c r="Z3786" i="1"/>
  <c r="Z3866" i="1"/>
  <c r="Z3858" i="1"/>
  <c r="Z395" i="1"/>
  <c r="Z1453" i="1"/>
  <c r="AN102" i="2"/>
  <c r="Z1903" i="1"/>
  <c r="Z2240" i="1"/>
  <c r="AN231" i="2"/>
  <c r="Z2458" i="1"/>
  <c r="Z4582" i="1"/>
  <c r="Z2846" i="1"/>
  <c r="Z3072" i="1"/>
  <c r="Z3265" i="1"/>
  <c r="Z3433" i="1"/>
  <c r="Z2614" i="1"/>
  <c r="Z3271" i="1"/>
  <c r="Z3585" i="1"/>
  <c r="Z3999" i="1"/>
  <c r="Z3856" i="1"/>
  <c r="Z2473" i="1"/>
  <c r="Z3457" i="1"/>
  <c r="Z3046" i="1"/>
  <c r="Z3122" i="1"/>
  <c r="Z1894" i="1"/>
  <c r="Z4074" i="1"/>
  <c r="Z2935" i="1"/>
  <c r="Z3566" i="1"/>
  <c r="Z3130" i="1"/>
  <c r="Z3166" i="1"/>
  <c r="Z3331" i="1"/>
  <c r="Z3408" i="1"/>
  <c r="Z517" i="1"/>
  <c r="Z1412" i="1"/>
  <c r="Z1926" i="1"/>
  <c r="Z2203" i="1"/>
  <c r="Z2430" i="1"/>
  <c r="Z2521" i="1"/>
  <c r="Z2668" i="1"/>
  <c r="Z2757" i="1"/>
  <c r="Z2853" i="1"/>
  <c r="Z3033" i="1"/>
  <c r="Z3119" i="1"/>
  <c r="Z3203" i="1"/>
  <c r="Z3290" i="1"/>
  <c r="Z3363" i="1"/>
  <c r="Z3436" i="1"/>
  <c r="Z3510" i="1"/>
  <c r="Z3564" i="1"/>
  <c r="Z3600" i="1"/>
  <c r="Z3636" i="1"/>
  <c r="Z3662" i="1"/>
  <c r="Z3672" i="1"/>
  <c r="Z3736" i="1"/>
  <c r="Z3802" i="1"/>
  <c r="Z3811" i="1"/>
  <c r="Z3874" i="1"/>
  <c r="Z827" i="1"/>
  <c r="Z1581" i="1"/>
  <c r="Z2031" i="1"/>
  <c r="Z2270" i="1"/>
  <c r="Z2532" i="1"/>
  <c r="Z2702" i="1"/>
  <c r="Z2938" i="1"/>
  <c r="Z3146" i="1"/>
  <c r="Z3332" i="1"/>
  <c r="Z1613" i="1"/>
  <c r="Z2898" i="1"/>
  <c r="Z3438" i="1"/>
  <c r="Z3659" i="1"/>
  <c r="Z4104" i="1"/>
  <c r="Z2022" i="1"/>
  <c r="Z3596" i="1"/>
  <c r="Z4256" i="1"/>
  <c r="Z3475" i="1"/>
  <c r="Z3524" i="1"/>
  <c r="Z2418" i="1"/>
  <c r="Z3344" i="1"/>
  <c r="Z3417" i="1"/>
  <c r="Z769" i="1"/>
  <c r="Z1476" i="1"/>
  <c r="Z1990" i="1"/>
  <c r="Z2251" i="1"/>
  <c r="Z2448" i="1"/>
  <c r="Z2540" i="1"/>
  <c r="Z4572" i="1"/>
  <c r="Z2773" i="1"/>
  <c r="Z2881" i="1"/>
  <c r="Z2977" i="1"/>
  <c r="S2977" i="1"/>
  <c r="Z3043" i="1"/>
  <c r="Z3129" i="1"/>
  <c r="Z3215" i="1"/>
  <c r="Z3299" i="1"/>
  <c r="Z3372" i="1"/>
  <c r="Z3446" i="1"/>
  <c r="Z3519" i="1"/>
  <c r="Z3574" i="1"/>
  <c r="Z3608" i="1"/>
  <c r="Z3626" i="1"/>
  <c r="Z3680" i="1"/>
  <c r="Z3744" i="1"/>
  <c r="Z3810" i="1"/>
  <c r="Z3845" i="1"/>
  <c r="Z3882" i="1"/>
  <c r="Z1060" i="1"/>
  <c r="Z1645" i="1"/>
  <c r="Z2090" i="1"/>
  <c r="Z2302" i="1"/>
  <c r="Z2550" i="1"/>
  <c r="Z2718" i="1"/>
  <c r="Z2954" i="1"/>
  <c r="Z3158" i="1"/>
  <c r="Z3342" i="1"/>
  <c r="Z2930" i="1"/>
  <c r="Z3456" i="1"/>
  <c r="Z3668" i="1"/>
  <c r="Z4103" i="1"/>
  <c r="Z2117" i="1"/>
  <c r="Z3605" i="1"/>
  <c r="Z3545" i="1"/>
  <c r="Z2789" i="1"/>
  <c r="Z2897" i="1"/>
  <c r="Z2991" i="1"/>
  <c r="S2991" i="1"/>
  <c r="Z3055" i="1"/>
  <c r="Z3139" i="1"/>
  <c r="Z3226" i="1"/>
  <c r="Z3308" i="1"/>
  <c r="Z3455" i="1"/>
  <c r="Z3528" i="1"/>
  <c r="Z3583" i="1"/>
  <c r="Z3624" i="1"/>
  <c r="Z3616" i="1"/>
  <c r="Z3696" i="1"/>
  <c r="Z3688" i="1"/>
  <c r="Z3762" i="1"/>
  <c r="Z3752" i="1"/>
  <c r="Z3772" i="1"/>
  <c r="Z3781" i="1"/>
  <c r="Z3790" i="1"/>
  <c r="Z3834" i="1"/>
  <c r="Z3818" i="1"/>
  <c r="Z3880" i="1"/>
  <c r="Z3898" i="1"/>
  <c r="Z3890" i="1"/>
  <c r="Z3917" i="1"/>
  <c r="Z1140" i="1"/>
  <c r="AN351" i="2"/>
  <c r="Z1711" i="1"/>
  <c r="Z2122" i="1"/>
  <c r="Z2334" i="1"/>
  <c r="Z2568" i="1"/>
  <c r="Z2782" i="1"/>
  <c r="Z2970" i="1"/>
  <c r="Z3168" i="1"/>
  <c r="Z3351" i="1"/>
  <c r="Z1743" i="1"/>
  <c r="Z2962" i="1"/>
  <c r="Z3470" i="1"/>
  <c r="Z3705" i="1"/>
  <c r="Z3926" i="1"/>
  <c r="Z4079" i="1"/>
  <c r="Z4255" i="1"/>
  <c r="Z4386" i="1"/>
  <c r="Z2701" i="1"/>
  <c r="Z3057" i="1"/>
  <c r="Z3642" i="1"/>
  <c r="Z4008" i="1"/>
  <c r="Z2622" i="1"/>
  <c r="Z3773" i="1"/>
  <c r="Z2438" i="1"/>
  <c r="Z3144" i="1"/>
  <c r="Z3535" i="1"/>
  <c r="Z3782" i="1"/>
  <c r="Z4499" i="1"/>
  <c r="Z2449" i="1"/>
  <c r="Z4162" i="1"/>
  <c r="Z3609" i="1"/>
  <c r="Z908" i="1"/>
  <c r="Z4580" i="1"/>
  <c r="Z3294" i="1"/>
  <c r="Z3606" i="1"/>
  <c r="Z3864" i="1"/>
  <c r="Z3560" i="1"/>
  <c r="Z2986" i="1"/>
  <c r="Z3082" i="1"/>
  <c r="Z3190" i="1"/>
  <c r="Z3275" i="1"/>
  <c r="Z3360" i="1"/>
  <c r="Z3460" i="1"/>
  <c r="Z1871" i="1"/>
  <c r="Z2650" i="1"/>
  <c r="Z2992" i="1"/>
  <c r="Z3291" i="1"/>
  <c r="Z3512" i="1"/>
  <c r="Z3714" i="1"/>
  <c r="Z3816" i="1"/>
  <c r="Z3935" i="1"/>
  <c r="Z4136" i="1"/>
  <c r="Z4183" i="1"/>
  <c r="Z3902" i="1"/>
  <c r="Z3718" i="1"/>
  <c r="Z4509" i="1"/>
  <c r="Z2620" i="1"/>
  <c r="Z3099" i="1"/>
  <c r="Z3678" i="1"/>
  <c r="Z3863" i="1"/>
  <c r="Z4024" i="1"/>
  <c r="Z2829" i="1"/>
  <c r="Z1251" i="1"/>
  <c r="Z2732" i="1"/>
  <c r="Z3652" i="1"/>
  <c r="Z3735" i="1"/>
  <c r="Z2477" i="1"/>
  <c r="Z2623" i="1"/>
  <c r="Z2734" i="1"/>
  <c r="Z2874" i="1"/>
  <c r="Z2998" i="1"/>
  <c r="Z3104" i="1"/>
  <c r="Z3200" i="1"/>
  <c r="Z3287" i="1"/>
  <c r="Z3369" i="1"/>
  <c r="Z204" i="1"/>
  <c r="Z1999" i="1"/>
  <c r="Z4573" i="1"/>
  <c r="Z3078" i="1"/>
  <c r="Z3310" i="1"/>
  <c r="Z3522" i="1"/>
  <c r="Z3595" i="1"/>
  <c r="Z3723" i="1"/>
  <c r="Z3853" i="1"/>
  <c r="AN37" i="2"/>
  <c r="Z3951" i="1"/>
  <c r="Z3991" i="1"/>
  <c r="Z4063" i="1"/>
  <c r="Z4095" i="1"/>
  <c r="Z4135" i="1"/>
  <c r="Z4155" i="1"/>
  <c r="Z4207" i="1"/>
  <c r="Z4191" i="1"/>
  <c r="Z4234" i="1"/>
  <c r="Z4248" i="1"/>
  <c r="Z936" i="1"/>
  <c r="Z4441" i="1"/>
  <c r="Z4611" i="1"/>
  <c r="Z3123" i="1"/>
  <c r="Z3929" i="1"/>
  <c r="Z4300" i="1"/>
  <c r="Z3812" i="1"/>
  <c r="Z331" i="1"/>
  <c r="Z2656" i="1"/>
  <c r="Z3163" i="1"/>
  <c r="Z3481" i="1"/>
  <c r="Z3687" i="1"/>
  <c r="Z4306" i="1"/>
  <c r="Z3252" i="1"/>
  <c r="Z1379" i="1"/>
  <c r="Z2764" i="1"/>
  <c r="Z3385" i="1"/>
  <c r="Z2495" i="1"/>
  <c r="Z2641" i="1"/>
  <c r="Z2750" i="1"/>
  <c r="Z2890" i="1"/>
  <c r="Z3018" i="1"/>
  <c r="Z3114" i="1"/>
  <c r="Z3210" i="1"/>
  <c r="Z3296" i="1"/>
  <c r="Z3387" i="1"/>
  <c r="Z774" i="1"/>
  <c r="Z2254" i="1"/>
  <c r="Z2694" i="1"/>
  <c r="Z3098" i="1"/>
  <c r="Z3532" i="1"/>
  <c r="Z3631" i="1"/>
  <c r="Z3732" i="1"/>
  <c r="Z3862" i="1"/>
  <c r="Z4007" i="1"/>
  <c r="Z4065" i="1"/>
  <c r="Z4071" i="1"/>
  <c r="Z4130" i="1"/>
  <c r="Z4143" i="1"/>
  <c r="AN288" i="2"/>
  <c r="Z4176" i="1"/>
  <c r="Z4215" i="1"/>
  <c r="Z4636" i="1"/>
  <c r="Z3962" i="1"/>
  <c r="Z3857" i="1"/>
  <c r="Z903" i="1"/>
  <c r="Z4579" i="1"/>
  <c r="Z3185" i="1"/>
  <c r="Z3492" i="1"/>
  <c r="Z3697" i="1"/>
  <c r="Z3891" i="1"/>
  <c r="Z4184" i="1"/>
  <c r="Z4314" i="1"/>
  <c r="Z3350" i="1"/>
  <c r="AN286" i="2"/>
  <c r="Z3821" i="1"/>
  <c r="Z1507" i="1"/>
  <c r="Z2904" i="1"/>
  <c r="Z3403" i="1"/>
  <c r="Z3670" i="1"/>
  <c r="Z3465" i="1"/>
  <c r="Z3928" i="1"/>
  <c r="Z670" i="1"/>
  <c r="Z1389" i="1"/>
  <c r="Z1839" i="1"/>
  <c r="Z2160" i="1"/>
  <c r="Z2366" i="1"/>
  <c r="Z2513" i="1"/>
  <c r="Z2660" i="1"/>
  <c r="Z2766" i="1"/>
  <c r="Z2906" i="1"/>
  <c r="Z3030" i="1"/>
  <c r="Z3126" i="1"/>
  <c r="Z3223" i="1"/>
  <c r="Z3406" i="1"/>
  <c r="Z1106" i="1"/>
  <c r="Z2318" i="1"/>
  <c r="Z2726" i="1"/>
  <c r="Z3120" i="1"/>
  <c r="Z3543" i="1"/>
  <c r="Z3641" i="1"/>
  <c r="Z3741" i="1"/>
  <c r="Z3871" i="1"/>
  <c r="Z3943" i="1"/>
  <c r="Z3960" i="1"/>
  <c r="Z4015" i="1"/>
  <c r="Z4055" i="1"/>
  <c r="Z4087" i="1"/>
  <c r="Z4106" i="1"/>
  <c r="Z4127" i="1"/>
  <c r="Z4151" i="1"/>
  <c r="Z4175" i="1"/>
  <c r="Z4263" i="1"/>
  <c r="Z948" i="1"/>
  <c r="Z4324" i="1"/>
  <c r="Z1636" i="1"/>
  <c r="Z3459" i="1"/>
  <c r="Z1764" i="1"/>
  <c r="Z2871" i="1"/>
  <c r="Z3272" i="1"/>
  <c r="Z3544" i="1"/>
  <c r="Z3751" i="1"/>
  <c r="Z3927" i="1"/>
  <c r="Z3690" i="1"/>
  <c r="Z2154" i="1"/>
  <c r="Z3016" i="1"/>
  <c r="Z3504" i="1"/>
  <c r="Z3743" i="1"/>
  <c r="Z4025" i="1"/>
  <c r="Z3548" i="1"/>
  <c r="Z3260" i="1"/>
  <c r="Z3113" i="1"/>
  <c r="Z4378" i="1"/>
  <c r="Z4433" i="1"/>
  <c r="Z1766" i="1"/>
  <c r="Z2873" i="1"/>
  <c r="Z3536" i="1"/>
  <c r="Z3884" i="1"/>
  <c r="Z4638" i="1"/>
  <c r="Z3673" i="1"/>
  <c r="Z4469" i="1"/>
  <c r="Z1892" i="1"/>
  <c r="Z2583" i="1"/>
  <c r="Z2903" i="1"/>
  <c r="Z3079" i="1"/>
  <c r="Z3329" i="1"/>
  <c r="AN287" i="2"/>
  <c r="Z3471" i="1"/>
  <c r="Z3554" i="1"/>
  <c r="Z3669" i="1"/>
  <c r="Z3763" i="1"/>
  <c r="Z3854" i="1"/>
  <c r="Z3952" i="1"/>
  <c r="Z4016" i="1"/>
  <c r="Z4080" i="1"/>
  <c r="Z4160" i="1"/>
  <c r="Z4370" i="1"/>
  <c r="Z4434" i="1"/>
  <c r="Z2733" i="1"/>
  <c r="Z3745" i="1"/>
  <c r="Z4518" i="1"/>
  <c r="Z3746" i="1"/>
  <c r="Z1128" i="1"/>
  <c r="Z2218" i="1"/>
  <c r="Z2700" i="1"/>
  <c r="Z3102" i="1"/>
  <c r="Z3312" i="1"/>
  <c r="Z3514" i="1"/>
  <c r="Z3753" i="1"/>
  <c r="Z3919" i="1"/>
  <c r="Z4419" i="1"/>
  <c r="Z3386" i="1"/>
  <c r="Z979" i="1"/>
  <c r="Z3393" i="1"/>
  <c r="Z2529" i="1"/>
  <c r="Z3675" i="1"/>
  <c r="Z3322" i="1"/>
  <c r="Z3539" i="1"/>
  <c r="Z2780" i="1"/>
  <c r="Z3693" i="1"/>
  <c r="Z3603" i="1"/>
  <c r="Z3788" i="1"/>
  <c r="Z3911" i="1"/>
  <c r="Z2632" i="1"/>
  <c r="Z2747" i="1"/>
  <c r="Z3619" i="1"/>
  <c r="Z3154" i="1"/>
  <c r="Z2187" i="1"/>
  <c r="Z3305" i="1"/>
  <c r="Z3442" i="1"/>
  <c r="Z2106" i="1"/>
  <c r="Z2504" i="1"/>
  <c r="Z2758" i="1"/>
  <c r="Z3014" i="1"/>
  <c r="Z3346" i="1"/>
  <c r="Z3480" i="1"/>
  <c r="Z3604" i="1"/>
  <c r="Z3677" i="1"/>
  <c r="Z3750" i="1"/>
  <c r="Z3825" i="1"/>
  <c r="Z3889" i="1"/>
  <c r="Z3959" i="1"/>
  <c r="Z3968" i="1"/>
  <c r="Z4023" i="1"/>
  <c r="Z4032" i="1"/>
  <c r="Z4247" i="1"/>
  <c r="Z4266" i="1"/>
  <c r="Z4273" i="1"/>
  <c r="Z958" i="1"/>
  <c r="Z4305" i="1"/>
  <c r="Z4346" i="1"/>
  <c r="Z4353" i="1"/>
  <c r="Z4377" i="1"/>
  <c r="Z4425" i="1"/>
  <c r="Z4473" i="1"/>
  <c r="Z4506" i="1"/>
  <c r="Z4628" i="1"/>
  <c r="Z4635" i="1"/>
  <c r="AN258" i="2"/>
  <c r="Z3209" i="1"/>
  <c r="Z3699" i="1"/>
  <c r="Z4170" i="1"/>
  <c r="Z4372" i="1"/>
  <c r="Z3486" i="1"/>
  <c r="Z3903" i="1"/>
  <c r="Z1378" i="1"/>
  <c r="Z2327" i="1"/>
  <c r="Z2699" i="1"/>
  <c r="Z3513" i="1"/>
  <c r="Z3614" i="1"/>
  <c r="Z3706" i="1"/>
  <c r="Z3808" i="1"/>
  <c r="Z3900" i="1"/>
  <c r="Z4064" i="1"/>
  <c r="Z4112" i="1"/>
  <c r="Z4192" i="1"/>
  <c r="Z4288" i="1"/>
  <c r="Z4322" i="1"/>
  <c r="Z4482" i="1"/>
  <c r="Z4644" i="1"/>
  <c r="Z3516" i="1"/>
  <c r="Z3867" i="1"/>
  <c r="Z4309" i="1"/>
  <c r="Z1893" i="1"/>
  <c r="Z2474" i="1"/>
  <c r="Z2936" i="1"/>
  <c r="Z3422" i="1"/>
  <c r="Z3679" i="1"/>
  <c r="Z3953" i="1"/>
  <c r="Z4153" i="1"/>
  <c r="Z4355" i="1"/>
  <c r="Z3954" i="1"/>
  <c r="Z4019" i="1"/>
  <c r="Z2838" i="1"/>
  <c r="Z2887" i="1"/>
  <c r="Z3719" i="1"/>
  <c r="Z3303" i="1"/>
  <c r="Z2297" i="1"/>
  <c r="Z1357" i="1"/>
  <c r="AN290" i="2"/>
  <c r="Z4557" i="1"/>
  <c r="Z2541" i="1"/>
  <c r="Z2790" i="1"/>
  <c r="Z3034" i="1"/>
  <c r="Z3206" i="1"/>
  <c r="Z3364" i="1"/>
  <c r="Z3490" i="1"/>
  <c r="Z3563" i="1"/>
  <c r="Z3686" i="1"/>
  <c r="Z3761" i="1"/>
  <c r="Z3835" i="1"/>
  <c r="Z3899" i="1"/>
  <c r="Z3937" i="1"/>
  <c r="Z3967" i="1"/>
  <c r="Z3976" i="1"/>
  <c r="Z4003" i="1"/>
  <c r="Z4031" i="1"/>
  <c r="Z4040" i="1"/>
  <c r="Z4279" i="1"/>
  <c r="Z4297" i="1"/>
  <c r="Z4340" i="1"/>
  <c r="Z4345" i="1"/>
  <c r="Z4369" i="1"/>
  <c r="Z4388" i="1"/>
  <c r="Z4417" i="1"/>
  <c r="Z4497" i="1"/>
  <c r="Z4620" i="1"/>
  <c r="Z4627" i="1"/>
  <c r="Z1165" i="1"/>
  <c r="Z2439" i="1"/>
  <c r="Z3726" i="1"/>
  <c r="Z4042" i="1"/>
  <c r="Z4202" i="1"/>
  <c r="Z3947" i="1"/>
  <c r="Z4291" i="1"/>
  <c r="Z1506" i="1"/>
  <c r="Z2731" i="1"/>
  <c r="Z3015" i="1"/>
  <c r="Z3228" i="1"/>
  <c r="Z3384" i="1"/>
  <c r="AN245" i="2"/>
  <c r="Z3523" i="1"/>
  <c r="Z3623" i="1"/>
  <c r="Z3715" i="1"/>
  <c r="Z3817" i="1"/>
  <c r="Z4200" i="1"/>
  <c r="Z4410" i="1"/>
  <c r="Z4490" i="1"/>
  <c r="Z2235" i="1"/>
  <c r="Z3505" i="1"/>
  <c r="Z4452" i="1"/>
  <c r="Z3559" i="1"/>
  <c r="Z2021" i="1"/>
  <c r="Z2511" i="1"/>
  <c r="Z2968" i="1"/>
  <c r="Z3251" i="1"/>
  <c r="Z3440" i="1"/>
  <c r="Z3587" i="1"/>
  <c r="Z3846" i="1"/>
  <c r="Z4009" i="1"/>
  <c r="Z4185" i="1"/>
  <c r="Z4371" i="1"/>
  <c r="Z2658" i="1"/>
  <c r="Z943" i="1"/>
  <c r="Z3618" i="1"/>
  <c r="Z3025" i="1"/>
  <c r="Z661" i="1"/>
  <c r="Z3467" i="1"/>
  <c r="Z3008" i="1"/>
  <c r="Z3094" i="1"/>
  <c r="Z3178" i="1"/>
  <c r="Z3255" i="1"/>
  <c r="Z3323" i="1"/>
  <c r="Z3396" i="1"/>
  <c r="Z3451" i="1"/>
  <c r="Z1485" i="1"/>
  <c r="Z2208" i="1"/>
  <c r="Z2822" i="1"/>
  <c r="Z3056" i="1"/>
  <c r="Z3227" i="1"/>
  <c r="Z3383" i="1"/>
  <c r="Z3502" i="1"/>
  <c r="Z3622" i="1"/>
  <c r="Z3695" i="1"/>
  <c r="Z3771" i="1"/>
  <c r="Z3844" i="1"/>
  <c r="Z3908" i="1"/>
  <c r="Z3930" i="1"/>
  <c r="Z3945" i="1"/>
  <c r="Z3983" i="1"/>
  <c r="Z3975" i="1"/>
  <c r="Z3984" i="1"/>
  <c r="AN305" i="2"/>
  <c r="Z4011" i="1"/>
  <c r="Z4047" i="1"/>
  <c r="Z4039" i="1"/>
  <c r="Z4057" i="1"/>
  <c r="Z4075" i="1"/>
  <c r="Z4091" i="1"/>
  <c r="Z4115" i="1"/>
  <c r="Z4123" i="1"/>
  <c r="Z4147" i="1"/>
  <c r="Z4194" i="1"/>
  <c r="Z4257" i="1"/>
  <c r="Z4264" i="1"/>
  <c r="Z4271" i="1"/>
  <c r="Z949" i="1"/>
  <c r="Z956" i="1"/>
  <c r="Z4313" i="1"/>
  <c r="Z4361" i="1"/>
  <c r="Z4409" i="1"/>
  <c r="Z4442" i="1"/>
  <c r="Z4474" i="1"/>
  <c r="Z4489" i="1"/>
  <c r="Z4505" i="1"/>
  <c r="AN44" i="2"/>
  <c r="Z4612" i="1"/>
  <c r="Z4619" i="1"/>
  <c r="Z1508" i="1"/>
  <c r="Z2549" i="1"/>
  <c r="Z3368" i="1"/>
  <c r="Z3820" i="1"/>
  <c r="Z4058" i="1"/>
  <c r="Z4218" i="1"/>
  <c r="Z4508" i="1"/>
  <c r="Z3569" i="1"/>
  <c r="Z3979" i="1"/>
  <c r="Z4389" i="1"/>
  <c r="Z1634" i="1"/>
  <c r="Z2437" i="1"/>
  <c r="Z2795" i="1"/>
  <c r="Z3035" i="1"/>
  <c r="Z3250" i="1"/>
  <c r="Z3439" i="1"/>
  <c r="Z3534" i="1"/>
  <c r="Z3633" i="1"/>
  <c r="Z3742" i="1"/>
  <c r="Z3836" i="1"/>
  <c r="Z3918" i="1"/>
  <c r="Z4000" i="1"/>
  <c r="AN83" i="2"/>
  <c r="Z4072" i="1"/>
  <c r="Z4128" i="1"/>
  <c r="Z4224" i="1"/>
  <c r="Z4498" i="1"/>
  <c r="Z2476" i="1"/>
  <c r="Z3547" i="1"/>
  <c r="Z4114" i="1"/>
  <c r="Z3599" i="1"/>
  <c r="Z4043" i="1"/>
  <c r="Z4405" i="1"/>
  <c r="Z2116" i="1"/>
  <c r="Z2657" i="1"/>
  <c r="Z2994" i="1"/>
  <c r="Z3273" i="1"/>
  <c r="Z3458" i="1"/>
  <c r="Z3597" i="1"/>
  <c r="Z3734" i="1"/>
  <c r="Z3855" i="1"/>
  <c r="Z4017" i="1"/>
  <c r="Z4193" i="1"/>
  <c r="Z4379" i="1"/>
  <c r="Z2905" i="1"/>
  <c r="Z3830" i="1"/>
  <c r="Z1957" i="1"/>
  <c r="Z3508" i="1"/>
  <c r="Z2845" i="1"/>
  <c r="Z3635" i="1"/>
  <c r="Z4381" i="1"/>
  <c r="Z3359" i="1"/>
  <c r="Z3621" i="1"/>
  <c r="Z3824" i="1"/>
  <c r="Z3998" i="1"/>
  <c r="Z4174" i="1"/>
  <c r="Z4312" i="1"/>
  <c r="Z4634" i="1"/>
  <c r="Z3865" i="1"/>
  <c r="Z4028" i="1"/>
  <c r="Z3972" i="1"/>
  <c r="Z4507" i="1"/>
  <c r="Z3017" i="1"/>
  <c r="Z3774" i="1"/>
  <c r="Z4380" i="1"/>
  <c r="Z3590" i="1"/>
  <c r="Z4131" i="1"/>
  <c r="Z1293" i="1"/>
  <c r="Z2669" i="1"/>
  <c r="Z3995" i="1"/>
  <c r="Z3302" i="1"/>
  <c r="Z3570" i="1"/>
  <c r="Z1042" i="1"/>
  <c r="Z2602" i="1"/>
  <c r="Z3176" i="1"/>
  <c r="Z3520" i="1"/>
  <c r="Z3711" i="1"/>
  <c r="Z2361" i="1"/>
  <c r="Z3395" i="1"/>
  <c r="Z3630" i="1"/>
  <c r="Z3833" i="1"/>
  <c r="Z4014" i="1"/>
  <c r="Z4182" i="1"/>
  <c r="Z4352" i="1"/>
  <c r="Z4642" i="1"/>
  <c r="Z4122" i="1"/>
  <c r="Z4414" i="1"/>
  <c r="Z3700" i="1"/>
  <c r="AN182" i="2"/>
  <c r="Z4227" i="1"/>
  <c r="Z1807" i="1"/>
  <c r="Z2806" i="1"/>
  <c r="Z4275" i="1"/>
  <c r="Z2359" i="1"/>
  <c r="Z3375" i="1"/>
  <c r="Z3610" i="1"/>
  <c r="Z1701" i="1"/>
  <c r="Z2748" i="1"/>
  <c r="Z3283" i="1"/>
  <c r="Z3571" i="1"/>
  <c r="Z1043" i="1"/>
  <c r="AA1043" i="1"/>
  <c r="Z2604" i="1"/>
  <c r="Z3071" i="1"/>
  <c r="Z3685" i="1"/>
  <c r="Z4054" i="1"/>
  <c r="Z4146" i="1"/>
  <c r="Z4037" i="1"/>
  <c r="Z3989" i="1"/>
  <c r="Z3479" i="1"/>
  <c r="Z3694" i="1"/>
  <c r="Z3897" i="1"/>
  <c r="Z4062" i="1"/>
  <c r="Z4238" i="1"/>
  <c r="Z2585" i="1"/>
  <c r="Z4316" i="1"/>
  <c r="Z4013" i="1"/>
  <c r="Z4450" i="1"/>
  <c r="AN252" i="2"/>
  <c r="Z4514" i="1"/>
  <c r="Z4643" i="1"/>
  <c r="Z2969" i="1"/>
  <c r="Z3578" i="1"/>
  <c r="Z3938" i="1"/>
  <c r="Z4242" i="1"/>
  <c r="Z3239" i="1"/>
  <c r="Z3654" i="1"/>
  <c r="Z3894" i="1"/>
  <c r="Z4437" i="1"/>
  <c r="Z1635" i="1"/>
  <c r="Z2264" i="1"/>
  <c r="Z2548" i="1"/>
  <c r="Z2796" i="1"/>
  <c r="Z3038" i="1"/>
  <c r="Z3186" i="1"/>
  <c r="AN208" i="2"/>
  <c r="Z3330" i="1"/>
  <c r="AN132" i="2"/>
  <c r="Z3472" i="1"/>
  <c r="Z3556" i="1"/>
  <c r="Z3625" i="1"/>
  <c r="Z3707" i="1"/>
  <c r="Z3873" i="1"/>
  <c r="Z3961" i="1"/>
  <c r="Z4081" i="1"/>
  <c r="Z4209" i="1"/>
  <c r="Z4307" i="1"/>
  <c r="Z4435" i="1"/>
  <c r="Z4621" i="1"/>
  <c r="Z3484" i="1"/>
  <c r="Z4034" i="1"/>
  <c r="Z2522" i="1"/>
  <c r="Z4317" i="1"/>
  <c r="Z2064" i="1"/>
  <c r="Z2914" i="1"/>
  <c r="Z2492" i="1"/>
  <c r="Z3067" i="1"/>
  <c r="Z3466" i="1"/>
  <c r="Z3646" i="1"/>
  <c r="Z2148" i="1"/>
  <c r="Z2920" i="1"/>
  <c r="Z3339" i="1"/>
  <c r="Z3602" i="1"/>
  <c r="Z1444" i="1"/>
  <c r="Z2863" i="1"/>
  <c r="Z3155" i="1"/>
  <c r="Z3521" i="1"/>
  <c r="Z3713" i="1"/>
  <c r="Z3916" i="1"/>
  <c r="Z4094" i="1"/>
  <c r="Z4254" i="1"/>
  <c r="Z4440" i="1"/>
  <c r="Z4581" i="1"/>
  <c r="Z4436" i="1"/>
  <c r="Z4651" i="1"/>
  <c r="Z4223" i="1"/>
  <c r="Z4232" i="1"/>
  <c r="Z4259" i="1"/>
  <c r="Z4287" i="1"/>
  <c r="Z960" i="1"/>
  <c r="Z4321" i="1"/>
  <c r="Z4348" i="1"/>
  <c r="Z4357" i="1"/>
  <c r="Z4366" i="1"/>
  <c r="Z4384" i="1"/>
  <c r="Z4385" i="1"/>
  <c r="Z4394" i="1"/>
  <c r="Z4412" i="1"/>
  <c r="Z4421" i="1"/>
  <c r="Z4449" i="1"/>
  <c r="Z4484" i="1"/>
  <c r="Z4513" i="1"/>
  <c r="Z4614" i="1"/>
  <c r="Z2155" i="1"/>
  <c r="S2995" i="1"/>
  <c r="Z2995" i="1"/>
  <c r="Z3754" i="1"/>
  <c r="Z3970" i="1"/>
  <c r="Z4090" i="1"/>
  <c r="Z4250" i="1"/>
  <c r="Z4444" i="1"/>
  <c r="Z1127" i="1"/>
  <c r="Z2115" i="1"/>
  <c r="Z2510" i="1"/>
  <c r="Z2967" i="1"/>
  <c r="Z3121" i="1"/>
  <c r="Z3292" i="1"/>
  <c r="Z3402" i="1"/>
  <c r="Z3576" i="1"/>
  <c r="Z3651" i="1"/>
  <c r="Z3724" i="1"/>
  <c r="Z3872" i="1"/>
  <c r="Z3936" i="1"/>
  <c r="Z4048" i="1"/>
  <c r="Z4088" i="1"/>
  <c r="Z4144" i="1"/>
  <c r="Z4208" i="1"/>
  <c r="Z4272" i="1"/>
  <c r="Z957" i="1"/>
  <c r="Z4354" i="1"/>
  <c r="Z4418" i="1"/>
  <c r="Z4458" i="1"/>
  <c r="Z909" i="1"/>
  <c r="Z3081" i="1"/>
  <c r="Z3617" i="1"/>
  <c r="Z3978" i="1"/>
  <c r="Z4290" i="1"/>
  <c r="Z3355" i="1"/>
  <c r="Z3691" i="1"/>
  <c r="Z3939" i="1"/>
  <c r="Z4187" i="1"/>
  <c r="Z4477" i="1"/>
  <c r="Z2328" i="1"/>
  <c r="Z2584" i="1"/>
  <c r="Z2828" i="1"/>
  <c r="Z3058" i="1"/>
  <c r="Z3208" i="1"/>
  <c r="Z3348" i="1"/>
  <c r="Z3483" i="1"/>
  <c r="Z3567" i="1"/>
  <c r="Z3634" i="1"/>
  <c r="Z3716" i="1"/>
  <c r="Z3791" i="1"/>
  <c r="AN292" i="2"/>
  <c r="Z3883" i="1"/>
  <c r="Z3993" i="1"/>
  <c r="Z4089" i="1"/>
  <c r="Z4217" i="1"/>
  <c r="Z4315" i="1"/>
  <c r="Z4443" i="1"/>
  <c r="Z4629" i="1"/>
  <c r="Z3526" i="1"/>
  <c r="Z4082" i="1"/>
  <c r="Z3110" i="1"/>
  <c r="Z3848" i="1"/>
  <c r="Z4341" i="1"/>
  <c r="Z2138" i="1"/>
  <c r="Z2946" i="1"/>
  <c r="Z2565" i="1"/>
  <c r="Z3089" i="1"/>
  <c r="Z3476" i="1"/>
  <c r="Z3665" i="1"/>
  <c r="Z2186" i="1"/>
  <c r="Z2952" i="1"/>
  <c r="Z1572" i="1"/>
  <c r="Z3177" i="1"/>
  <c r="Z3531" i="1"/>
  <c r="Z3731" i="1"/>
  <c r="Z3925" i="1"/>
  <c r="Z4102" i="1"/>
  <c r="Z4270" i="1"/>
  <c r="Z4464" i="1"/>
  <c r="Z3404" i="1"/>
  <c r="Z3538" i="1"/>
  <c r="Z4189" i="1"/>
  <c r="Z4083" i="1"/>
  <c r="Z4119" i="1"/>
  <c r="Z4111" i="1"/>
  <c r="Z4120" i="1"/>
  <c r="Z4129" i="1"/>
  <c r="Z4158" i="1"/>
  <c r="Z4167" i="1"/>
  <c r="Z4159" i="1"/>
  <c r="Z4168" i="1"/>
  <c r="Z4195" i="1"/>
  <c r="Z4230" i="1"/>
  <c r="Z4231" i="1"/>
  <c r="Z4240" i="1"/>
  <c r="Z4267" i="1"/>
  <c r="Z940" i="1"/>
  <c r="Z4295" i="1"/>
  <c r="Z941" i="1"/>
  <c r="AN174" i="2"/>
  <c r="Z950" i="1"/>
  <c r="Z4301" i="1"/>
  <c r="Z4337" i="1"/>
  <c r="Z4329" i="1"/>
  <c r="Z4338" i="1"/>
  <c r="Z4356" i="1"/>
  <c r="Z4392" i="1"/>
  <c r="Z4401" i="1"/>
  <c r="Z4393" i="1"/>
  <c r="Z4411" i="1"/>
  <c r="Z4420" i="1"/>
  <c r="Z4465" i="1"/>
  <c r="Z4457" i="1"/>
  <c r="Z4483" i="1"/>
  <c r="Z4492" i="1"/>
  <c r="Z4501" i="1"/>
  <c r="Z4640" i="1"/>
  <c r="Z1380" i="1"/>
  <c r="AN336" i="2"/>
  <c r="Z2393" i="1"/>
  <c r="Z3039" i="1"/>
  <c r="AN52" i="2"/>
  <c r="Z3495" i="1"/>
  <c r="Z3783" i="1"/>
  <c r="Z3986" i="1"/>
  <c r="Z4258" i="1"/>
  <c r="Z4476" i="1"/>
  <c r="Z3392" i="1"/>
  <c r="Z3775" i="1"/>
  <c r="AN276" i="2"/>
  <c r="Z4035" i="1"/>
  <c r="Z4333" i="1"/>
  <c r="Z1250" i="1"/>
  <c r="Z2153" i="1"/>
  <c r="Z2546" i="1"/>
  <c r="Z2763" i="1"/>
  <c r="S2993" i="1"/>
  <c r="Z2993" i="1"/>
  <c r="Z3143" i="1"/>
  <c r="Z3311" i="1"/>
  <c r="Z3420" i="1"/>
  <c r="Z3503" i="1"/>
  <c r="Z3586" i="1"/>
  <c r="Z3660" i="1"/>
  <c r="Z3733" i="1"/>
  <c r="AN207" i="2"/>
  <c r="Z3881" i="1"/>
  <c r="Z3944" i="1"/>
  <c r="Z3992" i="1"/>
  <c r="Z4056" i="1"/>
  <c r="Z4096" i="1"/>
  <c r="Z4152" i="1"/>
  <c r="Z4216" i="1"/>
  <c r="Z4280" i="1"/>
  <c r="Z4298" i="1"/>
  <c r="AN205" i="2"/>
  <c r="Z4426" i="1"/>
  <c r="Z4466" i="1"/>
  <c r="Z1252" i="1"/>
  <c r="Z3167" i="1"/>
  <c r="Z3653" i="1"/>
  <c r="Z4018" i="1"/>
  <c r="Z959" i="1"/>
  <c r="Z4646" i="1"/>
  <c r="Z3447" i="1"/>
  <c r="Z3963" i="1"/>
  <c r="Z332" i="1"/>
  <c r="Z1765" i="1"/>
  <c r="AN96" i="2"/>
  <c r="Z2392" i="1"/>
  <c r="Z2621" i="1"/>
  <c r="Z2872" i="1"/>
  <c r="Z3080" i="1"/>
  <c r="Z3367" i="1"/>
  <c r="Z3494" i="1"/>
  <c r="AN244" i="2"/>
  <c r="Z3577" i="1"/>
  <c r="Z3643" i="1"/>
  <c r="Z3725" i="1"/>
  <c r="Z3800" i="1"/>
  <c r="Z3892" i="1"/>
  <c r="Z4001" i="1"/>
  <c r="Z4121" i="1"/>
  <c r="Z4249" i="1"/>
  <c r="Z4347" i="1"/>
  <c r="Z4475" i="1"/>
  <c r="Z2512" i="1"/>
  <c r="Z3671" i="1"/>
  <c r="Z4282" i="1"/>
  <c r="Z3410" i="1"/>
  <c r="Z3971" i="1"/>
  <c r="Z4485" i="1"/>
  <c r="Z2410" i="1"/>
  <c r="Z3374" i="1"/>
  <c r="Z1570" i="1"/>
  <c r="Z3217" i="1"/>
  <c r="Z3710" i="1"/>
  <c r="Z3070" i="1"/>
  <c r="Z3449" i="1"/>
  <c r="Z3666" i="1"/>
  <c r="Z2084" i="1"/>
  <c r="Z2813" i="1"/>
  <c r="Z3304" i="1"/>
  <c r="Z3584" i="1"/>
  <c r="Z3779" i="1"/>
  <c r="Z3974" i="1"/>
  <c r="Z4142" i="1"/>
  <c r="Z947" i="1"/>
  <c r="Z4480" i="1"/>
  <c r="Z3558" i="1"/>
  <c r="Z4027" i="1"/>
  <c r="Z4609" i="1"/>
  <c r="Z3784" i="1"/>
  <c r="Z4211" i="1"/>
  <c r="Z3859" i="1"/>
  <c r="Z4220" i="1"/>
  <c r="Z3840" i="1"/>
  <c r="Z4641" i="1"/>
  <c r="Z3965" i="1"/>
  <c r="Z4351" i="1"/>
  <c r="Z4165" i="1"/>
  <c r="Z4326" i="1"/>
  <c r="Z4439" i="1"/>
  <c r="Z955" i="1"/>
  <c r="Z4368" i="1"/>
  <c r="Z3474" i="1"/>
  <c r="Z3920" i="1"/>
  <c r="Z3194" i="1"/>
  <c r="Z3895" i="1"/>
  <c r="Z4252" i="1"/>
  <c r="Z3796" i="1"/>
  <c r="Z3776" i="1"/>
  <c r="Z4029" i="1"/>
  <c r="Z4383" i="1"/>
  <c r="Z4359" i="1"/>
  <c r="Z4244" i="1"/>
  <c r="Z4454" i="1"/>
  <c r="Z4607" i="1"/>
  <c r="Z4073" i="1"/>
  <c r="Z4137" i="1"/>
  <c r="Z4265" i="1"/>
  <c r="Z4299" i="1"/>
  <c r="Z4363" i="1"/>
  <c r="Z4427" i="1"/>
  <c r="Z4491" i="1"/>
  <c r="Z4613" i="1"/>
  <c r="Z2765" i="1"/>
  <c r="Z3423" i="1"/>
  <c r="Z3708" i="1"/>
  <c r="Z4002" i="1"/>
  <c r="Z4308" i="1"/>
  <c r="Z4622" i="1"/>
  <c r="Z3506" i="1"/>
  <c r="Z3766" i="1"/>
  <c r="Z4051" i="1"/>
  <c r="Z944" i="1"/>
  <c r="Z558" i="1"/>
  <c r="Z2596" i="1"/>
  <c r="Z2882" i="1"/>
  <c r="Z3737" i="1"/>
  <c r="Z4397" i="1"/>
  <c r="Z1956" i="1"/>
  <c r="Z2455" i="1"/>
  <c r="Z2811" i="1"/>
  <c r="Z3047" i="1"/>
  <c r="Z3240" i="1"/>
  <c r="Z3430" i="1"/>
  <c r="Z3550" i="1"/>
  <c r="Z3628" i="1"/>
  <c r="Z2083" i="1"/>
  <c r="Z2493" i="1"/>
  <c r="Z2844" i="1"/>
  <c r="Z3134" i="1"/>
  <c r="Z3321" i="1"/>
  <c r="Z3488" i="1"/>
  <c r="Z3593" i="1"/>
  <c r="AN236" i="2"/>
  <c r="Z3684" i="1"/>
  <c r="Z4529" i="1"/>
  <c r="Z2640" i="1"/>
  <c r="Z2921" i="1"/>
  <c r="Z3135" i="1"/>
  <c r="Z3340" i="1"/>
  <c r="Z3499" i="1"/>
  <c r="Z3612" i="1"/>
  <c r="Z3703" i="1"/>
  <c r="Z3806" i="1"/>
  <c r="Z3907" i="1"/>
  <c r="Z3990" i="1"/>
  <c r="Z4078" i="1"/>
  <c r="Z4166" i="1"/>
  <c r="Z4246" i="1"/>
  <c r="Z4376" i="1"/>
  <c r="Z4456" i="1"/>
  <c r="Z4618" i="1"/>
  <c r="AN55" i="2"/>
  <c r="Z2329" i="1"/>
  <c r="Z3515" i="1"/>
  <c r="Z3994" i="1"/>
  <c r="Z3912" i="1"/>
  <c r="Z952" i="1"/>
  <c r="Z3932" i="1"/>
  <c r="Z4318" i="1"/>
  <c r="Z3905" i="1"/>
  <c r="Z4236" i="1"/>
  <c r="Z4276" i="1"/>
  <c r="Z4061" i="1"/>
  <c r="Z4415" i="1"/>
  <c r="Z3756" i="1"/>
  <c r="Z4615" i="1"/>
  <c r="Z4374" i="1"/>
  <c r="Z3804" i="1"/>
  <c r="Z4404" i="1"/>
  <c r="AN131" i="2"/>
  <c r="Z3428" i="1"/>
  <c r="Z3987" i="1"/>
  <c r="Z4325" i="1"/>
  <c r="Z3964" i="1"/>
  <c r="Z4382" i="1"/>
  <c r="Z3973" i="1"/>
  <c r="Z4334" i="1"/>
  <c r="Z4125" i="1"/>
  <c r="Z4447" i="1"/>
  <c r="Z3980" i="1"/>
  <c r="Z3868" i="1"/>
  <c r="Z4069" i="1"/>
  <c r="Z3814" i="1"/>
  <c r="Z4204" i="1"/>
  <c r="Z933" i="1"/>
  <c r="Z1596" i="1"/>
  <c r="AN220" i="2"/>
  <c r="Z3615" i="1"/>
  <c r="Z3689" i="1"/>
  <c r="Z3764" i="1"/>
  <c r="Z3828" i="1"/>
  <c r="Z3901" i="1"/>
  <c r="Z3969" i="1"/>
  <c r="Z4033" i="1"/>
  <c r="Z4097" i="1"/>
  <c r="Z4161" i="1"/>
  <c r="Z4225" i="1"/>
  <c r="Z4289" i="1"/>
  <c r="Z4323" i="1"/>
  <c r="Z4387" i="1"/>
  <c r="Z4451" i="1"/>
  <c r="Z4637" i="1"/>
  <c r="Z3103" i="1"/>
  <c r="Z3568" i="1"/>
  <c r="Z4138" i="1"/>
  <c r="Z4396" i="1"/>
  <c r="Z3216" i="1"/>
  <c r="Z3627" i="1"/>
  <c r="Z3885" i="1"/>
  <c r="Z4163" i="1"/>
  <c r="Z4373" i="1"/>
  <c r="Z2176" i="1"/>
  <c r="Z2676" i="1"/>
  <c r="Z2978" i="1"/>
  <c r="Z4107" i="1"/>
  <c r="Z1037" i="1"/>
  <c r="Z2082" i="1"/>
  <c r="AN168" i="2"/>
  <c r="Z2919" i="1"/>
  <c r="Z3111" i="1"/>
  <c r="Z3487" i="1"/>
  <c r="Z3580" i="1"/>
  <c r="Z3683" i="1"/>
  <c r="Z1187" i="1"/>
  <c r="Z4528" i="1"/>
  <c r="Z2862" i="1"/>
  <c r="Z2984" i="1"/>
  <c r="Z3198" i="1"/>
  <c r="Z3394" i="1"/>
  <c r="Z3530" i="1"/>
  <c r="Z3611" i="1"/>
  <c r="Z3730" i="1"/>
  <c r="Z1702" i="1"/>
  <c r="Z2421" i="1"/>
  <c r="Z2749" i="1"/>
  <c r="Z2985" i="1"/>
  <c r="S2985" i="1"/>
  <c r="Z3199" i="1"/>
  <c r="Z3432" i="1"/>
  <c r="Z3542" i="1"/>
  <c r="Z3639" i="1"/>
  <c r="Z3749" i="1"/>
  <c r="Z3843" i="1"/>
  <c r="Z3934" i="1"/>
  <c r="Z4030" i="1"/>
  <c r="Z4110" i="1"/>
  <c r="Z4190" i="1"/>
  <c r="Z4286" i="1"/>
  <c r="Z4320" i="1"/>
  <c r="Z4400" i="1"/>
  <c r="Z4496" i="1"/>
  <c r="Z4650" i="1"/>
  <c r="Z2797" i="1"/>
  <c r="Z4154" i="1"/>
  <c r="Z4460" i="1"/>
  <c r="Z3645" i="1"/>
  <c r="Z4099" i="1"/>
  <c r="Z4429" i="1"/>
  <c r="Z4124" i="1"/>
  <c r="Z4446" i="1"/>
  <c r="Z4109" i="1"/>
  <c r="Z3748" i="1"/>
  <c r="Z3941" i="1"/>
  <c r="Z4068" i="1"/>
  <c r="Z4044" i="1"/>
  <c r="Z4085" i="1"/>
  <c r="Z4399" i="1"/>
  <c r="Z61" i="1"/>
  <c r="Z3837" i="1"/>
  <c r="Z3910" i="1"/>
  <c r="Z3977" i="1"/>
  <c r="Z4041" i="1"/>
  <c r="Z4105" i="1"/>
  <c r="Z4169" i="1"/>
  <c r="Z4233" i="1"/>
  <c r="Z934" i="1"/>
  <c r="Z4331" i="1"/>
  <c r="Z4395" i="1"/>
  <c r="Z4459" i="1"/>
  <c r="Z4645" i="1"/>
  <c r="Z3187" i="1"/>
  <c r="Z3607" i="1"/>
  <c r="Z3838" i="1"/>
  <c r="Z4178" i="1"/>
  <c r="Z4428" i="1"/>
  <c r="Z3281" i="1"/>
  <c r="Z4413" i="1"/>
  <c r="Z2286" i="1"/>
  <c r="Z2710" i="1"/>
  <c r="Z3024" i="1"/>
  <c r="Z4171" i="1"/>
  <c r="Z1186" i="1"/>
  <c r="Z2185" i="1"/>
  <c r="Z2860" i="1"/>
  <c r="Z3153" i="1"/>
  <c r="Z3338" i="1"/>
  <c r="Z3497" i="1"/>
  <c r="Z3692" i="1"/>
  <c r="Z1315" i="1"/>
  <c r="Z2360" i="1"/>
  <c r="Z2683" i="1"/>
  <c r="Z3006" i="1"/>
  <c r="Z3412" i="1"/>
  <c r="Z3540" i="1"/>
  <c r="Z3629" i="1"/>
  <c r="Z3739" i="1"/>
  <c r="Z2494" i="1"/>
  <c r="Z3007" i="1"/>
  <c r="Z3242" i="1"/>
  <c r="Z3450" i="1"/>
  <c r="Z3552" i="1"/>
  <c r="Z3658" i="1"/>
  <c r="Z3760" i="1"/>
  <c r="Z3852" i="1"/>
  <c r="Z3950" i="1"/>
  <c r="Z4038" i="1"/>
  <c r="Z4118" i="1"/>
  <c r="Z4206" i="1"/>
  <c r="Z4294" i="1"/>
  <c r="Z4328" i="1"/>
  <c r="Z4416" i="1"/>
  <c r="Z4504" i="1"/>
  <c r="Z4649" i="1"/>
  <c r="Z3059" i="1"/>
  <c r="Z3792" i="1"/>
  <c r="Z4186" i="1"/>
  <c r="Z4630" i="1"/>
  <c r="Z3682" i="1"/>
  <c r="Z4139" i="1"/>
  <c r="Z4493" i="1"/>
  <c r="Z4156" i="1"/>
  <c r="Z4478" i="1"/>
  <c r="Z4327" i="1"/>
  <c r="Z4367" i="1"/>
  <c r="Z3787" i="1"/>
  <c r="Z4005" i="1"/>
  <c r="Z4077" i="1"/>
  <c r="Z4132" i="1"/>
  <c r="Z4617" i="1"/>
  <c r="Z4084" i="1"/>
  <c r="Z3985" i="1"/>
  <c r="Z4049" i="1"/>
  <c r="Z4113" i="1"/>
  <c r="Z4241" i="1"/>
  <c r="Z942" i="1"/>
  <c r="Z4339" i="1"/>
  <c r="Z4403" i="1"/>
  <c r="Z4467" i="1"/>
  <c r="AN165" i="2"/>
  <c r="Z2265" i="1"/>
  <c r="Z3274" i="1"/>
  <c r="Z3644" i="1"/>
  <c r="Z3875" i="1"/>
  <c r="Z4210" i="1"/>
  <c r="Z4468" i="1"/>
  <c r="Z3319" i="1"/>
  <c r="Z3663" i="1"/>
  <c r="AN224" i="2"/>
  <c r="Z3931" i="1"/>
  <c r="AN63" i="2"/>
  <c r="Z4203" i="1"/>
  <c r="AN357" i="2"/>
  <c r="Z4453" i="1"/>
  <c r="Z1679" i="1"/>
  <c r="Z2774" i="1"/>
  <c r="Z3174" i="1"/>
  <c r="Z4235" i="1"/>
  <c r="Z1314" i="1"/>
  <c r="Z2295" i="1"/>
  <c r="Z2682" i="1"/>
  <c r="Z3195" i="1"/>
  <c r="Z3507" i="1"/>
  <c r="Z3701" i="1"/>
  <c r="Z1443" i="1"/>
  <c r="Z2716" i="1"/>
  <c r="Z3026" i="1"/>
  <c r="Z3263" i="1"/>
  <c r="Z3431" i="1"/>
  <c r="Z3551" i="1"/>
  <c r="Z3657" i="1"/>
  <c r="Z669" i="1"/>
  <c r="AN140" i="2"/>
  <c r="Z1830" i="1"/>
  <c r="Z2567" i="1"/>
  <c r="Z2781" i="1"/>
  <c r="AN118" i="2"/>
  <c r="Z3027" i="1"/>
  <c r="Z3284" i="1"/>
  <c r="Z3468" i="1"/>
  <c r="Z3562" i="1"/>
  <c r="Z3676" i="1"/>
  <c r="Z3769" i="1"/>
  <c r="Z3861" i="1"/>
  <c r="Z3966" i="1"/>
  <c r="Z4046" i="1"/>
  <c r="Z4126" i="1"/>
  <c r="Z4222" i="1"/>
  <c r="Z4336" i="1"/>
  <c r="Z4432" i="1"/>
  <c r="Z4512" i="1"/>
  <c r="Z3232" i="1"/>
  <c r="Z3829" i="1"/>
  <c r="Z4226" i="1"/>
  <c r="Z3088" i="1"/>
  <c r="Z3709" i="1"/>
  <c r="Z3822" i="1"/>
  <c r="Z4188" i="1"/>
  <c r="Z4510" i="1"/>
  <c r="Z4616" i="1"/>
  <c r="Z4463" i="1"/>
  <c r="Z3860" i="1"/>
  <c r="Z954" i="1"/>
  <c r="Z4101" i="1"/>
  <c r="Z4431" i="1"/>
  <c r="Z4260" i="1"/>
  <c r="Z4045" i="1"/>
  <c r="Z946" i="1"/>
  <c r="Z4438" i="1"/>
  <c r="Z2156" i="1"/>
  <c r="Z4172" i="1"/>
  <c r="Z3886" i="1"/>
  <c r="Z3904" i="1"/>
  <c r="Z4292" i="1"/>
  <c r="Z962" i="1"/>
  <c r="Z4335" i="1"/>
  <c r="Z3924" i="1"/>
  <c r="Z4375" i="1"/>
  <c r="Z327" i="1"/>
  <c r="Z4148" i="1"/>
  <c r="Z4036" i="1"/>
  <c r="Z4390" i="1"/>
  <c r="Z3877" i="1"/>
  <c r="Z4021" i="1"/>
  <c r="Z4471" i="1"/>
  <c r="Z4173" i="1"/>
  <c r="I1041" i="1"/>
  <c r="O1041" i="1" s="1"/>
  <c r="AB71" i="2"/>
  <c r="Z3295" i="1"/>
  <c r="Z1013" i="1"/>
  <c r="Z4365" i="1"/>
  <c r="Z1935" i="1"/>
  <c r="AN216" i="2"/>
  <c r="Z2350" i="1"/>
  <c r="Z2742" i="1"/>
  <c r="Z3002" i="1"/>
  <c r="Z3921" i="1"/>
  <c r="Z4349" i="1"/>
  <c r="Z1442" i="1"/>
  <c r="Z2147" i="1"/>
  <c r="Z2528" i="1"/>
  <c r="AN322" i="2"/>
  <c r="Z2983" i="1"/>
  <c r="S2983" i="1"/>
  <c r="Z3131" i="1"/>
  <c r="Z3282" i="1"/>
  <c r="Z3411" i="1"/>
  <c r="Z3518" i="1"/>
  <c r="Z3591" i="1"/>
  <c r="Z3655" i="1"/>
  <c r="Z3729" i="1"/>
  <c r="AN34" i="2"/>
  <c r="Z1571" i="1"/>
  <c r="Z2296" i="1"/>
  <c r="Z2566" i="1"/>
  <c r="Z2812" i="1"/>
  <c r="Z3048" i="1"/>
  <c r="Z3218" i="1"/>
  <c r="AN111" i="2"/>
  <c r="Z3358" i="1"/>
  <c r="Z3478" i="1"/>
  <c r="Z3561" i="1"/>
  <c r="Z3620" i="1"/>
  <c r="Z3702" i="1"/>
  <c r="Z1188" i="1"/>
  <c r="Z1958" i="1"/>
  <c r="Z2457" i="1"/>
  <c r="Z2684" i="1"/>
  <c r="Z2889" i="1"/>
  <c r="Z3049" i="1"/>
  <c r="Z3219" i="1"/>
  <c r="Z3377" i="1"/>
  <c r="Z3489" i="1"/>
  <c r="Z3572" i="1"/>
  <c r="Z3649" i="1"/>
  <c r="Z3722" i="1"/>
  <c r="Z3870" i="1"/>
  <c r="Z3942" i="1"/>
  <c r="Z4006" i="1"/>
  <c r="Z4070" i="1"/>
  <c r="Z4134" i="1"/>
  <c r="Z4198" i="1"/>
  <c r="Z4262" i="1"/>
  <c r="Z4296" i="1"/>
  <c r="Z4344" i="1"/>
  <c r="Z4408" i="1"/>
  <c r="Z4472" i="1"/>
  <c r="Z4610" i="1"/>
  <c r="Z2937" i="1"/>
  <c r="Z3598" i="1"/>
  <c r="Z3946" i="1"/>
  <c r="Z4274" i="1"/>
  <c r="Z4606" i="1"/>
  <c r="Z3496" i="1"/>
  <c r="Z3876" i="1"/>
  <c r="Z4179" i="1"/>
  <c r="AN256" i="2"/>
  <c r="Z4461" i="1"/>
  <c r="Z3996" i="1"/>
  <c r="Z4284" i="1"/>
  <c r="Z4631" i="1"/>
  <c r="Z4261" i="1"/>
  <c r="Z4462" i="1"/>
  <c r="Z3956" i="1"/>
  <c r="Z3933" i="1"/>
  <c r="Z4221" i="1"/>
  <c r="AN291" i="2"/>
  <c r="Z4479" i="1"/>
  <c r="Z4639" i="1"/>
  <c r="AN169" i="2"/>
  <c r="Z3915" i="1"/>
  <c r="Z4470" i="1"/>
  <c r="Z4268" i="1"/>
  <c r="Z4180" i="1"/>
  <c r="Z4181" i="1"/>
  <c r="Z3869" i="1"/>
  <c r="Z795" i="1"/>
  <c r="Z3066" i="1"/>
  <c r="Z4059" i="1"/>
  <c r="Z4445" i="1"/>
  <c r="Z1700" i="1"/>
  <c r="Z4527" i="1"/>
  <c r="Z2601" i="1"/>
  <c r="Z2843" i="1"/>
  <c r="Z3003" i="1"/>
  <c r="Z3175" i="1"/>
  <c r="Z3320" i="1"/>
  <c r="Z3448" i="1"/>
  <c r="Z3529" i="1"/>
  <c r="AN272" i="2"/>
  <c r="Z3601" i="1"/>
  <c r="Z3674" i="1"/>
  <c r="Z3738" i="1"/>
  <c r="Z1829" i="1"/>
  <c r="Z2420" i="1"/>
  <c r="Z2639" i="1"/>
  <c r="Z2888" i="1"/>
  <c r="Z3241" i="1"/>
  <c r="Z3498" i="1"/>
  <c r="Z3582" i="1"/>
  <c r="Z3647" i="1"/>
  <c r="Z3721" i="1"/>
  <c r="Z1316" i="1"/>
  <c r="Z4536" i="1"/>
  <c r="Z2530" i="1"/>
  <c r="Z2717" i="1"/>
  <c r="AN337" i="2"/>
  <c r="AN261" i="2"/>
  <c r="Z2953" i="1"/>
  <c r="Z3091" i="1"/>
  <c r="Z3264" i="1"/>
  <c r="Z3414" i="1"/>
  <c r="Z3511" i="1"/>
  <c r="Z3594" i="1"/>
  <c r="Z3667" i="1"/>
  <c r="Z3740" i="1"/>
  <c r="Z3815" i="1"/>
  <c r="Z3888" i="1"/>
  <c r="Z3958" i="1"/>
  <c r="Z4022" i="1"/>
  <c r="Z4086" i="1"/>
  <c r="Z4150" i="1"/>
  <c r="Z4214" i="1"/>
  <c r="Z4278" i="1"/>
  <c r="Z4304" i="1"/>
  <c r="AN149" i="2"/>
  <c r="Z4360" i="1"/>
  <c r="Z4488" i="1"/>
  <c r="Z4626" i="1"/>
  <c r="Z1129" i="1"/>
  <c r="Z3145" i="1"/>
  <c r="Z3681" i="1"/>
  <c r="Z4066" i="1"/>
  <c r="Z4332" i="1"/>
  <c r="Z2559" i="1"/>
  <c r="Z3579" i="1"/>
  <c r="Z3955" i="1"/>
  <c r="Z4251" i="1"/>
  <c r="Z3747" i="1"/>
  <c r="Z4092" i="1"/>
  <c r="Z4350" i="1"/>
  <c r="Z4358" i="1"/>
  <c r="Z4455" i="1"/>
  <c r="Z4624" i="1"/>
  <c r="Z3997" i="1"/>
  <c r="Z4253" i="1"/>
  <c r="Z3759" i="1"/>
  <c r="Z3767" i="1"/>
  <c r="AN229" i="2"/>
  <c r="Z4205" i="1"/>
  <c r="Z4196" i="1"/>
  <c r="Z3832" i="1"/>
  <c r="Z3878" i="1"/>
  <c r="Z4502" i="1"/>
  <c r="Z4245" i="1"/>
  <c r="AN65" i="2"/>
  <c r="Z3948" i="1"/>
  <c r="Z4212" i="1"/>
  <c r="H2636" i="1"/>
  <c r="S2636" i="1" s="1"/>
  <c r="Z3801" i="1"/>
  <c r="Z3313" i="1"/>
  <c r="Z3717" i="1"/>
  <c r="Z4026" i="1"/>
  <c r="Z951" i="1"/>
  <c r="Z4500" i="1"/>
  <c r="Z3337" i="1"/>
  <c r="Z3755" i="1"/>
  <c r="Z4067" i="1"/>
  <c r="Z4283" i="1"/>
  <c r="AN31" i="2"/>
  <c r="Z3785" i="1"/>
  <c r="Z4060" i="1"/>
  <c r="Z953" i="1"/>
  <c r="Z4608" i="1"/>
  <c r="Z4133" i="1"/>
  <c r="Z4012" i="1"/>
  <c r="AN76" i="2"/>
  <c r="Z3981" i="1"/>
  <c r="Z4116" i="1"/>
  <c r="Z3823" i="1"/>
  <c r="Z4093" i="1"/>
  <c r="Z4285" i="1"/>
  <c r="Z4511" i="1"/>
  <c r="Z4293" i="1"/>
  <c r="Z937" i="1"/>
  <c r="Z4303" i="1"/>
  <c r="Z4342" i="1"/>
  <c r="Z3940" i="1"/>
  <c r="Z4164" i="1"/>
  <c r="Z4422" i="1"/>
  <c r="Z4197" i="1"/>
  <c r="Z4237" i="1"/>
  <c r="Z4052" i="1"/>
  <c r="Z3887" i="1"/>
  <c r="Z4149" i="1"/>
  <c r="Z4343" i="1"/>
  <c r="Z4648" i="1"/>
  <c r="Z4430" i="1"/>
  <c r="Z3849" i="1"/>
  <c r="I269" i="1"/>
  <c r="I270" i="1" s="1"/>
  <c r="Z2095" i="1"/>
  <c r="H3401" i="1"/>
  <c r="S3401" i="1" s="1"/>
  <c r="Z1646" i="1"/>
  <c r="Z1709" i="1"/>
  <c r="AN349" i="2"/>
  <c r="Z3493" i="1"/>
  <c r="Z2638" i="1"/>
  <c r="Z1644" i="1"/>
  <c r="Z3789" i="1"/>
  <c r="Z3382" i="1"/>
  <c r="Z3799" i="1"/>
  <c r="Z3184" i="1"/>
  <c r="Z4521" i="1"/>
  <c r="Z731" i="1"/>
  <c r="Z2715" i="1"/>
  <c r="Z3376" i="1"/>
  <c r="Z985" i="1"/>
  <c r="Z3090" i="1"/>
  <c r="Z3795" i="1"/>
  <c r="Z3441" i="1"/>
  <c r="Z555" i="1"/>
  <c r="O1784" i="1"/>
  <c r="Z3797" i="1"/>
  <c r="Z4229" i="1"/>
  <c r="Z4140" i="1"/>
  <c r="Z4269" i="1"/>
  <c r="Z4406" i="1"/>
  <c r="Z3896" i="1"/>
  <c r="Z4157" i="1"/>
  <c r="Z4319" i="1"/>
  <c r="Z4632" i="1"/>
  <c r="Z4487" i="1"/>
  <c r="AN54" i="2"/>
  <c r="Z3841" i="1"/>
  <c r="Z4623" i="1"/>
  <c r="Z4004" i="1"/>
  <c r="Z4228" i="1"/>
  <c r="Z4486" i="1"/>
  <c r="Z4423" i="1"/>
  <c r="Z4398" i="1"/>
  <c r="Z3813" i="1"/>
  <c r="I3813" i="1"/>
  <c r="Z945" i="1"/>
  <c r="Z3957" i="1"/>
  <c r="Z4213" i="1"/>
  <c r="Z4407" i="1"/>
  <c r="Z4391" i="1"/>
  <c r="Z3768" i="1"/>
  <c r="Z3988" i="1"/>
  <c r="H327" i="1"/>
  <c r="H328" i="1" s="1"/>
  <c r="Z2636" i="1"/>
  <c r="S2093" i="1"/>
  <c r="Z2093" i="1"/>
  <c r="Z3051" i="1"/>
  <c r="AB256" i="2"/>
  <c r="AB150" i="2"/>
  <c r="Z3116" i="1"/>
  <c r="Z606" i="1"/>
  <c r="Z3839" i="1"/>
  <c r="Z1786" i="1"/>
  <c r="AB68" i="2"/>
  <c r="Z1047" i="1"/>
  <c r="AA1047" i="1"/>
  <c r="Z246" i="1"/>
  <c r="Z109" i="1"/>
  <c r="Z2779" i="1"/>
  <c r="Z620" i="1"/>
  <c r="Z1790" i="1"/>
  <c r="Z1355" i="1"/>
  <c r="Z4542" i="1"/>
  <c r="Z1929" i="1"/>
  <c r="Z1178" i="1"/>
  <c r="AB56" i="2"/>
  <c r="Z1962" i="1"/>
  <c r="AB122" i="2"/>
  <c r="Z2753" i="1"/>
  <c r="Z481" i="1"/>
  <c r="Z3982" i="1"/>
  <c r="Z1733" i="1"/>
  <c r="Z3805" i="1"/>
  <c r="Z3328" i="1"/>
  <c r="H4330" i="1"/>
  <c r="U4330" i="1" s="1"/>
  <c r="AB27" i="2"/>
  <c r="Z2533" i="1"/>
  <c r="Z459" i="1"/>
  <c r="Z3613" i="1"/>
  <c r="Z4020" i="1"/>
  <c r="Z3831" i="1"/>
  <c r="Z4100" i="1"/>
  <c r="AN39" i="2"/>
  <c r="Z961" i="1"/>
  <c r="Z4633" i="1"/>
  <c r="Z3913" i="1"/>
  <c r="Z3923" i="1"/>
  <c r="Z3777" i="1"/>
  <c r="Z4053" i="1"/>
  <c r="Z4277" i="1"/>
  <c r="Z4076" i="1"/>
  <c r="Z938" i="1"/>
  <c r="Z4310" i="1"/>
  <c r="Z1041" i="1"/>
  <c r="Z935" i="1"/>
  <c r="Z525" i="1"/>
  <c r="Z3803" i="1"/>
  <c r="Z1874" i="1"/>
  <c r="Z1200" i="1"/>
  <c r="Z1283" i="1"/>
  <c r="Z636" i="1"/>
  <c r="AB249" i="2"/>
  <c r="Z4201" i="1"/>
  <c r="Z1353" i="1"/>
  <c r="AN191" i="2"/>
  <c r="Z4050" i="1"/>
  <c r="AB123" i="2"/>
  <c r="I2391" i="1"/>
  <c r="Z2194" i="1"/>
  <c r="Z559" i="1"/>
  <c r="Z1397" i="1"/>
  <c r="Z3807" i="1"/>
  <c r="Z3765" i="1"/>
  <c r="H1547" i="1"/>
  <c r="U1547" i="1" s="1"/>
  <c r="Z363" i="1"/>
  <c r="AB44" i="2"/>
  <c r="Z2577" i="1"/>
  <c r="AB288" i="2"/>
  <c r="AB117" i="2"/>
  <c r="Z1549" i="1"/>
  <c r="Z4108" i="1"/>
  <c r="H4052" i="1"/>
  <c r="U4052" i="1" s="1"/>
  <c r="Z3851" i="1"/>
  <c r="Z4117" i="1"/>
  <c r="Z4311" i="1"/>
  <c r="Z4625" i="1"/>
  <c r="Z4647" i="1"/>
  <c r="Z269" i="1"/>
  <c r="I933" i="1"/>
  <c r="O933" i="1" s="1"/>
  <c r="H2096" i="1"/>
  <c r="Z3401" i="1"/>
  <c r="Z1654" i="1"/>
  <c r="Z4402" i="1"/>
  <c r="Z1105" i="1"/>
  <c r="I1644" i="1"/>
  <c r="O1644" i="1" s="1"/>
  <c r="Z4010" i="1"/>
  <c r="AB245" i="2"/>
  <c r="Z1969" i="1"/>
  <c r="Z3443" i="1"/>
  <c r="AN274" i="2"/>
  <c r="I3" i="1"/>
  <c r="S3" i="1" s="1"/>
  <c r="Z3793" i="1"/>
  <c r="AB258" i="2"/>
  <c r="Z1109" i="1"/>
  <c r="Z765" i="1"/>
  <c r="Z1872" i="1"/>
  <c r="AN189" i="2"/>
  <c r="H3809" i="1"/>
  <c r="AB198" i="2"/>
  <c r="Z4424" i="1"/>
  <c r="Z3259" i="1"/>
  <c r="Z2606" i="1"/>
  <c r="Z3949" i="1"/>
  <c r="Z2951" i="1"/>
  <c r="Z4177" i="1"/>
  <c r="H987" i="1"/>
  <c r="AB223" i="2"/>
  <c r="AB290" i="2"/>
  <c r="H1106" i="1"/>
  <c r="H1874" i="1"/>
  <c r="H1875" i="1" s="1"/>
  <c r="I1283" i="1"/>
  <c r="I1284" i="1" s="1"/>
  <c r="I2194" i="1"/>
  <c r="O2194" i="1" s="1"/>
  <c r="H3807" i="1"/>
  <c r="S3807" i="1" s="1"/>
  <c r="H1787" i="1"/>
  <c r="AB292" i="2"/>
  <c r="Z707" i="1"/>
  <c r="H3376" i="1"/>
  <c r="Z1547" i="1"/>
  <c r="Z4330" i="1"/>
  <c r="Z2823" i="1"/>
  <c r="I1084" i="1"/>
  <c r="O1084" i="1" s="1"/>
  <c r="AN227" i="2"/>
  <c r="Z1927" i="1"/>
  <c r="Z2259" i="1"/>
  <c r="AB357" i="2"/>
  <c r="Z3207" i="1"/>
  <c r="I1962" i="1"/>
  <c r="Z101" i="1"/>
  <c r="Z4302" i="1"/>
  <c r="Z887" i="1"/>
  <c r="Z1395" i="1"/>
  <c r="I3443" i="1"/>
  <c r="O3443" i="1" s="1"/>
  <c r="Z2917" i="1"/>
  <c r="Z1828" i="1"/>
  <c r="Z2348" i="1"/>
  <c r="Z602" i="1"/>
  <c r="Z3231" i="1"/>
  <c r="Z4098" i="1"/>
  <c r="Z1421" i="1"/>
  <c r="Z2301" i="1"/>
  <c r="Z3469" i="1"/>
  <c r="Z3879" i="1"/>
  <c r="H1927" i="1"/>
  <c r="U1927" i="1" s="1"/>
  <c r="AB268" i="2"/>
  <c r="Z2099" i="1"/>
  <c r="Z2032" i="1"/>
  <c r="H4050" i="1"/>
  <c r="S4050" i="1" s="1"/>
  <c r="AB237" i="2"/>
  <c r="Z2456" i="1"/>
  <c r="H3795" i="1"/>
  <c r="U3795" i="1" s="1"/>
  <c r="Z2642" i="1"/>
  <c r="S1784" i="1"/>
  <c r="I4330" i="1"/>
  <c r="O4330" i="1" s="1"/>
  <c r="Z3809" i="1"/>
  <c r="H1395" i="1"/>
  <c r="U1395" i="1" s="1"/>
  <c r="Z383" i="1"/>
  <c r="Z3909" i="1"/>
  <c r="Z656" i="1"/>
  <c r="Z2055" i="1"/>
  <c r="H4240" i="1"/>
  <c r="AB287" i="2"/>
  <c r="Z3661" i="1"/>
  <c r="Z3405" i="1"/>
  <c r="Z2981" i="1"/>
  <c r="S2981" i="1"/>
  <c r="Z9" i="1"/>
  <c r="Z1650" i="1"/>
  <c r="Z3527" i="1"/>
  <c r="Z4281" i="1"/>
  <c r="AB216" i="2"/>
  <c r="AB212" i="2"/>
  <c r="H3" i="1"/>
  <c r="U3" i="1" s="1"/>
  <c r="AB39" i="2"/>
  <c r="AB26" i="2"/>
  <c r="Z4239" i="1"/>
  <c r="AB351" i="2"/>
  <c r="I3803" i="1"/>
  <c r="O3803" i="1" s="1"/>
  <c r="H3801" i="1"/>
  <c r="U3801" i="1" s="1"/>
  <c r="H1654" i="1"/>
  <c r="H1655" i="1" s="1"/>
  <c r="H2753" i="1"/>
  <c r="U2753" i="1" s="1"/>
  <c r="AB154" i="2"/>
  <c r="AB131" i="2"/>
  <c r="AB108" i="2"/>
  <c r="H2638" i="1"/>
  <c r="H1397" i="1"/>
  <c r="H1969" i="1"/>
  <c r="H1970" i="1" s="1"/>
  <c r="I606" i="1"/>
  <c r="H602" i="1"/>
  <c r="H603" i="1" s="1"/>
  <c r="I76" i="1"/>
  <c r="I77" i="1" s="1"/>
  <c r="H1929" i="1"/>
  <c r="S1929" i="1" s="1"/>
  <c r="AB337" i="2"/>
  <c r="AB321" i="2"/>
  <c r="AB105" i="2"/>
  <c r="AB336" i="2"/>
  <c r="H3805" i="1"/>
  <c r="U3805" i="1" s="1"/>
  <c r="AB132" i="2"/>
  <c r="Z3" i="1"/>
  <c r="Z1526" i="1"/>
  <c r="Z1084" i="1"/>
  <c r="Z1275" i="1"/>
  <c r="AB155" i="2"/>
  <c r="H1353" i="1"/>
  <c r="H1352" i="1" s="1"/>
  <c r="H3793" i="1"/>
  <c r="U3793" i="1" s="1"/>
  <c r="Z660" i="1"/>
  <c r="H3799" i="1"/>
  <c r="U3799" i="1" s="1"/>
  <c r="H660" i="1"/>
  <c r="H661" i="1" s="1"/>
  <c r="Z4243" i="1"/>
  <c r="AB64" i="2"/>
  <c r="Z1784" i="1"/>
  <c r="Z76" i="1"/>
  <c r="H1872" i="1"/>
  <c r="S1872" i="1" s="1"/>
  <c r="Z2391" i="1"/>
  <c r="Z3378" i="1"/>
  <c r="AB208" i="2"/>
  <c r="H3909" i="1"/>
  <c r="S3909" i="1" s="1"/>
  <c r="Z3112" i="1"/>
  <c r="S656" i="1"/>
  <c r="Z1685" i="1"/>
  <c r="AB31" i="2"/>
  <c r="Z1998" i="1"/>
  <c r="Z1273" i="1"/>
  <c r="Z4219" i="1"/>
  <c r="Z4364" i="1"/>
  <c r="AB224" i="2"/>
  <c r="Z939" i="1"/>
  <c r="Z2188" i="1"/>
  <c r="Z618" i="1"/>
  <c r="Z4448" i="1"/>
  <c r="O3112" i="1"/>
  <c r="AB116" i="2"/>
  <c r="AB115" i="2"/>
  <c r="AB272" i="2"/>
  <c r="H598" i="1"/>
  <c r="H597" i="1" s="1"/>
  <c r="Z2677" i="1"/>
  <c r="Z149" i="1"/>
  <c r="Z218" i="1"/>
  <c r="I1273" i="1"/>
  <c r="O1273" i="1" s="1"/>
  <c r="Z2241" i="1"/>
  <c r="Z1235" i="1"/>
  <c r="Z333" i="1"/>
  <c r="AB34" i="2"/>
  <c r="I4365" i="1"/>
  <c r="Z3356" i="1"/>
  <c r="AB65" i="2"/>
  <c r="Z4503" i="1"/>
  <c r="H556" i="1"/>
  <c r="J3" i="1"/>
  <c r="N3" i="1" s="1"/>
  <c r="H109" i="1"/>
  <c r="H76" i="1"/>
  <c r="H77" i="1" s="1"/>
  <c r="Z3819" i="1"/>
  <c r="H3797" i="1"/>
  <c r="H3378" i="1"/>
  <c r="U3378" i="1" s="1"/>
  <c r="Z4141" i="1"/>
  <c r="AB174" i="2"/>
  <c r="I2188" i="1"/>
  <c r="I2189" i="1" s="1"/>
  <c r="H618" i="1"/>
  <c r="S618" i="1" s="1"/>
  <c r="Z3698" i="1"/>
  <c r="AB252" i="2"/>
  <c r="I1828" i="1"/>
  <c r="I1829" i="1" s="1"/>
  <c r="H620" i="1"/>
  <c r="S620" i="1" s="1"/>
  <c r="H1549" i="1"/>
  <c r="U1549" i="1" s="1"/>
  <c r="H3803" i="1"/>
  <c r="U3803" i="1" s="1"/>
  <c r="AB205" i="2"/>
  <c r="Z598" i="1"/>
  <c r="Z1303" i="1"/>
  <c r="AB331" i="2"/>
  <c r="Z3727" i="1"/>
  <c r="AB261" i="2"/>
  <c r="Z409" i="1"/>
  <c r="AB124" i="2" l="1"/>
  <c r="I607" i="1"/>
  <c r="O606" i="1"/>
  <c r="H3798" i="1"/>
  <c r="H659" i="1"/>
  <c r="S3799" i="1"/>
  <c r="S1874" i="1"/>
  <c r="AH123" i="2"/>
  <c r="U1874" i="1"/>
  <c r="I1083" i="1"/>
  <c r="S660" i="1"/>
  <c r="U660" i="1"/>
  <c r="U602" i="1"/>
  <c r="H1873" i="1"/>
  <c r="S602" i="1"/>
  <c r="I3442" i="1"/>
  <c r="S1549" i="1"/>
  <c r="U3807" i="1"/>
  <c r="U1969" i="1"/>
  <c r="U3797" i="1"/>
  <c r="AH138" i="2"/>
  <c r="S1969" i="1"/>
  <c r="I1085" i="1"/>
  <c r="S3797" i="1"/>
  <c r="S76" i="1"/>
  <c r="H3800" i="1"/>
  <c r="H1930" i="1"/>
  <c r="S3801" i="1"/>
  <c r="H1550" i="1"/>
  <c r="H3794" i="1"/>
  <c r="I3802" i="1"/>
  <c r="I605" i="1"/>
  <c r="S1105" i="1"/>
  <c r="I3113" i="1"/>
  <c r="U656" i="1"/>
  <c r="H2637" i="1"/>
  <c r="I1785" i="1"/>
  <c r="I1274" i="1"/>
  <c r="H3910" i="1"/>
  <c r="S4330" i="1"/>
  <c r="U76" i="1"/>
  <c r="H3802" i="1"/>
  <c r="I2193" i="1"/>
  <c r="S1547" i="1"/>
  <c r="H1928" i="1"/>
  <c r="O1283" i="1"/>
  <c r="H3804" i="1"/>
  <c r="H1394" i="1"/>
  <c r="U4050" i="1"/>
  <c r="AG227" i="2"/>
  <c r="I1282" i="1"/>
  <c r="U2095" i="1"/>
  <c r="S3803" i="1"/>
  <c r="S3793" i="1"/>
  <c r="AG191" i="2"/>
  <c r="S3805" i="1"/>
  <c r="H74" i="1"/>
  <c r="AG189" i="2"/>
  <c r="H3796" i="1"/>
  <c r="U1105" i="1"/>
  <c r="H3806" i="1"/>
  <c r="AH212" i="2"/>
  <c r="S3795" i="1"/>
  <c r="AC274" i="2"/>
  <c r="AB274" i="2" s="1"/>
  <c r="I2195" i="1"/>
  <c r="H2094" i="1"/>
  <c r="O1786" i="1"/>
  <c r="S2095" i="1"/>
  <c r="U327" i="1"/>
  <c r="I1042" i="1"/>
  <c r="H617" i="1"/>
  <c r="U618" i="1"/>
  <c r="S4239" i="1"/>
  <c r="U1786" i="1"/>
  <c r="O1828" i="1"/>
  <c r="J4" i="1"/>
  <c r="I1787" i="1"/>
  <c r="H4" i="1"/>
  <c r="AB207" i="2"/>
  <c r="AB72" i="2"/>
  <c r="AB234" i="2"/>
  <c r="AB289" i="2"/>
  <c r="AB334" i="2"/>
  <c r="AB199" i="2"/>
  <c r="AB140" i="2"/>
  <c r="AB238" i="2"/>
  <c r="AB305" i="2"/>
  <c r="AB220" i="2"/>
  <c r="AB149" i="2"/>
  <c r="AB330" i="2"/>
  <c r="AB214" i="2"/>
  <c r="AB184" i="2"/>
  <c r="AB20" i="2"/>
  <c r="S3378" i="1"/>
  <c r="AB130" i="2"/>
  <c r="AB157" i="2"/>
  <c r="AB335" i="2"/>
  <c r="O2188" i="1"/>
  <c r="H3379" i="1"/>
  <c r="S2753" i="1"/>
  <c r="U1784" i="1"/>
  <c r="O3" i="1"/>
  <c r="I599" i="1"/>
  <c r="U3909" i="1"/>
  <c r="AB230" i="2"/>
  <c r="I4331" i="1"/>
  <c r="H1785" i="1"/>
  <c r="AB269" i="2"/>
  <c r="I4" i="1"/>
  <c r="AB195" i="2"/>
  <c r="H619" i="1"/>
  <c r="H2639" i="1"/>
  <c r="AB113" i="2"/>
  <c r="AB52" i="2"/>
  <c r="U2093" i="1"/>
  <c r="U2636" i="1"/>
  <c r="AB201" i="2"/>
  <c r="H621" i="1"/>
  <c r="S2638" i="1"/>
  <c r="AB37" i="2"/>
  <c r="AB106" i="2"/>
  <c r="AB118" i="2"/>
  <c r="AB69" i="2"/>
  <c r="AB286" i="2"/>
  <c r="H1354" i="1"/>
  <c r="U1353" i="1"/>
  <c r="H1398" i="1"/>
  <c r="S1397" i="1"/>
  <c r="U1397" i="1"/>
  <c r="O2093" i="1"/>
  <c r="I2094" i="1"/>
  <c r="AB128" i="2"/>
  <c r="S555" i="1"/>
  <c r="AB291" i="2"/>
  <c r="S1353" i="1"/>
  <c r="H1653" i="1"/>
  <c r="U1654" i="1"/>
  <c r="I1827" i="1"/>
  <c r="U555" i="1"/>
  <c r="AB338" i="2"/>
  <c r="I4240" i="1"/>
  <c r="O76" i="1"/>
  <c r="I74" i="1"/>
  <c r="S1654" i="1"/>
  <c r="I3804" i="1"/>
  <c r="O1962" i="1"/>
  <c r="I1963" i="1"/>
  <c r="H986" i="1"/>
  <c r="S987" i="1"/>
  <c r="AG349" i="2"/>
  <c r="H988" i="1"/>
  <c r="U987" i="1"/>
  <c r="H1396" i="1"/>
  <c r="H4365" i="1"/>
  <c r="S4364" i="1"/>
  <c r="U4364" i="1"/>
  <c r="AB169" i="2"/>
  <c r="AB45" i="2"/>
  <c r="AB266" i="2"/>
  <c r="H108" i="1"/>
  <c r="U109" i="1"/>
  <c r="I936" i="1"/>
  <c r="S109" i="1"/>
  <c r="AB294" i="2"/>
  <c r="AB176" i="2"/>
  <c r="S3376" i="1"/>
  <c r="H3377" i="1"/>
  <c r="U3376" i="1"/>
  <c r="O2391" i="1"/>
  <c r="I2392" i="1"/>
  <c r="H110" i="1"/>
  <c r="AB182" i="2"/>
  <c r="AB50" i="2"/>
  <c r="AB138" i="2"/>
  <c r="AH72" i="2"/>
  <c r="H2752" i="1"/>
  <c r="H2754" i="1"/>
  <c r="S3809" i="1"/>
  <c r="U3809" i="1"/>
  <c r="H3808" i="1"/>
  <c r="AB265" i="2"/>
  <c r="S598" i="1"/>
  <c r="U598" i="1"/>
  <c r="H599" i="1"/>
  <c r="AB349" i="2"/>
  <c r="AB168" i="2"/>
  <c r="AB229" i="2"/>
  <c r="AB280" i="2"/>
  <c r="AB145" i="2"/>
  <c r="AB322" i="2"/>
  <c r="AB41" i="2"/>
  <c r="AB165" i="2"/>
  <c r="I1647" i="1"/>
  <c r="AB317" i="2"/>
  <c r="I1645" i="1"/>
  <c r="AB111" i="2"/>
  <c r="AB54" i="2"/>
  <c r="U3401" i="1"/>
  <c r="H657" i="1"/>
  <c r="U1872" i="1"/>
  <c r="AB104" i="2"/>
  <c r="U1929" i="1"/>
  <c r="H601" i="1"/>
  <c r="AB326" i="2"/>
  <c r="AB297" i="2"/>
  <c r="S1927" i="1"/>
  <c r="AB19" i="2"/>
  <c r="S1786" i="1"/>
  <c r="AB79" i="2"/>
  <c r="I934" i="1"/>
  <c r="H1548" i="1"/>
  <c r="AB76" i="2"/>
  <c r="AB231" i="2"/>
  <c r="H4331" i="1"/>
  <c r="S327" i="1"/>
  <c r="H3402" i="1"/>
  <c r="S1395" i="1"/>
  <c r="U620" i="1"/>
  <c r="U2638" i="1"/>
  <c r="I3444" i="1"/>
  <c r="AB162" i="2"/>
  <c r="AB273" i="2"/>
  <c r="J936" i="1" l="1"/>
  <c r="J934" i="1"/>
  <c r="U1998" i="1"/>
  <c r="S1998" i="1"/>
  <c r="AH265" i="2"/>
  <c r="H199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Romain BEAUVAIS</author>
  </authors>
  <commentList>
    <comment ref="J2042" authorId="0" shapeId="0" xr:uid="{0B76FEED-463F-4620-8543-FB1A45745BB9}">
      <text>
        <r>
          <rPr>
            <b/>
            <sz val="9"/>
            <color indexed="81"/>
            <rFont val="Tahoma"/>
            <family val="2"/>
          </rPr>
          <t>Romain BEAUVAIS:</t>
        </r>
        <r>
          <rPr>
            <sz val="9"/>
            <color indexed="81"/>
            <rFont val="Tahoma"/>
            <family val="2"/>
          </rPr>
          <t xml:space="preserve">
CF : note 35 rapport annuel</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6C72756-CD17-4882-82CF-33FFA1DBD512}" keepAlive="1" name="Requête - FromBoursorama" description="Connexion à la requête « FromBoursorama » dans le classeur." type="5" refreshedVersion="0" background="1">
    <dbPr connection="Provider=Microsoft.Mashup.OleDb.1;Data Source=$Workbook$;Location=FromBoursorama;Extended Properties=&quot;&quot;" command="SELECT * FROM [FromBoursorama]"/>
  </connection>
  <connection id="2" xr16:uid="{5A6DECB3-3242-4DE3-A3B2-81BE9AE073EF}" keepAlive="1" name="Requête - Liste unique Société" description="Connexion à la requête « Liste unique Société » dans le classeur." type="5" refreshedVersion="8" background="1" saveData="1">
    <dbPr connection="Provider=Microsoft.Mashup.OleDb.1;Data Source=$Workbook$;Location=&quot;Liste unique Société&quot;;Extended Properties=&quot;&quot;" command="SELECT * FROM [Liste unique Société]"/>
  </connection>
  <connection id="3" xr16:uid="{FE233EE9-B349-4317-A412-48E1ED4B4D95}" keepAlive="1" name="Requête - Liste valeur" description="Connexion à la requête « Liste valeur » dans le classeur." type="5" refreshedVersion="8" background="1" saveData="1">
    <dbPr connection="Provider=Microsoft.Mashup.OleDb.1;Data Source=$Workbook$;Location=&quot;Liste valeur&quot;;Extended Properties=&quot;&quot;" command="SELECT * FROM [Liste valeur]"/>
  </connection>
  <connection id="4" xr16:uid="{3EDB03FE-666E-4447-A772-34677F82AE2A}" keepAlive="1" name="Requête - Secteur par marge (2)" description="Connexion à la requête « Secteur par marge (2) » dans le classeur." type="5" refreshedVersion="8" background="1" saveData="1">
    <dbPr connection="Provider=Microsoft.Mashup.OleDb.1;Data Source=$Workbook$;Location=&quot;Secteur par marge (2)&quot;;Extended Properties=&quot;&quot;" command="SELECT * FROM [Secteur par marge (2)]"/>
  </connection>
  <connection id="5" xr16:uid="{CA94EEA8-C49E-492C-8A54-5F1DFFADA456}" keepAlive="1" name="Requête - Table 0" description="Connexion à la requête « Table 0 » dans le classeur." type="5" refreshedVersion="8" background="1" saveData="1">
    <dbPr connection="Provider=Microsoft.Mashup.OleDb.1;Data Source=$Workbook$;Location=&quot;Table 0&quot;;Extended Properties=&quot;&quot;" command="SELECT * FROM [Table 0]"/>
  </connection>
  <connection id="6" xr16:uid="{E75EF8BB-57C3-45CD-918F-AF0629EBB622}" keepAlive="1" name="Requête - Table valeur" description="Connexion à la requête « Table valeur » dans le classeur." type="5" refreshedVersion="8" background="1" saveData="1">
    <dbPr connection="Provider=Microsoft.Mashup.OleDb.1;Data Source=$Workbook$;Location=&quot;Table valeur&quot;;Extended Properties=&quot;&quot;" command="SELECT * FROM [Table valeur]"/>
  </connection>
  <connection id="7" xr16:uid="{277367E1-527D-4AE7-B3D5-9AE82A5AC063}" keepAlive="1" name="Requête - Tableau14" description="Connexion à la requête « Tableau14 » dans le classeur." type="5" refreshedVersion="8" background="1" saveData="1">
    <dbPr connection="Provider=Microsoft.Mashup.OleDb.1;Data Source=$Workbook$;Location=Tableau14;Extended Properties=&quot;&quot;" command="SELECT * FROM [Tableau14]"/>
  </connection>
  <connection id="8" xr16:uid="{E847EE91-02F7-4F93-8CAA-37124ADC8343}" keepAlive="1" name="Requête - Titre" description="Connexion à la requête « Titre » dans le classeur." type="5" refreshedVersion="0" background="1">
    <dbPr connection="Provider=Microsoft.Mashup.OleDb.1;Data Source=$Workbook$;Location=Titre;Extended Properties=&quot;&quot;" command="SELECT * FROM [Titre]"/>
  </connection>
  <connection id="9" xr16:uid="{065CADF6-44FC-4852-A12F-64B9FF9212C7}"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34502D12-EE4B-4B01-AE12-7061497D8BCC}" name="WorksheetConnection_01 -  Liste des titres vifs.xlsx!Liste_unique_Société" type="102" refreshedVersion="8" minRefreshableVersion="5">
    <extLst>
      <ext xmlns:x15="http://schemas.microsoft.com/office/spreadsheetml/2010/11/main" uri="{DE250136-89BD-433C-8126-D09CA5730AF9}">
        <x15:connection id="Liste_unique_Société">
          <x15:rangePr sourceName="_xlcn.WorksheetConnection_01Listedestitresvifs.xlsxListe_unique_Société1"/>
        </x15:connection>
      </ext>
    </extLst>
  </connection>
  <connection id="11" xr16:uid="{AD783E38-1C7C-4BF8-9B9E-39614A06E74F}" name="WorksheetConnection_01 -  Liste des titres vifs.xlsx!Tableau3" type="102" refreshedVersion="8" minRefreshableVersion="5">
    <extLst>
      <ext xmlns:x15="http://schemas.microsoft.com/office/spreadsheetml/2010/11/main" uri="{DE250136-89BD-433C-8126-D09CA5730AF9}">
        <x15:connection id="Tableau3">
          <x15:rangePr sourceName="_xlcn.WorksheetConnection_01Listedestitresvifs.xlsxTableau31"/>
        </x15:connection>
      </ext>
    </extLst>
  </connection>
  <connection id="12" xr16:uid="{5C8DF1DC-DC0B-4238-B1D1-6DCD6CDCEDB8}" name="WorksheetConnection_01 -  Liste des titres vifs.xlsx!Tableau4" type="102" refreshedVersion="8" minRefreshableVersion="5">
    <extLst>
      <ext xmlns:x15="http://schemas.microsoft.com/office/spreadsheetml/2010/11/main" uri="{DE250136-89BD-433C-8126-D09CA5730AF9}">
        <x15:connection id="Tableau4">
          <x15:rangePr sourceName="_xlcn.WorksheetConnection_01Listedestitresvifs.xlsxTableau41"/>
        </x15:connection>
      </ext>
    </extLst>
  </connection>
  <connection id="13" xr16:uid="{86C21134-7DD9-4170-85D3-A5F9709CFF88}" name="WorksheetConnection_Modification RB.xlsx!Tableau1" type="102" refreshedVersion="8" minRefreshableVersion="5">
    <extLst>
      <ext xmlns:x15="http://schemas.microsoft.com/office/spreadsheetml/2010/11/main" uri="{DE250136-89BD-433C-8126-D09CA5730AF9}">
        <x15:connection id="Tableau1">
          <x15:rangePr sourceName="_xlcn.WorksheetConnection_ModificationRB.xlsxTableau1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29">
    <bk>
      <extLst>
        <ext uri="{3e2802c4-a4d2-4d8b-9148-e3be6c30e623}">
          <xlrd:rvb i="0"/>
        </ext>
      </extLst>
    </bk>
    <bk>
      <extLst>
        <ext uri="{3e2802c4-a4d2-4d8b-9148-e3be6c30e623}">
          <xlrd:rvb i="1"/>
        </ext>
      </extLst>
    </bk>
    <bk>
      <extLst>
        <ext uri="{3e2802c4-a4d2-4d8b-9148-e3be6c30e623}">
          <xlrd:rvb i="4"/>
        </ext>
      </extLst>
    </bk>
    <bk>
      <extLst>
        <ext uri="{3e2802c4-a4d2-4d8b-9148-e3be6c30e623}">
          <xlrd:rvb i="7"/>
        </ext>
      </extLst>
    </bk>
    <bk>
      <extLst>
        <ext uri="{3e2802c4-a4d2-4d8b-9148-e3be6c30e623}">
          <xlrd:rvb i="10"/>
        </ext>
      </extLst>
    </bk>
    <bk>
      <extLst>
        <ext uri="{3e2802c4-a4d2-4d8b-9148-e3be6c30e623}">
          <xlrd:rvb i="13"/>
        </ext>
      </extLst>
    </bk>
    <bk>
      <extLst>
        <ext uri="{3e2802c4-a4d2-4d8b-9148-e3be6c30e623}">
          <xlrd:rvb i="16"/>
        </ext>
      </extLst>
    </bk>
    <bk>
      <extLst>
        <ext uri="{3e2802c4-a4d2-4d8b-9148-e3be6c30e623}">
          <xlrd:rvb i="19"/>
        </ext>
      </extLst>
    </bk>
    <bk>
      <extLst>
        <ext uri="{3e2802c4-a4d2-4d8b-9148-e3be6c30e623}">
          <xlrd:rvb i="22"/>
        </ext>
      </extLst>
    </bk>
    <bk>
      <extLst>
        <ext uri="{3e2802c4-a4d2-4d8b-9148-e3be6c30e623}">
          <xlrd:rvb i="29"/>
        </ext>
      </extLst>
    </bk>
    <bk>
      <extLst>
        <ext uri="{3e2802c4-a4d2-4d8b-9148-e3be6c30e623}">
          <xlrd:rvb i="32"/>
        </ext>
      </extLst>
    </bk>
    <bk>
      <extLst>
        <ext uri="{3e2802c4-a4d2-4d8b-9148-e3be6c30e623}">
          <xlrd:rvb i="35"/>
        </ext>
      </extLst>
    </bk>
    <bk>
      <extLst>
        <ext uri="{3e2802c4-a4d2-4d8b-9148-e3be6c30e623}">
          <xlrd:rvb i="38"/>
        </ext>
      </extLst>
    </bk>
    <bk>
      <extLst>
        <ext uri="{3e2802c4-a4d2-4d8b-9148-e3be6c30e623}">
          <xlrd:rvb i="41"/>
        </ext>
      </extLst>
    </bk>
    <bk>
      <extLst>
        <ext uri="{3e2802c4-a4d2-4d8b-9148-e3be6c30e623}">
          <xlrd:rvb i="44"/>
        </ext>
      </extLst>
    </bk>
    <bk>
      <extLst>
        <ext uri="{3e2802c4-a4d2-4d8b-9148-e3be6c30e623}">
          <xlrd:rvb i="47"/>
        </ext>
      </extLst>
    </bk>
    <bk>
      <extLst>
        <ext uri="{3e2802c4-a4d2-4d8b-9148-e3be6c30e623}">
          <xlrd:rvb i="50"/>
        </ext>
      </extLst>
    </bk>
    <bk>
      <extLst>
        <ext uri="{3e2802c4-a4d2-4d8b-9148-e3be6c30e623}">
          <xlrd:rvb i="56"/>
        </ext>
      </extLst>
    </bk>
    <bk>
      <extLst>
        <ext uri="{3e2802c4-a4d2-4d8b-9148-e3be6c30e623}">
          <xlrd:rvb i="59"/>
        </ext>
      </extLst>
    </bk>
    <bk>
      <extLst>
        <ext uri="{3e2802c4-a4d2-4d8b-9148-e3be6c30e623}">
          <xlrd:rvb i="62"/>
        </ext>
      </extLst>
    </bk>
    <bk>
      <extLst>
        <ext uri="{3e2802c4-a4d2-4d8b-9148-e3be6c30e623}">
          <xlrd:rvb i="68"/>
        </ext>
      </extLst>
    </bk>
    <bk>
      <extLst>
        <ext uri="{3e2802c4-a4d2-4d8b-9148-e3be6c30e623}">
          <xlrd:rvb i="71"/>
        </ext>
      </extLst>
    </bk>
    <bk>
      <extLst>
        <ext uri="{3e2802c4-a4d2-4d8b-9148-e3be6c30e623}">
          <xlrd:rvb i="74"/>
        </ext>
      </extLst>
    </bk>
    <bk>
      <extLst>
        <ext uri="{3e2802c4-a4d2-4d8b-9148-e3be6c30e623}">
          <xlrd:rvb i="77"/>
        </ext>
      </extLst>
    </bk>
    <bk>
      <extLst>
        <ext uri="{3e2802c4-a4d2-4d8b-9148-e3be6c30e623}">
          <xlrd:rvb i="80"/>
        </ext>
      </extLst>
    </bk>
    <bk>
      <extLst>
        <ext uri="{3e2802c4-a4d2-4d8b-9148-e3be6c30e623}">
          <xlrd:rvb i="83"/>
        </ext>
      </extLst>
    </bk>
    <bk>
      <extLst>
        <ext uri="{3e2802c4-a4d2-4d8b-9148-e3be6c30e623}">
          <xlrd:rvb i="86"/>
        </ext>
      </extLst>
    </bk>
    <bk>
      <extLst>
        <ext uri="{3e2802c4-a4d2-4d8b-9148-e3be6c30e623}">
          <xlrd:rvb i="89"/>
        </ext>
      </extLst>
    </bk>
    <bk>
      <extLst>
        <ext uri="{3e2802c4-a4d2-4d8b-9148-e3be6c30e623}">
          <xlrd:rvb i="92"/>
        </ext>
      </extLst>
    </bk>
    <bk>
      <extLst>
        <ext uri="{3e2802c4-a4d2-4d8b-9148-e3be6c30e623}">
          <xlrd:rvb i="95"/>
        </ext>
      </extLst>
    </bk>
    <bk>
      <extLst>
        <ext uri="{3e2802c4-a4d2-4d8b-9148-e3be6c30e623}">
          <xlrd:rvb i="98"/>
        </ext>
      </extLst>
    </bk>
    <bk>
      <extLst>
        <ext uri="{3e2802c4-a4d2-4d8b-9148-e3be6c30e623}">
          <xlrd:rvb i="101"/>
        </ext>
      </extLst>
    </bk>
    <bk>
      <extLst>
        <ext uri="{3e2802c4-a4d2-4d8b-9148-e3be6c30e623}">
          <xlrd:rvb i="104"/>
        </ext>
      </extLst>
    </bk>
    <bk>
      <extLst>
        <ext uri="{3e2802c4-a4d2-4d8b-9148-e3be6c30e623}">
          <xlrd:rvb i="107"/>
        </ext>
      </extLst>
    </bk>
    <bk>
      <extLst>
        <ext uri="{3e2802c4-a4d2-4d8b-9148-e3be6c30e623}">
          <xlrd:rvb i="110"/>
        </ext>
      </extLst>
    </bk>
    <bk>
      <extLst>
        <ext uri="{3e2802c4-a4d2-4d8b-9148-e3be6c30e623}">
          <xlrd:rvb i="113"/>
        </ext>
      </extLst>
    </bk>
    <bk>
      <extLst>
        <ext uri="{3e2802c4-a4d2-4d8b-9148-e3be6c30e623}">
          <xlrd:rvb i="116"/>
        </ext>
      </extLst>
    </bk>
    <bk>
      <extLst>
        <ext uri="{3e2802c4-a4d2-4d8b-9148-e3be6c30e623}">
          <xlrd:rvb i="119"/>
        </ext>
      </extLst>
    </bk>
    <bk>
      <extLst>
        <ext uri="{3e2802c4-a4d2-4d8b-9148-e3be6c30e623}">
          <xlrd:rvb i="122"/>
        </ext>
      </extLst>
    </bk>
    <bk>
      <extLst>
        <ext uri="{3e2802c4-a4d2-4d8b-9148-e3be6c30e623}">
          <xlrd:rvb i="125"/>
        </ext>
      </extLst>
    </bk>
    <bk>
      <extLst>
        <ext uri="{3e2802c4-a4d2-4d8b-9148-e3be6c30e623}">
          <xlrd:rvb i="128"/>
        </ext>
      </extLst>
    </bk>
    <bk>
      <extLst>
        <ext uri="{3e2802c4-a4d2-4d8b-9148-e3be6c30e623}">
          <xlrd:rvb i="131"/>
        </ext>
      </extLst>
    </bk>
    <bk>
      <extLst>
        <ext uri="{3e2802c4-a4d2-4d8b-9148-e3be6c30e623}">
          <xlrd:rvb i="134"/>
        </ext>
      </extLst>
    </bk>
    <bk>
      <extLst>
        <ext uri="{3e2802c4-a4d2-4d8b-9148-e3be6c30e623}">
          <xlrd:rvb i="137"/>
        </ext>
      </extLst>
    </bk>
    <bk>
      <extLst>
        <ext uri="{3e2802c4-a4d2-4d8b-9148-e3be6c30e623}">
          <xlrd:rvb i="140"/>
        </ext>
      </extLst>
    </bk>
    <bk>
      <extLst>
        <ext uri="{3e2802c4-a4d2-4d8b-9148-e3be6c30e623}">
          <xlrd:rvb i="146"/>
        </ext>
      </extLst>
    </bk>
    <bk>
      <extLst>
        <ext uri="{3e2802c4-a4d2-4d8b-9148-e3be6c30e623}">
          <xlrd:rvb i="149"/>
        </ext>
      </extLst>
    </bk>
    <bk>
      <extLst>
        <ext uri="{3e2802c4-a4d2-4d8b-9148-e3be6c30e623}">
          <xlrd:rvb i="152"/>
        </ext>
      </extLst>
    </bk>
    <bk>
      <extLst>
        <ext uri="{3e2802c4-a4d2-4d8b-9148-e3be6c30e623}">
          <xlrd:rvb i="155"/>
        </ext>
      </extLst>
    </bk>
    <bk>
      <extLst>
        <ext uri="{3e2802c4-a4d2-4d8b-9148-e3be6c30e623}">
          <xlrd:rvb i="158"/>
        </ext>
      </extLst>
    </bk>
    <bk>
      <extLst>
        <ext uri="{3e2802c4-a4d2-4d8b-9148-e3be6c30e623}">
          <xlrd:rvb i="161"/>
        </ext>
      </extLst>
    </bk>
    <bk>
      <extLst>
        <ext uri="{3e2802c4-a4d2-4d8b-9148-e3be6c30e623}">
          <xlrd:rvb i="164"/>
        </ext>
      </extLst>
    </bk>
    <bk>
      <extLst>
        <ext uri="{3e2802c4-a4d2-4d8b-9148-e3be6c30e623}">
          <xlrd:rvb i="167"/>
        </ext>
      </extLst>
    </bk>
    <bk>
      <extLst>
        <ext uri="{3e2802c4-a4d2-4d8b-9148-e3be6c30e623}">
          <xlrd:rvb i="170"/>
        </ext>
      </extLst>
    </bk>
    <bk>
      <extLst>
        <ext uri="{3e2802c4-a4d2-4d8b-9148-e3be6c30e623}">
          <xlrd:rvb i="173"/>
        </ext>
      </extLst>
    </bk>
    <bk>
      <extLst>
        <ext uri="{3e2802c4-a4d2-4d8b-9148-e3be6c30e623}">
          <xlrd:rvb i="176"/>
        </ext>
      </extLst>
    </bk>
    <bk>
      <extLst>
        <ext uri="{3e2802c4-a4d2-4d8b-9148-e3be6c30e623}">
          <xlrd:rvb i="179"/>
        </ext>
      </extLst>
    </bk>
    <bk>
      <extLst>
        <ext uri="{3e2802c4-a4d2-4d8b-9148-e3be6c30e623}">
          <xlrd:rvb i="182"/>
        </ext>
      </extLst>
    </bk>
    <bk>
      <extLst>
        <ext uri="{3e2802c4-a4d2-4d8b-9148-e3be6c30e623}">
          <xlrd:rvb i="185"/>
        </ext>
      </extLst>
    </bk>
    <bk>
      <extLst>
        <ext uri="{3e2802c4-a4d2-4d8b-9148-e3be6c30e623}">
          <xlrd:rvb i="188"/>
        </ext>
      </extLst>
    </bk>
    <bk>
      <extLst>
        <ext uri="{3e2802c4-a4d2-4d8b-9148-e3be6c30e623}">
          <xlrd:rvb i="191"/>
        </ext>
      </extLst>
    </bk>
    <bk>
      <extLst>
        <ext uri="{3e2802c4-a4d2-4d8b-9148-e3be6c30e623}">
          <xlrd:rvb i="194"/>
        </ext>
      </extLst>
    </bk>
    <bk>
      <extLst>
        <ext uri="{3e2802c4-a4d2-4d8b-9148-e3be6c30e623}">
          <xlrd:rvb i="197"/>
        </ext>
      </extLst>
    </bk>
    <bk>
      <extLst>
        <ext uri="{3e2802c4-a4d2-4d8b-9148-e3be6c30e623}">
          <xlrd:rvb i="200"/>
        </ext>
      </extLst>
    </bk>
    <bk>
      <extLst>
        <ext uri="{3e2802c4-a4d2-4d8b-9148-e3be6c30e623}">
          <xlrd:rvb i="203"/>
        </ext>
      </extLst>
    </bk>
    <bk>
      <extLst>
        <ext uri="{3e2802c4-a4d2-4d8b-9148-e3be6c30e623}">
          <xlrd:rvb i="206"/>
        </ext>
      </extLst>
    </bk>
    <bk>
      <extLst>
        <ext uri="{3e2802c4-a4d2-4d8b-9148-e3be6c30e623}">
          <xlrd:rvb i="209"/>
        </ext>
      </extLst>
    </bk>
    <bk>
      <extLst>
        <ext uri="{3e2802c4-a4d2-4d8b-9148-e3be6c30e623}">
          <xlrd:rvb i="212"/>
        </ext>
      </extLst>
    </bk>
    <bk>
      <extLst>
        <ext uri="{3e2802c4-a4d2-4d8b-9148-e3be6c30e623}">
          <xlrd:rvb i="215"/>
        </ext>
      </extLst>
    </bk>
    <bk>
      <extLst>
        <ext uri="{3e2802c4-a4d2-4d8b-9148-e3be6c30e623}">
          <xlrd:rvb i="218"/>
        </ext>
      </extLst>
    </bk>
    <bk>
      <extLst>
        <ext uri="{3e2802c4-a4d2-4d8b-9148-e3be6c30e623}">
          <xlrd:rvb i="221"/>
        </ext>
      </extLst>
    </bk>
    <bk>
      <extLst>
        <ext uri="{3e2802c4-a4d2-4d8b-9148-e3be6c30e623}">
          <xlrd:rvb i="224"/>
        </ext>
      </extLst>
    </bk>
    <bk>
      <extLst>
        <ext uri="{3e2802c4-a4d2-4d8b-9148-e3be6c30e623}">
          <xlrd:rvb i="227"/>
        </ext>
      </extLst>
    </bk>
    <bk>
      <extLst>
        <ext uri="{3e2802c4-a4d2-4d8b-9148-e3be6c30e623}">
          <xlrd:rvb i="230"/>
        </ext>
      </extLst>
    </bk>
    <bk>
      <extLst>
        <ext uri="{3e2802c4-a4d2-4d8b-9148-e3be6c30e623}">
          <xlrd:rvb i="233"/>
        </ext>
      </extLst>
    </bk>
    <bk>
      <extLst>
        <ext uri="{3e2802c4-a4d2-4d8b-9148-e3be6c30e623}">
          <xlrd:rvb i="236"/>
        </ext>
      </extLst>
    </bk>
    <bk>
      <extLst>
        <ext uri="{3e2802c4-a4d2-4d8b-9148-e3be6c30e623}">
          <xlrd:rvb i="239"/>
        </ext>
      </extLst>
    </bk>
    <bk>
      <extLst>
        <ext uri="{3e2802c4-a4d2-4d8b-9148-e3be6c30e623}">
          <xlrd:rvb i="242"/>
        </ext>
      </extLst>
    </bk>
    <bk>
      <extLst>
        <ext uri="{3e2802c4-a4d2-4d8b-9148-e3be6c30e623}">
          <xlrd:rvb i="245"/>
        </ext>
      </extLst>
    </bk>
    <bk>
      <extLst>
        <ext uri="{3e2802c4-a4d2-4d8b-9148-e3be6c30e623}">
          <xlrd:rvb i="248"/>
        </ext>
      </extLst>
    </bk>
    <bk>
      <extLst>
        <ext uri="{3e2802c4-a4d2-4d8b-9148-e3be6c30e623}">
          <xlrd:rvb i="251"/>
        </ext>
      </extLst>
    </bk>
    <bk>
      <extLst>
        <ext uri="{3e2802c4-a4d2-4d8b-9148-e3be6c30e623}">
          <xlrd:rvb i="254"/>
        </ext>
      </extLst>
    </bk>
    <bk>
      <extLst>
        <ext uri="{3e2802c4-a4d2-4d8b-9148-e3be6c30e623}">
          <xlrd:rvb i="257"/>
        </ext>
      </extLst>
    </bk>
    <bk>
      <extLst>
        <ext uri="{3e2802c4-a4d2-4d8b-9148-e3be6c30e623}">
          <xlrd:rvb i="260"/>
        </ext>
      </extLst>
    </bk>
    <bk>
      <extLst>
        <ext uri="{3e2802c4-a4d2-4d8b-9148-e3be6c30e623}">
          <xlrd:rvb i="263"/>
        </ext>
      </extLst>
    </bk>
    <bk>
      <extLst>
        <ext uri="{3e2802c4-a4d2-4d8b-9148-e3be6c30e623}">
          <xlrd:rvb i="266"/>
        </ext>
      </extLst>
    </bk>
    <bk>
      <extLst>
        <ext uri="{3e2802c4-a4d2-4d8b-9148-e3be6c30e623}">
          <xlrd:rvb i="269"/>
        </ext>
      </extLst>
    </bk>
    <bk>
      <extLst>
        <ext uri="{3e2802c4-a4d2-4d8b-9148-e3be6c30e623}">
          <xlrd:rvb i="272"/>
        </ext>
      </extLst>
    </bk>
    <bk>
      <extLst>
        <ext uri="{3e2802c4-a4d2-4d8b-9148-e3be6c30e623}">
          <xlrd:rvb i="275"/>
        </ext>
      </extLst>
    </bk>
    <bk>
      <extLst>
        <ext uri="{3e2802c4-a4d2-4d8b-9148-e3be6c30e623}">
          <xlrd:rvb i="278"/>
        </ext>
      </extLst>
    </bk>
    <bk>
      <extLst>
        <ext uri="{3e2802c4-a4d2-4d8b-9148-e3be6c30e623}">
          <xlrd:rvb i="281"/>
        </ext>
      </extLst>
    </bk>
    <bk>
      <extLst>
        <ext uri="{3e2802c4-a4d2-4d8b-9148-e3be6c30e623}">
          <xlrd:rvb i="284"/>
        </ext>
      </extLst>
    </bk>
    <bk>
      <extLst>
        <ext uri="{3e2802c4-a4d2-4d8b-9148-e3be6c30e623}">
          <xlrd:rvb i="287"/>
        </ext>
      </extLst>
    </bk>
    <bk>
      <extLst>
        <ext uri="{3e2802c4-a4d2-4d8b-9148-e3be6c30e623}">
          <xlrd:rvb i="290"/>
        </ext>
      </extLst>
    </bk>
    <bk>
      <extLst>
        <ext uri="{3e2802c4-a4d2-4d8b-9148-e3be6c30e623}">
          <xlrd:rvb i="293"/>
        </ext>
      </extLst>
    </bk>
    <bk>
      <extLst>
        <ext uri="{3e2802c4-a4d2-4d8b-9148-e3be6c30e623}">
          <xlrd:rvb i="296"/>
        </ext>
      </extLst>
    </bk>
    <bk>
      <extLst>
        <ext uri="{3e2802c4-a4d2-4d8b-9148-e3be6c30e623}">
          <xlrd:rvb i="299"/>
        </ext>
      </extLst>
    </bk>
    <bk>
      <extLst>
        <ext uri="{3e2802c4-a4d2-4d8b-9148-e3be6c30e623}">
          <xlrd:rvb i="302"/>
        </ext>
      </extLst>
    </bk>
    <bk>
      <extLst>
        <ext uri="{3e2802c4-a4d2-4d8b-9148-e3be6c30e623}">
          <xlrd:rvb i="305"/>
        </ext>
      </extLst>
    </bk>
    <bk>
      <extLst>
        <ext uri="{3e2802c4-a4d2-4d8b-9148-e3be6c30e623}">
          <xlrd:rvb i="308"/>
        </ext>
      </extLst>
    </bk>
    <bk>
      <extLst>
        <ext uri="{3e2802c4-a4d2-4d8b-9148-e3be6c30e623}">
          <xlrd:rvb i="311"/>
        </ext>
      </extLst>
    </bk>
    <bk>
      <extLst>
        <ext uri="{3e2802c4-a4d2-4d8b-9148-e3be6c30e623}">
          <xlrd:rvb i="314"/>
        </ext>
      </extLst>
    </bk>
    <bk>
      <extLst>
        <ext uri="{3e2802c4-a4d2-4d8b-9148-e3be6c30e623}">
          <xlrd:rvb i="317"/>
        </ext>
      </extLst>
    </bk>
    <bk>
      <extLst>
        <ext uri="{3e2802c4-a4d2-4d8b-9148-e3be6c30e623}">
          <xlrd:rvb i="320"/>
        </ext>
      </extLst>
    </bk>
    <bk>
      <extLst>
        <ext uri="{3e2802c4-a4d2-4d8b-9148-e3be6c30e623}">
          <xlrd:rvb i="323"/>
        </ext>
      </extLst>
    </bk>
    <bk>
      <extLst>
        <ext uri="{3e2802c4-a4d2-4d8b-9148-e3be6c30e623}">
          <xlrd:rvb i="326"/>
        </ext>
      </extLst>
    </bk>
    <bk>
      <extLst>
        <ext uri="{3e2802c4-a4d2-4d8b-9148-e3be6c30e623}">
          <xlrd:rvb i="329"/>
        </ext>
      </extLst>
    </bk>
    <bk>
      <extLst>
        <ext uri="{3e2802c4-a4d2-4d8b-9148-e3be6c30e623}">
          <xlrd:rvb i="332"/>
        </ext>
      </extLst>
    </bk>
    <bk>
      <extLst>
        <ext uri="{3e2802c4-a4d2-4d8b-9148-e3be6c30e623}">
          <xlrd:rvb i="335"/>
        </ext>
      </extLst>
    </bk>
    <bk>
      <extLst>
        <ext uri="{3e2802c4-a4d2-4d8b-9148-e3be6c30e623}">
          <xlrd:rvb i="338"/>
        </ext>
      </extLst>
    </bk>
    <bk>
      <extLst>
        <ext uri="{3e2802c4-a4d2-4d8b-9148-e3be6c30e623}">
          <xlrd:rvb i="341"/>
        </ext>
      </extLst>
    </bk>
    <bk>
      <extLst>
        <ext uri="{3e2802c4-a4d2-4d8b-9148-e3be6c30e623}">
          <xlrd:rvb i="344"/>
        </ext>
      </extLst>
    </bk>
    <bk>
      <extLst>
        <ext uri="{3e2802c4-a4d2-4d8b-9148-e3be6c30e623}">
          <xlrd:rvb i="347"/>
        </ext>
      </extLst>
    </bk>
    <bk>
      <extLst>
        <ext uri="{3e2802c4-a4d2-4d8b-9148-e3be6c30e623}">
          <xlrd:rvb i="350"/>
        </ext>
      </extLst>
    </bk>
    <bk>
      <extLst>
        <ext uri="{3e2802c4-a4d2-4d8b-9148-e3be6c30e623}">
          <xlrd:rvb i="353"/>
        </ext>
      </extLst>
    </bk>
    <bk>
      <extLst>
        <ext uri="{3e2802c4-a4d2-4d8b-9148-e3be6c30e623}">
          <xlrd:rvb i="356"/>
        </ext>
      </extLst>
    </bk>
    <bk>
      <extLst>
        <ext uri="{3e2802c4-a4d2-4d8b-9148-e3be6c30e623}">
          <xlrd:rvb i="359"/>
        </ext>
      </extLst>
    </bk>
    <bk>
      <extLst>
        <ext uri="{3e2802c4-a4d2-4d8b-9148-e3be6c30e623}">
          <xlrd:rvb i="362"/>
        </ext>
      </extLst>
    </bk>
    <bk>
      <extLst>
        <ext uri="{3e2802c4-a4d2-4d8b-9148-e3be6c30e623}">
          <xlrd:rvb i="365"/>
        </ext>
      </extLst>
    </bk>
    <bk>
      <extLst>
        <ext uri="{3e2802c4-a4d2-4d8b-9148-e3be6c30e623}">
          <xlrd:rvb i="368"/>
        </ext>
      </extLst>
    </bk>
    <bk>
      <extLst>
        <ext uri="{3e2802c4-a4d2-4d8b-9148-e3be6c30e623}">
          <xlrd:rvb i="371"/>
        </ext>
      </extLst>
    </bk>
    <bk>
      <extLst>
        <ext uri="{3e2802c4-a4d2-4d8b-9148-e3be6c30e623}">
          <xlrd:rvb i="374"/>
        </ext>
      </extLst>
    </bk>
    <bk>
      <extLst>
        <ext uri="{3e2802c4-a4d2-4d8b-9148-e3be6c30e623}">
          <xlrd:rvb i="377"/>
        </ext>
      </extLst>
    </bk>
    <bk>
      <extLst>
        <ext uri="{3e2802c4-a4d2-4d8b-9148-e3be6c30e623}">
          <xlrd:rvb i="380"/>
        </ext>
      </extLst>
    </bk>
    <bk>
      <extLst>
        <ext uri="{3e2802c4-a4d2-4d8b-9148-e3be6c30e623}">
          <xlrd:rvb i="383"/>
        </ext>
      </extLst>
    </bk>
    <bk>
      <extLst>
        <ext uri="{3e2802c4-a4d2-4d8b-9148-e3be6c30e623}">
          <xlrd:rvb i="386"/>
        </ext>
      </extLst>
    </bk>
    <bk>
      <extLst>
        <ext uri="{3e2802c4-a4d2-4d8b-9148-e3be6c30e623}">
          <xlrd:rvb i="389"/>
        </ext>
      </extLst>
    </bk>
    <bk>
      <extLst>
        <ext uri="{3e2802c4-a4d2-4d8b-9148-e3be6c30e623}">
          <xlrd:rvb i="392"/>
        </ext>
      </extLst>
    </bk>
    <bk>
      <extLst>
        <ext uri="{3e2802c4-a4d2-4d8b-9148-e3be6c30e623}">
          <xlrd:rvb i="395"/>
        </ext>
      </extLst>
    </bk>
    <bk>
      <extLst>
        <ext uri="{3e2802c4-a4d2-4d8b-9148-e3be6c30e623}">
          <xlrd:rvb i="398"/>
        </ext>
      </extLst>
    </bk>
    <bk>
      <extLst>
        <ext uri="{3e2802c4-a4d2-4d8b-9148-e3be6c30e623}">
          <xlrd:rvb i="401"/>
        </ext>
      </extLst>
    </bk>
    <bk>
      <extLst>
        <ext uri="{3e2802c4-a4d2-4d8b-9148-e3be6c30e623}">
          <xlrd:rvb i="403"/>
        </ext>
      </extLst>
    </bk>
    <bk>
      <extLst>
        <ext uri="{3e2802c4-a4d2-4d8b-9148-e3be6c30e623}">
          <xlrd:rvb i="406"/>
        </ext>
      </extLst>
    </bk>
    <bk>
      <extLst>
        <ext uri="{3e2802c4-a4d2-4d8b-9148-e3be6c30e623}">
          <xlrd:rvb i="409"/>
        </ext>
      </extLst>
    </bk>
    <bk>
      <extLst>
        <ext uri="{3e2802c4-a4d2-4d8b-9148-e3be6c30e623}">
          <xlrd:rvb i="412"/>
        </ext>
      </extLst>
    </bk>
    <bk>
      <extLst>
        <ext uri="{3e2802c4-a4d2-4d8b-9148-e3be6c30e623}">
          <xlrd:rvb i="415"/>
        </ext>
      </extLst>
    </bk>
    <bk>
      <extLst>
        <ext uri="{3e2802c4-a4d2-4d8b-9148-e3be6c30e623}">
          <xlrd:rvb i="418"/>
        </ext>
      </extLst>
    </bk>
    <bk>
      <extLst>
        <ext uri="{3e2802c4-a4d2-4d8b-9148-e3be6c30e623}">
          <xlrd:rvb i="421"/>
        </ext>
      </extLst>
    </bk>
    <bk>
      <extLst>
        <ext uri="{3e2802c4-a4d2-4d8b-9148-e3be6c30e623}">
          <xlrd:rvb i="424"/>
        </ext>
      </extLst>
    </bk>
    <bk>
      <extLst>
        <ext uri="{3e2802c4-a4d2-4d8b-9148-e3be6c30e623}">
          <xlrd:rvb i="427"/>
        </ext>
      </extLst>
    </bk>
    <bk>
      <extLst>
        <ext uri="{3e2802c4-a4d2-4d8b-9148-e3be6c30e623}">
          <xlrd:rvb i="430"/>
        </ext>
      </extLst>
    </bk>
    <bk>
      <extLst>
        <ext uri="{3e2802c4-a4d2-4d8b-9148-e3be6c30e623}">
          <xlrd:rvb i="433"/>
        </ext>
      </extLst>
    </bk>
    <bk>
      <extLst>
        <ext uri="{3e2802c4-a4d2-4d8b-9148-e3be6c30e623}">
          <xlrd:rvb i="436"/>
        </ext>
      </extLst>
    </bk>
    <bk>
      <extLst>
        <ext uri="{3e2802c4-a4d2-4d8b-9148-e3be6c30e623}">
          <xlrd:rvb i="439"/>
        </ext>
      </extLst>
    </bk>
    <bk>
      <extLst>
        <ext uri="{3e2802c4-a4d2-4d8b-9148-e3be6c30e623}">
          <xlrd:rvb i="442"/>
        </ext>
      </extLst>
    </bk>
    <bk>
      <extLst>
        <ext uri="{3e2802c4-a4d2-4d8b-9148-e3be6c30e623}">
          <xlrd:rvb i="445"/>
        </ext>
      </extLst>
    </bk>
    <bk>
      <extLst>
        <ext uri="{3e2802c4-a4d2-4d8b-9148-e3be6c30e623}">
          <xlrd:rvb i="448"/>
        </ext>
      </extLst>
    </bk>
    <bk>
      <extLst>
        <ext uri="{3e2802c4-a4d2-4d8b-9148-e3be6c30e623}">
          <xlrd:rvb i="451"/>
        </ext>
      </extLst>
    </bk>
    <bk>
      <extLst>
        <ext uri="{3e2802c4-a4d2-4d8b-9148-e3be6c30e623}">
          <xlrd:rvb i="454"/>
        </ext>
      </extLst>
    </bk>
    <bk>
      <extLst>
        <ext uri="{3e2802c4-a4d2-4d8b-9148-e3be6c30e623}">
          <xlrd:rvb i="457"/>
        </ext>
      </extLst>
    </bk>
    <bk>
      <extLst>
        <ext uri="{3e2802c4-a4d2-4d8b-9148-e3be6c30e623}">
          <xlrd:rvb i="460"/>
        </ext>
      </extLst>
    </bk>
    <bk>
      <extLst>
        <ext uri="{3e2802c4-a4d2-4d8b-9148-e3be6c30e623}">
          <xlrd:rvb i="463"/>
        </ext>
      </extLst>
    </bk>
    <bk>
      <extLst>
        <ext uri="{3e2802c4-a4d2-4d8b-9148-e3be6c30e623}">
          <xlrd:rvb i="466"/>
        </ext>
      </extLst>
    </bk>
    <bk>
      <extLst>
        <ext uri="{3e2802c4-a4d2-4d8b-9148-e3be6c30e623}">
          <xlrd:rvb i="469"/>
        </ext>
      </extLst>
    </bk>
    <bk>
      <extLst>
        <ext uri="{3e2802c4-a4d2-4d8b-9148-e3be6c30e623}">
          <xlrd:rvb i="472"/>
        </ext>
      </extLst>
    </bk>
    <bk>
      <extLst>
        <ext uri="{3e2802c4-a4d2-4d8b-9148-e3be6c30e623}">
          <xlrd:rvb i="475"/>
        </ext>
      </extLst>
    </bk>
    <bk>
      <extLst>
        <ext uri="{3e2802c4-a4d2-4d8b-9148-e3be6c30e623}">
          <xlrd:rvb i="481"/>
        </ext>
      </extLst>
    </bk>
    <bk>
      <extLst>
        <ext uri="{3e2802c4-a4d2-4d8b-9148-e3be6c30e623}">
          <xlrd:rvb i="484"/>
        </ext>
      </extLst>
    </bk>
    <bk>
      <extLst>
        <ext uri="{3e2802c4-a4d2-4d8b-9148-e3be6c30e623}">
          <xlrd:rvb i="487"/>
        </ext>
      </extLst>
    </bk>
    <bk>
      <extLst>
        <ext uri="{3e2802c4-a4d2-4d8b-9148-e3be6c30e623}">
          <xlrd:rvb i="490"/>
        </ext>
      </extLst>
    </bk>
    <bk>
      <extLst>
        <ext uri="{3e2802c4-a4d2-4d8b-9148-e3be6c30e623}">
          <xlrd:rvb i="493"/>
        </ext>
      </extLst>
    </bk>
    <bk>
      <extLst>
        <ext uri="{3e2802c4-a4d2-4d8b-9148-e3be6c30e623}">
          <xlrd:rvb i="496"/>
        </ext>
      </extLst>
    </bk>
    <bk>
      <extLst>
        <ext uri="{3e2802c4-a4d2-4d8b-9148-e3be6c30e623}">
          <xlrd:rvb i="499"/>
        </ext>
      </extLst>
    </bk>
    <bk>
      <extLst>
        <ext uri="{3e2802c4-a4d2-4d8b-9148-e3be6c30e623}">
          <xlrd:rvb i="502"/>
        </ext>
      </extLst>
    </bk>
    <bk>
      <extLst>
        <ext uri="{3e2802c4-a4d2-4d8b-9148-e3be6c30e623}">
          <xlrd:rvb i="505"/>
        </ext>
      </extLst>
    </bk>
    <bk>
      <extLst>
        <ext uri="{3e2802c4-a4d2-4d8b-9148-e3be6c30e623}">
          <xlrd:rvb i="508"/>
        </ext>
      </extLst>
    </bk>
    <bk>
      <extLst>
        <ext uri="{3e2802c4-a4d2-4d8b-9148-e3be6c30e623}">
          <xlrd:rvb i="511"/>
        </ext>
      </extLst>
    </bk>
    <bk>
      <extLst>
        <ext uri="{3e2802c4-a4d2-4d8b-9148-e3be6c30e623}">
          <xlrd:rvb i="514"/>
        </ext>
      </extLst>
    </bk>
    <bk>
      <extLst>
        <ext uri="{3e2802c4-a4d2-4d8b-9148-e3be6c30e623}">
          <xlrd:rvb i="517"/>
        </ext>
      </extLst>
    </bk>
    <bk>
      <extLst>
        <ext uri="{3e2802c4-a4d2-4d8b-9148-e3be6c30e623}">
          <xlrd:rvb i="520"/>
        </ext>
      </extLst>
    </bk>
    <bk>
      <extLst>
        <ext uri="{3e2802c4-a4d2-4d8b-9148-e3be6c30e623}">
          <xlrd:rvb i="523"/>
        </ext>
      </extLst>
    </bk>
    <bk>
      <extLst>
        <ext uri="{3e2802c4-a4d2-4d8b-9148-e3be6c30e623}">
          <xlrd:rvb i="526"/>
        </ext>
      </extLst>
    </bk>
    <bk>
      <extLst>
        <ext uri="{3e2802c4-a4d2-4d8b-9148-e3be6c30e623}">
          <xlrd:rvb i="529"/>
        </ext>
      </extLst>
    </bk>
    <bk>
      <extLst>
        <ext uri="{3e2802c4-a4d2-4d8b-9148-e3be6c30e623}">
          <xlrd:rvb i="532"/>
        </ext>
      </extLst>
    </bk>
    <bk>
      <extLst>
        <ext uri="{3e2802c4-a4d2-4d8b-9148-e3be6c30e623}">
          <xlrd:rvb i="535"/>
        </ext>
      </extLst>
    </bk>
    <bk>
      <extLst>
        <ext uri="{3e2802c4-a4d2-4d8b-9148-e3be6c30e623}">
          <xlrd:rvb i="538"/>
        </ext>
      </extLst>
    </bk>
    <bk>
      <extLst>
        <ext uri="{3e2802c4-a4d2-4d8b-9148-e3be6c30e623}">
          <xlrd:rvb i="544"/>
        </ext>
      </extLst>
    </bk>
    <bk>
      <extLst>
        <ext uri="{3e2802c4-a4d2-4d8b-9148-e3be6c30e623}">
          <xlrd:rvb i="547"/>
        </ext>
      </extLst>
    </bk>
    <bk>
      <extLst>
        <ext uri="{3e2802c4-a4d2-4d8b-9148-e3be6c30e623}">
          <xlrd:rvb i="550"/>
        </ext>
      </extLst>
    </bk>
    <bk>
      <extLst>
        <ext uri="{3e2802c4-a4d2-4d8b-9148-e3be6c30e623}">
          <xlrd:rvb i="553"/>
        </ext>
      </extLst>
    </bk>
    <bk>
      <extLst>
        <ext uri="{3e2802c4-a4d2-4d8b-9148-e3be6c30e623}">
          <xlrd:rvb i="556"/>
        </ext>
      </extLst>
    </bk>
    <bk>
      <extLst>
        <ext uri="{3e2802c4-a4d2-4d8b-9148-e3be6c30e623}">
          <xlrd:rvb i="559"/>
        </ext>
      </extLst>
    </bk>
    <bk>
      <extLst>
        <ext uri="{3e2802c4-a4d2-4d8b-9148-e3be6c30e623}">
          <xlrd:rvb i="562"/>
        </ext>
      </extLst>
    </bk>
    <bk>
      <extLst>
        <ext uri="{3e2802c4-a4d2-4d8b-9148-e3be6c30e623}">
          <xlrd:rvb i="565"/>
        </ext>
      </extLst>
    </bk>
    <bk>
      <extLst>
        <ext uri="{3e2802c4-a4d2-4d8b-9148-e3be6c30e623}">
          <xlrd:rvb i="568"/>
        </ext>
      </extLst>
    </bk>
    <bk>
      <extLst>
        <ext uri="{3e2802c4-a4d2-4d8b-9148-e3be6c30e623}">
          <xlrd:rvb i="574"/>
        </ext>
      </extLst>
    </bk>
    <bk>
      <extLst>
        <ext uri="{3e2802c4-a4d2-4d8b-9148-e3be6c30e623}">
          <xlrd:rvb i="577"/>
        </ext>
      </extLst>
    </bk>
    <bk>
      <extLst>
        <ext uri="{3e2802c4-a4d2-4d8b-9148-e3be6c30e623}">
          <xlrd:rvb i="580"/>
        </ext>
      </extLst>
    </bk>
    <bk>
      <extLst>
        <ext uri="{3e2802c4-a4d2-4d8b-9148-e3be6c30e623}">
          <xlrd:rvb i="583"/>
        </ext>
      </extLst>
    </bk>
    <bk>
      <extLst>
        <ext uri="{3e2802c4-a4d2-4d8b-9148-e3be6c30e623}">
          <xlrd:rvb i="586"/>
        </ext>
      </extLst>
    </bk>
    <bk>
      <extLst>
        <ext uri="{3e2802c4-a4d2-4d8b-9148-e3be6c30e623}">
          <xlrd:rvb i="589"/>
        </ext>
      </extLst>
    </bk>
    <bk>
      <extLst>
        <ext uri="{3e2802c4-a4d2-4d8b-9148-e3be6c30e623}">
          <xlrd:rvb i="592"/>
        </ext>
      </extLst>
    </bk>
    <bk>
      <extLst>
        <ext uri="{3e2802c4-a4d2-4d8b-9148-e3be6c30e623}">
          <xlrd:rvb i="598"/>
        </ext>
      </extLst>
    </bk>
    <bk>
      <extLst>
        <ext uri="{3e2802c4-a4d2-4d8b-9148-e3be6c30e623}">
          <xlrd:rvb i="601"/>
        </ext>
      </extLst>
    </bk>
    <bk>
      <extLst>
        <ext uri="{3e2802c4-a4d2-4d8b-9148-e3be6c30e623}">
          <xlrd:rvb i="604"/>
        </ext>
      </extLst>
    </bk>
    <bk>
      <extLst>
        <ext uri="{3e2802c4-a4d2-4d8b-9148-e3be6c30e623}">
          <xlrd:rvb i="607"/>
        </ext>
      </extLst>
    </bk>
    <bk>
      <extLst>
        <ext uri="{3e2802c4-a4d2-4d8b-9148-e3be6c30e623}">
          <xlrd:rvb i="613"/>
        </ext>
      </extLst>
    </bk>
    <bk>
      <extLst>
        <ext uri="{3e2802c4-a4d2-4d8b-9148-e3be6c30e623}">
          <xlrd:rvb i="616"/>
        </ext>
      </extLst>
    </bk>
    <bk>
      <extLst>
        <ext uri="{3e2802c4-a4d2-4d8b-9148-e3be6c30e623}">
          <xlrd:rvb i="619"/>
        </ext>
      </extLst>
    </bk>
    <bk>
      <extLst>
        <ext uri="{3e2802c4-a4d2-4d8b-9148-e3be6c30e623}">
          <xlrd:rvb i="622"/>
        </ext>
      </extLst>
    </bk>
    <bk>
      <extLst>
        <ext uri="{3e2802c4-a4d2-4d8b-9148-e3be6c30e623}">
          <xlrd:rvb i="625"/>
        </ext>
      </extLst>
    </bk>
    <bk>
      <extLst>
        <ext uri="{3e2802c4-a4d2-4d8b-9148-e3be6c30e623}">
          <xlrd:rvb i="628"/>
        </ext>
      </extLst>
    </bk>
    <bk>
      <extLst>
        <ext uri="{3e2802c4-a4d2-4d8b-9148-e3be6c30e623}">
          <xlrd:rvb i="631"/>
        </ext>
      </extLst>
    </bk>
    <bk>
      <extLst>
        <ext uri="{3e2802c4-a4d2-4d8b-9148-e3be6c30e623}">
          <xlrd:rvb i="634"/>
        </ext>
      </extLst>
    </bk>
    <bk>
      <extLst>
        <ext uri="{3e2802c4-a4d2-4d8b-9148-e3be6c30e623}">
          <xlrd:rvb i="637"/>
        </ext>
      </extLst>
    </bk>
    <bk>
      <extLst>
        <ext uri="{3e2802c4-a4d2-4d8b-9148-e3be6c30e623}">
          <xlrd:rvb i="640"/>
        </ext>
      </extLst>
    </bk>
    <bk>
      <extLst>
        <ext uri="{3e2802c4-a4d2-4d8b-9148-e3be6c30e623}">
          <xlrd:rvb i="643"/>
        </ext>
      </extLst>
    </bk>
    <bk>
      <extLst>
        <ext uri="{3e2802c4-a4d2-4d8b-9148-e3be6c30e623}">
          <xlrd:rvb i="646"/>
        </ext>
      </extLst>
    </bk>
    <bk>
      <extLst>
        <ext uri="{3e2802c4-a4d2-4d8b-9148-e3be6c30e623}">
          <xlrd:rvb i="649"/>
        </ext>
      </extLst>
    </bk>
    <bk>
      <extLst>
        <ext uri="{3e2802c4-a4d2-4d8b-9148-e3be6c30e623}">
          <xlrd:rvb i="655"/>
        </ext>
      </extLst>
    </bk>
    <bk>
      <extLst>
        <ext uri="{3e2802c4-a4d2-4d8b-9148-e3be6c30e623}">
          <xlrd:rvb i="658"/>
        </ext>
      </extLst>
    </bk>
    <bk>
      <extLst>
        <ext uri="{3e2802c4-a4d2-4d8b-9148-e3be6c30e623}">
          <xlrd:rvb i="661"/>
        </ext>
      </extLst>
    </bk>
    <bk>
      <extLst>
        <ext uri="{3e2802c4-a4d2-4d8b-9148-e3be6c30e623}">
          <xlrd:rvb i="664"/>
        </ext>
      </extLst>
    </bk>
    <bk>
      <extLst>
        <ext uri="{3e2802c4-a4d2-4d8b-9148-e3be6c30e623}">
          <xlrd:rvb i="667"/>
        </ext>
      </extLst>
    </bk>
    <bk>
      <extLst>
        <ext uri="{3e2802c4-a4d2-4d8b-9148-e3be6c30e623}">
          <xlrd:rvb i="670"/>
        </ext>
      </extLst>
    </bk>
    <bk>
      <extLst>
        <ext uri="{3e2802c4-a4d2-4d8b-9148-e3be6c30e623}">
          <xlrd:rvb i="673"/>
        </ext>
      </extLst>
    </bk>
    <bk>
      <extLst>
        <ext uri="{3e2802c4-a4d2-4d8b-9148-e3be6c30e623}">
          <xlrd:rvb i="676"/>
        </ext>
      </extLst>
    </bk>
    <bk>
      <extLst>
        <ext uri="{3e2802c4-a4d2-4d8b-9148-e3be6c30e623}">
          <xlrd:rvb i="679"/>
        </ext>
      </extLst>
    </bk>
    <bk>
      <extLst>
        <ext uri="{3e2802c4-a4d2-4d8b-9148-e3be6c30e623}">
          <xlrd:rvb i="682"/>
        </ext>
      </extLst>
    </bk>
    <bk>
      <extLst>
        <ext uri="{3e2802c4-a4d2-4d8b-9148-e3be6c30e623}">
          <xlrd:rvb i="685"/>
        </ext>
      </extLst>
    </bk>
    <bk>
      <extLst>
        <ext uri="{3e2802c4-a4d2-4d8b-9148-e3be6c30e623}">
          <xlrd:rvb i="688"/>
        </ext>
      </extLst>
    </bk>
    <bk>
      <extLst>
        <ext uri="{3e2802c4-a4d2-4d8b-9148-e3be6c30e623}">
          <xlrd:rvb i="691"/>
        </ext>
      </extLst>
    </bk>
    <bk>
      <extLst>
        <ext uri="{3e2802c4-a4d2-4d8b-9148-e3be6c30e623}">
          <xlrd:rvb i="694"/>
        </ext>
      </extLst>
    </bk>
    <bk>
      <extLst>
        <ext uri="{3e2802c4-a4d2-4d8b-9148-e3be6c30e623}">
          <xlrd:rvb i="697"/>
        </ext>
      </extLst>
    </bk>
    <bk>
      <extLst>
        <ext uri="{3e2802c4-a4d2-4d8b-9148-e3be6c30e623}">
          <xlrd:rvb i="700"/>
        </ext>
      </extLst>
    </bk>
    <bk>
      <extLst>
        <ext uri="{3e2802c4-a4d2-4d8b-9148-e3be6c30e623}">
          <xlrd:rvb i="703"/>
        </ext>
      </extLst>
    </bk>
    <bk>
      <extLst>
        <ext uri="{3e2802c4-a4d2-4d8b-9148-e3be6c30e623}">
          <xlrd:rvb i="706"/>
        </ext>
      </extLst>
    </bk>
    <bk>
      <extLst>
        <ext uri="{3e2802c4-a4d2-4d8b-9148-e3be6c30e623}">
          <xlrd:rvb i="709"/>
        </ext>
      </extLst>
    </bk>
    <bk>
      <extLst>
        <ext uri="{3e2802c4-a4d2-4d8b-9148-e3be6c30e623}">
          <xlrd:rvb i="712"/>
        </ext>
      </extLst>
    </bk>
    <bk>
      <extLst>
        <ext uri="{3e2802c4-a4d2-4d8b-9148-e3be6c30e623}">
          <xlrd:rvb i="715"/>
        </ext>
      </extLst>
    </bk>
    <bk>
      <extLst>
        <ext uri="{3e2802c4-a4d2-4d8b-9148-e3be6c30e623}">
          <xlrd:rvb i="718"/>
        </ext>
      </extLst>
    </bk>
    <bk>
      <extLst>
        <ext uri="{3e2802c4-a4d2-4d8b-9148-e3be6c30e623}">
          <xlrd:rvb i="721"/>
        </ext>
      </extLst>
    </bk>
    <bk>
      <extLst>
        <ext uri="{3e2802c4-a4d2-4d8b-9148-e3be6c30e623}">
          <xlrd:rvb i="724"/>
        </ext>
      </extLst>
    </bk>
    <bk>
      <extLst>
        <ext uri="{3e2802c4-a4d2-4d8b-9148-e3be6c30e623}">
          <xlrd:rvb i="727"/>
        </ext>
      </extLst>
    </bk>
    <bk>
      <extLst>
        <ext uri="{3e2802c4-a4d2-4d8b-9148-e3be6c30e623}">
          <xlrd:rvb i="730"/>
        </ext>
      </extLst>
    </bk>
    <bk>
      <extLst>
        <ext uri="{3e2802c4-a4d2-4d8b-9148-e3be6c30e623}">
          <xlrd:rvb i="733"/>
        </ext>
      </extLst>
    </bk>
    <bk>
      <extLst>
        <ext uri="{3e2802c4-a4d2-4d8b-9148-e3be6c30e623}">
          <xlrd:rvb i="736"/>
        </ext>
      </extLst>
    </bk>
    <bk>
      <extLst>
        <ext uri="{3e2802c4-a4d2-4d8b-9148-e3be6c30e623}">
          <xlrd:rvb i="739"/>
        </ext>
      </extLst>
    </bk>
    <bk>
      <extLst>
        <ext uri="{3e2802c4-a4d2-4d8b-9148-e3be6c30e623}">
          <xlrd:rvb i="742"/>
        </ext>
      </extLst>
    </bk>
    <bk>
      <extLst>
        <ext uri="{3e2802c4-a4d2-4d8b-9148-e3be6c30e623}">
          <xlrd:rvb i="745"/>
        </ext>
      </extLst>
    </bk>
    <bk>
      <extLst>
        <ext uri="{3e2802c4-a4d2-4d8b-9148-e3be6c30e623}">
          <xlrd:rvb i="748"/>
        </ext>
      </extLst>
    </bk>
    <bk>
      <extLst>
        <ext uri="{3e2802c4-a4d2-4d8b-9148-e3be6c30e623}">
          <xlrd:rvb i="751"/>
        </ext>
      </extLst>
    </bk>
    <bk>
      <extLst>
        <ext uri="{3e2802c4-a4d2-4d8b-9148-e3be6c30e623}">
          <xlrd:rvb i="754"/>
        </ext>
      </extLst>
    </bk>
    <bk>
      <extLst>
        <ext uri="{3e2802c4-a4d2-4d8b-9148-e3be6c30e623}">
          <xlrd:rvb i="757"/>
        </ext>
      </extLst>
    </bk>
    <bk>
      <extLst>
        <ext uri="{3e2802c4-a4d2-4d8b-9148-e3be6c30e623}">
          <xlrd:rvb i="760"/>
        </ext>
      </extLst>
    </bk>
    <bk>
      <extLst>
        <ext uri="{3e2802c4-a4d2-4d8b-9148-e3be6c30e623}">
          <xlrd:rvb i="763"/>
        </ext>
      </extLst>
    </bk>
    <bk>
      <extLst>
        <ext uri="{3e2802c4-a4d2-4d8b-9148-e3be6c30e623}">
          <xlrd:rvb i="766"/>
        </ext>
      </extLst>
    </bk>
    <bk>
      <extLst>
        <ext uri="{3e2802c4-a4d2-4d8b-9148-e3be6c30e623}">
          <xlrd:rvb i="769"/>
        </ext>
      </extLst>
    </bk>
    <bk>
      <extLst>
        <ext uri="{3e2802c4-a4d2-4d8b-9148-e3be6c30e623}">
          <xlrd:rvb i="772"/>
        </ext>
      </extLst>
    </bk>
    <bk>
      <extLst>
        <ext uri="{3e2802c4-a4d2-4d8b-9148-e3be6c30e623}">
          <xlrd:rvb i="775"/>
        </ext>
      </extLst>
    </bk>
    <bk>
      <extLst>
        <ext uri="{3e2802c4-a4d2-4d8b-9148-e3be6c30e623}">
          <xlrd:rvb i="778"/>
        </ext>
      </extLst>
    </bk>
    <bk>
      <extLst>
        <ext uri="{3e2802c4-a4d2-4d8b-9148-e3be6c30e623}">
          <xlrd:rvb i="781"/>
        </ext>
      </extLst>
    </bk>
    <bk>
      <extLst>
        <ext uri="{3e2802c4-a4d2-4d8b-9148-e3be6c30e623}">
          <xlrd:rvb i="784"/>
        </ext>
      </extLst>
    </bk>
    <bk>
      <extLst>
        <ext uri="{3e2802c4-a4d2-4d8b-9148-e3be6c30e623}">
          <xlrd:rvb i="787"/>
        </ext>
      </extLst>
    </bk>
    <bk>
      <extLst>
        <ext uri="{3e2802c4-a4d2-4d8b-9148-e3be6c30e623}">
          <xlrd:rvb i="790"/>
        </ext>
      </extLst>
    </bk>
    <bk>
      <extLst>
        <ext uri="{3e2802c4-a4d2-4d8b-9148-e3be6c30e623}">
          <xlrd:rvb i="793"/>
        </ext>
      </extLst>
    </bk>
    <bk>
      <extLst>
        <ext uri="{3e2802c4-a4d2-4d8b-9148-e3be6c30e623}">
          <xlrd:rvb i="796"/>
        </ext>
      </extLst>
    </bk>
    <bk>
      <extLst>
        <ext uri="{3e2802c4-a4d2-4d8b-9148-e3be6c30e623}">
          <xlrd:rvb i="799"/>
        </ext>
      </extLst>
    </bk>
    <bk>
      <extLst>
        <ext uri="{3e2802c4-a4d2-4d8b-9148-e3be6c30e623}">
          <xlrd:rvb i="802"/>
        </ext>
      </extLst>
    </bk>
    <bk>
      <extLst>
        <ext uri="{3e2802c4-a4d2-4d8b-9148-e3be6c30e623}">
          <xlrd:rvb i="805"/>
        </ext>
      </extLst>
    </bk>
    <bk>
      <extLst>
        <ext uri="{3e2802c4-a4d2-4d8b-9148-e3be6c30e623}">
          <xlrd:rvb i="808"/>
        </ext>
      </extLst>
    </bk>
    <bk>
      <extLst>
        <ext uri="{3e2802c4-a4d2-4d8b-9148-e3be6c30e623}">
          <xlrd:rvb i="811"/>
        </ext>
      </extLst>
    </bk>
    <bk>
      <extLst>
        <ext uri="{3e2802c4-a4d2-4d8b-9148-e3be6c30e623}">
          <xlrd:rvb i="814"/>
        </ext>
      </extLst>
    </bk>
    <bk>
      <extLst>
        <ext uri="{3e2802c4-a4d2-4d8b-9148-e3be6c30e623}">
          <xlrd:rvb i="817"/>
        </ext>
      </extLst>
    </bk>
    <bk>
      <extLst>
        <ext uri="{3e2802c4-a4d2-4d8b-9148-e3be6c30e623}">
          <xlrd:rvb i="820"/>
        </ext>
      </extLst>
    </bk>
    <bk>
      <extLst>
        <ext uri="{3e2802c4-a4d2-4d8b-9148-e3be6c30e623}">
          <xlrd:rvb i="823"/>
        </ext>
      </extLst>
    </bk>
    <bk>
      <extLst>
        <ext uri="{3e2802c4-a4d2-4d8b-9148-e3be6c30e623}">
          <xlrd:rvb i="826"/>
        </ext>
      </extLst>
    </bk>
    <bk>
      <extLst>
        <ext uri="{3e2802c4-a4d2-4d8b-9148-e3be6c30e623}">
          <xlrd:rvb i="829"/>
        </ext>
      </extLst>
    </bk>
    <bk>
      <extLst>
        <ext uri="{3e2802c4-a4d2-4d8b-9148-e3be6c30e623}">
          <xlrd:rvb i="832"/>
        </ext>
      </extLst>
    </bk>
    <bk>
      <extLst>
        <ext uri="{3e2802c4-a4d2-4d8b-9148-e3be6c30e623}">
          <xlrd:rvb i="835"/>
        </ext>
      </extLst>
    </bk>
    <bk>
      <extLst>
        <ext uri="{3e2802c4-a4d2-4d8b-9148-e3be6c30e623}">
          <xlrd:rvb i="838"/>
        </ext>
      </extLst>
    </bk>
    <bk>
      <extLst>
        <ext uri="{3e2802c4-a4d2-4d8b-9148-e3be6c30e623}">
          <xlrd:rvb i="841"/>
        </ext>
      </extLst>
    </bk>
    <bk>
      <extLst>
        <ext uri="{3e2802c4-a4d2-4d8b-9148-e3be6c30e623}">
          <xlrd:rvb i="844"/>
        </ext>
      </extLst>
    </bk>
    <bk>
      <extLst>
        <ext uri="{3e2802c4-a4d2-4d8b-9148-e3be6c30e623}">
          <xlrd:rvb i="847"/>
        </ext>
      </extLst>
    </bk>
    <bk>
      <extLst>
        <ext uri="{3e2802c4-a4d2-4d8b-9148-e3be6c30e623}">
          <xlrd:rvb i="850"/>
        </ext>
      </extLst>
    </bk>
    <bk>
      <extLst>
        <ext uri="{3e2802c4-a4d2-4d8b-9148-e3be6c30e623}">
          <xlrd:rvb i="853"/>
        </ext>
      </extLst>
    </bk>
    <bk>
      <extLst>
        <ext uri="{3e2802c4-a4d2-4d8b-9148-e3be6c30e623}">
          <xlrd:rvb i="856"/>
        </ext>
      </extLst>
    </bk>
    <bk>
      <extLst>
        <ext uri="{3e2802c4-a4d2-4d8b-9148-e3be6c30e623}">
          <xlrd:rvb i="859"/>
        </ext>
      </extLst>
    </bk>
    <bk>
      <extLst>
        <ext uri="{3e2802c4-a4d2-4d8b-9148-e3be6c30e623}">
          <xlrd:rvb i="862"/>
        </ext>
      </extLst>
    </bk>
    <bk>
      <extLst>
        <ext uri="{3e2802c4-a4d2-4d8b-9148-e3be6c30e623}">
          <xlrd:rvb i="865"/>
        </ext>
      </extLst>
    </bk>
    <bk>
      <extLst>
        <ext uri="{3e2802c4-a4d2-4d8b-9148-e3be6c30e623}">
          <xlrd:rvb i="868"/>
        </ext>
      </extLst>
    </bk>
    <bk>
      <extLst>
        <ext uri="{3e2802c4-a4d2-4d8b-9148-e3be6c30e623}">
          <xlrd:rvb i="871"/>
        </ext>
      </extLst>
    </bk>
    <bk>
      <extLst>
        <ext uri="{3e2802c4-a4d2-4d8b-9148-e3be6c30e623}">
          <xlrd:rvb i="874"/>
        </ext>
      </extLst>
    </bk>
    <bk>
      <extLst>
        <ext uri="{3e2802c4-a4d2-4d8b-9148-e3be6c30e623}">
          <xlrd:rvb i="877"/>
        </ext>
      </extLst>
    </bk>
    <bk>
      <extLst>
        <ext uri="{3e2802c4-a4d2-4d8b-9148-e3be6c30e623}">
          <xlrd:rvb i="880"/>
        </ext>
      </extLst>
    </bk>
    <bk>
      <extLst>
        <ext uri="{3e2802c4-a4d2-4d8b-9148-e3be6c30e623}">
          <xlrd:rvb i="883"/>
        </ext>
      </extLst>
    </bk>
    <bk>
      <extLst>
        <ext uri="{3e2802c4-a4d2-4d8b-9148-e3be6c30e623}">
          <xlrd:rvb i="886"/>
        </ext>
      </extLst>
    </bk>
    <bk>
      <extLst>
        <ext uri="{3e2802c4-a4d2-4d8b-9148-e3be6c30e623}">
          <xlrd:rvb i="889"/>
        </ext>
      </extLst>
    </bk>
    <bk>
      <extLst>
        <ext uri="{3e2802c4-a4d2-4d8b-9148-e3be6c30e623}">
          <xlrd:rvb i="892"/>
        </ext>
      </extLst>
    </bk>
    <bk>
      <extLst>
        <ext uri="{3e2802c4-a4d2-4d8b-9148-e3be6c30e623}">
          <xlrd:rvb i="895"/>
        </ext>
      </extLst>
    </bk>
    <bk>
      <extLst>
        <ext uri="{3e2802c4-a4d2-4d8b-9148-e3be6c30e623}">
          <xlrd:rvb i="901"/>
        </ext>
      </extLst>
    </bk>
    <bk>
      <extLst>
        <ext uri="{3e2802c4-a4d2-4d8b-9148-e3be6c30e623}">
          <xlrd:rvb i="904"/>
        </ext>
      </extLst>
    </bk>
    <bk>
      <extLst>
        <ext uri="{3e2802c4-a4d2-4d8b-9148-e3be6c30e623}">
          <xlrd:rvb i="907"/>
        </ext>
      </extLst>
    </bk>
    <bk>
      <extLst>
        <ext uri="{3e2802c4-a4d2-4d8b-9148-e3be6c30e623}">
          <xlrd:rvb i="910"/>
        </ext>
      </extLst>
    </bk>
    <bk>
      <extLst>
        <ext uri="{3e2802c4-a4d2-4d8b-9148-e3be6c30e623}">
          <xlrd:rvb i="913"/>
        </ext>
      </extLst>
    </bk>
    <bk>
      <extLst>
        <ext uri="{3e2802c4-a4d2-4d8b-9148-e3be6c30e623}">
          <xlrd:rvb i="916"/>
        </ext>
      </extLst>
    </bk>
    <bk>
      <extLst>
        <ext uri="{3e2802c4-a4d2-4d8b-9148-e3be6c30e623}">
          <xlrd:rvb i="919"/>
        </ext>
      </extLst>
    </bk>
    <bk>
      <extLst>
        <ext uri="{3e2802c4-a4d2-4d8b-9148-e3be6c30e623}">
          <xlrd:rvb i="922"/>
        </ext>
      </extLst>
    </bk>
    <bk>
      <extLst>
        <ext uri="{3e2802c4-a4d2-4d8b-9148-e3be6c30e623}">
          <xlrd:rvb i="925"/>
        </ext>
      </extLst>
    </bk>
    <bk>
      <extLst>
        <ext uri="{3e2802c4-a4d2-4d8b-9148-e3be6c30e623}">
          <xlrd:rvb i="928"/>
        </ext>
      </extLst>
    </bk>
    <bk>
      <extLst>
        <ext uri="{3e2802c4-a4d2-4d8b-9148-e3be6c30e623}">
          <xlrd:rvb i="931"/>
        </ext>
      </extLst>
    </bk>
    <bk>
      <extLst>
        <ext uri="{3e2802c4-a4d2-4d8b-9148-e3be6c30e623}">
          <xlrd:rvb i="934"/>
        </ext>
      </extLst>
    </bk>
    <bk>
      <extLst>
        <ext uri="{3e2802c4-a4d2-4d8b-9148-e3be6c30e623}">
          <xlrd:rvb i="937"/>
        </ext>
      </extLst>
    </bk>
    <bk>
      <extLst>
        <ext uri="{3e2802c4-a4d2-4d8b-9148-e3be6c30e623}">
          <xlrd:rvb i="940"/>
        </ext>
      </extLst>
    </bk>
    <bk>
      <extLst>
        <ext uri="{3e2802c4-a4d2-4d8b-9148-e3be6c30e623}">
          <xlrd:rvb i="943"/>
        </ext>
      </extLst>
    </bk>
    <bk>
      <extLst>
        <ext uri="{3e2802c4-a4d2-4d8b-9148-e3be6c30e623}">
          <xlrd:rvb i="946"/>
        </ext>
      </extLst>
    </bk>
    <bk>
      <extLst>
        <ext uri="{3e2802c4-a4d2-4d8b-9148-e3be6c30e623}">
          <xlrd:rvb i="949"/>
        </ext>
      </extLst>
    </bk>
    <bk>
      <extLst>
        <ext uri="{3e2802c4-a4d2-4d8b-9148-e3be6c30e623}">
          <xlrd:rvb i="952"/>
        </ext>
      </extLst>
    </bk>
    <bk>
      <extLst>
        <ext uri="{3e2802c4-a4d2-4d8b-9148-e3be6c30e623}">
          <xlrd:rvb i="955"/>
        </ext>
      </extLst>
    </bk>
    <bk>
      <extLst>
        <ext uri="{3e2802c4-a4d2-4d8b-9148-e3be6c30e623}">
          <xlrd:rvb i="958"/>
        </ext>
      </extLst>
    </bk>
    <bk>
      <extLst>
        <ext uri="{3e2802c4-a4d2-4d8b-9148-e3be6c30e623}">
          <xlrd:rvb i="961"/>
        </ext>
      </extLst>
    </bk>
    <bk>
      <extLst>
        <ext uri="{3e2802c4-a4d2-4d8b-9148-e3be6c30e623}">
          <xlrd:rvb i="964"/>
        </ext>
      </extLst>
    </bk>
    <bk>
      <extLst>
        <ext uri="{3e2802c4-a4d2-4d8b-9148-e3be6c30e623}">
          <xlrd:rvb i="967"/>
        </ext>
      </extLst>
    </bk>
    <bk>
      <extLst>
        <ext uri="{3e2802c4-a4d2-4d8b-9148-e3be6c30e623}">
          <xlrd:rvb i="970"/>
        </ext>
      </extLst>
    </bk>
    <bk>
      <extLst>
        <ext uri="{3e2802c4-a4d2-4d8b-9148-e3be6c30e623}">
          <xlrd:rvb i="973"/>
        </ext>
      </extLst>
    </bk>
    <bk>
      <extLst>
        <ext uri="{3e2802c4-a4d2-4d8b-9148-e3be6c30e623}">
          <xlrd:rvb i="976"/>
        </ext>
      </extLst>
    </bk>
    <bk>
      <extLst>
        <ext uri="{3e2802c4-a4d2-4d8b-9148-e3be6c30e623}">
          <xlrd:rvb i="979"/>
        </ext>
      </extLst>
    </bk>
    <bk>
      <extLst>
        <ext uri="{3e2802c4-a4d2-4d8b-9148-e3be6c30e623}">
          <xlrd:rvb i="982"/>
        </ext>
      </extLst>
    </bk>
    <bk>
      <extLst>
        <ext uri="{3e2802c4-a4d2-4d8b-9148-e3be6c30e623}">
          <xlrd:rvb i="985"/>
        </ext>
      </extLst>
    </bk>
    <bk>
      <extLst>
        <ext uri="{3e2802c4-a4d2-4d8b-9148-e3be6c30e623}">
          <xlrd:rvb i="988"/>
        </ext>
      </extLst>
    </bk>
    <bk>
      <extLst>
        <ext uri="{3e2802c4-a4d2-4d8b-9148-e3be6c30e623}">
          <xlrd:rvb i="991"/>
        </ext>
      </extLst>
    </bk>
    <bk>
      <extLst>
        <ext uri="{3e2802c4-a4d2-4d8b-9148-e3be6c30e623}">
          <xlrd:rvb i="994"/>
        </ext>
      </extLst>
    </bk>
    <bk>
      <extLst>
        <ext uri="{3e2802c4-a4d2-4d8b-9148-e3be6c30e623}">
          <xlrd:rvb i="997"/>
        </ext>
      </extLst>
    </bk>
    <bk>
      <extLst>
        <ext uri="{3e2802c4-a4d2-4d8b-9148-e3be6c30e623}">
          <xlrd:rvb i="1000"/>
        </ext>
      </extLst>
    </bk>
    <bk>
      <extLst>
        <ext uri="{3e2802c4-a4d2-4d8b-9148-e3be6c30e623}">
          <xlrd:rvb i="1003"/>
        </ext>
      </extLst>
    </bk>
    <bk>
      <extLst>
        <ext uri="{3e2802c4-a4d2-4d8b-9148-e3be6c30e623}">
          <xlrd:rvb i="1006"/>
        </ext>
      </extLst>
    </bk>
    <bk>
      <extLst>
        <ext uri="{3e2802c4-a4d2-4d8b-9148-e3be6c30e623}">
          <xlrd:rvb i="1009"/>
        </ext>
      </extLst>
    </bk>
    <bk>
      <extLst>
        <ext uri="{3e2802c4-a4d2-4d8b-9148-e3be6c30e623}">
          <xlrd:rvb i="1012"/>
        </ext>
      </extLst>
    </bk>
    <bk>
      <extLst>
        <ext uri="{3e2802c4-a4d2-4d8b-9148-e3be6c30e623}">
          <xlrd:rvb i="1015"/>
        </ext>
      </extLst>
    </bk>
  </futureMetadata>
  <cellMetadata count="1">
    <bk>
      <rc t="1" v="0"/>
    </bk>
  </cellMetadata>
  <valueMetadata count="32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valueMetadata>
</metadata>
</file>

<file path=xl/sharedStrings.xml><?xml version="1.0" encoding="utf-8"?>
<sst xmlns="http://schemas.openxmlformats.org/spreadsheetml/2006/main" count="19077" uniqueCount="5249">
  <si>
    <t>Étiquettes de colonnes</t>
  </si>
  <si>
    <t>DEME</t>
  </si>
  <si>
    <t>Total Somme de Chiffre d'affaires</t>
  </si>
  <si>
    <t>Total Somme de EBE</t>
  </si>
  <si>
    <t>Total Somme de Résultat Net (PdG)</t>
  </si>
  <si>
    <t>Total Somme de Capitalisation boursière</t>
  </si>
  <si>
    <t>Étiquettes de lignes</t>
  </si>
  <si>
    <t>Somme de Chiffre d'affaires</t>
  </si>
  <si>
    <t>Somme de EBE</t>
  </si>
  <si>
    <t>Somme de Résultat Net (PdG)</t>
  </si>
  <si>
    <t>Somme de Capitalisation boursière</t>
  </si>
  <si>
    <t>Total général</t>
  </si>
  <si>
    <t>Somme de Dettes</t>
  </si>
  <si>
    <t>Nom entreprise</t>
  </si>
  <si>
    <t>Secteur</t>
  </si>
  <si>
    <t>Pays</t>
  </si>
  <si>
    <t>Devise</t>
  </si>
  <si>
    <t>Cours</t>
  </si>
  <si>
    <t>Année</t>
  </si>
  <si>
    <t>Chiffre d'affaires</t>
  </si>
  <si>
    <t>EBE</t>
  </si>
  <si>
    <t>Résultat d'exploitation</t>
  </si>
  <si>
    <t>Résultat Net (PdG)</t>
  </si>
  <si>
    <t>Dettes</t>
  </si>
  <si>
    <t>Fonds propres</t>
  </si>
  <si>
    <t>Actif net/action</t>
  </si>
  <si>
    <t>ROE</t>
  </si>
  <si>
    <t>ROCE</t>
  </si>
  <si>
    <t>Titres</t>
  </si>
  <si>
    <t>Capi</t>
  </si>
  <si>
    <t>Capi / Actif Net</t>
  </si>
  <si>
    <t>VE /
EBE</t>
  </si>
  <si>
    <t>Excédent de flux</t>
  </si>
  <si>
    <t>Dettes / EBE</t>
  </si>
  <si>
    <t>Fonds propres / Bilan</t>
  </si>
  <si>
    <t>Total Bilan</t>
  </si>
  <si>
    <t xml:space="preserve">Rating </t>
  </si>
  <si>
    <t>Salariés</t>
  </si>
  <si>
    <t>Productivité</t>
  </si>
  <si>
    <t>ESG</t>
  </si>
  <si>
    <t>Indicateur Clé</t>
  </si>
  <si>
    <t>Commentaires</t>
  </si>
  <si>
    <t>Portefeuille</t>
  </si>
  <si>
    <t>Isin</t>
  </si>
  <si>
    <t>Nom de la société</t>
  </si>
  <si>
    <t>Easy Jet</t>
  </si>
  <si>
    <t xml:space="preserve">Transport aérien </t>
  </si>
  <si>
    <t>Royaume-Uni</t>
  </si>
  <si>
    <t>GBP</t>
  </si>
  <si>
    <t>BBB / Positive</t>
  </si>
  <si>
    <t>E=-2</t>
  </si>
  <si>
    <t>Fondé en 1995 par le fils d'un homme d'affaires Libano-grecque, Stelios Haji-Ioannou : 15,27% du capital (contre 33% avant Covid)</t>
  </si>
  <si>
    <t>GB00B7KR2P84</t>
  </si>
  <si>
    <t>S=1</t>
  </si>
  <si>
    <t>CEO : Kenton Jarvis (ex-directeur financier du groupe) a remplacé Johan Lundgren (ex TUI- Suède) début 2025 (2017-2025). Chairman Stephen Ester depuis 2021, a remplacé Barton</t>
  </si>
  <si>
    <t>G=2</t>
  </si>
  <si>
    <t xml:space="preserve">347 avions Airbus uniquement en 2024 / 308 avions en 21 / 342 avions en 20 / 337 avions en 2019 - 53% en propriété. Perte au premier semestre, gain au second avec les vacanciers. </t>
  </si>
  <si>
    <t>35 pays - 158 aéroports - 1045 routes et autour de 100 millions de passagers (contre 95 millions en 2019). 559 000 vols par an avec 200 passagers. Ryanair numéro un en Europe avec 210 millions de passagers (13,4 Md de CA et RN : 1,91 Md - 27 000 salariés, 584 avions et 235 airports)</t>
  </si>
  <si>
    <t>Royaume-Uni : 54,5%, France 10,1%, Suisse : 9,4%, Europe du Nord : 9,4% et Europe du Sud : 18%</t>
  </si>
  <si>
    <t>Un airbus A320 consomme environ 3000 litres/ heure de kérosène. Soit 500 000 vols de 2h en moyenne, 3 Md de litres à 0,48 $ le litre.  Le carburant représente 30 à 35% du CA</t>
  </si>
  <si>
    <t>Intensité capitalistique : 0,3 (en amélioration grâce à Easy Holidays entre autres)</t>
  </si>
  <si>
    <t>Goodwill : 387 M £ (8,7% du bilan et 13% des fonds propres)</t>
  </si>
  <si>
    <t>Trésorerie : 1,34 Md £ (1,5 mois de CA). Pas de frais financiers</t>
  </si>
  <si>
    <t xml:space="preserve">De 2012 à 2015, le CA est passé de 4,5 Md £ à 5,5 Md £ avec un doublement du résultat d'exploitation à 800 M£ et un cours de bourse à 7 MD £ soit un multiple de 8,75 et pas de dettes </t>
  </si>
  <si>
    <t>2017 : chiffres revus à la hausse à 420 M £</t>
  </si>
  <si>
    <t>2018 : bons résultats au 30/09/2018 malgré le Brexit, la hausse du pétrole et la mise en place de la reprise des activités de Air Berlin en décembre 2017. Sinon tx de remplissage de 93%, Capacité de progression intéressante</t>
  </si>
  <si>
    <t>Potentiel avec l'intégration des activités d'Air Berlin. Investissement 1 Md£ par an sur les 4 prochaines années. ROCE à 14,4% en 2018 (avec un calcul spécifique incorporant le leasing)</t>
  </si>
  <si>
    <t>Acquisition de 26 slots de Thomas Cook pour 36 M£. Impacts IFRS 16 en 2019, hausse de la dette de 531 Me. Leasing comptabilisé en dette à hauteur de 7 années de loyers de leasing de l'avion</t>
  </si>
  <si>
    <t>2020 : augmentation de capital en juin 2020 : à 7,03 £ pour 419 M £ et 89 Millions de titres. Q4-2020 : -73% de chiffre d'affaires et pertes comprises entre 295 et 325 M£. Pertes annuelles 2020 : 1 Md £ et dettes à +800 M£ car il y a eu l'augmentation de capital</t>
  </si>
  <si>
    <t>2021 : au Q1 - 2021 : offre à 25% de la situation d'avant-crise. Coût de la crise probablement 2 Md £ sur deux ans soit 5 £ par action. À fin juin 2021, Easy Jet tourne à 60% de 2019 et en septembre lève 1,2 Md £ à après avoir refusé une offre de rachat</t>
  </si>
  <si>
    <t xml:space="preserve">À fin septembre 2021, l'offre 2022 tourne à 70% de 2019 en remontant l'offre là où il y a de la demande (Baléares, Égypte, Turquie)  Pertes toujours importantes et pas de dividendes </t>
  </si>
  <si>
    <t>2022 : perte d'explotation au 1T (fin décembre) réduite de moitié à 213 M£, tourne à 69% de 2019 (et à 50% en janvier) retour au niveau de 2019 pour la saison estivale avec la fin des tests obligatoires au Royaume-Uni</t>
  </si>
  <si>
    <t>Perte au premier semestre de 550 M£ avec en mars une activité à 80% de 2019, l'activité est estimé pour fin juin à 90% et pour l'été proche de 2019</t>
  </si>
  <si>
    <t>Ventes du 4T22, 90 % de 2019 mais en valeur 13% au-dessus de 2019. Acquisition de 18 slots à l'aéroport de Lisbonne. Problème d'organisation face à la forte reprise et hausse du carburant. A320 Neo (15% de la flotte au 31/12/2021) économise 15% de consommation de fuel</t>
  </si>
  <si>
    <t>À fin septembre 2022, résultats proche de l'équilibre après un fort été (69,4 Millions de passagers et 85,5% de taux de remplissage). 2023, retour à la normale avec un objectif de 94 millions de passagers. Fuel couvert à 69% au 1S 2023 et dollar 78%</t>
  </si>
  <si>
    <t xml:space="preserve">2023 : retour à la normale complet. Poursuite du développement par l'augmentation des lignes, easy holidays, chgt de la flotte moins énergivore et gestion des coûts. </t>
  </si>
  <si>
    <t>Développement rapide de l'offre easyHolidays permettant aux clients de réserver hôtels et location de voiture. Développement à Alicante, Birminghan, extension Porto, Lisbonne et Malte. Objectif 1 Md £ de résultat avant impôts</t>
  </si>
  <si>
    <t>2024 : Fermeture des bases de Toulouse et Venise. Les villes sont toujours déservis mais pour Toulouse, baisse du trafic national et pour Venise concentration sur Milan. Développement vers la Méditerranée et le tourisme : Égypte, Cap Vert et Canaries</t>
  </si>
  <si>
    <t>Poursuite de l'amélioration avec un fort développement d'Easy Holidays (15% du CA et +34%en nombre). Hausse de l'offre (+3% en 2025), de la longueur des routes (+5% en 2025) et efficacité opérationnelle : réduction des pertes d'hiver et chgt d'avions avec l'A320NEO et A321NEO</t>
  </si>
  <si>
    <t>CAC : Pwc, Deloitte en 2025</t>
  </si>
  <si>
    <t>IS : 25% contre 19% auparavant. Clôture des comptes en septembre</t>
  </si>
  <si>
    <t>Minoritaires : aucun</t>
  </si>
  <si>
    <t>Pay-out ratio : 20% en 2024 (10% en 2023). Pas de dividendes pour les exercices 2020-2021</t>
  </si>
  <si>
    <t>Air France - KLM</t>
  </si>
  <si>
    <t>France</t>
  </si>
  <si>
    <t>Euro</t>
  </si>
  <si>
    <t>Compagnié aérienne française. Rapprochement avec KLM dans les années 2000 sous l'ère Spinetta</t>
  </si>
  <si>
    <t>FR0000031122</t>
  </si>
  <si>
    <t>Actionnaires : État français 14,3%, Delta : 8,8%, China : 8,8%, salariés : 3,3%. Augmentation de capital en 2017 de 747 M euros . Fin 2011, 5 Md euros de FP quasi consommé fin 2014</t>
  </si>
  <si>
    <t>Importance des lignes, sorte de rente. Plus important réseau au départ de l'Europe vers le Monde. 560 avions (propriété, leasing et locations)</t>
  </si>
  <si>
    <t>Plusieurs marques : AF, KLM, Transavia et Joon. Bon démarrage du low cost Transavia. Secteur en croissance mais concurrentiel. 100 millions de passagers en 2017</t>
  </si>
  <si>
    <t>KLM deux fois plus rentable que AF</t>
  </si>
  <si>
    <t>En tenant compte du leasing, l'endettement net monte de 7 616 M e à 9 273 M e en 2017 contre 11 166 M e en 2016. 7 fois la location annuelle. VE / EBITDAR : 4 fois</t>
  </si>
  <si>
    <t>Problème : grève des salariés, concurrence et prix du kérosène (près de 20% du CA), redvances (près de 8%). Beau redressement des comptes en 2017, Résultat net (pg) 745 M euros</t>
  </si>
  <si>
    <t>La crise Covid-19 a coûté 10 Md euros de pertes : 7 Md euros en 2020 et 3,3 Md euros en 2021</t>
  </si>
  <si>
    <t>2,5 Md de titres en circulation, EBE autour de 2 Md euros et 6 Md euros de dettes</t>
  </si>
  <si>
    <t>84 000 salariés pour 26 Md euros de CA soit 300 K euros par salarié pour 560 avions et 100 millions de passagers. Delta Airlines : 80 000 salariés, 800 avions et 180 millions de passagers</t>
  </si>
  <si>
    <t>Swatch Group</t>
  </si>
  <si>
    <t>Montres</t>
  </si>
  <si>
    <t>Suisse</t>
  </si>
  <si>
    <t>CHF</t>
  </si>
  <si>
    <t>E = 1</t>
  </si>
  <si>
    <t>1983 : naissance du groupe suite à la fusion de ASUAG (fondée en 1931) et SSIH (fondée en 1930). Renommée en 1998 Swatch Group. Siège : Basel en Suisse</t>
  </si>
  <si>
    <t>CH0012255151</t>
  </si>
  <si>
    <t>S = 2</t>
  </si>
  <si>
    <t>Seconde génération à la tête : Nick Hayek (CEO) suite au décès de son père en 2010 et Nayla Hayek présidente du conseil d'administration</t>
  </si>
  <si>
    <t>Non noté</t>
  </si>
  <si>
    <t>G = 2</t>
  </si>
  <si>
    <t xml:space="preserve">Actionnaires : Famille Hayek 40,5% du capital. Flottant : 59,5%. </t>
  </si>
  <si>
    <t>17 marques de Harry Winston à Swatch (Premium à entrée de gamme). Omega, Longines, Rado, Tissot, Blancpain, Hamilton</t>
  </si>
  <si>
    <t>Mouvement et composants horlogers fabriqués en grande quantité pour d'autres acteurs. Position unique au Monde</t>
  </si>
  <si>
    <t>Chronométrage sportif : position de leader mondial et montres connectéés (santé, paiement) forte concurrence, (iwatch, fitbit…)</t>
  </si>
  <si>
    <t>1984 : période difficile avec l'arrivée des montres japonaises électroniques (Seiko...) finalement surmontée</t>
  </si>
  <si>
    <t>2015 : arrivée de l'Apple watch. Les montres connectées ont pris un peu de la croissance d'activité et une partie de la création de valeur</t>
  </si>
  <si>
    <t>2018 : bon premier semestre : CA +14,7%, Rex +69,5% à 620 M CHF et RN +66,5% à 468 MCHF</t>
  </si>
  <si>
    <t>Deuxième semestre plus difficile. Poursuite de la croissance des marques et dans le Monde</t>
  </si>
  <si>
    <t xml:space="preserve">2020 : perspectives de rebond assez fort mais fermeture de boutiques à Hong Kong et de l'activité Calvin Klein. </t>
  </si>
  <si>
    <t>Montres connectées et paiement par la montre (SwatchPAY !) pourraient être des relais de croissance</t>
  </si>
  <si>
    <t>Excédent de trésorerie après investissement en 2020 de 700 M CHF. En vitesse de croisière, excédent de 500 M CHF après BFR, investissements et dividendes</t>
  </si>
  <si>
    <t>2021 : fort redressement de l'activité qui dépasse fin 2019 avec amélioration de la marge. Vérifier l'évolution de la partie connectées/paiement/santé. Les autres branches (montres, fabrication et chronométrage sportif en forte hausse)</t>
  </si>
  <si>
    <t>2022 : redressement post-Covid 19 presque terminée sauf en Chine sur la deuxième partie de l'année (manque à gangner de 700 M CHF). Perspectives favorables avec le nouveau modèle MoonSwatch et la réouverture de la Chine</t>
  </si>
  <si>
    <t xml:space="preserve">2023 : poursuite de la croissance malgré la force du franc suisse. Succès important de produits iconiques. Investissement de 800 M chf proche du RN. </t>
  </si>
  <si>
    <t>Valeur du parc immobilier 4 Md CHF contre 1,8 Md CHF au bilan</t>
  </si>
  <si>
    <t>570 000 Montres Omega vendus et Harry Winston proche des 1 Md de CA</t>
  </si>
  <si>
    <t>Sans la hausse du franc suisse depuis 2015 et l'abandon du cours plancher Euro/CHF, le CA serait en 2023 de 9,5 Md CHF</t>
  </si>
  <si>
    <t>CAC : Pwc</t>
  </si>
  <si>
    <t>IS : 25%</t>
  </si>
  <si>
    <t>Categorie 2</t>
  </si>
  <si>
    <t>Pay-out ratio : 40%-50%. Dividendes au titre de l'exercice 2020 alors que la société est en perte</t>
  </si>
  <si>
    <t>Elior Group</t>
  </si>
  <si>
    <t>Restauration collective</t>
  </si>
  <si>
    <t>NS</t>
  </si>
  <si>
    <t>BB / négative</t>
  </si>
  <si>
    <t>Société de restauration collective fondée en 1991 et détenue par Robert Zolade à plus de 25%, Chaterhouse est sortie du capital suite LBO puis IPO en 2014</t>
  </si>
  <si>
    <t>FR0011950732</t>
  </si>
  <si>
    <t>Bons résultats du premier semestre 2017 avec un CA en hausse de 10% dont 4,2% en organique. Amélioration de la marge, nouveaux contrats et croissance externe. Concessions (24% du CA) toujours faible et dette à 1,86 Md euros</t>
  </si>
  <si>
    <t>Société de restauration collective détenue par Robert Zolade à plus de 25%, Chaterhouse est sortie du capital suite LBO puis IPO en 2014</t>
  </si>
  <si>
    <t>Plan Tsubaki de Philippe Salle. Target 2020 : 8 Md euros de CA, 10 % EBITDA Margin et 2 Md euros de dettes. Faiblesse de la concession en France. Italie faible, International bien. Target 2020 : 35 euros (multiple Sodexo VE/EBE : 10,4 et Compass : 12)</t>
  </si>
  <si>
    <t>FCF 2016/ EBE : 50% faible</t>
  </si>
  <si>
    <t xml:space="preserve">Le 26/7/17 départ de Philippe Salle suite à une proposition de Zolade (25% du K) de séparer CEO et Président du CA que Salle a refusé. </t>
  </si>
  <si>
    <t>Clôture en septembre. Philippe Guillemot nouveau Directeur général fin 2017 (attention contentieux sur la loyauté avec Eurazeo quand il était PDG d'Europcar)</t>
  </si>
  <si>
    <t>Marge EBE/CA : 8,26%. Les target 2020 seront revus à la baisse</t>
  </si>
  <si>
    <t>Achat de 17750 titres (284 000 euros) le 5/12/2017, par le nouveau PDG, Philippe Guillemot</t>
  </si>
  <si>
    <t xml:space="preserve">Projet 2021 : CA = +3% en organique et EBE +6% par an soit EBE 2021 : 560 M euros. La situation a changé du tout au tout. </t>
  </si>
  <si>
    <t xml:space="preserve">Areas vendu à PAI pour 1,42 Md euros. CA d'Areas en 2017-2018 : 1,832 Md euros </t>
  </si>
  <si>
    <t>Suite cession d'Areas en 2019, pas de minoritaires et PV de 202 M e impactant le résultat net. Recentré sur 6 pays (France, Italie, Espagne, Inde, États-Unis et Royaume-Uni) et la restauration collective (école, santé et entreprises)</t>
  </si>
  <si>
    <t>Programme de rachat d'actions : 50 M euros au 30/09/2019 (soit 4 M euros de titres) 350 M euros de retour aux actionnaires (rachat et dividendes) en deux ans. Potentiellement 13-14 millions de titres en moins soit 165 M euros de titres. À suivre. Obsolète avec la crise du Covid-19</t>
  </si>
  <si>
    <t>Santé : 25%, Enseignement : 30%, Entreprises : 45%. Baisse structurelle en entreprises (passage de moins d'un jour de télétravail à 2 jours par semaine) soit une baisse qui passe de -10% à -40% sur 40% de l'activité soit -12% au global</t>
  </si>
  <si>
    <t xml:space="preserve">EBITA 2020 prévu à -30% pour un CA en baisse de -15 - 12% soit un coût de 100 Me voire 150 M euros de coût de la crise. En fait, 750 M euros de perte (en flux) soit le montant de la cession d'Areas </t>
  </si>
  <si>
    <t>IPO le 11 juin 2014 à 14,9 euros</t>
  </si>
  <si>
    <t>Après Covid-19 : le CA en santé et enseignement retour à la normale, entreprise (-15/-20%) soit 4,4 Md euros et 6% de marge soit 260 M euros d'EBE et 900 M euros de FP (soit 5,2 euros par action) pour 1,2 Md euros de dettes</t>
  </si>
  <si>
    <t>En 2021, Elior tourne à 75% de son activité avant Covid-9 et à 85% au quatrième trimestre qui se clôture fin septembre. Retour en 2024 sur les niveaux mais avec marge à 4,6% contre 6,4% en 2019</t>
  </si>
  <si>
    <t>En 2022, Elior tourne au premier trimestre à 85% de 2019 et 93% à  la fin du T2 et 95% à la fin du T4. Coût du covid-19 : 1 Md euros sur 3 ans</t>
  </si>
  <si>
    <t>Retour à 5 Md euros de CA en 2024 avec 200 Me d'EBE et 50 Me de RN trop diffile rapprochement en vue avec Derichebourg</t>
  </si>
  <si>
    <t>CAC : Price et Deloitte</t>
  </si>
  <si>
    <t>Minoritaires : non</t>
  </si>
  <si>
    <t>Pay-out ratio : pas de dividendes en 2021</t>
  </si>
  <si>
    <t>Sodexo</t>
  </si>
  <si>
    <t>Famille Bellon fondatrice et actionnaire à 40%</t>
  </si>
  <si>
    <t>FR0000121220</t>
  </si>
  <si>
    <t>427 000 employés dans le monde 47 000 euros par salarié</t>
  </si>
  <si>
    <t>bilan 31 août</t>
  </si>
  <si>
    <t>Même activité qu'Elior : restauration collective et de concession plus services aux entreprises. Modèle plus abouti et plus rentable</t>
  </si>
  <si>
    <t>Saint-Gobain</t>
  </si>
  <si>
    <t>Matériaux de construction</t>
  </si>
  <si>
    <t>BBB+ / Stable</t>
  </si>
  <si>
    <t>Leader mondial des matériaux de construction, intégré verticalement recherche, fabrication et distribution. Présent dans 76 pays. 850 sociétés</t>
  </si>
  <si>
    <t>FR0000125007</t>
  </si>
  <si>
    <t>S = 1</t>
  </si>
  <si>
    <t>G = 1</t>
  </si>
  <si>
    <t>Répartition du CA : 53% en Europe (10-15% de marge d'exploitation), États-Unis 22% du CA (20% de marge donc 30% de la marge du groupe) Reste du Monde 25%. France 15-20% du résultat</t>
  </si>
  <si>
    <t>Intensité capitalistique : 0,7 (stable dans le temps en dépit des cessions / acquisitions)</t>
  </si>
  <si>
    <t>2007 : Wendel entre au capital à 55 euros et diminue progressivement sa participation pour détenir 2,5% au 31/12/2018 puis sortie définitive</t>
  </si>
  <si>
    <t>2009 : augmentation de capital en mars-avril à 16,5 euros d'où le passage de 365 M de titres avant crise à 550 M de titres après crise. Le multiple VE/EBE a été 6 fois dans les années 2012-2013. ROE de 6,7 %, avec un actif net à 35-37 euros</t>
  </si>
  <si>
    <t xml:space="preserve">2014 : opération avec SIKA en décembre </t>
  </si>
  <si>
    <t>2018 : Saint-Gobain a signé un accord avec Sika et la famille Burkard le 11 mai. Elle ne prendra pas le contrôle de Sika, elle vend une partie du capital 6,97%, conserve 10,75% qu'elle cédera d'ici 2 ans. Gain comptable de 600 M euros. PV sur la vente des actions SIKA de 781 M euros</t>
  </si>
  <si>
    <t>2018 : Transformation du groupe avec cession des activités mâtures et investissement dans la chimie de construction. IFRS 16 (chiffres revus) : +3 Md euros en dettes et +780 M euros en EBE et +85 M euros en rex</t>
  </si>
  <si>
    <t>2019 : dettes à fin juin à 12,5 Md euros pour 5 Md euros d'EBE/ Echelonné : 1,5 Md euros par an. Frais financier : 500 Meuros</t>
  </si>
  <si>
    <t>2020 : dépréciation d'actifs de 734 Meuros au Royaume-Uni. Cession des 10,75% de SIKA le 27 mai 2020 pour 2,5 Md euros</t>
  </si>
  <si>
    <t>2021 : retour au niveau d'activité de 2018 (plan de relance, transition énergétique, recentrage) et marge d'exploitation à 8,8 %. Grand bénéficiaire du bricolage à la maison et de la transition énergétique</t>
  </si>
  <si>
    <t xml:space="preserve">2021 : acquisition de GCP Applied Technologies pour une valeur d'entreprise de 2 Md euros (soit 13,3 fois VE/EBE mais 8,8 fois après synergie) dans la chimie contruction aux États-Unis. Pôle représentant 10% du CA. </t>
  </si>
  <si>
    <t>Excellents résultats pour suite de la demande et des effets du recentrage initiés depuis 2019 (5 Md euros de CA cédés et 2 Md euros de CA acquis)</t>
  </si>
  <si>
    <t>2022 : la société passera probablement la barre des 50 Md euros de CA</t>
  </si>
  <si>
    <t xml:space="preserve">2023 : activité en repli notamment sur l'Europe du Nord. États-Unis, Canada et Inde tire de même que les acquisitions dans la Chimie de conctruction et les cessions. </t>
  </si>
  <si>
    <t>Acquisition de Building Products au Canada (Toiture) pour 900 M euros. Cession de la distribution de matériaux au Royaume-Uni (2,7 Md euros pour 850 M euros)</t>
  </si>
  <si>
    <t>Acquisition au Canada dans le bardage (ossature métalliques) 12 usines de production, 700 personnes et 532 M$ canadien (362 M euros) de CA et un EBE de 17% pour un prix de 880 M$ canadien (multiple de 9-10)</t>
  </si>
  <si>
    <t>Acquisition de Fosroc au Royaume-Uni dans la Chimie de construction pour 960 Meuros (CA : 487 M $, EBE de 18,7%, 20 usines et 3000 personnes), présent en Asie et au Moyen-Orient. Chimie de constrcution de Saint-Gobain (6,2 Md euros) dans 73 pays</t>
  </si>
  <si>
    <t>La construction représente 40% des émissions de CO2, principale cause. Solution de ST-Gobain réduit des 2/3 les émissions de CO2 soit 1300 millions de tonnes : plaques de plâtre, isolation et vitrage</t>
  </si>
  <si>
    <t>Engagé dans la neutalité carbone en 2050. Risque de procès au Royaume-Uni avec l'incendie de la tour Grenfell le 14 juin 2017. Matériaux fournis par St-Gobain lors de la rénovation en 2015/2026. Cession de la société britannique par St-Gobain en 2024</t>
  </si>
  <si>
    <t>Objectif 2025 : 20% de CA en plus (4%-5% par an) soit 53 Md euros et 10% de marge soit 5,3 Md euros et 3,5 Md euros de RN. ROCE : 15%. Objectif : 52 Md euros de capitalisation boursière soit 110 euros</t>
  </si>
  <si>
    <t>CAC : KPMG et Price</t>
  </si>
  <si>
    <t>IS : 28%</t>
  </si>
  <si>
    <t>Minoritaires : 2%</t>
  </si>
  <si>
    <t>Pay out ratio : 35-40% contre 50% historiquement et rachat d'actions (fin 2024)</t>
  </si>
  <si>
    <t>Verallia</t>
  </si>
  <si>
    <t>Emballage</t>
  </si>
  <si>
    <t xml:space="preserve">France </t>
  </si>
  <si>
    <t>BBB- / Stable</t>
  </si>
  <si>
    <t>Numéro 3 mondial de l'emballage en verre avec 16 Md de bouteilles produites et 10 000 clients. Le verre se recycle (calcin). 34 (vs 32 en 2022) sites de production. Coût d'un site : 100 Meuros pour 100 000 tonnes (durée de construction deux ans)</t>
  </si>
  <si>
    <t>FR0013447729</t>
  </si>
  <si>
    <t>(6/3/2024)</t>
  </si>
  <si>
    <t>Actionnaires : BWSA Brasil Warrant  Administração de Bens e Empresas : 28,81%, BPI France : 7,61 %, Auto-détention : 3,04%, Salariés : 3,8%. Flottant : 56,7%</t>
  </si>
  <si>
    <t>CEO : Patrice Lucas (1966) depuis 2022. A ramplacé Michel Giannuzzi, président du CA (ancien de Tarkett de 2007 à 2017, condamnation de Tarkett en 2017 pour entente avec Gerflor période 2002-2011)</t>
  </si>
  <si>
    <t xml:space="preserve">Ancienne filiale de Saint-Gobain vendu au printemps 2015 à Appolo (90%) et BPI (10%) pour 2,95 Md euros </t>
  </si>
  <si>
    <t>Appolo a pris 97 M euros en 2016 de capital. Dettes brutes élevées qui va être refinancé après l'IPO, gain sur les charges financières. Free cah Flow 400 Me par an</t>
  </si>
  <si>
    <t>IPO en octobre 2019 à 27 euros par cession de 888 M euros de titres des actionnaires historiques et une valorisation de 3,2 Md euros (VE/EBE de 8 fois). Appollo : 61% du capital après l'IPO</t>
  </si>
  <si>
    <t>Investissement : 8% du CA soit 200 M euros contre 280 M euros d'endettement. De 2016 à 2018, endettement de plus de 2 Md et 150 M e de charges financières par an d'où perte</t>
  </si>
  <si>
    <t>Changement de DG : Michel Giannuzzi restera Président du CA, il sera remplacé par Patrice Lucas</t>
  </si>
  <si>
    <t>2022 : acquisition de l'Allied Glass pour 206 M de livres (235 M euros) présent dans le verre pour spiritueux haut de gamme (premium). 600 salariés, 4 fours et 95% du CA au Royaume-Uni. (CA : 188 Me et EBE : 30 Me, FP Négatifs de 21 Me)</t>
  </si>
  <si>
    <t>2023 : solide résultats malgré une fin d'année un peu plus difficile. Activité en Russie (5 sites - 4% du CA) et en Ukraine (2 sites - 2% du CA). Démarrage aux États-Unis en 2023</t>
  </si>
  <si>
    <t>2024 : acquisition en Italie d'activité de verrières avec un site et deux fours pour 230 M euros (CA : 131 M euros et EBE : 33 M euros)</t>
  </si>
  <si>
    <t>Four produisant de 300 000 à 1 Million de bouteilles par jour. Durée de vie d'un four 10 - 12 ans, 14 ans pour les plus récents, la consommation et les coûts augmentent avec l'usure. Investissement : 10% du CA</t>
  </si>
  <si>
    <t>IPO le 4 octobre 2019 à 27 euros</t>
  </si>
  <si>
    <t>Charges récurrentes de 47 M euros liés à Saint-Gobain qui s'éteindra en 2027 (impact positif de 0,25 euros sur le BPA et de 2,5 euros sur le cours pour un PER de 10)</t>
  </si>
  <si>
    <t>2% de croissance de CA attendue dans les prochaines années. Marché mature. Ebe cible 1Md euros probablement. FCF à 65%</t>
  </si>
  <si>
    <t>CAC : Price et BM&amp;A</t>
  </si>
  <si>
    <t>IS : 26%</t>
  </si>
  <si>
    <t xml:space="preserve">Minoritaires : 5% </t>
  </si>
  <si>
    <t>Stocks</t>
  </si>
  <si>
    <t>Pernod Ricard</t>
  </si>
  <si>
    <t>Boissons alcoolisées</t>
  </si>
  <si>
    <t>Fondé par Paul Ricard, en 1932. Fabricant et distributeur mondial d'alcool. Introduction en bourse en 1975</t>
  </si>
  <si>
    <t>FR0000120693</t>
  </si>
  <si>
    <t>Dirigeants : Alexandre Ricard (1972 - petit fils du fondateur), président depuis 2015. 158 566 actions. Entre 2012 et 2015, Pierre Pringuet devient le président après le décès de Patrick Ricard le temps qu'Alexandre Ricard soit prêt</t>
  </si>
  <si>
    <t>BBB+ Stable</t>
  </si>
  <si>
    <t>Actionnaires : Société Paul Ricard 14,07% et GBL : 6,73%. Flottant : 79,20%</t>
  </si>
  <si>
    <t>13 marques haut de gamme : vodka Absolut, whiskies Chivas, Ballantine's, Jameson, Glenlivet, cognac Martell, rhum Havana club, gin Beefeater, liqueur Malibu, pastis Ricard, champagne Mumm, Perrier-Jouet : plus de 500 millions de litres par an</t>
  </si>
  <si>
    <t xml:space="preserve">Numéro 2 mondial, numéro 1 en spiritueux, numéro 2 en vins et spiritueux. 240 marques </t>
  </si>
  <si>
    <t>Numéro 1 mondial : Diageo, LVMH (Numéro 3 ou 4) à 6,6 Mds de CA</t>
  </si>
  <si>
    <t>Présence commerciale dans 73 pays et distribution dans 160 pays et 96 sites de production dans 25 pays</t>
  </si>
  <si>
    <t>2001 : achat de Diageo avec Seagram pour 8,15 Md dollars dont 3,15 Md pour Pernod,  achat des whiskies Chivas et Glenlivet</t>
  </si>
  <si>
    <t>2005 : achat d'Allied domecq (Ballantine's, champagne Mumm et Perrier-Jouet, liqueur Malibu, gin Beefeater) pour 10,7 Md euros</t>
  </si>
  <si>
    <t>2008 : achat de la vodka Absolut au suédois Vin &amp; Spirit pour 5,6 Md euros</t>
  </si>
  <si>
    <t>2022 : activité Russie/Ukraine, représente 3% du CA</t>
  </si>
  <si>
    <t>2024 : normalisation des volumes post covid à -1%. Marge d'exploitation à 25% et coût de la dette : 3,2%. Vente de la branche vin à un groupe australien avec une perte comptable de plus de 400 M, représente 4 % du CA</t>
  </si>
  <si>
    <t>Dettes proche de 11 Md et trésorerie à 15 % du CA, frais financiers 3,4% du CA. Les stocks pèsent</t>
  </si>
  <si>
    <t>CAGR sur 5 ans : 4,80 % et 10 ans : 3,9%</t>
  </si>
  <si>
    <t>Perspectives 2030 : risque de plafonnement de la consommation en lien avec la nouvelle génération et l'enjeu de santé publique</t>
  </si>
  <si>
    <t>CAC : KPMG et Deloitte</t>
  </si>
  <si>
    <t>IS : entre 25% et 22 %</t>
  </si>
  <si>
    <t>Minoritaires : 7 %</t>
  </si>
  <si>
    <t>Pay-out ratio : 60 %</t>
  </si>
  <si>
    <t>Lafarge Holcim</t>
  </si>
  <si>
    <t>Numéro un mondial du ciment. Fusion en 2014. Schmeidheiny 11,4% du capital, GBL 9,4% et Sawiris 4%. Conflits entre les actionnaires</t>
  </si>
  <si>
    <t>CH0012214059</t>
  </si>
  <si>
    <t>Fusion Lafarge Holcim en 2014, cession de 5 Md CHF incinérant des Md CHF après celle de Lafont chez Lafarge après l'acquisition d'Orascom.</t>
  </si>
  <si>
    <t>Suite à l'affaire de la Syrie, Jans Jenisch nouveau CEO</t>
  </si>
  <si>
    <t>Société à l'image dégradée suite à l'affaire de la Syrie. Concurrence et actifs bradés par Holcim et Lafarge. 900 M CHF de frais financiers</t>
  </si>
  <si>
    <t>Position forte en Inde (20% des capacités de Holcim)</t>
  </si>
  <si>
    <t xml:space="preserve">80000 salariés soit 336 410 CHF par salarié </t>
  </si>
  <si>
    <t>2017 : Dettes (14,2 Md CHF - 1, Md CHF de frais financiers) : 2,4 fois l'EBE. Cash Flow : 3 Md CHF - Free cash flow : 1,6 md euros faibles par rapport à la dette</t>
  </si>
  <si>
    <t>RN du 2T 17, un peu faible à suivre</t>
  </si>
  <si>
    <t>2018 : toujours pareil, très lente amélioration, croissance du CA des activités conservés, cession pour diminuer la dette. Image dégradée</t>
  </si>
  <si>
    <t>Jan Jenish : 170 722 actions</t>
  </si>
  <si>
    <t>Fusion Lafarge Holcim mars 2014</t>
  </si>
  <si>
    <t>Un peu de minoritaires : 200 M euros de résultat reversé sur 1,7 Md e</t>
  </si>
  <si>
    <t>Lafarge</t>
  </si>
  <si>
    <t>Lafarge seule avant la fusion</t>
  </si>
  <si>
    <t>Surendettement lié l'acquisition d'Orascom en 2008 en haut de cycle payé en grande partie en dettes</t>
  </si>
  <si>
    <t>Logique de cession et de réduction de coûts mais toujours HY et 1 Md euros de charges financières</t>
  </si>
  <si>
    <t>Fusion avec Holcim, prend la note IG de Holcim, nouvelle cession d'actifs et bradage</t>
  </si>
  <si>
    <t>Bruno Lafont, PDG de 2007 à 2015</t>
  </si>
  <si>
    <t>Vicat</t>
  </si>
  <si>
    <t>Cimentier français fondé au XIX siècle par la famille Vicat (1853), toujours détenue par la famille Merceron VICAT à 63,32%. Guy Sidos (gendre) le PDG</t>
  </si>
  <si>
    <t>FR0000031775</t>
  </si>
  <si>
    <t>Présent dans 12 pays : France, Italie, Suisse, États-Unis, Brésil, Turquie, Inde, Kazakshtan, Egyte et Afrique de l'Ouest avec le Sénégal, la Mauritanie et le Mali</t>
  </si>
  <si>
    <t>G=1</t>
  </si>
  <si>
    <t>Société bien gérée avec une croissance progressive dans les pays émergents mais a souffert de la baisse des ventes en Europe et aux États-Unis (-30% par rapport à 2007)</t>
  </si>
  <si>
    <t>Barrière à l'entrée avec les carrières d'une durée de vie d'un siècle mais concurrence sur les émergents (Chine qui casse les prix)</t>
  </si>
  <si>
    <t>2007 : Heidelbergcement a vendu 35% de sa participation à 102 euros à la famille Vicat (12%) et sur le marché (23%)</t>
  </si>
  <si>
    <t>Cours de bourse de fin 2007, 62 euros en forte baisse par rapport au 102 e de mai 2007 suite au début de la crise des subprime. Cours de bourse laisser à 102 euros pour conserver le multiple de valorisation de haut de cycle</t>
  </si>
  <si>
    <t xml:space="preserve">2017 : pas d'amélioration des résultats. Légère progression du chiffre d'affaires mais marges sous tension. Point positif, le désendettement. </t>
  </si>
  <si>
    <t>2018 : Vicat prend une participation de 65% dans une société brésilienne, CIPLAN, pour 290 M euros (145 euros la tonne) Cimenterie de 3M de tonnes de capacité (VICAT : 30 M de tonnes de capacité)</t>
  </si>
  <si>
    <t>Brésil - Ciplan : 140 M euros de CA et EBE : 24 M euros en 2019 - En 2020, CA de 170 Me et EBE : 43  Me</t>
  </si>
  <si>
    <t>2019 : au 1T, amélioration des prix un peu partout et intégration de Ciplan au Brésil en bonne voie. Marge en hausse</t>
  </si>
  <si>
    <t>Vicat possède un stock de quotas de Co2 pour produire jusqu'en 2030 (valeur 120 M euros)</t>
  </si>
  <si>
    <t>2020 : Vicat n'a pas été impacté financièrement par la Covid-19 hormis le choc de mars-avril-mai 2020. Retour à la normale très rapide</t>
  </si>
  <si>
    <t>2021 : chiffre d'affaires en hausse à deux chiffres par rapport à 2019 dans toutes les zones, risque d'inflation contenu avec une hausse des prix de vente compensant partiellement la hausse des coûts. 410 M euros d'investissement</t>
  </si>
  <si>
    <t>2021 : la société a poursuivi le rachat des minoritaires de CIPLAN (8% passant de 66% à 74% du capital), cédé une activité en Suisse et investi 75 M euros pour la rédcution de CO2 dans un programme de 800 Meuros d'ici 2030</t>
  </si>
  <si>
    <t>2022 : année difficile avec l'inflation, l'énergie, la Turquie et les investissements pour la réduction de CO2. Investissement à 400 Me (dont 80 Me pour la réduction de CO2), FCF négatif. Prise de participation dans une société vendant du ciment sur le Net aux particuliers</t>
  </si>
  <si>
    <t>2023 : améliroation des volumes (+6% en ciment), accélération de l'usine de Ragland aux États-Unis, démarré en 2022,  faiblesse en France et Suisse, Asie et Méditerranée mieux. Pas de croissance externe</t>
  </si>
  <si>
    <t>France (25% du CA) et États-Unis proche de 25% du CA mais plus rentable avec l'extension du ssytème</t>
  </si>
  <si>
    <t>2024 : nouvelle progression avec les États-Unis, un nouveau four au Sénégal et lieux en marge avec le reflux de l'inflation. 325 M euros d'investissement</t>
  </si>
  <si>
    <t>Dans la chimie de construction (colle, mortier, enduit) rapprochement de la filiale VPI de Vicat (110 M euros de CA, 40%) avec Koramic, société belge. Vicat aura 60% de l'ensemble</t>
  </si>
  <si>
    <t>VPI : 380 personnes, 800 000 tonnes, 200 M euros de CA. Mise en place le 1/1/25. D'autres opérations possibles pour renforcer le pôle</t>
  </si>
  <si>
    <t>CAC : KPMG et Wolff &amp; Associés</t>
  </si>
  <si>
    <t>IS : 27%</t>
  </si>
  <si>
    <t>Minoritaires : 10% (reste un peu de minoritaires suite à l'acquisition de Ciplan au Brésil - 26% du capital)</t>
  </si>
  <si>
    <t>ArcelorMittal</t>
  </si>
  <si>
    <t>Acier</t>
  </si>
  <si>
    <t>Luxembourg</t>
  </si>
  <si>
    <t>BBB- / Négative</t>
  </si>
  <si>
    <t xml:space="preserve">Leader mondial de l'acier détenu par la famille Mittal (40% du capital). </t>
  </si>
  <si>
    <t>LU1598757687</t>
  </si>
  <si>
    <t xml:space="preserve">Investment Grade </t>
  </si>
  <si>
    <t>2015 : effondrement lié à la baisse des matières premières et à la perspective d'augmentation de capital</t>
  </si>
  <si>
    <t>depuis 2018</t>
  </si>
  <si>
    <t>2017 : EBE annoncé maintenant à 7,2 Md euros, cela conforte le scénario à 10 euros (le 24/3/2017). Nombre de titres divisé par 3 et cours multipié par 3 en mars 2017</t>
  </si>
  <si>
    <t xml:space="preserve">Le 1T17 est bon avec 2,2 Md$ d'EBE, 1 Md$ de RN et la dette a 12 Md$. Sur de bons rails  </t>
  </si>
  <si>
    <t>Le 2T17 est bon et confirme le redressement. Au-dessus des prévisions de début d'année. Valorisation faible. Consever objectif 27 euros</t>
  </si>
  <si>
    <t>Idem pour le 3T17. Sur l'année EBE à 8,2Md$, stabilité de la situation maintenant bien redressée. Levier amélioration des coûts et acquisition d'Ilva faite en novembre 2018 finalement. Objectif 27 euros</t>
  </si>
  <si>
    <t>2018 : cession des titres  en janvier 2018 à 29,8-30,5 euros (VE/EBE de 5,6 fois 2017 et à l'actif net). Le redressement s'est passé comme prévu et bonne stratégie de la famille Mittal</t>
  </si>
  <si>
    <t>2018 : La note de crédit est repassé Investment Grade en 2018 et résultats &gt; attentes</t>
  </si>
  <si>
    <t>Compte en dollar</t>
  </si>
  <si>
    <t>BBB- perspective stable. Dettes bien étalées sur 2019 à 2023 avec des montants réguliers et 2024 puis au-delà</t>
  </si>
  <si>
    <t>2019 : frais financiers 2019 : 650 M$ versus plus de 1 Md$ en 2015 et 2016</t>
  </si>
  <si>
    <t>conversion 2020 = 1,21</t>
  </si>
  <si>
    <t>Besoin de l'année 2019 : Capex (4,3Md $) frais financiers (0,65Md$) et taxes (1,5Md$) : 6,4 Md $</t>
  </si>
  <si>
    <t>conversion 2019 = 1,1</t>
  </si>
  <si>
    <t>2020 : en mai augmentation de capital de 750 M$ à 8,57 euros (80,9 M actions) et 1,25 Md $ de convertible à 8,57 euros échéance 3 ans coupon 5,5% et conversion à 117,5 %. La famille Mittal participe à hauteur de 10% (actionnaire à 40%)</t>
  </si>
  <si>
    <t>Cession de l'activité aux États-Unis du fait d'une moindre rentabilité et d'une volonté de poursuivre le désendettement (septembre 2020)</t>
  </si>
  <si>
    <t>2021 : année exceptionnelle avec le retour de la demande et des prix de l'acier. Redressement supérieure à celui de 2016-2018</t>
  </si>
  <si>
    <t>Division du nominal par 3</t>
  </si>
  <si>
    <t>en mars 2017</t>
  </si>
  <si>
    <t>Non significatif</t>
  </si>
  <si>
    <t>Retrait de la cote par l'État à 12 euros en 2022</t>
  </si>
  <si>
    <t>EDF</t>
  </si>
  <si>
    <t>Électricité</t>
  </si>
  <si>
    <t>BBB+</t>
  </si>
  <si>
    <t>Etat actionnaire à 83,77% de l'éléctricien. Parc de 56 réacteurs nucléaires</t>
  </si>
  <si>
    <t>FR0010242511</t>
  </si>
  <si>
    <t>Stable</t>
  </si>
  <si>
    <t>Montée en charge d'Hinkley Point au Royaume-Uni et de la rénovation des centrales. Conccurence auprès des clients professionnels.</t>
  </si>
  <si>
    <t>le 30/6/2021</t>
  </si>
  <si>
    <t>En 2017, actif Net à 13,7 euros après augmentation de capital au 30/6/2017</t>
  </si>
  <si>
    <t>A- avant</t>
  </si>
  <si>
    <t>Résultats en baisse avec un prix de l'électricité en baisse en France et au Royaume-Uni</t>
  </si>
  <si>
    <t>EBE annoncé à 14 Md euros et dettes à 31 Md euros suite cession RTE et AK de 4 Md mais dettes hybrides de 10 Md donc total dettes à 41 Md. Suivre le coût de la montée en charge d'Hinkley Point et de la rénovation des centrales</t>
  </si>
  <si>
    <t>En 2018, EBE 2018 annoncé à 15 Md revu à 14,6-15 Md euros</t>
  </si>
  <si>
    <t>Upside de long terme en baisse même si la régulation pourrait être plus favorable</t>
  </si>
  <si>
    <t>Chiffres de 2018 avec une production nucléaire de 395 Twh. Ligne vendue à 13,3 euros. Le titre est monté à 15 euros soit 5,75 fois VE/EBE</t>
  </si>
  <si>
    <t>En 2019, dettes émises fin novembre à échéance 2069 (50 ans) à un coupon de 4,5% pour 2 Md $. Maturité de la dette EDF (15 ans)</t>
  </si>
  <si>
    <t>Amélioration des prix de l'électricité en France et RU. Projet de loi pour modifier le prix de gros d'éléectricité revendu par EDF avec un min et un max</t>
  </si>
  <si>
    <t>En 2020, EDF a resisté à la crise mais excédent de trésorerie négatif et quelques charges exceptionnels liés à Flamanville pèse sur le résultat net. Projet Hercule de séparation des activités probablement créateur de valeur.</t>
  </si>
  <si>
    <t>Problèmes liés à l'acceptation par la société du nucléaire, au démarrage de Flamanville, aux coûts de Hinkley Point (forcément plus élevés et plus long) et dossier politique</t>
  </si>
  <si>
    <t>En 2021, progression des résultats mais problème de sûreté sur des centrales et ponction de l'État qui coûtera 10 Md euros. Risque d'augmentation de capital</t>
  </si>
  <si>
    <t>En 2022, production nucléaire annoncé à 300 Twh et 315 en 2023. Augmentation de capital à 4,9 euros par action pour 2,5 Md euros. Dividendes en actions en 2022 et 2023 : 2 fois 1,8 Md euros et cession de 3 Md euros pour compenser les 10 Md euros ponctionné par l'État</t>
  </si>
  <si>
    <t>Minoritaires : 15-20% environ (partenaire chinois)</t>
  </si>
  <si>
    <t>Pay out ratio : 45% (En 2020, acompte sur dividendes de 0,15 euro par action puis absence de dividendes)</t>
  </si>
  <si>
    <t>Veolia</t>
  </si>
  <si>
    <t>Eau &amp; Déchets &amp; Energie</t>
  </si>
  <si>
    <t>BBB / stable</t>
  </si>
  <si>
    <t>Leader mondial de l'eau, des traitements de déchets et de l'énergie a repris Suez Environnement en 2021</t>
  </si>
  <si>
    <t>FR0000124141</t>
  </si>
  <si>
    <t>DG : Estelle Brachlianof a remplacé Antoine Frérot (2009-2022, président du CA depuis) en 2022</t>
  </si>
  <si>
    <t>Eau : 39,7% Énergie : 25,4% et Déchets : 34,9%. Europe : 60%, Reste du Monde : 30%, Technologie de l'eau : 10%</t>
  </si>
  <si>
    <t>2017 : résultats du 1T17 avec un retour de la croissance organique, les objectifs 2018-2019 atteignables. CA du 1S17 mieux à +4,4%. Eau (mieux) France (mieux) Europe Bien</t>
  </si>
  <si>
    <t>Cession de 30% de Transdev à l'allemand Rethmann pour 340 M euros, sortie définitive du transport (Caisse des dépôts actionnaire à 66% de Transdev) le 2/10/2018</t>
  </si>
  <si>
    <t>2018 : hausse de la dette lié au remboursement de la dette hybride de 1452 Me. D'où dette nette égale à dette ancienne + hybride - Cession de Transdev 350 M e encaissé en 2019</t>
  </si>
  <si>
    <t>2019 : impact IFRS 16 : dettes : + 2 Md euros venant s'ajouter au 1,8 Md euros de dettes hybrides d'où le passage en deux ans de 8 à 12 Md euros de dettes et EBITDA : + 400 M euros</t>
  </si>
  <si>
    <t xml:space="preserve">Création de valeur : total capitaux employés : 16 Md euros (car 2,5 Md euros de BFR négatif) et Rex après impôt : 1,4 Md e (car taux d'impôt de 25%) : ROCE : 8,8% d'où création de valeur de 0,8% *16 MD / an soit 128 M e </t>
  </si>
  <si>
    <t>Création de valeur : 128 M e multiplié par 20 soit 2,5 Md =&gt; Capitalisation boursière maximale de 8-9 Md euros (FP hors minoritaires : 6 Md euros). Problème des JV et minoritaires</t>
  </si>
  <si>
    <t>Premier objectif 21 euros (VE/EBE : 6 fois) et 25 euros ? (VE/EBE : 6,5 fois). Pas d'acquisition selon Frérot. Dette brute (13 Md) et coût un peu élevé (400 M e) par an des frais financiers</t>
  </si>
  <si>
    <t xml:space="preserve">2020-2021 : acquisition de Suez (hors Suez France) à 20,5 euros par action soit 11 Md euros mais vente d'une partie Suez France (7 Md euros de CA), augmentation de capital de 2,5 Md euros et 5,5 Md euros de dettes et la dette de la partie Suez repris soit 7 Md euros. Total dettes proche 20-22 Md euros </t>
  </si>
  <si>
    <t>Veolia + Suez : 37 Md euros de CA pour 230 000 salariés soit 161 K euros par salarié. Développement à l'international. Se positionne sur le démontage des vieilles centrales nucléaires</t>
  </si>
  <si>
    <t>2021 : les chiffres 2021 sont ceux de Veolia seuls, de retour sur les niveaux de 2019 mais augmentation de capital pour financer l'acquisition de Suez en 2021. Suez sera intégré en fin d'année ou en 2022. L'ensemble 37 Md euros de CA</t>
  </si>
  <si>
    <t>2023 : résultats financiers de -938 M euros (2,5% du CA et taux d'intérêt à 3,83%). 26 Md euros de dettes brutes et 8 Md de trésorerie soit 2 mois de CA</t>
  </si>
  <si>
    <t>La croissance ne génère pas beaucoup de désendettement. Économie à venir sur la poursuite de l'intégration de Suez et évolution de la demande favorable</t>
  </si>
  <si>
    <t>CAGR : 2014-2019 : 2,6%</t>
  </si>
  <si>
    <t>CAC  : KPMG et Ernst</t>
  </si>
  <si>
    <t xml:space="preserve">IS : 28% </t>
  </si>
  <si>
    <t>Minoritaires : 16,3%</t>
  </si>
  <si>
    <t>Pay out ratio : 67%</t>
  </si>
  <si>
    <t>Suez</t>
  </si>
  <si>
    <t xml:space="preserve">Rachat par Veolia à 20,5 euros en avril 2021 </t>
  </si>
  <si>
    <t>Avril 2021, achat de Suez par Veoila à 20,5 euros par action soit 11 Md euros (les 29% acheté à Engie à 18 euros) plus la dette financés par augmentation de capital (2,5 Md euros), dettes et la revente d'une partie Suez (Suez France principalement) de 7 Md euros de chiffre d'affaires à des fonds</t>
  </si>
  <si>
    <t>FR0010613471</t>
  </si>
  <si>
    <t>Concurrent de Veolia, détenu par Engie, plus petit mais un peu plus rentable donc un peu mieux valorisé. Business mature</t>
  </si>
  <si>
    <t>Acquisition pour 3,2 Md euros en septembre 2017 de GE Water (traitement des eaux pour les industriels) avec la Caisse des dépôts du Québec</t>
  </si>
  <si>
    <t>Le 24/1/2018, profit warning suite à des problèmes en Espagne et l'abandon de contrats en Inde et au Maroc</t>
  </si>
  <si>
    <t>Engie</t>
  </si>
  <si>
    <t>Energie</t>
  </si>
  <si>
    <t>BBB+ / stable</t>
  </si>
  <si>
    <t>Créé suite à la fusion entre SUEZ et Gaz de France en 2008</t>
  </si>
  <si>
    <t>FR0010208488</t>
  </si>
  <si>
    <t>(23/11/2023)</t>
  </si>
  <si>
    <t xml:space="preserve">2020 : vente de 29,9%/32% des parts de Suez pour 3,4 Md euros (fin 2020) de 20% de GTT en juin 2021 et mis en vente de la partie Service Techniques (ventilation, chauffage…) 12,5 Md euros de CA et 450 Meuros de Rex (74000 salariés- 17 pays) valorisation : 5-6 Md euros </t>
  </si>
  <si>
    <t xml:space="preserve">2021 : en juin vente de 20% de GTT </t>
  </si>
  <si>
    <t>CAC : Deloitte et Ernst &amp; Young</t>
  </si>
  <si>
    <t>Pay out ratio : 65 à 75% (parfois davantage et en 2020, pas de dividendes au titre de l'année 2019)</t>
  </si>
  <si>
    <t>Diamond Offshore Drilling</t>
  </si>
  <si>
    <t>Parapétrolier</t>
  </si>
  <si>
    <t>États-Unis</t>
  </si>
  <si>
    <t>Dollar</t>
  </si>
  <si>
    <t>Extraction pétrolière en eau profonde. Fondée dans les années 50 par un membre de la famille Bush, entre autres, détenues par Loews, famille Tisch à 51% depuis les années 90</t>
  </si>
  <si>
    <t>US25271C1027</t>
  </si>
  <si>
    <t>Forte VA sur l'ultra deepwater. A beaucoup souffert de la baisse du baril</t>
  </si>
  <si>
    <t>CCC</t>
  </si>
  <si>
    <t>Chiffre d'affaires du 4 T16 enfin en hausse, devrait profiter de la hausse du baril et des investissements. Actif Net à 27 $ au 31 décembre 2016</t>
  </si>
  <si>
    <t>CA du 1T 17 en baisse de 5% par rapport au 4T 16. Depuis 4 trimestres cela tourne autour de 375 MS. Carnet de commandes encore en baisse à 3,2 Md de $ (contre 3,6 Md $) mais stable sur l'ultradeepwater le plus important et plus rentable</t>
  </si>
  <si>
    <t>Coup d'accordéon</t>
  </si>
  <si>
    <t xml:space="preserve">S&amp;P a dégradé en janvier 2017 à BB- mais dette de 2 Md $ étalé (500 M$ en 2019 puis 2023 puis 2039 puis 2043). Attendre </t>
  </si>
  <si>
    <t>CA du 2T 17 proche des 400 MS semble un peu mieux dans le Deep Water et deux nouveaux contrats. Backlog en baisse à 2,9 Md $ (contre 3,2 Md $). Légère dépréciation d'actifs de 70 M$. Actif net à 27$</t>
  </si>
  <si>
    <t>CA 3T17 à 366 M$ toujours rentable mais faible mieux dans le Deep et nouveau contrat. Backlog en baisse à 2,6 Md$</t>
  </si>
  <si>
    <t xml:space="preserve">Refinancement des 500 M USD à 8,75% échéance 2025. Donne du temps </t>
  </si>
  <si>
    <t>CA  4T 17 en baisse à 346 MUSD, l'ultra deep water progresse de 25% (Ebit margin à 50%)</t>
  </si>
  <si>
    <t>Dettes en baisse, nbre d'actions stable et backlog à 2,4 Md USD encore en baisse mais des prolongements de contrats.  Point bas passé ?</t>
  </si>
  <si>
    <t>Forte baisse des investissements en contruction de plates-formes / bâteaux : 140 M usd en 2017 contre 652 M usd en 2016</t>
  </si>
  <si>
    <t>Le chiffre d'affaires du 1T18 tombe à 300 M usd et EBE 80 M usd - 2T18 / CA à 270 MS et pertes. Quelques commandes, carnet à 2,2 Md$. 3T18 : CA de 286 mE / RN : -50 M$. Carnet de commandes à 2 md. Dettes refinancés et allongés</t>
  </si>
  <si>
    <t>CA 2018 très faible, carnet de commandes à 2 Md$</t>
  </si>
  <si>
    <t>CA1T19 stable, très faible avec des pertes mais carnet de commandes à 1,8Md$ fin mars et 450 M$ fin avril 2019</t>
  </si>
  <si>
    <t>Dettes : 2023 - 2025 - 2039 et 2043. Flux de tréso négatif en 2019. Risque refinancement 2023 avec un marché fermé et hausse de capital de 500 MS à 1 dollar soit 500 Millions de titres. Risque : 2,5 Md $ de FP pour 637 M titres soit max 4$ par titre</t>
  </si>
  <si>
    <t>L'EBE 2019 ne couvrira pas les frais financiers de 120 M$ par an. Chapitre 11</t>
  </si>
  <si>
    <t>En 2022, reprise de la cotation et carnet de commandes à 1,2 Md dollars, redressement en cours</t>
  </si>
  <si>
    <t>Fin 2022, carnet de commandes à 1,2 Md dollars</t>
  </si>
  <si>
    <t>En 2023, carnet de commandes à 1,8 Md dollars</t>
  </si>
  <si>
    <t xml:space="preserve">Service pétrolier </t>
  </si>
  <si>
    <t>B / Stable</t>
  </si>
  <si>
    <t>Société réalisant des cartographies des sous-sols sur terre et mer disposant de l'une des plus grandes bibliothèques du Monde à destination des compagnies pétrolières. Fondé en 1937</t>
  </si>
  <si>
    <t>FR0013181864</t>
  </si>
  <si>
    <t>Actionnaire fonds anglo-saxon entre autres suite à le restructuration du capital en février 2018 et BPI France. Changement de Pdg (Malcor) fin 2018. Philippe Salle au CA</t>
  </si>
  <si>
    <t>La société a beaucoup souffert de la baisse des investissements des compagnies pétrolières suite à la baisse du pétrole (à partir de juin 2014), d'un endettement trop élevé</t>
  </si>
  <si>
    <t>Write off fin 2017 début 2018, les anciens actionnaires ont perdu 99%</t>
  </si>
  <si>
    <t>Mi-février 2018 : restructuration du capital, activité et rentabilité en hausse</t>
  </si>
  <si>
    <t>Coût de la dette 2018 : 85 M dollars. Echéancier porté en 2023 (684 M dollars) et 2024 (454 M dollars)</t>
  </si>
  <si>
    <t>Coût de la restructuration / transformation : 25 M dollars. Effectif divisé par 2 en 5 ans de 11060 personnes à 5325 personnes (200 K euros par salarié). Frais généraux divisé par 3</t>
  </si>
  <si>
    <t>Retrait de Schlumberger du secteur</t>
  </si>
  <si>
    <t>2018 : Suite à l'abandon de l'activité bibliothèque, perte de 790 M$, fonds propres fin 2018 ramené de 2,5 M à 1,7 Md$ soit un actif net de 2,3 $ / 2,1 euros</t>
  </si>
  <si>
    <t>Dirigée par Sophie Zurquiyah depuis mai 2018</t>
  </si>
  <si>
    <t>Prévision 2021 : CA : 1,7 Md$ - EBE : 750 M$ - Rex : 250 M$ - Dettes : 750 M$ (= EBE). Valo : 2,2 - 2,8 euros. Les anciens objectifs 2019-2020 ont été abandonnés (trop otimiste, lié à l'ancienne équipe de direction et suite abandon de l'activité bibliothèque)</t>
  </si>
  <si>
    <t>Chiffres 2019 proche des objectifs 2021, redressement achevé. Reste des perspectives difficiles sur le marché pétrolier</t>
  </si>
  <si>
    <t>Emission de titres : 29 Millions si cours &gt; 3,12 euros (soit 739 385 512 actions en circulation) et 47,95 M euros si cours &gt; 4,02 euros (soit 787 340 666 actions)</t>
  </si>
  <si>
    <t>Nombre d'actions totalement dilué avec l'exercice des bons en 2022 et 2023 : 787 340 666</t>
  </si>
  <si>
    <t>Premier trimestre 2020 : dépréciation d'actifs de 70 M $ pesant sur le résultat d'exploitation et net. Les activités abandonnées pèse encore (30 M$) d'où 100 M$ de pertes</t>
  </si>
  <si>
    <t>Retiré de la cote à 32,82 euros le 8 novembre 2022</t>
  </si>
  <si>
    <t>Boskalis</t>
  </si>
  <si>
    <t>Dragage offshore</t>
  </si>
  <si>
    <t>Pays-Bas</t>
  </si>
  <si>
    <t>Fondée est 1910. CEO : Dr. P.A.M Berdowski (né en 1957) depuis 2006 jusqu'en 2023, DG : Mr. J. van der Veer (né en 1947) depuis 2015 jusqu'en 2023</t>
  </si>
  <si>
    <t>NL0000852580</t>
  </si>
  <si>
    <t>Le dragage consiste à préparer les fonds marins afin d'accueillir un chantier ou retirer les sédiments qui bloque l'entrée d'un port</t>
  </si>
  <si>
    <t>Marché de 6-7 Md euros tombés à moins de 4-5 Md euros ces dernières années avec 4 acteurs du Benelux se partageant 80% du marché. Les marchés US et chinois étant réservés aux acteurs locaux</t>
  </si>
  <si>
    <t>HAL Investments B.V. 43,5%, Sprucegrove Investment Management Limited : 5,2%, International Value Advisers, LLC : 5,1%, Marathon Asset Management : 3,6%, Black Creek Investment Management, Inc. : 3%, Bestinver Gestion, SGIIC S.A. : 3%</t>
  </si>
  <si>
    <t>CA : 57% dragage, 39% offshore (50 % éolien) et 4% autres (Remorquage et Sauvetage)</t>
  </si>
  <si>
    <t>Marge par activité : Dragage environ 14 %, Offshore et Energie environ 18 %, Remorquage et Sauvetage environ 50 %</t>
  </si>
  <si>
    <t>CA : 57% Europe, 16% Asie, Australie, 14% Moyen - Orient, 3% Afrique et 10% autre</t>
  </si>
  <si>
    <t>En 2012, OPA de Boskalis sur Dockwise</t>
  </si>
  <si>
    <t>En 2013, achat de Dockwise pour 700 Me dans les transports de matérels lourds</t>
  </si>
  <si>
    <t xml:space="preserve">Travail probablement avec Nexans pour l'installation de cable sous marin </t>
  </si>
  <si>
    <t>En 2016, difficultés du marché lié à l'activité Offshore. (Forte baisse sur le Pétrole) Nécessité de restructurer l'entreprise (- 1000 employés)</t>
  </si>
  <si>
    <t>En 2020, dépréciation d'actifs sur des bâteaux pour 195 M euros d'où le résultat net négatif. Contrat de 1,5 Md euros pour l'agrandissement de l'aéoroport de Manille</t>
  </si>
  <si>
    <t>En 2021, amélioration de l'activité et des résultats au niveau de 2019. Carnet de commandes élevés (contrat  de Manille) potentiel avec l'installation de parc éolien en mer</t>
  </si>
  <si>
    <t>En janvier 2021, acquisition société Rever Offshor, 130 salariés 90 M € de CA</t>
  </si>
  <si>
    <t>En septembre 2021, Boskalis finalise un programme de rachat d'action 100 M €</t>
  </si>
  <si>
    <t>En novembre 2021, remporte un contrat de 450 M €  pour le transport et l'installation des fondations d'un parc eolien (début 2023)</t>
  </si>
  <si>
    <t>En 2022, investissement de 500 millions d'euros dans les bateaux</t>
  </si>
  <si>
    <t>Environ 900 bateaux</t>
  </si>
  <si>
    <t>L'éolien représente 50 % de l'activité Offshore Energie. Soit 20 % du CA global</t>
  </si>
  <si>
    <t>En 2022, le 8 mars HAL propose une OPA à 32,5 euros, retiré d e la cote à 32,82 euros soit 1,9 fois l'actif net et VE/EBE de 8,5 - 9 fois, à vérifier si investissement dans DEME</t>
  </si>
  <si>
    <t>CAC : Ernst &amp; Young Accountants</t>
  </si>
  <si>
    <t>Minoritaire : 0,1% à vérifier car JV indiquer dans le compte de résultat</t>
  </si>
  <si>
    <t>Pay out ratio  : entre 40 et 50% mais plus haut ces 3 dernières années</t>
  </si>
  <si>
    <t>Belgique</t>
  </si>
  <si>
    <t>Dragage et infrastructure des ports issus du groupe CFE. Scission le 29 juin 2022</t>
  </si>
  <si>
    <t>BE0974413453</t>
  </si>
  <si>
    <t>Actionnaires : Ackermann 62,12%, Vinci 12,11%. Flottant : 25,77 %</t>
  </si>
  <si>
    <t>CEO : Luc Vandenbulcke (1971)</t>
  </si>
  <si>
    <t>R&amp;D : budget (% du CA)</t>
  </si>
  <si>
    <t>Goodwill : 13 M euros (0,27% du bilan et 0,68% des fonds propres)</t>
  </si>
  <si>
    <t xml:space="preserve">2000 : Boskalis et HBG, a voulu racheter DEME, accepté par Ackermann et refusé par CFE. </t>
  </si>
  <si>
    <t>2019 : "Nous avons installé les 467 km de câbles d'exportation au parc éolien offshore Hornsea One au Royaume-Uni, le plus long projet de câble d'exportation éolien offshore AC jamais installé."</t>
  </si>
  <si>
    <t>Plus de 2.200 éoliennes installées depuis ce jour.</t>
  </si>
  <si>
    <t xml:space="preserve">Surveille de près le sujet de l'éolien flottant offshore, qui selon eux est un secteur d'avenir mais ils s'attendent que les coûts baissent significativement dans les années à venir </t>
  </si>
  <si>
    <t>2022 : scission de CFE le 29 juin à 100 euros. Carnet de commandes à 5,8 Md euros (comme Boskalis) et 500 M euros d'investissement</t>
  </si>
  <si>
    <t>Une autre association voit le jour avec la join venture Seavolt pour permettre le déploiement du photovoltaique en pleine mer (flotteurs compact)</t>
  </si>
  <si>
    <t>2024 : nouvelle année de progression (+20%), EBE stable à 18,2% et 300 M euros d'investissements. Carnet de commandes à 7 Md euros, nombreux projets d'installation de câbles en mer</t>
  </si>
  <si>
    <t>CAC : EY</t>
  </si>
  <si>
    <t>Pay-out ratio : 33%</t>
  </si>
  <si>
    <t>IPO le 30 juin 2022 à 105 euros</t>
  </si>
  <si>
    <t>CFE</t>
  </si>
  <si>
    <t xml:space="preserve">Ingénierie </t>
  </si>
  <si>
    <t>Création de la société en 1880</t>
  </si>
  <si>
    <t>BE0003883031</t>
  </si>
  <si>
    <t>Actionnariat : Ackermans &amp; van Haaren 62,1 %, Vinci 12,1 %</t>
  </si>
  <si>
    <t>Activités : Dragage, environnement, offshore // Activité construction multitechnique (électricité tertiaire, réseaux de télécommunication) Rail et maintenance  // Promotion immobilière</t>
  </si>
  <si>
    <t>Salariés : 85 % d'hommes et 14,8 % de femmes</t>
  </si>
  <si>
    <t>Président du CA : Luc Bertrand                  Administrateur Délégué :   Piet Dejonghe</t>
  </si>
  <si>
    <t>Répartition du Chiffre d'affaires : 66 % DEME</t>
  </si>
  <si>
    <t xml:space="preserve">Répartition du Chiffre d'affaires  par zone géographique : </t>
  </si>
  <si>
    <t>2021-22 : le groupe a décidé de scinder ses activités, en deux sociétés côtées distinctes : CFE et DEME</t>
  </si>
  <si>
    <t xml:space="preserve">2022 : le 29 juin, la scission entre CFE et DEME est effective. </t>
  </si>
  <si>
    <t>2 filiales en Russie, Exposition faible d'après le rapport annuel</t>
  </si>
  <si>
    <t>IS</t>
  </si>
  <si>
    <t>CAC : Ernst &amp; Young</t>
  </si>
  <si>
    <t>Minoritaire : 2 %</t>
  </si>
  <si>
    <t>Pay-out ratio :</t>
  </si>
  <si>
    <t>Mersen</t>
  </si>
  <si>
    <t xml:space="preserve">Spécialités électriques </t>
  </si>
  <si>
    <t>E (impact) = -1</t>
  </si>
  <si>
    <t>Société industrielle fondée en 1937, expert mondial des matériaux électriques et des matériaux avancés (graphite)</t>
  </si>
  <si>
    <t>FR0000039620</t>
  </si>
  <si>
    <t>E (effort) = 1</t>
  </si>
  <si>
    <t>Actionnaire : BPI France : 10,8%, Amiral Gestion : 5,1%. Flottant : 84%</t>
  </si>
  <si>
    <t>S = -1</t>
  </si>
  <si>
    <t xml:space="preserve">DG : Luc Themelin (1961) dirigeant depuis 2011 (chez Mersen depuis 1988), renouvelé en 2016 comme DG pour 4 ans. </t>
  </si>
  <si>
    <t xml:space="preserve">Olivier Legrain, président du directoire depuis le 18 mai 2017. Il a remplacé Hervé Couffin </t>
  </si>
  <si>
    <t>Europe : 34%, Asie : 28%, Amérique du Nord : 35% présent dans 33 pays avec 50 sites industrielles et 18 centres de R&amp;D</t>
  </si>
  <si>
    <t xml:space="preserve">Croissance de l'activité liée aux matériaux vendus pour le solaire, le véhicule électrique et les semi-conducteurs / Dynamisme en Europe, aux États-Unis et en Asie  </t>
  </si>
  <si>
    <t>Premier client : 3,6% du CA et les dix premiers moins de 20%. Part du CA alignée sur la taxonomie : 75%</t>
  </si>
  <si>
    <t>Intensité capitalistique : 0,8 (stable dans le tamps)</t>
  </si>
  <si>
    <t>Goodwill : 257 M euros (16,8%du bilan et 32% des fonds propres)</t>
  </si>
  <si>
    <t>Marché de remplacement pour 65% de l'activité (mature) et croissance sur la partie énergie renouvelable, l'électrique et semi-conducteurs</t>
  </si>
  <si>
    <t>2016 : actif net à 24 euros au 31/12/2016. Déclin enrayé, perspectives 2017 : CA entre 0 et +2% et marge entre 50 et 100 bp tiré par l'aéronautique et le photovoltaique. Achat vers 19 euros pour viser un retour sur l'actif net. Pas de création de valeur.</t>
  </si>
  <si>
    <t>2017 : le 20 juillet, Mersen relève ses objectifs à +5% pour le CA et 8,8% pour la marge. Bons résultats 2017 en ligne avec les dernières prévisions de la société. Valorisation normale à élevée (11 fois le résultat d'exploitation 2017). Pas d'acquisition</t>
  </si>
  <si>
    <t>2018 : relève à nouveau : CA +9% marge à 9-9,2% pourrait 800 M euros de CA. Rachat de minoritaires de Ciprotec en 2018</t>
  </si>
  <si>
    <t xml:space="preserve">2018 : 30 M euros d'acquisition. Achat d'une société de condensateurs (FT cap) 20 M euros de CA basée en Allemagne et Suisse. Investissement dans la partie Graphite, fibre de carbone et carbure de silicium </t>
  </si>
  <si>
    <t>2019 : Impact IFRS 16 sur la dette + 40 Me. Exercice de qualité, acquisition auprès de Graftech du site industrielle de Columbia aux États-Unis et minoritaires de la filiale italienne. Total : 19,4 M euros</t>
  </si>
  <si>
    <t>2020 : plan d'adaptation et de réduction d'effectifs sur la partie advanced materials destinés à la chimie et l'aéronautique pour 51 M euros. Acquisition de la société GAB Neumann (échangeur de chaleur graphite) et Americarb (isolation). Total : 13,6 M euros</t>
  </si>
  <si>
    <t xml:space="preserve">2021 : activité proche de 2019. Sortie définitive d'Ardian (3,94%) du capital de Mersen à 26 euros le 5 février 2021. Précédente cession en 2017 avec SOFINA avec la vente de 11% du capital à 35 euros. Entrée au capital en 2008 pendant l'été </t>
  </si>
  <si>
    <t>2021 : offre de Mersen sur les matériaux et feutre d'isolation : potentiel CA de 140 à 170 M euros en 2025 et 280 M euros en 2030 pour 8 à 12 M euros d'investissement par an et partenariat avec Soitec pour l'électronique des voitures</t>
  </si>
  <si>
    <t>2021 : résultats solides avec une nette amélioration. Le solaire est en hausse (90% de la production du marché est en Chine). Aéronautique se redresse mais inférieur à 2019 et le ferrovaire progresse lentement. Le reste croît bien</t>
  </si>
  <si>
    <t>Investissement à 79 M euros (usine de graphite à Columbia entre autres)</t>
  </si>
  <si>
    <t>Minoritaires : 5%. En Chine (Yantai détenue à 60%) et un peu en Colombie et Afrique du Sud</t>
  </si>
  <si>
    <t>Umicore</t>
  </si>
  <si>
    <t>Recyclage</t>
  </si>
  <si>
    <t>Fondé en 1805 comme exploitation minière en Belgique</t>
  </si>
  <si>
    <t>BE0974320526</t>
  </si>
  <si>
    <t>Mathias Miedreich (1975 - ancien du comex de Faurecia depuis 2013, avant KPMG), CEO a remplacé fin 2021 Marc Grynberg (né en 1966) CEO depuis 2008, il a rejoint Umicore en 1996</t>
  </si>
  <si>
    <t>Actionnaire : GBL à hauteur de 15,92% en 2021 contre 18% depuis 2013</t>
  </si>
  <si>
    <t>Répartition du CA par zone géographique : 46% en Europe, 28% en Asie Pacifique, 22% en Amerique du Nord et 4% en Afrique et Amérique du Sud</t>
  </si>
  <si>
    <t xml:space="preserve">Répartition du CA par Métier : Catalyseurs : 33,6 %, Energie et Technologie : 14,6 % et Recyclage : 64,8 % </t>
  </si>
  <si>
    <t xml:space="preserve">Répartition Marge par Métier: Catalyseurs : 19 %, Energie et Technologie : 11 % et Recyclage : 50 % </t>
  </si>
  <si>
    <t>E = 3</t>
  </si>
  <si>
    <t>2016 : condamné à payer 69,2 M d'euros pour abus de position dominante</t>
  </si>
  <si>
    <t>2019 : acquisition de Kokkola pour 188 M euros et placement de 390 M euros dans la dette privée américaine de long terme</t>
  </si>
  <si>
    <t>G = -1</t>
  </si>
  <si>
    <t>2021 : GBL a réduit sa participation de 18% à 15,92%, cession de 2,09% du capital pour 256 M euros au second trimestre 2021 autour de 55 - 60 euros. GBL s'était renforcé en 2016 à 25 euros</t>
  </si>
  <si>
    <t>2021 : Umicore a averti en octobre d'un EBIT 2021 à moins de 1 Md euros au lieu de plus de 1 Md euros en lien avec la baisse du prix des métaux platinoïdes et de la crise des semi-conducteurs</t>
  </si>
  <si>
    <t>La fabrication de pots catalytiques est en danger à terme, une branche d'Umicore fabrique et fournit les équipementiers automobiles.</t>
  </si>
  <si>
    <t>CAC : PricewaterhouseCoopers</t>
  </si>
  <si>
    <t>IS : 23,1 %</t>
  </si>
  <si>
    <t>Minoritaires : 4%</t>
  </si>
  <si>
    <t>Pay ou ratio : 282%,   en 2021 : 30 %</t>
  </si>
  <si>
    <t xml:space="preserve">Elis </t>
  </si>
  <si>
    <t>Blanchisseur industriel</t>
  </si>
  <si>
    <t xml:space="preserve">BBB- </t>
  </si>
  <si>
    <t xml:space="preserve">Linge (46%), tenue de travail (37%) et services d'hygiènes (17%) pour l'industrie (27%), la santé (30%), les petits commerces (21%) et l'hôtellerie-restauration (25% en 2023 - 18% en 2021 contre 25% avant). Développe des services d'hygiène. </t>
  </si>
  <si>
    <t>FR0012435121</t>
  </si>
  <si>
    <t>Stable (novembre 2023)</t>
  </si>
  <si>
    <t>Actionnaire : Canadian Pension : 11,9%, BWGI : 9,8% et BPI : 5,4% (mi 2024). Flottent : 74%. Eurazeo est sortie en 2019 et Crédit Agricole Assurances en 2023</t>
  </si>
  <si>
    <t>E=-1</t>
  </si>
  <si>
    <t>S=0</t>
  </si>
  <si>
    <t xml:space="preserve">Externalisation dans les pays d'Elis à venir (35% aujourd'hui) à l'image des chiffres aux USA et UK (70-80%) où Elis n'est pas présent  </t>
  </si>
  <si>
    <t>Concurrence : Rentokil au Royaume-Uni. Modèle venant des États-Unis (Cintas : 8 Md $ de CA - 40 000 salariés et 1,2 Md de RN, 36 Md $ de capi) et du Royaume-Uni dupliquer par Elis en Europe et en Amérique Latine</t>
  </si>
  <si>
    <t>Concurrence : lingerie des centres hospitaliers, petits centres et nouveaux acteurs avec le digital dont Amazon (faible suite à un point avec Elis)</t>
  </si>
  <si>
    <t>Developpement à l'international intéressant. Prix payé par Eurazeo en 2007 (VE/EBE de 7,2 fois) soit 18,42 euros par action sur les chiffres 2017. A revoir avec les acquisitions en Espagne et au Brésil</t>
  </si>
  <si>
    <t>L'ensemble est déjà valorisé VE/EBE de 7,2 comme le prix d'achat de Berendsen et comme le prix payé par Eurazeo en 2007 pour Elis</t>
  </si>
  <si>
    <t>Offre revue à la hausse sur Berendsen avec plus de cash et l'aval du CA de Beredsen. Dettes 2900 M eu / Titres : 243 Millions / VE : 8,1 fois faible upside (8,75 fois selon les calculs du 26/7/2017 - IPO 2015 à 6,26 fois)</t>
  </si>
  <si>
    <t>Fusion Elis / Berendsen effective le 15/9/2017. Révaluation des marges le 29/1/2018. Ebitda à 31,5% et Ebit à 13,5%. Rating BB-</t>
  </si>
  <si>
    <t>Modèle lié à la croissance externe favorise les banques (M&amp;A) et obligataires. Faible création de valeur (beaucoup de survaleur lié aux acquisitions) mais activité résiliente qui croît avec l'externalisation, la bonne gestion des coûts et les faibles taux d'intérêt</t>
  </si>
  <si>
    <t>Refinancement de la dette à échéance 2025, coût de la dette inférieur à 1,5% et pas d'échéance avant 2023 et plus de dettes bancaires (en date de septembre 2019)</t>
  </si>
  <si>
    <t>Bonne résistance en 2020 en dépit d'un contexte difficile avec maintien de la marge et free cash flow à 200 M euros. CA 2021 attendu en hausse de 3%</t>
  </si>
  <si>
    <t>IPO en 2015 à 13 euros</t>
  </si>
  <si>
    <t xml:space="preserve">L'activité dans l'hôtellerie reviendra à son niveau de 2019 en 2024. Pas de dépréciation d'actifs. Impact contenu de l'inflation (marge d'EBE à 33,5% contre 34,5%). </t>
  </si>
  <si>
    <t>Risque de taux : pas de taux variable et charges financières à 90 Me soit 2,73% et échéance étalée. Charges financières : 3% du CA</t>
  </si>
  <si>
    <t>Croissance organique structurelle revue à 3,5% par an (contre 3%) besoin de plus d'hygiène et marge en hausse de 0,9% pour l'EBE. Dépréciation de la Russie : 58,7 M euros</t>
  </si>
  <si>
    <t>Risque Amazon (faible) Transformation blanchisserie d'hôtels en piscine (terminé) risque télétravail (faible). Opportunité : Plus de vêtements de travail en Espagne et Amérique du Sud. Hôpitaux en France sous traitance non encore développé</t>
  </si>
  <si>
    <t>Acquisition de Berendsen bien passée (pépite en Scandinavie 40% d'EBE, cela a aidé pendant le Covid-19), Allemagne taille faible (mieux avec Elis) et UK mal géré (affaire redressée)</t>
  </si>
  <si>
    <t>Le linge représente 5 euros  du prix d'une chambre d'hôtel de 150 euros/jour. Refinancement en deux fois pour un montant de 500 Me avec un taux autour de 4,3% à horizon 10 ans</t>
  </si>
  <si>
    <t>Risque sur le prix du gaz au 30/6/2022 : couvert à 100 euros le MWh pour 2022, à 85% pour 2023 à 80 euros, 33% pour 2024 à 65 euros et à 20% pour 2025 à 50 euros</t>
  </si>
  <si>
    <t>La dette (3 Md euros) se rapproche des 2,5 fois l'EBE, probablement à 2 fois en 2023 et moins de 2 fois pour 2024 pour viser l'Investment Grade et contenir les frais financiers à 100 Me par an par progression de l'EBE et moins d'acquisitions</t>
  </si>
  <si>
    <t>CAC : Pwc et Mazars</t>
  </si>
  <si>
    <t>PUMA</t>
  </si>
  <si>
    <t>Chaussures &amp; Sports</t>
  </si>
  <si>
    <t>Allemagne</t>
  </si>
  <si>
    <t>DE0006969603</t>
  </si>
  <si>
    <t>2007 : Kering prend une participation de 70% autour de 33 euros par action, monte à 83% sans la retirer de la cote</t>
  </si>
  <si>
    <t>Répartition du Marché : 52 % Nike, 26 % Adidas, 9 % PUMA (numéro 3 mondial). Émergence de marque sur certains créneaux</t>
  </si>
  <si>
    <t xml:space="preserve">2018 : redressement avec la stratégie de Gulden centré sur le sportif. Amélioration de l'activité et résultat d'exploitation à 350 M euros. </t>
  </si>
  <si>
    <t>Poursuite en 2019 objectif 560 Me de rex. FCF proche du RN</t>
  </si>
  <si>
    <t>2021 : valorisation généreuse, 20 fois le résultat d'exploitation en 2021</t>
  </si>
  <si>
    <t>L'estimation de la croissance du marché est de +4% sur les deux prochaines années à venir</t>
  </si>
  <si>
    <t>CAC : KPMG</t>
  </si>
  <si>
    <t>division du nominal par 10</t>
  </si>
  <si>
    <t>Kering</t>
  </si>
  <si>
    <t>Luxe</t>
  </si>
  <si>
    <t>Groupe fondée par la famille Pinault dans les années 60. (40,9% du capital)</t>
  </si>
  <si>
    <t>FR0000121485</t>
  </si>
  <si>
    <t>François-Henri Pinault (1965) - CEO depuis 2005</t>
  </si>
  <si>
    <t>E = -1</t>
  </si>
  <si>
    <t>Numéro 3 ou 4 mondial du luxe (LVMH, Hermès, Chanel)</t>
  </si>
  <si>
    <t>Une douzaine de grandes marques de Luxe tiré par Gucci (57%), YSL (13,3%) et Bottega Veneta (9,2%) au-dessus de 1 Milliard d'euros d'activité. Montée en puissance du on-line et baisse du Wholesale (faible marge)</t>
  </si>
  <si>
    <t>1999 puis 2001 acquisition de Gucci et YSL, virage dans le Luxe</t>
  </si>
  <si>
    <t xml:space="preserve">2007 : achat de PUMA à 330 euros soit 5 Md euros de valorisation et 70% du capital soit 3,5 Md euros. </t>
  </si>
  <si>
    <t>2017 : excellents résultats dans la lignée du CA de Gucci et YSL. Redressement de PUMA</t>
  </si>
  <si>
    <t>EBE à 1550 Me soit 3100 sur l'année en ligne avec le tableau. Multiple VE/EBE de 13,5 fois en ligne avec la rentabilité (mais pas la croissance donc pas de problème de soutenabilité) mais prises de profits si accélération haussière</t>
  </si>
  <si>
    <t>Dernier levier : PUMA et développement d'une autre marque de Luxe Balenciaga ? Et split</t>
  </si>
  <si>
    <t>Un potentiel à très long terme demeure avec les marques puissantes, la taille moindre par rapport à LVMH et l'explosion potentielle d'une petite marque comme Balenciaga</t>
  </si>
  <si>
    <t xml:space="preserve">2018 : Kering sans Puma/ Progression de 35% de Gucci - 17% Saint Laurent - baisse de Bottega et hausse de Balenciaga. </t>
  </si>
  <si>
    <t>2020 : cession le 5 octobre de 5,9% de PUMA par Kering soit 694 M euros. Kering a encore 9,8% de PUMA (920 M euros)</t>
  </si>
  <si>
    <t>2021 : le 27 mai, nouvelle cession de 5,9% de PUMA soit 805 M euros. Kering a encore 4% de PUMA (600 M euros)</t>
  </si>
  <si>
    <t>forte progression de l'activité à +35% et de la marge. YSL à 2,5 Md euros (+47% au 4T21). Les ventes en ligne (+55%) représentent 15% du CA. Création de valeur annuelle : 2,5 Md euros (capitalisation de 26 années de création de valeur)</t>
  </si>
  <si>
    <t>Acquisition de la marque de lunettes Lindberg autour de 350 Me, officieux dans le tableau des flux de l'année</t>
  </si>
  <si>
    <t>2022 : poursuite de la croissance et cession de Sowind (Ulysse Nardin et Girard Perregaux au Management). Acqusition d'une marque de lunettes Maui Jim aux États-Unis pour 1,5 Md euros (officieux) et 300 M euros de CA. Branche lunettes à 1 Md euros</t>
  </si>
  <si>
    <t>Cession de 1% de Puma, Kering a encore 3% de PUMA (autour de 210 Me pour un cours de PUMA à 50 e)</t>
  </si>
  <si>
    <t>Potentiel de la branche Lunette : 2 Md euros (contre 1 Md euros) et marge d'EBIT à 15% et YSL à 5 Md euros (contre 2,5 Md euros) avec marge d'EBIT à 30% soit 3,5 Md euros en plus et 1 Md euros d'EBIT en plus. Potentiel : 26 Md euros, 8 Md d'EBIT et 6 Md de RN</t>
  </si>
  <si>
    <t>2023 : ralentissement de l'activité, contre coup Covid-19, départ du créateur chez Gucci</t>
  </si>
  <si>
    <t>Acquisition de Creed pour 3,5 Md euros, officieux (250 Me de CA) auprès de fonds de PE dont Blackrock, haute parfumerie, marque prestigieuse et de 30% de Valentino pour 1,7 Mde célèbre marque italienne (1,4 Mde de CA et 350 Me d'EBE )</t>
  </si>
  <si>
    <t>CAC : Deloitte et PwC</t>
  </si>
  <si>
    <t>IS : 27,5%</t>
  </si>
  <si>
    <t>Pay out ratio : 60%</t>
  </si>
  <si>
    <t>LVMH</t>
  </si>
  <si>
    <t xml:space="preserve">Numéro un mondial du luxe détenu par la famille Arnault (1949) </t>
  </si>
  <si>
    <t>FR0000121014</t>
  </si>
  <si>
    <t>70 marques de prestiges Louis Vuitton, Céline, Guerlain. Mode, parfum et bijouterie Vins et spiritueux et distribution</t>
  </si>
  <si>
    <t>Croissance externe ciblée depuis 2009 : Bulgari, Tiffany,</t>
  </si>
  <si>
    <t>Mode : 50% du CA, Parfums : 10%, Vins : 7%, Montres : 12,5% et distribution : 12%</t>
  </si>
  <si>
    <t>France : 8% du CA, Europe : 16%, États-Unis : 25%, Japon : 9% Asie (hors Japon) : 30%, Reste du Monde : 12%</t>
  </si>
  <si>
    <t>2009 : achat de Bulgari</t>
  </si>
  <si>
    <t>2018 : croissance de 10%</t>
  </si>
  <si>
    <t>2020 : achat de Tiffany (après avoir hésité en juin 2020 avec la crise, la transaction s'est faite en fin d'année)</t>
  </si>
  <si>
    <t>2021 : LVMH prend 10% de Tod's. Année exceptionnelle avec 64 Md de CA (+44%) doublement du résultat d'exploitation et 150% du résultat net. Dior, Cognac, champagne, Asie, États-Unis et Tiffany ont brillé</t>
  </si>
  <si>
    <t>2022 : résultats hors norme avec 80 Md de CA (+23%) dont 50% pour la mode et maroquinerie et un résultat net de 14 Md euros</t>
  </si>
  <si>
    <t>2024 : ralentissement de la croissance à -1%, Vins en baisse, Parfums (+6%) et Mode (50% du CA stable). Normalisation</t>
  </si>
  <si>
    <t>CAGR 2018 - 2023 : 13,97%</t>
  </si>
  <si>
    <t>CAC : Deloitte et Mazars</t>
  </si>
  <si>
    <t>Minoritaires : 5%</t>
  </si>
  <si>
    <t>Pay-out ratio : autour de 50%</t>
  </si>
  <si>
    <t>Tod's</t>
  </si>
  <si>
    <t>Italie</t>
  </si>
  <si>
    <t>Tod's détenu par la famille de Diego Della Valle (fondé en 1978)</t>
  </si>
  <si>
    <t>IT0003007728</t>
  </si>
  <si>
    <t>4 marques : Tod's (55%) Vivier (16%), Hugan (23%) et Fay (6%)</t>
  </si>
  <si>
    <t>Chaussures (80%), leather (14%) et Appareil (6%)</t>
  </si>
  <si>
    <t>Italie (32%), Europe (25%), Chine (20%) Amérique (9,2%) reste du Monde (14%)</t>
  </si>
  <si>
    <t>2/3 en magasin propre et 1/3 en wholesale</t>
  </si>
  <si>
    <t xml:space="preserve">2016 : acquisition de Roger Vivier pour 415 M euros </t>
  </si>
  <si>
    <t>2017 : CA de Tod's à -6,6% problème d'approvisionnement</t>
  </si>
  <si>
    <t>pas de dettes</t>
  </si>
  <si>
    <t>Minoritaires : peu</t>
  </si>
  <si>
    <t>PRADA</t>
  </si>
  <si>
    <t>Société familiale fondée en 1913 par Prada et toujours détenue à 80% par la famille qui ne souhaite pas vendre. 20% listé à la bourse de Hong Kong en 2011</t>
  </si>
  <si>
    <t>IT0003874101 </t>
  </si>
  <si>
    <t>Lorenzo Bertelli (1988), administrateur et en charge du numéro, fils de Bertelli et e Miuccia Prada actionnaire à 80%, pourrait reprendre les rênes à terme</t>
  </si>
  <si>
    <t>Autres marques du groupe : Miu-Miu (1993), les chaussures Church's</t>
  </si>
  <si>
    <t xml:space="preserve">625 magasins dans le Monde. 3 Md euros de CA </t>
  </si>
  <si>
    <t xml:space="preserve">Prada : 80 % du CA - Europe : 40% Etats-Unis : 14% - Asie 30% - Japon : 11% </t>
  </si>
  <si>
    <t>Leather goods : 56% - Footwear : 20%</t>
  </si>
  <si>
    <t>clôture 31 janvier</t>
  </si>
  <si>
    <t>IPO en 2011 à la bourse de Hong Kong</t>
  </si>
  <si>
    <t>Mulberry</t>
  </si>
  <si>
    <t>Fondé en 1971 et détenue par la famille Ong Beng Seng à 56,19%</t>
  </si>
  <si>
    <t>GB0006094303 </t>
  </si>
  <si>
    <t>Bonne réputation auprès de la clientèle féminine, un peu old school</t>
  </si>
  <si>
    <t>65 magasins, le digital représente 17% et UK stable en chiffre d'affaires (50% du parc de magasins), Asie (33%), Europe hors UK (6%) et Amérique du Nord (7%)</t>
  </si>
  <si>
    <t>Le CA a doublé entre 2009 et 2012 de 60 M£ à 180 M£ depuis stable. RN à 5 M£ et Cash Flow à 15 M£</t>
  </si>
  <si>
    <t>Restructure en fermant les magasins mal placés, développe Digital et Asie</t>
  </si>
  <si>
    <t>Thierry Andretta, 61 ans, CEO depuis 2015. 1 400 salariés soit 121 K£ par salarié</t>
  </si>
  <si>
    <t>Flottant faible à 10% car il y a également une banque (Haviland) et un fonds au capital</t>
  </si>
  <si>
    <t>Risque de rester petit longtemps car la croissance est capté par les marques à 1 Md</t>
  </si>
  <si>
    <t>En 2009, valo à 60 M£ comme le CA et en 2012, valo à 1,5 Md £</t>
  </si>
  <si>
    <t>Activité en Corée du Sud détenue à 60% et 40% pour son partenaire puis repris à 100 % en juillet 2019.</t>
  </si>
  <si>
    <t>2024 : tentative de rachat par les actionnairs</t>
  </si>
  <si>
    <t>CAC : Deloitte</t>
  </si>
  <si>
    <t>Peu de minoritaires</t>
  </si>
  <si>
    <t>Pay-out ratio : plus de 50% sur les cinq dernières années mais pas de dividendes en 2020 suite au Covid-19</t>
  </si>
  <si>
    <t>Ralph Lauren</t>
  </si>
  <si>
    <t>Fondé par Ralph Lauren en 1967</t>
  </si>
  <si>
    <t>US7512121010</t>
  </si>
  <si>
    <t>Visa</t>
  </si>
  <si>
    <t>Moyens de paiment</t>
  </si>
  <si>
    <t>VISA est fondé en 1958</t>
  </si>
  <si>
    <t>US92826C8394</t>
  </si>
  <si>
    <t>CEO : Alfred Kelly (né en 1959) a rejoint VISA en 2016</t>
  </si>
  <si>
    <t>AA-</t>
  </si>
  <si>
    <t>Les acquisitions de 2019 s'élève à 987 M de dollars</t>
  </si>
  <si>
    <t>De nombreux litiges, 1Md euros en 2019</t>
  </si>
  <si>
    <t>19 500 employés soit 1 1793 K dollars par employé</t>
  </si>
  <si>
    <t>Pay out ratio : 17% (2019)</t>
  </si>
  <si>
    <t xml:space="preserve">Worldline </t>
  </si>
  <si>
    <t>Moyens de paiement</t>
  </si>
  <si>
    <t>Opérateur européen présent dans 30 pays sur le physique (commerçant, distribution…) et le on line. Présent en Asie et aux Amériques</t>
  </si>
  <si>
    <t>FR0011981968</t>
  </si>
  <si>
    <t>4 ème acteur mondial du paiement en ligne suite à l'acquisition d'Ingenico en novembre 2020</t>
  </si>
  <si>
    <t>Ancienne filiale d'Atos, indépendante depuis début 2020 avec la sortie d'Atos suite à la fusion avec Ingenico</t>
  </si>
  <si>
    <t>Actionnaires : Six Group AG : 10,6% - Bpi France : 4,4% - Salariés : 0,6% - Flottant : 85%</t>
  </si>
  <si>
    <t>Dirigé par Gilles Grapinet (né en 1964), CEO depuis 2014 et Bourrigeaud Chairman depuis octobre 2021. Possède 110 000 actions (8 M euros)</t>
  </si>
  <si>
    <t>Potentiel élevé des moyens de paiement, ils touchent une commission sur les moyens de paiement qui pourraient doubler d'ici 2030 mais disruption du secteur avec Adyen (paiement en ligne..)</t>
  </si>
  <si>
    <t>BBB (30/06/2020)</t>
  </si>
  <si>
    <t>E</t>
  </si>
  <si>
    <t>FCF de 287 M e proche du résultat net</t>
  </si>
  <si>
    <t>S</t>
  </si>
  <si>
    <t xml:space="preserve">2018 : transaction avec Six </t>
  </si>
  <si>
    <t>2019 : en juillet, rachat des minoritaires d'equensWorldlinec pour 1,07 Md euros</t>
  </si>
  <si>
    <t>2020 : en février, Worldline rachète Ingenico (8 Md euros) en février 2020 : 81 % en titres et 19% en cash. 65% des actionnaires de Wordline détiendront le nouvel ensemble et 35 % sera détenu par les anciens d'Ingenico</t>
  </si>
  <si>
    <t xml:space="preserve">Fin 2020, acquisition de 51% (300M euros) des activités de services aux marchands d'ANZ par l'intermédiaire d'une nouvelle structure. </t>
  </si>
  <si>
    <t>2021 : acquisition d'Handelsbanken (Pays nordique) à 100% qui réalise 35 M euros de CA ( et 35% de marge EBO), Cardlink en Grèce (pour 130 M euros) et Axepta en Italie. Acquisition d'une activité commerçant en Grèce auprès de Eurobank pour 256 M euros (80% de la société</t>
  </si>
  <si>
    <t>Fabrication de boitier probablement vendu en 2021, sortie à venir et retirer des chiffres 2021. Vente de cette branche autour de 2,5 Md euros finalement 1,7 Md euros</t>
  </si>
  <si>
    <t>Le niveau de dettes de l'ensemble pourrait passer à 3,5 Md euros et nombre de titres à 263 M de titres finalement 280 Millions de titres</t>
  </si>
  <si>
    <t>2022 : acquisition de 80% d'Axepta Italie qui a un partenariat avec BNL. Croissance à venir du paiement par carte dans ce pays</t>
  </si>
  <si>
    <t>Cession des terminaux de paiement issus du rachat d'Ingenico à Apollo pour 1,7 Md euros plus 0,9 Md euros d'actions de préférence soit 1,4 Md euros net pour Worldline et l'intéressement à la création de valeur futur via les actions de préférence</t>
  </si>
  <si>
    <t>Objectif 2024 : progression du CA de 10% par an soit 5,32 Md euros en 2024 et EBO à 30% soit 1,6 Md euros (FCF à 750 M euros proche du RN) et dettes à 1,5 Md euros ou moins ou plus si acquisition</t>
  </si>
  <si>
    <t>CAC : Deloitte et Grant Thornton</t>
  </si>
  <si>
    <t>Minoritaires : 10% (issue du rachat d'Ingenico)</t>
  </si>
  <si>
    <t>Pay-out ratio : pas de dividendes en 2019, 2020 et 2021 (transformation) cible 25%</t>
  </si>
  <si>
    <t>IPO le 26 juin 2014 à 16,4 euros</t>
  </si>
  <si>
    <t>Adyen</t>
  </si>
  <si>
    <t xml:space="preserve">Création en 2006 par Pieter van der Does (âge 53 ans) et Arnout Schuijff </t>
  </si>
  <si>
    <t>NL0012969182</t>
  </si>
  <si>
    <t>Actionnaires : 84 % flottant, restant fonds institutionnels</t>
  </si>
  <si>
    <t>Répartition par activité : Transactions numériques (61 %), Commerce unifié, plateforme + physique (25%) Plateforme (14%)</t>
  </si>
  <si>
    <t>Modèle de rémunération : 0,17 % des volumes gérés + 1 forme d'abonnement</t>
  </si>
  <si>
    <t>Concurent : Ingenico, Wordline, ANT Financial, Square, Stripe</t>
  </si>
  <si>
    <t>Europe 57%, États-Unis : 26,7%, Asie : 10,6%, Amérique du Sud : 5,6%</t>
  </si>
  <si>
    <t>2013 : a décidé d'entrer sur le marché des paiement en magasin.</t>
  </si>
  <si>
    <t>2021 : obtention de la licence succursale aux États-Unis.</t>
  </si>
  <si>
    <t>2022 : + 45% de CA aux Etats-Unis (190,7 M d'€), Taux de désabonnement à ses services de moins de 1%</t>
  </si>
  <si>
    <t>2023 : le taux de commissions est de 0,16 % (revenus / volume = 1,6 / 970), 246 M d'€ de produit financiers issus du placement de la trésorerie des flux financiers (provisoire)</t>
  </si>
  <si>
    <t>2024 : poursuite de la croissance proche de 20%. EBE à 50%. Capex : 5% (proche 100 M euros) FCF proche 100% du RN. Gain sur la trésorerie de 176 M euros au 1S soit 350 M euros avec les taux à 4%, provisoire. (8 Md de dépôts). Rn avec des taux à 2% plus proche 600 M euros</t>
  </si>
  <si>
    <t>CAGR 5 ans (2024-2019) : 31%. Objectif 2026 : CA : 3 Md euros et EBE : 1,5 Md euros</t>
  </si>
  <si>
    <t>CAC : PWC</t>
  </si>
  <si>
    <t>Pay out ratio : 0%</t>
  </si>
  <si>
    <t>IPO le 13 juin 2018 à 240 euros</t>
  </si>
  <si>
    <t>Ingenico</t>
  </si>
  <si>
    <t>Suivre en 2017 et poursuivre les investissements</t>
  </si>
  <si>
    <t xml:space="preserve">Objectif 2017 : CA +7 % et marge EBITDA&gt; 2016 (20,6%) : </t>
  </si>
  <si>
    <t>Risque sur le TPE (70% de l'activité) Objectif d'Ingénico, ramener à 50%. Acquistion d'une société nordique pour 1,5 Md euros pour 250 m euros de CA en juilllet 2017. Payé cash</t>
  </si>
  <si>
    <t>Ligne vendue en juillet 2017 à 83 euros. Bonne boîte mais risque TPE et modèle en transformation</t>
  </si>
  <si>
    <t>Mais 50% du CA en paiement digital, le PDG considère la transition faite et veut faire passer le CA digital à 70%</t>
  </si>
  <si>
    <t>Philippe Lazare (PDG) né en 1957 - 100 000 actions Ingenico. Il a été poussé à la démission remplacé par Nicolas Duss en 2018.</t>
  </si>
  <si>
    <t>Redressement de l'activité</t>
  </si>
  <si>
    <t>Capi / CA</t>
  </si>
  <si>
    <t>Dassault Systèmes</t>
  </si>
  <si>
    <t>Editeur de Logiciels</t>
  </si>
  <si>
    <t>Créée le 9 juin 1981 émanant de Dassault Aviation. Secteur aéronautique et automobile au début. Introduit en bourse en juin 1996, 15,2% du capital (7,8 M de titres) à 118 francs soit une valeur de 925 M euros</t>
  </si>
  <si>
    <t>FR0014003TT8</t>
  </si>
  <si>
    <t>Dassault Systèmes est un éditeur de logiciels spécialisé dans la conception 3D, le maquettisme numérique 3D et les solutions pour la gestion du cycle de vie d’un produit (PLM)</t>
  </si>
  <si>
    <t>A / Stable</t>
  </si>
  <si>
    <t>Actionnaire : Groupe Industriel Marcel Dassault : 40,02%, Charles Edelstenne : 5,97%, Bernard Charlès : 2,43%, Autodétention : 1,73%, Pascal Daloz : 0,24%. Flottant : 50,16%</t>
  </si>
  <si>
    <t>Pascal Daloz CEO depuis le 1er janvier 2024</t>
  </si>
  <si>
    <t>Division du nomial par 5</t>
  </si>
  <si>
    <t>Services : 11,9% services de conseil technologique, d'assistance, de maintenance et de formation, et revente de matériel informatique.</t>
  </si>
  <si>
    <t>2012 - 2013 : modèle SaaS et 3D Experience</t>
  </si>
  <si>
    <t>2014 : acquisition de Accelrys 542 M euros, Quintiq 260 M euros (Chaîne logistique), RTT 191 M euros</t>
  </si>
  <si>
    <t>2016 : acquisition de CST 295 M euros</t>
  </si>
  <si>
    <t>2017 : acquisition de Exa Corporation 344 M euros</t>
  </si>
  <si>
    <t>2018 : acquisition de Centric Software (à 93,5%), 228 M euros. Habillement, Luxe</t>
  </si>
  <si>
    <t>2019 : acquisition de IQMS 379 M euros. Logiciel ERP dédiés à la fabrication pour PME et ETI qui souhaitent numériser leurs opérations</t>
  </si>
  <si>
    <t>Fin octobre, achat de la société américaine Medidata Solutions (fondée en 1999), pour 5,8 milliards de dollars dans la Santé. Basée à New-York, 2200 employés et 635 M$ de CA (288 K$ par salarié). 16 bureaux dans 7 pays. 13 des 15 médicaments les plus vendus reposent sur la technologie Medidata</t>
  </si>
  <si>
    <t>Flux de trésorerie annuel opérationnel de 1,24 Md euros soit 25% du CA et 17,7% des capitaux employés. Création de valeur de 10% soit 700 M euros par an environ</t>
  </si>
  <si>
    <t>2021 : nouvelle année de progression de l'activité et de la marge. Croissance annuelle de 10,6% de 2010 à 2022</t>
  </si>
  <si>
    <t>2022 : nouvelle année de progression</t>
  </si>
  <si>
    <t>2023 : nouvelle progression, 126 clients gagnés dans 52 pays, développement du jumeau numérique, combiné à l'IA générative cela aide la robotique à la mise en œuvre de la solution des procédés de fabrication. Nvidia évoque la même solution</t>
  </si>
  <si>
    <t>La branche Santé (20% du CA) croît de 6% à 1,16 Md euros, Medidata en hausse de 10%. Dettes, leasing de 600 Me donc dettes nettes à 0. 200 Me par an de rachats d'actions pour servir les stocks options</t>
  </si>
  <si>
    <t>2014-2024 : CAGR 12%</t>
  </si>
  <si>
    <t>2028 : CA proche de 10 Md euros, marge d'exploitation à 33% et nette à 25% (en non IFRS - 500 M euros d'écart entre l'IFRS et le non IFRS). Doublement de l'EPS par rapport à 2023. Cours entre 50 et 60 euros avec la normalisation du multiple</t>
  </si>
  <si>
    <t>IS : 19% (28% en 2022)</t>
  </si>
  <si>
    <t>Minoritaires : peu, 0,15% en Inde</t>
  </si>
  <si>
    <t>Pay out ratio : 30% (stable)</t>
  </si>
  <si>
    <t>IPO en juin 1996 à 925 M euros</t>
  </si>
  <si>
    <t>Adobe System</t>
  </si>
  <si>
    <t>Logiciels</t>
  </si>
  <si>
    <t xml:space="preserve">Fondée en 1982 par John Warnock et Charles Gechke, Adobe est une entreprise informatique éditant des logiciels graphique, de montage vidéo et audio. </t>
  </si>
  <si>
    <t>US00724F1012</t>
  </si>
  <si>
    <t>Actionnaires : The Vanguard group (7.55%) Fidelity Management &amp; Research (5.33%), Black Rock Fund Advisor (5.27%), SSgA Funds management (4%)</t>
  </si>
  <si>
    <t>90% des professionnels de la creation utilisent photoshop, 376 millions de téléchargements des app Adobe, + 1000 milliard de visites analysés sur site commerçant et retail</t>
  </si>
  <si>
    <t>Répartition de l'activité : Abonnement 90%, Produits 4%, Service : 6%</t>
  </si>
  <si>
    <t>Répartition géographique : Amerique 58%, EMEA 26% et APAC 16%</t>
  </si>
  <si>
    <t>Concurrence : Microsoft, Autodesk, IBM, Salesforce, SAP, Oracle, Google</t>
  </si>
  <si>
    <t>2021 : excellente année avec une croissance de 20% de l'activité et rentabilité à l'avenant. Rachat de 7 millions de titres soit 3,5 Md $</t>
  </si>
  <si>
    <t>2022 : croissance de 19% du CA. EPS à 10,25$. Impact de la guerre en Ukraine, fin des activités en Russie et Bélarus pert de CA : 75 M $ et dépréciatin d'actifs : 87 M $</t>
  </si>
  <si>
    <t>Création de valeur à 33% des capitaux engagés (5Md $ par an sur 15 Md $ de Fonds Propres) soit 257 Md $ de création de valeur ajoutées aux fonds propres soit 50 années de création de valeur</t>
  </si>
  <si>
    <t xml:space="preserve">Minoritaire : </t>
  </si>
  <si>
    <t>Amadeus</t>
  </si>
  <si>
    <t>Logiciels de réservation</t>
  </si>
  <si>
    <t>Espagne</t>
  </si>
  <si>
    <t>BBB / Stable</t>
  </si>
  <si>
    <t>Création en 1987. Éditeur de logiciels pour les compagnies aériennes puis les hôteliers</t>
  </si>
  <si>
    <t>ES0109067019 </t>
  </si>
  <si>
    <t>CEO : Luis Maroto (1965), espagnol, préside depuis 2011, CFO en 2003 (depuis 2000). Président depuis juin 2021,  William Connelly (64 ans) en remplacement de José Antonio Tazon (205 000 actions au 31-12-2020)</t>
  </si>
  <si>
    <t>Actionnaires : flottant à 99,88 %</t>
  </si>
  <si>
    <t>Répartition CA : 40% Europe, Espagne : 5%, Etat-Unis : 30%, Asie Pacifique : 17%</t>
  </si>
  <si>
    <t>R&amp;D : 1,1 Md euros (15% du CA)</t>
  </si>
  <si>
    <t>Intensité capitalistique : 1,11 (stable dans le temps, mieux à l'optimum de 2018-2019)</t>
  </si>
  <si>
    <t>Goodwill : 3,71 Md euros (34,3% du bilan et 82% des fonds propres)</t>
  </si>
  <si>
    <t>Trésorerie : 1 Md euros soit 1,5 mois de CA</t>
  </si>
  <si>
    <t>1999 : première IPO</t>
  </si>
  <si>
    <t>2005 : rachat par Cinven et un autre fonds</t>
  </si>
  <si>
    <t>2007 : 124 millions de passagers (le Métier Distribution représentait 85 % du CA)</t>
  </si>
  <si>
    <t>2007, 2008, 2009 fonds propres négatifs, et l'EBE est stable sur cette période. REX : 281 millions</t>
  </si>
  <si>
    <t>2010 : deuxième IPO</t>
  </si>
  <si>
    <t>2011 : 439 millions de passagers 138 Million de réservations et  40 % de part de marché mondiale en agence de voyages</t>
  </si>
  <si>
    <t>2014 : 40% de part de marché</t>
  </si>
  <si>
    <t>2018 : acquisition de Travelclick à hauteur 100 % gestionnaire de réservation dans l'hôtellerie avec les Hilton, Marriott, Accor Hôtels, Radisson. Investissement : 1,520 Mds de $  valorisé 17,6x l'EBITDA</t>
  </si>
  <si>
    <t>2018 : 1854 millions de passagers</t>
  </si>
  <si>
    <t>2019 :  1993 millions de passagers</t>
  </si>
  <si>
    <t>2020 : frappée par la crise du Covid-19, l'activité s'effondre mais le flux de trésorerie de la société reste légèrement positif</t>
  </si>
  <si>
    <t>2021 : en décembre, 80% de l'activité de 2019 en Amérique</t>
  </si>
  <si>
    <t>2021 : Amadeus a sélectionné Microsoft pour son fournisseur principal dans le Cloud. Meilleur flexibilité dans l'ajout ou le retrait d'espace de stockage, selon les besoins opérationnels</t>
  </si>
  <si>
    <t>2022 : au 1T, les États-Unis à 97% de 2019, l'Europe à 44% et l'Asie à 27%. L'amélioration se poursuit avec des gains de parts de marché (Revenue : 65% de 2019)</t>
  </si>
  <si>
    <t>2022 : au 1T, les recherches concernant les voyages sont à 3 % du niveau de 2019. Au 2T, poursuite du redressement, Asie plus lent, Europe proche 2019 et États-Unis au-dessus</t>
  </si>
  <si>
    <t>Le poids des États-Unis devient plus important compte tenu de la reprise plus rapide (36%)</t>
  </si>
  <si>
    <t>Dilution possible avec 15 Millions de titres en plus (750 M euros de convertible). Bilan très solide avec FP 40 % du total bilan</t>
  </si>
  <si>
    <t>Redressement post Covid-19 en bonne voie, au-dessus aux États-Unis, égale en Europe et en retrait en Asie</t>
  </si>
  <si>
    <t>La société connecte 1,6 Md de personnes dans 190 pays</t>
  </si>
  <si>
    <t>2023 : normalisation terminée, FCF proche du RN (1,1 Md euros). Acquisition de Vision Box dans la biométrie aux aéroports pour 315 Meuros (420 employés, CA : 70 M euros et EBE : 20 M euros). Le marché doit passer de 47,8 Md $ à 86,1 Md $ en 2028 (+ 79,9% et CAGR : de 12,4%)</t>
  </si>
  <si>
    <t>2024 : poursuite de la croissance, contrats majeurs avec Bristish Airways et Expedia. Risque sur la résa direct via Google des clients particuliers. Division Air Distribution (50% du CA). À suivre Amadeus reste en B to B</t>
  </si>
  <si>
    <t>CAC : Deloitte et E&amp;Y</t>
  </si>
  <si>
    <t>IPO le 30 avril 2010 à 12,35 euros</t>
  </si>
  <si>
    <t xml:space="preserve">IS : 21% </t>
  </si>
  <si>
    <t>…</t>
  </si>
  <si>
    <t>DataDog</t>
  </si>
  <si>
    <t>Informatique Software</t>
  </si>
  <si>
    <t>dollar</t>
  </si>
  <si>
    <t>Fondée en 2010 par Olivier Pomel et Alexis Lê-Quôc. Entreprise de service de surveillance des applications, des serveurs, des bases de données, des outils et des services, grâce à une plateforme d'analyse de données via le Cloud</t>
  </si>
  <si>
    <t>US23804L1035 </t>
  </si>
  <si>
    <t>Direction : Olivier Pomel (CEO), Alexis Lê-Quôc (CTO)</t>
  </si>
  <si>
    <t xml:space="preserve">Olivier Pomel et Alexis Lê-Quôc détennait en 2019 plus de 63M d'actions </t>
  </si>
  <si>
    <t xml:space="preserve">Actionnaires : 66,6% actions flottantes dont : T. Rowe Price Associates, Inc. 9,6% ; Enfield Investments Holdings Corp. 8,4% ; The Vanguard Group, Inc. 7,1% </t>
  </si>
  <si>
    <t>IPO le 19 sept 2019, ils ont levé 648 M$ contre 100 M$ initiallement prévu et a été valorié à plus de 10 Mds $</t>
  </si>
  <si>
    <t>SAAS, sans doutes un système d'abonnement, offre des services aux gourvernements</t>
  </si>
  <si>
    <t xml:space="preserve">Répartition géographique : 70% Amérique du nord et 30% reste du monde (des revenus). </t>
  </si>
  <si>
    <t>Concurrence : Dynatrace, LogicMonitor, Sumo Logic, New Relic One.</t>
  </si>
  <si>
    <t>3390 clients entre 7 et 800 000 dollars par client par an (à suivre)</t>
  </si>
  <si>
    <t>2021 : poursuite de la croissance et passage des 1 Md $ de chiffre d'affaires</t>
  </si>
  <si>
    <t>2022 : croissance de 50% attendu. Distingue une rentabilité GAAP et non GAAP</t>
  </si>
  <si>
    <t>CAGR 2017-2024 : 50 %</t>
  </si>
  <si>
    <t>CAC : Deloitte &amp; Touche LLP</t>
  </si>
  <si>
    <t>IS : 8 %</t>
  </si>
  <si>
    <t>-</t>
  </si>
  <si>
    <t>Pay-out ratio : non</t>
  </si>
  <si>
    <t>IPO le 19 septembre 2019 à 37,5 dollars</t>
  </si>
  <si>
    <t>SAP</t>
  </si>
  <si>
    <t>Logiciels &amp; Cloud</t>
  </si>
  <si>
    <t>Fondé le 1er avril 1972, éditeur de logiciel pour les entreprises. Entrée en bourse en novembre 1988. Depuis la valeur de SAP a été multiplié par plus de 120.</t>
  </si>
  <si>
    <t>DE0007164600</t>
  </si>
  <si>
    <t>Fondateurs : 11% du capital, auto-détention : 3% du capital et flottant 86%</t>
  </si>
  <si>
    <t>CEO : Christian Klein (né en 1980), il possède 33 000 actions (soit 3 M euros). Mandat de 2018 à 2025. Il a commencé chez SAP en 1999</t>
  </si>
  <si>
    <t>Aujourd'hui, 85% des 500 plus grandes entreprises utilisent SAP et 70% des transactions commerciales dans le monde passe par un logiciel SAP.</t>
  </si>
  <si>
    <t>Répartition géographique : 44% Europe, 41% en Amérique et 15% en Asie. Près de 80 % du business prévisible (contrats pluri-annuel)</t>
  </si>
  <si>
    <t>Dépréciation 1,872 Md d'euros en 2019. Regroupement d'entreprise différence dette 2018-&gt;2019</t>
  </si>
  <si>
    <t xml:space="preserve">Basculement des logiciels sur le cloud, activité software en baisse de 20% (au 4T20) alors que le cloud progresse de 17% avec une meilleure marge </t>
  </si>
  <si>
    <t>75% du CA est prévisible via de contrats en 2021 (contre 72% en 2020) mais prévision 2021 plus faible à 6 Md euros de profits et 4,5 Md euros de free cash flow : incertitudes, taxes plus élevées et baisse de devises. Politique ESG intéressante : loyauté client, rétention des salariés et émission de C02</t>
  </si>
  <si>
    <t>Intensité capitalistique : 1,33. R&amp;D : 18,5% CA</t>
  </si>
  <si>
    <t>2016 : acquisition de Abakus spécialisé en analyse marketing</t>
  </si>
  <si>
    <t>2017 : acquisition de Gigya spécialisé en logiciel de CRM</t>
  </si>
  <si>
    <t xml:space="preserve">2018 : acquisition de Contextor leader dans le domaine de Robotic Process Automation (interaction augmenté en temps réel) </t>
  </si>
  <si>
    <t xml:space="preserve">Coresystems spécialisé en logiciel de CRM (customer relationship management) </t>
  </si>
  <si>
    <t>Callidus Software (Calliduscloud) spécialisé en logiciel de CRM, acheté pour 2,4 Milliards de dollars</t>
  </si>
  <si>
    <t xml:space="preserve">Recast A.I spécialisé en chat bot </t>
  </si>
  <si>
    <t>2020 : acquisition de Emarsys, logiciel d'engagement client omnicanal</t>
  </si>
  <si>
    <t>2021 : acquisition de Signavio pour 1 Md de dollars, logiciel pour améliorer l'efficacité opérationnelle des clients</t>
  </si>
  <si>
    <t>Qualtrics spécialisé en expérience management acheté pour 8 Milliards de dollars en 2018 (CA 2019 : 508 millions d'euros, profits : 8 millions d'euros) est introduit en bourse (16% du capital) le 28 janvier 2021 à 46 euros (valeur 27 Md euros) 26 euros en janvier 2022 (16 Md euros) et 1 Md de CA en 2021 et marge à 90%. SAP a 74% de Qualtrics</t>
  </si>
  <si>
    <t>Hipmunk a lancé une IA qui compare des biens/services a travers de multiple facteurs (PROJET Avorté)</t>
  </si>
  <si>
    <t>2021 : l'offre Cloud SAP S/4HANA a séduit 18 000 clients dont 1300 cette année (IBM, Adobe, Allianz, Europcar, Standard Chatered…) 1 Md euros de revenus (+46%) et Cloud à 9,4 Md euros (+17% et 1/3 du CA) déclin sur le software (-17% au 4T)</t>
  </si>
  <si>
    <t>2021 : le Cloud de SAP croît aux États-Unis de 1% malgré la concurrence de Microsoft, Apple et Amazon. L'excédent de flux de trésorerie d'exploitation est à 5 Md euros (le flux d'exploitation est 6,2 Md euros soit 25% du CA contre 7,2 Md euros en 2020)</t>
  </si>
  <si>
    <t>2022 : Cloud à 11,5-11,8 Md euros +25%. Marge du cloud autour de 70% contre 85% et plus pour le software. Départ du CFO en mars 2023 (51 ans pourtant) à suivre</t>
  </si>
  <si>
    <t>2023 : cession des 74% Qualtrics à Silver Lake (Etats-Unis) à 18,15 dollars soit 7,7 Md $ pour SAP (valeur totale de la transaction 12,5 Md$). Partenariat commercial maintenu avec Qualtrics, SAP a probablement revendu 16 Md $ Qualtrics acheté 8 Md$ en 2019</t>
  </si>
  <si>
    <t>Objectif 2025 : 36 Md euros de CA (10% par an), 22 Md euros dans le Cloud (multiplié par deux en 3 ans) passage de 40% à 66% du CA. 8 Md euros d'excédent de flux</t>
  </si>
  <si>
    <t>Création de valeur 2025 : 9 Md euros de rex soit 6,75 Md pour 37 Md de capitaux soit 18% soit création de valeur de 4-5 Md euros par an soit 100 Md euros à ajouter aux Fonds propes soit 150 Md euros de capitalisation boursière</t>
  </si>
  <si>
    <t>CAC : KPMG (un seul CAC en Allemagne)</t>
  </si>
  <si>
    <t>IS : 32 %</t>
  </si>
  <si>
    <t xml:space="preserve">Minoritaire : faible </t>
  </si>
  <si>
    <t xml:space="preserve">Pay out ratio : autour de 40% </t>
  </si>
  <si>
    <t>OVHcloud</t>
  </si>
  <si>
    <t>Cloud</t>
  </si>
  <si>
    <t>Fondée en 1999 par Octave Klaba (né en 1975) spécialisée dans l'hébergement de site puis les serveurs et le Cloud</t>
  </si>
  <si>
    <t>FR0014005HJ9</t>
  </si>
  <si>
    <t>Actionnaire : famille Klaba à 77%. Flottant entre 11,5% et 13,2%</t>
  </si>
  <si>
    <t xml:space="preserve">1,6 Millions de clients : France (52%), Europe (80%), États-Unis (6%) deuxième pays. Top 10 mondial. Projet en Inde, Singapour, Canada et États-Unis </t>
  </si>
  <si>
    <t>40 data centers et 450 000 serveurs dans 140 pays</t>
  </si>
  <si>
    <t>Cloud public : 13% du CA - Cloud privé : 62% du CA et hébergement de site : 25% du CA. Marge assez proche entre ces 3 segments de produits comme au niveau géographique</t>
  </si>
  <si>
    <t>Construction de Data Centers, développement de nouveaux produits et petites acquisitions soit autour de 300 M euros par an proche du flux opérationnel de chaque année aidée par un BFR négatif</t>
  </si>
  <si>
    <t>Croissance par de nouveaux pays et de nouvelles technologies.</t>
  </si>
  <si>
    <t>Suite à l'incendie de Strasbourg, la société a reçu 58 M euros de dédommagement</t>
  </si>
  <si>
    <t>IPO le 15 octobre à 18,5 euros soit 3,5 Md euros et une augmentation de capital de 350 M euros. Sortie des fonds d'investissement KKR, Towwer Brook capital et certains membres de la famille Klaba et salariés</t>
  </si>
  <si>
    <t>Clôture de l'exercice fiscal le 31 août</t>
  </si>
  <si>
    <t>2021 : chiffre d'affaires en ligne avec les attentes, développement avec les partenaires Atos, Cap et Sopra. Premiers clients : LVMH, Auchan, Société Générale</t>
  </si>
  <si>
    <t>2022 : croissance revu entre 15% et 17% expansion en France (+7% au 1S) aux États-Unis (+80%) et Asie (+34%) quelques coûts liés à l'IPO, l'incendie de Strasbourg et acquisition. Valeur ajoutée des solutions ?</t>
  </si>
  <si>
    <t>Couverture de taux ramenant le coût des crédits à 2,3% et l'électricité représente 5 à 10% du CA</t>
  </si>
  <si>
    <t>Lourd investissement annuel pour financer la croissance : 450 M euros en 2022 soit 57% du CA et forcément free cash flow négatif</t>
  </si>
  <si>
    <t>2024 : ralentissement de la croissance à 10% suite à l'activité morose en Europe. Marge d'EBE attendu à 37%</t>
  </si>
  <si>
    <t>Objectif : 25% de croissance par an du chiffre d'affaires soit un chiffre d'affaires 2025 à 1,6 Md e (peut-être 1,5 Md e) et EBE : 40% (peut-être 38% revu à 42% ) soit 640 M euros. Valorisation à 3-4 Md euros soit 15-20 euros et 2 fois le CA, 4 fois l'actif net, VE/EBE = 7 fois et 30 fois le RN</t>
  </si>
  <si>
    <t>IPO à 18,5 euros le 15 octobre 2021</t>
  </si>
  <si>
    <t>Part de marché mondial du Cloud : Amazon : 41%, Microsoft : 20%, Google : 6% (perd de l'argent pour l'instant), Apple, SAP et OVH. L'activité devrait doubler en 3 ans selon SAP : 25,96% par an et marge à 70% (effet d'échelle)</t>
  </si>
  <si>
    <t>CAC : Grant Thorton &amp; KPMG</t>
  </si>
  <si>
    <t xml:space="preserve">IS : </t>
  </si>
  <si>
    <t>Blackline</t>
  </si>
  <si>
    <t>Fondé en 2001 par Therese Tucker (née en 1961) (executive chair), CEO Marc Huffman (depuis 2021)</t>
  </si>
  <si>
    <t>US09239B1098 </t>
  </si>
  <si>
    <t xml:space="preserve">Société éditrice de logiciel comptable dans le cloud présent aux États-Unis principalement </t>
  </si>
  <si>
    <t>Entrée en bourse en octobre 2016 à 23,7 dollars</t>
  </si>
  <si>
    <t>291 873 (+9%) utilisateurs en 2020 pour 3 433 (+6%) clients</t>
  </si>
  <si>
    <t>Il y a 6M d'entreprise aux États-Unis</t>
  </si>
  <si>
    <t>License entre 1 000 et 1 200 dollars par an</t>
  </si>
  <si>
    <t>77% du CA réalisé aux États-Unis 23% dans le reste du monde</t>
  </si>
  <si>
    <t>Trésorie d'exploitation positive de 50M euros par an</t>
  </si>
  <si>
    <t>1 055 salariés soit un CA de 273 910 dollars par employé</t>
  </si>
  <si>
    <t>Clients : Saint Gobain, Veolia, Coca-Cola…</t>
  </si>
  <si>
    <t>Financement par des obligations convertibles</t>
  </si>
  <si>
    <t>CAC : PricewaterhouseCoopers LLP</t>
  </si>
  <si>
    <t>IPO 2016 à 23,7 dollars</t>
  </si>
  <si>
    <t>4% de minoritaire</t>
  </si>
  <si>
    <t>Atos</t>
  </si>
  <si>
    <t>Services Informatiques</t>
  </si>
  <si>
    <t>Acteur de l'informatique : infogérance, cloud, data, supercalculateur et cybersécurité</t>
  </si>
  <si>
    <t>FR0000051732</t>
  </si>
  <si>
    <t>Actionnaires : Siemens (11,7%) et institutionnels</t>
  </si>
  <si>
    <t xml:space="preserve">BB </t>
  </si>
  <si>
    <t>Cloud, data et cybersécurité en croissance (1 Md euros de CA sur 13 Md euros mais croissance 15-20%). Conseil et infogérance mature. Présent dans 71 pays</t>
  </si>
  <si>
    <t>2017 : chiffres de qualité +10% en CA dont 2-3% en croissance.  EBIT margin se rapproche des 10%. EBE possible à 1,4 MD</t>
  </si>
  <si>
    <t>Free Cash Flow 2017 : 714 Me (55% d'EBE) cherche à l'améliorer en permanence</t>
  </si>
  <si>
    <t>2018 : en juillet acquisition de Syntel (23 000 salariés pour 1 Md dollar de CA) aux Etats-Unis (90% de l'activité) dans le domaine du digital : cloud, réseau sociaux, internet des objets et automatisation (pour 3,4 Md dollars payé comptant)</t>
  </si>
  <si>
    <t>Croissance 2018 autour de 2%</t>
  </si>
  <si>
    <t>2019 : en mai déconsolidation de Worldline. Atos détient encore 25% du capital. Nouvelle cession d'actions Worldline en octobre 2019, Atos détient après cession encore 13% (soit 1,3 Md euros)</t>
  </si>
  <si>
    <t>En 2020 , en février suite à l'acquisition en titres de Ingenico par Worldline, la participation baissera. Sortie à venir. Sortie le lendemain (février 2020). Il reste au 25 juillet 2020, 3,8 % d'actions Worldline (280 M euros) détenue par Atos vendu sous forme de convertible. Dettes à 779 M euros après la cession 279 M euros</t>
  </si>
  <si>
    <t>Croissance organique 2020 : +2% / revue à -2% / - 4% en juin et marge à 9%-9,5%. Perspective long terme favorable : +5% à +7% de croissance, 12% de marge d'exploitation et 60% de FCF. Valeur boursière 14 Md euros soit 130 euros</t>
  </si>
  <si>
    <t>2020 : Cloud, Data, Cybersécurité et décarbonation représente 46% du CA et 10 acquisitions dans ces 4 domaines en 2020. 51% de l'activité au 1T21</t>
  </si>
  <si>
    <t>2021 : croissance entre 3,5% et 4%. L'acquisition de Syntel a été légèrement dépréciée en 2020 (135 M euros). Dettes de 500 Me (convertible remboursable en actions Worldline, 3,8% du capital soit 500 M euros)</t>
  </si>
  <si>
    <t>Acquisition de DXC Technolgies finalement abandonné, problème comptable aux États-Unis sans suite, et transformation vers le Cloud des clients en infrastructure, coût 1 Md euros probablement</t>
  </si>
  <si>
    <t>Cloud, data et cybersécurité et décarbonation 53% du CA, vise 75% en 2025</t>
  </si>
  <si>
    <t>Litige aux États-Unis, la filiale Syntel acheté en 2018 a été condamné à 285 M$ (en baisse par rapport au 855 M$ du premier verdict) à verser à Trizetto pour détournement de secrets commerciaux. Provisionner par Atos à 10 M$. Appel en cours</t>
  </si>
  <si>
    <t>Résultats 2021 catastrophiques et dépréciation d'actifs. Transformation du modèle économique avec le basculement des clients sur le Cloud. Espoir dans les divisions : Cloud, cybersécurité, sur calculateur et décarbonation 55% de l'activité et dettes faibles</t>
  </si>
  <si>
    <t xml:space="preserve">2022 : effondrement de la rentabilité, restructuration à venir avec la partie infrastructure (4 Md euros de CA) et BDS (5,5 Md euros de CA) scindées fin 2023 avec refinancement de 1,5 Md euros de coûts. </t>
  </si>
  <si>
    <t>Départ de Belmer en juin 2022 6 mois après son arrivée</t>
  </si>
  <si>
    <t>2023 : Le plan de scission se rapproche, juin 2023, avec la mise en bourse d'Évidian à 70%. Airbus pourrait prendre 30%. Cession de Unify (550 Me et 3000 salariés, partie communication à Unitel)</t>
  </si>
  <si>
    <t>CAC : Deloitte et Grant Thorton</t>
  </si>
  <si>
    <t>IS :</t>
  </si>
  <si>
    <t>Minoritaires : moins de 1% (peu suite à la cession de Wordline)</t>
  </si>
  <si>
    <t>Pay out ratio : Pas de dividendes. 25% - 30% - Dividendes non payés en 2020 suite à la crise. Reprise en 2021 avec un taux de 29%</t>
  </si>
  <si>
    <t>SOPRA STERIA</t>
  </si>
  <si>
    <t>Société informatique fondée par Pierre Pasquier (80 ans) a fusionné avec Steria en 2014. Rachat de Stéria à 20 euros (4 actions Steria à 20 euros pour 1 action Sopra à 80 euros annoncée en avril-mai 2014 et finalisée en août 2014)</t>
  </si>
  <si>
    <t>FR0000050809</t>
  </si>
  <si>
    <t>La fusion s'est bien passée et les objectifs d'intégration, synergies et développement annoncés en 2014, ont été atteints en 2017 (CA : 4 Md euros, EBE : 400 M euros, Dettes : 370 M euros)</t>
  </si>
  <si>
    <t>Même métier qu'Atos et Cap Gémini mais plus petit donc croissance plus rapide. Croissance 2018 autour de 3-5%</t>
  </si>
  <si>
    <t>Actionnariat : Flottant 71,5 %, Famille Pasquier 13,88 % (direct et via Sopra GMT), Famille Odin 6,55 % (direct et via Sopra GMT), Réseau salarié 6 %, Dirigeant et autodétention env 2 %</t>
  </si>
  <si>
    <t>CEO : Cyril Malargé (48 ans) entrée chez Sopra Steria en 2002 (depuis 19 ans), prise de poste en mars 2022.  Il a été directeur des différents Business Unit (Industrie, Services &amp; Utilites, Transport et Aerolines) puis CEO France. En remplacement de Vincent Paris</t>
  </si>
  <si>
    <t>Croissance organique 2020 : +3% et +5%</t>
  </si>
  <si>
    <t>Croissance organique S1 2022 : + 7,3 % du CA, Confirmation des objectifs pour 2022</t>
  </si>
  <si>
    <t>Croissance organique T3 2022 : +7,7 %</t>
  </si>
  <si>
    <t>Dépôt d'une opération de croissance externe avec comme projet l'acquisition de la société CS Group, réalisé au T1 2023</t>
  </si>
  <si>
    <t>CAC : KPMG &amp; Grant Thornton</t>
  </si>
  <si>
    <t>Minoritaires : 12%</t>
  </si>
  <si>
    <t>Pay out ratio : 30%</t>
  </si>
  <si>
    <t>STERIA</t>
  </si>
  <si>
    <t>Cap gémini</t>
  </si>
  <si>
    <t>Même modèle économique que Sopra et Atos mais plus gros avec une présence forte aux Etats-Unis (35% du CA environ)</t>
  </si>
  <si>
    <t>FR0000125338</t>
  </si>
  <si>
    <t>Détenue par la famille Kampf et dirigée par Hermelin</t>
  </si>
  <si>
    <t>200 000 collaborateurs pour 13 Md euros soit 65 000 euros par salarié pas si élevé</t>
  </si>
  <si>
    <t>En 2022 au T3 : Croissance organique de + de 14 %, CA sur 9 mois de 18 160 M d'€, REX de 1 839 M d'€.</t>
  </si>
  <si>
    <t>SPIE</t>
  </si>
  <si>
    <t>Services Multitechniques</t>
  </si>
  <si>
    <t>BB+ / Stable</t>
  </si>
  <si>
    <t>FR0012757854</t>
  </si>
  <si>
    <t>Avantage c'est du service, pas beaucoup d'investissement mais pas de barrière à l'entrée, pression concurrentielle et donc sur les prix. Spie a une solide réputation</t>
  </si>
  <si>
    <t xml:space="preserve">IPO en juin 2015 à 16,5 euros. Vente Clayton (2011-2015), Ardian et caisse du Québec (de 2003 à 2011 - PAI comme actionnaire) désendettement avec l'IPO. </t>
  </si>
  <si>
    <t xml:space="preserve">10 - 12 000 clients dont Airbus. </t>
  </si>
  <si>
    <t xml:space="preserve">2017 : au premier semestre, croissance molle voire négative (problème au Royaume-Uni maintenant réglé). Risque sur les chiffres 2017 : 380 EBITA et dettes à 1500 M euros </t>
  </si>
  <si>
    <t>Résultats 2017 comme anticipé à 380 M e d'EBITA et dettes à 1500 M e (Dettes notées BB - 2 Md brute et 500 Me de trésorerie - coût 60 Me). Problème au UK, dans l'énergie et tassement des marges (prix plus discuté en France malgré le retour de la croissance)</t>
  </si>
  <si>
    <t>Tassement des marges à 6,8% en 2016-6,3% en 2017 et 6% en 2018. Stabilité annoncé en 2019</t>
  </si>
  <si>
    <t>Résultats nets  2017 et 2018 hors activité abandonnée à 210 M euros d'où ROE à 14%. FP 20% du total du bilan un peu faible et pay out ratio élevé</t>
  </si>
  <si>
    <t>Multiple moyen d'achat des sociétés de taille moyenne dans sa stratégie Bolt-on : 6,9 fois l'EBITA en 2018</t>
  </si>
  <si>
    <t>2020 : bon rétablissement au 2S. Part de la production verte à plus de 40%. Perte sur cession des activités UK (45 M euros) et restructuration pour 25 M euros</t>
  </si>
  <si>
    <t>2021 : favorable, retour légèrement au-dessus de 2019 et marge d'EBITA à 6,1%. Offre sur Equans (services multitechniques d'Engie) abandonnée en octobre 2021. 8 acquisitions pour 277 M euros de CA</t>
  </si>
  <si>
    <t>IPO en juin 2015 à 16,5 euros</t>
  </si>
  <si>
    <t xml:space="preserve">Production verte en lien avec la taxonomie est à 42% </t>
  </si>
  <si>
    <t>2022 : acquistion d'une entreprise aux Pays-Bas dans les bâtiments intelligents (400 M euros de CA). Croissance organique à 3% et acquisition pour 250 Me de CA (soit +3,5%) pas d'activité en Ukraine et en Russie</t>
  </si>
  <si>
    <t>Cession intégrale des activités au Royaume-Uni (perte de 104,9 Me passés fin 2022) pour une activité de 200 M euros</t>
  </si>
  <si>
    <t>Exercice de qualité bénéficiant de la transition énergétique (part taxonomie : 46%, 50% en 2025), des acquisitions bolt-on et d'une bonne exécution</t>
  </si>
  <si>
    <t>2023 : perspectives favorables (+5%) avec les acquisitions complémentaires avec des montants équivalents au FCF, dettes stables (baisse en relatif). ROCE mieux grâce au BFR négatif. Emission d'Ornane début 2023, légère dilution. FP : 21% du bilan</t>
  </si>
  <si>
    <t>CAC : Price et EY</t>
  </si>
  <si>
    <t>IS : 33%</t>
  </si>
  <si>
    <t>Minoritaires : 1%</t>
  </si>
  <si>
    <t>Pay out ratio : 40% . Proche 100% depuis 2015 (pas en 2020, ce qui compense les pertes du 1S20). Reprise en 2021 avec un taux de distribution de 40%</t>
  </si>
  <si>
    <t>Carrefour</t>
  </si>
  <si>
    <t>Distribution</t>
  </si>
  <si>
    <t xml:space="preserve">Dirigé par Alexandre Bompard (1972) </t>
  </si>
  <si>
    <t>FR0000120172</t>
  </si>
  <si>
    <t>Revu le 13 février 2017, ligne vendue à 22,8 euros. Asie et le Brésil en croissance, trop mature en Europe. Au 4 T16, mieux en magasins de proximité moins bien hyper. Mieux au Brésil moins bien en Chine et fermeture de magasins en Europe (hors France)</t>
  </si>
  <si>
    <t>Revu le 9/3/2017, résultats médiocres en baisse par rapport à 2015, avec la baisse des hypers non compensées par la proximité du coup résultat à -15% en France. Asie en perte. Le titre, pas cher, pourrait souffrir. Ligne vendue en mars 2017</t>
  </si>
  <si>
    <t>Septembre. 1S17 résultat médiocre conncurrence accrue Leclerc et Amazon, chute du titre à 17 euros</t>
  </si>
  <si>
    <t>S&amp;P confirme la note BBB+ car marge EBE à 5-5,5% et dette contenu à moins de 2 fois</t>
  </si>
  <si>
    <t>Amazon : 200 Md $ de CA. Valorisation 700 Md $</t>
  </si>
  <si>
    <t>Modèle en transformation et en décroissance : vente BIO et e commerce, et click and carry. Baisse des offres en hypermarché et réduction des surfaces</t>
  </si>
  <si>
    <t>En 2021, Bompard a cherché à vendre au candien Couche-Tard à 18 euros probablement parce qu'il sera difficile de créer de la valeur au cours des dix prochaines années</t>
  </si>
  <si>
    <t>Minoritaires : 13,3%</t>
  </si>
  <si>
    <t>Air Liquide</t>
  </si>
  <si>
    <t>Gaz liquide</t>
  </si>
  <si>
    <t>Fabrication à partir de l'air libre par un processus de purification (élimine le CO2 et les poussières) et de refroidissement en très basse température de l'oxygène, de l'azote liquide et des gaz nobles</t>
  </si>
  <si>
    <t>FR0000120073</t>
  </si>
  <si>
    <t>E : 1</t>
  </si>
  <si>
    <t>S : 2</t>
  </si>
  <si>
    <t>G : 2</t>
  </si>
  <si>
    <t xml:space="preserve">2016 : acquisition d'Airgas aux États-Unis, intégration et refinancement bouclé dans l'année. 4 ans de croissance à venir selon le PDG (2020). Potentiel 130 euros à VE/EBE de 12 fois </t>
  </si>
  <si>
    <t>Chiffres du tableau un peu optimiste mais bon déroulement de l'intégration d'airgas (déjà derrière eux). Désendettement pas évident et croissance organique +1,8% (+2,8% dans Gaz et Services)</t>
  </si>
  <si>
    <t>2017 : intégration d'Airgas terminée, synergie un peu supérieur, croissance interne à 4,5% au dernier trimestre 2017 (2,9% en 2017). Cash flow : 4,25 Md euros (20% du CA) =&gt; de la dette</t>
  </si>
  <si>
    <t>2021 : Air liquide a installé la plus grande station hydrogène du monde.</t>
  </si>
  <si>
    <t>2022 : après 16 ans, Plan de succession de Benoît Potier à la Direction Générale. Benoît Potier va présider le conseil d'administration. (530 070 actions détenues)</t>
  </si>
  <si>
    <t>2022 : François Jackow (né en 1969) va lui succéder à compter du 1er juin 2022. entrée en 1993 et actuellement DG adjoint</t>
  </si>
  <si>
    <t>Cercle vertueux bien enclenché, hausse du CA, hausse de la marge et baisse de la dette (entre 1 et 1,5 Md euros par an). Conserver avec objectif 125-130 euros d'ici 2020</t>
  </si>
  <si>
    <t>CA en hausse de 6% en comparable mais impact des changes plus proche de flat en publiés</t>
  </si>
  <si>
    <t>Acquisition d'Airgas bien digéré. Croissance plus flat. Beaucoup de projets d'investissement : 3,6 Md euros au 12/02/2020</t>
  </si>
  <si>
    <t>Flux de trésorerie après BFR de 4,7 Md euros en 2019. Excédent en hausse</t>
  </si>
  <si>
    <t>Pioniers d'utilisation de l'hydrogène et pioniers de la production (nécessite des énergies renouvelable). À partir de 2030, l'hydrogène connaîtra un véritable essort</t>
  </si>
  <si>
    <t>CAC : PriceWaterHouse &amp; Ernst</t>
  </si>
  <si>
    <t>Pay out ratio : 55% (en hausse)</t>
  </si>
  <si>
    <t>Eurazeo</t>
  </si>
  <si>
    <t>Private Equity</t>
  </si>
  <si>
    <t>Holding d'investissement transformé de fonds LBO/Participation en capital développement sur toutes tailles de sociétés en Europe puis depuis 2017 aux Etats-Unis. 12 bureaux (Europe, États-Unis et Sao Paulo, Shangai, Séoul et Singapour)</t>
  </si>
  <si>
    <t>FR0000121121</t>
  </si>
  <si>
    <t>Actionnaires : famille David Weill et amis : 9,78% et JC Decaux : 18,73% - En droits de vote 46% plus auto-contrôle de 2% plus amis : proche de 50%</t>
  </si>
  <si>
    <t>CEO : Christophe Bavière (1964 : 159 179 titres fin 2021) et William Kadouch-Chassaing (1969) suite au départ forcé début 2023 de Virginie Morgon (1969) 210 000 titres détenus et Decaux président du CA suite au décès de David Weill</t>
  </si>
  <si>
    <t>Transformation intéressante avec des ROE plus élevée en capital développement. De très bons investissements (Moncler, Foncia…) cache de serieux revers (Apcoa, Desigual ..) et des cas difficiles (Europcar)</t>
  </si>
  <si>
    <t>Décote historique : 20%. En 2007 : 7%. Début 2018 : 0% (suite achat de titres de Tikehau et arrivée amicale du Holding familiale de JC Decaux)</t>
  </si>
  <si>
    <t xml:space="preserve">La valorisation pourrait changer avec l'activité pour compte de tiers suivant sa rentabilité et récurrence. Valorisation des deux parties </t>
  </si>
  <si>
    <t>Cession partielle de 10% d'Europcar le 3/10/2017. Reste actionnaire à hauteur de 30%</t>
  </si>
  <si>
    <t>2018 : 17 Md euros sous gestion avec l'activité pour compte de tiers. Eurazeo : 5,9 Md euros dont encore 900 M euros d'actifs cotés (Europcar / Elis / Moncler). Vente d'Asmodee (Fois 4) et Desigual (perte de 50%)</t>
  </si>
  <si>
    <t>ANR : 77,5 euros contre 74,4 euros au 31 décembre 2017</t>
  </si>
  <si>
    <t>2019 : cession du solde de 5% dans Elis autour de 17 euros le 25 juillet 2019. 17,7 Md sous gestion dont 6,1 Md euros en fonds propres soit un actif net proche de 80 euros</t>
  </si>
  <si>
    <t>Transformation terminée avec un modèle économique de frais de gestion fixe et variable sur la gestion pour compte de tiers (13 Md euros) d'actifs non cotées 95% (reste Europcar et Farfetch cotés). 400 à 450 participation de 40-50 M euros. Frais fixe 200 -250 Me et variable 100-200 Me</t>
  </si>
  <si>
    <t>Actif Net : 78 euros au 1 T20 mais revalorisation au semestre des actifs non cotés. 25% dans le loisir &amp; voyages</t>
  </si>
  <si>
    <t>Partie Loisirs : 20% de l'actif net déprécié de 750 M euros soit un impact de 10 euros par action et à fin 2020, 10% de l'actif net. Immobilier : 1,2 Md euros soit 6% des actifs gérés fin 2020</t>
  </si>
  <si>
    <t>2020 : ANR à 85,4 euros et 21,8 Md euros sous gestion avec une forte montée en puissance de la gestion pour compte de tiers (15 Md euros et 2,9 Md euros de collecte). La société ne détient plus d'actifs cotées. Commission de gestion à 250 M euros en 2020 potentiel élevé</t>
  </si>
  <si>
    <t>avec Idinvest et Rhône</t>
  </si>
  <si>
    <t>La société ne détient plus d'actifs cotées. Pure player du private equity. Commission de gestion à 250 M euros en 2020 potentiel</t>
  </si>
  <si>
    <t>Le marché ne prend pas en compte la valeur de l'activité private equity en fort développement depuis 5 ans. Valorisation proche de l'actif voire 105-110%</t>
  </si>
  <si>
    <t>Fin septembre 2021, poursuite de la collecte : 27 Md euros d'AUM (dont 19,5 Md euros pour compte de tiers) objectif doubler en 5-7 ans et 300 M euros de commission de gestion annuelle</t>
  </si>
  <si>
    <t xml:space="preserve">Fin décembre 2021, la collecte annuelle s'élève à 5,2 Md euros (+80% par rapport à 2020) à 2/3 de l'étranger avec 3,1 Md e en private equity et 2 Md euros en private debt </t>
  </si>
  <si>
    <t>Sortie partielle de Tikehau du capital en novembre 2021 à 80 euros (détenait encore 2,4 Millions de titres et 3,1% du capital)</t>
  </si>
  <si>
    <t>Actif net au 31 décembre 2021 : 117,8 euros soit 9 Md euros. La plus grande partie des participations (530 sociétés) sont détenues par IG.</t>
  </si>
  <si>
    <t>Fee Related Earnings à 120 Me (contre 91 Me en 2021) différence entre commission de gestion récurrente (380 Me) et charges opérationnelles (260 Me). FRE vu à 35%-40% grâce à l'extension des encours</t>
  </si>
  <si>
    <t>2023 : Virginie Morgon démissionne. Remplacé par un duo Christophe Bavière (ex-ID Invest) et William Kadouch-Chassaing (ex-SG). 590 entreprises en portefeuille (contre 530 fin 2021). Moins d'engagement du bilan, sortie du LBO et Brands. Moins d'États-Unis</t>
  </si>
  <si>
    <t>CAC : Price et Mazars</t>
  </si>
  <si>
    <t xml:space="preserve">Minoritaires : 3% suite au débouclement avec Rhône, MCH Private Equity (sortie en 2024) </t>
  </si>
  <si>
    <t>Pay-out ratio : 40% entre dividendes et rachats d'actions (200 M euros et 200 M euros)</t>
  </si>
  <si>
    <t>Signify (ex Philips Lighting)</t>
  </si>
  <si>
    <t>Eclairage</t>
  </si>
  <si>
    <t>Activité d'éclairage introduite en bourse en mai 2016 par Philips. Gestion d'une transition avec le déclin de l'éclairage traditionnelle et la montée en puissance des LED (-20% et +13%) et du Home. Structure et gestion saine, Actif Net à 18,7 euros et ROE et ROCE de 6,6% et 6,8%. EBE meargin doit progresser de 9 à 11-13%. Achat en dessous de 18-19 euros avec 30 euros pour objectif à 2-3 ans</t>
  </si>
  <si>
    <t>NL0011821392</t>
  </si>
  <si>
    <t>Dettes d'IPO : prêt de la maison mère remplacée par une ligne de crédit avant IPO. Maison mère 75 % du Capital, flottant 25 %</t>
  </si>
  <si>
    <t>3T17, le déclin de l'éclairage est compensé par le LED (68% du CA) pour la première fois. Amélioration de la marge</t>
  </si>
  <si>
    <t>Baisse des fonds propres suite aux rachats d'actions en 2017</t>
  </si>
  <si>
    <t>Sortie partielle de Philips de Philips Lighting qui a ramené sa participation de 29,59% à 18% à 32 euros les 27 février 2018. Philips Lighting en a racheté un peu. Sortie défintive à terme</t>
  </si>
  <si>
    <t>Encore un potentiel d'amélioration de la marge</t>
  </si>
  <si>
    <t>IPO en mai 2016 à 20 euros</t>
  </si>
  <si>
    <t>Invesco</t>
  </si>
  <si>
    <t>Société de gestion</t>
  </si>
  <si>
    <t xml:space="preserve">Société de gestion US indépendante basée à Atlanta, 20 pays, 50 villes et 8400 salariés. </t>
  </si>
  <si>
    <t>BMG491BT1088</t>
  </si>
  <si>
    <t>Valorisation : 10 Md $ pour 1000 Md$ gérés soit 1%</t>
  </si>
  <si>
    <t>Transaction : rachat de Lyxor par Amundi à 0,67% des encours en 2021</t>
  </si>
  <si>
    <t>BlackRock : 10000 Md$ d'encours et une valorisation à 135 Md $ soit 1,35% fin 2021. 16000 salariés soit 660 millions de dollars d'encours par salarié (contre 350 millions d'euros chez Amundi)</t>
  </si>
  <si>
    <t>En 2023, Invesco gère 1500 Md $ avec 8400 employés soit 200 M$ par personne</t>
  </si>
  <si>
    <t>Amundi</t>
  </si>
  <si>
    <t xml:space="preserve">Société de gestion </t>
  </si>
  <si>
    <t>A+ / Stable</t>
  </si>
  <si>
    <t xml:space="preserve">Premier gestionnaire d'actifs en Europe détenue à 68,9% par le Crédit Agricole, salariés : 1,4%, autocontrôle : 0,5%. Flottant : 29,2% </t>
  </si>
  <si>
    <t>FR0004125920</t>
  </si>
  <si>
    <t>S = 0</t>
  </si>
  <si>
    <t>8 ème acteur mondial et premier en Europe, 100 millions de clients dans le Monde. Modèle Europe, Asie et États-Unis</t>
  </si>
  <si>
    <t>Dirigeant : Valérie Baudson (1971) depuis 2021. Dans la société depuis 1995. Philippe Brassac, président du CA</t>
  </si>
  <si>
    <t>Chiffres d'affaires : 0,15%-0,2 % des encours et valorisation : 3-4 fois le CA entre le haut et bas de cycle</t>
  </si>
  <si>
    <r>
      <t>2010 : création d'Amundi avec le rapprochement de Crédit Agricole AM y compris CPR AM - BFT et SG AM avec 75% du capital pour le CA et 25% pour SG</t>
    </r>
    <r>
      <rPr>
        <sz val="12"/>
        <color theme="1"/>
        <rFont val="Quicksand"/>
        <family val="1"/>
        <charset val="128"/>
        <scheme val="minor"/>
      </rPr>
      <t xml:space="preserve"> (705 Md €d'encours)</t>
    </r>
  </si>
  <si>
    <t>2010 : le PNB est de 1,4 Md euros et le RN de 403 M euros</t>
  </si>
  <si>
    <r>
      <t>2015 : en novembre introduction en bourse à 45 euros (soit 7,5 Md euros) ce qui a permis la sortie du capital de la SG. Le PNB est de 1,656 Md euros (croissance 2,6% par an) et RN : 518 M euros (croissance de 5,1%)</t>
    </r>
    <r>
      <rPr>
        <sz val="12"/>
        <color theme="1"/>
        <rFont val="Quicksand"/>
        <family val="1"/>
        <charset val="128"/>
        <scheme val="minor"/>
      </rPr>
      <t xml:space="preserve"> (985 Mds d'encours)</t>
    </r>
  </si>
  <si>
    <r>
      <t xml:space="preserve">2017 : rachat de Pioneer Investment à Unicrédit pour 3,5 Md euros (financé par dettes et une augmentation de capital) pour 243 Md euros d'encours sous gestion soit une valorisation à 1,47% des encours </t>
    </r>
    <r>
      <rPr>
        <sz val="12"/>
        <color theme="1"/>
        <rFont val="Quicksand"/>
        <family val="1"/>
        <charset val="128"/>
        <scheme val="minor"/>
      </rPr>
      <t>(1426 Mds d'encours)</t>
    </r>
  </si>
  <si>
    <t>Synergie avec Pioneer : 175 M euros par an</t>
  </si>
  <si>
    <t>2020 : PNB de 2,595 Md euros et Rn de 910 M euros (croissance de 11,9% par an), bonne résistance malgré le Covid-19</t>
  </si>
  <si>
    <t xml:space="preserve">2021 : encours de 2 000 Md euros - valorisation 0,75%. Progression des résultats avec la progression des marchés, la collecte (45 Md euros - 60 Md euros en moyenne sur les 6 dernières années) et les commissions de performance. </t>
  </si>
  <si>
    <t>2021 : rachat de Lyxor à 0,67% des encours soit 825 Meuros pour 124 Md euros sous gestion et un PER de 9. Signée en avril, finalisée le 31 décembre et impact en 2022 (90 M euros de synergie). Intégré par les marchés au premier trimestre 2021</t>
  </si>
  <si>
    <t>Répartition de la clientèle : France : 54% - Italie : 10% - Europe (hors France et Italie) : 13% - Asie : 17% / Amériques : 4% / Reste du Monde : 2%. Potentiel de croissance : ETF / Europe / Asie</t>
  </si>
  <si>
    <t>Répartition des encours : actions : 18% / obligations : 46% / diversifié : 16% / monétaires : 14% / Actifs réels, alternatif et struturés : 6% /  ESG : 20% / gestion passive : 10% avec Lyxor</t>
  </si>
  <si>
    <t>2022 : encours en léger repli mais contenu poursuite du développement en Asie. Acquisition de Lyxor terminée le 30/09, synergie de coûts : 60 Me et revenus : 30 Me. Les ETF a 167 Md euros (8,7% des actifs), pdm : 14% en Europe</t>
  </si>
  <si>
    <t>2022 : encours à 1904 Md euros en fin d'année et résultat stable en neutralisant les commissions de performance de 2021. Sur la bonne trajectoire</t>
  </si>
  <si>
    <t>2023 : encours à 2037 Md euros en fin d'année (+7% en encours) mais +1% en revenu, hausse des gestions passives, monétaires, baisse des gestions actives et perf. Fees. Acquisition en Suisse dans la dette privée Alpha Associates (8,5 Md euros d'encours) pour 350 M euros (4% des actifs)</t>
  </si>
  <si>
    <t>Potentiel de croissance : ETF (204 Md euros soit 10% des encours fin 2023, +75 Md euros en 2 ans) en Europe (75%) et en Asie (10%), développement des encours avec la hausse des marchés et IT (robo advisor) pour institutionnel (100 clts : 100 M euros) et banques privées. Encours possible à 2 300 Mdeuros en 2025</t>
  </si>
  <si>
    <t>CAC : E &amp; Y et PWC</t>
  </si>
  <si>
    <t>IS : 23,5%</t>
  </si>
  <si>
    <t>Minoritaires :  en Asie, 14% des encours et mise en équivalence : 6% du RCAI</t>
  </si>
  <si>
    <t>Pay-out ratio : 66 %</t>
  </si>
  <si>
    <t>IPO en novembre 2015 à 45 euros</t>
  </si>
  <si>
    <t>Eutelsat</t>
  </si>
  <si>
    <t>Gestionnaire de satellites</t>
  </si>
  <si>
    <t>Gestionnaire de satellites avec  39 satellites en orbite (progression plus faible en ligne avec l'activité) fondé en 1977</t>
  </si>
  <si>
    <t>FR0010221234</t>
  </si>
  <si>
    <t>Excellence opérationnelle mais saturation avec plus de 7 000 chaînes de TV. Risque avec des coûts de lancement plus bas ouvrant la porte à des concurrents et lancement de satellite dans la stratosphère (pour la collecte de données) et satellite à plus haut débit de Via Sat</t>
  </si>
  <si>
    <t>Plan de Belmer réussi dans un contexte difficile avec une dette ramenée à 3,6 Md e et vente à venir d'une participation dans Hispasat de 400 Me. Cash flow élevé et récurrent à 900 Me et Capex 400-500 me / an</t>
  </si>
  <si>
    <t>Vidéo : 70% du CA saturation, données : concurrence, gouvernement stable et connectivité (avion) : croissance mais moins de 1% du CA</t>
  </si>
  <si>
    <t>Coût de la dette : 3,1%</t>
  </si>
  <si>
    <t>Cession de la participation de 33% dans Hispasat à Abertis : 302 M euros</t>
  </si>
  <si>
    <t>Pourrait faire une offre sur Inmarsat (valorisé 2,5 Md euros). Finalement, Eutelsat ne fera pas d'offre sur Inmarsat</t>
  </si>
  <si>
    <t>Intelsat sous chapitre 11 du fait de l'endettement de 14 Md et activité mature. Vente des droits d'utilisation de la bande C pouvant rapporter quelques milliards d'euros</t>
  </si>
  <si>
    <t>Offre de rachat d'Eutelsat à 12 euros par le holding de Drahi. Démission de Belmer qui devient DG d'Atos en janvier 2022</t>
  </si>
  <si>
    <t>Eva Berneke devient Dg à partir du 1er janvier 2022</t>
  </si>
  <si>
    <t>Rapprochement avec OneWeb par échange d'actions sur une valorisation de OneWeb de 3,4 Md dollars et l'émission de 200 millions de titres à 12 euros</t>
  </si>
  <si>
    <t>Soit 460 Millions de titres, 1,2 Md euros de CA et 700 M euros d'EBE avec suspension du dividendes 2023 et 2024 et dettes à 3 Md euros. Croissance du CA autour de 8% et de l'EBE de plus de 10% soit multiplié par deux à horizon 2030</t>
  </si>
  <si>
    <t>SES</t>
  </si>
  <si>
    <t>LU0088087324</t>
  </si>
  <si>
    <t>Total Energies</t>
  </si>
  <si>
    <t>Pétrole</t>
  </si>
  <si>
    <t>A  / stable</t>
  </si>
  <si>
    <t xml:space="preserve">Major pétrolière française gigantesque. </t>
  </si>
  <si>
    <t>FR0000120271</t>
  </si>
  <si>
    <t>Programme important d'extraction mais l'objectif 2017 de 2,7 Millions de barils / jour ne sera pas tenu. 2,432 M B / jour en 2016. profite de la remontée du pétrole mais ROE faible et valorsiation assez généreuse</t>
  </si>
  <si>
    <t>Au 30 juin 2017 : 2,5 M barils jour. Amélioration des résutats supérieur à la progression du Brent. RN du 2S17 : 2,5 Md$. Valoriastion un peu plus attractive</t>
  </si>
  <si>
    <t>Total a atteint une production de 2,775 M barils jour en 2018</t>
  </si>
  <si>
    <t>Objectif 2020 : ROE &gt;10 % Cash flow couvre le dividende dans un environnement du prix du baril à 50$</t>
  </si>
  <si>
    <t>Augmentation du nombre d'actions avec le dividende en actions et diverses opérations en capital (stock-options)</t>
  </si>
  <si>
    <t>Résultat Net 2020 : dépréciation d'actifs importants en lien avec la transition énergétique probablement pas terminé. Actif net à 35 euros et ROE à 3% (2020 année de crise)</t>
  </si>
  <si>
    <t>Pay-out ratio : &gt; 100% en 2020 (distribution malgré les pertes)</t>
  </si>
  <si>
    <t>Nexans</t>
  </si>
  <si>
    <t>Câbles</t>
  </si>
  <si>
    <t>Fabricant et vendeur de câbles pour l'énergie (électricité de l'éolienne aux consommateurs), télécom avec les cables pour la fibre optique (offre &lt; demande) et le bâtiment (mature). Présent dans 41 pays</t>
  </si>
  <si>
    <t>FR0000044448</t>
  </si>
  <si>
    <t>Actionnaire chilien à 19,2% suite cession en début avril 2023 de 9,6% à 80 euros. BPI : 5,2%</t>
  </si>
  <si>
    <t>BB+ Positive</t>
  </si>
  <si>
    <t>CEO : Christopher Guérin (depuis 2018 - chez Nexans depuis 1997) et président du conseil d'administration : Jean Mouton</t>
  </si>
  <si>
    <t>Concurrent : Prysmian (Italie) 8,8 Md euros de CA et 860-920 d'EBE en 2018 (rachat de General Cables pour 2,5 Md euros en 2017). En 2020, Prysmian : 11 Md de chiffre d'affaires, EBE : 1 Md et 300 Me de Rn, dettes 2,1 Md. Valo / 50% du CA et 16 fois le Rn Deux fois Nexans</t>
  </si>
  <si>
    <t>G = 3</t>
  </si>
  <si>
    <t>Intensité capitalistique : 0,3</t>
  </si>
  <si>
    <t>2016 : après un mauvais second semestre 2016, retour de la croissance au 1S2017. Activité cables pour l'éolien, télécom.. En hausse. Gas &amp; Oil en baisse</t>
  </si>
  <si>
    <t>2017 : chiffres du 1S2017 en ligne. Valorisation faible, dettes un peu élevé (437 Me). Titres hybrides dilutifs, remboursée</t>
  </si>
  <si>
    <t xml:space="preserve">chiffre d'affaires en croissance de 8,5% tiré par les câbles sous-marins. Un peu mieux dans l'industrie et Oil. Résultats en hausse mais hausse de la dette. </t>
  </si>
  <si>
    <t>Objectifs 2022 : hausse du CA de 25% et de 50% de l'EBE à 600 Me avec un ROCE à 15% - Acquisition 1,5 à 2 Md euros à dépenser</t>
  </si>
  <si>
    <t>Accélération prévue entre 2020-2022 (+6% de CA par an)</t>
  </si>
  <si>
    <t>Dettes brutes : 1,2 Md euros (65 M e de frais financiers) - trésorerie : 800 M euros. Echéance convertible janvier 2019 (remboursée car conversion à plus de 70 euros par action) et trois lignes de 200 - 250 - 330 M euros à échéance 2021 - 2023 -  2024. Pas de risque de refinancement à priori</t>
  </si>
  <si>
    <t>2018 : EBE 350 me et dettes 420 Me mieux en réalité, bon point pour le nouveau directeur général Christopher Guérin. Amélioration en 2019 mais pas de free cash flow après investissement, BFR, frais fin et divi</t>
  </si>
  <si>
    <t>Impact IFRS 16 : dettes : 130 M euros</t>
  </si>
  <si>
    <t>2019 : 251 M euros de charges de restructuration, Rex de 240 Me hors coût de restructuration</t>
  </si>
  <si>
    <t>Position forte aux États-Unis. Éoliennes en mer à 80 km des côtes (contre 40 km avant) câbles de 2 m de diamètres et 1000 m de profondeur. Contrat avec Orsted (leader mondial 60% de pdm) sur 7 ans et 1,5 Md euros. Dans le secteur de l'aviation : 350 km de câbles par avion (1 Km par passager)</t>
  </si>
  <si>
    <t>10-12% de part de marché mondial (avec Prysmian 28% de part de marché mondial). 200 Gigawatts d'éolien en mer a installé dont 80 en Europe à horizon 2030 avec un prix de 300 M euros par Gigawatt soit un potentiel élevé avec une forte présence aux États-Unis</t>
  </si>
  <si>
    <t>2017 (dilué)</t>
  </si>
  <si>
    <t xml:space="preserve">Vente dans 8 macro secteurs et recentrage sur 4 secteurs. Pétrole &amp; gaz (2% du CA en 2020 contre 15% en 2019). Passage de 17000 clients pour 100% du CA en 2019 à 5000 clients </t>
  </si>
  <si>
    <t>2020 : gestion de la crise rigoureuse. La partie "autres activités" 850 M euros correspond à la vente de fil de cuivre</t>
  </si>
  <si>
    <t>2021 : poursuite du redressement, Navire Aurora (second navire) pour l'installation de câbles et usine de Charleston mis en service pour équiper le programme éolien au large de l'Écosse. Acquisition de Centelsa (Colombie) 250 M euros de CA (Bâtimets et distribution d'énergie)</t>
  </si>
  <si>
    <t>Marge par métier : Haute Tension et Projets 17,9 %, Bâtiment et Territoires 7,5 %, Industrie et Solutions 8,7 %, Télécommunications et données 11,5 %</t>
  </si>
  <si>
    <t>CA par métier : Haute Tension et Projets 13,14 %, Bâtiment et Territoires 41,14 %, Industrie et Solutions 23 %, Télécommunications et données 5,30 %, Autres 18 %</t>
  </si>
  <si>
    <t xml:space="preserve">La demande augmentant fortement, Nexans souhaite sortir de certains de ses 34 sous-secteurs : automobile, pétrole, marine marchande, télécom. Concentration sur les secteurs de la transition énergétique avantage concurrentiel des 2 bâteaux (sur les Télécoms beaucoup de bâteaux) et de l'usine aux États-Unis </t>
  </si>
  <si>
    <t>Risque sur l'approvisionnement en cuivre compte tenu de la demande mais Nexans intégré verticalement</t>
  </si>
  <si>
    <t>2022 : poursuite de la croissance avec les énergies renouvelables (câbles en mer à poser), le renouvellement du réseau électrique et l'électrification des usages quotidiens. Acquisition de Centelsa en Colombie (340 Me de CA et EBE : 10%), fabricant de câbles pour le bâtiment</t>
  </si>
  <si>
    <t>2024 : acquisition de Triveneta Cavi spécialiste câble basse tension (Italie) présent dans 30 pays, pour 520 M d'euros, CA 800 M d'euros.</t>
  </si>
  <si>
    <t>Cession de 2,5% du capital de Nexans par BPI</t>
  </si>
  <si>
    <t>CAC : Mazars et PWC</t>
  </si>
  <si>
    <t>IS : 29 %</t>
  </si>
  <si>
    <t>Pay-out ratio : 32%</t>
  </si>
  <si>
    <t>Prysmian</t>
  </si>
  <si>
    <t xml:space="preserve">Créée en </t>
  </si>
  <si>
    <t>CEO : Valerio Battista 66 ans, depuis 2005 et Claudio de Conto en tant que Président (61 ans)</t>
  </si>
  <si>
    <t>Actionnariat : Seulement des instituationnels</t>
  </si>
  <si>
    <t>CA par zone géographique : Europe 45,9 %, Amerique 46,1 %, Asie 8 %</t>
  </si>
  <si>
    <t>Virbac</t>
  </si>
  <si>
    <t>Labo Vétérinaires</t>
  </si>
  <si>
    <t>Laboratoires vétérinaires fondée en 1968 et détenue par la famille Dick à 49,7% (66,2% des droits de vote). Flottant : 50,3%</t>
  </si>
  <si>
    <t>FR0000031577</t>
  </si>
  <si>
    <t>Société spécialisée dans les médicaments pour animaux d'élevage et de compagnie présent dans le monde entier</t>
  </si>
  <si>
    <t xml:space="preserve">CE0 : Sébastien Huron (1970), Mme Dick : présidente du CA </t>
  </si>
  <si>
    <t>États-Unis : 33% du marché mondial, plutôt mature chez les animaux de productions croissance des vaccins et baisse des antibiotiques</t>
  </si>
  <si>
    <t>2015 : le 2 janvier, acquisition onéreuse de deux antiparasitaires pour chien (produits Sentinel CA 2014 : 90 M$) acheté aux Etats-Unis à Ely Lilly pour 410 MS a fait grimper l'endettement</t>
  </si>
  <si>
    <t xml:space="preserve">Problème au Chili (Transiciel acheté à 51% en 2012 pour 46,7 M euros CA de 64,4 M euros, le solde en 2020) en Aquaculture suite à une algue marine tuant de nombreux saumons d'élevage. </t>
  </si>
  <si>
    <t>Deux problèmes structurels : baisse de la recommandation d'antibiotique (porcs et volaille) en Europe et saumon au Chili suite à la réglementation et Sentinel, acheté en 2015, fait face à un nouveau concurrent</t>
  </si>
  <si>
    <t>Deux problèmes conjoncturels : Chili (maladie des saumons) et usine de Saint-Louis aux Etats-Unis (produit Iverhart), ces deux problèmes sont terminés (juin 2017) mais redémarrage lent</t>
  </si>
  <si>
    <t>2019 : amélioration des résultats : CA, marge et désendettement. Mais dépréciation d'un vaccin Canileish (7 Me)</t>
  </si>
  <si>
    <t xml:space="preserve">2020 : en mai, cession des droits de Sentinel 70 M$ de CA annuel (acheté en 2015 à Eli Lilly pour 400 M$) à Merck pour 400 M$ faute de débouchés avec de grandes cliniques et de synergies avec leurs produits. Perte de CA : 55 M$, EBE marge : -3% et fort désendettement. </t>
  </si>
  <si>
    <t xml:space="preserve">Conserve la fabrication du produit Sentinel Spectrum pour chiens pendant 10 ans (2030) </t>
  </si>
  <si>
    <t>2021 : poursuit sa montée au capital de Centrovet en achetant 15% supplémentaires pour 17,7 M $ détenant 66% du capital. Renforcement dans l'aquaculture au Chili, deuxième producteur mondial de saumon. 5% du CA croissance +5% par an peut-être davantage</t>
  </si>
  <si>
    <t>rachat des 34% dans Centrovet pour 43,7 M dollars et croissance de l'activité à plus de 10% sur tous les produits et zones quasiment avec une marge d'exploitation à 16%</t>
  </si>
  <si>
    <t>2021 : résultats excellents avec une croissance à +16% et une marge d'exploitation à 16%, réussite de la stratégie et effet Covid-19 positif sur les animaux de compagnies</t>
  </si>
  <si>
    <t>2022 : la Russie et l'Ukraine représente moins de 0,5% du CA (pas de filiale). Croissance autour de 6-9% et marge à 14-15% avec une R&amp;D à 8% soit 100 M euros, contre coup Covid-19 en animaux de compagnie (57% du CA) qui a eu une croissance de 20% en 2021</t>
  </si>
  <si>
    <t>2023 : année de transition, cyberattaque en juillet (pas trop grave) reflux de l'activité post-Covid-19. Nombreuses sorties de produits. Croissance annuelle de 5,9% en moyenne sur 15 ans</t>
  </si>
  <si>
    <t>Acquisition en Inde de Globion (120 personnes, 12 Me de CA) dans les vaccins pour la volaille. Filiale mise en place en Irlande et République tchèque. FCF : 50% du Résultat net</t>
  </si>
  <si>
    <t xml:space="preserve">À horizon 2025-2030, développement des vaccins, produits spray otite pour chien (2023 - Cortotic - produit Monde), des antiparasitaires, du petfood (gamme HPM) et déclin des antibiotiques </t>
  </si>
  <si>
    <t>CAC : Deloitte et Novances David &amp; Associés</t>
  </si>
  <si>
    <t>Vétoquinol</t>
  </si>
  <si>
    <t>FR0004186856</t>
  </si>
  <si>
    <t>Famille présente dans l'opérationnel : Mathieu Frechin (CEO - 1969) et au conseil d'administration : Étienne Frechin (1938)</t>
  </si>
  <si>
    <t xml:space="preserve">La croissance d'activité ralentit voire décroit comme Zoetis entre 2015 et 2017 </t>
  </si>
  <si>
    <t>N'a pas subi les problèmes de Virbac (aléas) et a réalisé une acquisition en 2018, société autrichinne pour la fabrication de médicaments pour la fertilité des bovins</t>
  </si>
  <si>
    <t>Rentabilité des capitaux un peu faible et excès de capitaux d'où rachats d'actions et multiple de valorisation plus faible. A l'affût d'une acquisition</t>
  </si>
  <si>
    <t>Au semestre, CA en légère progression. Se concentre sur les produits de référence (47% du CA) les autres produits étant non internationalisable  et vendu par des tiers</t>
  </si>
  <si>
    <t>Action intéressante à long terme, à suivre.  La croissance ralentit avec la baisse des antibiotiques (43% du CA en 2011 et 32% en 2017) mais conserve des produits dynamiques</t>
  </si>
  <si>
    <t>Entre 2019 et mi - 2022, accélération de la croissance comme Virbac, animaux de compagnie (64% des ventes) + 30% en 2021 (effet Covid-19 positif) et animaux de production +10%</t>
  </si>
  <si>
    <t>Pay-out ratio : 15%</t>
  </si>
  <si>
    <t>Zoetis</t>
  </si>
  <si>
    <t>US98978V1035</t>
  </si>
  <si>
    <t xml:space="preserve">2023 : poursuite de la croissance avec la sortie de traitement pour les chiens et chats, vaccins pour les poulets au Mexique. Animaux de compagnie les 2/3 (+7%) et production 1/3 (+4%) pour un CA de +5,7% </t>
  </si>
  <si>
    <t>CAC</t>
  </si>
  <si>
    <t xml:space="preserve">Pay-out ratio </t>
  </si>
  <si>
    <t>IPO en janvier 2013 à 26 $</t>
  </si>
  <si>
    <t>Michelin</t>
  </si>
  <si>
    <t>Pneumatique</t>
  </si>
  <si>
    <t>A- / Stable</t>
  </si>
  <si>
    <t xml:space="preserve">Leader des pneus, modèle multi produits et zones géographiques résilient. </t>
  </si>
  <si>
    <t>FR0000121261</t>
  </si>
  <si>
    <t>S=-1</t>
  </si>
  <si>
    <t>Famille Michelin au capital moins de 10%. Commandite</t>
  </si>
  <si>
    <t>G=0</t>
  </si>
  <si>
    <t>Florent Menegaux succédera à Sénard en 2019. Au sein de Michelin depuis 1997, différentes fonctions de direction dans le Monde (parcours initiatique). A commencé sa carrière comme consultant</t>
  </si>
  <si>
    <t>Marque mondiale exceptionnelle, stratégie long terme pertinente. Très bonne gestion et rentabilité en hausse</t>
  </si>
  <si>
    <t>Concurrence des asiatiques et en Europe. Part de marché mondial stable</t>
  </si>
  <si>
    <t>2010 : augmentation de capital en cotobre de 1,22 Md euros à 45 euros (à l'actif net) soit 27 159 876 actions nouvelles pour financer les investissements (Changement de dirigeant Rollier - Sénard et risque personnel sur le gérant de la commandite)</t>
  </si>
  <si>
    <t>2017 : guidance confirmé au 1S avec volume en hausse de 3-4% (ralentissement en auto US) mais mieux en Asie et Minier. Résultats records attendus.</t>
  </si>
  <si>
    <t>2018 : financement obligataire en août : 2,5 Md euros (notation A-) 750 Me à 7 ans à 0,875%, 12 ans pour 1 Md euros à 1,75% et 750 Me à 20 ans et 2,5%. Charges financières annuelles : 43 Meuros</t>
  </si>
  <si>
    <t xml:space="preserve">Acquisition de Fenner en mai 2018 : pneus pour les engins spécialisés, les transporteuses. CA : 655 M£ - EBE : 80 M£ - prix d'achat : 1,3 Md£ </t>
  </si>
  <si>
    <t>Acquisition en juillet 2018 de CAMSO, entreprise canadienne produisant des pneus pour engins hors route : agricole, moto neige, engins de chantier(chenilles). Chiffre d'affaires : 1 M$.</t>
  </si>
  <si>
    <t>Engagement de retraites stable à 4 Md euros (variation suivant les taux d'intérêt). A suivre</t>
  </si>
  <si>
    <t>regroupement avec les activités canadienne de Michelin (CA global de 2 Md$ dirigé par un ancien de CAMSO, 26 usines, 12 000 salariés). Prix d'achat 1,45 Md $ (valeur d'entreprise : 1,7 Md $ soit 8,3 fois EBE) EBE : 200 M$</t>
  </si>
  <si>
    <t>JV avec Sumitomo aux Etats-Unis pour renforcer la couverture géographique et la distribution. Michelin versera 630 M dollars</t>
  </si>
  <si>
    <t>Valorisation maximale en 2007 : 8 fois le résultat d'exploitation 2007</t>
  </si>
  <si>
    <t xml:space="preserve">Valorisation maximale en 2018 : 8 fois le résultat d'exploitation 2018. 130 euros </t>
  </si>
  <si>
    <t>Valeur maximale : création de valeur annuelle multiplié par 20 (20 ans) ajouté au fonds propres. 15 Md e de capitaux employés et ROCE de 12%*(2,7 *0,7)</t>
  </si>
  <si>
    <t>Entre le bas et le haut de cycle, le multiple VE/EBE  passe de 3,5 à 5,5 fois soit autour de +50%</t>
  </si>
  <si>
    <t>2021 : poursuite du redressement et retour au niveau de 2019. Progression en 2022, voitures entre 0% et 4%, poids lourd entre 1% et 5% et activités de spécialités entre 6% et 10%. Résultat d'exploitation attendu à 3,2 Md euros</t>
  </si>
  <si>
    <t>2022 : voitures entre 0% et 4%, poids lourd entre 1% et 5% et activités de spécialités entre 6% et 10%. Résultat d'exploitation attendu à 3,2 Md euros</t>
  </si>
  <si>
    <t>Minoritaires : peu ou pas</t>
  </si>
  <si>
    <t>Pay out ratio : 43% en 2022 - (70% en 2021 lié au maintien du dividende en dépit de la baisse de résultat en 2020) - 36% avant</t>
  </si>
  <si>
    <t>Continental</t>
  </si>
  <si>
    <t>BBB / négative</t>
  </si>
  <si>
    <t>Continental AG est fondée en 1871 en Allemagne, c'est un équipementier automobile spécialisé dans le pneumatique.</t>
  </si>
  <si>
    <t>DE0005439004</t>
  </si>
  <si>
    <t>Direction : Nikolai Setzer, président-directeur général (Remplacement fin 2020 de Elmart Degenhart pour des raisons de santé)</t>
  </si>
  <si>
    <t>Capital détenu par : Schaeffler Gruppe 46% / Flottant : 54% (institutionnels)</t>
  </si>
  <si>
    <t>Acquisitions : 2014, Continental acquiert Veyance spécialisé dans la mécanique et les courroies pour 1,9Mds$. Et en mai 2015, la branche automobile du groupe Finlandais Elektrobit pour 600M€.</t>
  </si>
  <si>
    <t>Répartition de l'activité : Tech. Automobilie : 40,5% Tech. Pneumatique : 41,4% Tech. Propulseur : 18,6%</t>
  </si>
  <si>
    <t xml:space="preserve">Automobile est le secteur qui fait chuter le résultat en 2019, en effet 89M véhicule ont été produit dans le monde au lieu de 94M l'année précédente. Le PDG prévois que cela ne s'améliorera pas d'ici les 5 prochaines années. </t>
  </si>
  <si>
    <t xml:space="preserve">Ils prévoient de contrer cela notamment en digitalisant leurs procédés et produits étant donner que l'éléctronique prend une part de plus en plus conséquentes chaque année. </t>
  </si>
  <si>
    <t>Répartition de géographique : Présent dans 60 pays ; Allemagne 18%, Europe (sans Allemagne) 30%, Amérique du nord 25%, Asie 24%, autres pays 3%</t>
  </si>
  <si>
    <t>Concurrence : Michelin, Bridgestone, Goodyear, Pirelli</t>
  </si>
  <si>
    <t>Effectifs : 233 365 personnes au 30 juin 2021 soit 171 K euros par salarié</t>
  </si>
  <si>
    <t>En 2021, scission avec la partie Vitesco Technolgies détaché en bourse</t>
  </si>
  <si>
    <t>Chiffre d'affaire par employé : 159,5 K euros (Michelin : 190 K euros et Valeo : 250 K euros)</t>
  </si>
  <si>
    <t>Minoritaire : moins de 5%</t>
  </si>
  <si>
    <t>Pay-out ratio : 30%</t>
  </si>
  <si>
    <t>Valeo</t>
  </si>
  <si>
    <t>Automobile</t>
  </si>
  <si>
    <t>FR0013176526</t>
  </si>
  <si>
    <t>BB+ / négative</t>
  </si>
  <si>
    <t xml:space="preserve">CEO : Christophe Perillat depuis 2021. Jacques Aschenbroich, né en 1954. dirigeant fin du mandat le 31/12/2018 - AG 2019 - Renouvelé. Il possède  832 833 actions </t>
  </si>
  <si>
    <t>Présent dans 29 pays, 175 sites de production, 19 centres de recherche, 47 centres de développement et 20 plateformes</t>
  </si>
  <si>
    <t>Première monte : plus de 80% du CA</t>
  </si>
  <si>
    <t>Propulsion : 30% du CA, thermique : 20% du CA, visibilité : 28%, Aide à la conduite : 20%</t>
  </si>
  <si>
    <t>2018 : IFRS 16 : 442 M euros de plus d'endettement.</t>
  </si>
  <si>
    <t xml:space="preserve">2019 : la JV avec Siemens coûte 237 Meuros </t>
  </si>
  <si>
    <t xml:space="preserve">2020 : coût de la crise du Covid - 19 : 2,8 Md euros de CA (-28% contre -35% pour le marché automobile) et 1 Md euros d'EBE en moins </t>
  </si>
  <si>
    <t>Marché automobile 2020 estimé à -2%</t>
  </si>
  <si>
    <t>2021 : retour aux chiffres de 2019 mais avec d'autres produits (lié à l'innovation technologique) mais 1 Mde de fonds propres en moins (soit 5 euros par action). Équipe 2/3 des moteurs électriques</t>
  </si>
  <si>
    <t>2022 : rachat des 50% de Siemens dans la JV pour 700 Md euros dettes comprises. Perte de la JV avec Siemens : 243 Meuros comme ces dernières années mieux dans les années à venir</t>
  </si>
  <si>
    <t>En janvier 2022, Aschenbroich deviendra président du CA (jusqu'en mai 2023) et passera la main à Christophe Perillat comme DG</t>
  </si>
  <si>
    <t>Pas d'usines en Ukraine et une en Russie : 1% du CA</t>
  </si>
  <si>
    <t>Cession d'actifs de 500 M euros pour contenir la dette qui montera à 4 Md euros avec l'acquisition des 50% dans  Siemens Automotive pour 270 M euros et 700 M euros d'impact sur l'endettement</t>
  </si>
  <si>
    <t>Carnet de commandes à 1,5 fois le CA, plan 2025 ambitieux et 2030 : 40 Md euros de CA soit 9% de croissance par an</t>
  </si>
  <si>
    <t>2023 : 34,9 Md euros de prises de commandes, CA en hausse de 10% mais marge stable, ils serrent les coûts. Voitures éléctriques, coup de frein, thermique (20% du CA, +2%). Marge + élevée sur l'autonomie et la visibilité (14%), propulsion (12%) et Thermique : 7,6%</t>
  </si>
  <si>
    <t>Nombre d'actions multiplié par 3</t>
  </si>
  <si>
    <t>2024 : légère progression du CA et de la marge. Cession de 500 M euros d'actifs pour ramener la dette / EBE à un. Challenge baisse du thermique et hausse chaotique de l'électrification</t>
  </si>
  <si>
    <t>Marché à horizon 10-15 ans, 150 Md euros fabrication 50%-50% avec les constructeurs. Valeo 20% du marché soit 15 Md euros de CA par an</t>
  </si>
  <si>
    <t>CAC : Mazars et Ernst &amp; Young</t>
  </si>
  <si>
    <t>IS : 28,8%</t>
  </si>
  <si>
    <t>Minoritaires : 20% (JV avec Siemens)</t>
  </si>
  <si>
    <t xml:space="preserve">Pay out ratio : 40% (50 % - 60% auparavant) </t>
  </si>
  <si>
    <t xml:space="preserve">FORVIA </t>
  </si>
  <si>
    <t>Équipementier automobile fondé en 1997, ancienne filiale du groupe PSA à 46,34% dirigé par Patrick Koller. Distribution des titres en 2021 suite à la création de Stellantis</t>
  </si>
  <si>
    <t>FR0000121147</t>
  </si>
  <si>
    <t>Actionnaires : Famille Hueck et Roepke (9% familles actionnaires d'Hella), Peugeot Invest (3,1%), Exor (5,5%) (les actionnaires de Stellantis), BPI (2,4%), Dongfeng (2,2%) et employés (2,6%). Flottant à 85%</t>
  </si>
  <si>
    <t>E = 0</t>
  </si>
  <si>
    <t>7 ème équipementier mondial présent dans 40 pays. 300 sites industriels dans le Monde et 75 centres de R&amp;D (35 000 ingénieurs)</t>
  </si>
  <si>
    <t>Les clients sont principalement les quinze premiers constructeurs automobiles. 50% du CA avec 4 clients (contre 60% avant) : Peugeot, Renault, VW et Ford et 80% du CA avec 10 clients</t>
  </si>
  <si>
    <t>6 types d'activié : sièges : 31%, intérieurs - planche de bord : 18%, mobilité propre : 18% (réduction de CO2 et Hydrogène), Electronics : 15%, Éclairage : 14% et solutions cycle de vie du produits : 4%</t>
  </si>
  <si>
    <t>N = 2030</t>
  </si>
  <si>
    <t>Europe : 46% (contre 51%)  - États-Unis : 24% (contre 23%)  Asie : 27% (contre 23%). Reste du Monde 4%</t>
  </si>
  <si>
    <t>2020 : la baisse d'activité et de résultats s'est traduit par une baisse du flux de trésorerie de 500 M euros proche de 0 =&gt; endettement en hausse</t>
  </si>
  <si>
    <t>2020 : un peu de dépréciation d'actifs sur Clarion Electronics</t>
  </si>
  <si>
    <t xml:space="preserve">2021 : le 14 août acquisition de la société allemande Hella auprès de la famille (qui souhaitait vendre) pour 60% du capital et le solde coté en bourse via une OPA pour un coût total de 6,72 Md euros soit 12,8 fois le résultat d'exploitation (520 M euros) et 18,6 fois le RN (360 M euros) de 2021. </t>
  </si>
  <si>
    <t>Hella n'a pas de dettes et pas de minoritaires et complète l'offre produits (conduite accompagnée et recyclage) et élargit les clients, historiquement Faurecia, lié à Peugeot, avait moins de clients que Valeo..</t>
  </si>
  <si>
    <t>Le financement de 6,7 Md euros se fera par augmentation de capital de 800 M euros (probablement 25 Millions de titres à 32 euros) et un crédit relais de 5,5 Md euros puis un refinancement obligataire et bancaire</t>
  </si>
  <si>
    <t>Et une augmentation de capital réservée à la famille actionnaire d'Hella soit 13,571 M de titres supplémentaires et environ 500 M euros</t>
  </si>
  <si>
    <t>Hella est spécialisé dans la conduite accompagnée/autonome, le cycle de vie des produits, la mobilité électrique et le cockpit du futur. 7 Md euros de CA, 125 sites dans le Monde et 36 000 salairés (200 K euros par salarié)</t>
  </si>
  <si>
    <t>Fin novembre : Faurecia précise détenir 79,5% de Hella, le reste restera coté</t>
  </si>
  <si>
    <t>Production automobile mondiale en 2021 : 76,6 Millions de véhicules (80 Millions en 2019) - prévisions : 90,9 Millions de véhicules en 2025. CA de Faurecia : 24,5 Md euros et marge 8% (2 Md euros)</t>
  </si>
  <si>
    <t>2021 : amélioration du CA et marge à 5,5% en dépit de la pénurie de semi-conducteurs et des problèmes sur l'usine du Michigan (sous contrôle et en cours de résolution fin 2021)</t>
  </si>
  <si>
    <t xml:space="preserve">2022 : les objectifs sont décalés avec la guerre en Europe (baisse de 20% des ventes en mars). Surperformance de Forvia de 5%. Suspension du dividendes, cession (1 Md e fin 2023 ) et covenant à 3,75 fin 2022. </t>
  </si>
  <si>
    <t>Ventes prévues à 24 Md euros pour 74 Millions de véhicules vendus dans le Monde, marge à 4-5% et free cash flow à 0. Augmentation de capital de 800 M euros différée</t>
  </si>
  <si>
    <t xml:space="preserve">Ancien objectifs 2022 de Faurecia (retour sur les niveaux de 2019) plus Hella (précision en avril 2022) : 26,5 Md euros de CA et 4 Md euros d'EBE puis en </t>
  </si>
  <si>
    <t>Hella détenue à 81,5% pour un prix de 5,4 Md euros avec 500 Me payé suite à une augmentation de capital et 4,9 Md euros en cash (d'où endettement)</t>
  </si>
  <si>
    <t>2022 : augmentation de capital avec 30% d'actions supplémentaires à 15,5 euros pour 705 M euros</t>
  </si>
  <si>
    <t>Amélioration en vue de l'activité et de la marge, notamment Hella (par contre pas forcément de synergie pour l'instant). Activité pot d'échappement en extinction à 2035, gérable et peut-être pas si grave selon Koller</t>
  </si>
  <si>
    <t>Gestion de l'énergie efficace : 0,7% des coûts, réduction avec couverture, économie et panneaux solaires. Neutralité carbone en 2030</t>
  </si>
  <si>
    <t>Remboursement de la dette : 2025 1Md, en 2026 1,45 Md, en 2027 2,09 Md, en 2028 700 M, en 2029 400 M</t>
  </si>
  <si>
    <t xml:space="preserve">2023 : amélioration lente. Stabilité des ventes auto en Europe d'ici 2030, l'intérieur de l'auto et la fin du thermique vont peser. Le reste Asie, intégration d'Hella va dans le bon sens. Objectif peut-être revu à la baisse  </t>
  </si>
  <si>
    <t>2025 : 30 Md euros de CA, 4 Md euros d'EBE et 7% de marge d'exploitation soit 2,1 Md euros et dettes = 1,5 EBE (6 Md euros) et Cash flow net de 1,2 Md euros (4% du CA). RN de 1,1 à 1,2 Md euros</t>
  </si>
  <si>
    <t>CAC : Mazars (depuis 2019) et Ernst &amp; Young (depuis 1983)</t>
  </si>
  <si>
    <t>IS : 38%</t>
  </si>
  <si>
    <t>Minoritaires : les 19,5% d'Hella et un peu en Chine soit 26% des fonds propres</t>
  </si>
  <si>
    <t xml:space="preserve">Pay-out ratio : 50%. Suspension en 2022 (Dividendes en 2021 malgré les pertes de 2020, supprimés en 2020). Sinon 30%. </t>
  </si>
  <si>
    <t>Opmobility (ex Plastic Omnium)</t>
  </si>
  <si>
    <t>Équipementier automibile détenue par la famille Burelle à 58,78% créée en 1946. Une des filles Burelle au Comex (lié au président du CA). CEO : Laurent Favre</t>
  </si>
  <si>
    <t>FR0000124570</t>
  </si>
  <si>
    <t>Le chiffre d'affaires a été multiplié par 5 en 20 ans</t>
  </si>
  <si>
    <t>Évolution du secteur : CASE (Connected, Autonomous, Shared and Electrified)</t>
  </si>
  <si>
    <t>Clients : 10 principaux constructeurs représentent 60% du CA. 95 clients</t>
  </si>
  <si>
    <t>Cession de la division Environnement en 2018</t>
  </si>
  <si>
    <t>32 000 salariés soit 300 K euros par salarié</t>
  </si>
  <si>
    <t>Pay out ratio : 42%</t>
  </si>
  <si>
    <t>Korian</t>
  </si>
  <si>
    <t>Maison de retraite</t>
  </si>
  <si>
    <t>Spécialiste des maisons de retraite en Europe. Suite à différents problèmes, Sophie Boissard est arrivée début 2016 et a remis sur de bons rails la société</t>
  </si>
  <si>
    <t>FR0010386334</t>
  </si>
  <si>
    <t>Actionnaire institutionnel (PSP : 14% et Predica : 24%). Evolution possible</t>
  </si>
  <si>
    <t>Achat de 25000 titres (675 K euros) le 21/7/2017 par Sophie Boissard</t>
  </si>
  <si>
    <t>Prévision 2017 : CA +5% tiré par l'international (Belgique, Allemagne et Italie) et EBITDA de 14,1% comme en 2016</t>
  </si>
  <si>
    <t>Résultats 2017 correct finalement avec une marge à 14%, stable en 2018, vu à 14,3% en 2019 et 15% en 2021</t>
  </si>
  <si>
    <t>Pas de minoritaires. Charges fin : 100 M euros</t>
  </si>
  <si>
    <t>Passage du rex au rn bénéficie de l'activation de la baisse d'impôts 2020</t>
  </si>
  <si>
    <t>50 000 salariés soit 70 000 euros par salarié</t>
  </si>
  <si>
    <t>Ouverture d'un cinqième pays, l'Espagne fin 2018 et d'un sixième, les Pays-Bas en 2019. CA 2021 vu à 4,2 Md euros et EBE à 15,5% soit 651 M e, reste l'endettement en face pour financer la croissance (3 Md e ou 3,5 Md e) - Objectif 40-45 euros</t>
  </si>
  <si>
    <t>Objectif 2023 : CA de 5 Md euros (CAGR : 8,5%) et marge de 15% soit 775 M e d'EBE</t>
  </si>
  <si>
    <t>En 2021 : 4,2 Md euros à 15,5% de marge EBE</t>
  </si>
  <si>
    <t>Acquisition de Inicea pour 360 M euros soit 3% du CA de Korian et augmentation de capital de 400 M euros à 18,1 euros soit 22 113 296 actions supplémentaires</t>
  </si>
  <si>
    <t>La crise du Covid-19 pourrait changer la réglementation et la perception des maisons de retraite</t>
  </si>
  <si>
    <t>Orpéa</t>
  </si>
  <si>
    <t>Groupe installé en France, Italies, Espagne, Portugal, Belgique, Pays-Bas, Suisse, Allemagne, Autriche, République Tchèque, Pologne, Chine et Brésil</t>
  </si>
  <si>
    <t>FR0000184798</t>
  </si>
  <si>
    <t>Fondateur, un docteur français installé maintenant en Belgique</t>
  </si>
  <si>
    <t>Le fondateur a vendu sa participation résiduelle de 7% (à vérifier pour 400 M euros) en janvier 2020.</t>
  </si>
  <si>
    <t xml:space="preserve"> </t>
  </si>
  <si>
    <t>Danone</t>
  </si>
  <si>
    <t>Biens de consommation</t>
  </si>
  <si>
    <t>Danone, spécialisé, dans l'eau, le lait, la nutrition infantile et médicale. Prend des bons virages stratégiques pour faire face aux déclins de la consommation d'eau voir du lait avec la nutrition.</t>
  </si>
  <si>
    <t>FR0000120644</t>
  </si>
  <si>
    <t>Acquisition de WhiteWave de 11,3 Md euros pour 5 Md de Ca et 600 Me de Rex financé par dettes</t>
  </si>
  <si>
    <t>La valorisation intégre déjà WhiteWave et les objcetifs 2020 : CA +5 % et marge à 16%</t>
  </si>
  <si>
    <t>Calcul VE/Rex car pas de communication sur l'EBE</t>
  </si>
  <si>
    <t>Campbell Soup</t>
  </si>
  <si>
    <t>Un des leaders de la vente de soupe et autres produits de consommation</t>
  </si>
  <si>
    <t>US1344291091 </t>
  </si>
  <si>
    <t>Il subit la même érosion des ventes que Danone et Nestlé</t>
  </si>
  <si>
    <t>Rentabilité d'une boîte US et rachat d'actions soutiennent la capitalisation boursière</t>
  </si>
  <si>
    <t>Ventes 2017-2018 en repli de 2%, rex de 14% et rn de 8%</t>
  </si>
  <si>
    <t>La tendance négative se poursuit dans les produits de grande marque du quotidien</t>
  </si>
  <si>
    <t>Nordex</t>
  </si>
  <si>
    <t>Fabricants d'éoliennes</t>
  </si>
  <si>
    <t>B</t>
  </si>
  <si>
    <t>Numéro 5 mondial de la fabrication/ installation d'Eoliennes On Shore fondée en 1985 - Développement d'une activité services après vente. Numéro 1 mondial : Vestas,  autres acteurs :  Siemens Gamesa, un chinois et GE</t>
  </si>
  <si>
    <t>DE000A0D6554</t>
  </si>
  <si>
    <t>S'est rapproché de l'espagnol Acciona Wind Power en 2016 permettant de se renforcer sur le marché américain. Le CEO a changé, c'est José Luis Blanco ancien d'Acciona</t>
  </si>
  <si>
    <t>Actionnaire : Acciona à 33,63%</t>
  </si>
  <si>
    <t>Forte révision en baisse des perspectives (crise de croissance ?) début 2017 avec un CA attendu à 3,1-3,3 Md euros en 2017 et 2018 au lieu de 4,2 Md euros à cause de pression sur les prix en Allemangne (Nordex a 17% de part de marché en Allemagne)</t>
  </si>
  <si>
    <t>Le changement du système d'enchères en Allemagne a pertubé le marché. Baisse des commandes attendu entre 2017-2020 avec des ventes autour de 600 Me dans ce pays</t>
  </si>
  <si>
    <t xml:space="preserve">A long terme, l'éolien en mer, segment sur lequel Nordex n'est pas présent, est plus intéressant (éolienne plus grande et meilleure production selon une étude américaine indépendante) que le On shore. Le offshore représente peu </t>
  </si>
  <si>
    <t>Business en Europe et Amérique (du Nord et du Sud). Première commande en Inde fin 2018</t>
  </si>
  <si>
    <t>Points forts : croissance hors Allemagne, nouveau produit bien accueilli et Asset light (500 Ke par salarié de CA et dettes nulles). Point faible : concurrence sur les prix. Risque : production - installation : marge zéro et gains sur les services. Croissance du offshore</t>
  </si>
  <si>
    <t xml:space="preserve">8527 salariés fin 2020 : 5 Md euros de CA soit 550 K euros par salarié </t>
  </si>
  <si>
    <t>Premier trimestre 2018 meilleur avec un carnet de commandes qui se garnit. Potentiel sur la France, Turquie et Suède</t>
  </si>
  <si>
    <t>Voir page 79 du rapport annuel, les achats de titre du CEO</t>
  </si>
  <si>
    <t>Le cours, 8-9 euros, est à un prix d'achat à suivre.</t>
  </si>
  <si>
    <t>Objectif : 12-13 euros après stabilisation de l'activité et retour à un multiple VE/EBE de 6-7. A long terme : 15 -20 euros mais guerre des prix, maturité du marché allemand, concurrent (Vestas) assurant le SAV sur ces éoliennes et pas Nordex</t>
  </si>
  <si>
    <t>Pas de dettes, pas de minoritaires et stabilité du nombre d'actions</t>
  </si>
  <si>
    <t>Ouverture dans de nouveaux pays fin 2018-2019 avec la nouvelle éolienne bien accueillie. Turquie, Australie. Capacité de production utilisée à 100% au 4T2019 selon le dirigeant. Potentiel supplémentaire ? Suivre la marge ?</t>
  </si>
  <si>
    <t>En août 2019 : augmentation de capital de 10% à 10,21 e</t>
  </si>
  <si>
    <t>En 2020, retour de la forte croissance avec la transition énergétique et les plans de relance. 1500 turbines installées dans 23 pays. Faible rentabilité</t>
  </si>
  <si>
    <t>En décembre 2020, augmentation de capital de 200 M euros (10%) à 18,9 euros par action avec la création de 10,7 millions de titres</t>
  </si>
  <si>
    <t>En juin 2021, nouvelle augmentation de capital de 584 M euros (40%) à 13,7 euros par action avec la création de 42,67 millions de titres. Objectif 2022 : CA de 5 Md euros et EBITDA de 8% soit 400 Meuros</t>
  </si>
  <si>
    <t>2021 : le chiffre d'affaires dépasse les 5 Md euros mais la rentabilité est très faible. Liquidité grâce à la dernière augmentation de capital</t>
  </si>
  <si>
    <t>Offre de rachat par Siemens Energy à 18,05 €uros en mai 2022</t>
  </si>
  <si>
    <t>Siemens GAMESA</t>
  </si>
  <si>
    <t>Espagne / Allemagne</t>
  </si>
  <si>
    <t>Siemens Gamesa (Onshore/Offshore) fusion en juillet 2017 - 75 GW vient de réviser son EBIT à la baisse (790 M euros contre 900 M euros, CA / 11 Md) pression sur les prix aux Etats-Unis et Afrique du Sud. Valorisation</t>
  </si>
  <si>
    <t>ES0143416115 </t>
  </si>
  <si>
    <t>Siemens Gamesa est filiale à 59% de Siemens</t>
  </si>
  <si>
    <t>L'éolien doit croître de 6,6% par an entre 2016 -2021 mais +4% hors Chine trustée par les acteurs locaux. Croissance du marché revue à la hausse à 5,5% par an entre 2019-2025</t>
  </si>
  <si>
    <t>Trésorerie positive car les fabricants d'éoliens reçoivent des avances lors des commandes</t>
  </si>
  <si>
    <t>En 2018, 9 à 9,6 Md euros - marge EBIT : 7 à 8%. Capex : 500 M euros - Clôture le 30/9 comme le groupe Siemens</t>
  </si>
  <si>
    <t>Bénéficie des programmes d'investissement européens de 750 Md euros avec une part importante pour la transition énergétique et l'installation d'éoliennes</t>
  </si>
  <si>
    <t>Partenariat avec Siemens Energy dans l'hydrogène</t>
  </si>
  <si>
    <t>Vestas</t>
  </si>
  <si>
    <t>Danemark</t>
  </si>
  <si>
    <t>DKK</t>
  </si>
  <si>
    <t>Numéro 1 mondial de l'éolien</t>
  </si>
  <si>
    <t>DK0061539921</t>
  </si>
  <si>
    <t>Comme tout le secteur, 2017 est difficile avec une pression sur les prix et moins de mise aux enchères au 3T17</t>
  </si>
  <si>
    <t>Opportunité ?</t>
  </si>
  <si>
    <t>cours en couronne</t>
  </si>
  <si>
    <t>compte en euros</t>
  </si>
  <si>
    <t xml:space="preserve">Figeac Aéro </t>
  </si>
  <si>
    <t xml:space="preserve">Aéronautique </t>
  </si>
  <si>
    <t>Fabricant de structure &amp; composants pour les avions. Fondé par M.Maillard (né en 1958) en 1989, la société a été introduite en bourse en 2013</t>
  </si>
  <si>
    <t>FR0011665280</t>
  </si>
  <si>
    <t>La société fabrique des composants d'avions : aile, moteurs, cockpit, train d'attérissage….pour les constructeurs (Airbus, Boeing) ou d'autres fournisseurs (Safran, Zodiac).</t>
  </si>
  <si>
    <t>Fabrique des pièces de 26 mm à 26 m. Pièces, composants, structure et assemblage</t>
  </si>
  <si>
    <t xml:space="preserve">La société a vu son chiffre d'affaires passée de 120 M euros en 2012 à plus de 300 M euros en 2016 et prévoit 650 M euros en 2020 </t>
  </si>
  <si>
    <t>Activité à fort investissement et BFR comme Zodiac liée à un très fort carnet de commandes. Les investissements et le BFR consomment le flux de trésorerie généré parl'activité d'où la hausse de l'endettement</t>
  </si>
  <si>
    <t>Monsieur Maillard et sa famille détiennent 75,45% du capital et 85,9% des droits de vote</t>
  </si>
  <si>
    <t>Opportuniste, il a racheté à la barre du tribunal de commerce Auvergne Aéronautique (chaudronnerie)</t>
  </si>
  <si>
    <t>A suivre, forte hausse de l'endettement depuis 18 mois</t>
  </si>
  <si>
    <t>Clôture de l'exercice en mars/ Détient la plupart des filiales à 100% (pas de minoritaires ou presque)</t>
  </si>
  <si>
    <t>Perte de change certaines années (2015)</t>
  </si>
  <si>
    <t>IPO décembre 2013</t>
  </si>
  <si>
    <t xml:space="preserve">Transfert sur Euronext B en mars 2016 et cession de titres par Monsieur Maillard pour 10 Meuros et augmentation de capital pour 75 Meuros </t>
  </si>
  <si>
    <t>Ornane de 100 M euros en octobre 2018 (émission possible de 3,8 M d'actions comptabilisée dans le tableau) à échéance 2022, voir dans le bilan la répartition Fonds propres - dettes</t>
  </si>
  <si>
    <t>Achat de 200 000 actions par Maillard fin 2017</t>
  </si>
  <si>
    <t>Marge EBE / CA : 22%</t>
  </si>
  <si>
    <t>Objectif revu en baisse à 550 M euros en 2020 et 650 M euros en 2023 mais la marge ne progresse plus</t>
  </si>
  <si>
    <t>2020-2021 : victime de la crise sanitaire</t>
  </si>
  <si>
    <t>En septembre 2021, augmentation de capital de 35 M euros à 5,6 euros avec l'entrée d'ACE Capital (filiale de Tikehau) à hauteur de 26,25% du capital</t>
  </si>
  <si>
    <t>IPO Alternext décembre 2013 à 9,2 euros</t>
  </si>
  <si>
    <t>Safran</t>
  </si>
  <si>
    <t>Aéronautique</t>
  </si>
  <si>
    <t>BBB+ / positive</t>
  </si>
  <si>
    <t>E : -2 (en naturel)</t>
  </si>
  <si>
    <t>Fabricant de moteurs et d'équipements d'avions. Création en 1905, acquisition de Labinal en 2000, fusion SAGEM - SNECMA le 11 mai 2005, acquisition de Zodiac Aérospace en 2017 - 2018</t>
  </si>
  <si>
    <t>FR0000073272</t>
  </si>
  <si>
    <t xml:space="preserve">
E: 1 (effort entreprise)</t>
  </si>
  <si>
    <t xml:space="preserve">E Global : -1 </t>
  </si>
  <si>
    <t>Directeur Général : Olivier Andries (59 ans) arrivé en 2008, CEO le 1/1/2021. Directeur Financier : Pascal Bantegnie (52 ans) arrivé en 2009, Prise fonction directeur financier 1/1/2022, Président du CA : Ross McInnes (67 ans)</t>
  </si>
  <si>
    <t xml:space="preserve">S : 1 </t>
  </si>
  <si>
    <t>Partenariat avec GE (CFM International : JV à 50/50 depuis 1973) pour la fabrication des moteurs LEAP renouvelé jusqu'en 2040. 80 % du marché. Le moteur représente 30% du prix de l'avion soit 15 M euros</t>
  </si>
  <si>
    <t>250 sites de production dans le Monde en 2020. 5% du CA en R&amp;D</t>
  </si>
  <si>
    <t>Concurrents : Collins Aerospace, Honeywell, Thales, Bae System, Rolls Royce (moteurs long courrier)</t>
  </si>
  <si>
    <t>Sur les 50% moteurs : aviations civiles : 78%, militaires 11% et hélicoptères : 11%</t>
  </si>
  <si>
    <t>Implantation par zone géographique : France 39 %, Europe (hors France) 14 %, Asie &amp; Océanie 5 %, Afrique &amp; Moyen Orient 5 %, Amériques 37 %</t>
  </si>
  <si>
    <t>2018 :  rachat de Zodiac pour 10 Mds d'euros à 29,50 € par action, financé par la trésorerie de l'entreprise. Début de l'opération en janvier 2017</t>
  </si>
  <si>
    <t>2019 : 2 127 moteurs Leap et CFM livrés</t>
  </si>
  <si>
    <t>2021 : 952 moteurs livrés. Amélioration à partir de la deuxième partie de l'année, mais encore 40% en-dessous de 2019 et en-dessous de 2020</t>
  </si>
  <si>
    <t>50 % de l'apprivisionnement en Titane est effectué par la Russie</t>
  </si>
  <si>
    <t>CAC : Mazars et EY</t>
  </si>
  <si>
    <t>Minoritaires : peu, les filiales sont détenues à 100% sauf Ariane Group à 50% et partenariat avec GE (représente 2 - 3% du RN et 5% des fonds propres)</t>
  </si>
  <si>
    <t>Airbus</t>
  </si>
  <si>
    <t>Création en 1970, devient EADS en 2000 et devenu Airbus Group 2014 (suite à la sortie de Daimler et Lagardère)</t>
  </si>
  <si>
    <t>NL0000235190</t>
  </si>
  <si>
    <t>PDG : Guillaume Faury</t>
  </si>
  <si>
    <t>Actionnaire : 25,9% stable (Etat Français 10,9%, Allemand 10,9% et Espagnol 4,1% ) et 74,1% flottant</t>
  </si>
  <si>
    <t>Répartition CA par activité : Airbus 69 %, Helicoptère 12 %, Défense 19 %</t>
  </si>
  <si>
    <t xml:space="preserve">Hélicoptères : 338 / an de vente, 739 état du carnet de commande (18 M euros) Marge 8 % </t>
  </si>
  <si>
    <t>2021 : vente de 611 avions // entre 600/700 par an en moyenne. Carnet de commandes : 398 Md euros</t>
  </si>
  <si>
    <t xml:space="preserve">A320, 82 % du carnet de commande (7 082 unités) Marge 12 %      </t>
  </si>
  <si>
    <t>2022 : 720 avions à vendre, Ebit 5,5 Mds, CF 3,5 Mds</t>
  </si>
  <si>
    <t>Au S1 : 297 avions livrés (carnet de commande 7046 unités), CA + 1 %  et EBE -5 % par rapport au S1 2021,</t>
  </si>
  <si>
    <t>Vente et livraison de 661 avions commerciaux, commandes nettes d'avions 820 en 2022 (507 en 2021)</t>
  </si>
  <si>
    <t>2023 : Objectif : livraison 720 avions commerciaux, EBIT 6 Mds €, et Cash Flow 3 Mds €</t>
  </si>
  <si>
    <t>Réalisé : 735 avions livrés</t>
  </si>
  <si>
    <t>Pay out ratio : autour de 30 %</t>
  </si>
  <si>
    <t>Boeing</t>
  </si>
  <si>
    <t xml:space="preserve">Création le 15 juillet 1916 à Seatle </t>
  </si>
  <si>
    <t>US0970231058</t>
  </si>
  <si>
    <t>Actionnariat : Institutionnels</t>
  </si>
  <si>
    <t>PDG &amp; CEO : Dave Calhoun</t>
  </si>
  <si>
    <t>Répartition activité : 42 % Avions  33% Défense et Espace, 25 % Logiciels et services</t>
  </si>
  <si>
    <t>Carnet de commande : 378 Md $ en valeur</t>
  </si>
  <si>
    <t>1997 : rachat de Mcdonnell douglas</t>
  </si>
  <si>
    <t>2018 et 2019 : 2 accidents du 737 MAX</t>
  </si>
  <si>
    <t>2020 : 157 avions livrés</t>
  </si>
  <si>
    <t>2021 : 340 avions livrés</t>
  </si>
  <si>
    <t>problème de fabrication avec le 787 Dreamliner qui avait commence en 2018-2019</t>
  </si>
  <si>
    <t>2022 : 35 avions en livraison en avril bien en-dessous d'Airbus</t>
  </si>
  <si>
    <t xml:space="preserve">CAC : </t>
  </si>
  <si>
    <t>Minoritaire :</t>
  </si>
  <si>
    <t xml:space="preserve">Pay out ratio : </t>
  </si>
  <si>
    <t>Racheté 154 euros par un fonds américain en 2023</t>
  </si>
  <si>
    <t>ESI Group</t>
  </si>
  <si>
    <t>Editeur de logiciel - prototypage</t>
  </si>
  <si>
    <t>Société détenue par la famille de Rouvray à 36% (né en 1946, succession ?) spécialisé dans le prototypage virtuel pour le secteur automobile et aéronautique principalement</t>
  </si>
  <si>
    <t>FR0004110310</t>
  </si>
  <si>
    <t xml:space="preserve">Belle progression de l'activité mais la marge n'est pas en rapport avec la valeur ajoutée. </t>
  </si>
  <si>
    <t>Beaucoup d'acquisition : risque Goodwill, dettes et succession</t>
  </si>
  <si>
    <t>1 258 salariés soit un CA de 81 237 euros par salariés</t>
  </si>
  <si>
    <t>Répartition géographique : 49% Europe, Afrique, Moyen-Orient, 36% Asie-Pacifique et 15% Amériques</t>
  </si>
  <si>
    <t>57% public, 37% fondateur et conseil d'administration et 6% auto-détention</t>
  </si>
  <si>
    <t>En 2021, recul de de Rouvray et résultats difficiles avec des charges de restructurations pour 27,6 M euros : 6,7 M euros pour réduction d'effectifs et 20,7 M euros pour dépréciation d'catifs</t>
  </si>
  <si>
    <t>Perspectives 2024 : hausse de l'activité à un chiffre mais surtout marge d'exploitation à 22% soit 30 M euros soit trois fois la moyenne des dix dernières années</t>
  </si>
  <si>
    <t>CAC : PricewaterhouseCoopers et Audit Ernst &amp; Young Audit</t>
  </si>
  <si>
    <t>Guerbet</t>
  </si>
  <si>
    <t>Produit de contraste</t>
  </si>
  <si>
    <t>Fabricant de produit de contraste pour le monde médical (radio, IRM, scanner…) fondé le 15 novembre 1926 par M. Guerbet. La famille détient toujours 55,7%.</t>
  </si>
  <si>
    <t>FR0000032526</t>
  </si>
  <si>
    <t>E(impact) = -1</t>
  </si>
  <si>
    <t>Présidente du conseil d'administration : Hugues Lecat a remplacé Marie-Claire Janailhac-Fritsch en 2024</t>
  </si>
  <si>
    <t>E(effort)=1</t>
  </si>
  <si>
    <t>4 acteurs mondiaux : General Electric, Bayer, Bracco (même histoire familiale italienne d'un siècle) et Guerbet</t>
  </si>
  <si>
    <t xml:space="preserve">Avant 2015 : 400 Me de CA et 65 Me d'EBE et 35 Me d'investissement (free cash flow) </t>
  </si>
  <si>
    <t>2015 : achat le 27 juillet de CMDS au groupe Mallinckrodt. Le groupe passe à 800 Me de CA, EBE : 110 Me, 70 Me d'investissment et free cash flow</t>
  </si>
  <si>
    <t>Un de ses produits phares, le Dotarem (lancé en 1989) subit la concurrence récente d'un générique de GE en Europe et en Asie depuis début 2017 puis États-Unis fin 2020 mais les ventes de Dotarem progressent. Impact du générique au 4T17. En 2018, sur l'année entière en Europe puis à venir aux États-Unis (en 2020 maintenant effectif)</t>
  </si>
  <si>
    <t>Remboursement de la sécurité sociale sur la base du prix des génériques</t>
  </si>
  <si>
    <t>Marché des produits de contraste en IRM (Diagnostic) estimé à 1 Md Euros croissance en volume plus faible et tension sur les prix avec les génériques</t>
  </si>
  <si>
    <t>Marché des produits de contraste en CT &amp; Cath Lab à 2,7 Md euros (Japon second marché mondial). Marché réévalué à 3 Md euros en 2021 par Guerbet</t>
  </si>
  <si>
    <t>Marché des injections 1,2 Md euros</t>
  </si>
  <si>
    <t>Marché de 4,9 Md $ en 2021 estimé à 5,9 Md $ en 2026 soit +20% et un taux de progression annuelle de 3,8%.</t>
  </si>
  <si>
    <t>Entre 2017 et 2018, la marge passe de 16% à 14% puis 13,7% en 2019 (12,5% sans IFRS 16)</t>
  </si>
  <si>
    <t>2018 : acquisition de Accurate : 57 M e payable en trois ans d'où hausse de l'endettement car baisse du free cash flow</t>
  </si>
  <si>
    <t>2019 : départ de Lépine fin 2019 (en poste depuis 2011 qui avait remplacé Bernard Massiot, membre de la famille, décédé subitement en 2011) remplacé le 1/1/2020 par David Hale, 51 ans (ancien Chief Commercial Officer) membre du comex depuis février 2018</t>
  </si>
  <si>
    <t>2020 : coût de la crise : -30% de chiffre d'affaires en avril et mai. Retour progressif à la normale à partir de juin. Free cash flow de 39,9 M euros (soit 11% des fonds propres) avec des investissements hauts à 57 M euros</t>
  </si>
  <si>
    <t>2021 : progression de l'activité et amélioration de la marge. Générique de Dotarem aux États-Unis, depuis trois ans en Europe</t>
  </si>
  <si>
    <t>2021 : hausse de 7,9% du chiffre d'affaires à tx et périmètre contants. Bon T4 à 191,1 M euros. Moindre progression du CA publié en raison de la baisse des devises et de la sortie du Canada du périmètre</t>
  </si>
  <si>
    <t>Phase III validé pour le Gadopiclenol (à base de Gadolinium : produite de contraste plus performant. Partenariat commercial avec Bracco (Italie, histoire et taille proche de Guerbet) pour vendre le produit à partir de 2023 plus vite dans le Monde</t>
  </si>
  <si>
    <t>Effort commercial sur la deuxième partie de 2021 pour développer les ventes du Logiciel développé avec IBM (sur le foie et la prostate à partir de 2022). Licence pharmaceutique en Chine pour la distribution en direct des produits Guerbet en 2022</t>
  </si>
  <si>
    <t>Division par 4 du nominal</t>
  </si>
  <si>
    <t>Croissance à venir sur la chirurgie interventionnelle (10% du CA en 2020) et sur les zones géographiques de l'APAC (Asie-Pacifique - 10% du CA). Filiale en Inde marché prometteur</t>
  </si>
  <si>
    <t>le 23 janvier 2014</t>
  </si>
  <si>
    <t>Générique du Dotarem aux États-Unis : volume 60 Meuros par an impact sur la marge en 2022, volumes contenus (l'arrivée du générique de GE aux États-Unis dès 2020 a été retardé à cause du Covid-19)</t>
  </si>
  <si>
    <t>Impact de l'inflation en 2022, notamment l'iode acheté au Chili et au Japon, possible hausse des prix</t>
  </si>
  <si>
    <t>40% de prescription de produits de contraste lors des examens médicaux. Croissance externe possible, une équipe en place</t>
  </si>
  <si>
    <t>Dépréciation d'Accurate et partenarait IBM = -119,6 M euros, d'où pertes d'exploitation, constitution de stocks pour le lancement d'Élucirem d'où BFR et endettement</t>
  </si>
  <si>
    <t>2023 : acquisition d'Intrasense. Logiciel IA pour le diagnostic pour 22 Me (4 Me de CA pas dette suite AK) présent dans 40 pays. Raleigh revenu à 100% et ventes record sur l'année</t>
  </si>
  <si>
    <t xml:space="preserve">Elucirem, après l'accord de la FDA fin 2022, l'accord en Europe est arrivé fin 2023. La partie micro cathéters sera vendu (acheté 58 M euros en 2018) nécessite des investissements et pas cœur de métier. Développement de l'IA avec Intrasense entre autres </t>
  </si>
  <si>
    <t>2024 : croissance au-dessus de 8% et marge au-dessus de 14%. Accord pour l'Élucirem en Asie en 2026, première dose aux États-Unis en février 2023 et en Allemagne en avril 2024. Potentiel 50 Meuros de CA supplémentaires. Création de filiale en Asie</t>
  </si>
  <si>
    <t>Bayer : produit alternatif  "Gadoquatrane" en démarrage phase III juin 2023, commercialisation en 2027 ou 2028</t>
  </si>
  <si>
    <t>IPO en janvier 1986 à 5,7 euros</t>
  </si>
  <si>
    <t>Intrasense (3,5M euros de CA) viewer faible potentiel (10 M e de CA par an), cession Accurate difficile, la dette coûte 20 M euros en 2024 (10,6 M euros de charges financières, 1,1% du CA et 3-4% de taux d'intérêt - Ligne à échéance 2028)</t>
  </si>
  <si>
    <t>CAC : Deloitte et Crowe Horvath International</t>
  </si>
  <si>
    <t>IS : 29%</t>
  </si>
  <si>
    <t>Philips</t>
  </si>
  <si>
    <t>Électronique</t>
  </si>
  <si>
    <t>Philips est fondé en 1891. C'est une société de technologie spécialisé dans l'électroménager, l’équipement médical et l’éclairage.</t>
  </si>
  <si>
    <t>Les dirigeants sont Jeroen van der Veer (Directeur), Frans van Houten (CEO)</t>
  </si>
  <si>
    <t>2014 : Philips abandonne totalement son activité dans les téléviseur et se scinde en 2 entités, une pour l'éclairage (Signify) et la santé / lifestyle (Philips)</t>
  </si>
  <si>
    <t>3e trimestre 2021 Philips vendra sa branche appareil electroménager au groupe asiatique Hillhouse Capital pour 3,7Mds + accord de license soit un total de 4,4Mds. Afin de se focaliser sur les technologies de santé.</t>
  </si>
  <si>
    <t>Répartition de l'activité : Diagnostiques et traitements 41,9%, Soin connecté 28,5%, Santé personnel 27,6%</t>
  </si>
  <si>
    <t>Répartition géographique : Europe de l'Ouest 23,6%, Amérique du nord 35,6%, Autres marchés matures 9,5%, Marchés en développement (Europe central, Russie, Asie centrale, Chine, Amérique Latine, Moyen-orient...) 31,3%</t>
  </si>
  <si>
    <t>Concurrence : Johnson &amp; Johnson, Medtronic, Siemens Healthineers, Roche, Abbot laboratories, Stryker.</t>
  </si>
  <si>
    <t>Actionnaires : BlackRock, UBS group…</t>
  </si>
  <si>
    <t>Effectif : 77 343 personnes</t>
  </si>
  <si>
    <t>CA par employé : 260 K euros</t>
  </si>
  <si>
    <t xml:space="preserve">Minoritaires : &lt;6% </t>
  </si>
  <si>
    <t>Pay-out ratio : 40% à 50%</t>
  </si>
  <si>
    <t>Essilor Luxottica</t>
  </si>
  <si>
    <t>Équipement optique</t>
  </si>
  <si>
    <t>FR0000121667</t>
  </si>
  <si>
    <t xml:space="preserve">La croissance des achats numérique (21% contre 79% en achat physique) est également un facteur clé.  </t>
  </si>
  <si>
    <t xml:space="preserve">Ils ont demandé un arbitrage de la chambre de commerce international pour faire vérifier les "violation sur l'accord de rapprochement" </t>
  </si>
  <si>
    <t>Essilor a réalisé un chiffre d'affaire de 7,45 milliards en 2018 et luxottica 8,9 milliards en tant qu'entités séparées.</t>
  </si>
  <si>
    <t>EssilorLuxottica propose de céder des actifs dans 3 pays de l'UE pour obtenir l'accord de la commission européenne pour acquérir GrandVision pour 7,2 milliards (Décision le 12avril)</t>
  </si>
  <si>
    <t>Pay out ratio : 35,4%</t>
  </si>
  <si>
    <t>Carl Zeiss Meditec</t>
  </si>
  <si>
    <t>Ophtalmologie et chirurgie</t>
  </si>
  <si>
    <t xml:space="preserve">Euro </t>
  </si>
  <si>
    <t>DE0005313704 </t>
  </si>
  <si>
    <t>Carl Zeiss Meditec est née en 2002 d'une fusion entre la division Ophtalmologie de ZEISS et Asclepion-Meditec AG. Basée à Leipzig. Introduction 2002 à la bourse allemande</t>
  </si>
  <si>
    <t>Spécialiste des lasers médicaux. Opération de la cataracte réalisée avec les machines de Zeiss</t>
  </si>
  <si>
    <t>Dirigeant et Président : Markus Weber (1973) a rejoint en 2002 Zeiss Group</t>
  </si>
  <si>
    <t>EVA economic value added 2023 : 134 M , 2022 : 205 M , 2020 : 68,6 M, 2019 : 120,5 M , 2018 : 74,5 M</t>
  </si>
  <si>
    <t>Concurrence : Hoya corp (36571 employés, siège Japon) Bausch &amp; Lomb (12000 employés siège Amérique) (Topcon, Leica Microsystem)</t>
  </si>
  <si>
    <t>2017 : augmentation de capital de 317 M euros (8,13 M de titres à 38,94 euros)</t>
  </si>
  <si>
    <t>Impact Russie/Ukraine : sensible à des difficultés d'approvisionnement du fait d'un fournisseur principal basé en Biélorussie.</t>
  </si>
  <si>
    <t>2022 : acquisition de 2 fabricants d'instruments chirurgicaux : Kogent Surgical LLC et Katalyst Surgical + Acquisition Preceyes BV spécialisé dans la technologie robotique pour la chirurgie vitréo-rétinienne (acquisition à 100 %)</t>
  </si>
  <si>
    <t>CAGR 5 ans : 6,5% CAGR 10 ans : 8,20 %</t>
  </si>
  <si>
    <t xml:space="preserve">CAC : Price </t>
  </si>
  <si>
    <t>Minoritaires : Peu</t>
  </si>
  <si>
    <t>Pay out : 34 %</t>
  </si>
  <si>
    <t>Siemens Healthineers</t>
  </si>
  <si>
    <t>Appareils médicaux</t>
  </si>
  <si>
    <t>IG</t>
  </si>
  <si>
    <t xml:space="preserve">Société allemande basée à Erlangen créée en 1900, introduite en bourse en 2018 par le groupe Siemens actionnaires à 75% (contre 85% après l'IPO en 2018 et après avoir retiré 1 Md euros et 75% après l'acquisition de Varian (États-Unis, oncologie) et les deux augmentations de capital. Qatar au capital </t>
  </si>
  <si>
    <t>DE000SHL1006</t>
  </si>
  <si>
    <t>Leader mondial de l'équipement médical (diagnostic et traitement) : scanner, IRM, radiothérapie présent en Europe, États-Unis et Asie bien réparti (poids important de l'Allemagne et Chine). Leader dans la cardiologie et la neurologie</t>
  </si>
  <si>
    <t>CEO : Dr Bernhard Montag depuis 2015 (1969, toute sa carrière chez Siemens HL et 50 000 titres détenus). Chairman :  Ralf Thomas (1961) depuis 2019. Est chez Siemens depuis 1995. Nombreux Dr au Comex, Jochen Shmitz (né en 1966) - CFO depuis 2017 et chez Siemens depuis 2004</t>
  </si>
  <si>
    <t>Imaging : 55%, Advanced Therapies : 9%, Varian : 17%, Diagnostics : 19%</t>
  </si>
  <si>
    <t>Europe : 33%, Amérique du Nord : 42%, Asie : 13% et Chine : 12%</t>
  </si>
  <si>
    <t>R&amp;D : 8,5% du CA. 9000 ingénieurs sur 66 100 salriés</t>
  </si>
  <si>
    <t>Intensité capitalistique : 1,4 en dégradation suite à l'acquisition de Varian. Goodwill : 100% des fonds propres</t>
  </si>
  <si>
    <t>Rentabilité élevée en lien avec la valeur. Elle est logiquement plus élevée en thérapie. L'excédent de trésorerie nette (après investissement et dividendes est positif de 400 M euros) chaque année avant l'acquisition de Varian</t>
  </si>
  <si>
    <t>Création de valeur par an : 600 M euros. Réévaluation des fonds propres à l'IPO en 2018</t>
  </si>
  <si>
    <t>Acquisition de Varian aux États-Unis en 2020 à 177,5 dollars par titre soit 16,4 Md de dollars (13,4 Md euros - 50 fois le résultat net) spécialiste mondial de l'oncologie et du traitement par radiothérapie (fabrique ces machines)</t>
  </si>
  <si>
    <t>Le marché de l'oncologie est estimé à 25 Millions de patients à horizon 2030 contre 14 Millions en 2010 et une valeur de marché estimé à 20 Md $ (l'ensemble Siemens et Varian aurait 50% de part de marché)</t>
  </si>
  <si>
    <t>Financement avec un crédit relais de 14 Md d'euros apporté par Siemens et ensuite une augmentation de capital et un crédit de 7-8 Md euros.</t>
  </si>
  <si>
    <t xml:space="preserve">Attente du feu vert des actionnaires de Varian (le conseil d'administration est d'accord) et des autorités de tutelle. La transaction pourrait se finaliser au premier semestre 2021 </t>
  </si>
  <si>
    <t>Augmentation de capital à 36,4 euros le 2/09/20 avec 75 Millions de titres soit 2,75 Md euros auprès d'investisseurs institutionnels. Siemens passe actionnaire à 79%. Possible autre augmentation de capital dans le cadre de l'acquisition de Varian</t>
  </si>
  <si>
    <t>2021 : chiffre d'affaires attendu en hausse de 10-12% avec un bénéfice (hors Varian) proche de 1,9 Md euros</t>
  </si>
  <si>
    <t>2021 : augmentation de capital de 2,3 Md euros à 44,1 euros le 25/03/2021 soit 53 millions d'actions nouvelles. Pour l'acquisition de Varian, 5 Md euros levée et donc 9 Md euros d'endettement en plus. Siemens détient un peu plus de 75% du capital de Siemens Healthineers</t>
  </si>
  <si>
    <t>2021 : Varian consolidé sur deux trimestres (1 avril - 30 septembre, clôture 30 septembre) et activité gonflé par les tests antigènes</t>
  </si>
  <si>
    <t>2022 : Varian consolidé sur 12 mois (soit 3,1 Md euros et marge d'EBIt à 15% en progrès) et test toujours important avec Omicron. EPS revu entre 2,18 et 2,3 euros (contre 2,08 et 2,2 euros)</t>
  </si>
  <si>
    <t xml:space="preserve">Baisse des tests Covid-19, hausse des prix et difficultés sur la Chine. T3 moyen mais sans remise en cause. T4 excellents </t>
  </si>
  <si>
    <t>2023 : perspectives sur l'Imaging avec un carnet de commandes bien remplies et redémarrage de la Chine. Sur la partie Diagnostic, contrecoup Covid-19 anticipé. Perspectives favorables</t>
  </si>
  <si>
    <t>Dettes stables : Varian 13,4 Md euros, AK : 5 Md et dettes émises : 8,4 Md. La dette est passée de 3,4 plus 8,4 soit 11,8. Fin 2022, elle est 12 Md à 0,6% de taux d'intérêt étalée jusqu'à 2030 puis 2040 puis 2046</t>
  </si>
  <si>
    <t>Abandon de l'activité Robotique pour le cœur, conserve pour le cerveau et la lutte contre contre les AVC (issue de l'acquisition de Corindus en 2019 pour 1 Md dollars). Frais financiers : 300 M euros (1,5% du CA ett 2,3% de taux d'intérêt) contre 118 M euros en 2022</t>
  </si>
  <si>
    <t>IPO le 16 mars 2018 à 28 euros</t>
  </si>
  <si>
    <t xml:space="preserve">Possible cession de l'activité Diagnostic 4 Md euros de CA (faible renta après Covid) pour 6-8 Md euros (loin de cellle de bioMérieux). Plan 2025 : 25 Md euros de CA et EPS à 2,9 euros. </t>
  </si>
  <si>
    <t>2024 : bonne fin d'année sur les machines beaucouop d'innovations. Division "test" en amélioration mais faible VA possible cession (19% du CA et 5% de marge d'exploitation). Varian mieux. Poursuite de l'expansion</t>
  </si>
  <si>
    <t>2025 : CA +5/6% et marge stable. Carnet de commandes 1,1 du CA. Possible cession de titres par Siemens et frais financiers proche 380 M euros (1,6% du CA)</t>
  </si>
  <si>
    <t>Minoritaires : 0,1%</t>
  </si>
  <si>
    <t>GE Healthcare</t>
  </si>
  <si>
    <t>Géant mondial du matériel médical présent dans le matériel, les produits de contraste, le diagnostic et les services connexes</t>
  </si>
  <si>
    <t>US36266G1076</t>
  </si>
  <si>
    <t>Basé à Chicago, introduction en bourse le 3 janvier 2023 au cours de 60 $</t>
  </si>
  <si>
    <t>Répartition de l'actionnariat : 80,1 % GE et le reste flottant</t>
  </si>
  <si>
    <t>Président et CEO : Peter J.Arduini (depuis 15 ans dans l'entreprise)</t>
  </si>
  <si>
    <t>Répartition du Chiffre d'affaires par Activités : Imagerie 53 %, Ultrasons 18,2 %, Soins aux patients 16,5 %, Diagnostics pharmaceutiques 11,42 %</t>
  </si>
  <si>
    <t>4 M d'équipements, 2 Milliards d'examens par an soit 500 par équipemet, 300 000 patients par jour. 11 000 brevets et 1 Md en R&amp;D soit 5% moins que Siemens (10%)</t>
  </si>
  <si>
    <t>Marché mondial de 84 Md de dollars, 25% de pdm comme Siemens Helathineers autres acteurs Philipps</t>
  </si>
  <si>
    <t>Croissance organique à 5-7% en 2023 et 4-6% d'ici 2025 (la taille du marché sera à 100 Md de dollars). La dette passe de 9 à 15 Md à l'IPO suite au retrait de la maison mère de 8,9 Md $ avant l'IPO financé par dettes</t>
  </si>
  <si>
    <t>Les services représentent 33% du CA.</t>
  </si>
  <si>
    <t>En 2023, poursuite de la croissance à un chiffre et marge stable. Acquisition de MIM Software, leader de l'analyse par l'IA</t>
  </si>
  <si>
    <t xml:space="preserve">CAC </t>
  </si>
  <si>
    <t>IPO le 3 janvier 2023 à 60 dollars</t>
  </si>
  <si>
    <t>GN Store Nord</t>
  </si>
  <si>
    <t>Appareils auditifs</t>
  </si>
  <si>
    <t>DK0010272632 </t>
  </si>
  <si>
    <t>Racheté par Siemens Healthineers</t>
  </si>
  <si>
    <t>Varian</t>
  </si>
  <si>
    <t>Santé</t>
  </si>
  <si>
    <t>Créée en 1950</t>
  </si>
  <si>
    <t>Spécialiste mondial de l'oncologie et du traitement par radiothérapie (fabrique ces machines)</t>
  </si>
  <si>
    <t>6 600 employés dont 1 000 ingénieurs soit 488 651 euros par employé</t>
  </si>
  <si>
    <t>Racheté par Siemens Healthineers à 177,5 $ en 2020 soit 16,3 Md de dollars, 50 fois le résultat net et 30 fois le résultat d'exploitation (16% de marge d'exploitation)</t>
  </si>
  <si>
    <t>Sanofi</t>
  </si>
  <si>
    <t>Pharmacie</t>
  </si>
  <si>
    <t>Laboratoire français créé en 1973, émanation de Elf avec Dehecq à la tête d'une quasi start-up. Numéro 3 mondial en chiffre d'affaires</t>
  </si>
  <si>
    <t>FR0000120578</t>
  </si>
  <si>
    <t>DG : Paul Hudson, ancien dirigeant de Novartis (a remplacé Brandicourt avril 2015 - août 2019 qui avait remplacé Christopher Viehbacher decembre 2008 - octobre 2014) et président du conseil d'administration : Oudéa (Ancien SG) qui a remplacé Serge Weinberg</t>
  </si>
  <si>
    <t>Christopher Viehbacher a permi à Sanofi de surmonter la période de perte de brevets avec une accélération de la recherche. Mais sa critique du système français et son individualisme a poussé le groupe à l'évincer.</t>
  </si>
  <si>
    <t>Trois grandes divisions : Médicaments de prescription (75% du CA - marge opérationnelle 35%) : diabète, maladie rare, oncologie… Produits de santé grand public, génériques (13% du CA et 33% de marge) et vaccins (12% du CA - 50% des ventes DTCP  et 38% de marge - Sanofi Pasteur datant de 1976)</t>
  </si>
  <si>
    <t>Intensité capitalistique : 1,8</t>
  </si>
  <si>
    <t>Goodwill : 49,4 Md euros (39% du bilan et 66% des fonds propres)</t>
  </si>
  <si>
    <t>1999 : en mai fusion Sanofi-Synthelabo</t>
  </si>
  <si>
    <t>2004 : en décembre, acquisition d'Aventis (fusion Rhône Poulenc / Hoescht) menée par Dehecq pour 55 Md euros</t>
  </si>
  <si>
    <t>Souffre de moindre découverte et de la montée des génériques. Parade : achat de biotech prometteuse et partenariat avec d'autres labos (Regeneron, Astra..)</t>
  </si>
  <si>
    <t>2010 : achat de Genzyme pour 18,5 Md $ pour 1,7 Md euros de chiffre d'affaires en 2011 et 2,7 Md euros en 2014</t>
  </si>
  <si>
    <t>2015 : perte des brevets du Lantus (insuline qui représentait 20% des ventes du groupe - 7,8% du CA en 2020) finalement bien gérée par Brandicourt</t>
  </si>
  <si>
    <t>2018 : acquisition de Bioverativ pour 11,6 Md $, pour l'hémophilie (Eloctate)</t>
  </si>
  <si>
    <t>2019 : problème aux États-Unis avec l'hémophilie, Eloctate, dépréciation de 3,2 Md euros. Echec du vaccin Dengvaxia qui a entréné la mort de nombreuses personnes</t>
  </si>
  <si>
    <t xml:space="preserve">acquisition de Synthorx oncologie, troubles auto-immuns pour 2,5 Md de dollars. Mollécule de phase I pas d'activité commerciale. </t>
  </si>
  <si>
    <t>2020 : en septembre, acquisition de Biopharma Principia aux États-Unis spécialisée dans les maladies auto-immunes et allergiques pour 3,68 Md $</t>
  </si>
  <si>
    <t>activité tiré par le Dupixent (traitement de l'asthme chez les enfants) 10% des ventes et vaccins (Grippe et DTCP). Cession des actions Regeneron (fin du partenariat : 7,382 Md euros de produits en mai 2020 et baisse de la dette fin 2020)</t>
  </si>
  <si>
    <t>2021 : ventes du Dupixent en forte hausse (+50%), hausse des ventes de Kevzara (rhumatsime) et Libtayo (cancer du poumon)</t>
  </si>
  <si>
    <t>2021 : avancée : vaccins anti-covid-19 reporté en 2022 et hémophilie (Fitusirian, Phase III). 7 projets en phase I et 7 projets en phase II</t>
  </si>
  <si>
    <t>Acquisition de la biotech Kadmon (transplantation) aux États-Unis pour 1,5 Md euros, de Translate Bio pour 3,2 Md de dollars (son partenaire dans l'ARN Messager) et d'Amunix (États-Unis - oncologie) pour 1 Md dollars</t>
  </si>
  <si>
    <t>Beaucoup de traitements efficaces sortis avec son partenaire Regeneron (Dupixent, Libtayo, Kevzara…)</t>
  </si>
  <si>
    <t xml:space="preserve">2022 : poursuite des ventes du Dupixent (20% du CA peu-être 30% du CA avec 13 Md euros de ventes en date de mars 2022). Attente d'une future grande découverte. </t>
  </si>
  <si>
    <t xml:space="preserve">Risque sur les vaccins avec l'ARN des américains, notamment sur la grippe. Moderna travaille sur des vaccins contre la grippe (Sanofi leader) le cancer, le sida, le zona, la mal formation du fœtus </t>
  </si>
  <si>
    <t>Résultats décevant sur un traitement du cancer en phase II.</t>
  </si>
  <si>
    <t>Le brevet du Dupixent tombera à partir de 2030. Durée d'un dépôt de brevet pharmaceutique 20 ans</t>
  </si>
  <si>
    <t xml:space="preserve">Introduction en bourse de la partie API (production d'ingrédients actifs pharmaceutiques) 1 Md euros de CA (plutôt 980 M e) et EBE : 14% (plutôt 12-13%), Sanofi en conservant 30% et l'État via un fonds 12%. Permettra son développement (3500 salariés et 6 usines en France) et Sanofi 49% du CA. CEO : Karl Rotthier </t>
  </si>
  <si>
    <t>2023 : poursuite du développement du Dupixent (10 Md de ventes contre 8 en 2022 et 14 à terme), traitement contre l'hémophilie (sortie en mars) et Beyfortus. Générique d'Aubagio (2 Md de ventes) cette année</t>
  </si>
  <si>
    <t>CAGR de 2013 - 2023 : 2,7%</t>
  </si>
  <si>
    <t>IPO en 1980</t>
  </si>
  <si>
    <t>9 produits en phase III et 27 produits en phase I et II (Pfizer : 100)</t>
  </si>
  <si>
    <t>D'ici 2030, 3 à 5 nouveaux produits entre 2 et 5 Md de ventes</t>
  </si>
  <si>
    <t>CAC : Price et Ernst</t>
  </si>
  <si>
    <t>IS : 20%</t>
  </si>
  <si>
    <t xml:space="preserve">Pay-out ratio : 65%  avec un dividende à 3,56 euros (contre 3,33 euros) </t>
  </si>
  <si>
    <t>Ipsen</t>
  </si>
  <si>
    <t>Ipsen est un groupe biopharmaceutique français fondé en 1929 par Henri Beaufour à Dreux.</t>
  </si>
  <si>
    <t>FR0010259150</t>
  </si>
  <si>
    <t>Dirigeants : David Loew (élu PDG en 2020), Aymeric Le Chatelier (Directeur financier), Marc de Gardiel (Président conseil d'administration)</t>
  </si>
  <si>
    <t>Répartition de l'activité : Oncologie (74%), Neurosciences (13,7%), Maladies rares (2%), Santé familiale (10,3%)</t>
  </si>
  <si>
    <t>Répartition géographique : 31,8% de l'activité en France, UK, Allemagne, Italie, Espagne. 19,3% sur le reste de l'Europe. 31% en AmériQue du nord. 17,9% Asie et reste du monde.</t>
  </si>
  <si>
    <t>Concurrence : Novartis, Sanofi, Roche</t>
  </si>
  <si>
    <t xml:space="preserve">2013 : acquisition du groupe britanique Syntaxin, </t>
  </si>
  <si>
    <t xml:space="preserve">2017 : janvier, acquisition de certains actifs de Merrimack Pharmaceuticals, dont Onivyde pour 1 Mds de dollars. </t>
  </si>
  <si>
    <t xml:space="preserve">2019 : acquisition du laboratoire canadien Clementia Pharmaceuticals pour 1,3 Mds de dollars afin d'obtenir une mollécule pour le traitement de maladie rare. Le nouveau PDG a annoncé vouloir consacré 3 Mds d'euros à l'acquisition et la croissance externe. </t>
  </si>
  <si>
    <t>L'acquisition de Clementia s'est soldé par un échec des essai clinique sur la molécule qui avait motivé l'achat du laboratoire et a engendré une chute de 25% en bourse en Décembre 2019.</t>
  </si>
  <si>
    <t>2021 : retour de l'activité sur les niveaux de 2019, cession de la partie santé famille pour 350 Meuros</t>
  </si>
  <si>
    <t>2022 : acquisition d'Epizyme pour 247 M$ aux États-Unis, traitement contre le cancer</t>
  </si>
  <si>
    <t>CAC : KPMG, Deloitte</t>
  </si>
  <si>
    <t>Minoritaire : peu</t>
  </si>
  <si>
    <t>Pay-out Ratio : 15%</t>
  </si>
  <si>
    <t>AstraZeneca</t>
  </si>
  <si>
    <t>Anglo-suédois</t>
  </si>
  <si>
    <t>Fusion en 1999 entre Astra le suèdois et Zeneca le britannique</t>
  </si>
  <si>
    <t>GB0009895292</t>
  </si>
  <si>
    <t>Comptes en dollars</t>
  </si>
  <si>
    <t>Répartition par zones géographiques : 38% en Amérique du Nord, 37% en Asie et 25% en Europe</t>
  </si>
  <si>
    <t>CA : 37% en oncologie, 29% en cardiovasculaire, 23% en respiratoire et 11% autres</t>
  </si>
  <si>
    <t>Pascal Soriot a refusé l'offre de Pfizer en 2014</t>
  </si>
  <si>
    <t>En décembre 2020, acquisition d'Alexion dans les maladies rares pour 30 milliards d'euros. Entreprise qui a réalisé 4,9 Md dollars de CA en 2019 et 4 Md dollars de CA en 2018</t>
  </si>
  <si>
    <t>GBP/USD : 1,365</t>
  </si>
  <si>
    <t>70 600 salariés soit un CA de 345 K $ par salarié</t>
  </si>
  <si>
    <t>Distribution de 3,5 Md dolllars de dividendes par an</t>
  </si>
  <si>
    <t>CAC : PwC</t>
  </si>
  <si>
    <t>Moderna</t>
  </si>
  <si>
    <t>Fondée en 2009 par Derrick Rossi (ancien professeur de médecine à Harvard)</t>
  </si>
  <si>
    <t>US60770K1079</t>
  </si>
  <si>
    <t>CEO : Stéphane Bancel (1972) depuis 2011, il possède 9% de Moderna. Président : Stephen Hoge M,D. Il a rejoint Moderna en 2012</t>
  </si>
  <si>
    <t>Quaternaire système. 3 Md dollars d'investissement en 10 ans (2009-2019)</t>
  </si>
  <si>
    <t>Finalement revu à la hausse à 1 md de doses en 2021 et 2 Md de doses en 2022 puis revu en septembre 700 Millions de doses pour 2021</t>
  </si>
  <si>
    <t>Recherche des vaccins contre le cancer, immuno-oncologie, sida, mal formation du fœtus, Zika, la grippe ....avec la technique de l'ARN Messager</t>
  </si>
  <si>
    <t>2021 : 800 millions de doses vendues dans 60 pays via des partenaires pour la production des vaccins</t>
  </si>
  <si>
    <t/>
  </si>
  <si>
    <t>2022 : 24 mds CA dopé par le vaccin contre la Covid 19 :  R&amp;D autour de 17 % du CA (4 Mds sur l'année)</t>
  </si>
  <si>
    <t xml:space="preserve">Vaccin contre le Covid-19 nouvelle version contre le variant Omicron. Contre la grippe à ARN Messager disponible en 2023  </t>
  </si>
  <si>
    <t xml:space="preserve">2023 : commercialisation du nouveau vaccin contre le COVID. Marché de la grippe passera de 5,8 Md euros en 2020 à 9 Md euros en 2028 croissance de 5,6% par an. Marché des maladies respiratoires à 30 Md euros en 2028. </t>
  </si>
  <si>
    <t>2024 : accord de la FDA pour le vaccin ARN messager (mRESVIA) contre la bronchiolite chez les plus de 60 ans. Efficacité de 83,7% après 3,7 mois sur 37 000 personnes de plus de 60 ans dans 22 pays</t>
  </si>
  <si>
    <t>R&amp;D à 4,5 Md dollars (contre 2,5 Md pour Biogen). Avancée sur le vaccin contre le mélanome (partenariat Merck-Moderna)</t>
  </si>
  <si>
    <t>Vaccin combinant COVID et grippe en Phase III, accord au premier semestre 2024. Commercialisation pour 2025. Vaccin combinant COVID, grippe et bronchiolite pour 2028. 43 vaccins en développement.</t>
  </si>
  <si>
    <t>IS :13%</t>
  </si>
  <si>
    <t>Minoritaires : 0% mais partenariat comme d'autres labos</t>
  </si>
  <si>
    <t>Pay-out ratio : 0%</t>
  </si>
  <si>
    <t>IPO le 7 décembre 2018</t>
  </si>
  <si>
    <t>Novartis</t>
  </si>
  <si>
    <t>Siège social basé à Bâle</t>
  </si>
  <si>
    <t>CEO : Vas Narasimhan (rejoint 2005, prise de fonction en 2018)</t>
  </si>
  <si>
    <t>Actionnaires : Institutionnels</t>
  </si>
  <si>
    <t>Répartition activité : Oncologie 30 %, Neuro Sciences 8,9 %, Immunologie 17 %, Cardio-vasculaire 14 %, Etablish Brands 30 % ?</t>
  </si>
  <si>
    <t>Répartition par zone géographique : Europe 22,40 %, Asie 47 %, Japon 9,5 %, Amerique : 18,4 %</t>
  </si>
  <si>
    <t>20 médicaments 80 % du Chiffre d'affaires</t>
  </si>
  <si>
    <t>Budget R&amp;D : 20 %</t>
  </si>
  <si>
    <t>40 molécules sur le marché en 20 ans</t>
  </si>
  <si>
    <t xml:space="preserve">Médicament : Zolgensma </t>
  </si>
  <si>
    <t>2021 : 15,321 Mds d'Exceptionnel Positif, cession de participation dans Roche (33%)</t>
  </si>
  <si>
    <t>2024 : acquisition de Morphosys (cancer du sang), pelabresip</t>
  </si>
  <si>
    <t>La Séparation de Sandoz génère un gain de 5,86 Mds euros</t>
  </si>
  <si>
    <t>CAC : KMPG &amp; Pwc</t>
  </si>
  <si>
    <t>IS : 6 %</t>
  </si>
  <si>
    <t>Minoritaire : aucun</t>
  </si>
  <si>
    <t>Racheté par la maison mère à 62,6 euros en 2023</t>
  </si>
  <si>
    <t>Vilmorin &amp; Cie</t>
  </si>
  <si>
    <t>Semences</t>
  </si>
  <si>
    <t>Numéro 4 mondial fondé en 1743 mais numéro 1 mondial pour les semences potagères, recherche parfois commune avec les grandes cultures (numéro 6 mondial)</t>
  </si>
  <si>
    <t>FR0000052516</t>
  </si>
  <si>
    <t>Detenue majoritairement par une coopérative (problème de rétrocessions aux coopérateurs) Limagrain à 75,92%. BPI France actionnaire à 5,71% du capital, particulier : 6,33% puis société de gestion et instits</t>
  </si>
  <si>
    <t>Flottant : 24,08% au 30/06/2020. IPO en novembre 1993 : performance cumulée de 84,04% soit 2,28%</t>
  </si>
  <si>
    <t>JV à 50/50 pour le développement d'OGM. Paye des redevances à Monsanto mais développe un blé OGM</t>
  </si>
  <si>
    <t>Semences potagères : belle position et rentable car les semences sont difficilement réutilisables. 50% du CA mais 70% des bénéfices</t>
  </si>
  <si>
    <t>A souffert comme les autres acteurs de la baisse des prix agricoles (blé, maïs) depuis 2014 mais redressement en 2016-2017</t>
  </si>
  <si>
    <t>Effort de R&amp;D de 250 M euros par an en 2016 et 270 M euros en 2020. Clôture 30 juin</t>
  </si>
  <si>
    <t>Secteur en concentration : rachat de Syngenta par le chinois Chenchina et Monsanto par Bayer en 2016-2017. Vilmorin pourrait souffrir de sa petite taille</t>
  </si>
  <si>
    <t>95% du maïs en Amérique (du Nord et du Sud) est OGM</t>
  </si>
  <si>
    <t xml:space="preserve">Pas d'amélioration de l'activité, baisse des marges et hausse de l'endettement avec les acquisitions. </t>
  </si>
  <si>
    <t>Pas d'excédent de trésorerie nette sur les exercices 2019 et 2020. Croissance financée par l'endettement et dividendes pris sur les fonds propres</t>
  </si>
  <si>
    <t>Problème sociétal avec les OGM. Marché de 20 Md $</t>
  </si>
  <si>
    <t>Pas d'intérêt à long terme. Fluctuation du cours : +/- 20% autour de l'actif net</t>
  </si>
  <si>
    <t>Bayer : 9 Md euros de CA suite acquisition de Monsanto. Numéro 1 mondial, Corteva n°2, Syngenta (Chine) n°3, BASF n°5 et KWS n°6</t>
  </si>
  <si>
    <t xml:space="preserve">Directeur général : Daniel Jacquemond né en 1958 a pris la succession de Rougier fin décembre 2017. Fin de mandat 2020. Il est entré dans la société en 1990 </t>
  </si>
  <si>
    <t>En 2021, bonne exercice grâce à la partie grande culture (+11%). Départ de Jacquemond à la retraite remplacé par Franck Berger (auparavant en charge de la division potagères)</t>
  </si>
  <si>
    <t>7 054 salariés soit 203 K euros par salarié</t>
  </si>
  <si>
    <t>CAC : Visas 4 et KPMG</t>
  </si>
  <si>
    <t>Minoritaires : faible mais des partenariats avec des résultats mise en équivalence (Seed &amp; Co en Afrique du Sud - AgReliant aux États-Unis et AGT en Australie)</t>
  </si>
  <si>
    <t>Pay out ratio : 35% (toujours en dessous de 40%)</t>
  </si>
  <si>
    <t>IPO le 3 novembre 1993</t>
  </si>
  <si>
    <t>Publicis</t>
  </si>
  <si>
    <t>Publicité</t>
  </si>
  <si>
    <t>Fondé par Marcel Bleustein Blanchet et détenu minoritairement par Mme Badinter (autour de 10% du capital)</t>
  </si>
  <si>
    <t>FR0000130577</t>
  </si>
  <si>
    <t>Beau développement avec Maurice Lévy qui vient de céder sa place à Arthur Sadoun. Concurrent Omnicom et WPP</t>
  </si>
  <si>
    <t>Arthur Sadoun : 1,8 M euros de titres Publicis</t>
  </si>
  <si>
    <t>Martin Sorrel (PDG de WPP) inquiet du chamboulement en cours et de l'évolution du rapport de force avec Google et Facebook</t>
  </si>
  <si>
    <t>Valorisation : 2 fois l'actif net pour 16% de rentabilité des capitaux propres. Pas d'anomalie</t>
  </si>
  <si>
    <t>Acquisition d'Epsilon en février 2019 pour 4,4 Md $</t>
  </si>
  <si>
    <t>Flux trésorerie d'activité à près de 2 Md euros proche de l'EBE</t>
  </si>
  <si>
    <t>CAC : Mazars et Ernst</t>
  </si>
  <si>
    <t>Pas de minoritaires</t>
  </si>
  <si>
    <t>TF1 Group</t>
  </si>
  <si>
    <t>Télévision</t>
  </si>
  <si>
    <t>FR0000054900</t>
  </si>
  <si>
    <t>Privatisé en 1987, Bouygues à 43,73% du capital mais réglementairement ne peut pas aller plus haut</t>
  </si>
  <si>
    <t>Déclin de TF1 depuis 15 ans de 40% de part de marché à 22% en 2017. Les jeunes ne regardent pas la TV et le nombre de chaînes a augmenté d'où un partage de la publicité</t>
  </si>
  <si>
    <t>3686 salariés</t>
  </si>
  <si>
    <t xml:space="preserve">Business en déclin mais rentable et pas dettes </t>
  </si>
  <si>
    <t>Pay-out ratio : 73% en 2021 (diminuera avec la normalisation des profits)</t>
  </si>
  <si>
    <t>Orange</t>
  </si>
  <si>
    <t>Télécommunication</t>
  </si>
  <si>
    <t>Opérateur télécomunication français encore détenu par l'Etat à 22,95% du capital et 29,29% des droits de vote.</t>
  </si>
  <si>
    <t>FR0000133308</t>
  </si>
  <si>
    <t>Christel Heydemann remplace en 2022 Stéphane Richard (2009-2021) comme CEO</t>
  </si>
  <si>
    <t>Après la période difficile post bulle internet avec le désendettement et la baisse inéluctable du fixe, Orange a subi l'arrivée de Free sur le mobile</t>
  </si>
  <si>
    <t>Le marché est plus stabilisé aujourd'hui même si le fixe continue son déclin mais Orange investit beaucoup dans la Fibre et la 4G et obtient de bons succès commerciaux</t>
  </si>
  <si>
    <t xml:space="preserve">S = 0 </t>
  </si>
  <si>
    <t>Les actifs ont été rationalisés, vente du UK : EE vente définitive en janvier 2016, à BT pour 4,5 Md euros couverture de la Livre, reste actionnaire à hauteur de 4% de BT. Valeur de cette participation : 2,4 Md euros déjà dépréciée dès la première année. Valeur au 31/12/2016 : 1,7 Md euros. Encore -30% en2017 à 2,6 £ (contre 3,7 £ AU 31/12/2016)</t>
  </si>
  <si>
    <t>Lancement d'Orange Bank en novembre 2018 : coût 100 M euros, 30 000 clients en un mois, objectif 400 000 fin 2018 et 400 M euros de chiffre d'affaires</t>
  </si>
  <si>
    <t>Dettes &lt; à deux fois l'EBE permettant investissement et acquisition. Dettes brutes 32 Md euros (8 Md euros de cash) à 2/3 en euros. Titres subordonnées 1,5 Md (1,2 Md euros en dettes et 300 M euros en capitaux propres) et autres titres subordonnées</t>
  </si>
  <si>
    <t>Activité bancaire qui se deploit mais pourrait alourdir le bilan compte tenu du minimum de fonds propres pour ce type d'activité et sachant que le bilan d'Orange est assez lourd</t>
  </si>
  <si>
    <t>Orange connait quelques difficultés de rentabilité avec sa filiale Espagnol (11,69 % du CA), (Second Marché derrière la France), a passé 3,7 Mds d'euros de dépréciation d'actif dans le pays. C'est un marché avec 15 opérateurs différents.</t>
  </si>
  <si>
    <t>Déploiement de la fibre presque terminée en France d'où baisse des investissements et un objectif de flux de trésorerie libre de 3,5 Md euros en 2023, 90 % des objectifs d'Orange réalisés</t>
  </si>
  <si>
    <t>Suite aux difficultés en Espagne, fusion de la filiale avec Masmovil. Dépréciation d'actifs en Roumanie</t>
  </si>
  <si>
    <t>Totem : filiale des tours télécoms en France et en Espagne avec 27 000 tours télécoms</t>
  </si>
  <si>
    <t>Minoritaires : 10%</t>
  </si>
  <si>
    <t>Pay-out ratio : autour de 100%</t>
  </si>
  <si>
    <t>IPO en octobre 1997 à 27,7 euros</t>
  </si>
  <si>
    <t>Bristish Telecom</t>
  </si>
  <si>
    <t>Opérateur historique britannique. A racheté en février 2015 finalisé en 2016, EE (Everything Everywhere) à Orange et Deutsche Telekom pour 12,5 Md Livres. Orange et DT actionnaire à 4% et 12% respectivement</t>
  </si>
  <si>
    <t>GB0030913577</t>
  </si>
  <si>
    <t>Même valorisation qu'Orange</t>
  </si>
  <si>
    <t>Sortie de la cote à 182 euros le 29 juillet 2021 (TRA : 15,2%)</t>
  </si>
  <si>
    <t>Iliad</t>
  </si>
  <si>
    <t>Fondé en 1991 par Xavier Niel qui détient 70% du capital. Thomas Reynaud PDG depuis 2018</t>
  </si>
  <si>
    <t>Numéro 6 européen.</t>
  </si>
  <si>
    <t xml:space="preserve">En France, 20 Millions de clients : 6,4 M dans le fixe et 13,4 M dans le mobile. </t>
  </si>
  <si>
    <t>En Italie, lancement en mai 2018, 4 ème opérateur avec 3,3 M de clients</t>
  </si>
  <si>
    <t>En mai 2019, cession de 70% des tours télécoms en France et 100% en Italie pour 2 Md euros (1,4 Md e pour la France et 0,6 Md euros pour l'Italie et 410 M e) à Cellnex avec contrat de poursuite de location. Désendettement et retour de la dette à hauteur de l'EBE et financement de la progression en Italie</t>
  </si>
  <si>
    <t>Chiffre d'affaires : 2 782 500 000 de forfait fixe  2 214 300 000 forfait portable</t>
  </si>
  <si>
    <t>9 712 employés soit 500 000 euros de chiffre d'affaires par salarié</t>
  </si>
  <si>
    <t>Objectif France : 25% de parts de marché et marge d'EBE à 40%</t>
  </si>
  <si>
    <t>Objectif Italie : 10% de parts de marché pour atteindre l'équilibre et 1,5 Md euros de chiffre d'affaires à long terme</t>
  </si>
  <si>
    <t>Objectif Entreprises : 500 M euros de CA</t>
  </si>
  <si>
    <t>Passage de valeur de croissance à valeur à croissance plus lente suite à la maturité du business en France d'où le développement en Italie et en enteprises (B to B) financé par la vente des tours télecoms</t>
  </si>
  <si>
    <t>La bourse a intégré ce nouveau modèle par un derating fort de la valeur en 2018. Multiple télécom mais peut-être un peu plus élevé car plus dynamique qu'Orange</t>
  </si>
  <si>
    <t>Objectif probablement 7 Md euros de CA et 2-2,2 EBE (410 M e d' EBE a retiré suite vente des tours télécoms en mai 2019) peut-être voire quelles dettes (2 - 2,5 Md dettes ?) et quelles multiples ?</t>
  </si>
  <si>
    <t>En 2020 acquisition en Pologne de Play pour 3,5 Mds € (endettement compris)</t>
  </si>
  <si>
    <t>CAC : Price &amp; Deloitte</t>
  </si>
  <si>
    <t>Minoritaire : 2%</t>
  </si>
  <si>
    <t>Pay-out ratio : 45%</t>
  </si>
  <si>
    <t>IPO en février 2004 à 16,5 euros</t>
  </si>
  <si>
    <t>Altice</t>
  </si>
  <si>
    <t>Regroupe Israel, République Dominiquaine, France et Portugal</t>
  </si>
  <si>
    <t>BIC</t>
  </si>
  <si>
    <t>Fabricant de rasoirs, stylos</t>
  </si>
  <si>
    <t>Société familiale détenue par la famille Bich (à 43% environ)</t>
  </si>
  <si>
    <t>FR0000120966</t>
  </si>
  <si>
    <t>Rasoirs, Bics et briquets. Marge sur briquet (40%), rasoir (18%) et bic (11%)</t>
  </si>
  <si>
    <t>La société subit le déclin de l'utilisation du rasoir notamment aux Etats-Unis et de la vente de lames sur le ne. Et aussi le déclin des briquets, division la plus rentable</t>
  </si>
  <si>
    <t>Marge élevée, structure financière sans dettes. Rachat d'actions de 81,6 M euros en 2016 contre 26,3 M e en 2015</t>
  </si>
  <si>
    <t>Les chiffres d'EBE ne sont pas communiquées par la société, estimation</t>
  </si>
  <si>
    <t>Europe : 25% - Etats-Unis : 37% - Emergents : 38% (investissement de 75 M e en 2018 en Inde)</t>
  </si>
  <si>
    <t>2017 : chiffres en ligne avec un bon T4. Flux net de trésorerie 400 M euros / 200 M e en investissement / 258 M euro en dividendes et rachats -100% du Résultat</t>
  </si>
  <si>
    <t xml:space="preserve">2018 : chiffres d'affaires attendu stable et marge en baisse à 17-18%. </t>
  </si>
  <si>
    <t>Nombre d'actions en circulation estimé après le rachat de 400 000 actions à venir en 2018 (1 Millions de titres en 2017). Nbre d'actions 46 629 007 (et 781 495actions auto détenues au 31/12/2017) potentiellemnt plus que 44 874 512 actions avant rachat 2018</t>
  </si>
  <si>
    <t xml:space="preserve">Nombre potentiel de titres fin 2018 : 44 Millions </t>
  </si>
  <si>
    <t>Prix cible : 75 euros ?</t>
  </si>
  <si>
    <t>Marché du rasoir et briquet en baisse, papier stable. Croissance sur les émergents.  Contexte difficile. Flux de trésorerie positif couvre investissement et dividendes</t>
  </si>
  <si>
    <t>Tarkett</t>
  </si>
  <si>
    <t>Fabricant de parquets</t>
  </si>
  <si>
    <t>Retrait de la cote à 20 euros le 23/04/2021 par la famille Deconinck et Wendel (TRA : -4,5%)</t>
  </si>
  <si>
    <t>FR0004188670</t>
  </si>
  <si>
    <t>Société détenue par la famille Deconinck à 50,2% spécialisée dans la fabrication et ventes de parquets, moquette, vinyl, revêtement de terrains sport et carrelage. CEO : Glenn Morrisson</t>
  </si>
  <si>
    <t>Marché pas très concurrentiel : leader Mohawk Industries, Shaw industries (W. Buffett), Tarkett , une entreprise allemande ( à vérifier) en France, Gerflor et en Suisse Forbo (à eux trois entre 65% et 85% du marché) en France</t>
  </si>
  <si>
    <t xml:space="preserve">Marché de renouvellement dans l'habitation (30% du CA) en Europe et aux Etats-Unis lié à 80% à la rénovation. Croissance en ligne avec le PIB et surtout croissance dans le revêtement des salles et terrains de sport </t>
  </si>
  <si>
    <t>Croissance dans le carrelage dans les pays émergents et le sport (pelouse du U Arena, Camp Nou, Amsterdam, USA….)</t>
  </si>
  <si>
    <t>Lourde amende à venir en 2017 (165 M euros) pour entente avec Gerflor et Forbo. Michel Giannuzzi (dirigeant)</t>
  </si>
  <si>
    <t>Pas de minoritaire dans les différentes sociétés détenues par le groupe</t>
  </si>
  <si>
    <t>Marge EBE / CA stable sur longue période à 12%. Risque sur la hausse des matières premières. Covenant à 3 fois Dettes / EBE et 2,5 fois Ebit / charges fin</t>
  </si>
  <si>
    <t>Objectif 2020 : CA : 3,5 Md euros et EBE : 420 M euros (marge 12%) et dettes à 2,5 fois soit 1 050 M euros et ROIC : &gt; 9%. Objectif cible : VE/EBE = 9  fois =&gt; 42 euros ?</t>
  </si>
  <si>
    <t>Cotation en novembre 2013 à 29 euros (7,25 fois VE/EBE).  La famille Deconinck a maintenu sa participation à 50,2% et KKR (18,9% après l'IPO) est sortie progressivement. Il y a eu un dividende exceptionnel</t>
  </si>
  <si>
    <t>Baisse en 2014 suite aux problèmes de la Russie (20% du CA ? À vérifier)</t>
  </si>
  <si>
    <t>1T2018 en légère baisse et impact des matières premières, EBE en baisse. Sport en croissance</t>
  </si>
  <si>
    <t>Acquisition d'une entreprise aux Etats-Unis de 150 M euros de CA dans la moquette pour les hôtels. Acquisition difficile</t>
  </si>
  <si>
    <t>IPO en novembre 2013 à 29 euros</t>
  </si>
  <si>
    <t>Haulotte Group</t>
  </si>
  <si>
    <t>Fabricants de nacelle</t>
  </si>
  <si>
    <t>E (structure) = -1</t>
  </si>
  <si>
    <t>Fabricant de nacelles fondée en 1881 par Pinguely et détenue par la famille Saubot à 54,4% via la holding Solem. Alexandre Saubot (Directeur Général). Échéance 2021</t>
  </si>
  <si>
    <t>FR0000066755</t>
  </si>
  <si>
    <t>Le modèle économique a souffert de la crise de 2008 et les clients optent plus pour la location. Tension sur les marges. Gros clients : loueurs</t>
  </si>
  <si>
    <t>Présent en Europe (57%), Amérique du Nord (16%) et du Sud (8%) et Asie Pacifique (19%). Chine : 50% du marché détenu par 3 loueurs dont un est client de Haulotte</t>
  </si>
  <si>
    <t>Prix des machines : 15 000 euros et plus. Peu de croissance externe historiquement (donc pas de survaleurs au bilan) mais ils y réflechissent</t>
  </si>
  <si>
    <t>Cherche à produire en Europe pour l'Europe, en Chine pour la Chine, et aux États-Unis pour les États-Unis</t>
  </si>
  <si>
    <t>Résultats 2017 un peu en dessous en terme de rentabilité. Valorisation trop généreuse</t>
  </si>
  <si>
    <t>Chiffre d'affaires en hausse de plus de 10%, Europe bien mais pression sur les prix. Résultat d'exploitation stable. Résultat net en hausse suite cession et légère hausse de l'endettement. A suivre</t>
  </si>
  <si>
    <t xml:space="preserve">Bonne dynamique commerciale, la société retrouve les niveaux d'activité de 2007 mais impact de la hausse des matières premières et mauvais mix géographique </t>
  </si>
  <si>
    <t>Haut de cycle en Europe au premier semestre 2019.</t>
  </si>
  <si>
    <t>En 2020, situation de crise gérée, l'activité redémarre en Asie (surtout en Chine), difficile en Europe et aux États-Unis, dure en Amérique Latine. Le chiffre d'affaires devrait croître de 10% en 2021, normalisation en 2022</t>
  </si>
  <si>
    <t xml:space="preserve">Dépréciation de l'UGT aux États-Unis de 4,3 M euros </t>
  </si>
  <si>
    <t>2021 : croissance du CA de 10% (revu à +15%) et marge opérationelle de 3-4%. Reprise forte, la marge est impacté par la hausse des composants, légère baisse de la dette. 2022 devrait permettre de se rapprocher des 600 M euros</t>
  </si>
  <si>
    <t>2021 : flux de trésorerie disponible à 10 Me sur le semestre. Ventes financées : 10%-15%. Dettes surtout un crédit syndiqué à échéance 2026 pour 130 M euros auprès de plusieurs banques</t>
  </si>
  <si>
    <t>2022 : démarrage d'une usine en Chine impact à plein sur les chiffres en 2023. Croissance du CA attendu à +20% mais marge à 3,3% subit l'inflation des coûts. Waiver accordé par le pool bancaire</t>
  </si>
  <si>
    <t>Rythme de croisière des investissements à 20 M euros. Pourrait bénéficier d'une normalisation en 2023, de leur développement en Chine et de moindre investissement. Risque baisse des volumes en 2024</t>
  </si>
  <si>
    <t xml:space="preserve">Les pertubations de la chaîne d'approvisionnement et l'inflation des coûts rendent la situation difficiles avec l'absence de marge et la hausse de l'endettement proche des 200 Meuros </t>
  </si>
  <si>
    <t xml:space="preserve">Pas de minoritaire </t>
  </si>
  <si>
    <t>Pay-out ratio : 70% (dividende : 0,22 euro soit 7 M euros). Stable dans le temps. Pas de dividendes en 2021 et 40% en 2019</t>
  </si>
  <si>
    <t>Manitou</t>
  </si>
  <si>
    <t>Fabricants de chariots élévateur</t>
  </si>
  <si>
    <t>Fabricant de chariots élévateurs, fondée en 1958 par Marcel Braud. C'est Marcel Braud qui imagine le premier chariot élévateur tout-terrain.  Siège Social Basé à Ancenis</t>
  </si>
  <si>
    <t>FR0000038606</t>
  </si>
  <si>
    <r>
      <rPr>
        <sz val="12"/>
        <color theme="1"/>
        <rFont val="Quicksand"/>
        <family val="1"/>
        <charset val="128"/>
        <scheme val="minor"/>
      </rPr>
      <t>Actionnariat : Famille Himsworth 32,5 %, Famille Braud 32,1 %, Flottant 25,1 %, YANMAR (entreprise japonnaise fabricant de moteur tracteurs..) 6,2 %, Autodétention 3,5 % et Salariés 0,6 %</t>
    </r>
  </si>
  <si>
    <t>Le 24 avril 1984, introduction en bourse</t>
  </si>
  <si>
    <t>11 sites de production</t>
  </si>
  <si>
    <r>
      <rPr>
        <sz val="12"/>
        <color theme="1"/>
        <rFont val="Quicksand"/>
        <family val="1"/>
        <charset val="128"/>
        <scheme val="minor"/>
      </rPr>
      <t>CA par marchés : 56 % Construction, 30 % Agriculture, 14 % Industries  ----- CA par zone Géographique : 37 % Europe du Nord, 35 % Europe du sud, 19 % Amériques et 9 % APAM (Asie Pacifique, Afrique, Moyen-orient)</t>
    </r>
  </si>
  <si>
    <r>
      <rPr>
        <sz val="12"/>
        <color theme="1"/>
        <rFont val="Quicksand"/>
        <family val="1"/>
        <charset val="128"/>
        <scheme val="minor"/>
      </rPr>
      <t>CA par division produit : 65 % MHA ( Manutention et Nacelles), 16 % CEP (Matériel Compact) et 19 % S&amp;S (Services et Solutions)</t>
    </r>
  </si>
  <si>
    <r>
      <t xml:space="preserve">Marge par division : </t>
    </r>
    <r>
      <rPr>
        <sz val="12"/>
        <color theme="1"/>
        <rFont val="Quicksand"/>
        <family val="1"/>
        <charset val="128"/>
        <scheme val="minor"/>
      </rPr>
      <t>MHA 15 %, CEP 11 % et S&amp;S 28 %</t>
    </r>
  </si>
  <si>
    <t>2008 : rachat de Gehl Company avant un effondrement de 54 % du CA</t>
  </si>
  <si>
    <t>2015 : célébration de la 500.000 eme machine produite.</t>
  </si>
  <si>
    <t>2017 : achat de Manitou Equipment India (ajout de la gamme tractopelles)</t>
  </si>
  <si>
    <t>2017 : prise de participation majoritaire chez LiftRite (transpalettes)</t>
  </si>
  <si>
    <t>2017 : litige pour contrefaçon</t>
  </si>
  <si>
    <t>2017 : plusieurs opérations de ventes dirigeant. Rien depuis</t>
  </si>
  <si>
    <t>2018 : célébration de la 800.000 eme machine produite</t>
  </si>
  <si>
    <t>2018 : premier prototype de chariot télescopique électrique au monde</t>
  </si>
  <si>
    <t>CAC : KPMG et RSM Ouest</t>
  </si>
  <si>
    <t>Minoritaires : très peu</t>
  </si>
  <si>
    <t>Pay out ratio : historiquement 35 %, en 2020 60 % car n'a pas coupé son dividende</t>
  </si>
  <si>
    <t>IPO en 1984</t>
  </si>
  <si>
    <t>Ontex</t>
  </si>
  <si>
    <t xml:space="preserve">Produits d'hygiène </t>
  </si>
  <si>
    <t>Fabricant de produits d'hygiène fondée en 1979 : enfants, femme et adulte. Leader en Europe, numéro 5 mondial présent dans une centaine de pays. 18 usines (une fermeture) dans 14 pays (sortie de l'Éthiopie)</t>
  </si>
  <si>
    <t>BE0974276082</t>
  </si>
  <si>
    <t>Détenue à 19,98% par GBL entré en 2015 (15% en 2017) et actionnariat institutionnelle (5% Harris, 5% Janus…)</t>
  </si>
  <si>
    <t>Entre 1998 et 2003, l'entreprise était cotée à la bourse de Bruxelles</t>
  </si>
  <si>
    <t>2018 : PAI propose de racheter l'entreprise à 27,5 euros soit 2,2 Md euros alors que le titre était tombé à 19 euros le 5/7/2018. Offre rejetée par le CA</t>
  </si>
  <si>
    <t>2020 : changement de CEO avec l'arrivée Mrs Esther Berrozpe Galindo (ex-Whirlpool) en décembre après Thierry Navarre qui a assuré l'interim quelques mois après le depart Charles Bouaziz (7 ans). Départ du CFO à la retraite en 2021</t>
  </si>
  <si>
    <t>Croissance : émergents et troisième âge. Mature : Occident, enfant et femme. Le business des couches-culottes pour enfant est en déclin</t>
  </si>
  <si>
    <t>2021 : Ontex reçoit 81 M euros du vendeur de la société brésilienne acquise en mars 2017 soit 50% du prix d'achat en garantie de passif. Cela réduira l'endettement d'autant</t>
  </si>
  <si>
    <t>Amélioration de l'activité depuis le 2T21 (510 M euros par trimestre - 530 M euros en 2022) notamment segment adultes. Refinancement de la dette brute de 1,05 Md euros à 3,5%, coût annuel proche 48 M euros. Échéance 2026 (580 M euros à 3,5%)</t>
  </si>
  <si>
    <t>Recentrage sur l'Europe et les États-Unis et cession à venir de l'Amérique du Sud (Brésil et Mexique) et Moyen-Orient. Retour où le groupe était en 2014 à l'IPO mais activité plus mature. Le groupe réalisera 1,4 Md euros de CA, 13% d'EBE et dettes ramené à 3 fois l'EBE soit 560 Meuros en 2023</t>
  </si>
  <si>
    <t xml:space="preserve">La hausse des matières premières est très forte pour Ontex, EBE à 31 M e (6-7% de marge) au 4T 21 (contre 52,5 Me au 4T20) et cession à venir sur les émergents (30% du CA). Par contre, retour de la croissance sur l'adulte, effort significatifs sur les coûts et la dette. </t>
  </si>
  <si>
    <t>2021 : sur l'année les volumes baissent de 1,5%. Dépréciation 121 M euros sur l'acquisition du Brésil et 81 Me de garantie de passif reçu</t>
  </si>
  <si>
    <t>Ratio dettes / EBE à 5, frais financiers (41 Me en 2021 mais 50 M euros en 2023) à 3% du  CA et 1/4 de l'EBE mais peut-être temporaire et covenant revu avec les banques jusqu'en juin 2023 contre l'abscence de dividendes</t>
  </si>
  <si>
    <t>2022 : impact fort de l'inflation au 1T puis amélioration. Inflation en 2022 : + 100 M e par rapport à 2021 et économie 60 M e = &gt; - 40 Me. Outils en industriels en bon état mais avec des pistes d'amélioration</t>
  </si>
  <si>
    <t>Dépréciation de la Russie 84 M euros et du Mexique 60 M euros. Cession du Mexique pour 250 Me, reste le Brésil et la Turquie à vendre et le rapprochement à venir avec l'acteur américain Attindas détenu par AIP</t>
  </si>
  <si>
    <t>2023 : chiffres avec les émergents, croissance de l'activité (organique 2%/an), cession des émergents (en 2023) et EBE à 10% (et non 12-13%) avec une dette à 3,3 fois l'EBE. Finalement EBE à 11,5% et Capex à 4% (96 M euros) il faut investir aux États-Unis zone de croissance avec la demande sur Baby et Adult</t>
  </si>
  <si>
    <t>2024 : poursuite du redressement (+2-3% en CA avec les États-Unis), marge d'EBE à 11-12% et cession du reste des émergents (valeur comptable 160 M euros). Dettes de 580 M euros à 3,5% échéance juillet 2026</t>
  </si>
  <si>
    <t>IPO le 24 juin 2014 à 18 euros</t>
  </si>
  <si>
    <t>Potentiel aux États-Unis avec deux usines en Caroline du Nord et Méxique (frontière) capacité facilement extensible et demande sur le Baby et Adult. Vente de l'Algérie pour 25 M euros, net 12 Me et Pakistan pour 0.Reste à vendre Brésil et Turquie (100 M euros dans le bilan)</t>
  </si>
  <si>
    <t>9 usines en Europe et aux États-Unis (2), amélioration en cours de l'efficacité opérationnel . Restructuration de la Belgique, coût 66 M euros</t>
  </si>
  <si>
    <t>Cession du Brésil le 1/10/24 (effectif au 1S25) à Softys pour 110 M euros (82 M euros net pour un CA de 97 M euros et EBE de 13 M euros et 1400 employés). Reste la Turquie à céder</t>
  </si>
  <si>
    <t>Pay-out ratio : pas de dividendes en 2021 et 2020 - 35% auparavant</t>
  </si>
  <si>
    <t xml:space="preserve">Goldman Sachs </t>
  </si>
  <si>
    <t>Banque d'investissement</t>
  </si>
  <si>
    <t>US38141G1040</t>
  </si>
  <si>
    <t>Activité de courtage obligations, actions, matières premières et devises (concentration sur ce dernier marché)</t>
  </si>
  <si>
    <t>Activité de conseil</t>
  </si>
  <si>
    <t>Activité d'asset management et de banque privée</t>
  </si>
  <si>
    <t>Rachat par Essilor Luxottica pour 28,42 euros par action en juillet 2021</t>
  </si>
  <si>
    <t>Grandvision</t>
  </si>
  <si>
    <t>Optique</t>
  </si>
  <si>
    <t>Acteur de l'optique avec 7000 magasins en Europe, en Asie et aux Etats-Unis. 6% de part de marché. Marché de 153 M d euros dans le Monde. La société était sortie de la bourse dans les années 2005-2007 avant de revenir en 2015 à la bourse d'Amsterdam</t>
  </si>
  <si>
    <t>Croissance du marché avec le vieillissement de la population et résistance à Internet</t>
  </si>
  <si>
    <t>Marché en croissance de 5,3% d'ici à 2022 dont 6,5% pour les lunettes de soleil</t>
  </si>
  <si>
    <t>CEO : Kiesselbach (1 006 983 actions en portefeuille)</t>
  </si>
  <si>
    <t>HAL Optical détient 76,7% du capital. Flottant : 22,48%. IPO le 6 février 2015</t>
  </si>
  <si>
    <t>Nouveau CEO. A suivre</t>
  </si>
  <si>
    <t>Peut-être un peu plus mature comme business le meilleur était probablement de 2006-2016. Résutat net stable</t>
  </si>
  <si>
    <t>IPO le 6 février 2015</t>
  </si>
  <si>
    <t>Capi / Rex</t>
  </si>
  <si>
    <t>Deere &amp; CO</t>
  </si>
  <si>
    <t>Tracteurs</t>
  </si>
  <si>
    <t xml:space="preserve">Fabricant de machines agricoles fondé au XIX siècle (1837), basée à Moline (Ilinois) au Sud de Chicago. Bien géré, réputation exceptionnelle </t>
  </si>
  <si>
    <t>US2441991054</t>
  </si>
  <si>
    <t xml:space="preserve">Actionnaires : 8,7% Cascade (holding de Bill Gates ) </t>
  </si>
  <si>
    <t>CEO &amp; Chairman : John C May</t>
  </si>
  <si>
    <t>Agriculture (tracteurs, moissonneuses..) : 71% Construction &amp; Forêts : 29%</t>
  </si>
  <si>
    <t>Présent dans 100 pays : Amérique du Nord (61%) - Europe (17%) - Asie, Afrique et Australie Nouvelle Zélande (9%) - Amérique Latine (13%)</t>
  </si>
  <si>
    <t xml:space="preserve">700-800 000 tracteurs vendus par an </t>
  </si>
  <si>
    <t>Concurrence : quelques grands acteurs comme Claas (Allemagne), Agco (États-Unis, Massey, Deutz...) CNH (Italie - Fiat, New Holland) qui réalise 25 Md de CA pour 2,3 Md de résultat net et une valorisation de 12 Md (40% du CA de Deere , 30% de son RN et 12% de sa capi)</t>
  </si>
  <si>
    <t>Consolidation du secteur au cours des crises (1990 - 1993, 2001-2002, 2008) Deere gagnant en restant indépendant et performant. Au moins 30% de part de marché. Taille du marché 150 Md $</t>
  </si>
  <si>
    <t>Crédit vendeur : une année de chiffre d'affaires  soit 35-40 Md $ en face 3,5-3,7 Md $ de trésorerie, taux d'impayé assez faible monte forcément lors des crises</t>
  </si>
  <si>
    <t>Services financiers : 3,7 Md $ de revenus et 881 M$ en 2021 de résultat net soit 15% du RN global</t>
  </si>
  <si>
    <t>Total Bilan à 90 Md euros et 20 Md de fonds propres à fin 2022 (22%) car 34 Md $ de crédit vendeur (moins d'un an de CA)</t>
  </si>
  <si>
    <t>Fondation Deere : 200 Me sur 10 ans pour les minorités</t>
  </si>
  <si>
    <t>Intensité capitalistique : 1/3 sur la meilleure année</t>
  </si>
  <si>
    <t>R&amp;D : 1,6 Md $ (3% du CA - proche de 4% en moyenne)</t>
  </si>
  <si>
    <t>Goodwill : 3,95 Md $ (3,7% du bilan et 17,3% du bilan)</t>
  </si>
  <si>
    <t>Trésorerie : 7,3 Md $ (1,5 mois de CA)</t>
  </si>
  <si>
    <t>2017 : achète pour 5,2 Md $ l'entreprise allemande Wirtgen : machines pour les travaux sur route. 8 500 personnes et 3,5 Md euros de CA (410 K euros / salarié)</t>
  </si>
  <si>
    <t xml:space="preserve">2022 : répartition du CA : agriculture (71%) - construction &amp; forêts (29%). Résultats et perspectives exceptionnelles. PER de 17 </t>
  </si>
  <si>
    <t>2024 : début de retourenement de cycle avec des ventes de tracteurs en baisse de 10%, contrecoup du cycle d'expansion depuis 2018, baisse du prix du blé et hausse des taux. Objectif du Rn à 7 Md (-30%)</t>
  </si>
  <si>
    <t>Baisse plus faible sur la partie Construction &amp; Forêt (-7% pour 25% du CA). Partenariat avec une banque au Brésil (50-50) pour diminuer le risque de financement et sortie de la petite activité au Brésil</t>
  </si>
  <si>
    <t>2025 : poursuite de la baisse attendue avec une baisse de 15% du CA (dont -30% aux États-Unis sur le tracteur et - 10% en Europe) après un 4T 2024 déjà en baisse de 30%</t>
  </si>
  <si>
    <t xml:space="preserve">Minoritaires : aucun </t>
  </si>
  <si>
    <t>Pay-out ratio : 25-30% et rachat d'actions de 4 Md $. 100% du RN distribué fonds propres stable à 22 Md $</t>
  </si>
  <si>
    <t>Vinci</t>
  </si>
  <si>
    <t>Construction</t>
  </si>
  <si>
    <t>Un des leaders mondiaux de la conception, construction et exploitation de bâtiments, routes, autoroutes, aéroports et programme immbilier</t>
  </si>
  <si>
    <t>FR0000125486</t>
  </si>
  <si>
    <t>La société a vendu les parkings en ville avec le déclin de la voiture en ville d'ici 2030 (2012-2013 ? À vérifier) et investi dans l'exploitation des aéroports (Lisbonne, Gatwick, Turquie…)</t>
  </si>
  <si>
    <t>Bonne société bien gérée avec un peu d'endettement mais cycle long. Investissement de long terme</t>
  </si>
  <si>
    <t>Bouygues</t>
  </si>
  <si>
    <t>BTP / Média</t>
  </si>
  <si>
    <t xml:space="preserve"> A- / Négative </t>
  </si>
  <si>
    <t>Bouygues Telecom créée en 1994 détenue à 90,5%, Construction à 100%, Immobilier à 100%, TF1 (achetée en 1987) à 43,73% (solde : salariés et public) et Colas à 96,6%. Le groupe a cédé sa participation dans Alstom (13% en septembre 2019)</t>
  </si>
  <si>
    <t>FR0000120503</t>
  </si>
  <si>
    <t xml:space="preserve">2019 : participation d'Alstom réduite à 14,5% (contre 27,7% à 37 euros soit 1,079 Md euros) puis réduite en 2020 à moins de 10% soit 440 M euros récupérés (à 42 Euros par action Alstom). </t>
  </si>
  <si>
    <t xml:space="preserve">Nouvelle cession d'actions Alstom (3,12% du capital soit 12 millions de titres et 500 M euros). Reste 3,12% du capital au 10 mars 2021. </t>
  </si>
  <si>
    <t>Litiges : 323 M euros en 2017 puis 286 M euros en 2018 puis 252 M euros en 2019  puis 248 M euros au 30/06/2020. Moyenne à 220 M euros soit 0,6% du CA</t>
  </si>
  <si>
    <t>2020 : l'international représente 62% du carnet de commandes (métro à Edmonton au Canada, tunnel à Pauwtucket aux États-Unis….)</t>
  </si>
  <si>
    <t>Finalement retour aux résultats de 2019 en 2021 (contre 2022 initialement prévu). Acquisition d'Equans (services multitechniques d'ENGIE) pour 7,1 Md euros en novembre 2021 (pas d'augmentation de capital en vue)</t>
  </si>
  <si>
    <t>2022 : intégration d'Equans au second semestre. Montée de la famille Bouygues de 21% à 25% du capital</t>
  </si>
  <si>
    <t>2023 : bonne intégration d'Equans, activité correcte dans la constrcution et dans les Telecoms. Difficile dans l'immo. Rachat des minoritaires de Colas. Baisse de la dette</t>
  </si>
  <si>
    <t xml:space="preserve">Total : 16-17 Md euros soit 42-43 euros par action. Valorisation en mai 2020 : 90 % des FP à 25 euros cela vaut 38-42 euros. Création de valeur moyenne dans la durée. </t>
  </si>
  <si>
    <t xml:space="preserve">CAC : Mazars et Ernst Young </t>
  </si>
  <si>
    <t>Minoritaires : 12,5% avec TF1 principalement</t>
  </si>
  <si>
    <t xml:space="preserve">Pay out ratio : 53%  </t>
  </si>
  <si>
    <t>Eiffage</t>
  </si>
  <si>
    <t xml:space="preserve">Construction </t>
  </si>
  <si>
    <t>A-</t>
  </si>
  <si>
    <t>FR0000130452</t>
  </si>
  <si>
    <t>CEO et président du conseil d'administration depuis 2016 : Benoît de Ruffray née en 1966. Il possède 25 638 actions soit 2 M euros</t>
  </si>
  <si>
    <t>Carnet de commande à 16,4Md euros (au 30 septembre 2020) soit 14 mois d'activité</t>
  </si>
  <si>
    <t xml:space="preserve">Résultats d'exploitation en 2019 : 76% Concession, 10% Énergie Système, 9% Infrastructure, 7% Construction et -2% Holding </t>
  </si>
  <si>
    <t>Exploite les aéroports de Toulouse, de Lille et 5% du capital de Getlink (Tunnel sous la Manche)</t>
  </si>
  <si>
    <t xml:space="preserve">Croissance annuel du CA de 2014 à 2019 : 5,15%.  Vinci : 2% et Bouygues : 2,5% </t>
  </si>
  <si>
    <t xml:space="preserve">2021 : activité Travaux en croissance par rapport à 2019, Concessions en-dessous sauf Autoroute, reste le problème des aéroports et de Getlink. </t>
  </si>
  <si>
    <t>Retour des résultats au-dessus de 2019. Carnet de commandes à 16,6 Md euros en juin 2021. Eiffage a dépose une offre ferme de rachat d'Equans</t>
  </si>
  <si>
    <t>Échéance de la concession chez APRR en 2036</t>
  </si>
  <si>
    <t>Effarie est possédée à 50,1% par Eiffage, le reste par Macquarie. APRR génère 600M euros par an</t>
  </si>
  <si>
    <t>2024 : souffre de la faiblesse de la construction neuve en France, rénovation compense, infrastructure, concession et international poursuive leur développement. Points faibles : dettes et Macquarie</t>
  </si>
  <si>
    <t>CAC : KPMG Audit et Mazars</t>
  </si>
  <si>
    <t>Minoritaires : 20% soit 1,486 Md euros qui donne accès à 35% du résultat (519 M euros en 2023 pour Macquarie, 33% de rentabilité pour Macquarie)</t>
  </si>
  <si>
    <t>Pay out ratio : entre 35 et 40%</t>
  </si>
  <si>
    <t>Orchestra premaman</t>
  </si>
  <si>
    <t>Vêtements enfant</t>
  </si>
  <si>
    <t>Fournitures pour bébé nourriture, vêtements, poussettes, chaussures etc.</t>
  </si>
  <si>
    <t>Yeled Investissement 68% du capital</t>
  </si>
  <si>
    <t xml:space="preserve">Clôture le 28 février </t>
  </si>
  <si>
    <t>3 051 employés</t>
  </si>
  <si>
    <t>200 825 euros de chiffre d'affaires par employé</t>
  </si>
  <si>
    <t>Arrêt de la fusion avec l'américain Destination Maternity</t>
  </si>
  <si>
    <t>Valorisation de Carrefour : 15% du CA</t>
  </si>
  <si>
    <t>Orchestra : 10-12% soit 60-70 Me</t>
  </si>
  <si>
    <t>BNP Paribas</t>
  </si>
  <si>
    <t>Banque</t>
  </si>
  <si>
    <t>Présent dans 63 pays. La banque commerciale (55% du PNB) en France, Belgique, Luxembourg (ex Fortis), Italie (BNL), Pologne et Turquie. BFI (32% du PNB) grandes places financières et les Services (13% du PNB)</t>
  </si>
  <si>
    <t>FR0000131104</t>
  </si>
  <si>
    <t>Actionnaire : État belge (5,5% suite Fortis 2008) État Luxembourg (1,1%), BlackRock (6,9%), Amundi (5,4%) Salariés (5%) et particuliers (5,8%), institutionnels (70 %)</t>
  </si>
  <si>
    <t xml:space="preserve">1993 : introduction en bourse le 18 octobre 1993 à 36,59 euros </t>
  </si>
  <si>
    <t>1999 : fusion avec Paribas le 1/09/1999</t>
  </si>
  <si>
    <t>2006 : achat de BNL en Italie le 6/2/2006 pour 9 Md euros</t>
  </si>
  <si>
    <t xml:space="preserve">2008 : achat de Fortis en 2008 </t>
  </si>
  <si>
    <t>Retrait du rétail aux États-Unis fin 2021 avec la cession de Bank of the West</t>
  </si>
  <si>
    <t>Souffre de l'exigence réglementaire en fonds propres (Levier : 4% du total bilan), Tiers one (Fonds propres / prêts : 13%) de la réduction des activités de marchés, de la baisse des marges dans l'asset management, l'arrivée des fintech et de la fermeture des agences</t>
  </si>
  <si>
    <t>Marge d'intérêt : 2/3 du PNB et commission : 1/3. Coeff. d'exploitation à 65% (même niveau qu'il y a 20 ans)</t>
  </si>
  <si>
    <t>Retail stable, BFI mieux, Asset Management difficile. Coût du risque contenu à 30 bp : à suivre Bourbon, Rallye…</t>
  </si>
  <si>
    <t>Le coût du risque reste bas à 41 bp. RN du 3T : 1,93 Md / Tier one à 12% / Levier 4% de Fonds propres /  CIB et IFS bien / Retail résiste / BNL et AM en transformation. Actif net à 78 euros</t>
  </si>
  <si>
    <t xml:space="preserve">2019 : le coût du risque tombe à 0,39%. Hausse du CA plus forte que les coûts et risque de crédit maîtrisé. RN : 8 Mde ROE : 10% et actif net 70 euros </t>
  </si>
  <si>
    <t>2020 : dividendes supprimés, coût du risque en hausse à 0,66% (0,5% sur encours douteux et 0,16% sur encours sains) et 0,74% au 4T2020 (soit 5,7 Md euros sur l'année 2020) entre RBE et résultat d'exploitation et résultat net en baisse à 7,07 Md euros (exceptionnel positif lié aux cessions : immeuble et activité satellite) et Tiers one à 12,8%</t>
  </si>
  <si>
    <t>Résultat net part du groupe hors exceptionnel à 6,8 Md euros en 2020</t>
  </si>
  <si>
    <t>2021 : coût du risque à 42 bp au 1T21, bonne année probablement, et 32 bp au 3T21</t>
  </si>
  <si>
    <t>Cession fin 2021 de Bank of the West à la Banque de Montréal pour 16,3 Md de dollars (14,4 Md euros) soit 20,5% de la capitalisation boursière de BNP P et 1,72 fois l'actif net pour 5% du résultat courant avant impôts du groupe. Plus-value de 2,9 Md euros et amélioration du tiers one de 170 bp</t>
  </si>
  <si>
    <t>Cession de participation périphérique au plus haut : Euronext (à 100 euros) et Allfunds (au-dessus de 10 euros et 444 M euros de plus-value)</t>
  </si>
  <si>
    <t>2022 : l'engagement brute est de 0,09% (1,7 Md euros) pour l'Ukraine et 0,07% (1,3 Md euros) pour la Russie entraînant un engagement net de 500 M euros</t>
  </si>
  <si>
    <t xml:space="preserve">Le total engagement de BNP Paribas est de 1875 Md euros </t>
  </si>
  <si>
    <t xml:space="preserve">2022 : la société passe la barre des 50 Md euros de PNB et 10 Md de résultat net avec une progression de l'activité à + 9% (+6,6% à pcc) et un coût du risque à 31 bp (France banque commerciale : 11 bp, Belgique : 3 bp et Italie : 58 bp) </t>
  </si>
  <si>
    <t>Ratio réglementaire 12,3%, Levier : 4,4%. Encours de prêt proche 1 000 Md euros et dépôt légèrement en-dessous des prêts.  Actif net à 79,3 euros. Total bilan : 2539 Md euros</t>
  </si>
  <si>
    <t xml:space="preserve">Progression attendue en 2023 et rachat d'actions de 5 Md e entre 50 et 60 euros suite à la cession de Bank of the West. </t>
  </si>
  <si>
    <t>2023 : le 4T moyen avec un PNB en légère baisse et provisions en Pologne (400 M euros), dans Personal Finance (220 M euros) et autres soit 800 Me inattendue. Ne devrait quand même pas changer la trajectoire</t>
  </si>
  <si>
    <t>2024 : acquisition de 9% d'Ageas (730 Meuros), de DAB Bank en Allemagne (à hauteur de 81,4%) pour 400 Me acteur en ligne. Reprise de la clientèle d'Orange bank par Hello Bank et de la banque privée d'HSBC en Allemagne (pour 300-500 M euros pour 90 M euros de PNB et 100 salariés)</t>
  </si>
  <si>
    <t>2025 : le plan est légèrement revu à la baisse à 11,5-12% de ROE à cause des réserves réglementaires Impact 500 Me par an soit 4 Md euros de capit soit 3,5 euros par action. Fin du mandat de Bonnafé. Projection du BPA à 10 euros (11,5 - 12 Md de RN et 1,1 Md actions). Multiple du PER : 7 - 8 possible (JP Morgan : 10-11)</t>
  </si>
  <si>
    <t xml:space="preserve">CAC : Pricewaterhouse et Deloitte &amp; Associés </t>
  </si>
  <si>
    <t>Pay out ratio : 60% avec le rachat d'actions depuis 2022 (1 Md euros de rachat d'actions en 2024)</t>
  </si>
  <si>
    <t xml:space="preserve">IPO le 5 octobre 1993 à 36,58 euros </t>
  </si>
  <si>
    <t>MTU aéro engine</t>
  </si>
  <si>
    <t>DE000A0D9PT0</t>
  </si>
  <si>
    <t>Accor</t>
  </si>
  <si>
    <t>Hôtellerie</t>
  </si>
  <si>
    <t>Accor fondé par Dubrule et Pellison dans les années 60. Ils détiennent que quelques pourcentages aujourd'hui</t>
  </si>
  <si>
    <t>FR0000120404</t>
  </si>
  <si>
    <t xml:space="preserve">Séparation de l'activité hôtelière et ticket restaurant en juillet 2010 avec l'IPO d'Edenred </t>
  </si>
  <si>
    <t>A subi la montée en puissance de Airbnb (diminuant l'activité) et de Booking (diminuant la marge)</t>
  </si>
  <si>
    <t>En 2010, l'EBE était de 593 M euros en France, il tombe à 524 M euros en 2014 avec la montée en puissance de Airbnb</t>
  </si>
  <si>
    <t>Dirigé par Sébastien Bazin (ex Colony - PSG ..) depuis août 2013. Gouvernance Qatar, Sarkozy (faible)</t>
  </si>
  <si>
    <t>Eurazeo entré au capital en mai 2008 est sortie définitevement d'Accor en mars 2018 à 45 euros pour 4,2% du capital (précédente sortie pour 4,7% du capital à 48,75 euros) et d'Edenred (à 26 euros en mars 2013)</t>
  </si>
  <si>
    <t>Investissement passé de 2008 à 2014. Sans intérêt aujourd'hui</t>
  </si>
  <si>
    <t>Lagardère</t>
  </si>
  <si>
    <t>Média</t>
  </si>
  <si>
    <t>Société en commandite dirigée par Arnaud Lagardère (né en 1961) depuis le décès de son père en mars 2003. Il détient 7% du capital. Il aurait emprunté auprès du Crédit Agricole d'où des ventes contraintes d'actions et d'actifs de Lagardère</t>
  </si>
  <si>
    <t>FR0000130213</t>
  </si>
  <si>
    <t>Sortie en 2007, 2008, 2009 puis totalement en 2013 des 15% d'EADS autour de 40 euros pour 2,5 Md euros</t>
  </si>
  <si>
    <t>Recentrage sur l'édition et le travel. Le sport acheté en 2007 pour 1 Md va sortir, et les médias (TV, journaux) sont en cours de cession</t>
  </si>
  <si>
    <t>Baisse des recettes publicitaires via ses supports avec la concurrence de Facebook et Google qui capte la moitié de la publicité</t>
  </si>
  <si>
    <t>L'édition baisse aussi, le résultat d'exploitation tourne autour de 400 M e contre 500-550 M euros en 2006</t>
  </si>
  <si>
    <t>Le travel, emplacement dans les aéroports, bénéficient du trafic mais faible valeur ajoutée et baisse du papier. Par contre pas trop capitalistique</t>
  </si>
  <si>
    <t>Beaucoup d'acquisitions et de survaleur dans le temps</t>
  </si>
  <si>
    <t>Fin de la commandite en 2021 ou 2022</t>
  </si>
  <si>
    <t>Peu ou pas de minoritaires (20% sur la filiale Asiatique de droit sportif)</t>
  </si>
  <si>
    <t>Dividendes trop élevées : 1,3 euro pour 1,7 euro de BPA</t>
  </si>
  <si>
    <t>VE / EBIT (EBITDA pas utilisé)</t>
  </si>
  <si>
    <t>Arnaud Lagardère ne serait pas toujours présent. Souvent en Floride et pas joignable</t>
  </si>
  <si>
    <t>Avec le recentrage, l'EBIt devrait passer à 310 M euros en 2019. Les activités cédées représentent 80-90 M euros</t>
  </si>
  <si>
    <t>Le travel est renforcé avec l'acquisition en Belgique de IHF, pour 250 M e (CA : 1,3 Md e à vérifier) Prix des transactions dans le Travel 20% du CA. Marge d'exploitation : 2,5% un peu plus avec les synergies</t>
  </si>
  <si>
    <t>CAC : Mazars &amp; Ersnt Young</t>
  </si>
  <si>
    <t>Imerys</t>
  </si>
  <si>
    <t>Spécialités minérales</t>
  </si>
  <si>
    <t>BBB - / Stable</t>
  </si>
  <si>
    <t>Fondée en 1880. Leader mondial des spécialités minérales pour l'industrie. Minéraux extrait et vendu par Imerys aux industriels qu'ils utilisent dans la fabrication des produits. Leader dans 75% de ses activités</t>
  </si>
  <si>
    <t>FR0000120859</t>
  </si>
  <si>
    <t>Détenue à 54,56% par GBL depuis la fin des années 90</t>
  </si>
  <si>
    <t>G=3</t>
  </si>
  <si>
    <t>Alessandro Dazza (1970) DG depuis févier 2020 (a travaillé chez Imerys de 2002- 2018)</t>
  </si>
  <si>
    <t>Minéraux : talc, Bentonite, Kaolin, Perlite &amp; Diatomite, Argiles rouges et lithium (Mines de Beauvoir, de Cornouaille en Angleterre et de Ranong en Thaïlande)</t>
  </si>
  <si>
    <t xml:space="preserve">Répartition géographique : 48% en Europe et Afrique, Asie : 29% et Amérique : 23% </t>
  </si>
  <si>
    <t>Acquisition en 2007 et au fil des années. Dettes 100% des FP et 2,5 fois l'EBE, augmentation de capital au printemps 2009 de 252 M euros, d’où hausse du nombre d'actions</t>
  </si>
  <si>
    <t>2017 : en juillet, acquisition de Kerneos pour 880 M euros (8,9 fois VE/EBE 2016 et 7,2 fois après synergie) pour 415 M e de chiffre d'affaires</t>
  </si>
  <si>
    <t xml:space="preserve">2018 : vente de la division toiture (740 M e de PV gonflant RN et FP) mais provisions de 585 M e dont 250 Me sur la filiale US de Talc, arrêt du proppant aux US (150 M e),  Namibie 78 M et autres charges de restructuration (-91,6 Me)  </t>
  </si>
  <si>
    <t>Dépréciation d'actifs, voir ci-dessus, et en 2015 : 210 Me sur la  partie pétrolière</t>
  </si>
  <si>
    <t>2019 : situation plus difficile et changement de dirigeant.</t>
  </si>
  <si>
    <t>Procès aux États-Unis liés au Talc, filiale sous chapitre 11 en 2018. Chiffre d'affaires US : 143 M e et résultat net de 16 M euros. Provision de 250 M euros passée</t>
  </si>
  <si>
    <t xml:space="preserve">2019 : IFRS 16 : dettes 275 Me en plus. Hors restructuration, résultat d'exploitation proche de 500 M euros minimum </t>
  </si>
  <si>
    <t>Cash flow libre (après investissement) en hausse à 347 Meuros en 2019 et 373 M euros en 2020</t>
  </si>
  <si>
    <t>Résolution en vue des filiales de Talc aux États-Unis. Vente des actifs de la filiale et le passif dans un trust. Coût provisionné 115 M euros. Fin du problème au 4 T 2020</t>
  </si>
  <si>
    <t>2020 : dépréciation d'actifs de 137 Me d'où un faible résultat net. 350 Me d'investissements beaucoup d'innovation (70 en 2020) et d'acquisition ciblées</t>
  </si>
  <si>
    <t>2021 : poursuite du redressement de l'activité et de l'amélioration de la marge. Cession de l'activité Kaolin pour papiers en Amérique du Nord pour 100 M euros (cession à venir) et d'une activité graphite en Namibie pour 40 M euros (15 M euros de CA et 50 salariés)</t>
  </si>
  <si>
    <t>2022 : année de croissance, reprise espérée dans l'automobile et l'Asie (qui ont pesé au 4T21), l'inflation pèse un peu sur les marges. 400 M e d'investissements (contre 330 M euros en 2021). Potentiel intact à moyen terme</t>
  </si>
  <si>
    <t xml:space="preserve">Cession à venir de la partie HTS (High Temperature Solution pour l'industrie) à Platinum Equity pour 930 M euros avec un CA de 801 M euros (6000 clients, 2800 salairés, 36 sites et 16 pays). Cession d'une activité de Kaollin représentant 60 Me de CA </t>
  </si>
  <si>
    <t>Cession de la partie Kaolin, Carbonate de Calcium destiné au papier pour 400 M euros de CA présent en Asie, États-Unis et Europe avec 950 salariés et 24 usines pour 390 M euros. Annulé</t>
  </si>
  <si>
    <t>Total cession : 1,42 Md euros pour 1,2 Md euros de CA à des VE/EBE de 7 à 9 fois. En 2023, 3,8 Md euros de CA et pas de dettes ou presque et 600 M euros d'EBE</t>
  </si>
  <si>
    <t>Réserve de lithium avec une mine à Beauvoir dans l'Allier avec galerie souterraine : 1 Md euros d'investissement. Production potentielle : 34 000 tonnes par an avec un coût de production de 9000 euros la tonne soit 306 M euros, le prix de vente est à 50-70 000 euros la tonne</t>
  </si>
  <si>
    <t>2023 : la cession de la partie Papier a échoué et dépréciation des actifs de cette branche de 235 M euros. Difficulté sur les marchés de la construction, de l'auto et du papier. Avancée des projets Lithium en France et au Royaume-Uni, et de Quartz aux États-Unis</t>
  </si>
  <si>
    <t>Croissance du CA de 1,4% par an de fin 2007 à fin 2021</t>
  </si>
  <si>
    <t>FR0000031684 </t>
  </si>
  <si>
    <t>Rothschild &amp; Co</t>
  </si>
  <si>
    <t>Banque &amp; AM</t>
  </si>
  <si>
    <t>Retrait de la cote à 47 euros en 2023 par la famille</t>
  </si>
  <si>
    <t>Banque, société de gestion et conseil détenue par la famille Rothschild à plus de 50%</t>
  </si>
  <si>
    <t>2 Md euros de CA, 250 M euros de résultat net, faible valorisation</t>
  </si>
  <si>
    <t>Minoritaires significatifs</t>
  </si>
  <si>
    <t>La Française des Jeux (FDJ)</t>
  </si>
  <si>
    <t>Jeux</t>
  </si>
  <si>
    <t>IPO en novembre 2019, l'État va passer de 72% à 20% du capital, valorisation autour de 3 Md euros</t>
  </si>
  <si>
    <t>FR0013451333</t>
  </si>
  <si>
    <t>Lancé en 1933, FDJ s'occupe du loto, des jeux de grattage et des paris sportifs</t>
  </si>
  <si>
    <t>Loto, FJD reverse 50%-60% aux joueurs, paris sportifs (concurrence) jusqu'à 85% aux joueurs. En moyenne, sur 100 euros 66% aux joueurs, 22% à l'État et 11-12% à la FDJ</t>
  </si>
  <si>
    <t>Concession sur 25 ans pour l'exclusivité du loto moyennant 380 M euros</t>
  </si>
  <si>
    <t>Plan 2020 - 2025 : chiffre d'affaires : 2 Md euros / EBE 400 Me / Rex 290 et RN : 200 Me avec un plan d'investissement de 600 Me (digitalisation : 15% des paris en ligne en 2019….)</t>
  </si>
  <si>
    <t>Pas de minoritaires, pas de dettes, rente avec ROE de 33%. Dividendes : 80% du RN à terme</t>
  </si>
  <si>
    <t>2 100 salariés soit 880 K euros par salarié (levier grâce au réseau de buraliste)</t>
  </si>
  <si>
    <t>IPO à 19,9 euros en novembre 2019</t>
  </si>
  <si>
    <t>Multiple de loyers</t>
  </si>
  <si>
    <t>Unibail Rodamco Westfield</t>
  </si>
  <si>
    <t>Immobilier</t>
  </si>
  <si>
    <t>FR0013326246</t>
  </si>
  <si>
    <t xml:space="preserve">BBB+ / Stable </t>
  </si>
  <si>
    <t>Actionnaires : Xavier Niel : 14,59 % du capital depuis 2021 via Rock Investment et NJJ Holding. Il détiendrait des actions par assimilation à titre personnel portant son total à plus de 25%. Solde public, institutionnel</t>
  </si>
  <si>
    <t>Président du directoire : Tritant qui a remplacé Cuvillier fin 2020  (et vendu des titres fin 2020)</t>
  </si>
  <si>
    <t>2007 : rapprochement avec Rodamco</t>
  </si>
  <si>
    <t>2018 : achat de Westfield en juin aux États-Unis pour 20 Md euros d'où la dette à 25 M d'euros pour 65 Md euros d'actifs et une capitalisation boursière à 19,6 Md/ Décote avec un cours à 65 -75 % de l'actif et capitalisation proche de la dette</t>
  </si>
  <si>
    <t>Ils travaillent en permanence l'optimisation du portefeuille et l'évolution de la fréquentation des sites avec une bonne vision long terme</t>
  </si>
  <si>
    <t>Commerce en ligne : UK : 17%, France : 8,8% ça dépend des produits. À part Amazon pas de géant, de grands acteurs par pays (C Discount, Zalando). A terme, 25-30% de pdm</t>
  </si>
  <si>
    <t xml:space="preserve">La société est passé d'un modèle créateur de valeur dans les années 90-2000 à un business challengé en transformation. </t>
  </si>
  <si>
    <t>Suspension du dividende en 2020, 2021 et 2022, priorité à la diminution du levier avec les cessions d'actifs programmés (4 Md euros) et aux États-Unis (un peu flou et en 2022)</t>
  </si>
  <si>
    <t>Investissement réduit de manière drastique : 1 Md euros par an</t>
  </si>
  <si>
    <t>pas de dépréciation d'actifs au 30 juin mais les ventes d'actifs pourraient entraîner des moins-values. Activité à fin septembre en baisse de 15,6%</t>
  </si>
  <si>
    <t>Activité en repli à -3,7%. Retour sur les niveaux de 2019 aux États-Unis (Westfield 50% des loyers) et -10% en Europe. Prix de l'immobilier en hausse de 70% - 90 % aux États-Unis en 2021. Résultat net supérieur aux prévisions (réduction du taux de vacance sur l'ensemble des marchés)</t>
  </si>
  <si>
    <t>Poursuite du plan de désendettement, diminution de 2,2 milliards d'euros grâce aux cession Europe, passant à 22,1 milliards d'euros. Loan to value en baisse de 44,7 % à 43,3 %</t>
  </si>
  <si>
    <t xml:space="preserve">Frais financiers : 650 Meuros (sur 24 Md euros de dettes brutes soit 2,8%). 2 399 baux signés +2% par rapport à 2019, réduction du taux de vacance passant de 8,9 % au S1 2021 à 7 % au S2. </t>
  </si>
  <si>
    <t>Prévision 2022 du EPRA (Loyers moins charges) par action 8,40 € contre 6,91 € en 2021 (En 2019, EPRA : 12,3 €)</t>
  </si>
  <si>
    <t>Frais financiers capés à la hausse. +0,25% =&gt; -21,4 Meuros et +2% =&gt; -32,7 M euros</t>
  </si>
  <si>
    <t>L'objectif reste de vendre Westfield (760 M euros de loyers par an, 1/3 du CA) aux Etats-Unis pour 10 Md euros et se désendetter</t>
  </si>
  <si>
    <t>2022 : retour d'activité et de rentabilté sur les niveaux d'avant Covid-19. Reste la dette élevée et la cession de Westfield à mettre en œuvre. Cession de 1,8 Md euros. EPRA : 9,3 euros. Actif net comptable à 127 euros, réévalué à 155,7 euros. Portefeuille : 52,5 Md euros</t>
  </si>
  <si>
    <t xml:space="preserve">2023 : légère amélioration avec la normalisation post-covid-19 définitive et les cessions mineures en attendant Westfield (600 M euros de loyers). EPRA entre 9,3 et 9,5 euros. </t>
  </si>
  <si>
    <t>La valorisation boursière est à 13 fois les loyers moins la dette. Après la cession de Westfield : (1750*13)-10000/138 = 92 euros. Si cession de Westfield à 8 Md (au lieu de 10 Md) valorisation à 78 euros</t>
  </si>
  <si>
    <t>CAC : Ernst et Deloitte</t>
  </si>
  <si>
    <t>Retrait de la cote par Volkswagen à 0,5 euro en septembre 2021 (TRA : -42%)</t>
  </si>
  <si>
    <t>FR0012789949</t>
  </si>
  <si>
    <t>Europcar Mobility</t>
  </si>
  <si>
    <t>Location de voitures</t>
  </si>
  <si>
    <t>CCC+</t>
  </si>
  <si>
    <t>Location de voitures fondée en 1949 par Raoul-Louis Mattei. Sous le giron de Renault en 1970 puis en 1988, la compagnie des wagons lits puis en 1999, Volkswagen et racheté par Eurazeo en 2006 pour 3 Md euros dettes incluses soit 1,2Md euros en fonds propres (soit 5 fois le rex) et 1,8 Md euros de dettes.</t>
  </si>
  <si>
    <t>Négative</t>
  </si>
  <si>
    <t>Société en transformation détenue par Eurazeo à plus de 30,42% depuis 2006</t>
  </si>
  <si>
    <t>Business Loisirs avec un T3 haut avec les vacances d'été en occident. Le levier vient du parc de voitures en leasing</t>
  </si>
  <si>
    <t xml:space="preserve">Pas beaucoup d'amortissement, d'où un écart faible entre EBE et rex, ce dernier n'étant parfois pas publié. Les principaux investissements sont l'achat de voitures parfois jusqu'à 400 000 par an soit une rotation de la flotte. Engagement de rachat des constructeurs </t>
  </si>
  <si>
    <t>Souffre de la baisse du nombre de voitures en grandes villes et des solutions de partage (bla bla car…). 90% du temps la voiture est garée</t>
  </si>
  <si>
    <t>IPO en juin 2015, à 12 euros avec une augmentation de capital d'où désendettement sur les comptes 2015</t>
  </si>
  <si>
    <t>Acquisition d'Ubeeqo en 2014 puis en 2015</t>
  </si>
  <si>
    <t>Acquisition de Goldcar en 2017, location de voitures low cost et Buchbinder, leader de la location en Allemagne</t>
  </si>
  <si>
    <t>Dirigée par Caroline Parot, CEO depuis novembre 2016 et chez Europcar depuis 2011. Elle a remplacé Philippe Germond, débarqué (dirigeant de 2014-2016). Valorisation 1,2 Md euros en novembre 2016</t>
  </si>
  <si>
    <t>315 000 voitures. La croissance de la flotte se retrouve dans le chiffre d'affaires comme dans le transport aérien. Dette liée au financement de voiture 5 Md euros</t>
  </si>
  <si>
    <t>Plus de 6000 salariés soit près de 500 K euros par salarié. Volume de location : 70 millions. Taux d'utilisation : 76%</t>
  </si>
  <si>
    <t>Division Cars : marché estimé à 10 Md euros (leader en Europe, 27% PDM), Vans &amp; Trucks : 2,4 Md euros de valeur (9% de pdm), Low cost : 1,4 Md (6% de pdm) et new mobility et International</t>
  </si>
  <si>
    <t>En 2019 : location de voitures en hausse de 3% à 91 Millions contre 87,7 M</t>
  </si>
  <si>
    <t>Objectifs 2020 : 3 Md de CA et 14% de marge EBE (soit 420 M euros). Et en 2023 : 4 Md euros et 500 Me d'EBE avec 15 millions de clients</t>
  </si>
  <si>
    <t>Dettes globales : 2014 : 3 148 M e - 2015 : 3 057 Me - 2016 : 3 265 Me - 2017 : 4 888 Me - 2018 : 5 125 Me</t>
  </si>
  <si>
    <t>CAC : Mazars &amp; Price</t>
  </si>
  <si>
    <t>IPO le 26 juin 2015 à 12,05 euros</t>
  </si>
  <si>
    <t>L'Oréal</t>
  </si>
  <si>
    <t>Cosmétiques</t>
  </si>
  <si>
    <t xml:space="preserve">Création en 1909, numéro 1 mondial des cosmétiques </t>
  </si>
  <si>
    <t>FR0000120321</t>
  </si>
  <si>
    <t>Développement par croissance organique avec de nouveaux produits et de nouveaux de marchés (grand public, luxe…), l'internationalisation et quelques opérations de croissance externe</t>
  </si>
  <si>
    <t>L'Oréal détient une participation dans Sanofi de 9,5% (valeur : 10 Md euros) - dividendes touchés de 375 M euros par an</t>
  </si>
  <si>
    <t>Répartition géographique : États-Unis : 27%, Europe : 32%, Asie : 26 %, Amerique Latine : 7%, Reste du Monde : 8 %</t>
  </si>
  <si>
    <t>Intensité capitalistique : 0,75 en amélioration avec l'extension récente</t>
  </si>
  <si>
    <t>CAC :</t>
  </si>
  <si>
    <t>IS : 25 %</t>
  </si>
  <si>
    <t>Pay-out ratio : 50%</t>
  </si>
  <si>
    <t>Hermès International</t>
  </si>
  <si>
    <t xml:space="preserve">Société de luxe de renommée internationale bâtie par croissance interne. Détenue par la famille Dumas à 66,7% </t>
  </si>
  <si>
    <t>FR0000052292</t>
  </si>
  <si>
    <t>Flux de trésorerie annuelle : 2 Md euros - 500 M euros d'investissement et 500 M euros de dividendes. Reste 1 Md euros chaque année</t>
  </si>
  <si>
    <t>Pour 2 Md euros de capitaux employés soit presque 100 %</t>
  </si>
  <si>
    <t>Répartition par zone géographique : Europe : 22,40 %, Asie : 47 %, Japon : 9,5 % et Amérique : 18,4 %</t>
  </si>
  <si>
    <t>Pas de variation du nombre d'actions en circulation</t>
  </si>
  <si>
    <t>Taux de rendement annualise sur 20 ans : 14,4% hors dividendes</t>
  </si>
  <si>
    <t>CAC : Price et Didier Kling</t>
  </si>
  <si>
    <t>Scor</t>
  </si>
  <si>
    <t xml:space="preserve">Réassurance </t>
  </si>
  <si>
    <t xml:space="preserve">Fondée en 1855, numéro 4 mondial de la réassurance avec 4 000 clients (500 clients en 2005). Concurrents : Munich Ré / Hannover Ré / Swiss Ré / Chubb / Partner Ré. </t>
  </si>
  <si>
    <t>FR0010411983</t>
  </si>
  <si>
    <t>Thierry Léger (ex Directeur des souscriptionsde Swiss Ré) devient DG suite au départ de Laurent Rousseau. Kessler (président) décède en juin 2023</t>
  </si>
  <si>
    <t>A +</t>
  </si>
  <si>
    <t>Denis Kessler né en 1952 en poste depuis 2002. Mandat à échéance en 2021. Poste de DG et Président du CA non séparé. 1 546 040  de titres détenus. Décédé en 2023</t>
  </si>
  <si>
    <t>La société n'a pas d'actionnaire stable, Covea (Thierry Derez au CA est parti en novembre 2018) et avec 8,4% du capital a voulu acheter la société à plus de 40 euros en 2018. Refus de Kessler</t>
  </si>
  <si>
    <t>BNP Paribas prend 5% du capital via sa filiale assurance sur les 8,4% de Covea en passant par Scor en 2023</t>
  </si>
  <si>
    <t>Activité Global P&amp;C : 60% - Activité Life : 40%</t>
  </si>
  <si>
    <t>Acquisitions entre 2005 - 2013 pour atteindre la taille critique et accéder à de nouveaux clients grâce à un meilleur rating</t>
  </si>
  <si>
    <t>Différentes acquisitions en 2006 de Revios (605 M euros - 1,05 fois l'actif net), en août 2007 de Converium (2 Md euros), en 2011 de Transamerica Re (630 M euros) et Generali US en 2013 (579 M euros)</t>
  </si>
  <si>
    <t>Croissance annuelle de 9,6% par an sur 10 ans mais moindre progression de la rentabilité. Flux de trésorerie : 600-700 Me par an. 891 M euros en 2018 et 841 M euros en 2019</t>
  </si>
  <si>
    <t xml:space="preserve">Sur la partie dommages : Ratio combiné : sinistres / primes inférieurs à 100% de 2014 à 2017 plus difficile en 2018 avec les catastrophes naturelles </t>
  </si>
  <si>
    <t xml:space="preserve">Coût des sinistres page 31-32 du document de référence. En hausse proche du milliard. 200 -250 M euros l'ouragan. </t>
  </si>
  <si>
    <r>
      <t xml:space="preserve">Achat mi-août 2013 à 25 euros soit 100% de l'actif - revendu en juin 2015 à 33 euros </t>
    </r>
    <r>
      <rPr>
        <sz val="12"/>
        <color theme="1"/>
        <rFont val="Quicksand"/>
        <family val="1"/>
        <charset val="128"/>
        <scheme val="minor"/>
      </rPr>
      <t>(115% de l'actif) =&gt; TSR 30% en deux ans grâce au portage et à la hausse du ratio price to book</t>
    </r>
  </si>
  <si>
    <t>Partner Ré achetée en 2015 par Exor (1,4 fois l'actif net). D'où la progression de Scor cette année là et la cession</t>
  </si>
  <si>
    <t>2019 : le coût des sinistres est de 616 M euros (pour 24 catastrophes)</t>
  </si>
  <si>
    <t>Rdt du capital des placements : entre 2,5% -3 % historiquement (3% en 2019 - 4% en 2010). 20,5 Md euros de placements fin 2019</t>
  </si>
  <si>
    <t>La part des produits financiers est toujours élevée dans le résultat de la société (plus de 50%)</t>
  </si>
  <si>
    <t>Dettes subordonnées : 25% du total capitaux propres + dettes subordonnées (en moyenne)</t>
  </si>
  <si>
    <t>Autres dettes bancaires faibles : 500 M euros (8% des fonds propres). En face : 1,5 Md euros de trésorerie corporate soit 1,5 Md euros de dettes nettes</t>
  </si>
  <si>
    <t>2020 : Covea cherche à acheter à la famille Agnelli, Partner Re pour 9-10 Md de dollars (acheté 6,9 Md de dollars mi-2015). Finalement, Covea a renoncé à acheter Partner Ré</t>
  </si>
  <si>
    <t>La situation de la société s'est un peu dégradé : maintien du dividende qui dégrade un peu le bilan, cours de bourse encore élevé avec la spéculation, tx intérêt plus bas et hausse des catastrophes naturelles</t>
  </si>
  <si>
    <t>2020 : coût de la crise du Covid-19 estimé à 456 M euros impact sur la couverture de risque en dommages et vie, peu d'impact sur le portefeuille de placement et l'activité</t>
  </si>
  <si>
    <t>2021 : accord avec Covea mettant fin aux conflits avec une cession d'une part d'activité à Covea pour 1 Md $. Coût de la Covid 19, 370 Meuros au premier semestre 2021. Développement dans l'activité réassurance dommages aux entreprises avec une hausse des prix</t>
  </si>
  <si>
    <t>2021 : hausse de la sinistralité en Europe (inondation) et aux États-Unis (ouragan : Ida) pour 838 M euros, par contre hausse des prix, introduction en bourse d'une participation (Doma : 64 M e de gains) et impact du Covid-19 à 575 M euros (299 M euros sur 9 mois)</t>
  </si>
  <si>
    <t>2022 : poursuite de l'amélioration côté Covid-19 et hausse des prix. Risque avec les catatstrophes naturelles et résultats d'exploitation avant produits financiers pas si haut</t>
  </si>
  <si>
    <t>2022 : provision en lien avec la guerre en Ukraine de 85 M euros au 1T22. Par contre, hausse des primes, hausse des prix, impact positif de la remontée de taux et réduction des engagements sur le risque climatique</t>
  </si>
  <si>
    <t>Excercice en perte de 300 Me avec les ouragans, la séchéresse au Brésil et la montée des risques. La hausse des tarifs améliore les revenus et la hausse des taux amléiore les produits financiers (80% d'obligations IG)</t>
  </si>
  <si>
    <t>2023 : départ de Laurent Rousseau, Thierry Léger (ex-Swiss Ré) devient CEO. Dégradation de la notation chez Moody's en février de A1 à Aa3 (perspective stable)</t>
  </si>
  <si>
    <t xml:space="preserve">Amélioration des résultats avec la hausse des prix et la hausse des taux, les 23 Md euros placés en obligations A.  Les produits financiers représentent 51% du résultat. La sélectivité entraîne une moindre progression du CA. </t>
  </si>
  <si>
    <t>Retour sur l'actif net, gouvernance améliorée et sortie partielle de Covea</t>
  </si>
  <si>
    <t>2024 : deuxième trimestre catastrophique avec 900 M euros de pertes sur les dommages (mortalité aux États-Unis) et sur la marge technique. Danger et risque sur la société compte tenu de l'ampleur après l'alerte en 2022</t>
  </si>
  <si>
    <t>IS : 20-24%</t>
  </si>
  <si>
    <t>Minoritaires : peu (moins de 1% des capitaux propres)</t>
  </si>
  <si>
    <t>CAC : KPMG et Mazars</t>
  </si>
  <si>
    <t>Pay out ratio : 75% mais maintien du dividende en 2017 - 2018 en dépit de la baisse du résultat d'où pay out plus élevé. Dividendes 2020 : 1,80 euros (pay-out : 75%) idem en 2021 avec un dividende de 1,8 euro pour 1,26 euros de BPA (142% de pay-out ratio)</t>
  </si>
  <si>
    <t>Peugeot Invest</t>
  </si>
  <si>
    <t>Holding</t>
  </si>
  <si>
    <t>FR0000064784</t>
  </si>
  <si>
    <t>FFP est renommée Peugeot Invest et détient 76,5% de Maillot (renommée Peugeot 1810) qui détient 7,2% de Stellantis et 3,14% de Faurecia. Les 23,5% de Maillot sont détenues par Ets Peugeot Frères</t>
  </si>
  <si>
    <t>Les 5,5% de Stellantis valent 2,2 Md euros pour une valeur de Stellantis à 40 Md euros (cours de 14 euros le 3 mars 2021). Stellantis à 50 Md euros début 2022 soit 2,75 Md euros</t>
  </si>
  <si>
    <t xml:space="preserve">Si la valorisation à 18 mois après l'intégration grimpe à 60 Md euros proche de Daimler, le gain sera de 1,1 Md euros pour Peugeot Invest soit 45 euros par action  et à 70 Md euros (Stellantis à 22 euros), soit 720 M euros supplémentaires soit 29 euros et un ANR à 258 euros </t>
  </si>
  <si>
    <t xml:space="preserve">Avant la fusion et la naissance de Stellantis, la participation dans Peugeot représentée 28% du holding. Probablement 40% fin 2020 avec un ANR à 190 euros et 50% fin 2021 avec un ANR à 236 euros </t>
  </si>
  <si>
    <t>La holding détient des participations (60% de l'actif) dans Seb, Safran, Orpea et des participations dans le private equity et l'immobilier</t>
  </si>
  <si>
    <t>2020 : outre la création et le renforcement dans Stellantis, cession de 1% de Seb à 138,5 euros et de 1,1 M de titres SAFRAN (ancien actionnaire de Zodiac - TRA de 14,4%). Renforcement dans le Private Equity : 270 Meuros</t>
  </si>
  <si>
    <t>Les actifs Automibile représente 40% de l'actif brut et probablement 50% à 18 mois. La dette est de 1,023 Md euros soit 18,3% de l'actif brut fin 2020</t>
  </si>
  <si>
    <t>Prix cible : ANR à 230 euros (contre 179 euros le 31/12/2020 et au 31/12/2019) décoté de 35 % soit 150 - 153 euros (les 6-8 euros de différence par rapport aux calculs initiaux viennent de la participation dans Faurecia de 3,14% soit 200 Meuros détenue à 76,56% soit 150 M euros principalement)</t>
  </si>
  <si>
    <t>2021 : au 30 juin, ANR à 227,4 euros pour un cours de Stellantis à 16,68 euros (soit 50 Md euros). Possible ANR à 270 euros fin 2022 et un cours de bourse à 175 euros</t>
  </si>
  <si>
    <t xml:space="preserve">2021 : au 31 décembre progression de 35 % des actifs brutes à 7 Md euros et l'actif net à 5,85 Md euros soit 235 euros (Stellantis à 16,6 euros soit 50 Md e). Forte progression de Stellantis, bonne progression du Private Equity (600 - 700 Me de cession et investissement) </t>
  </si>
  <si>
    <t>Coté partie auto : 43% - coté : 18% soit 61% de coté - Non coté : 38% dont non coté direct : 12% et véhicules d'investissement : 26%  - Liquidités : 1%</t>
  </si>
  <si>
    <t>2022 : amélioration en vue avec le non côté et Stellantis. Orpea (impact revu à la hausse à -250 Meuros soit 10 euros contre 6 euros par action). Cession totale des SAFRAN. ANR probable à 270 euros par action en 2024 (gain de 1 Md euros soit 40 euros par action sur la partie automobile) mais peut-être que 250 euros avec les problèmes Orpea, Seb et Faurecia</t>
  </si>
  <si>
    <t xml:space="preserve">2023 : partie auto, potentiel intact de Stellantis, + 1 Md euros (40 euros par action) par contre Orpea, perte totale de 350 M euros (soit 14 euros par action). Actif net potentiel : 5,8 Md soit 232 euros </t>
  </si>
  <si>
    <t xml:space="preserve">Cession de la participation dans Tikehau (autour de 26 euros) pour 1,8% du capital soit 81 Me et investissement dans Concordia suite à l'offre de retrait de Rothschild &amp; Co pour 5% du capital soit 165 Me. Opération créatrice de valeur vu la rentabilité de Rothschild &amp; Co (4-5 euros par action potentiellement) </t>
  </si>
  <si>
    <t>ANR à 238 euros fin 2023. Dettes à 859 M euros et Loan to Value à 13% (858 M euros sur 7 Md euros d'actifs brut). Stellantis bientôt 60% de l'actif et 40 % vers le non coté pratiquemment</t>
  </si>
  <si>
    <t>2024 : départ du dirigeant Bertrand Finet en juillet. Cession de Seb, Tikehau, pertes sur Signa (-434 M euros). Bénéficie de la pleine réussite de Stellantis (50% des actifs). ANR 2024 proche des 275 euros avec les 25% de hausse de Stellantis au 20 mars 2024</t>
  </si>
  <si>
    <t>CAC : Mazars et SEC3</t>
  </si>
  <si>
    <t>Pay-out ratio : 60% (dividende de 3,25 euros en 2024 contre 2,65 euros par action)</t>
  </si>
  <si>
    <t>Stellantis</t>
  </si>
  <si>
    <t>Automobiles</t>
  </si>
  <si>
    <t>Europe</t>
  </si>
  <si>
    <t xml:space="preserve">Fusion à 50/50 avec FiatChrysler le 16 janvier 2021. La famille Agnelli détiend 14,4%, Peugeot 7,2% (option pour racheter à Dongfeng), BPI : 6% et Dongfeng : 3,1% (suite à une cession de 1,2% en septembre 2021 à 16,5 euros de l'ensemble et janvier 2022 à 18 euros de 1,3% du capital). </t>
  </si>
  <si>
    <t>NL00150001Q9</t>
  </si>
  <si>
    <t xml:space="preserve">Clause stand bill pendant 7 ans. Peugeot peut racheter 2,5% sur trois à BPI ou Dongfeng. </t>
  </si>
  <si>
    <t>Tavares (1958) sera le directeur général (mandat 2021-2026) et John Elkann (né en 1976) le président du CA</t>
  </si>
  <si>
    <t>Distibution des 46% de Faurecia (17 Md euros de CA en moins et 1,2 Md euros d'EBE en moins) à tous les actionnaires et un dividende de 2,9 Md euros aux actionnaires de Fiat</t>
  </si>
  <si>
    <t>14 Marques : Fiat, Lancia, Maserati, Alfa Romeo, Jeep, Chrysler, Dodge, Peugeot, Citroën, DS, Opel, Vauxhall</t>
  </si>
  <si>
    <t>Numéro 4 mondial et 3 en chiffre d'affaires : 8,7 Millions de véhicules vendus. 46% du CA en Europe et 43% aux États-Unis</t>
  </si>
  <si>
    <t>Numero 1 en Europe du véhicule utilitaires : 1/3 du CA et 30% de part de marché</t>
  </si>
  <si>
    <t>170 Md euros de CA (sans Magnetti pour Fiat et sans Faurecia pour Peugeot et hors synergies base 2018) pour 400 000 salariés soit 425 K euros par salarié</t>
  </si>
  <si>
    <t>2 grandes plates-formes de 3 M de voitures par an. 6,8 Md euros de R&amp;D</t>
  </si>
  <si>
    <t>5 Md euros de synergie après fusion, 11 Md de résultat opérationnel, 8,5 Md de rex et résultat net 6,5 Md euros. Création de valeur</t>
  </si>
  <si>
    <t xml:space="preserve">Michael Manley ancien de Fiat Chrysler restera en charge de l'Amérique du Nord de Stellantis. Finalement parti </t>
  </si>
  <si>
    <t>15 Md de Rex.(10% de marge) 10 Md euros en investissement (électrification, nouveaux modèles..) d’où free cash flow à 6 Md euros</t>
  </si>
  <si>
    <t>2022 : progression attendue de 3% (États-Unis et Europe) à 5% (Asie) avec une marge d'exploitation à 10%. Dongfeng cède à 18,3 euros 1,28% du capital soit 730 M euros</t>
  </si>
  <si>
    <t>CAC : Ersnt &amp; Young</t>
  </si>
  <si>
    <t>IS : 17%</t>
  </si>
  <si>
    <t>Pay-out ratio : 25%</t>
  </si>
  <si>
    <t>Peugeot</t>
  </si>
  <si>
    <t>Fondée en 1810</t>
  </si>
  <si>
    <t>Famille Peugeot actionnaire à 12,28% puis 14% suite à des rachats et 25,3% avant la crise de 2012 et l'entrée de l'État français et Dongfeng. Plus de 40% en 1987</t>
  </si>
  <si>
    <t>Louis Gallois, président du CA qu'il quitte à la création de Stellantis</t>
  </si>
  <si>
    <t>Rachat d'Opel en juin 2017 pour 1,3 Md euros à General Motors (détenue depuis 1929). 18,5 Md euros de CA et 34 000 salariés (529 K euros par salarié) rex : 850 M euros</t>
  </si>
  <si>
    <t>62 modèles. 3,7 Millions de voitures vendues en 2019. 78% du chiffre d'affaire est fait en Europe. Chine (JV Dongfeng et Changang), Amérique Latine et Afrique Moyen-Orient. Rien aux États-Unis. 16,8% de part de marché. Offre 100% électrique en 2025</t>
  </si>
  <si>
    <t>Marché mature (même CA 2017 que 2012). Amélioration de l'efficacité plus Opel et un peu de volume</t>
  </si>
  <si>
    <t>Levé de capitaux publique de 1 Md euros soit 8,33 l'action, levée de capitaux privé pour Dongfeng et l'État français en 2014</t>
  </si>
  <si>
    <t>Banque PSA (JV à 50/50 avec Santander et BNP Paribas) : 2 Md euros et 1 Md euros de résultat opérationel avec 1,15 million de contrats et un coût du risque de 0,21% en 2019 avant crise. Coût du risque à 0,37% en 2020 pour PSA</t>
  </si>
  <si>
    <t>Création de ACC avec Total pour la fabrication de batteries en 2020</t>
  </si>
  <si>
    <t>208 780 employés chiffre d'affaire par salarié : 357 941 euros</t>
  </si>
  <si>
    <t>Perte de contrôle de Faurecia après la fusion, donc des parts aux actionnaires</t>
  </si>
  <si>
    <t>PSA distribura ses 46% d'actions de Faurecia (23% aux actionnaires de PSA et 23% aux actionnaires de FCA) et FCA 2,9 Md euros à ses actionnaires</t>
  </si>
  <si>
    <t>Les actionnaires PSA receveront 1,742 actions de la nouvelle entité par action PSA et les actionnaires de FCA 1 action par action FCA</t>
  </si>
  <si>
    <t>Cession de 3,3% du capital de PSA groupe détenue par Dong Feng à PSA groupe</t>
  </si>
  <si>
    <t>À fin septembre 2020, ventes à -37%</t>
  </si>
  <si>
    <t>CAC : Ernst &amp; Young et Mazars</t>
  </si>
  <si>
    <t>Minoritaires : 12,5%</t>
  </si>
  <si>
    <t>Pay-out  ratio : 21,7%</t>
  </si>
  <si>
    <t>Fiat Chrysler Automobiles</t>
  </si>
  <si>
    <t>BB+ positive</t>
  </si>
  <si>
    <t>Fondée en 1899 et détenue à 28,66% par Exor (holding de la famille Agnelli qui détient Fiat, CNH, Juventus de Turin et Partner Ré - 23 Md euros d'actifs net à fin 2019 - Cours d'Exor à 40% de l'actif net)</t>
  </si>
  <si>
    <t>Fusion de Fiat et de Chrysler (marque Chrysler, Dodge et Jeep en janvier 2014). Cours de Fiat à 5 euros</t>
  </si>
  <si>
    <t>70% du chiffre d'affaire est fait en Amérique du nord, 10% en Europe</t>
  </si>
  <si>
    <t>Fiat possède 6% des parts de marché en Europe</t>
  </si>
  <si>
    <t>États-Unis font 54% des volumes de vente et 100% de l'Ebit</t>
  </si>
  <si>
    <t>4% du CA en R&amp;D</t>
  </si>
  <si>
    <t>4,4 Millions de voitures vendues, 1 500 euros par véhicule d'Ebit</t>
  </si>
  <si>
    <t>191 752 salariés soit 500 K euros par salarié</t>
  </si>
  <si>
    <t>Profits élevés aux États-Unis (75% du CA - 100% Ebit). Perte de 200 M $ de Maserati (20 000 exemplaires)</t>
  </si>
  <si>
    <t>Cession de Magneti Marelli en 2019 pour 6 Md euros à CK Holdings. Recentrage terminé sur la conception/fabrication/vente de voitures</t>
  </si>
  <si>
    <t>Michael Manley reste chez Stellantis, en charge de l'Amérique du Nord et du Sud</t>
  </si>
  <si>
    <t>Pas de minoritaires mais 400M de spécial voting shares</t>
  </si>
  <si>
    <t>Mercedes-Benz</t>
  </si>
  <si>
    <t>Fondé en 1886</t>
  </si>
  <si>
    <t>DE0007100000</t>
  </si>
  <si>
    <t xml:space="preserve">Actionnaires : 9,7% Tenaciou3 Prospect Investement Limited, 6,8% Koweit investement authority, 5% BAIC group, 3,1% </t>
  </si>
  <si>
    <t>Europe : 40% dont Allemagne : 17%, Amérique du Nord : 26 % dont États-Unis : 23,5% et en Asie 28% dont Chine : 16% et Reste du monde : 5%</t>
  </si>
  <si>
    <t>3 entités : Mercedes-Benz Cars 52% du CA, Mercedes-Benz Vans 8% du CA, Daimler Trucks 21% du CA, Daimler Buses 3% du CA et Daimler Mobility 16% du CA</t>
  </si>
  <si>
    <t>Amende de 870 M d'euros pour non respect des consignes sur l'émission de pollution des véhicules diesel</t>
  </si>
  <si>
    <t>2021 : scission de la partie camion nommée Daimler Truck le 10 décembre. Daimler conserve 35% de Daimler Truck et sera rebaptisé Mercedes Benz. Deux divisions : voitures et mobilité</t>
  </si>
  <si>
    <t>2023 : une année difficile pour le secteur auto mais en amélioration, revenus en hausse de 2% et résultats équivalents</t>
  </si>
  <si>
    <t>À horizon 2026, les ventes de la partie Luxe pourrait progresser de 60% et la marge d'exploitation pourrait atteindre 14%</t>
  </si>
  <si>
    <t xml:space="preserve">Pay-out ratio : </t>
  </si>
  <si>
    <t>Renault</t>
  </si>
  <si>
    <t>Fondée en 1898</t>
  </si>
  <si>
    <t>FR0000131906</t>
  </si>
  <si>
    <t>Répartition géographique du CA : 67 % en Europe, 16 % en Eurasie, 10,5% en Afrique/Moyen Orient/Inde Pacifique, 5,6 % en Amérique</t>
  </si>
  <si>
    <t>Marge opérationnelle : 2020 (-0,8 %), 2019 (4,8%), 2018 (6,3 %). La marge opérationnelle se situe historiquement à 6,6 %</t>
  </si>
  <si>
    <t>Trigano</t>
  </si>
  <si>
    <t>Campingcar</t>
  </si>
  <si>
    <t>Fondée en 1935, fabrique des camping-cars à partir de 1984, s'est développé en Europe par acquisitions (clôture des comptes au 31/08, cours de bourse au 31/12)</t>
  </si>
  <si>
    <t>FR0005691656</t>
  </si>
  <si>
    <t>Acquisition de 60% de Gimeg le 27 août 2020, 85% de Adria en 2017, Auto-Sleepers en 2017, de SEA, Gaupen Henger, Notin, Lider et OCS Recreatie Groothandel BV en 2012</t>
  </si>
  <si>
    <t>Concurrents :  Hymer CA de 780 M d'euros en 2019. Rapido : 800 M euros en 2023 (Mayenne, 2100 salariés, 14 usines, 14 M euros investi dans une menuiserie). Pilote basé à Nantes</t>
  </si>
  <si>
    <t>Le poids des campings passe réglementairement de 3,5 tonnes à 4,2 tonnes pour permettre le passage à l'électrique, poids des batteries mais cela sera long</t>
  </si>
  <si>
    <t>CAC : BM&amp;A et Ernst &amp; Young Audit</t>
  </si>
  <si>
    <t>Pay out ratio : 27,8%</t>
  </si>
  <si>
    <t>Legrand</t>
  </si>
  <si>
    <t>Installation éléctrique</t>
  </si>
  <si>
    <t>E = 2</t>
  </si>
  <si>
    <t>Créée en 1904, leaders mondiaux des produits et systèmes pour installations électriques et réseaux d'information.</t>
  </si>
  <si>
    <t>FR0010307819</t>
  </si>
  <si>
    <t>S= 1</t>
  </si>
  <si>
    <t>Actionnaires :  salariés et autodétention : 4 %, Gilles Schnepp (ancien CEO : 1% ). Flottant 95 %</t>
  </si>
  <si>
    <t>G= 2</t>
  </si>
  <si>
    <t>CEO : Benoît Coquart (1973), rejoint Legrand en 1997, début de mandat 2018. Gilles Schnepp (né en 1958) ancien dirigeant (2006 - 2018) : 2,415 Millions de titres (soit 170 M euros). François Grappotte avant lui</t>
  </si>
  <si>
    <t>Implanté dans 90 pays et ventes dans + de 180 pays. 120 sites industriels dans 30 pays</t>
  </si>
  <si>
    <t>Le  groupe s'est lancé dans une montée en gamme de son offre d'appareillage et dans les offres autour du développement durable et des économie d'énergie</t>
  </si>
  <si>
    <t>L'offre infrastructure : 67 % du CA croissance en ligne avec le PIB et offre connectées, solution énergétique à plus forte valeur ajoutée : 33%</t>
  </si>
  <si>
    <t>2006 : introduction en bourse à 19,75 € soit 5,4 Mds € par Wendel et KKR (acheté 3,7 Mds en 2003)</t>
  </si>
  <si>
    <t>2011 : Legrand a procédé à 7 acquisitions pour 300 M euros</t>
  </si>
  <si>
    <t>2012 : KKR sort du capital de la société (4,83% du capital)</t>
  </si>
  <si>
    <t>2017 : acquisition de l'entreprise américaine Milestone AV technologie spécialisée dans les installations multimédias pour 1,2 milliard d'euros pour 464 M$ de CA et 21% de marge soit 12-13 fois le rex</t>
  </si>
  <si>
    <t>2019 : acquisition d'Universal Electric corporation aux États-Unis dans l'équipement de datacenters. 450 personnes et 175 M$ de CA à 90% aux États-Unis</t>
  </si>
  <si>
    <t>2020 : en février avant le Covid-19, petite acquisition aux États-Unis dans les luminaires des bâtiments non résidentiels : Focal Point 750 personnes et 200 M$ de CA, basée à Chicago. Innovation et services clients</t>
  </si>
  <si>
    <t>CAGR de 2011 à 2023 : 5,4% (doublement des ventes)</t>
  </si>
  <si>
    <t>2030 : 12 à 15 Md euros de CA. CAGR entre 6% - 10%. Marge opérationnelle à 20% soit 3 Md euros et RN à 2 Md euros. Cours à 150 euros</t>
  </si>
  <si>
    <t>IPO à 19,75 euros en avril 2006</t>
  </si>
  <si>
    <t>GTT</t>
  </si>
  <si>
    <t>Ingénièrie</t>
  </si>
  <si>
    <t>E=2</t>
  </si>
  <si>
    <t>Société concevant des membranes pour le transport par bateau de Gaz Naturel Liquéfié créée en 1994 (mais remontant à 1963 - plus de 50 ans d'expérience)</t>
  </si>
  <si>
    <t>FR0011726835</t>
  </si>
  <si>
    <t>S=2</t>
  </si>
  <si>
    <t>Sortie définitive d'Engie en mars 2024 à 137 euros. Engie à moins de 10% du capital en décembre 2022. Détenue par Engie à 40,1%, le solde est coté depuis 2014. La société a eu comme actionnaire historique Total puis Temasek</t>
  </si>
  <si>
    <t>2021 : Engie a réduit sa participation à 30% et potentiellement à 20% avec l'émission d'obligations remboursables en actions GTT puis 12% en 2022</t>
  </si>
  <si>
    <t xml:space="preserve">Dirigé par Jean-Baptiste Choimet depuis 2024 (1982 - dirigeant d'Élogen) a ramplacé Philippe Berterottière (1956), PDG de la société renouvelé jusqu'en 2024, après il y aura séparation des fonctions CEO et Président </t>
  </si>
  <si>
    <t>Entre la commande et la livraison du bâteau : 30 mois avec 12 mois d'étude chez GTT et 18 mois de construction chez l'armateur (GTT touche des royalties, peut-être : 4 M euros par méthanier et 1 Meuro pour le GNL Carburant)</t>
  </si>
  <si>
    <t>Deux tiers des méthaniers dans le Monde sont équipés de membrane à la technologie GTT. Les projets méthaniers représentent 85% du CA.</t>
  </si>
  <si>
    <t>57 méthaniers équipés en 2019 (niveau record). Plus de 500 méthaniers en circulation dans le Monde en croissance</t>
  </si>
  <si>
    <t>Réalise 85% du CA avec la Corée du Sud (et quelques donneurs d'ordre) et la Chine (15%). Principaux chantiers navals au Monde</t>
  </si>
  <si>
    <t>L'Asie représente 55% de la consommation de gaz et 75% des importations</t>
  </si>
  <si>
    <t>Flux net de trésorerie généré par l'activité supérieure à l'EBE. Marge d'EBE : 60-62%. 20 M euros par an dépensés en R&amp;D</t>
  </si>
  <si>
    <t>La réglementation va obliger le transport maritime (Porte containers, Tankers et trafic passagers) a changé de combustibles (à partir de 2020) et le GNL est une solution fossile moins polluante, cela devrait augmenter les débouchés du GNL comme carburant des tankers et autres bâteaux</t>
  </si>
  <si>
    <t xml:space="preserve">La partie tankers utilisant du GNL représente 20% du carnet de commandes (25 navires sur 136) au 30 juin 2021 contre 10% au 31/12/2020 mais 2% du CA annuel </t>
  </si>
  <si>
    <t>Risque régulateur : position dominante. La Cour d'appel de Corée a suspendu le jugement. Décision à venir de la cour suprême finalement favorable à GTT. La société doit juste séparer les contrats ventes des contrats SAV</t>
  </si>
  <si>
    <t>2020 : acquisition d'Elogen conception et fabrication d'électrolyseur servant à produire de l'hydrogène vert pour 8 M euros (CA de 5 Me en 2021 et en 2022 mais carnet de commandes à 15 M euros)</t>
  </si>
  <si>
    <t>2021 : exercice de transition après les records de 2019-2020, le carnet de commandes (2 ans de CA avec près de 120 méthaniers) se remplit plus vite que les livraisons grâce aux méthaniers et aux nouvelles commandes de cuves pour tankers (32 unités). Potentiel à long terme</t>
  </si>
  <si>
    <t>2022 : poursuite de l'exercice de transition impact en 2023 et 2024 du carnet de commandes record de 795 Meuros de chiffre d'affaires pour 161 unités. Croissance de l'activité services (5% du CA). Développement du GNL Carburant voire du transport d'hydrogène</t>
  </si>
  <si>
    <t>Cession de 8% du capital d'Engie le 24 mars sur le marché puis conversion d'obligations en décembre, Engie à moins de 10% du capital</t>
  </si>
  <si>
    <t>Hausse du prix du gaz et commandes records en 9 mois doublant le carnet de commandes : 250 unités</t>
  </si>
  <si>
    <t>À horizon 10 ans , potentiel revu à la hausse à plus de 450 méthaniers 100% de part de marché (contre 400 - 450 en 2023 et 300-360 en 2021), 25-40 éthaniers et 25-30 réservoirs terrestre soit avec les services 300 M euros de CA par an. GTT aura besoin des réservoirs de carburants des bâteaux (50% de pdm) et de l'hydrogène pour croître</t>
  </si>
  <si>
    <t xml:space="preserve">Hydrogènier : en cours partenariat avec Shell, Logiciel (soutage par exemple) +10 Me de CA par an, GNL carburant : 3500 bâteaux Si 1000 bâteaux sur 10 ans soit 100 bateaux par an et 50 M euros par an. Electrolyseur : Gigafactory de 1 GW 50 Me d'investissement peut-être 30 Me de CA par an (5 Me en 2021). Total de 70 - 80 Me de plus l'hydrogenier </t>
  </si>
  <si>
    <t>2023 : carnet de commandes : 311 unités. Abandon des contrats avec la Russie (6% du carnet de commandes qui est de 1,59 Md euros). Réalisera certaines prestations en cours. Impact 25 M euros par an jusqu'à 2025 puis 6 M euros par an jusqu'à 2027</t>
  </si>
  <si>
    <t>En ce qui concerne les électrolyseurs à grande échelle, les chercheurs ont constaté que le CAPEX dans le scénario de croissance rapide pourrait passer de 400 €/kW en 2020 à 230 €/kW en 2030 et 60 €/kW en 2050. </t>
  </si>
  <si>
    <t xml:space="preserve">CAC : Ernest &amp; Young et Cailliau Dedouit Associés  </t>
  </si>
  <si>
    <t>IS : 18,5%</t>
  </si>
  <si>
    <t>IPO le 23 février 2014 à 47 euros</t>
  </si>
  <si>
    <t>Pay out ratio : 80%</t>
  </si>
  <si>
    <t>Euronext</t>
  </si>
  <si>
    <t>Bourse - Échange - Logiciel</t>
  </si>
  <si>
    <t>Bourse de 7 pays : France (49% du CA), Belgique (5%), Pays-Bas (24%), Portugal (5%), Norvège (8%), Irlande (5%) et Italie</t>
  </si>
  <si>
    <t>NL0006294274</t>
  </si>
  <si>
    <t>Actionnariat institutionnelles bancaires 23,8% (CDC, ABN Amro, Euroclear : 8%) et Italie (CDC et Intesa : 7%). Fllottant : 74%</t>
  </si>
  <si>
    <t>Fusion en septembre 2000 de la bourse de Paris avec Amsterdam et Bruxelles. IPO en 2001 puis acquisition du LIFFE, et rachat de l'entité par ICE en 2013 puis IPO en 2014 à 20 euros avec séparation de la partie US de la partie européenne (Euronext)</t>
  </si>
  <si>
    <t>Métiers : cotation (19%), trading (41%), clearing (8%), Custody (7%), Data (19%) et Techology (6%). Part de marché : 68% sur le cash trading</t>
  </si>
  <si>
    <t>50 000 actions et dettes cotées. 8,5 Md euros échangés chaque jour soit pour Euronext 1 M e par jour car autour de 220 M euros par an (soit une commission de 0,01%)</t>
  </si>
  <si>
    <t>Marché réglementé, pas de concurrence frontale. Autres acteurs : LSEG (bourse de Londres), Deutsche Borse (marché allemand, 26 Md de capitalisation), NYSE (détient les bourses américaines, scandinaves hors Oslo), la bourse de Madrid (cotée, en cours de rachat par Six Group), la bourse de Zurich  (Six Group) et du Luxembourg non cotées</t>
  </si>
  <si>
    <t>255 jours de trading par an. Le ROE était déjà de 20% en 2001-2002. Free cash flow libre élevé</t>
  </si>
  <si>
    <t>2017 : acquisition de la bourse de Dublin (26 M euros de CA pour 130 ou 170 Meuros)</t>
  </si>
  <si>
    <t xml:space="preserve">2019 : acquisition de la bourse d'Oslo en 2019 (100 M euros de CA pour 691 M euros) </t>
  </si>
  <si>
    <t>En octobre 2020, acquisition de la bourse Italienne, finalisée le 29 avril 2021, pour 4,325 Md euros, CA : 464 M euros, EBE : 264 M euros. Émission de 6,6 M titres à 86 euros pour les actionnaires italiens puis 28 M titres à 59,65 euros en mai 2021 soit 2,4 Md euros</t>
  </si>
  <si>
    <t>Dettes brutes : 2 fois 500 M euros à 7 ans (1,05%) et 10 ans (1,22%) et pour l'acquisition de la bourse italienne : 3 fois 600 M euros à 5 ans (0,125%), à 10 ans (0,75%) et à 20 ans (1,5%) soit un coût annuel de 14,25 Meuros soit 0,7917%</t>
  </si>
  <si>
    <t>2021 : intégration réussie de la bourse italienne, et comptes 2021 avec 8 mois de la bourse italienne. Nouveau plan à 3 ans en octobre. BNP Paribas a cédé 2,2 M de titres en septembre à 101 euros</t>
  </si>
  <si>
    <t>2021 : croissance organique à 3,3% (4,8% au 4T21, 2020 année record)</t>
  </si>
  <si>
    <t>2022 : activité stable à -0,2% contre 3-5% prévu et intégration sur 12 mois de la bourse italienne. Désendettement correct de 200 Me pour 600 Me de cash flow (200 M en dividendes et 200 Me en investissements). Charges financière 1% (30 Me sur 3 Md e dettes)</t>
  </si>
  <si>
    <t>Nasdaq de Stockholm (Filiale du Nasdaq comme Oslo, Copenhague et Islande). 200 Me de CA et 150 Me d'EBE pour Stockholm. Société de qualité mature et chère</t>
  </si>
  <si>
    <t>2023 : un peu mieux. Cession de la participation de 11,1% dans LCH pour 111 Me (PV de 40 Me et désendettement) d'où exceptionnel. Placement de la tréso &gt; charges financières</t>
  </si>
  <si>
    <t>Développement d'une plate-forme obligataire pour la zone Euro, synergie ventes et coûts suite acquisition de la bourse italienne. Sortie d'Euroclear comme actionnaires rachat par les autres actionnaires</t>
  </si>
  <si>
    <t xml:space="preserve">CAC : Ernst &amp; Young </t>
  </si>
  <si>
    <t>IS : 23 - 26%</t>
  </si>
  <si>
    <t>Pay-out ratio : 50% après le rachat de la bourse italienne (40% avant)</t>
  </si>
  <si>
    <t>Deutsche Börse</t>
  </si>
  <si>
    <t xml:space="preserve">Opérateur de la bourse de Francfort, Vienne, Budapest et Malte </t>
  </si>
  <si>
    <t>Actionnaires institutionnels à plus de 90%</t>
  </si>
  <si>
    <t>Listing des actions allemandes (Xetra : 12% du CA) Clearstream (30% du CA), Dérivés (Eurex : 34%), ETF, Commodities, Foreign</t>
  </si>
  <si>
    <t>DE0005810055</t>
  </si>
  <si>
    <t>Acquisition de ISS (Institutional Shareholder Services Inc.) à 81% pour une valorisation à 1,9 Md euros. 4000 clients dans 15 pays et 2000 salariés</t>
  </si>
  <si>
    <t>Prévision 2023 : 4,3 Md euros de CA</t>
  </si>
  <si>
    <t>Total bilan à 220 Md euros (activité déposé probablement)</t>
  </si>
  <si>
    <t>Clearstream AA</t>
  </si>
  <si>
    <t>CAC : KPMG AG</t>
  </si>
  <si>
    <t>IS : 27 %</t>
  </si>
  <si>
    <t>Pay-out ratio : 35% (et 15% de rachat d'actions)</t>
  </si>
  <si>
    <t>Pluxee</t>
  </si>
  <si>
    <t>Ticket Restaurant &amp; avantages</t>
  </si>
  <si>
    <t>BBB +/stable</t>
  </si>
  <si>
    <t>Créée en 1979, Sodexo en 1966</t>
  </si>
  <si>
    <t>NL0015001W49</t>
  </si>
  <si>
    <t>CEO : Aurélien Sonnet, depuis 2017, chez Sodexo depuis 2000. Didier Michaud Daniel (ex CEO de Bureau Veritas) président du conseil d'administration</t>
  </si>
  <si>
    <t>Activité : Tickets restaurant et avantages. Repas, alimentation (25-30% utilisé en grande surface), bien être, qualité de vie, aides publiques, récompense et reconnaissance</t>
  </si>
  <si>
    <t>Concurrents : Edenred, Swile un acteur en ligne (Cadeau, Resto, Déplacement Pro, Carte Carburant), Natixis Intertitres, Up, Alelo (Brésil), ePassi (Finlande), Fleet cor (États-Unis 2,5 Mds de CA)</t>
  </si>
  <si>
    <t>Modèle économique proche d'Edenred, peu présent dans les pays Anglo-saxons, avec une présence en Europe et Amérique latine. Deux fois plus petit qu'Edenred</t>
  </si>
  <si>
    <t>Réglementation : en France une évolution est probable pour diminuer les commissions prises par les sociétés aux commerçants qui sont autour de 3% et l'utilisation des tickets / cartes en grande surface</t>
  </si>
  <si>
    <t>Investissement : 116 M euros (9,6% du CA) dans la technologie</t>
  </si>
  <si>
    <t>Trésorerie : 1 Md euros hors float soit 10 mois de CA avec float 3,7 Md euros sur 25 Md euros de volumes soit près de 2 mois d'activité</t>
  </si>
  <si>
    <t xml:space="preserve">2024 : croissance de 13,3% hors float (15% avec. Float : 13% du CA, baisse à venir avec les taux) et progression de la marge. 1050 M euros d'emprunt à 3,5% (35 Me de frais fin). 80 Me d'exceptionnels liés à l'IPO (62 M euros), à des dépréciations (15 M euros) et contentieux France : (127 M euros) </t>
  </si>
  <si>
    <t>Partenariat avec Santander au Brésil. FCF au-dessus du RN de 379 M euros. Retrait de liquidités par Sodexo à l'IPO. Float de 2 753 M euros et Restricted Float de 973 M euros</t>
  </si>
  <si>
    <t>Acquisition de Cobee, entreprise espagnole : créée en 2019, 180 employés, 1500 Entreprises clientes, implantée au Mexique et Portugal, 100,000 consommateurs</t>
  </si>
  <si>
    <t>Croissance par la digitalisation, le nombre d'avantages, l'adoption par de nouvelles entreprises, nouveaux services (carburants) et nouveaux pays</t>
  </si>
  <si>
    <t>Objectif 2026 : 27 mds de volumes (+17% et un CAGR : 5,5%). Marge sur EBE à 37,1%. La taille mondiale du marché serait de 1000 Md euros. (2,5% de pdM). Clôture fin août</t>
  </si>
  <si>
    <t>CAC : Price</t>
  </si>
  <si>
    <t>IS : 39,5% en 2024</t>
  </si>
  <si>
    <t>IPO le 1er février 2024 à 26 euros</t>
  </si>
  <si>
    <t>Minoritaire : 5%</t>
  </si>
  <si>
    <t>Pay out ratio : 25%</t>
  </si>
  <si>
    <t>Edenred</t>
  </si>
  <si>
    <t>Naissance au sein du groupe Accor en 1962. IPO en juin 2010 suite à la scission du groupe Accor à 11,4 euros puis sortie du capital en 2014 d'Eurazeo à 26 euros et de Colony en 2017 à 19,4 euros</t>
  </si>
  <si>
    <t>FR0010908533</t>
  </si>
  <si>
    <t>Actionnariat institutionnel à 95 %. Premier actionnaire Capital Group Companies  : 9,9%, puis Fidelity 5,12%</t>
  </si>
  <si>
    <t xml:space="preserve">Le Monde est divisé en deux : la partie libérale (États-Unis, Royaume-Uni et Canada) qui paie son salarié et le laisse dépenser son argent et la partie "paternaliste" le reste du Monde qui l'aide et flèche l'argent. Edenred intervient sur ce deuxième segment </t>
  </si>
  <si>
    <t>Présent dans 45 pays (France : 5% et Brésil) : repas, carte essence - mobilités, soins et paiements. 2 Millons de commerçants, 50 Millions de salariés utilisateurs avec 900 000 entreprises (PME)</t>
  </si>
  <si>
    <t xml:space="preserve">Bertrand Dumazy (1971) début du mandat en 2015 (échéance 2022) avant Jacques Stern. Il est CEO et membre du Conseil d'Administration. 201 027 actions soit 8 M euros </t>
  </si>
  <si>
    <t>1,6 Md euros de CA (commission sur un volume d'affaires de 31 Md euros) et 312 M euros de rentabilité. 250 M euros par an de dépenses en R&amp;D</t>
  </si>
  <si>
    <t>E  = 1</t>
  </si>
  <si>
    <t>Fonds propres négatifs suite à la scission de 2010 et de l'apport d'actifs à la valeur historique. Avant 2016, il ne publiait pas l'EBE</t>
  </si>
  <si>
    <t>12 émetteurs en France : Pluxee, Natixis, Swile, Up. 25 % des salariés utilisent des tickets restaurants. Maximum 25 euros. Commission de 3,5-4% payé par le restaurateur</t>
  </si>
  <si>
    <t>R&amp;D à 7-8% pour améliorer l'offre et la digitalisation</t>
  </si>
  <si>
    <t>Plan 2016-2018 avec une vingtaine d'acquisitions</t>
  </si>
  <si>
    <t>2019 : 782 Me dédiés aux acquisitions ciblées et 134 Me aux dividendes. Dettes BBB+. Flux de trésorerie disponible conséquent finance dividendes et acquisitions depuis 10 ans</t>
  </si>
  <si>
    <t>2021 : amende de 157 M euros de la concurrence pour entente sur la France. Année de croissancetouche 50 Millions de salariés, 2 millions de commerçants et 900000 entreprises clientes (4 acteurs : Edenred, Sodexo, Natixislntertitres, Up )</t>
  </si>
  <si>
    <t>2022 : nouvelle année de croissance, accélération des outils favorisés même par l'inflation pour améliorer le pouvoir d'achat des salariés (7 millions en France jusqu'à 5000 euros par an), maîtriser les coûts pour les entreprises et orienter vers un comportement durable</t>
  </si>
  <si>
    <t>Création de valeur de 400 M euros par an. Valorisation boursière en mai 2020 à 35 euros : 25 ans de création de valeur</t>
  </si>
  <si>
    <t>Développement sur la partie véhicule électrique, récompense du salarié et acquisition. Forte croissance en Amérique du Sud</t>
  </si>
  <si>
    <t xml:space="preserve">Volume d'affaires de 41 Md euros par an pour 2 millions d'utilisateurs soit 20 000 euros par personne. </t>
  </si>
  <si>
    <t>Acquisition de Spirri en avril 2024 à hauteur de 87,6% pour 138 Meuros. Plateforme Saas européenne de recharge. Croissance attendue autour de 12% et FCF à 70% de l'EBE</t>
  </si>
  <si>
    <t>CA 2030 attendue à 5 Md euros (1,78 fois en 6 ans soit un CAGR de 10% en légère baisse par rapport à la prévision précédente de 5-6 Md euros)</t>
  </si>
  <si>
    <t>CAC : Deloitte et Ernst &amp; Young (avant Didier Kling en 2016)</t>
  </si>
  <si>
    <t>IPO le 2 juillet 2010 à 11,4 euros</t>
  </si>
  <si>
    <t>Seb</t>
  </si>
  <si>
    <t>Fabricants d'électroménagers</t>
  </si>
  <si>
    <t>FR0000121709</t>
  </si>
  <si>
    <t xml:space="preserve">Concurrents : Electrolux (11,9 Mds euros de CA), Whirlpool  (17,9 Mds euros de CA) </t>
  </si>
  <si>
    <t>A2 - Court terme</t>
  </si>
  <si>
    <t xml:space="preserve">Développement des ventes en lignes (35% des ventes en 2020 - sans impact pour Seb qui est fabricant et son réseau de magasins est modeste et complémentaire) </t>
  </si>
  <si>
    <t>voire direct aux consommateurs via market place et Brand.com</t>
  </si>
  <si>
    <t>Concurrence asiatique sur l'entrée de gamme et l'Italie sur le haut de gamme mais a toujours su naviguer dans ce contexte compétitif</t>
  </si>
  <si>
    <t>Toujours présent là où il faut avec le bon produit. Des produits de cuisine dans certains pays, de salles de bains dans d'autres …</t>
  </si>
  <si>
    <t>2022 : ralentissement de la demande, contrecoup Covid-19 (suite à un excès de demande pendant les confinements de 2020 et 2021) et hausse des matières premières, résultats divisés par 2</t>
  </si>
  <si>
    <t>CAC : KPMG &amp; Deloitte</t>
  </si>
  <si>
    <t>Minoritaires : 10% des fonds propres (et 35% du CA pour 64% du résultat net 2022 - Chine principalement avec SUPOR) Seb possède 82,44% de SUPOR</t>
  </si>
  <si>
    <t>Solvay</t>
  </si>
  <si>
    <t>Chimie</t>
  </si>
  <si>
    <t>Chimiste belge fondé par Ernest Solvay en 1863 et détenu à 30,4% par Solvac une fédération d'actionnaires</t>
  </si>
  <si>
    <t>BE0003470755</t>
  </si>
  <si>
    <t>Dirigé par Ilham Kadri (1969) depuis le 1er mars 2019 (échéance 2021) suite au départ de Clamadieu (2011-2019)</t>
  </si>
  <si>
    <t>Division Materials, chimiques et solutions à destination de l'automobile, l'aviation, le pétrole, la santé, la maison, l'électronique..</t>
  </si>
  <si>
    <t>En avril 2011, rachète le français Rhodia à 34 euros (ça valait 40 euros) en échange Clamadieu est devenu dirigeant de Solvay. Le titre a progressé à 110-120 euros puis stagné depuis. Secteur mature en transformation</t>
  </si>
  <si>
    <t>Cession de l'activité polyamide au 31/1/2020 pour 1,6 Md euros (1,2 Md euros nette pour Solvay) à BASF et DOMO</t>
  </si>
  <si>
    <t>Dépréciation d'actifs de 1,46 Md euros en 2020 sur l'activité composite materials.</t>
  </si>
  <si>
    <t>Dettes hybrides de 1,8 Md euros</t>
  </si>
  <si>
    <t>Provision pour retraite : 3,8 Md euros (déjà présent chez Rhodia en 2009)</t>
  </si>
  <si>
    <t xml:space="preserve">IG </t>
  </si>
  <si>
    <t xml:space="preserve">Exceptionnel en 2018 - 2019, en vitesse de croisière ROCE : 8%. </t>
  </si>
  <si>
    <t>Négative - 27/4/2020</t>
  </si>
  <si>
    <t>FCF représente 25% de l'EBE</t>
  </si>
  <si>
    <t>Création de valeur à long terme difficile entre le secteur mature, la dette et provision retraite et le niveau de dividendes. Bonne gestion des coûts, des cessions / croissance et bonne gouvernance</t>
  </si>
  <si>
    <t>24 125 salariés soit 465 K euros par salarié</t>
  </si>
  <si>
    <t>Pay out Ratio : 45% (dividendes versés en 2020 malgré la crise)</t>
  </si>
  <si>
    <t>Arkema</t>
  </si>
  <si>
    <t>FR0010313833</t>
  </si>
  <si>
    <t>2014 : acquisition de Bostik (adhésif, Sader..) le 19 septembre finalisation en février 2015. CA : 1,5 Md euros et EBE : 158 Me. VE = 1,74 Md euros (VE/EBE = 11 fois). Augmentation de capital de 340 M euros, dettes hybrides de 700 Me et dettes de 700 Me</t>
  </si>
  <si>
    <t>2020 : variation de la dette liée à une dette hybride 700 M euros</t>
  </si>
  <si>
    <t>2021 : acquisition fin août d'Ashland aux États-Unis, leader des adhésifs huate performance aux États-Unis complémentaires pour Bostik. 360 M$ de chiffre d'affaires pour 330 salariés avec 25% de marge d'EBE (95 M$)</t>
  </si>
  <si>
    <t>Prix de l'acquisition d'Ashland 1,65 Md$ soit 15 fois la VE/EBE financé par dettes. Les adhésifs sensibles à la pression sont destinés aux films décoratifs, à la protection et signalisation dans l'automobile et la construction, le collage de bois et l'emballage</t>
  </si>
  <si>
    <t>L'activité d'Ashland n'est pas trop gourmande en BFR et capital</t>
  </si>
  <si>
    <t>Points faibles du dossier : Gouvernance (-), pay out ratio un peu haut, dilution faible mais régulière et quelques minoritaires</t>
  </si>
  <si>
    <t>CAC : KPMG et Ernst</t>
  </si>
  <si>
    <t>Pay out ratio : 40% (autour de 40% - 50%)</t>
  </si>
  <si>
    <t xml:space="preserve">Schneider Electric </t>
  </si>
  <si>
    <t>Energie et automatisme</t>
  </si>
  <si>
    <t xml:space="preserve">Actionnaire : Sun Life 8,5%, BlackRock 6,2%, Treasury shares 5,3% et employés 3,7%. Flottant : 76% </t>
  </si>
  <si>
    <t>FR0000121972</t>
  </si>
  <si>
    <t>Jean-Pascal Tricoire est président directeur général né en 1964, fin de son mandat en 2021. Possède 629 030 actions soit l'équivalent de 100 M euros</t>
  </si>
  <si>
    <t>Intégration des logiciels dans la gestion des systèmes électriques dans les maisons, immeubles, bureaux, usines, data centers, entrepôts, centres ommerciaux et autres lieux. Contenu à plus fort valeur ajoutée =&gt; amélioration de la marge</t>
  </si>
  <si>
    <t>Répartition géographique : 29% États-Unis, 29% Asie, 26% Europe, 16% reste du monde</t>
  </si>
  <si>
    <t>2002 : le rapprochement avec Legrand est annulé par la commission européenne</t>
  </si>
  <si>
    <t>2018 : acquisition de 60% d'AVEVA pour 2Md €</t>
  </si>
  <si>
    <t>2020 : acquisition de RIB Software pour 1,5 Md euros</t>
  </si>
  <si>
    <t>2021 : croissance du CA et de la marge. Au-dessus de 2019. Acquisition en mars 2021 aux États-Unis d'OSIsoft pour 4,5 Md euros</t>
  </si>
  <si>
    <t>2022 : acquisition du reste d'AVEVA pour un passif financier courant de 4,7Md €, CA en 2022 1,2M £ pour 314,8M £ d'ébit et -62,6M £ de résultat</t>
  </si>
  <si>
    <t>2023 : le 4 mai Peter Herweck devient directeur général</t>
  </si>
  <si>
    <t xml:space="preserve">Minoritaires : 7% </t>
  </si>
  <si>
    <t>Pay ou ratio : 51%</t>
  </si>
  <si>
    <t>Farfetch</t>
  </si>
  <si>
    <t>Market place</t>
  </si>
  <si>
    <t>Créé en 2008 par José Neves (CEO et Chairman - fondateur - 78 % des droits de vote après l'IPO) né en 1974 au Portugual</t>
  </si>
  <si>
    <t>KY30744W1070</t>
  </si>
  <si>
    <t>Société britannique. Actionnariat Artémis (famille Pinault - 50 M$), Goldman Sachs, Eurazeo (qui est sorti le 3/11/2020 à 30 euros soit 90 M$)</t>
  </si>
  <si>
    <t>Chiffre d'affaire réalisé : 37% Europe et Afrique, 36% Asie Pacifique et 27% Amérique</t>
  </si>
  <si>
    <t>Marché mondial du luxe : 280 Md dollars (LVMH, Kering, Chanel, Hermes et Richemont : 50% environ)</t>
  </si>
  <si>
    <t>E-commerce 10% des ventes en 2020 et 25% en 2025 soit une croissance annuelle de 20%</t>
  </si>
  <si>
    <t xml:space="preserve">Part de marché de Farfetch : environ 10% en 2020 (à vérifier) 200 Md de CA mondial et 15 % pour le ecommerce et 3 Md de volumes pour Farfetch  </t>
  </si>
  <si>
    <t>A long terme : ecommerce 30% de part de marché soit 90 Md $, Farfetch : 15-20 Md$ de CA . EBE : 2 Md $ (?). Rex : 1,5 Md $ et RN : 1 Md $  valorisation 50 Md ?? En 2027</t>
  </si>
  <si>
    <t>Chiffre d'affaires = commission sur vente de 40% à confirmer. 3 500 marques référencées sur leur site et 2 millions de membres en 2020 (1 M en 2017). 500000 clients gagnés au 2T20. 190 pays</t>
  </si>
  <si>
    <t>À l'IPO en 2018, 859 M$ de levée et 320 M $ en 2017. Avant 195 M $ par Adventure Capital et une boîte de digital</t>
  </si>
  <si>
    <t>Obligation convertible en action de 250 M $ (5% - 2025) puis de 400 M $ en avril 2020  (3,75% - 2027)</t>
  </si>
  <si>
    <t>De 2015 à 2020 : pertes : 370 M $ et investissement : 720 M $. Levée de fonds : 1,4 Md $</t>
  </si>
  <si>
    <t>Acquisition de New Guards Group en août 2019, holding qui regroupe des marques de luxe</t>
  </si>
  <si>
    <t>Le 5 novembre 2020 Farfetch, Alibaba Group et Richemont s'allie pour lancer une plateforme Farfetch en Chine</t>
  </si>
  <si>
    <t>Effectif : 4 532 employés soit un chiffre d'affaire par employé : 225 295 euros</t>
  </si>
  <si>
    <t>IPO à 20 dollars en septembre 2018</t>
  </si>
  <si>
    <t xml:space="preserve">En 2021, croissance de 40% des revenus (50% des volumes vendus) comme en 2020, doublement en 2 ans et EBE positif sur l'année. Conversion en actions d'une partie des obligations (7 Millions de titres et 85 M$) Notes 5%. Le tableau de flux de trésorerie est toujours fortement négatif probablement 1Md $ par an </t>
  </si>
  <si>
    <t>Dilution avec les convertibles : potentiellement 455 millions de titres</t>
  </si>
  <si>
    <t xml:space="preserve">Minoritaire : 10% </t>
  </si>
  <si>
    <t>Prologis</t>
  </si>
  <si>
    <t>Entrepot de logistique</t>
  </si>
  <si>
    <t xml:space="preserve">CEO Hamid R. Moghadam (1956), fondateur (1983) </t>
  </si>
  <si>
    <t>1 712 employes soit 1 945 K euros par employe</t>
  </si>
  <si>
    <t>US74340W1036</t>
  </si>
  <si>
    <t>13% de minoritaire</t>
  </si>
  <si>
    <t>Pay Out Ratio de 60%</t>
  </si>
  <si>
    <t>Peloton Interactive</t>
  </si>
  <si>
    <t>Équipement sportif</t>
  </si>
  <si>
    <t>Fondée en 2012, entreprise qui vend des vélos d'appartement connectés. Il y a un écran qui permet de visualiser un parcours ou bien de suivre un cours en ligne donné par un coach</t>
  </si>
  <si>
    <t>US70614W1009 </t>
  </si>
  <si>
    <t>CEO : John Foley (né en 1971) il co-foncateur, President : William Lynch (né en 1970)</t>
  </si>
  <si>
    <t>CA : 80% les machines (vélos connectés - 1 450 dollars l'unité) et 20% les abonnements - 39 dollars par mois</t>
  </si>
  <si>
    <t>CA : 95% Amerique du Nord et 5% reste du monde</t>
  </si>
  <si>
    <t>Les principaux concurrents sont les chaines de salles de sports aux États-Unis : Flywheel, SoulCycle</t>
  </si>
  <si>
    <t>En 2021, problème avec des tapis entraînant le décès d'un enefant de 6 ans. Rappel des tapis et attitude moyenne de l'entreprise</t>
  </si>
  <si>
    <t>3 700 salariés soit un CA de 493K dollars par salarié</t>
  </si>
  <si>
    <t xml:space="preserve">Pas de dividendes </t>
  </si>
  <si>
    <t>CAC : Enrst &amp; Young LLP</t>
  </si>
  <si>
    <t>IPO à 29 dollars en août 2019</t>
  </si>
  <si>
    <t>Rachat à 39,85 euros par Brookfield en 2024</t>
  </si>
  <si>
    <t>CAPACITÉ EN GW</t>
  </si>
  <si>
    <t>NEOEN</t>
  </si>
  <si>
    <t>Energies renouvelables</t>
  </si>
  <si>
    <t>Fondée en 2008, entreprise  française qui finance et opère des centrales électriques à partir d’énergie renouvelable (Eolien et Solaire) ainsi que du stockage d'énergie.</t>
  </si>
  <si>
    <t>FR0011675362</t>
  </si>
  <si>
    <t>Actionnariat : Impala détient 42,2%, FSP : 6,9%, BPI investissement 4,4% et Céleste management 2%. Flottant : 45,1%</t>
  </si>
  <si>
    <t>Direction : Xavier Barbaro (PDG), Paul-François Croisille (COO - Directeur général adjoint) / Romain Desrousseaux (Directeur général délégué) / Olga Kharitonova (Secrétaire général) / Louis-Mathieu Perrin (CFO - Directeur financier) // Pas de séparation des pouvoirs</t>
  </si>
  <si>
    <t>Lors de son introduction en bourse le 16 octobre 2018 Neoen a levé 628 millions d'euros totalement souscris par les actionnaires historiques.</t>
  </si>
  <si>
    <t>Solaire : 48%, Éolien : 40% (terrestre), stockage : 12%</t>
  </si>
  <si>
    <t>Répartition : 43% Australie, Europe-Afrique à 41%, et Amérique à 15%.</t>
  </si>
  <si>
    <t>Objectif : plan 2021-2025 de 5,3 mds € avec un maximum de 1,2 mds € en augmentation de capital (600 M euros en mars 2021) pour atteindre 10 Gw en opération ou construction.</t>
  </si>
  <si>
    <t xml:space="preserve">Echelle puissance énergétique : panneau solaire 1 Kw par m², par éolienne 1 à 3 Mw, par réacteur nucléaire environ 1,1 Gw. Unité watt = 1 ; Kw = 1000 ; Mw = 100k ; Gw = 1 million ; Tw = 1 milliard </t>
  </si>
  <si>
    <t>500 éoliennes = 1 réacteur nucléaire (900MW/an) = 5 centrales photovoltaïque</t>
  </si>
  <si>
    <t>Concurrents : Engie eps, Blue Solution, Voltalia, EnBW, Eolfi</t>
  </si>
  <si>
    <t>Le Marché des énergies renouvelables est estimé à 2 900 milliards de dollars en 2020 avec une estimation de la progression de ce marché d'environ 8,5% par an</t>
  </si>
  <si>
    <t>Afin de mieux répondre aux appels d'offres internationaux ils s'allient aux partenaires suivants : Bouygues, Eiffage et Schneider Electric qui assurent la construction</t>
  </si>
  <si>
    <t xml:space="preserve">IPO le 16 octobre 2018 à 16,5 euros </t>
  </si>
  <si>
    <t>Xavier Barbaro et sa société Carthusiane exerce la totalité ses DPS dans l'augmentation de capital de mars 2021</t>
  </si>
  <si>
    <t>Emission dette obligataire verte, convertible en action, 300 millions d'euros échéance 2027, Remboursement anticipé de 200 millions d'obligation échéance 2024</t>
  </si>
  <si>
    <t>À long terme, nouvelle hausse de capital (1 Md euros soit 25 millions de titres à 40 euros) dettes en hausse de 1 Md euros soit 2 Md euros pour passer à 20 Gw. CA à 800 Me - EBE à 650 Meuros et Rex à 400 Me - Frais Fi : 120 Me - RN 200 Meuros valo à 5Md - cours de bourse à 40 euros</t>
  </si>
  <si>
    <t>Ralentissement de la progression du CA, coût de la dette à 155 Me soit un taux moyen de 4,2% (dette brute à 3,7 Md euros et nette à moins de 3 Md euros)</t>
  </si>
  <si>
    <t>Objectif 2025 confirmé avec 700 M euros d'EBE</t>
  </si>
  <si>
    <t>Minoritaire : négligeable</t>
  </si>
  <si>
    <t>CAC : Deloitte, RSM</t>
  </si>
  <si>
    <t xml:space="preserve">Pay out ratio : 10% </t>
  </si>
  <si>
    <t>Voltalia</t>
  </si>
  <si>
    <t>Société créée en 2005 détenue par la famille Mulliez à 71,3% et introduite en bourse en 2014 à 8,60 €</t>
  </si>
  <si>
    <t>Présent dans 20 pays. Amérique du Sud : 62%, Europe : 34% et 4% Afrique reste du Monde</t>
  </si>
  <si>
    <t>Solaire : 60%, 37% éolien et 3% biomasse et stockage</t>
  </si>
  <si>
    <t>Répartition du CA basé sur deux activités : Prestation de service 60 % et Production d'energie 40 % du CA</t>
  </si>
  <si>
    <t>Taux de marge par activité : 62 % pour la production d'énergie et 12 % pour les Services</t>
  </si>
  <si>
    <t>2019 : augmentation de capital de 376 millions d'euros, Prix unitaire de 9,20 € par action nouvelle, (40 Millions d'actions nouvelles)</t>
  </si>
  <si>
    <t>2022 : augmentation de capital avec 37,5% d'actions supplémentaires à 13,70 euros pour 490 M euros</t>
  </si>
  <si>
    <t>2023 : frais financiers 80% du résulat d'exploitation</t>
  </si>
  <si>
    <t>2027 : 4,2 GW en service et 5 GW en service ou production. EBE à 750 M euros</t>
  </si>
  <si>
    <t>CAC : Mazars et Grant Thorton</t>
  </si>
  <si>
    <t>Minoritaire : 9%</t>
  </si>
  <si>
    <t>Pay out ratio :</t>
  </si>
  <si>
    <t xml:space="preserve">IPO en 2014 à 8,6 euros </t>
  </si>
  <si>
    <t>Vente d'immobilier neuf France</t>
  </si>
  <si>
    <t>Nexity</t>
  </si>
  <si>
    <t>Fondée en 2000 par Alain Dinin (au Conseil d'administration), Stéphane Richard et Jean-Louis Charon, Nexity intervient sur l’ensemble des métiers de la promotion et des services immobiliers.</t>
  </si>
  <si>
    <t>FR0010112524</t>
  </si>
  <si>
    <t>Introduit en bourse en octobre 2004 à 17,90 euros pour 29,8 Millions de titres (soit une capitalisation de 535 M euros). Sortie des fonds LBO France, CDC Equity et Lehman</t>
  </si>
  <si>
    <t>Actionnaires : Crédit Mutuel Arkéa (5,3%), Alain Dinin et autres managers (7,3%), FCPE et autres salariés (3,3%), Crédit agricole et assurances (6,4%) et flottant (68,6%)</t>
  </si>
  <si>
    <t>Nexity opère en majoritairement en France (numéro 1), mais aussi en Belgique, Italie, Suisse et Pologne. Démarrage de l'activité en Allemagne en mars 2020 suite à l'acquisition de Pantera AG (300 M euros de CA attendu en 2021)</t>
  </si>
  <si>
    <t>Direction : Alain Dinin (PDG), Luce Gendry (Vice-Présidente), Véronique Bédague (Directrice général déléguée), Julien Carmora (Directeur général délégué)</t>
  </si>
  <si>
    <t>Répartition de l'activité : Promotion immobilière résidentiel 60% (-4,6% sur 2019), Promotion immobilière d'entreprise 18,5% (+138% sur 2019), Services 21,5% (-2% sur 2019). 876 000 lots administré en 2020</t>
  </si>
  <si>
    <t>Concurrence : Bouygues immobilier, Eiffage construction, Altarea Cogedim, Kaufman &amp; Broad (1 Md euros de CA et 30 M euros de RN), Hexaom. Part de marché de Nexity : 14%, Icade</t>
  </si>
  <si>
    <t>Nexity va vendre 45% d'Aegide-Domitys (résidence pour senior) à AG2R pour 375 M euros. Structure ad hoc détenue par Ag2R (67%) - Nexity (18%) et les fondateurs (JMF Conseil : 15%). Pas de plus value réalisée sur la cession</t>
  </si>
  <si>
    <t>Cession d'Aegide-Domitys et du réseau de franchisés Century 21 d'où la baisse de l'endettement</t>
  </si>
  <si>
    <t>La partie en Allemagne ne sera pas développé le modèle des résidences de tourisme d'affaires ayant évolué depuis le Covid-19. Sur le Portugal, Italie et Pologne activité d'administrateurs de biens qui se poursuit bien</t>
  </si>
  <si>
    <t>Recentrage des activités, le résidentiel neufs est fort, les services poursuivent leur fonctionnement, le bureau &amp; autres (20%) en transformation pourraient moins croître à l'avenir avec le télétravail</t>
  </si>
  <si>
    <t>Commandes à 20,7 Md euros soit 5 ans de CA avec 380 M euros de résultats opérationnels. Perspectives favorables</t>
  </si>
  <si>
    <t>Prise de participation majoritaire dans le groupe Angelotti. Effort RSE élevé</t>
  </si>
  <si>
    <t>2024 : Cession à Bridgepoint pour 400 M d'euros de la partie syndic (pv 116 M euros), coût de l'endettement 3,1 % contre 3,9% en 2023</t>
  </si>
  <si>
    <t>Plan social de 500 personnes</t>
  </si>
  <si>
    <t>Objectifs 2026 : 6 Md euros de CA et 500 Me de résultats opérationnels (même marge à 8%) et 20% de part de marché sur le résidentiel (contre 14% en 2022) en 2030</t>
  </si>
  <si>
    <t>IS : 36%</t>
  </si>
  <si>
    <t>Pay-out ratio : 92%</t>
  </si>
  <si>
    <t>IPO le 22 octobre 2004 à 17,9 euros</t>
  </si>
  <si>
    <t>Kaufman &amp; Broad</t>
  </si>
  <si>
    <t>Création : 1968</t>
  </si>
  <si>
    <t>FR0004007813</t>
  </si>
  <si>
    <t>Actionnaires : Promogim Groupe 23,1%, Nordine Hachemi 5,24%, Predica 8,89%, Artimus participation 11%, Flottant 53,49%</t>
  </si>
  <si>
    <t>4,1 mois</t>
  </si>
  <si>
    <t>CEO : Nordine Hachemi, 62 ans (CEO et Président)</t>
  </si>
  <si>
    <t>Répartition de l'activité : Logement (maisons individuelles, logements collectifs, résidences spécialisées), Tertiaire (immobilier d'entreprise, logistique, commerces) Autre (vente de terrains, lots à bâtir, maîtrise d'ouvrage déléguée, showroom)</t>
  </si>
  <si>
    <t>5,3 mois</t>
  </si>
  <si>
    <t>CA : France 100%</t>
  </si>
  <si>
    <t>4,3 mois</t>
  </si>
  <si>
    <t>400 000 logement autorisés et 300 000 logements construits en France par an. Besoin estimé à 500 000 par an. Nombre de transactions neuf et ancien autour de 1 Million</t>
  </si>
  <si>
    <t>Entre 2010 et 2020 : différentes acquisitions ciblées en France</t>
  </si>
  <si>
    <t>3,7 mois</t>
  </si>
  <si>
    <t>2023 : au S1, chiffre d'affaire en hausse sur la même période, mais portée par le Tertiaire, L'activité Logement est en baisse de 11% en volume et 19 % en valeur,</t>
  </si>
  <si>
    <t>2024 : point bas du CA, redémarrage de l'activité avec la baisse des taux</t>
  </si>
  <si>
    <t>Minoritaires : 6% des fonds propres, (20% du résultat net)</t>
  </si>
  <si>
    <t>Pay-out : 80% en 2023</t>
  </si>
  <si>
    <t>IPO le 7 février 2000 à 23 euros</t>
  </si>
  <si>
    <t>Allfunds</t>
  </si>
  <si>
    <t>Distribution de fonds</t>
  </si>
  <si>
    <t xml:space="preserve">Fondé en 2000 en Espagne par Juan Alcaraz, actuel PDG, Allfunds est spécialisé dans la distribution de fonds </t>
  </si>
  <si>
    <t>GB00BNTJ3546</t>
  </si>
  <si>
    <t>Allfunds se charge de la gestion des contrats de distribution et des commissions entre les sociétés de gestion et leurs distributeurs finaux</t>
  </si>
  <si>
    <t>125 000 fonds répertoriés et 1200 Md euros</t>
  </si>
  <si>
    <t>Propose en BtoB une offre de gestion diversifié en fonds (lancement en mai 2021)</t>
  </si>
  <si>
    <t>Concurrents : Mfex (Suède : 320 Md euros), Claerstream (Luxembourg : 240 Md euros) et Fund Channel (Luxembourg : 140 Md euros)</t>
  </si>
  <si>
    <t>Répartition géographique : présence dans 59 pays (EMEA, LATAM et Asie)</t>
  </si>
  <si>
    <t>Actionnaires : LHC3 Plc (Hellman &amp; Friedman) : 44,93%, BNP security service : 9,47%, Credit Suisse : 9,4%, BNP asset management : 6,3%, Flottant : 29,9%</t>
  </si>
  <si>
    <t>Acheté en 2017 par Hellman &amp; Friedman et le fonds singapourien (GIC) au prix de 1,8 Md euros auprès de Santander et Sanpaolo</t>
  </si>
  <si>
    <t>En 2023, Euronext présente une OPA qui valorise Allfunds à 5,5 Mds d'€</t>
  </si>
  <si>
    <t>Effectif : 884 employés</t>
  </si>
  <si>
    <t>CA par salarié : 418K</t>
  </si>
  <si>
    <t>IPO le 23 avril 2021 à 11,5 euros</t>
  </si>
  <si>
    <t>Qualcomm</t>
  </si>
  <si>
    <t>Puces et processeurs</t>
  </si>
  <si>
    <t>VE / REX</t>
  </si>
  <si>
    <t>Nvidia</t>
  </si>
  <si>
    <t>Nvidia Corporation, fondée en 1993, est une entreprise américaine spécialisée dans la conception de processeurs graphiques, de cartes graphiques et de puces graphiques pour PC et consoles de jeux.</t>
  </si>
  <si>
    <t>Actionnaires : The Vanguard group (7,68%), FMR LLC (7,28%), BlackRock (6,55%)</t>
  </si>
  <si>
    <t>US67066G1040</t>
  </si>
  <si>
    <t>Concurrents : AMD, Intel &amp; Qualcomm</t>
  </si>
  <si>
    <t xml:space="preserve">Nvidia prévoit d'acquérir la société britanique ARM (leader des puces smartphone) pour 40 Mds de $ en 2021 via SoftBank afin de se profiler sur le marché des intelligence artificiel et des data center. </t>
  </si>
  <si>
    <t>Répartition de l'activité produit : GPU (86,7%) Processeur (13,3%)</t>
  </si>
  <si>
    <t>Répartition géographique : Taiwan (27,7%), Chine (25%), Asie pacifique (9,1%), Europe (9,1%), États-Unis (8,1%), autres (5,5%)</t>
  </si>
  <si>
    <t>Marché du jeu vidéo : 149 Md $ en 2020 51% mobile 22%PC et 27% console</t>
  </si>
  <si>
    <t>Conception de puces à partir de machines ASML pour l'IA générative permettant à des puces de la taille d'une carte postale de faire 10 millions de milliards de calcul par seconde</t>
  </si>
  <si>
    <t>La fabrication a lieu à Taiwan et d'autres pays d'Asie</t>
  </si>
  <si>
    <t>Intensité capitalistique : 0,3 (contre 1 en 2016) en lien avec l'extension du système dans l'IA générative</t>
  </si>
  <si>
    <t>Trésorerie : 38,4 Md $ (4 mois de CA)</t>
  </si>
  <si>
    <t>2024 : forte progression du chiffre d'affaires lié à la demande pour l'IA générative avec l'équipement de tous les data centers de Microsoft, Google, Amazon….</t>
  </si>
  <si>
    <t>Clôture fin janvier</t>
  </si>
  <si>
    <t xml:space="preserve">CAC : Deloitte </t>
  </si>
  <si>
    <t>IS : 13,5%</t>
  </si>
  <si>
    <t>Minoritaire : faible</t>
  </si>
  <si>
    <t>IPO en 1999 à 1,64$</t>
  </si>
  <si>
    <t>Pay out ratio</t>
  </si>
  <si>
    <t>ST Microelectronics</t>
  </si>
  <si>
    <t xml:space="preserve">Semi conducteurs </t>
  </si>
  <si>
    <t>France-Italie</t>
  </si>
  <si>
    <t>ST Microelectronics est fondée en 1987 par l'association de SGS et Thomson initialement nommé SGS-Thomson et renommé en 1998 ST Microelectronics</t>
  </si>
  <si>
    <t>NL0000226223</t>
  </si>
  <si>
    <t>Dirigeants : Jean-Marc Chéry (1960) Président et CEO depuis 2018, Lorenzo Grandi (CFO), Carlo Bozotti (PDG de 2005 à 2018)</t>
  </si>
  <si>
    <t>Actionnaires : STMicroelectronics holding 27,5% (actionnaires italiens et français BPI), Invesco Advisers 4%, Capital Research &amp; management 3,7%, BlackRock invstmt 2,6%</t>
  </si>
  <si>
    <t>Numéro 8 mondial. 200 000 clients (Automobile, téléphonie….) Dans les semi- conducteurs diversifié avec Infineon… dans les premiers. Principaux clients : Apple (20 %), Robert Bosch, Cisco, Continental, Hewlett-Packard, Huawei, Nintendo, Samsung, Seagate et Western Digital</t>
  </si>
  <si>
    <t>Concurrents : Infineon, Analog Device, Linear Technology, National Semiconductor, ASML (fabrication de machines). Pas présent dans les puces pour l'IA générative comme Nvidia et Intel</t>
  </si>
  <si>
    <t>Industrie &amp; Auto : 65% du CA - Électronique : 35% de CA</t>
  </si>
  <si>
    <t>Asie-Pacifique 69,4%, EMEA : 19,2%, Ameriques : 11,4%</t>
  </si>
  <si>
    <t>Investissement : 1 Md euros pour une usine qui génère 1 Md euros de CA (1 an). Dans l'automobile : 1000 composants par voiture à vérifier</t>
  </si>
  <si>
    <t>R&amp;D : 15% du CA</t>
  </si>
  <si>
    <t>Intensité capitalistique : 0,8</t>
  </si>
  <si>
    <t>Goodwill : 285 M $ (1% du bilan et 2% des fonds propres)</t>
  </si>
  <si>
    <t>Trésorerie : 3 Md $ (presque 3 mois de CA)</t>
  </si>
  <si>
    <t>2021 : 1,8 à 2 Md euros d'investissement pour faire face à la croissance des marchés (voitures, énergie, télécoms 5G…) année de forte croissance +25% en CA et +80 % en résultat net</t>
  </si>
  <si>
    <t>2022 : la croissance se poursuit. 3,5Md $ d'investissement.  Dépendance vis-à-vis d'Apple. Intel investit 20 Md $ dans deux usines, St Micro est sur d'autres segments de la chaîne de valeurs</t>
  </si>
  <si>
    <t>Croissance structurelle à venir dans la Métaverse et l'automobile car l'électrification des voitures nécessitent plus de puces</t>
  </si>
  <si>
    <t>Résultats 2022 excellents avec un doublement du résultat net et forte progression du FCF</t>
  </si>
  <si>
    <t>2023 : croissance de l'activité et du résultat proche des sommets, ralentissement au 4T (-3%) avec l'automobile et les téléphones portables. 3,5 - 4 Md $ en 2023</t>
  </si>
  <si>
    <t>2024 : chiffre d'affaires en baisse de 22%, contrecoup avec la baisse de la demande en automobile, iphone et Industrie. 2,5 Md $ d'investissement. Point bas avec un CA par trimestre de 3,25 Md dollars (13 Md sur l'année)</t>
  </si>
  <si>
    <t>Objectif 2025 : probablement décalé. CA à 20 Md $ avec 30% de marge d'exploitation soit 6 Md $ et 25% de marge nette soit 5 Md $. Multiple de ST Micro en dessous du secteur à 11 contre 14-15</t>
  </si>
  <si>
    <t>Neutralité carbone en 2027</t>
  </si>
  <si>
    <t>IS : 16%</t>
  </si>
  <si>
    <t>Minoritaire : 0,7%</t>
  </si>
  <si>
    <t xml:space="preserve">Pay-out ratio : 15% </t>
  </si>
  <si>
    <t>Soitec</t>
  </si>
  <si>
    <t>Semi conducteurs</t>
  </si>
  <si>
    <t>Créée en 1992 par André-Jacques Auberton-Hervé et Jean-Michel Lamure et cotée en bourse depuis 1999. Conçoit et fabrique des semi-conducteurs</t>
  </si>
  <si>
    <t>FR0013227113</t>
  </si>
  <si>
    <t>Actionnariat : Flottant 61%, BPI 11,51%, Institutionnels 28,53% et salariés 1,10%</t>
  </si>
  <si>
    <t>DG : Pierre Barnabé (1971), arrivé en 2022, détient 1000 actions, Président CA : Frédéric Lissalde</t>
  </si>
  <si>
    <t>Asie : 65%  Europe : 20%  États-Unis : 15 %</t>
  </si>
  <si>
    <t>Activité : Mobile 57 %, Auto : 15%, Data : 28%. Probable 60% mobile, 20% automobile &amp; industrie et 20% les data (IA)</t>
  </si>
  <si>
    <t>R&amp;D :  25% du CA</t>
  </si>
  <si>
    <t>Intensité capitalistique : 1,5 (en dégradation par rapport à 2019)</t>
  </si>
  <si>
    <t>Goodwill : 0</t>
  </si>
  <si>
    <t>Trésorerie : 708 M euros 9 mois de CA</t>
  </si>
  <si>
    <t>Pôle de production en France (50%) et Singapour (50%) exporté à 95%. Clients les fondeurs TSMC. St Micro, partenaire sur certains segments, concurrents sur d'autres</t>
  </si>
  <si>
    <t>2023 : Mobile : 69% (+de valeurs dans les nouveaux téléphones), Auto : 16% (autonomie, électricité et connectivité), objects : 15%(oreillettes, gestion de la maison..) et data centers</t>
  </si>
  <si>
    <t>2024 : Mobile : 62% du CA contrecoup ventes de smartphone, Automobile : 17% du CA en croissance et Objets intelligents 21% du CA en repli de 6%</t>
  </si>
  <si>
    <t>2025 : Activité attendue stable après un point bas au premier semestre (avril-septembre), mobile - 27% auto -13% et Cloud AI + 66%</t>
  </si>
  <si>
    <t>2026 : rythme des sous segments différents mais croissance global avec 2 Md euros de CA en 2026 décalé en 2027 : Mobile : 60%, auto : 20%, objtets : 20%. EBE à 40% pas de dettes, valo à 10-12 Md euros soit 300 euros (+60%-80%)</t>
  </si>
  <si>
    <t>IS : 25,83 %</t>
  </si>
  <si>
    <t>Pay out : 0%</t>
  </si>
  <si>
    <t>ASML Holding</t>
  </si>
  <si>
    <t>Machines - Semi conduct.</t>
  </si>
  <si>
    <t xml:space="preserve">Date de création de la société : 1984                 </t>
  </si>
  <si>
    <t>NL0010273215</t>
  </si>
  <si>
    <t>Actionnaires : 19% Institutionnels. Flottant : 81%</t>
  </si>
  <si>
    <t xml:space="preserve">CEO : Christophe Fouquet (1973) </t>
  </si>
  <si>
    <t>Conception de machines complexe pour les fabricants de puces électroniques</t>
  </si>
  <si>
    <t>2 clients : 54 % du CA,  le premier a plus de 30%. 85% en Asie</t>
  </si>
  <si>
    <t>Nouvelle machine d'une valeur de 300 M euros. Valeur ajoutée exceptionnelle</t>
  </si>
  <si>
    <t>La taille du marché est amené à doublé entre 2020 et 2030 pour dépasser les 1 000 milliard de dollars</t>
  </si>
  <si>
    <t>Intensité capitalistique : 0,4</t>
  </si>
  <si>
    <t xml:space="preserve">Trésorerie : 7,2 Mds euros (3 mois de CA) </t>
  </si>
  <si>
    <t>2023 : 600 machines/systèmes vendu  (des machines fabriquants jusqu'au nanomètre)</t>
  </si>
  <si>
    <t>CAGR 2016-2024 : 19%</t>
  </si>
  <si>
    <t>Perspectives 2025-2030 : entre 30 et 40 Mds en 2025 et entre 44 et 60 Mds euros en 2030. soit + 50 % en valeur et 13 % en volume (page 49 rapport annuel 2023) : CAGR 8,45%</t>
  </si>
  <si>
    <t>Objectif long terme 1000 euros l'action</t>
  </si>
  <si>
    <t>IS : 17 %</t>
  </si>
  <si>
    <t>Minoritaires : 0%</t>
  </si>
  <si>
    <t>Pay out : 45 %</t>
  </si>
  <si>
    <t>X-Fab</t>
  </si>
  <si>
    <t>IPO le 6 avril 2017</t>
  </si>
  <si>
    <t>Actionnariat : Holding Elex NV 25 % (Famille Duchâtelet), Holding Sensinnovat BV 24,2 %  (Famille Winter-Chombar)</t>
  </si>
  <si>
    <t>CEO : Rudi de Winter (59 ans)</t>
  </si>
  <si>
    <t>Melexis représente 40 % des ventes de X-Fab</t>
  </si>
  <si>
    <t>Intensité capitalistique : 1 pour 1 (1 Mds de capitaux employés pour 1 Mds de CA)</t>
  </si>
  <si>
    <t>IS : 41 % en 2022 et moins en 2023</t>
  </si>
  <si>
    <t>Melexis</t>
  </si>
  <si>
    <t>BE0165385973</t>
  </si>
  <si>
    <t>CEO : Marc Biron (1970) depuis 2021. Chez Melexis depuis 1997</t>
  </si>
  <si>
    <t>La société Xtrion est une holding dont les gérants sont Françoise Chombar (Présidente Melexis) et Roland Duchâtelet (Administrateur et créateur de X-fab)</t>
  </si>
  <si>
    <t>Répartition par activité : automobile 90% (souvent mis en avant). Industrie (10%)</t>
  </si>
  <si>
    <t xml:space="preserve">Intensité capitalistique : proche de 0,5. </t>
  </si>
  <si>
    <t>Goodwill :</t>
  </si>
  <si>
    <t>Conçoit et fabrique des capteurs de positions magnétiques, des capteurs de pressions Triphibian pour la gestion thermique des véhicules électriques. Capteur d'isolation également</t>
  </si>
  <si>
    <t>2023 : 90% des ventes à destination de l'automobile. FCF proche du RN</t>
  </si>
  <si>
    <t xml:space="preserve">2024 : l'érosion du CA suite aux problèmes automobiles commencent à se faire sentir, avec beaucoup de stocks chez les clients. T4 en repli. </t>
  </si>
  <si>
    <t>Comparaison taux de croissance 2023-2025 : ASML + 63 %, Soitec + 72 %, Melexis + 30 %, St Micro + 20 %</t>
  </si>
  <si>
    <t>IS : 20 %</t>
  </si>
  <si>
    <t>Infineon</t>
  </si>
  <si>
    <t>DE0006231004</t>
  </si>
  <si>
    <t>Automobile : 51%, Green industrial Power : 13%, Power &amp; Sensor System : 23%, Connected : 13%</t>
  </si>
  <si>
    <t>Goodwill : 6,7 Md euros (23,4% du bilan et 36% des fonds propres)</t>
  </si>
  <si>
    <t>2024 : baisse de l'activité. FCF à 400 Me (2,5% du CA) et investissement de 3,3 Md euros (proche 20% du CA), nouvelle usine en Allemagne, Malaisie, extension en Autriche.</t>
  </si>
  <si>
    <t>7 Md euros de CA supplémentaires à 2030</t>
  </si>
  <si>
    <t>A 38 euros par action soit 50 Md euros il y a 20 années de FRC (1,6 Md euros par an) ajouté aux fonds propres de 17 Md euros</t>
  </si>
  <si>
    <t>Pay out ratio : 16 %</t>
  </si>
  <si>
    <t>Believe</t>
  </si>
  <si>
    <t>Distribution musical</t>
  </si>
  <si>
    <t>Believe est une société fondée en 2005 par Denis Ladegaillerie, Arnaud Chiaramonti et Nicolas Laclias qui propose des solutions pour promouvoir les œuvres de labels indépendants et artistes musicaux.</t>
  </si>
  <si>
    <t>FR0014003FE9</t>
  </si>
  <si>
    <t>Actionnaires : TCV (49,64%), Ventech (20,34%), Xange (8,06%), GP BullHound (2,57%) Denis Ladegaillerie (15,04%)</t>
  </si>
  <si>
    <t>Dirigeants : Denis Ladegaillerie (Co-fondateur et CEO) &amp; Xavier Dumont (CFO)</t>
  </si>
  <si>
    <t>Levée de fonds de 300 millions.</t>
  </si>
  <si>
    <t>Effectifs : 250-500 employés</t>
  </si>
  <si>
    <t>Concurrence direct : faible (petites agences marketing musical)</t>
  </si>
  <si>
    <t>Concurrence indirect : Warner, Universal, Sony</t>
  </si>
  <si>
    <t>Minoritaires : 4,35%</t>
  </si>
  <si>
    <t>IPO le 10 juin 2021 à 18,4 euros</t>
  </si>
  <si>
    <t>Alstom</t>
  </si>
  <si>
    <t>Fabricants de trains</t>
  </si>
  <si>
    <t>Ancienne filiale d'Alcatel, leader mondial de l'industrie du transport ferroviaire (passagers et fret) offrant des du matériel roulant (58%), des systèmes (6%), de la signalisation (15%) et des services (accompagnement après-vente : 21%)</t>
  </si>
  <si>
    <t>FR0010220475</t>
  </si>
  <si>
    <t>Actionnaire : Caisse de dépôt du Québec à 17,5%, le reste Institutionnels et Particuliers</t>
  </si>
  <si>
    <t>G = -2</t>
  </si>
  <si>
    <t>DG : Henri Poupart-Lafarge (1969) depuis 1/2016 puis séparation PDG - DG fin 2023 (avant Patrick Kron : 2003-2016)</t>
  </si>
  <si>
    <t>R&amp;D : 2% du CA à horizon 2025. Recherche sur l'alimentation à pile, à hydrogène, la conduite autonome, la détection à 1000 m et le traitement automatique des signalisation. En bonne voie. 4000 locomotives diesel à remplacer</t>
  </si>
  <si>
    <t>Intensité capitalistique : 0,6</t>
  </si>
  <si>
    <t>Goodwill : 87% des fonds propres et 27% du bilan</t>
  </si>
  <si>
    <t>Trésorerie : 1,8 Md euros (1,2 mois de CA)</t>
  </si>
  <si>
    <t>2003 : restructuration et entrée au capital de l'État</t>
  </si>
  <si>
    <t>2014 : cession des turbines à General Electric</t>
  </si>
  <si>
    <t>2016 : finalisation de la cession des turbines à GE pour 10,2 Md euros (14 Md euros de CA) et plus-value de 4,2 Md euros, distribution de 3,2 Md euros aux actionnaires via une OPRA et dette ramenée à proximité de zéro</t>
  </si>
  <si>
    <t>2020 : sortie de Bouygues du capital fin 2020 et début 2021 autour de 45 euros, après le redressement et faute de synergies</t>
  </si>
  <si>
    <t xml:space="preserve">2021 : acquisition de Bombardier Transport (le 29 janvier) pour 5,5 Md euros (4,4 Md euros pour les fonds propres et 1,1 Md euros en dettes) financé par augmentation de capital de 2 Md euros (le 7/12/2020 soit 68 millions d'actions à 29,3 euros) </t>
  </si>
  <si>
    <t>et 3,1 Md euros à des investisseurs réservés (Caisse de Québec : 76 millions d'actions à 44,86 euros)</t>
  </si>
  <si>
    <t>Bilan et compte de résultat à fin mars 2021 non comparable car acquisition de Bombardier fin 2020 et début 2021, contribution de 1,1 Md euros sur 2 mois. Bombardier (6,5 Md euros de CA et marge d'exploitation à 2,7%).</t>
  </si>
  <si>
    <t>L'activité Transport de Bombardier était à 9 Md euros de CA en 2014 et EBIT margin à 5% en baisse venant de 7-8%. En 2019, 8,3 Md euros de CA. 500 clients 1000 trains en circulation et une présence dans 70 pays</t>
  </si>
  <si>
    <t>Pas d'excédent de flux de trésorerie ces dernières années même après le redressement. Peut-être mieux avec Bombardier et l'amélioration du carnet de commandes</t>
  </si>
  <si>
    <t>Présent dans 75 pays. Carnet de commandes de 75 Md euros (5 ans de CA contre 3 ans en 2016) : 55% Europe, 14% Amérique (devrait augmenter avec l'acquisition de Bombardier), Asie 12% et Afrique - Moyen-Orient - Asie Centrale 16%</t>
  </si>
  <si>
    <t>Concurrents : Siemens, Hitachi et CRRC (Chine) avec une offre globale et sur certains segments (Skoda, Thales, Stadler, Rotem). Sur les bus électriques (BYD, Yutong, CNH Industrial, Solaris…)</t>
  </si>
  <si>
    <t>2022 : un an après l'acquistion de Bombardier, la part d'activité à marge négative est de 2,6 Md euros de CA (28% du CA de Bombardier) et 16,7% du CA groupe. Cash flow libre impacté au 1 S mai d'où hausse de la dette mais positif au 2S</t>
  </si>
  <si>
    <t>La participation de 20% dans TMH en Russie (mise en équivalence et impact faible en Me sur le RN) est totalement dépréciée pour 441 M euros d'où RN négatif</t>
  </si>
  <si>
    <t>Prudence dans les prévisions 2023, intégration de Bombardier en bonne voie, carnet de commandes record à 81 Md euros sur les différents continents et flux de trésorerie positif</t>
  </si>
  <si>
    <t>Commandes de TGV en France de 15 rames pour 590 M euros (soit 40 M euros la rame) s'ajoute à la commande 100 rames. La SNCF exploite 320 rames de TGV. Encore 200 à remplacer soit 8 Md euros, probable d'ici 2025-2030</t>
  </si>
  <si>
    <t xml:space="preserve">2023 : progression en ligne avec le plan de marche 2025, le CA progresse de 6% en organique et la marge est à 5,5% avec une bonne éxécution/ livraison et FCF positif. Amérique un peu faible en volume </t>
  </si>
  <si>
    <t xml:space="preserve">2023 : au S1, Répartition de la Dette : 700 M ech 10/2026 à 0,25%, 500 M ech 07/2027 à 0,125%, 750 M ech 01/2029 à 0%, 700 M ech 07/2030 à 0,5%. (Frais Financiers 45 M d'€) | Prêt bancaire non tiré : 2 500 M + Ligne Crédit non tiré 1 750 M. </t>
  </si>
  <si>
    <t>2024 : augmentation de capital de 1 Md euros à 13 euros soit 80 M de titres en plus dans le cadre d'un plan de désendettement de 2 Md euros. Cession pour 689 M $ de la signalisation aux États-Unis</t>
  </si>
  <si>
    <t>L'activité croît (carnet de commandes à 90 Md euros) mais la marge d'exploitation reste basse à 2-2,5% mangé par les frais financiers. Position de prêteur à 5,6% plus intéressante. Exercice fiscal clos au 31 mars</t>
  </si>
  <si>
    <t>Minoritaires : peu (&lt; 1%)</t>
  </si>
  <si>
    <t>Pay-out ratio : 35% (moins en 2016-2017)</t>
  </si>
  <si>
    <t>Tencent</t>
  </si>
  <si>
    <t>Internet et mobile</t>
  </si>
  <si>
    <t>Chine</t>
  </si>
  <si>
    <t>RMB</t>
  </si>
  <si>
    <t>Tencent Holding Limited est une entreprise Chinoise fondée en 1998. En Mai 2020 Tencent a annoncé investir 70 milliards de dollar US dans le développement d'infrastructure digital et hi-tech a Pékin.</t>
  </si>
  <si>
    <t>KYG875721634</t>
  </si>
  <si>
    <t>Les services de Tencent incluent des réseaux sociaux, des portails web, de commerce en ligne et des jeux en ligne multijoueur. Il gère ainsi le service de messagerie instantanée Tencent QQ, opère l’un des plus importants portails web en Chine, QQ.com ainsi que l'application de messagerie instantanée WeChat.</t>
  </si>
  <si>
    <t>Dirigeants : Ma Huateng (PDG et fondateur depuis 1998) LAU Chi Ping (Executive Director)</t>
  </si>
  <si>
    <t>Actionnaires : Naspers Limited 31%, Ma Huateng 8,58%, Vanguard Group 2,3%, Blackrock 1,9%</t>
  </si>
  <si>
    <t>Répartition de l'activité : Média sociaux 22%, Jeux 32%, Publicité en ligne 16%, FinTech et business services 29% autres 1%</t>
  </si>
  <si>
    <t>Répartition géographique du CA : 93% Chine 7% reste du monde</t>
  </si>
  <si>
    <t>Janvier 2015, acquisition de Supercell (jeux vidéo mobile) pour 8,6 milliards $ US</t>
  </si>
  <si>
    <t>Novembre 2017, achat de 12% de Snapchat pour y intégré le jeux vidéo.</t>
  </si>
  <si>
    <t>Décembre 2017, échange de 10% de capital avec Spotify</t>
  </si>
  <si>
    <t>Janvier 2018, acquisition Wanda commercial, qui est un conglomérat aux activités liés au tourisme, hôtellerie et cinéma, pour 5,2 milliards $ US</t>
  </si>
  <si>
    <t>parité 1 € = 7,68 RMB</t>
  </si>
  <si>
    <t>Mars 2020, acquisition de 10% de Universal Music pour 3 milliards d'€ + option pour 10% supplémentaires.</t>
  </si>
  <si>
    <t>Septembre 2020, acquisition Sogou (moteur de recherche Chinois) pour 3,5 milliards $ US</t>
  </si>
  <si>
    <t>1 RMB = 1,2 dollar Hong Kong</t>
  </si>
  <si>
    <t xml:space="preserve">Acquisitions : Decembre 2020, acquisition de LeYou Technologies(jeux video) pour 1,5 milliards $ US </t>
  </si>
  <si>
    <t>Employés : 45 000 soit 1,3 M euros par salarié</t>
  </si>
  <si>
    <t>CA par salarié : 1,380M €</t>
  </si>
  <si>
    <t>Pay-out Ratio : 1,6 per share</t>
  </si>
  <si>
    <t>Bureau Veritas</t>
  </si>
  <si>
    <t>Certification</t>
  </si>
  <si>
    <t>Bureau Veritas est fondée en 1828 spécialisé dans les essais, l'inspection et la certification. Présent dans 140 pays</t>
  </si>
  <si>
    <t>FR0006174348</t>
  </si>
  <si>
    <t>Direction : Hinda Gharbi (1970) a remplacé Didier Michaud-Daniel et Mignon au CA a remplacé Aldo Cardoso en 2023</t>
  </si>
  <si>
    <t>A3 (Moody's) / Stable</t>
  </si>
  <si>
    <t>Actionnaires : Wendel depuis 1995 : 35,4% du capital, 5,6% The Capital Group et 0,7% Comité executif et salariés et autodétention. Flottant 58,3%</t>
  </si>
  <si>
    <t>Répartition de l'activité : Marine &amp; offshore 7,8%, Aggroalimentaire 21,9%, Industrie 20,5%, Batiment 27,9%, Certification 7,2%, Biens de consommation 12,4%</t>
  </si>
  <si>
    <t>Europe : 35%, Asie Pacifique : 28%, Ameriques : 28%, Afrique Moyen Orient : 9%</t>
  </si>
  <si>
    <t>Concurrents : SGS (numéro 1 mondial), Apave, DNV, Lloyd's Register</t>
  </si>
  <si>
    <t xml:space="preserve">Intensité capitalistique : 0,5 (contre 0,6 - 0,7 il y a 10 ans) </t>
  </si>
  <si>
    <t>Trésorerie : 2 mois de CA</t>
  </si>
  <si>
    <t>Activité peu volatile et pas capitalistique : 3 Md de capitaux employés depuis 10 ans. Stratégie de buil-up. Productivité par salarié faible en lien avec la valeur ajoutée</t>
  </si>
  <si>
    <t>2018 : le groupe lance Origin, premier label de traçabilité alimentaire reposant sur la technologie Blockchain, permettant d’offrir aux consommateurs la preuve complète du parcours produit.</t>
  </si>
  <si>
    <t>Un partenariat avec Microsoft est signé en 2019, concernant le développement de l’intelligence artificielle dans ses laboratoires de tests.</t>
  </si>
  <si>
    <t>2022 : au S1, réalisation de 2 fusions-acquisitions (34 M de CA annualisé) et confirmation des objectifs annuels, amélioration du CA généré +5,2 % en organique, hausse du résultat net de 8,4 %</t>
  </si>
  <si>
    <t>2023 : légère progression des principaux agrégats en lien avec la demande de certification (chez GTT par exemple) lié à la transition énergétique mais modeste au global</t>
  </si>
  <si>
    <t>2024 : légère amélioration</t>
  </si>
  <si>
    <t>CAGR de 3,5% de 2019 à 2024 et de 3,8% de 2014 à 2024</t>
  </si>
  <si>
    <t xml:space="preserve">Plan Leap 2028 </t>
  </si>
  <si>
    <t>IS : 32%</t>
  </si>
  <si>
    <t>Minoritaires : 3% en 2023</t>
  </si>
  <si>
    <t>Pay-out ratio : 80% (suspendu en 2020)</t>
  </si>
  <si>
    <t>IPO le 23 octobre 2007 à 37,7 euros pour 107 021 960 titres soit 4 Md euros de capitalisation</t>
  </si>
  <si>
    <t>SGS</t>
  </si>
  <si>
    <t>SGS (Société générale de surveillance) est fondé en 1878 et propose des services dans les domaines du contrôle, de la vérification, de l'analyse et de la certification.</t>
  </si>
  <si>
    <t>CH0002497458</t>
  </si>
  <si>
    <t>Actionnariat : Groupe Bruxelles Lambert (18,91%), Famille August Von Finck (15,7%), MFS international (3%), Capital research management (2,92%)</t>
  </si>
  <si>
    <t>Direction : Frankie Ng (PDG), Peter Kalantzis (directeur), Dominik de Daniel (directeur financier)</t>
  </si>
  <si>
    <t>Secteurs d'activité : : Connectivity &amp; Products, Health &amp; Nutrition, Industries &amp; Environment and Natural Resources and two cross-divisional strategic units: Knowledge and Digital &amp; Innovation</t>
  </si>
  <si>
    <t>Répartition géographique : Europe/Afrique/Moyen-Orient 44,8%, Amerique 19,7%, Asie/Pacifique 35,5%.</t>
  </si>
  <si>
    <t>Numéro un mondial. Concurrents : Bureau veritas, Apave, DNV</t>
  </si>
  <si>
    <t xml:space="preserve">Acquisitions : SYNLAB Analytics &amp; Services en 2021 (santé et agroalimentaire) et Thomas J. Stephens &amp; Associates (cosmétique et hygiène) en 2020 </t>
  </si>
  <si>
    <t>2013 : GBL rachète les parts (15%) de SGS détenués par Exor à 2000 CHF</t>
  </si>
  <si>
    <t>IPO en 1981</t>
  </si>
  <si>
    <t>Minoritaires : &gt;5%</t>
  </si>
  <si>
    <t>Pay-out ratio : proche de 100%</t>
  </si>
  <si>
    <t>Lacroix</t>
  </si>
  <si>
    <t>Signalisation</t>
  </si>
  <si>
    <t xml:space="preserve">Lacroix est fondée en 1936 équipementier technologique international, qui a pour ambition de mettre sa technique et expertise industrielle au service d’un monde connecté et responsable. </t>
  </si>
  <si>
    <t>FR0000066607</t>
  </si>
  <si>
    <t>Direction : Vincent Bedouin (PDG), Nicolas Bedoin (DG)</t>
  </si>
  <si>
    <t>2020 (15 mois)</t>
  </si>
  <si>
    <t>Actionnariat : Famille Bedouin (62%) - flottant (38%)</t>
  </si>
  <si>
    <t>Secteurs d'activité : Smart cities (22%), environnement (15%) et electroniques (63%).</t>
  </si>
  <si>
    <t xml:space="preserve">Répartition géographique : 14 pays avec principalement la France, l'Europe et l'Afrique du nord. Puis les États-Unis à partir de fin 2021 </t>
  </si>
  <si>
    <t>Concurrents : Zoller, Videoton, Foxconn, Flex, Jabil Circuit</t>
  </si>
  <si>
    <t>Employés : 4225</t>
  </si>
  <si>
    <t>CA par salarié : 134 K€</t>
  </si>
  <si>
    <t>2021 : augmentation de capital de 44,3 M€ (à un cours de 41,65€) pour financer le développement des activités. 15 Meuros de participation par la famille Bedouin.</t>
  </si>
  <si>
    <t>En décembre 2021, acquisition de Firstronic (crée en 1980, Electronic Manufacturing Services ) aux États-Unis dont Lacroix avait déjà 12,5% du capital. Les clients sont le secteur automobile, l'industrie et la santé avec 1300 salariés, 2 sites Michigan et Mexique</t>
  </si>
  <si>
    <t>Firstronic réalise 87 M $ de CA et 8% de marge EBE en 2020, pour 2021, 140 M$ et 9% de marge d'EBE. BPI prend 26% du capital et deux dirigeants de Firstronic garde 7% du capital</t>
  </si>
  <si>
    <t>CA 2022 : 600 Me. Marge pas très élevé à suivre si la digitalisation améliore la marge</t>
  </si>
  <si>
    <t>Minoritaire : 10%. En hausse avec l'acquistion de Firstronic</t>
  </si>
  <si>
    <t>CAC : Ernst &amp; Young et Atlantique Revision Conseil</t>
  </si>
  <si>
    <t>Pay-out-ratio : environ 30%</t>
  </si>
  <si>
    <t>IPO en 1993 à 13,5 euros</t>
  </si>
  <si>
    <t>Cellnex</t>
  </si>
  <si>
    <t>Télécomunication</t>
  </si>
  <si>
    <t>Cellnex est fondée en 2000. C'est une entreprise espagnole spécialisée dans les infrastructures de télécommunication notamment dans la gestion des pylônes de télécommunication.</t>
  </si>
  <si>
    <t>ES0105066007</t>
  </si>
  <si>
    <t>Direction : Tobías Martínez-Gimeno (CEO), Bertrand Kan (Vice president), Franco Bernabè (Président conseil d'administration).</t>
  </si>
  <si>
    <t xml:space="preserve">Actionnariat : Edizione (Benetton) 13%, GIC 7%, ADIA 7%, Criteria 4,7%, Blackrock 4,2% </t>
  </si>
  <si>
    <t>Secteurs d'activité : 58104 sites pour 1,6MDS€ de chiffre d'affaire soit 27k€ par site en 2020</t>
  </si>
  <si>
    <t>Répartition géographique : Europe (env 15 pays Européen, Espagne, Italie, UK, France, Suisse, Scandinavie, Pologne)</t>
  </si>
  <si>
    <t>Concurrents : Ei Towers, Raiway, American Tower, Crown Castle</t>
  </si>
  <si>
    <t>Employés : 2008 (en 2021)</t>
  </si>
  <si>
    <t>CA par employé : 800,7K €</t>
  </si>
  <si>
    <t>4 augmentations de capital : Mars 2019 1,2 Mds ; Octobre 2019 2,5 Mds ; Juillet 2020 4 Mds ; Mars 2021 7 Mds €</t>
  </si>
  <si>
    <t>En juillet 2020, Cellnex annonce une augmentation de capital de 4 milliards d'euros.</t>
  </si>
  <si>
    <t>Le 12 novembre 2020, Cellenex achète 24 600 pylônes dans toute l'Europe au groupe hongkongais CK Hutchinsopour. Ceci représente un investissement de 1,4 milliard d'euros</t>
  </si>
  <si>
    <t>En février 2021, Altice France annonce céder sa participation majoritaire dans Hivory, qui gère 10 500 sites, à Cellnex, pour une valeur d'entreprise de 5,2 milliards d'euros. En mars 2021, Cellnex annonce une augmentation de capital de 7 milliards d'euros.</t>
  </si>
  <si>
    <t>Le 12 novembre 2020, Cel+W2586lenex achète 24 600 pylônes dans toute l'Europe au groupe CK Hutchinson, pour un total de 10MDS €. Ils s'engagent également à déployer 5250 nouveaux sites dans les huit prochaines années pour son client hongkongais. Ceci représente un investissement de 1,4 milliard d'euros</t>
  </si>
  <si>
    <t>Minoritaire : 10%</t>
  </si>
  <si>
    <t>Pay-out ratio : pas de dividende</t>
  </si>
  <si>
    <t>Croissance externe</t>
  </si>
  <si>
    <t>Alten</t>
  </si>
  <si>
    <t>Création 1988. Activité de R&amp;D externalisé dans les domaines de l'innovation, la R&amp;D et les système d'information</t>
  </si>
  <si>
    <t>FR0000071946</t>
  </si>
  <si>
    <t>Directeur Général : Simon Azoulay (1956), DG délégué : Bruno Benoliel en 2023, Gérald Attia avant</t>
  </si>
  <si>
    <t>Clients : automobile (20%), média/retail (18,4%), aérospatial (13%), banque (10,4%), énergie (8,8%), science de la vie (8,7%), télécoms (5,6%), défense/marine (5,5%), industries (5,4%) et électronique (4,1%)</t>
  </si>
  <si>
    <t>Activité géographique : France (31,1%), Amérique du nord (14,8%), Allemagne (8,7%), Ibérique (8,5%), Asie-Pacifique (8,4%), Royaume-Uni (7%), Italie (6,6%), Benelux (5,2%), Scandinavie, Europe de l'est, Suisse, autres</t>
  </si>
  <si>
    <t xml:space="preserve">Intensité capitalistique : 0,45 (0,3 il y a 10 ans) </t>
  </si>
  <si>
    <t>Part de marché en France : 15%. Croissance autour de 5% par an jusqu'en 2025</t>
  </si>
  <si>
    <t>Concurrents : Assystem dans le nucléaire</t>
  </si>
  <si>
    <t>Activité peu capitalistique et générant un flux régulier de trésorerie qui se duplique à l'international</t>
  </si>
  <si>
    <t>2021 : redressement rapide de l'activité. Poursuite de la stratégie de build-up avec des acquistions en Europe de petite taille (Portugal, Belgique, UK, Italie…)</t>
  </si>
  <si>
    <t>2022 : au S1, CA organique +19,8 %. 4 Acquisitions internationales (augmentation du CA +144 M)</t>
  </si>
  <si>
    <t>2022 : cession d'activités non stratégiques dans le domaine du consulting et la distribution de logiciel agile principalement aux US et UK pour 216 M euros comptabilié en résultat d'exploitation</t>
  </si>
  <si>
    <t>2023 : Gérald Attia ancien Directeur Général Délégué quitte ses fonctions pour se concentrer à un nouveau projet professionnel. Il est remplacé par Bruno Benoliel</t>
  </si>
  <si>
    <t>2023 : au S1 acquisitions internationales de 5 entreprises pour un CA total de 94M €</t>
  </si>
  <si>
    <t>Croissance organique pour l'année 2023 estimée à 10%. Au S1 68% du CA est à l'internationale pour 86% du Rnet</t>
  </si>
  <si>
    <t>Capex faible à 0,5% du CA. Excédent consacré aux acquistions, recherche de la taille critique aux États-Unis (11,9%) et en Asie (7,9% du CA)</t>
  </si>
  <si>
    <t xml:space="preserve">Activité en lègère baisse, année de consolidation </t>
  </si>
  <si>
    <t>Pay-out ratio : 34%</t>
  </si>
  <si>
    <t>IPO à 11,90 euros en 1999</t>
  </si>
  <si>
    <t>FR0013199916 </t>
  </si>
  <si>
    <t>Somfy</t>
  </si>
  <si>
    <t>Domotique</t>
  </si>
  <si>
    <t>Création de Somfy en 1969 à Cluses en Haute-Savoie, en 1984 Somfy a été racheté par le Groupe Damart</t>
  </si>
  <si>
    <t>Automatisation de la fermeture et ouverture de la maison et des bâtiments. Maison connectée à des fins de bien-être. Présent dans 59 pays</t>
  </si>
  <si>
    <t>Retrait de la cote par la famille à 143 euros fin 2022</t>
  </si>
  <si>
    <t>Accès des maisons et bâtiments, Volets et protection solaires, stores intérieurs et rideaux, maison connectée (sécurité)</t>
  </si>
  <si>
    <t>Actionnariat : JPJS (Holding de Jean Despature) (52,65 %) JPJ2 (9,12 %), Flottant (17,5 %) Autodétention (6,92 %), Famille Despature et autres (4,23 %), Compagnie Financière Industrielle (4,47 %), Manacor Dev Pte Ltd (1,38 %)</t>
  </si>
  <si>
    <t>E : 2</t>
  </si>
  <si>
    <t>CEO : Pierre Ribeiro, né en 1966, entrée dans la société en 1992. En poste de CEO depuis 2015 (expi Mandat 2025), passage au conseil d'administration en 2021</t>
  </si>
  <si>
    <t>S : 1</t>
  </si>
  <si>
    <t>Président : Jean Guillaume Despature</t>
  </si>
  <si>
    <t>Décision de dissocier les fonctions de Président et Directeur Général le 2 juin 2021</t>
  </si>
  <si>
    <t>Répartition du CA par Pays : France (29,22 %), Europe (49,54 %), Amérique Nord (9 %), Afrique (5,34 %) Asie (5,24 %) Amérique Latine (1,3 %)</t>
  </si>
  <si>
    <t xml:space="preserve">Répartition du CA par Métier : </t>
  </si>
  <si>
    <t>En 2017 : Division par 5 de la valeur nominale de l'action effectué le 03/07/2017</t>
  </si>
  <si>
    <t>En 2018 : Lancement d'une fonctionnalité de géolocalisation via téléphone portable pour une ouverture de portail à distance</t>
  </si>
  <si>
    <t>Solutions de pergolat connectées, avec gestion automatique de la luminosité, commandes vocales, protection du mobilier en cas de pluie…</t>
  </si>
  <si>
    <t>Solutions de fermeture automatique des portes et gestion de la fermeture depuis son smartphone.</t>
  </si>
  <si>
    <t>Solutions de fenêtres connectées pour une ouverture et fermeture pilotable sur Smartphone</t>
  </si>
  <si>
    <t xml:space="preserve">En 2022, Somfy dispose de 2 210 brevets en portefeuille, de 17 centres de R&amp;D dans le Monde et 57 % de produits éco-conçus, </t>
  </si>
  <si>
    <t>Depuis environ 10 ans, Somfy a développé une application par téléphone pour gérer toute la domotique de ces produits</t>
  </si>
  <si>
    <t>Lancement de volets roulants alimentés via énergie solaire</t>
  </si>
  <si>
    <t>Nominal de 1 € passé à 0,20 €</t>
  </si>
  <si>
    <t>La Box Tahoma de Somfy est compatible avec les suites Google Home et Amazon Alexa. Il est possible de commander sa maison à l'aide de sa voix avec Google Home, et Goggle Home communiquera avec la Box Tahoma pour agir sur les services Somfy</t>
  </si>
  <si>
    <t>Acquistion de 75% de la société italienne Teleco Automation, fondée en 1996, 180 personnes et 40 Me de CA sur les systèmes d'automatisation, le contrôle et éclairage intérieur et extérieur de l'habitat</t>
  </si>
  <si>
    <t>Filiale chinoise consolidée par mise en équivalence : Dooya 275 Meuros de CA</t>
  </si>
  <si>
    <t>CAC : Ernst &amp; Young et KPMG</t>
  </si>
  <si>
    <t>Minoritaire : Très peu</t>
  </si>
  <si>
    <t>Pay out ratio : environ 29 %</t>
  </si>
  <si>
    <t>Relx Plc</t>
  </si>
  <si>
    <t>B to B</t>
  </si>
  <si>
    <t>RELX Group, anciennement Reed Elsevier, est un groupe international d'édition professionnelle, issu de la fusion, en 1993, de la société britannique Reed International PLC et de la maison d'édition néerlandaise Elsevier NV</t>
  </si>
  <si>
    <t>GB00B2B0DG97</t>
  </si>
  <si>
    <t>Erik Nils Engstrom CEO depuis 2009, entrée en 2004.</t>
  </si>
  <si>
    <t>Actionnariat : BlackRock 7,72 %, Invesco 4,84 %, The Vanguard Group 2,96 % (Flottant pour le reste)</t>
  </si>
  <si>
    <t>Répartition CA par activité  : Risque (solution avec des algorithmes avancées pour la gestion du risque) 34 %, Scientifique et technique 37 %, Juridique 22 %, Exhibitions (solutions digitales pour faciliter les recherches et transactions) 7%</t>
  </si>
  <si>
    <t>Répartition CA par zone géographique : Amérique du Nord 60 %, Europe 20 %, RoW 20 %</t>
  </si>
  <si>
    <t>Répartition CA par format : Distribution électronique 86 %, Impression 7 %, Présentielle (Face à Face) 7 %</t>
  </si>
  <si>
    <t>Minoritaires :</t>
  </si>
  <si>
    <t>Universal Music</t>
  </si>
  <si>
    <t>Editeur</t>
  </si>
  <si>
    <t>EUR</t>
  </si>
  <si>
    <t>Actionnariat : Vincent Bolloré 18 %, Vivendi 10 %, Concerto Partners LLC 20 %, W,A Ackman 10 %</t>
  </si>
  <si>
    <t>Chairman &amp; CEO : LUCIAN GRAINGE (62 ans)</t>
  </si>
  <si>
    <t xml:space="preserve">Répartition du CA par activité : </t>
  </si>
  <si>
    <t>Répartition du CA par zone géographique :</t>
  </si>
  <si>
    <t>Deezer</t>
  </si>
  <si>
    <t>Plateforme musical</t>
  </si>
  <si>
    <t>Streaming audio à la demande, via portable, tablette, ordinateur</t>
  </si>
  <si>
    <t>90 millions de titres musicaux et podcast et divertissement et sport</t>
  </si>
  <si>
    <t>IPO le 5 juillet 2022 à 7,25 euros</t>
  </si>
  <si>
    <t>9,4 million d'abonnés au 30-06-2022 contre 9,7 au 30-06-2021</t>
  </si>
  <si>
    <t>France et Brésil 2/3 du CA, 2 % du Marché mondial</t>
  </si>
  <si>
    <t>Offre à 10,99 € / mois, mais ARPU à 3,90 € / mois</t>
  </si>
  <si>
    <t>Spotify</t>
  </si>
  <si>
    <t>Suède</t>
  </si>
  <si>
    <t>Spotify est une société fondée en 2006 par Daniel Elk et Martin Lorentzon.</t>
  </si>
  <si>
    <t>LU1778762911</t>
  </si>
  <si>
    <t>Actionnaires : Daniel Elk (Co-Founder) 17,2% ; Martin Lorentzon (Co-Founder) 11,1% ; Baillie Gifford &amp; Co 10,9%, Morgan Stanley 7% ; T Rowe Price 6%, Tencent 8,7%.</t>
  </si>
  <si>
    <t>Utilisateurs : 158 millions d'abonnés et 356 millions utilisateurs au total. Disponible sur 178 marchés et dispose de 70 millions de chanson.</t>
  </si>
  <si>
    <t>Tarif : 9,99€ / Mois ou abonnement Hifi 14,90€/mois avec des formules à long termes pour réduire les coûts.</t>
  </si>
  <si>
    <t>Selon une étude de l'ADAMI, pour un abonnement mensuel payé 9,99 euros : 6,54 euros seraient reversés aux intermédiaires (70 % aux producteurs, 30 % à la plateforme de musique), 1,99 euro pour l'État (TVA), 1 euro pour les droits d'auteur, enfin les artistes écoutés se partageraient 0,46 euro</t>
  </si>
  <si>
    <t>Concurrents : Apple Music, Deezer, Youtube Music, Deezer (même grille tarifaire) Spotify #1 mondial en nombre d'utilisateurs.</t>
  </si>
  <si>
    <t>Investissements : En Novembre 2020 Spotify acquiert Megaphone, spécialiste de la publicité ciblé pour 235M $</t>
  </si>
  <si>
    <t>CAC : Ernst Young</t>
  </si>
  <si>
    <t>Pay-out ratio : 0</t>
  </si>
  <si>
    <t>IPO le 3 avril 2018 à 165,4 euros</t>
  </si>
  <si>
    <t xml:space="preserve">bioMérieux </t>
  </si>
  <si>
    <t>1963 : création de la société à Marcy l'Étoile, près de Lyon. (Ancien nom : B-D Mérieux)</t>
  </si>
  <si>
    <t>FR0013280286</t>
  </si>
  <si>
    <t>Biomerieux sa</t>
  </si>
  <si>
    <t>Actionnaires : 58,90% Institut Mérieux, 3,8% : SITAM Belgique (Dassault), 1,93% Sofina SA, 0,84% salariés, 0,17% autodétention. Flottant : 34,36%</t>
  </si>
  <si>
    <t>Dirigeants : Pierre Boulud (1972) devient DG en 2023 (depuis 2016 chez Biomérieux, 14 ans chez Ipsen auparavant), Alexandre Mérieux DG depuis 2015 et PDG depuis 2017, devient président du CA</t>
  </si>
  <si>
    <t>Présent dans 45 pays, 42 filiales, 15 sites de Bio-industriels et 14 centres de R&amp;D</t>
  </si>
  <si>
    <t>Concurrents : Abbott Laboratories, Becton Dickinson</t>
  </si>
  <si>
    <t xml:space="preserve">60 à 70 % des décisions médicales s'appuient sur les résultats d'un test de diagnostic </t>
  </si>
  <si>
    <t xml:space="preserve">Les dépenses de biologie médicale ne représentent que 2 à 3% des dépenses de santé (2). Ce coût reste limité au regard de la valeur médicale du diagnostic et des économies qu’il peut générer tant </t>
  </si>
  <si>
    <t>par la réduction des sur-prescriptions de traitements, que par le raccourcissement des délais de prise en charge et des durées d’hospitalisation.</t>
  </si>
  <si>
    <t>Intensité capitalistique : 1 pour 1 (contre 0,5 il y a 10 ans lié aux acquisitions)</t>
  </si>
  <si>
    <t>2004 : introduction en bourse</t>
  </si>
  <si>
    <t>Nbre d'actions multiplié par 3 (19/9/17)</t>
  </si>
  <si>
    <t>2022 : la famille Agnelli entre au capital de la Institut Mérieux pour 10%, soit 5,8 % de BioMérieux</t>
  </si>
  <si>
    <t>Acquisition de la société Specific Diagnostic pour 425 M de dollars,</t>
  </si>
  <si>
    <t>Au T1, Baisse lié au COVID-19, impact sur l'activité Biologie moléculaire et Immunoessais, respectivement - 6% et - 15 % à change constant</t>
  </si>
  <si>
    <t>2023 : changement de DG à la décision d'Alexandre Mérieux conserve fonction de Président et Pierre Boulud devient DG (7 ans d'expérience Biomérieux, 14 ans chez Ipsen auparavant)</t>
  </si>
  <si>
    <t>Nouvelle dépréciations pour la filiale en Chine Hybiome de 120 M euros. Renforcement de la position dans le capital d'Hybiome, 16% du capital pour 29 M euros, détenue maintenant à 87%</t>
  </si>
  <si>
    <t>Prise de participation dans le capital d'Oxford Nanopore à hauteur de 6,9 % du capital (150 M euros).</t>
  </si>
  <si>
    <t>Développement de nouveaux diagnostics : prise de sang permettant de diagnostiquer un traumatisme crânien et bientôt une crise cardiaque</t>
  </si>
  <si>
    <t>2028 : CAGR de 7% et EBIT à 20% soit un CA de 5 Md euros et 1 Md euros de résultat d'exploitation</t>
  </si>
  <si>
    <t>CAC : Grant Thorton et Ernst &amp; Young</t>
  </si>
  <si>
    <t>Ayvens (ex ALD Automotive)</t>
  </si>
  <si>
    <t>Leasing véhicule</t>
  </si>
  <si>
    <t>Financement de véhicules et gestion de flottes à destination des entreprises</t>
  </si>
  <si>
    <t>FR0013258662</t>
  </si>
  <si>
    <t xml:space="preserve">Actionnaires : Société Générale : 52,6%, actionnaires de Lease Plan : 30,8% </t>
  </si>
  <si>
    <t>CEO : Tim Torben Albertsen (59 ans)   Chairman : Diony Lebot (60 ans)</t>
  </si>
  <si>
    <t>Répartition CA : Principalement Européen 90 % environ, Amérique du sud afrique asie 12 %</t>
  </si>
  <si>
    <t>Peut-être A- après l'acquisition de Lease Plan</t>
  </si>
  <si>
    <t>En 2015, 7 Milliard de CA et RN 500,000 €</t>
  </si>
  <si>
    <t>En 2022, au mois d'avril procède à l'acquisition de Leaseplan pour un montant de 4,9 milliard d'euros et augmentation de capital de 1,2 Md euros. Finalisation en fin d'année</t>
  </si>
  <si>
    <t xml:space="preserve">1,7 M de véhicules financés avec 43 pays et 3,5 M avec ALD. Arval numéro 2 avec 1 M de véhicules. VW : 11 M et RCI : 2,8 M </t>
  </si>
  <si>
    <t>CAC : Deloitte et Ernst</t>
  </si>
  <si>
    <t>Pay-out ratio : 50% - 60%</t>
  </si>
  <si>
    <t>IPO en 2017 à 14,30 €</t>
  </si>
  <si>
    <t>Interparfums</t>
  </si>
  <si>
    <t>Parfums</t>
  </si>
  <si>
    <t>Créée en 1982 et introduite en bourse en 1988 à la bourse de New York</t>
  </si>
  <si>
    <t>FR0004024222</t>
  </si>
  <si>
    <t>Fondée par Philippe Benacin (né en 1959) et Jean Madar (né en1961) toujours présent dans la société. PDG de Interparfums SA (soc d'exploitation) : Philippe Benacin, Jean Madar est simplement administrateur. DG de Interparfum INC (Holding) : Jean Madar</t>
  </si>
  <si>
    <t xml:space="preserve">Actionnaires : Interpafums Holding : 72,3% détenue à 44% par Jean Madar et 56% Philippe Benacin. 27,7% public </t>
  </si>
  <si>
    <t>Concurrents : LVMH (Guerlain, Dior : 8,2 Md euros de CA), Chanel, L'oréal, Hermès, Coty</t>
  </si>
  <si>
    <t>Intensité capitalistique : 0,7. En hausse en lien avec le prix des licences plus élevés et l'achat de l'immeuble Solférino</t>
  </si>
  <si>
    <t>La stratégie du Groupe est de procéder à une acquisition de licence de marques de Luxe pour proposer des parfums au nom de la marque</t>
  </si>
  <si>
    <t>Interparfums gère tout le cycle de vie des parfums de la création à la distribution. Marge opérationnelle à 22% contre 11% pour LVMH (division parfums &amp; cosmétiques)</t>
  </si>
  <si>
    <t>2012 : perte de la licence avec Burberry (indemnité de 150 M euros) car la marque a souhaité développer elle-même son propre parfums, Burrberry a échoué et a demandé à un autre acteur de gérer les parfums pour elle (COTY)</t>
  </si>
  <si>
    <t>2013 : 3 marques : Montblanc, Jimmy Choo et Coach représente 75% du CA, cela pourrait s'améliorer avec Lacoste, Van Cleef, Lagerfeld et d'autres lancements</t>
  </si>
  <si>
    <t>2017 : achat du siège rue Solférino 125 M euros, 3700 m2 avec trois immeubles rénovés soit 34 000 euros du m2</t>
  </si>
  <si>
    <t xml:space="preserve">2020 - 2021 : boom lié à l'après Covid-19. </t>
  </si>
  <si>
    <t>2023 : achat de la licence Lacoste à Coty (90 M euros) potentiel élevé. Historique du prix des achats de Licence : Montblanc (1 M euros) Boucheron (15 M euros) Van Cleef &amp; Arpels (18 M euros). Total à 135 M euros</t>
  </si>
  <si>
    <t xml:space="preserve">34 Millions de flacons vendus et 4,9 Millions de coffrets. Investissement marketing et publicité : 22% des ventes </t>
  </si>
  <si>
    <t>CAGR 5 ans : 12,4% et 10 ans : 11,4% par croissance interne</t>
  </si>
  <si>
    <t>Givaudan</t>
  </si>
  <si>
    <t>Parfums arômes</t>
  </si>
  <si>
    <t>Créée en 1895, introduite à la bourse Suisse le 6 juin 2000</t>
  </si>
  <si>
    <t>CH0010645932</t>
  </si>
  <si>
    <t>CEO : Gilles Andrier (1961) a travaillé chez Accenture avant de rejoindre Givaudan en 1993. CEO depuis 2005.</t>
  </si>
  <si>
    <t xml:space="preserve">Président : Calvin Grieder, (né en 1955, 68 ans), première élection en 2014 et président depuis 2017. (également président du CA de SGS SA) </t>
  </si>
  <si>
    <t>Actionnaires : Fondation Gates : 13,8%, BlackRock : 5%, Haldor Foundation : 5% et UBS 3%. Flottant : 73%</t>
  </si>
  <si>
    <t>Répartition du CA par activité : 54 % Goût et Bien être,  45,7 % Parfums et Beauté. 78 sites de productions, 64 centres de R&amp;D et 124000 produits vendus</t>
  </si>
  <si>
    <t>Répartition par sous actitivité : Goût (35 % Boissons, 37 % Aromes, 12 % Lait, 16 % Produit sucrés), Parfums (Grande consommation 65 %, parfums fin 20 %, beauté 15%)</t>
  </si>
  <si>
    <t>150 nez et 400 aromaticiens, 11,000 matières premières (naturelle ou synthétiques, certaines sont fragiles comme les essences de rose ou le patchouli)</t>
  </si>
  <si>
    <t>Clients activité Parfums : L’air du Temps Nina Ricci, Rive Gauche Yves Saint Laurent, Poison Christian Dior, Loulou Cacharel, Coco Mademoiselle Chanel, Opium Yves Saint-Laurent (2009)</t>
  </si>
  <si>
    <t>Répartition par zone géographique : Europe : 39%, Amérique du Nord : 24%, Amérique du Sud 12% et Asie Pacifique : 25%</t>
  </si>
  <si>
    <t>2013 : Nestlé à vendu sa participation pour 1 Mds d'euros, soit (926.562 titres) issue de la vente de FIS à Givaudan.</t>
  </si>
  <si>
    <t>2018 : Givaudan achète Naturex au prix de 135 euros par action, (environ 1,256 Md d'euros). Cette acquisition lui donne accès à plus de 600 sources végétales et lui permet de créer une plate-forme aux ingrédients naturels</t>
  </si>
  <si>
    <t>2019 : budget de la R&amp;D 496 millions CHF</t>
  </si>
  <si>
    <t>2023 : la commission européenne mène une enquête sur l'entente de plusieurs acteurs sur les prix des fragrances et parfums dont Givaudan et ses principaux concurrents</t>
  </si>
  <si>
    <t>Strat 2025 : Elargir les activités Activité : Colorants naturels, développement de texturiseurs à base de plante, parfumants durables, réduire ses émissions de gaz à effet de serre</t>
  </si>
  <si>
    <t>Strat 2025 : Croissance organique moyenne de 4 à 5 %</t>
  </si>
  <si>
    <t>IS : 10%</t>
  </si>
  <si>
    <t>Pay out : 72 %</t>
  </si>
  <si>
    <t>Robertet</t>
  </si>
  <si>
    <t>Arômes</t>
  </si>
  <si>
    <t>Société crée en 1850 fournissant des ingrédients naturels pour l'industrie des arômes, de la parfumerie, de la santé et de la beauté. Basée à Grasse. 7 ème acteur mondial</t>
  </si>
  <si>
    <t>Métiers, produits, valeur ajoutée, évolution de la demande, perspectives</t>
  </si>
  <si>
    <t>Concurrence : Givaudan (Suisse), Symrise (Allemagne), Firmenich (Suisse)</t>
  </si>
  <si>
    <t>Taille du marché</t>
  </si>
  <si>
    <t>Contentieux</t>
  </si>
  <si>
    <t>Répartition du CA : Matières premières naturelles : 25%, Parfumerie : 38%, Arômes : 34% et Santé &amp; Beauté : 3%</t>
  </si>
  <si>
    <t>Pays présents - Nombre de filiales - Nombre de structures juridiques</t>
  </si>
  <si>
    <t>R&amp;D : 56 M euros (8% du CA)</t>
  </si>
  <si>
    <t>Goodwill : 110 M euros (11,8% du total bilan et 23,6% des fonds propres)</t>
  </si>
  <si>
    <t>2018 : activité de l'année, croissance interne, acquisition éventuelle</t>
  </si>
  <si>
    <t>2023 : acquisition de Sonarone en Inde</t>
  </si>
  <si>
    <t>2024 : développement dans les arômes pour l'alimentation et les boissons. Acquisition de Phasex aux États-Unis dans l'extraction supercritique du CO2 (30 salariés et 5-10 M euros de CA)</t>
  </si>
  <si>
    <t>CAGR : 6,55% sur 5 ans (2019-2023) et 6,34% sur 10 ans (2014-2023)</t>
  </si>
  <si>
    <t>Perspectives 2030 si disponible. Extension du système</t>
  </si>
  <si>
    <t>CAC : KPMG et Cogeparc</t>
  </si>
  <si>
    <t>Minoritaires : &lt;1%</t>
  </si>
  <si>
    <t>Pay-out ratio </t>
  </si>
  <si>
    <t>Symrise</t>
  </si>
  <si>
    <t>Date de création de la société : 2003 fusion entre Haarmann &amp; Reimer et Dragoco</t>
  </si>
  <si>
    <t>Clients, risque de concentration</t>
  </si>
  <si>
    <t>Concurrence : Givaudan</t>
  </si>
  <si>
    <t>Activité : Parfums et Beauté : 40% du CA et 16% de marge. Santé Aliments : 60% du CA 22 % de marge</t>
  </si>
  <si>
    <t>Par ordre chronologique : 2017</t>
  </si>
  <si>
    <t>2017 : Acquisition de Citratus au Brésil (10 M de CA et 86 salariés)</t>
  </si>
  <si>
    <t>CAGR : 8,3% sur 5 ans et 10% sur 10 ans</t>
  </si>
  <si>
    <t>IS : 28/29%</t>
  </si>
  <si>
    <t>Eurofins</t>
  </si>
  <si>
    <t>Laboratoire Analyse biologique</t>
  </si>
  <si>
    <t>Entreprise fondée par Dr Gilles Martin en 1987, introduit en bourse en 1997</t>
  </si>
  <si>
    <t>FR0014000MR3</t>
  </si>
  <si>
    <t>PDG : Gilles Martin (1963)</t>
  </si>
  <si>
    <t>Actionnaires : 33 % la Famille Martin. Flottant : 67%</t>
  </si>
  <si>
    <t>Présent dans 62 pays. Europe : 51%, États-Unis : 38% et reste du Monde : 11%</t>
  </si>
  <si>
    <t>Dispose de 900 laboratoires (+20 laboratoire en moyenne par an) dans le Monde, 200 000 méthodes analytiques</t>
  </si>
  <si>
    <t>L'ambition de l'entreprise : devenir le leader dans les services analytiques de substance biologiques. Types d'études sur les produits : Sécurité, identité, pureté, composition, authenticité et origine</t>
  </si>
  <si>
    <t>Travaille avec : Nestlé, PepsiCO, Unilever, Coca-Cola, Pfizer, Sanofi, GSK, Novatris, AstraZeneca, Merc &amp; Co,Johnson &amp; Johnson, Roche)</t>
  </si>
  <si>
    <t>2017 : 60 acquisitions</t>
  </si>
  <si>
    <t>19/11/20, nbre d'action multiplié par 10</t>
  </si>
  <si>
    <t>2020 - 2021 : accélération de l'activité avec le Covid-19</t>
  </si>
  <si>
    <t>2023 : contre coup Covid-19, beaucoup d'acquisitions (40 en 2023) et beaucoup de dettes. Goodwill (4,5 Md euros soit 90% des FP et 45% du bilan). Phase de ratiuonalisation à venir</t>
  </si>
  <si>
    <t>CAC :  Deloitte KPMG</t>
  </si>
  <si>
    <t>IS : 23%</t>
  </si>
  <si>
    <t>Pay out : 29 %</t>
  </si>
  <si>
    <t>Medacta</t>
  </si>
  <si>
    <t>Industrie médicale</t>
  </si>
  <si>
    <t>En 1999 création de l'entreprise Medacta par Alberto Siccardi,</t>
  </si>
  <si>
    <t>CH0468525222</t>
  </si>
  <si>
    <t>Président : Alberto Siccardi (1944), président depuis 2018</t>
  </si>
  <si>
    <t>CEO : Francesco Siccardi</t>
  </si>
  <si>
    <t>Actionnaires : 69,45 % Famille Siccardi, 4,95 % société en commandite Artisan Partners, Restant Flottant,</t>
  </si>
  <si>
    <t>Concurrents : Alphatec Spine, SeaSpine, Spinal Simplicity</t>
  </si>
  <si>
    <t>Présence géographique dans 53 pays.</t>
  </si>
  <si>
    <t>Répartition par zone géographique : Europe : 42,9%, North America : 31,3 %, Asia Pacific : 21,6%, Reste du Monde : 4,2 %</t>
  </si>
  <si>
    <t>Répartition par activité : Hanche 46,6 %, Genou 37,6 %, Colonne vertébrale 9,5%, Epaules 6,3 %</t>
  </si>
  <si>
    <t>En 2002 développement du département cinétique (implant de genou)</t>
  </si>
  <si>
    <t>Développement d'une technologie propriétaire dans la chirurgie assistée par ordinateur,</t>
  </si>
  <si>
    <t>Minoritaire : non</t>
  </si>
  <si>
    <t>Pay out ratio : environ 20 %</t>
  </si>
  <si>
    <t>st</t>
  </si>
  <si>
    <t>IPO 4 avril 2019 à 96 CHF</t>
  </si>
  <si>
    <t>Ramsay Santé</t>
  </si>
  <si>
    <t>Eur</t>
  </si>
  <si>
    <t>Créée en 2010 grâce au soutient du Crédit Agricole et de sa maison mère en Autralie Ramsay Healthcare (créée en 1964),</t>
  </si>
  <si>
    <t>FR000044471</t>
  </si>
  <si>
    <t>Actionnariat : 53 % Ramsay Healthcare, 40 % Crédit Agricole. Flottant : 7%</t>
  </si>
  <si>
    <t>CEO : Pascal Roché (1962) nommé le 30/06/2011, fin de mandat prévu pour 2026. Président du CA : Mc Nally Craig  (1962), nommé le 01/10/2014, fin 30/06/2024, CEO de Ramsay Healthcare</t>
  </si>
  <si>
    <t>Leader européen de l'hospitalisation privée et des soins primaires en Europe. Modèle immobilier plus chirurgien</t>
  </si>
  <si>
    <t>Présent dans 5 pays : France (60% du CA), Italie, Suède, Norvège et Danemark</t>
  </si>
  <si>
    <t>Répartition du CA par activité : Médecine Obstétrique : 73 %, Soins Proximité 11%, SMR 5 , Santé mentale 5 %, Imagerie 3 %, Personnes agées 3 %, Transport 0,5 %</t>
  </si>
  <si>
    <t>Gère 465 établissements, 12,6 M de patients par an. Investit 200 M euros par an</t>
  </si>
  <si>
    <t>2024 : subi l'inflation 2022- 2024 et la hausse des taux. Frais financiers : 172 M euros (3,5% du CA) &gt; au x résultats. Refinancement de 1,65 Md euros auprès des banques. Déprécciation des actifs de 18 M euros</t>
  </si>
  <si>
    <t>Minoritaires : 3%</t>
  </si>
  <si>
    <t>Demant</t>
  </si>
  <si>
    <t>Fondée en 1904 par Hans Demant</t>
  </si>
  <si>
    <t>Actionnaires : Foundation William Demant 58,64 %</t>
  </si>
  <si>
    <t>CEO : Søren Nielsen (1970) a rejoint Demant en 1995</t>
  </si>
  <si>
    <t>Président : Niels B. Christiansen (réélu en 2023 pour un mandat d'un an) né en 1966 (57 ans), à rejoint Demant en 2008</t>
  </si>
  <si>
    <t xml:space="preserve">Présent dans 30 pays et vente dans 130 pays, </t>
  </si>
  <si>
    <t>Répartition du CA par zone géographique : 40 % US, 40 % Europe, 9,6 % Asie, 10 % reste du monde</t>
  </si>
  <si>
    <t>Répartition du CA par activité : Aide auditif 42 %, Protection auditives 41 %  , Diagnostics 12 %</t>
  </si>
  <si>
    <t>2015 : rachat d'Audika (470 centres en France) : 168 M d'euros</t>
  </si>
  <si>
    <t>2022 : Décision d'arreter sa division implants auditifs, en 2023, une transaction avec Cochlear leader du secteur, (Bénéficie de la division abandonnée en 2023, -757 M de DKK, soit 101 M d'€)</t>
  </si>
  <si>
    <t>Sonova Holding</t>
  </si>
  <si>
    <t>Fabricant d'appareils auditifs</t>
  </si>
  <si>
    <t>Fondée en 1947 et introduction en bourse : novembre 1994, siège social Suisse</t>
  </si>
  <si>
    <t>Actionnaires : Beda Diethelm : 11,26 % et Family of Hans-Ueli Rihs 6,18 % (avant l'introduction en bourse, il détennaient déjà des actions), Institutionnels : 11,16 %.  Flottant : 71,4 %</t>
  </si>
  <si>
    <t>CEO : Arnd Kaldowski (allemand) arrivé en 2017, PDG en 2018, né en 1967, (19 191 actions, 10 527 actions de performance et 211,720 Options)</t>
  </si>
  <si>
    <t xml:space="preserve">Marques : app auditif  : Phonak, Unitrion, Hansatron,  écouteurs et casques : Sennheiser,   </t>
  </si>
  <si>
    <t>Répartition géographique : 51 % EMEA, États-Unis : 30 %, Asie : 9,9 %, Amériques (hors États-Unis) : 7,3 %, Suisse : 1%</t>
  </si>
  <si>
    <t>Répartitition par produit : Prothèses 80 %,  Casques grand public 7 % (Implant Cochlear 10 %)</t>
  </si>
  <si>
    <t>Acquisition : Sennheiser à 200 M d'Euros (bilan 2021-2022), en 2022-2023, 31 acquisitions effectuées (144 M d' €),</t>
  </si>
  <si>
    <t>Cibles : Mr, Optik, Flemming &amp; Klingbeil, Virtualis</t>
  </si>
  <si>
    <t>Date de clôture mars</t>
  </si>
  <si>
    <t>CAC : Ernest &amp; Young</t>
  </si>
  <si>
    <t>IS : 18 %</t>
  </si>
  <si>
    <t>Pay out ratio : 40 %</t>
  </si>
  <si>
    <t>Amplifon</t>
  </si>
  <si>
    <t>IT0004056880 </t>
  </si>
  <si>
    <t>Présidente : Susan Carol Holland (67 ans) depuis 2011 et arrivée en 1988,</t>
  </si>
  <si>
    <t>CEO : Enrico Vita (54 ans) depuis 2015 et arrivé en 2014</t>
  </si>
  <si>
    <t>Actionnariat : Ampliter SRL : 42,1 % et restant flottant</t>
  </si>
  <si>
    <t>Distributeur multi-marques, 13 % de part de marché, présent dans 26 pays, 14 400 salariés</t>
  </si>
  <si>
    <t>Répartition du CA par zone géographique : Europe 66 %, Amérique du nord 19 %, Asie Pacifique 15 % (1 % sur CA en Israel)</t>
  </si>
  <si>
    <t>Répartition du CA par activité : Appareil auditif 89 %, Services 11 %</t>
  </si>
  <si>
    <t>IS : 26,5 %</t>
  </si>
  <si>
    <t>ID Logistics</t>
  </si>
  <si>
    <t>Plateforme logistique</t>
  </si>
  <si>
    <t>Créée en 2001 par Eric Hémar actuel PDG et et Christophe Satin DG délégué (ancien de Geodis)</t>
  </si>
  <si>
    <t>FR0010929125 </t>
  </si>
  <si>
    <t>Eric Hémar a 59 ans, il a travaillé chez Geodis puis fondé IDLogistics en 2001</t>
  </si>
  <si>
    <t>Actionnaire : Eric Hémar : 52,4%. Fllottant : 47,6%</t>
  </si>
  <si>
    <t>Répartition géographique : 27% France, 50% Europe hors France, États-Unis : 15%</t>
  </si>
  <si>
    <t>Le marché de la logistique contractuelle est estimé à 250 Mds, Marché très éclaté, les 5 plus gros acteurs représentent 15 %</t>
  </si>
  <si>
    <t>2019 : Implantation aux Etats-Unis suite à la reprise de la logistique de Nespresso</t>
  </si>
  <si>
    <t xml:space="preserve">2021 :  Id Logistics représente 0,8% du marché et est classé 38ème, </t>
  </si>
  <si>
    <t>2022 : Acquisition de Kane Logistique</t>
  </si>
  <si>
    <t>Travaille avec : Bouygues, Leroy Merlin, Carrefour, Manomano, Darty, Saint Gobain, Pfizer, Sanofi, GSK, Novatris, AstraZeneca, Merc &amp; Co,Johnson &amp; Johnson, Roche</t>
  </si>
  <si>
    <t>Moyenne à forte</t>
  </si>
  <si>
    <t>Forte</t>
  </si>
  <si>
    <t>Mature</t>
  </si>
  <si>
    <t>Total</t>
  </si>
  <si>
    <t>Concurrence</t>
  </si>
  <si>
    <t>Répartition du CA par métier</t>
  </si>
  <si>
    <t>Intensité capitalistique : (Fonds propres + dettes) / CA</t>
  </si>
  <si>
    <t>Goodwill : montant, par rapport fonds propres et au bilan</t>
  </si>
  <si>
    <t>Trésorerie / CA mensuel / dettes - charges financières (/ au CA)</t>
  </si>
  <si>
    <t>CAGR sur 5 et 10 ans</t>
  </si>
  <si>
    <t>Référence Unique nombre</t>
  </si>
  <si>
    <t>Nombre d'actions détenues</t>
  </si>
  <si>
    <t>Société</t>
  </si>
  <si>
    <t>Séparation DG 
/ Président du CA</t>
  </si>
  <si>
    <t>Nom du dirigeant</t>
  </si>
  <si>
    <t>Date de naissance</t>
  </si>
  <si>
    <t>Entrée dans la société</t>
  </si>
  <si>
    <t>Début de mandat</t>
  </si>
  <si>
    <t>Fin de mandat</t>
  </si>
  <si>
    <t>Nombre d'année dans l'entreprise</t>
  </si>
  <si>
    <t>Nombre d'années en poste</t>
  </si>
  <si>
    <t>Nombre de titres au 31/12/2022</t>
  </si>
  <si>
    <t>Nombre de titres au 31/12/2021</t>
  </si>
  <si>
    <t>Nombre de titres au 31/12/2020</t>
  </si>
  <si>
    <t>Nombre de titres au 31/12/2019</t>
  </si>
  <si>
    <t>Nombre de titres au 31/12/2018</t>
  </si>
  <si>
    <t>Nombre de titres au 31/12/2017</t>
  </si>
  <si>
    <t>Nombre de titres au 31/12/2016</t>
  </si>
  <si>
    <t>Nombre de titres au 31/12/2015</t>
  </si>
  <si>
    <t>Cours de l'action</t>
  </si>
  <si>
    <t>Valeur de la participation</t>
  </si>
  <si>
    <t>Index</t>
  </si>
  <si>
    <t>Intérêt</t>
  </si>
  <si>
    <t>(vide portefeuille)</t>
  </si>
  <si>
    <t>Non</t>
  </si>
  <si>
    <t xml:space="preserve">Luis Maroto </t>
  </si>
  <si>
    <t>Oui</t>
  </si>
  <si>
    <t>Valérie Baudson</t>
  </si>
  <si>
    <t>Elle a commencé chez Indosuez en 1995. Attribution de 5169 actions gratuites. 1930 actions de le PEE</t>
  </si>
  <si>
    <t>Biomérieux</t>
  </si>
  <si>
    <t>Pierre Boulud</t>
  </si>
  <si>
    <t>Bonnafé</t>
  </si>
  <si>
    <t>Achat de 1,3 M euros d'actions à 27 euros en mars 2020</t>
  </si>
  <si>
    <t>Dassault Syst.</t>
  </si>
  <si>
    <t>Pascal Daloz</t>
  </si>
  <si>
    <t>Christophe Bavière</t>
  </si>
  <si>
    <t>Son mandat a été renouvelé pour 4 ans en novembre 2021. Échéance mars 2026. Cession de 9 674 titres à 66 euros le 28 mars 2019 (643 000 euros). Achat de 2575 titres à 62 euros (159 K euros) le 24/9</t>
  </si>
  <si>
    <t>Kadouch Chassaing</t>
  </si>
  <si>
    <t>Cession de 20 000 titres à 74 euros le 21 juin 2021.Cession de 22000 titres à 81 euros le 4 août 2021. Solde détenu à vérifier en 2022</t>
  </si>
  <si>
    <t xml:space="preserve">David Hale </t>
  </si>
  <si>
    <t>Indéterminé</t>
  </si>
  <si>
    <t>Attribution de 15 200 actions en mai 2021 disponible en 2024. Franco Américain, chez Guerbet depuis 2018. A travaillé au BCG et chez GE Healthcare</t>
  </si>
  <si>
    <t xml:space="preserve">Imerys </t>
  </si>
  <si>
    <t>Alessandro Dazza</t>
  </si>
  <si>
    <t>Nouveau dirigeant et achat de 715 840 euros à 36 euros en mars 2020</t>
  </si>
  <si>
    <t>Luc Themelin</t>
  </si>
  <si>
    <t>DG depuis le 11 mai 2016 suite au changement de gouvernance. Il était président du directoire depuis le 24 août 2011. Renouvelé en 2020</t>
  </si>
  <si>
    <t>Gustavo Calvo Paz</t>
  </si>
  <si>
    <t>Aurélien Sonnet</t>
  </si>
  <si>
    <t>Benoît Bazin</t>
  </si>
  <si>
    <t>Benoît Bazin a dirigé la transformation du groupe</t>
  </si>
  <si>
    <t>Nicolas Hayek</t>
  </si>
  <si>
    <t>Jean-Marie Tritant</t>
  </si>
  <si>
    <t>Christophe Périllat</t>
  </si>
  <si>
    <t>Guy Sidos</t>
  </si>
  <si>
    <t>Détenue par la famille Merceron Vicat. Dirigée par Guy Sidos. La holding achète un peu d'actions à 24 euros en mai 2020</t>
  </si>
  <si>
    <t>Sébastien Huron</t>
  </si>
  <si>
    <t>Famille Dick à 49,67%. Achat de 1320 titres à 258 euros le 24 juillet 2023. Total participation : 3050 titres soit 793 K euros</t>
  </si>
  <si>
    <t>Cession de 3008 titres le 19 avril à 363 euros soit 1 Meuros</t>
  </si>
  <si>
    <t>(vide avant F inv)</t>
  </si>
  <si>
    <t>Futurs investissements</t>
  </si>
  <si>
    <t>(vide après F inv)</t>
  </si>
  <si>
    <t>Catégorie II</t>
  </si>
  <si>
    <t>Pieter van der Does</t>
  </si>
  <si>
    <t>Cession progressive entre 2018 et 2021, moins 400.000 titres</t>
  </si>
  <si>
    <t xml:space="preserve">Simon Azoulay </t>
  </si>
  <si>
    <t>Deere&amp;Co</t>
  </si>
  <si>
    <t>John C.May</t>
  </si>
  <si>
    <t>Marc Biron</t>
  </si>
  <si>
    <t>Présidente</t>
  </si>
  <si>
    <t>Françoise Chombar</t>
  </si>
  <si>
    <t>Siemens Health.</t>
  </si>
  <si>
    <t>Bernhard Montag</t>
  </si>
  <si>
    <t>(vide après F inv C1)</t>
  </si>
  <si>
    <t>Catégorie III</t>
  </si>
  <si>
    <t>Adobe</t>
  </si>
  <si>
    <t>Shantanu Narayen</t>
  </si>
  <si>
    <t>Il est nommé PDG de Adobe pour la première fois en 2007</t>
  </si>
  <si>
    <t>Asml Hold.</t>
  </si>
  <si>
    <t>Astrazeneca</t>
  </si>
  <si>
    <t>Pascal Soriot</t>
  </si>
  <si>
    <t>Hinda Gharbi</t>
  </si>
  <si>
    <t>Laurent Mignon</t>
  </si>
  <si>
    <t>Datadog</t>
  </si>
  <si>
    <t>Olivier Pomel</t>
  </si>
  <si>
    <t>Co-fondateur de Datadog</t>
  </si>
  <si>
    <t>Alexis Lê-Quôc</t>
  </si>
  <si>
    <t>Deme</t>
  </si>
  <si>
    <t>Luc Vandelbucke</t>
  </si>
  <si>
    <t>Bertrand Dumazy - PDG</t>
  </si>
  <si>
    <t>CEO et Président du Conseil. Échéance 2022</t>
  </si>
  <si>
    <t>Benoît de Ruffray</t>
  </si>
  <si>
    <t>Elis</t>
  </si>
  <si>
    <t>Xavier Martiré</t>
  </si>
  <si>
    <t>EssilorLuxottica</t>
  </si>
  <si>
    <t>Leonardo Del Vecchio</t>
  </si>
  <si>
    <t>376 000</t>
  </si>
  <si>
    <t>1 000</t>
  </si>
  <si>
    <t>Détenteur de la holding Delfin S.a.r.l, détenteur majoritaire (32,05%). 2e plus grosse fortune d'Italie</t>
  </si>
  <si>
    <t>Hubert Sagnière</t>
  </si>
  <si>
    <t>379 382</t>
  </si>
  <si>
    <t>355 625</t>
  </si>
  <si>
    <t xml:space="preserve">Stéphane Boujnah </t>
  </si>
  <si>
    <t>Dirigeant d'Euronext depuis 2015, renouvelé jusqu'en 2023</t>
  </si>
  <si>
    <t>Peter Arduini</t>
  </si>
  <si>
    <t>Gilles Andrier (CEO)</t>
  </si>
  <si>
    <t>jochen Hanebeck</t>
  </si>
  <si>
    <t xml:space="preserve">Kaufman </t>
  </si>
  <si>
    <t>Nordine Hachemi</t>
  </si>
  <si>
    <t>François-Henri Pinault</t>
  </si>
  <si>
    <t>Famille Pinault &gt; 40%</t>
  </si>
  <si>
    <t>Benoît Coquart</t>
  </si>
  <si>
    <t>Mercedes</t>
  </si>
  <si>
    <t>Stéphane Bancel</t>
  </si>
  <si>
    <t>Christopher Guérin</t>
  </si>
  <si>
    <t>Minimum fixé par le CA : 15000 titres</t>
  </si>
  <si>
    <t>Véronique Bédague</t>
  </si>
  <si>
    <t>Jen-Hsun Huang</t>
  </si>
  <si>
    <t>Président CEO et fondateur de Nvidia depuis 1993</t>
  </si>
  <si>
    <t>Alexandre Ricard</t>
  </si>
  <si>
    <t>Olivier Andriès</t>
  </si>
  <si>
    <t>Sap</t>
  </si>
  <si>
    <t>Christian Klein</t>
  </si>
  <si>
    <t xml:space="preserve">Membre du CA d'Adidas </t>
  </si>
  <si>
    <t>Schneider Electric</t>
  </si>
  <si>
    <t>Peter Herweck</t>
  </si>
  <si>
    <t>Spie</t>
  </si>
  <si>
    <t xml:space="preserve">Gauthier Louette - PDG </t>
  </si>
  <si>
    <t>ST Micro.</t>
  </si>
  <si>
    <t>Jean-Marc Chéry</t>
  </si>
  <si>
    <t>Il est désigné PDG en 2018 puis reconduit pour un mandat de 3 ans en 2020.</t>
  </si>
  <si>
    <t>Carlos Tavares</t>
  </si>
  <si>
    <t>Famille Peugeot 14% du capital via FFP et Ets Peugeot Frères puis 7% de Stellantis. Eklkann (Président du CA et Tavares, CEO)</t>
  </si>
  <si>
    <t>Estelle Brachlianoff</t>
  </si>
  <si>
    <t>Patrice Lucas</t>
  </si>
  <si>
    <t>Xavier Huillard</t>
  </si>
  <si>
    <t>(vide après F inv C2)</t>
  </si>
  <si>
    <t>Catégorie IV</t>
  </si>
  <si>
    <t>Air France KLM</t>
  </si>
  <si>
    <t>Benjamin Smith</t>
  </si>
  <si>
    <t>Achat de 450 000 euros d'actions AF à son arrivée en septembre 2018</t>
  </si>
  <si>
    <t>François Jackow</t>
  </si>
  <si>
    <t>Lève 109097 actions le 9/4/2018</t>
  </si>
  <si>
    <t>Benoît Potier</t>
  </si>
  <si>
    <t>US01609W1027 </t>
  </si>
  <si>
    <t>Alibaba</t>
  </si>
  <si>
    <t>Juan Alcaraz</t>
  </si>
  <si>
    <t>Président-Fondateur depuis 2000</t>
  </si>
  <si>
    <t>Henri-Poupart Lafarge</t>
  </si>
  <si>
    <t xml:space="preserve">Entrée en 1998 dans l'entreprise, PDG depuis 2016. </t>
  </si>
  <si>
    <t>Cession de 72 954 titres à 37,26 euros (2,7 M euros) fin août 2021</t>
  </si>
  <si>
    <t>Arcelor Mittal</t>
  </si>
  <si>
    <t>Lakshmi Mittal</t>
  </si>
  <si>
    <t>Famille Mittal &gt; 40 % du capital</t>
  </si>
  <si>
    <t>Aditya Mittal</t>
  </si>
  <si>
    <t>Thierry Le Hénaff</t>
  </si>
  <si>
    <t>CEO et Président du Conseil d'Administration</t>
  </si>
  <si>
    <t>Denis Ladegaillerie</t>
  </si>
  <si>
    <t>Co-fondateur et PDG depuis 2005</t>
  </si>
  <si>
    <t xml:space="preserve">Dr. P.A.M Berdowski </t>
  </si>
  <si>
    <t>Jeroen van der Veer (Président du CA)</t>
  </si>
  <si>
    <t xml:space="preserve">Bouygues </t>
  </si>
  <si>
    <t>Olivier Roussat</t>
  </si>
  <si>
    <t>Olivier Roussat devient Directeur général. Il était directeur général délégué et PDG de Bouygues Telecom entre 2013-2018</t>
  </si>
  <si>
    <t>Alexandre Bompard</t>
  </si>
  <si>
    <t>Achat de 10000 actions à 16 euros le 18/9/2017</t>
  </si>
  <si>
    <t>Achar de 24227 à 15 euros le 31/08/2018</t>
  </si>
  <si>
    <t>Tobías Martínez-Gimeno</t>
  </si>
  <si>
    <t>Franco Bernabè</t>
  </si>
  <si>
    <t xml:space="preserve">PDG depuis la création de la société. </t>
  </si>
  <si>
    <t>CFE Groupe</t>
  </si>
  <si>
    <t>Piet Dejonghe</t>
  </si>
  <si>
    <t>Luc Bertrand</t>
  </si>
  <si>
    <t>Nikolai Setzer</t>
  </si>
  <si>
    <t>Il est nommé PDG en décembre 2020 suite à l'arrêt du mandat de son prédécesseur pour cause de santé.</t>
  </si>
  <si>
    <t>FR0000045072</t>
  </si>
  <si>
    <t>Crédit Agricole</t>
  </si>
  <si>
    <t>Philippe Brassac</t>
  </si>
  <si>
    <t>Diamond</t>
  </si>
  <si>
    <t>Marc Edwards</t>
  </si>
  <si>
    <t>Chiffres précis à vérifier</t>
  </si>
  <si>
    <t>Arrivée en mars 2016, profit warning en mai 2016</t>
  </si>
  <si>
    <t>José Neves</t>
  </si>
  <si>
    <t>Figeac Aero</t>
  </si>
  <si>
    <t>Jean-Claude Maillard</t>
  </si>
  <si>
    <t>Achat de 200 000 actions par Maillard fin 2017 - Achat de 30 000 actions en octobre 2018</t>
  </si>
  <si>
    <t>Forvia</t>
  </si>
  <si>
    <t xml:space="preserve">Patrick Koller </t>
  </si>
  <si>
    <t>Patrick Koller (franco-allemand) est entré en 2006 chez Faurecia. A travaillé chez Valeo et Rhodia auparavant. Administrateur de Legrand</t>
  </si>
  <si>
    <t xml:space="preserve">Michel de Rosen </t>
  </si>
  <si>
    <t>Marc De Garidel</t>
  </si>
  <si>
    <t xml:space="preserve">David Loew </t>
  </si>
  <si>
    <t>Il occupait le poste de Directeur général de Sanofi Pasteur Vaccins avant sa prise de position</t>
  </si>
  <si>
    <t>US46625H1005</t>
  </si>
  <si>
    <t>J.P. Morgan</t>
  </si>
  <si>
    <t>Clariane</t>
  </si>
  <si>
    <t>Sophie Boissard</t>
  </si>
  <si>
    <t>Philippe Garin</t>
  </si>
  <si>
    <t>Vincent Bedouin</t>
  </si>
  <si>
    <t>Vincent Bedouin est PDG depuis 3ans.</t>
  </si>
  <si>
    <t>Nicolas Bedouin</t>
  </si>
  <si>
    <t>Holcim</t>
  </si>
  <si>
    <t>Jans Jenish</t>
  </si>
  <si>
    <t>Arrivé en 2017</t>
  </si>
  <si>
    <t>Michel Denis</t>
  </si>
  <si>
    <t>Jacqueline Himsworth</t>
  </si>
  <si>
    <t>Florent Menegaux</t>
  </si>
  <si>
    <t>Donation 16 000 titres et changement de dirigeant</t>
  </si>
  <si>
    <t>Jean-Dominique Sénard</t>
  </si>
  <si>
    <t>US5949181045</t>
  </si>
  <si>
    <t>Microsoft</t>
  </si>
  <si>
    <t>Neoen</t>
  </si>
  <si>
    <t>Xavier Barbaro</t>
  </si>
  <si>
    <t>1 484 236</t>
  </si>
  <si>
    <t>1 379 000</t>
  </si>
  <si>
    <t>1 425 731</t>
  </si>
  <si>
    <t>Une partie des actions sont détenus indirectement via la holding Carthusiane SAS</t>
  </si>
  <si>
    <t>José Luis Blanco</t>
  </si>
  <si>
    <t>Achat de 5 750 actions à 13,4 euros en 2017. Page 79 du rapport annuel</t>
  </si>
  <si>
    <t>Achat de 3 000 actions en novembre 2018 à 7,12 euros</t>
  </si>
  <si>
    <t>Stéphane Richard</t>
  </si>
  <si>
    <t>Gervais Pellisier</t>
  </si>
  <si>
    <t xml:space="preserve">Michel Paulin </t>
  </si>
  <si>
    <t xml:space="preserve">Octave Klaba </t>
  </si>
  <si>
    <t>US7170811035</t>
  </si>
  <si>
    <t>Pfizer inc.</t>
  </si>
  <si>
    <t>Arthur Sadoun</t>
  </si>
  <si>
    <t xml:space="preserve">Arthur Sadoun a été nommé en 2017 </t>
  </si>
  <si>
    <t>Paul Hudson</t>
  </si>
  <si>
    <t>Ancien de Novartis. A pris ses fonctions en septembre 2019. Weinberg (né en 1951) a pris ses fonctions en en décembre 2009 - fin de mandat en 2023</t>
  </si>
  <si>
    <t>Frédéric Oudéa</t>
  </si>
  <si>
    <t>Thierry Léger</t>
  </si>
  <si>
    <t>Laurent Rousseau prend la direction générale le 1/7/2021</t>
  </si>
  <si>
    <t>Stanislas de Gramont</t>
  </si>
  <si>
    <t>Chez Seb depuis 2018. Ancien de Danone et de 2014-2018 de Suntory Beverage &amp; Food</t>
  </si>
  <si>
    <t xml:space="preserve">Thierry de La Tour d'Artaise </t>
  </si>
  <si>
    <t>Frankie Ng</t>
  </si>
  <si>
    <t>PDG depuis 2015</t>
  </si>
  <si>
    <t>FR0000130809</t>
  </si>
  <si>
    <t>Société Générale</t>
  </si>
  <si>
    <t>Sopra Steria</t>
  </si>
  <si>
    <t>Pierre Pasquier</t>
  </si>
  <si>
    <t>Daniel Ek</t>
  </si>
  <si>
    <t>Co-fondateur et PDG depuis 2006</t>
  </si>
  <si>
    <t>Deconinck</t>
  </si>
  <si>
    <t>Achat de 20 000 à 24,5 eurors soit 500 K euros le 2/5/2018</t>
  </si>
  <si>
    <t xml:space="preserve">	Ma Huateng </t>
  </si>
  <si>
    <t xml:space="preserve">Co-fondateur et PDG depuis 1998. Il est également membre de l'assemblée nationale au gouvernement Chinois. </t>
  </si>
  <si>
    <t>Michel Freiche</t>
  </si>
  <si>
    <t xml:space="preserve">Marc Grynberg </t>
  </si>
  <si>
    <t>GBL actionnaire à 18%</t>
  </si>
  <si>
    <t>(vide avant Autre Cat)</t>
  </si>
  <si>
    <t>(vide après  Autre Cat)</t>
  </si>
  <si>
    <t>Frans Van Houten</t>
  </si>
  <si>
    <t>PDG depuis 2011 en remplacement de Gerard Kleisterle</t>
  </si>
  <si>
    <t>Catégorie I : Portefeuille</t>
  </si>
  <si>
    <t>Répartition de l'exposition géographique de la société</t>
  </si>
  <si>
    <t>Amérique du Nord</t>
  </si>
  <si>
    <t>Asie</t>
  </si>
  <si>
    <t>Amérique du Sud</t>
  </si>
  <si>
    <t>Reste du Monde</t>
  </si>
  <si>
    <t>Faible</t>
  </si>
  <si>
    <t>ASML Hold</t>
  </si>
  <si>
    <t>NVIDIA</t>
  </si>
  <si>
    <t xml:space="preserve">SAP </t>
  </si>
  <si>
    <t>STMicroelectronics</t>
  </si>
  <si>
    <t xml:space="preserve">Veolia </t>
  </si>
  <si>
    <t xml:space="preserve">Seb </t>
  </si>
  <si>
    <t xml:space="preserve">Titres analysés : </t>
  </si>
  <si>
    <t>Actionnariat : 25,9 % stable (Etat Français 10,9 %, Allemand 10,9% et Espagnol 4,1% ) et 74,1 % flottant</t>
  </si>
  <si>
    <t>En 2021, vente de 611 avions // entre 600/700 par an en moyenne. Carnet de commandes : 398 Md euros</t>
  </si>
  <si>
    <t>En 2021 : problème de fabrication avec le 787 Dreamliner qui vait commence en 2018-2019</t>
  </si>
  <si>
    <t>En 2022, 35 avions en livraison en avril bien en-dessous d'Airbus</t>
  </si>
  <si>
    <t>Moyenne</t>
  </si>
  <si>
    <t>Jpmorgan chase &amp; co.</t>
  </si>
  <si>
    <t>Microsoft corporation</t>
  </si>
  <si>
    <t xml:space="preserve">Notation par agence </t>
  </si>
  <si>
    <t>Liste des sociétés</t>
  </si>
  <si>
    <t>EBE 2022</t>
  </si>
  <si>
    <t>RN Groupe 2023</t>
  </si>
  <si>
    <t>RN Groupe 2022</t>
  </si>
  <si>
    <t>RN Groupe 2022
Manuel</t>
  </si>
  <si>
    <t>RN Groupe 2021</t>
  </si>
  <si>
    <t>RN Groupe 2021
Manuel</t>
  </si>
  <si>
    <t>RN Groupe 2020</t>
  </si>
  <si>
    <t>RN Groupe 2019</t>
  </si>
  <si>
    <t>RN Groupe 2018</t>
  </si>
  <si>
    <t>RN Groupe 2017</t>
  </si>
  <si>
    <t>RN Groupe 2016</t>
  </si>
  <si>
    <t>PER 2021</t>
  </si>
  <si>
    <t>Sous secteur</t>
  </si>
  <si>
    <t>Indice</t>
  </si>
  <si>
    <t>Capitalisation 2016</t>
  </si>
  <si>
    <t>Capitalisation 2017</t>
  </si>
  <si>
    <t>Capitalisation 2018</t>
  </si>
  <si>
    <t>Capitalisation 2019</t>
  </si>
  <si>
    <t>Capitalisation 2020</t>
  </si>
  <si>
    <t>Capitalisation 2021</t>
  </si>
  <si>
    <t>Capitalisation 2021
Manuel</t>
  </si>
  <si>
    <t>Capitalisation 2022</t>
  </si>
  <si>
    <t>Capitalisation 2022
Manuel</t>
  </si>
  <si>
    <t>Capitalisation 2023</t>
  </si>
  <si>
    <t>Description</t>
  </si>
  <si>
    <t>3m company</t>
  </si>
  <si>
    <t>US88579Y1010</t>
  </si>
  <si>
    <t>Consumer Goods Conglomerates</t>
  </si>
  <si>
    <t>Dow Jones</t>
  </si>
  <si>
    <t>3M Company est une entreprise technologique diversifiée. La Société est un fabricant et distributeur d'une variété de produits et services. Elle opère à travers quatre segments : Sécurité et industrie, transport et électronique, soins de santé et consommation. Son segment Sécurité et industrie comprend les abrasifs, le marché secondaire automobile, les systèmes de fermeture et de masquage, les marchés électriques, la sécurité personnelle, les granulés de toiture et les adhésifs et rubans industriels. Son segment Transport et électronique comprend les matériaux avancés, l'automobile et l'aérospatiale, les solutions commerciales, les matériaux et systèmes d'affichage, les solutions de matériaux électroniques et la sécurité des transports. Son secteur Soins de santé comprend les systèmes d'information sur la santé, les solutions médicales, les soins bucco-dentaires et les sciences de séparation et de purification. Son segment Consommateurs comprend la santé et la sécurité des consommateurs, les soins à domicile, l'amélioration de l'habitat, les bandages, les appareils orthodontiques, les supports et les respirateurs grand public, ainsi que la papeterie et le bureau.</t>
  </si>
  <si>
    <t>Abb ltd</t>
  </si>
  <si>
    <t>CH0012221716</t>
  </si>
  <si>
    <t>Machinery, Equipment &amp; Components</t>
  </si>
  <si>
    <t>SMI</t>
  </si>
  <si>
    <t>Abb Ltd est une société de portefeuille. Les secteurs de la Société comprennent Produits d’Électrification, Robotique et Mouvement, Automatisation Industrielle, Réseaux Électriques et Entreprises et Autres. Elle opère dans quatre divisions: Produits d'Électrification, Robotique et Mouvement, Automatisation Industrielle et Réseaux Électriques. Elle est engagée dans le service aux clients des services publics, de l'industrie, des transports et des infrastructures. Le secteur Produits d’Électrification fabrique et vend des produits et services, notamment des appareillages de commutation à basse et moyenne tension, des disjoncteurs, des commutateurs et des produits de contrôle. Le secteur Robotique et Motion fabrique et vend des moteurs, des générateurs, des entraînements à vitesse variable ainsi que des robots et de la robotique. Le secteur Automation Industrielle développe et vend des systèmes d’optimisation des contrôles et des installations, ainsi que des produits et solutions d’automatisation. Le secteur Réseaux Électriques fournit des produits, des systèmes, des solutions de services et des logiciels d’automatisation et d’automatisation.</t>
  </si>
  <si>
    <t>Abbvie inc.</t>
  </si>
  <si>
    <t>US00287Y1091</t>
  </si>
  <si>
    <t>Pharmaceuticals</t>
  </si>
  <si>
    <t>S&amp;P 500</t>
  </si>
  <si>
    <t>AbbVie Inc. est une société biopharmaceutique axée sur la recherche, qui est engagée dans la recherche et le développement, la fabrication, la commercialisation et la vente de médicaments et de thérapies. Elle propose des produits dans diverses catégories thérapeutiques, notamment des produits immunologiques, qui comprennent Humira, Skyrizi et Rinvoq ; les produits d'oncologie, qui comprennent Imbruvica et Venclexta ; les produits esthétiques qui incluent Botox Cosmetic, Juvederm Collection et autres ; les produits de neurosciences, tels que Botox Therapeutic, Vraylar, Duopa et Duodopa, et Ubrelvy ; les produits de soins oculaires se composent de Lumigan, Alphagan et Restasis ; les produits de santé pour femmes comprennent Lo Loestrin, Orilissa et autres; et d'autres produits, dont Mavyret, Creon, Lupron, Linzess et Synthroid. Ses produits sont vendus à des grossistes, des agences gouvernementales, des établissements de soins de santé et des détaillants indépendants. Elle découvre et développe également des médicaments à base d'anticorps qui ciblent des protéines pathogènes difficiles à traiter, telles que les récepteurs couplés aux protéines G (GPCR).</t>
  </si>
  <si>
    <t>Hotels &amp; Entertainment Services</t>
  </si>
  <si>
    <t>SBF 120</t>
  </si>
  <si>
    <t>Accor SA est un groupe hôtelier basé en France. Il opère à travers trois divisions : Hôtellerie, Hôtellerie &amp; Autres et Nouvelles Activités. Les Services Hôteliers couvrent les activités de gestion hôtelière et de franchise en fournissant divers services à ses franchisés et hôtels sous gestion, tels que l’utilisation de ses marques, l’accès au système centralisé de réservation et d’achat et à Accor Academie pour la formation des salariés, entre autres. Hotel Assets &amp; Other couvre les activités hôtelières détenues et louées, telles que la conception, la construction, la rénovation et l’entretien des hôtels, entre autres. New Businesses offre des solutions numériques aux propriétaires d’hôtels et de restaurants indépendants, des services de réservation d’hôtels pour les entreprises et les agences de voyages, des services de conciergerie, des ventes numériques pour les chambres et les pauses hôtelières de luxe et haut de gamme et des locations de maisons de luxe possédant un portefeuille de plus de 5,000 adresses dans le monde. Elle possède à l’échelle mondiale plus de 35 marques, du luxe à l’économie et plus de 4800 hôtels.</t>
  </si>
  <si>
    <t>Ackermans &amp; van haaren nv</t>
  </si>
  <si>
    <t>BE0003764785</t>
  </si>
  <si>
    <t>Construction &amp; Engineering</t>
  </si>
  <si>
    <t>BEL20</t>
  </si>
  <si>
    <t>Ackermans &amp; Van Haaren NV est un groupe indépendant et diversifié basé en Belgique, actif dans différentes industries en investissant dans des sociétés basées sur des partenariats à long terme. Il opère à travers cinq segments génie maritime &amp; passation de marchés, banque privée, immobilier &amp;soins aux personnes âgées, Énergie&amp; ressources et Capital de croissance. Les activités de génie maritime et de passation de marchés vont du dragage à la construction (marine) aux énergies renouvelables et aux minéraux des grands fonds. La banque privée est principalement active dans la gestion d'actifs discrétionnaire, en mettant l'accent sur les entrepreneurs et les professions libérales. Les activités liées à l'immobilier et aux soins aux personnes âgées vont du développement et de la gestion immobiliers aux personnes âgées et aux soins de santé. Énergie&amp; ressources se concentre sur l'agriculture tropicale durable. Le segment Capital de croissance fournit du capital de développement aux entreprises familiales ayant une position concurrentielle et un potentiel de croissance élevé.</t>
  </si>
  <si>
    <t>Adidas ag</t>
  </si>
  <si>
    <t>DE000A1EWWW0</t>
  </si>
  <si>
    <t>Textiles &amp; Apparel</t>
  </si>
  <si>
    <t>DAX 30</t>
  </si>
  <si>
    <t>Adidas AG est une société basée en Allemagne qui conçoit, développe, produit et commercialise une gamme de produits de style de vie athlétique et sportif. Les segments de la Société comprennent l'Europe, l'Amérique du Nord, l'Asie-Pacifique, la Russie/CEI, l'Amérique latine ; Marchés émergents, adidas Golf, Runtastic et autres activités gérées de manière centralisée. Chaque segment comprend les activités commerciales de gros, de détail et de commerce électronique liées à la distribution et à la vente de produits de la marque adidas aux clients de détail et aux consommateurs finaux. La Société compte plus de 2 500 magasins de détail en propre, des magasins franchisés monomarques, des shop-in-shops, des joint-ventures avec des partenaires commerciaux et des magasins co-marqués et un canal de commerce électronique, qui est disponible pour les clients dans plus de 50 pays. Les produits de marque adidas comprennent des chaussures, des vêtements et du matériel, tels que des sacs et des balles.</t>
  </si>
  <si>
    <t>Adobe system</t>
  </si>
  <si>
    <t>Software &amp; IT Services</t>
  </si>
  <si>
    <t>Nasdaq 100</t>
  </si>
  <si>
    <t>Adobe Inc. is a software company that offers a line of products and services used by professionals, communicators, businesses, and consumers for creating, managing, delivering, measuring, optimizing, engaging and transacting with content and experiences across various digital media formats. The Company’s segments include Digital Media, Digital Experience and Publishing and Advertising. Digital Media segment provides products, services and solutions that enable individuals, teams and enterprises to create, publish and promote their content anywhere. Digital Media segment is centered around Adobe Creative Cloud and Adobe Document Cloud. Digital Experience segment provides an integrated platform and set of applications and services through Adobe Experience Cloud that enable brands and businesses to create, manage, execute, measure, monetize and optimize customer experiences. The Publishing and Advertising segment consists of products and services that address diverse market opportunities.</t>
  </si>
  <si>
    <t>Tréso positive</t>
  </si>
  <si>
    <t>Adyen nv</t>
  </si>
  <si>
    <t>Financial Technology (Fintech) &amp; Infrastructure</t>
  </si>
  <si>
    <t>AEX</t>
  </si>
  <si>
    <t>Adyen NV, anciennement Adyen BV, est un fournisseur de solutions de paiement mobiles, en ligne et de points de vente (POS) basées aux Pays-Bas. Il exploite une plateforme en ligne permettant aux commerçants d'accepter les paiements à l'échelle internationale et de tous les canaux de vente, tels que les boutiques en ligne, les paiements mobiles à partir d'applications et de sites Web, et POS, tels que les comptoirs, les terminaux mobiles, les tablettes et les caisses enregistreuses, entre autres. La plateforme couvre l'ensemble de la chaîne de paiement, y compris les processus techniques, contractuels, de rapprochement et de règlement. La plate-forme est disponible sous forme de pages de paiement prêtes à l'emploi (HPP), d'interface de programmation d'application (API) et de solution de chiffrement côté client (EE). Les clients de la Société comprennent Mango, KLM, Netflix, Superdry, Uber, Groupon et Crocs, entre autres. Elle possède des bureaux aux Pays-Bas, au Royaume-Uni, en France, en Allemagne, en Belgique, au Brésil, en Chine, en Australie, au Mexique, à Singapour, en Espagne, en Suède et aux États-Unis.</t>
  </si>
  <si>
    <t>Aedifica nv</t>
  </si>
  <si>
    <t>BE0003851681</t>
  </si>
  <si>
    <t>Residential &amp; Commercial REIT</t>
  </si>
  <si>
    <t>Aedifica SA est une société belge engagée dans le secteur financier. La Société est une société immobilière réglementée (REIT belge) qui se veut une entité active dans le secteur immobilier résidentiel. Sa stratégie repose sur deux tendances démographiques: le vieillissement de la population en Europe occidentale et la croissance démographique dans les principales villes belges. Aedifica SA opère à travers deux piliers dans lesquels elle concentre ses activités, telles que les logements seniors en Europe occidentale et les immeubles d'habitation dans les villes belges. Ses deux pôles sont concentrés dans deux segments principaux, y compris les immeubles d'habitation et immeubles d'habitation, avec un segment non-stratégique résiduel comprenant des hôtels et d'autres types de bâtiments. Aedifica SA détient une filiale allemande Aedifica Asset Management GmbH, qui conseille et soutient la Société dans le développement et la gestion de son portefeuille immobilier en Allemagne. Elle opère également à travers un site de soins de santé à Winschoten et une résidence de soins à Zeist aux Pays-Bas.</t>
  </si>
  <si>
    <t>Aegon nv</t>
  </si>
  <si>
    <t>NL0000303709</t>
  </si>
  <si>
    <t>Insurance</t>
  </si>
  <si>
    <t>Aegon N.V. (Aegon) est une société internationale d’assurance vie, de retraites et de gestion d’actifs. Les secteurs de la Société comprennent les Amériques, qui comprend les États-Unis, le Mexique et le Brésil; les Pays-Bas; Le Royaume-Uni; Europe centrale et orientale; Espagne et Portugal; Asie et Aegon Asset Management. Elle offre une protection contre les risques de mortalité, de morbidité et de longévité, y compris la vie traditionnelle et universelle. Elle propose des produits comportant des risques de mortalité, de morbidité et de longévité, y compris la vie traditionnelle et universelle; les hypothèques; produits de rente et produits bancaires. Elle propose des produits de protection individuelle, tels que les rentes, l'assurance temporaire, la protection du revenu et les obligations internationales/ offshore. Elle exerce des activités en Hongrie, en Pologne, en Roumanie et en Turquie. Elle propose une assurance-vie destinée aux particuliers fortunés de Hong Kong et de Singapour. Elle propose également des produits d'investissement destinés à des clients tiers, des solutions liées à l'assurance.</t>
  </si>
  <si>
    <t>Aeroports de paris sa</t>
  </si>
  <si>
    <t>FR0010340141</t>
  </si>
  <si>
    <t>Transport Infrastructure</t>
  </si>
  <si>
    <t>Aeroports de Paris SA est une société basée en France active dans le secteur de la gestion aéroportuaire. Par l'intermédiaire de ses filiales, elle exploite cinq secteurs: aviation, commerce de détail et services, immobilier, développements internationaux et aéroportuaires et autres activités. Le secteur Aviation fournit des biens et services liés aux opérations aéroportuaires, tels que des points de contrôle de sécurité, des systèmes de contrôle, des services de sauvetage et de lutte contre les incendies d'aéronefs, entre autres. Le secteur commerce de détail et services couvre les activités de vente au détail destinées au grand public, y compris la location de commerces de détail, bars et restaurants, banques et location de voitures, entre autres. Le secteur Immobilier comprend tous les services de location immobilière de la Société, à l'exception des contrats de location simple dans les terminaux d'aéroport. Le secteur développements internationaux et aéroportuaires conçoit et exploite des activités aéroportuaires. Le secteur Autres activités comprend, entre autres, les services de télécommunications et de sécurité.</t>
  </si>
  <si>
    <t>Ageas sa</t>
  </si>
  <si>
    <t>BE0974264930</t>
  </si>
  <si>
    <t>Ageas SA est une compagnie d'assurance internationale basée en Belgique. Les secteurs d'activité de la Société comprennent la Belgique, le Royaume-Uni, l'Europe continentale, l'Asie, Réassurance et Compte général. Les activités d'assurance belges fonctionnent sous le nom de AG Insurance. L'activité de la Société au Royaume-Uni est un fournisseur national de solutions d'assurance non-vie. Le secteur Europe continentale de la Société comprend les activités d'assurance de la Société en Europe, à l'exclusion de la Belgique et du Royaume-Uni. La Société exerce ses activités dans plusieurs pays de l'Asie avec son bureau régional et sa filiale entièrement détenu basée à Hong Kong. Le secteur de la Réassurance est géré par Intreas NV, une filiale de la Société, qui opère en tant que réassurance interne. Le Compte général comprend les activités non liées à l'activité principale de l'assurance, telles que le financement du groupe et autres activités de holding.</t>
  </si>
  <si>
    <t>Air france klm</t>
  </si>
  <si>
    <t>Passenger Transportation Services</t>
  </si>
  <si>
    <t>AIR FRANCE - KLM S.A. est une compagnie aérienne. La Société se consacre au transport de passagers. Ses activités comprennent également le fret, la maintenance aéronautique et autres activités liées au transport aérien, notamment la restauration. Les deux sous-groupes de la Société Air France et KLM disposent d'un programme de vol, Flying Blue, qui permet aux membres d'acquérir des Miles en volant avec des partenaires aériens ou des transactions avec des partenaires non aériens. Ses activités se constituent du transport de passager, du , fret, la maintenance et autres activités. Réseau de la Société s'organise autour des hubs à Paris-Charles de Gaulle et Amsterdam-Schiphol. Avec ces deux centres régionaux, la Société relie l'Europe au reste du monde, avec environ 320 destinations dans plus de 115 pays. Transavia, filiale de la Société, est implantée aux Pays-Bas et en France auprès d'une clientèle de loisirs moyen-courrier, ainsi que par le biais de ses vols affrétés et les tour-opérateurs.</t>
  </si>
  <si>
    <t>Air liquide</t>
  </si>
  <si>
    <t>Chemicals</t>
  </si>
  <si>
    <t>CAC 40</t>
  </si>
  <si>
    <t>L’Air Liquide Societe Anonyme pour l’Etude et l’Exploitation des Procedes Georges Claude SA, anciennement Air Liquide SA, est une société gazière basée en France, qui fournit des technologies et des services liés aux gaz. Elle opère à travers trois segments : Gaz &amp; Services, Ingénierie &amp; Construction et Global Markets &amp; Technologies. Gaz &amp; Services est responsable de la gestion des opérations et de la surveillance du rendement. Engineering &amp; Construction conçoit, développe et construit des usines de production de gaz industriel pour le Groupe et des tiers ainsi que des usines de conception et de fabrication dans les secteurs traditionnels, des énergies renouvelables et alternatives. Global Markets &amp; Technologies se concentre sur les nouveaux marchés qui nécessitent une approche globale, en s’appuyant sur la science, les technologies, les modèles de développement et les usages liés à la transformation numérique. La société aide à travers le monde de nombreuses industries, telles que l’aéronautique, l’automobile, les boissons, les produits chimiques, la construction, la fabrication électronique, l’alimentation et le verre, entre autres.</t>
  </si>
  <si>
    <t>Aerospace &amp; Defense</t>
  </si>
  <si>
    <t>Airbus SE, anciennement Airbus Group SE, est une société basée aux Pays-Bas active dans l'industrie aérospatiale et de la défense. La Société opère à travers trois segments : Airbus, Airbus Helicopters et Airbus Defence and Space. Le segment Airbus se concentre sur le développement, la fabrication, la commercialisation et la vente d'avions à réaction commerciaux et de composants d'avions, ainsi que sur la conversion d'avions et les services associés. Le segment Airbus Helicopters est spécialisé dans le développement, la fabrication, la commercialisation et la vente d'hélicoptères civils et militaires, ainsi que dans la fourniture de services liés aux hélicoptères. Le segment Airbus Defence and Space produit des avions de combat militaires et des avions d'entraînement, fournit des solutions de marché de l'électronique de défense et de la sécurité mondiale, et fabrique et commercialise des missiles.</t>
  </si>
  <si>
    <t>Akzo nobel nv</t>
  </si>
  <si>
    <t>NL0013267909</t>
  </si>
  <si>
    <t>Akzo Nobel NV est une société de peintures et de revêtements basée aux Pays-Bas. La Société exerce ses activités dans deux secteurs d’activité: les peintures décoratives et les revêtements de performance. Le secteur Peintures décoratives fournit une gamme de produits, notamment des peintures, des laques et des vernis. Elle propose également une gamme de machines à mélanger et de concepts de couleurs pour l'industrie du bâtiment et de la rénovation, ainsi que des revêtements spéciaux pour le métal, le bois et d'autres matériaux de construction essentiels. Le segment revêtements de performance possède un portefeuille comprenant des peintures et des revêtements pour navires, voitures, avions, yachts et composants architecturaux (charpente métallique, produits de construction, revêtements de sol), des biens de consommation (appareils mobiles, appareils ménagers, canettes de boisson, meubles) et de l'huile et des installations de gaz. Les marques de la Société comprennent Coral, Dulux, Flexa, Hammerite, Sadolin, Sikkens, Awlgrip, International, Interpon, Dissolvine, Eka, Expancel, Jozo, Levasil et Kromasil, entre autres. Elle opère aux Pays-Bas et à l'international.</t>
  </si>
  <si>
    <t>Albioma sa</t>
  </si>
  <si>
    <t>FR0000060402</t>
  </si>
  <si>
    <t>Energie Renouvelable</t>
  </si>
  <si>
    <t>Albioma SA est un producteur d’énergie indépendant basé en France. La Société est spécialisée dans la conception, la construction, la gestion et l'exploitation de centrales électriques de cogénération. La Société est principalement engagée dans la production d’énergie à partir de centrales à bagasse combinées et à charbon situées dans les départements français d’outre-mer, de centrales thermiques au combustible et de centrales au gaz. En outre, il produit des ressources énergétiques renouvelables. La Société exploite également environ cinq parcs éoliens en France et est active dans le secteur de l'énergie solaire. La Société exerce ses activités par l’intermédiaire de ses filiales situées dans les départements d’outre-mer français des Caraïbes et de l’océan Indien, ainsi qu’en France continentale, en Italie et en Espagne.</t>
  </si>
  <si>
    <t>Alcon ag</t>
  </si>
  <si>
    <t>CH0432492467</t>
  </si>
  <si>
    <t>Healthcare Equipment &amp; Supplies</t>
  </si>
  <si>
    <t>Alcon AG est une entreprise de soins oculaires basée en Suisse. La société recherche, développe, fabrique, distribue et vend une gamme complète de produits de soins oculaires dans deux secteurs clés : la chirurgie et les soins de la vue. L'activité chirurgicale de la Société se concentre sur les produits ophtalmiques pour la chirurgie de la cataracte, la chirurgie vitréo-rétinienne, la chirurgie réfractive au laser et la chirurgie du glaucome. Le portefeuille chirurgical comprend les implants, les consommables et l'équipement chirurgical requis pour ces procédures et répond aux besoins de bout en bout du chirurgien ophtalmologiste. L'activité Vision Care de la Société comprend des lentilles de contact quotidiennes jetables, réutilisables et rehaussant la couleur et un portefeuille de produits de santé oculaire, y compris des produits pour la sécheresse oculaire, les allergies oculaires, le glaucome et le soin des lentilles de contact, ainsi que des vitamines oculaires et des anti-rougeurs. La société opère dans 60 pays et sert des consommateurs et des patients dans plus de 140 pays.</t>
  </si>
  <si>
    <t>Ald</t>
  </si>
  <si>
    <t>Freight &amp; Logistics Services</t>
  </si>
  <si>
    <t>ALD SA, anciennement ALD International SA, est une société basée en France dont l'activité principale est la location de voitures particulières. La Société se concentre sur la fourniture de solutions de financement et de gestion de véhicules. La Société offre des services de financement, d'approvisionnement, de logistique, de location de véhicules, de location de contrats et de gestion de flotte. Il fournit des services aux secteurs industriels et commerciaux. La Société exploite une chaîne d'agences à travers la France. La Société est une filiale de Société Générale SA.</t>
  </si>
  <si>
    <t>A + / Stable</t>
  </si>
  <si>
    <t>Align technology, inc.</t>
  </si>
  <si>
    <t>US0162551016</t>
  </si>
  <si>
    <t>Align Technology, Inc. est une société de dispositifs médicaux. La Société est principalement engagée dans la conception, la fabrication et la commercialisation d'aligneurs transparents Invisalign pour le traitement des malocclusions, ou le désalignement des dents, par les orthodontistes et les médecins généralistes, les dispositifs de rétention Vivera, les scanners intra-oraux iTero et les services pour la dentisterie , et le logiciel de conception et de fabrication assistées par ordinateur (CAO/FAO) exocad. Elle opère à travers deux segments : Clear Aligner and Imaging Systems et CAD/CAM Services (Systems and Services). Son segment Clear Aligner comprend des produits complets, qui comprennent Invisalign Comprehensive et Invisalign First ; Les produits non complets, qui comprennent les forfaits Invisalign Moderate, Lite et Express et Invisalign Go, et les produits non-cas, qui comprennent les produits de rétention, la formation Invisalign, les outils de réglage utilisés par les professionnels dentaires. Son segment Systèmes et services comprend les systèmes de numérisation intra-orale iTero.</t>
  </si>
  <si>
    <t>All funds</t>
  </si>
  <si>
    <t>Allfunds Group plc est une société de technologie patrimoniale basée au Royaume-Uni. La plate-forme technologique de gestion de patrimoine interentreprises (B2B) de la société qui relie les sociétés de gestion de fonds et les distributeurs. La Société opère à travers deux segments : Revenus nets de la plate-forme et revenus nets d'abonnement et autres. La Société propose des solutions intégrées pour les sociétés de fonds et les distributeurs. Elle offre un réseau de distribution de fonds à l'échelle mondiale. La Société exploite une plateforme à architecture ouverte qui fournit un marché. L'offre de services de la Société comprend des données et des analyses, des outils de portefeuille et de reporting, des services de recherche et de réglementation. La société opère dans environ 59 pays à travers le monde avec des bureaux régionaux en Europe, en Amérique latine (Latam), en Asie et au Moyen-Orient.</t>
  </si>
  <si>
    <t>Allianz se</t>
  </si>
  <si>
    <t>DE0008404005</t>
  </si>
  <si>
    <t>Allianz SE est une société de services financiers basée en Allemagne. Elle est Société de portefeuille du Groupe Allianz (Allianz SE et ses filiales). Les segments de la société comprennent Dommages aux biens, vie/santé, gestion d'actifs et entreprises et autres. La Société offre une gamme de couvertures de réassurance, principalement aux entités d'assurance Allianz, ainsi qu'aux clients tiers. Le segment Dommages aux biens propose une gamme de produits et services à la fois pour les particuliers et les entreprises. Le segment Vie / Santé propose une gamme de produits d'assurance vie et santé à la fois individuelle et collective. Le segment gestion d'actifs fournit des produits et services de gestion d'actifs institutionnels et de détail à des investisseurs tiers et fournit des services de gestion d'investissements aux activités d'assurance du groupe Allianz. Le segment d’entreprises et autres comprend la détention et la trésorerie, la banque et les investissements alternatifs.</t>
  </si>
  <si>
    <t>Alphabet inc.</t>
  </si>
  <si>
    <t>US02079K3059</t>
  </si>
  <si>
    <t>Alphabet Inc. est une société holding. Les segments de la société comprennent les services Google, Google Cloud et autres paris. Le segment des services Google comprend des produits et services tels que les publicités, Android, Chrome, le matériel, Google Maps, Google Play, la recherche et YouTube. Le segment Google Cloud comprend des services d'infrastructure et de plate-forme, des outils de collaboration et d'autres services pour les entreprises clientes. Le segment Autres paris comprend les technologies à un stade précoce qui sont plus éloignées de son activité principale Google, et il comprend la vente de technologies de la santé et de services Internet. Son Google Cloud fournit des services cloud prêts pour l'entreprise, notamment Google Cloud Platform et Google Workspace. Google Cloud Platform fournit une technologie en matière de cybersécurité ; données, analytique, intelligence artificielle (IA), apprentissage automatique et infrastructure. Les outils de communication et de collaboration sécurisés de Google Workspace de l'entreprise, qui incluent des applications telles que Gmail, Docs, Drive, Calendar, Meet et autres.</t>
  </si>
  <si>
    <t>BAA 3 / Stable (moodys)</t>
  </si>
  <si>
    <t>Alstom SA est un fabricant français d'infrastructures pour le secteur du transport ferroviaire. L'offre de la Société comprend une gamme de solutions comprenant du matériel roulant, des systèmes, des services ainsi que de la signalisation pour le transport ferroviaire de voyageurs et de marchandises. Les services ferroviaires de la Société comprennent la maintenance, la modernisation, la gestion des pièces de rechange, les services de support et d'assistance technique inclus. Les infrastructures ferroviaires de la Société comprennent les infrastructures de pose des voies, les systèmes d'alimentation électrique des lignes, les équipements électromécaniques, les dispositifs de télécommunication et d'information des voyageurs en gare, les bornes d'achat automatique de billets, l'accès aux escaliers mécaniques, les ascenseurs pour handicapés, les portes palières automatiques sur les quais, la ventilation, la climatisation et les systèmes d'éclairage, entre autres. Alstom commercialise ses produits et services dans le monde entier.</t>
  </si>
  <si>
    <t>Altarea sca</t>
  </si>
  <si>
    <t>FR0000033219</t>
  </si>
  <si>
    <t>Real Estate Operations</t>
  </si>
  <si>
    <t>Altarea SCA est une société basée en France active dans le secteur de l'immobilier. La Société et ses filiales exercent leurs activités à la fois en tant que fiducie de placement immobilier (FPI) et promoteur. Altarea SCA présente ses activités en trois segments principaux: Commerce de détail, Résidentiel et Bureaux. Le secteur du Commerce de détail comprend des centres commerciaux régionaux, des parcs de vente au détail, ainsi que des magasins de détail spécialisés dans les voyages et les dépanneurs. Le secteur Résidentiel comprend les activités de développement de propriétés résidentielles, y compris les logements sociaux, entre autres. Le secteur des bureaux comprend le développement de bureaux et les services aux investisseurs. L’activité principale d’Altarea est en tant que FPI investissant dans des centres commerciaux. Cette activité comprend également les fonctions de gestion d’actifs et de biens réalisées sur une base propriétaire et pour des tiers. Outre la France, la Société est également présente en Espagne et en Italie.</t>
  </si>
  <si>
    <t>ALTEN S.A. est une société basée en France qui fournit des conseils en technologie et des services d'ingénierie, ainsi que des services TI et des services de réseau. Les activités de la société comprennent la conception, le développement et la fabrication de nouveaux produits et systèmes, ainsi que la fourniture de services liés à la mise en place et à la restructuration de systèmes d'information et de plates-formes de services. Les principaux clients de la société sont les divisions techniques et IT des entreprises de télécommunication, les équipementiers Télécom, les fabricants d'équipements électriques et électroniques et les entreprises des secteurs suivants: aviation, aérospatiale, défense, transport, processus et secteur tertiaire. La société possède les filiales suivantes: Geci ingénierie, CV CPrime et cPrime inc, entre autres.</t>
  </si>
  <si>
    <t>BBB-</t>
  </si>
  <si>
    <t>AMADEUS IT GROUP, S.A., anciennement Amadeus IT Holding SA, est une société basée en Espagne engagée dans la fourniture de services des technologies de l'information, principalement pour les industries du tourisme et du voyage. Les activités de la Société sont réparties en 2 segments d'activité :Distribution et Solutions informatiques. La division Distribution offre un Système Mondial de Distribution, un système informatisé de réservation dans le monde entier utilisé comme un point d'accès unique pour la réservation des sièges d'avion, des chambres d'hôtel et d'autres services liés aux voyages par les agences de voyage et les sociétés de gestion de voyage. La division Solutions informatiques offre une gamme de solutions technologiques qui permettent d'automatiser les processus de base pour les fournisseurs de voyage. Ses clients comprennent des transporteurs de services complets et des compagnies aériennes bas prix, les gestionnaires d'hôtel, les opérateurs ferroviaires, les opérateurs de croisière et de ferry, les assureurs de voyage et les compagnies de location de voitures, entre autres. La Société exerce ses activités par l'intermédiaire de nombreuses filiales en Europe, dans les Amériques, en Asie, en Afrique et en Australie.</t>
  </si>
  <si>
    <t>Amazon.com, inc.</t>
  </si>
  <si>
    <t>US0231351067</t>
  </si>
  <si>
    <t>Diversified Retail</t>
  </si>
  <si>
    <t>Amazon.com, Inc. fournit une gamme de produits et de services aux clients. Les produits proposés dans ses magasins comprennent des marchandises et du contenu qu'il a achetés pour la revente et des produits proposés par des vendeurs tiers. Elle fabrique et vend des appareils électroniques, notamment Kindle, Fire tablet, Fire TV, Echo et Ring, et développe et produit du contenu multimédia. Il propose également des services d'abonnement tels qu'Amazon Prime, un programme d'adhésion. Ses segments comprennent l'Amérique du Nord, l'International et Amazon Web Services (AWS). Le segment AWS comprend les ventes mondiales de services de calcul, de stockage, de bases de données et d'autres services pour les start-ups, les entreprises, les agences gouvernementales et les établissements universitaires. Il fournit des services publicitaires aux vendeurs, fournisseurs, éditeurs, auteurs et autres, par le biais de programmes tels que des publicités sponsorisées, des affichages et des publicités vidéo. Les clients accèdent à ses offres via des sites Web, des applications mobiles, Alexa, des appareils, la diffusion en continu et en visitant physiquement ses magasins.</t>
  </si>
  <si>
    <t>American express company</t>
  </si>
  <si>
    <t>US0258161092</t>
  </si>
  <si>
    <t>Banking Services</t>
  </si>
  <si>
    <t>American Express Company est une société de paiement intégrée à l'échelle mondiale. La Société offre à ses clients un accès à des produits, des idées et des expériences qui renforcent les affaires. Elle opère dans quatre segments : Services aux consommateurs américains (USCS), Services commerciaux (CS), Services de cartes internationales (ICS) et Services marchands et réseaux mondiaux (GMNS). USCS propose des services de voyage et de style de vie ainsi que des produits bancaires et de financement sans carte. CS propose des produits de gestion des paiements et des dépenses, bancaires et de financement sans carte. CS émet également des cartes d'entreprise et fournit des services à une sélection d'entreprises mondiales. ICS fournit également des services à des clients internationaux, y compris des services de voyage et de style de vie, et gère certaines coentreprises internationales et ses activités de coalition de fidélisation. GMNS fournit des programmes et des capacités de marketing multicanaux, des services et des analyses de données. Elle fournit des cartes de crédit et de paiement aux consommateurs, aux petites entreprises, aux entreprises de taille moyenne et aux sociétés.</t>
  </si>
  <si>
    <t>Amplifon SpA est une société basée en Italie, active dans le marché de la vente au détail de produits d’audition. La Société fournit des solutions personnalisées et un service client aux personnes malentendantes. Elle propose une large gamme de services allant du diagnostic des difficultés auditives à l’ajustement, au service et à la maintenance des appareils auditifs. La Société est organisée en trois secteurs d’exploitation géographiques: Europe, Moyen-Orient et Afrique - EMEA - (Italie, France, Pays-Bas, Allemagne, Royaume-Uni, Irlande, Espagne, Portugal, Suisse, Belgique, Luxembourg, Hongrie, Égypte et Turquie , Pologne et Israël), Amériques (États-Unis, Canada, Chili, Argentine, Équateur, Colombie, Panama et Mexique) et Asie-Pacifique (Australie, Nouvelle-Zélande, Inde et Chine).</t>
  </si>
  <si>
    <t>A+</t>
  </si>
  <si>
    <t>Investment Banking &amp; Investment Services</t>
  </si>
  <si>
    <t>Amundi SA est une société basée en France, qui opère dans le domaine de la gestion d'actifs. La Société offre ses services aux particuliers, aux institutionnels et aux entreprises, avec un large éventail de stratégies et de contacts afin d'accompagner ses clients dans leurs investissements. Son offre produit concerne toutes les classes d'actifs, telles que la gestion active, qui comprend les actions, les obligations et le multi-actifs ; la gestion passive, qui englobe les fonds négociés en bourse, les fonds indiciels et le Smart Beta ; les actifs réels et alternatifs, qui comprennent l'immobilier, la dette privée, les fonds d'infrastructure et le capital-investissement, ainsi que la gestion de trésorerie et les produits structurés, entre autres. La ligne métier Amundi Services propose aux sociétés de gestion et aux investisseurs institutionnels des services de gestion et d'administration de fonds, d'accès au marché et de domiciliation de fonds. La Société est active en Europe, au Moyen-Orient, en Asie-Pacifique et en Amérique.</t>
  </si>
  <si>
    <t>Anheuser-busch inbev, afgekort : ab inbev nv</t>
  </si>
  <si>
    <t>BE0974293251</t>
  </si>
  <si>
    <t>Beverages</t>
  </si>
  <si>
    <t>Anheuser-Busch Inbev SA est une société basée en Belgique. La Société est principalement engagée dans la fabrication de bière. La Société exerce ses activités dans sept segments : Amérique du Nord, Mexique, Amérique Latine Nord, Amérique Latine Sud, Europe, Asie-Pacifique et Sociétés mondiales d'Exportation et de Portefeuille. Le portefeuille de marques de la Société comprend des marques mondiales telles que Budweiser, Corona et Stella Artois ; des marques internationales, dont Beck's, Leffe et Hoegaarden, et des champions locaux, tels que Bud Light, Skol, Brahma, Antarctica, Quilmes, Victoria, Modelo Especial, Michelob Ultra, Harbin, Sedrin, Klinskoye, Sibirskaya Korona, Chernigivske, Cass et Jupiler. L'activité boissons non alcoolisées de la Société comprend à la fois sa propre production et des accords avec PepsiCo liés à des accords d'embouteillage et de distribution entre ses différentes filiales et PepsiCo. Ambev, qui est une filiale de la Société, est un embouteilleur de PepsiCo. Les marques distribuées dans le cadre de ces accords sont Pepsi, 7UP et Gatorade.</t>
  </si>
  <si>
    <t>Antin Infrastructures</t>
  </si>
  <si>
    <t>FR0014005AL0</t>
  </si>
  <si>
    <t>Antin Infrastructure Partners SAS est une société de capital-investissement Française spécialisée dans la gestion de fonds d’investissement. Le Cabinet se concentre sur les entreprises d’infrastructure opérant dans les secteurs de l’énergie et de l’environnement, des télécommunications, des transports et de l’infrastructure sociale. Il génère des rendements ajustés au risque pour les investisseurs grâce à une combinaison d’appréciation du capital et de rendement en espèces.</t>
  </si>
  <si>
    <t>Aperam sa</t>
  </si>
  <si>
    <t>LU0569974404</t>
  </si>
  <si>
    <t>Metals &amp; Mining</t>
  </si>
  <si>
    <t>Aperam SA est un producteur d’acier basé en France. La société se concentre sur la production d’aciers inoxydables et spéciaux, de produits spécialisés, y compris les aciers électriques et les alliages spéciaux à orientation céréalière (GO) et non céréalière (ONG). Ses trois segments d’exploitation comprennent : acier inoxydable et électrique, services et solutions, et alliages et spécialités. La Société, via des filiales, opère à travers des centres de service et des réseaux de distribution avec des produits personnalisés. Ses installations de production sont au Brésil, en Belgique et en France. La société vend ses produits dans plus de 40 pays, et à des clients opérant dans un éventail d’industries, y compris l’aérospatiale, automobile, restauration, construction, électroménager, génie électrique, procédés industriels, médical, et pétrole et gaz.</t>
  </si>
  <si>
    <t>AA+</t>
  </si>
  <si>
    <t>Apple inc.</t>
  </si>
  <si>
    <t>US0378331005</t>
  </si>
  <si>
    <t>Computers, Phones &amp; Household Electronics</t>
  </si>
  <si>
    <t>Apple Inc. (Apple) conçoit, fabrique et commercialise des smartphones, des ordinateurs personnels, des tablettes, des vêtements et des accessoires et vend une gamme de services connexes. Les produits de la société comprennent l'iPhone, le Mac, l'iPad, les AirPods, l'Apple TV, l'Apple Watch, les produits Beats, le HomePod, l'iPod touch et les accessoires. La Société exploite diverses plateformes, dont l'App Store, qui permet aux clients de découvrir et de télécharger des applications et du contenu numérique, tels que des livres, de la musique, des vidéos, des jeux et des podcasts. Apple propose du contenu numérique via des services par abonnement, notamment Apple Arcade, Apple Music, Apple News+, Apple TV+ et Apple Fitness+. Apple propose également une gamme d'autres services, tels que AppleCare, iCloud, Apple Card et Apple Pay. Apple vend ses produits et revend des produits tiers sur une gamme de marchés, y compris directement aux consommateurs, aux petites et moyennes entreprises et aux clients de l'éducation, des entreprises et du gouvernement par le biais de ses magasins de détail et en ligne et de sa force de vente directe.</t>
  </si>
  <si>
    <t>Arcelor mittal</t>
  </si>
  <si>
    <t>ArcelorMittal SA est une société holding basée au Luxembourg. La Société, par l'intermédiaire de ses filiales, possède et exploite des installations d'acier, de fabrication de minerai de fer et d'extraction de charbon en Europe, en Amérique du Nord et du Sud, en Asie et en Afrique. La Société est organisée en cinq secteurs d'exploitation : ALENA ; Brésil; L'Europe ×; Afrique et Communauté des États indépendants (ACIS) et exploitation minière. Les segments ALENA, Brésil, Europe et ACIS produisent des produits plats, longs et tubulaires, notamment des brames, des bobines laminées à chaud, des bobines laminées à froid, des produits en acier revêtus, entre autres. Le secteur minier fournit des activités sidérurgiques et comprend toutes les mines détenues par la Société dans les Amériques, en Europe, en Afrique et dans les pays de la Communauté des États indépendants (CEI).</t>
  </si>
  <si>
    <t>Argenx se</t>
  </si>
  <si>
    <t>NL0010832176</t>
  </si>
  <si>
    <t>Biotechnology &amp; Medical Research</t>
  </si>
  <si>
    <t>argenx SE, anciennement arGEN X BV, est la société biopharmaceutique basée aux Pays-Bas. Elle crée et développe un pipeline de thérapies d'anticorps différenciés en utilisant sa plate-forme de découverte, Simple Anticorps, qui exploite les caractéristiques du système immunitaire de lama. La Société développe un pipeline de thérapies d'anticorps axé sur le cancer et les indications auto-immunes. Il comprend: ARGX-110, un anticorps pour les tumeurs malignes et les tumeurs solides, qui module les fonctions de la tumeur comme la prolifération cellulaire et la survie; ARGX-111, un antagoniste de c-Met, un récepteur tyrosine kinase impliqué dans la prolifération cellulaire, l'angiogenèse et la métastase dans de multiples tumeurs solides; ARGX-112, un antigène qui cible la dermatite atopique par neutralisation de la signalisation médiée par IL-20 et IL-22 (interleukine) par le blocage de leur récepteur commun, entre autres.</t>
  </si>
  <si>
    <t>Arkema SA est un producteur de produits chimiques, qui fournit des produits chimiques de spécialité et des matériaux avancés. La Société fabrique une gamme de produits pour les industries, notamment la construction, l'emballage, la chimie, l'automobile, l'électronique, l'alimentation et la pharmacie. La Société opère à travers trois segments d'activité : Matériaux Haute Performance, Spécialités Industrielles et Solutions de Revêtements. Le segment des matériaux haute performance de la société comprend des secteurs d'activité, notamment les adhésifs spéciaux, les polymères techniques et les additifs de performance. Le secteur Spécialités industrielles de la Société comprend les secteurs d'activité Thiochimie, Gaz fluorés et Peroxyde d'hydrogène. Le segment Coating Solutions comprend des secteurs d'activité, notamment les acryliques, les résines de revêtement et les additifs. La Société possède des centres de production situés en Europe, en Amérique du Nord et en Asie. Elle opère à travers un réseau de filiales, telles que XL Brands.</t>
  </si>
  <si>
    <t>Asm international nv</t>
  </si>
  <si>
    <t>NL0000334118</t>
  </si>
  <si>
    <t>Semiconductors &amp; Semiconductor Equipment</t>
  </si>
  <si>
    <t>ASM International N.V. est un fournisseur d'équipement de traitement de plaquettes, principalement pour l'industrie manufacturière de semi-conducteurs. La société conçoit, fabrique et vend de l'équipement et des services à ses clients pour la production de dispositifs semi-conducteurs ou de circuits intégrés (CI). La Société opère dans deux segments, dont le front-end et le back-end. Le segment frontal fabrique et vend des équipements utilisés dans le traitement des plaquettes, englobant les étapes de fabrication dans lesquelles les plaquettes de silicium sont en couches avec des dispositifs semi-conducteurs. Le segment avant comprend les activités de fabrication, de service et de vente en Europe, aux États-Unis, au Japon et en Asie du Sud-Est. Le secteur Back-end fabrique et vend des équipements et des matériaux utilisés dans l'assemblage et l'emballage, englobant les processus dans lesquels les plaquettes de silicium sont séparées en circuits individuels. La Société fournit des équipements aux fabricants de dispositifs semi-conducteurs analogiques principalement pour le dépôt de films minces.</t>
  </si>
  <si>
    <t>Asml holding nv</t>
  </si>
  <si>
    <t>ASML Holding N.V. est une société holding basée aux Pays-Bas. La Société exerce ses activités par l’intermédiaire de ses filiales aux Pays-Bas, aux États-Unis, en Italie, en France, en Allemagne, au Royaume-Uni, en Irlande, en Belgique, en Corée du Sud, à Taïwan, à Singapour, en Chine, à Hong Kong, au Japon, en Malaisie et en Israël. La société opère par l’intermédiaire d’un segment d’activité qui est engagé dans le développement, la production, la commercialisation, la vente, la mise à niveau et l’entretien des systèmes avancés d’équipement de semi-conducteurs, composé de lithographie, métrologie et systèmes d’inspection. La société propose des systèmes TWINSCAN, équipés d’un système de lithographie avec une lampe au mercure comme source de lumière (i-line), Krypton Fluoride (KrF) et Argon Fluoride (ArF) sources de lumière pour le traitement des wafers pour les environnements de fabrication pour lesquels l’imagerie à une petite résolution est nécessaire. Les systèmes TWINSCAN comprennent également des systèmes de lithographie par immersion (systèmes d’immersion TWINSCAN).</t>
  </si>
  <si>
    <t>AstraZeneca PLC est une société biopharmaceutique à vocation scientifique. La Société se concentre sur la découverte, le développement et la commercialisation de médicaments sur ordonnance en oncologie, maladies rares et biopharmaceutiques, y compris cardiovasculaire, rénal et métabolisme, et respiratoire et immunologie. Son pipeline forme un solide portefeuille de thérapies expérimentales à divers stades de développement clinique. Son pipeline comprend le portefeuille Alexion Rare Disease et comprend environ 179 projets. Ses principaux produits oncologiques commercialisés comprennent Tagrisso, Imfinzi, Lynparza, Calquence, Enhertu, Orpathys, Zoladex, Faslodex et autres. Ses produits contre les maladies rares comprennent Soliris, Ultomiris, Strensiq et Kanuma. Ses produits BioPharmaceuticals comprennent Farxiga, Lokelma, Crestor, Breztri et autres. Ses secteurs géographiques comprennent le Royaume-Uni, le reste de l'Europe, les Amériques et l'Asie, l'Afrique et l'Australasie. Elle se concentre également sur la découverte, le développement et la fabrication de thérapies des récepteurs des lymphocytes T.</t>
  </si>
  <si>
    <t>BB / Négative</t>
  </si>
  <si>
    <t>Atos SE est une entreprise française de transformation numérique spécialisée dans les solutions liées au cloud, au Big Data &amp; Analytics, à la cybersécurité, à l’informatique haute performance, aux applications commerciales, au lieu de travail numérique, à l’automatisation et à l’Internet des objets (IdO). La Société conçoit, intègre et exploite des solutions spécifiques à ses clients en fonction de la technologie de ses partenaires et développe des technologies haut de gamme, entre autres. Elle opère globalement à travers six segments géographiques : Royaume-Uni &amp; Irlande, France, Allemagne, Amérique du Nord, Benelux &amp; Pays Nordiques, Autres Business Units. Elle soutient la transformation numérique de ses clients dans tous les secteurs d’activité, y compris la santé, l’énergie et les services publics, les télécommunications et les médias, le commerce de détail et les transports, le secteur public, la défense, la fabrication, les services financiers et l’assurance.</t>
  </si>
  <si>
    <t>Axa sa</t>
  </si>
  <si>
    <t>FR0000120628</t>
  </si>
  <si>
    <t>AXA SA (AXA) est une société holding basée en France et active dans le domaine de la protection financière. AXA propose une large gamme de produits à travers les segments d'activité : vie, épargne, retraite, dommages, santé, gestion d'actifs et banque. Son offre couvre l'assurance automobile, habitation, biens et responsabilité civile, la banque, les véhicules d'épargne et d'autres produits basés sur l'investissement pour les clients Particuliers/Particuliers et Entreprises/Groupe, ainsi que les produits de santé, de prévoyance et de retraite pour les clients particuliers ou professionnels. . AXA opère dans sept segments géographiques : France, Europe, Asie, AXA XL, États-Unis, International et Transversal &amp; Central Holdings. AXA SA est la société holding du Groupe AXA.</t>
  </si>
  <si>
    <t>Bank of america corporation</t>
  </si>
  <si>
    <t>US0605051046</t>
  </si>
  <si>
    <t>Bank of America Corporation est une société de portefeuille bancaire et une société de portefeuille financière. Ses segments comprennent Consumer Banking, Global Wealth &amp; Investment Management (GWIM), Global Banking et Global Markets. Le segment Consumer Banking offre une gamme de produits et services de crédit, bancaires et d'investissement aux consommateurs et aux petites entreprises. Le GWIM comprend deux activités : Merrill Wealth Management, qui fournit des solutions sur mesure pour répondre aux besoins des clients grâce à un ensemble complet de produits de gestion de placements, de courtage, de banque et de retraite, et Bank of America Private Bank, qui fournit des solutions complètes de gestion de patrimoine. Le segment Global Banking fournit une gamme de produits et services liés aux prêts, des solutions intégrées de gestion du fonds de roulement et de trésorerie, ainsi que des services de souscription et de conseil. Le segment Global Markets offre des services de vente et de négociation et des services de recherche aux clients institutionnels dans les secteurs des titres à revenu fixe, du crédit, des devises, des matières premières et des actions.</t>
  </si>
  <si>
    <t>Basf se</t>
  </si>
  <si>
    <t>DE000BASF111</t>
  </si>
  <si>
    <t>BASF SE est une entreprise chimique basée en Allemagne. La Société opère à travers six segments, qui comprennent les produits chimiques, les matériaux, les solutions industrielles, les technologies de surface, la nutrition et les soins et les solutions agricoles. Le segment des produits Chimique comprend les divisions Pétrochimie et Intermédiaires. Le segment Matériaux est composé des divisions Matériaux Performance et Monomères. Le segment Solutions industrielles comprend les divisions Dispersions &amp; Pigments et Produits chimiques de performance. Le segment Technologies de surface comprend les divisions Catalyseurs, revêtements et produits chimiques de construction. Le segment Nutrition et soins comprend les divisions Produits chimiques d'entretien et Nutrition &amp; sante. Le segment Solutions agricoles comprend la division Solutions agricoles, qui se concentre sur la fourniture de produits de protection des cultures et de semences.</t>
  </si>
  <si>
    <t>Bayer ag</t>
  </si>
  <si>
    <t>DE000BAY0017</t>
  </si>
  <si>
    <t>Bayer AG est une société allemande des sciences de la vie. Les segments de la société sont Pharmaceuticala et Consumer Health. Le secteur Pharmaceutique se concentre sur la recherche, le développement et la commercialisation de produits sur ordonnance et de thérapies spécialisées, en particulier dans les domaines de la cardiologie, de l'oncologie, de la gynécologie, de l'hématologie et de l'ophtalmologie, ainsi que de la radiopharmacologie et autres. La société se concentre sur sa plateforme d'oncologie pour les thérapies alpha ciblées pour le traitement du cancer de la prostate. Le segment Consumer Health développe, produit et commercialise des produits en vente libre sans ordonnance dans les catégories dermatologie, compléments alimentaires, analgésiques, gastro-intestinaux, rhume, allergies, sinus et grippe, soins des pieds et protection solaire, entre autres. Le segment Crop Science a été transféré à Cinven, qui fonctionne comme une société indépendante appelée Envu.</t>
  </si>
  <si>
    <t>Bayerische motoren werke ag</t>
  </si>
  <si>
    <t>DE0005190003</t>
  </si>
  <si>
    <t>Automobiles &amp; Auto Parts</t>
  </si>
  <si>
    <t>Bayerische Motoren Werke AG est un constructeur automobile et moto basé en Allemagne. La Société divise ses activités en quatre segments : automobile, motocyclettes, services financiers et autres entités. Le segment Automobile développe, fabrique, assemble et vend des voitures et des véhicules tout-terrain sous les marques BMW, MINI et Rolls-Royce, ainsi que des pièces détachées et des accessoires. Le segment Motos développe, fabrique, assemble et vend des motos, ainsi que des pièces détachées et des accessoires. Le segment Services financiers se concentre sur le crédit-bail automobile, le financement multimarques, les activités de flotte, le financement des clients de détail et des concessionnaires, les activités de dépôt client et les activités d'assurance. Le segment Autres entités comprend d'autres sociétés opérationnelles, telles que BMW (UK) Investments Ltd, Bavaria Lloyd Reisebuero GmbH.</t>
  </si>
  <si>
    <t>Be semiconductor industries nv</t>
  </si>
  <si>
    <t>NL0012866412</t>
  </si>
  <si>
    <t>BE Semiconductor Industries N.V. (Besi) est une holding. La Société est engagée dans le développement, la fabrication, la commercialisation, la vente et le service d'équipements de montage semi-conducteurs pour les industries mondiales des semi-conducteurs et de l'électronique. Il fonctionne à travers trois segments: Die Attach, Packaging and Plating. Elle développe des processus d'assemblage et des équipements pour les applications d'emballage au plomb, au substrat et aux plaquettes sur une gamme de marchés d'utilisateurs finaux, y compris l'électronique, l'informatique, l'automobile, l'industrie et l'énergie solaire. La Société propose des produits, tels que des équipements de fixation à la masse, qui incluent des systèmes de liaison par compression à une seule puce, multi-puissants, multi-modules, flip chip, thermo-compression (TCB) et des systèmes améliorés de blocage des matrices à grille à billes (eWLB) et triage Systèmes; Les équipements d'emballage, y compris les systèmes de moulage par niveau de plaquettes et de sécrétions, et les équipements de plaquage, y compris les systèmes de placage métallique et les produits chimiques pour procédés connexes.</t>
  </si>
  <si>
    <t>Media &amp; Publishing</t>
  </si>
  <si>
    <t>Believe SAS is a France based digital distributor of artists and labels. It offers to build and coordinate tailored digital marketing and promotion strategies both in France and abroad. The Company operations are divided in three stages. It places the music of the artist/label for sale in such digital stores as iTunes, Beatport, Vodafone, Amazon digital and Emusic, and others; then assigns artists and repertoire (A&amp;R) professional dedicated to the artist/label and ; and then offers permanent access to artist/label area to monitor the sales and promotion. Believe SAS also specializes in the development of tools allowing artists and labels to take advantage of the internet technologies for digital marketing purposes such as the Believe Player. The Company has seven offices located across Europe and the United States.</t>
  </si>
  <si>
    <t>Bic</t>
  </si>
  <si>
    <t>Professional &amp; Commercial Services</t>
  </si>
  <si>
    <t>Société BIC SA est une société Française qui fabrique des produits de consommation. La Société distribue des articles de papeterie, des produits promotionnels et des produits de papier imprimé tels que des briquets, des rasoirs, des stylos, des crayons et du liquide correcteur. Il crée également des produits essentiels et des produits de bureau qui sont commercialisés pour les entreprises, les marchands, les magasins de proximité et les grossistes. Elle est présente dans le monde entier en Europe, au Moyen-Orient, en Afrique, en Amérique du Nord, en Amérique latine, en Asie et en Océanie.</t>
  </si>
  <si>
    <t>BIOMERIEUX SA est une société basée en France qui est spécialisée dans le domaine du diagnostic in vitro pour des applications médicales et industrielles. La Société conçoit, développe, fabrique et vend des systèmes utilisés dans les applications cliniques, comme pour le diagnostic de la tuberculose, des infections respiratoires, entre autres, et dans les applications industrielles, telle que l'analyse des échantillons industriels ou environnementaux. La Société offre également à ses clients des services connexes comme l'installation et l'entretien des instruments, et la formation des utilisateurs des produits. BIOMERIEUX SA opère à travers ses nombreuses filiales dans plusieurs pays, comme bioMerieux Deutschland GmbH, bioMerieux Austria GmbH, Advencis, bioMerieux Benelux SA / NV, ainsi que BioFire Diagnostics Inc., chromID CARBA SMART et la nouvelle boîte de Pétri bi-plaque.</t>
  </si>
  <si>
    <t>BlackLine, Inc. is a holding company that conducts business through its subsidiary, BlackLine Systems, Inc. The Company provides financial accounting close solutions delivered primarily as Software as a Service (SaaS). The Company’s solutions enable its customers to address various aspects of their financial closing process, including variance analysis of account balances, and journal entry capabilities. The Company’s cloud-based products include Account Reconciliations, Transaction Matching, Task Management, Journal Entry, Variance Analysis, Consolidation Integrity Manager, Compliance, BlackLine Cash Application, Credit &amp; Risk Management, Collections Management, Disputes &amp; Deductions, Team &amp; Task Management, AR Intelligence, Intercompany Create Functionality, Intercompany Processing, and Netting and Settlement. These products are offered to customers as scalable solutions that support critical accounting processes, such as financial close and account reconciliations.</t>
  </si>
  <si>
    <t>Blackrock, inc.</t>
  </si>
  <si>
    <t>US09247X1019</t>
  </si>
  <si>
    <t>BlackRock, Inc. est une société de gestion de placements. La Société offre une gamme de services d'investissement et de gestion des risques à des clients institutionnels et de détail. Sa plate-forme diversifiée de stratégies d'investissement actives (alpha) et indicielles (bêta) dans toutes les classes d'actifs permet à la Société d'adapter les résultats d'investissement et les solutions d'allocation d'actifs aux clients. Les offres de produits de la Société comprennent des portefeuilles à un ou plusieurs actifs investissant dans des actions, des titres à revenu fixe, des produits alternatifs et des instruments du marché monétaire. Ses produits sont offerts directement et par l'intermédiaire d'intermédiaires dans une gamme de véhicules, y compris des fonds communs de placement à capital variable et à capital fixe, des fonds négociés en bourse (ETF) iShares, des comptes séparés, des fonds d'investissement collectif et d'autres véhicules d'investissement en commun. La Société offre également des services technologiques, notamment la plateforme technologique de gestion des investissements et des risques, Aladdin, Aladdin Wealth, eFront et Cachematrix, ainsi que des services et des solutions de conseil.</t>
  </si>
  <si>
    <t>Bnp paribas</t>
  </si>
  <si>
    <t>BNP Paribas SA est une institution bancaire internationale basée en France. La Société organise ses activités en deux principaux domaines d’activité : Retail Banking &amp; Services (RBS) et Corporate Institutional Banking (CIB). RBS couvre les marchés intérieurs et les services financiers internationaux. Les marchés domestiques incluent les réseaux de banque de détail en France, en Italie, en Belgique et au Luxembourg, ainsi que certaines divisions spécialisées de banque de détail. International Financial Services est composé de toutes les activités de banque de détail de la zone euro, réparties entre Europe Méditerranée et BancWest aux États-Unis, ainsi que des activités de finance personnelle, d’assurance, de gestion de patrimoine et d’actifs. CIB fournit des services bancaires aux entreprises, des marchés mondiaux (titres à revenu fixe, devises et matières premières, ainsi que des services d’actions et de premier ordre) et des services de valeurs mobilières aux sociétés de gestion, aux institutions financières et à d’autres sociétés. BNP Paribas SA est la société mère du groupe BNP Paribas.</t>
  </si>
  <si>
    <t>La société Boeing est une entreprise aérospatiale. Les segments de la société comprennent les avions commerciaux (BCA), la défense, l'espace et la sécurité (BDS), les services mondiaux (BGS) et Boeing Capital (BCC). Son segment BCA développe, produit et commercialise des avions à réaction commerciaux pour l'industrie du transport aérien commercial dans le monde entier. Ses avions à réaction commerciaux en production comprennent le modèle à fuselage étroit 737 et les modèles à fuselage large 767,777 et 787. Son segment BDS est engagé dans la recherche, le développement, la production et la modification d'avions militaires et de systèmes d'armes avec et sans pilote. Son segment BGS propose des plates-formes et des systèmes aérospatiaux avec une gamme de produits et de services, y compris la gestion de la chaîne d'approvisionnement et de la logistique, l'ingénierie, la maintenance et les modifications, les mises à niveau et les conversions, les pièces de rechange, le pilote et autres. Le portefeuille de son secteur BCC comprend des équipements en location simple, des contrats de location-vente/financement, des billets et autres créances, des actifs détenus en vue de la vente ou de la relocation et des investissements.</t>
  </si>
  <si>
    <t>Bollore se</t>
  </si>
  <si>
    <t>FR0000039299</t>
  </si>
  <si>
    <t>Bollore SE est une société de holding basée en France qui opère dans plus de 100 pays. La société est active dans plusieurs divisions : Bolloré Africa Logistics, dont les opérations de transit, l'arrimage, les concessions maritimes et ferroviaires ; Bolloré Logistics, avec une présence sur les cinq continents ; Bolloré Energy, qui distribue le fioul domestique et des produits pétroliers ; IER, qui conçoit, fabrique et vend des terminaux pour le contrôle et la lecture de billets ; Films plastiques, pour les condensateurs et l'emballage ; Batteries et supercapacités ; Véhicules électriques ; Autolib', qui offre un réseau de location de voitures électriques ; Communication et médias, qui a lancé Digital Terrestial Television (DTT) ; Plantations, car la société détient des plantations d'huile de palme et de caoutchouc, par le biais du groupe Socfin et Financial Assets.</t>
  </si>
  <si>
    <t>Koninklijke Boskalis Westminster N.V. est une société basée aux Pays-Bas engagée dans le dragage et le terrassement, l'infrastructure maritime et les services maritimes. Elle se compose de quatre secteurs. Le secteur Dragage est engagé dans la construction et l'entretien de port, la réhabilitation des sols, la défense côtière et la protection de berges, entre autres. Le secteur Remorquage et sauvetage fournit une assistance aux navires entrants et sortants, des services de gestion et d'entretien des terminaux pétroliers et gaziers, des services de dégagement des épaves et différents services environnementaux. Le secteur Énergie en mer mène des projets de dragage offshore et des projets d'installation en dur, des services de transport lourd, des services de levage et d'installation, et des services de soutien pour l'industrie offshore. Le secteur Inland Infra comprend la construction de routes, de voies ferrées, de ponts, de barrages et terminaux, y compris les travaux de terrassement, d'amélioration des sols et la réhabilitation. Elle fonctionne grâce à ses nombreuses filiales, y compris STRABAG Wasserbau GmbH.</t>
  </si>
  <si>
    <t>A- / Négative</t>
  </si>
  <si>
    <t>Bouygues SA est un groupe de services diversifiés basé en France. Elle opère à travers ses filiales qui se concentrent sur six segments d'activité : la construction, les infrastructures d'énergie et de transport, le secteur des médias et les technologies numériques dans le secteur des télécoms. Construction regroupe Bouygues Construction, qui conçoit, construit et exploite des projets de bâtiments, d'infrastructures et industriels ; Bouygues Immobilier, promoteur privé spécialisé dans les projets de logements, de bureaux, de commerces et de quartiers durables, Energie regroupe un nouveau pôle d'activité composé d'Equans et de la branche Energies &amp; Services de Bouygues et Colas est spécialisé dans la construction et la maintenance d'infrastructures de transport. Media regroupe les activités de TF1, qui propose une offre variée de contenus de divertissement et une large gamme de services associés, ainsi qu'une activité dans les secteurs de la production télévisuelle (TV) et du numérique. Telecom opère sur le marché français des communications électroniques via Bouygues Telecom.</t>
  </si>
  <si>
    <t>Brenntag se</t>
  </si>
  <si>
    <t>DE000A1DAHH0</t>
  </si>
  <si>
    <t>Brenntag SE, anciennement Brenntag AG, est une société Allemande active dans le domaine de la distribution chimique complète. Il fournit des solutions de distribution interentreprises pour les produits chimiques industriels et spécialisés. La Société achète et entrepose de grandes quantités de produits chimiques industriels et spécialisés et les reconditionne en plus petites quantités. En outre, la Société offre des services supplémentaires, y compris la livraison, le mélange, le mélange, le reconditionnement, la micronisation et le fraisage fin, la gestion des stocks et la manutention des retours de barils, ainsi que des services techniques et de laboratoire pour les produits chimiques spécialisés. La Société offre ses produits à une gamme d’industries de marché, tels que les adhésifs, les peintures, le pétrole et le gaz, les aliments, le traitement de l’eau, les soins personnels et les produits pharmaceutiques. La société opère à travers un réseau avec plus de 550 sites en Europe, en Amérique du Nord et en Amérique Latine, et dans la région Asie-Pacifique</t>
  </si>
  <si>
    <t>Bridgepoint</t>
  </si>
  <si>
    <t>GB00BND88V85</t>
  </si>
  <si>
    <t>Bridgepoint Group plc est une société internationale de gestion de fonds d'actifs alternatifs basée au Royaume-Uni qui se concentre sur le marché intermédiaire. La Société acquiert ou investit dans des entreprises à vocation européenne et cherche à bâtir des entreprises plus fortes avec un potentiel à long terme accru. La société est spécialisée dans le capital-investissement et le crédit privé et investit à l'international dans six secteurs principaux, notamment les services aux entreprises, les consommateurs, les services financiers, la santé, les industries de pointe et la technologie. Il se concentre sur l'investissement dans les entreprises du marché intermédiaire via quatre stratégies de fonds diverses : marché intermédiaire, faible capitalisation, croissance en phase de démarrage et crédit. La Société fournit également une large gamme d'informations sur l'approvisionnement aux sociétés de son portefeuille. Le service comprend l'accès à des accords de tarification avantageux, à un logiciel d'enchères en ligne et à des avis de spécialistes sur la réduction des coûts des catégories de dépenses telles que le fret et l'assurance. Bridgepoint Advisers Limited, est une filiale de la Société.</t>
  </si>
  <si>
    <t>British telecom</t>
  </si>
  <si>
    <t>Telecommunications Services</t>
  </si>
  <si>
    <t>BT Group plc est un fournisseur de télécommunications et de réseaux. La Société fournit des télécommunications fixes et mobiles et des produits, solutions et services numériques sécurisés connexes. Elle fournit également des services gérés d'infrastructure de télécommunications, de sécurité et de réseau et de technologie de l'information (TI) à des clients dans environ 180 pays. Il se compose de trois unités orientées client : Consumer, Business et Openreach. Les unités de consommation servent les particuliers et les familles au Royaume-Uni. Les unités commerciales couvrent les entreprises et les services publics au Royaume-Uni et à l'international. L'unité Openreach est une filiale à 100 %, régie de manière indépendante, qui vend en gros des services d'infrastructure d'accès fixe à ses clients, soit environ 650 fournisseurs de communications à travers le Royaume-Uni. Son unité numérique interne est responsable de sa transformation numérique, de la conduite de l'expérience et de la fourniture des produits et services dont ses clients ont besoin pour atteindre leurs propres objectifs.</t>
  </si>
  <si>
    <t>Bureau veritas</t>
  </si>
  <si>
    <t>BUREAU VERITAS S.A., précédemment Bureau Veritas Registre International de Classification Navires et d'Aeronefs, est une société basée en France exerçant dans le secteur du soutien commercial. Elle offre une gamme de services, comprenant des services de gestion des actifs, certification, classification, consultance, inspections et vérifications, essais et analyses et formation. Elle est présente dans plus de 140 pays à travers un réseau de bureaux et de laboratoires. La Société opère par le biais de ses filiales, comprenant BV Algeria, BV Argentina, Bivac Congo et Cesmec Chile, UniCar Group, Quiktrak Inc, Dairy Technical Services Ltd ; Sistema PRI, une société brésilienne spécialisée dans l'aide à la gestion de projet ; Analysts Inc., un spécialiste américain en surveillance de l'état du pétrole ; MatthewsDaniel Ltd, qui fournit des services pour le marché de l'assurance ; et Ningbo Hengxin Engineering Testing Co, Ltd (Ningbo Hengxin), kuhlmann Monitoramento Agricola Ltda, SIEMIC Inc, California Code Check et Primary Integration Solutions.</t>
  </si>
  <si>
    <t>Campbell soup</t>
  </si>
  <si>
    <t>Food &amp; Tobacco</t>
  </si>
  <si>
    <t>Campbell Soup Company is a manufacturer and marketer of branded food and beverage products. The Company's segments include Meals &amp; Beverages and Snacks. Its Meals &amp; Beverages segment consists of its soup, simple meals and beverages products in retail and foodservice in the United States and Canada. The segment includes the Campbell’s condensed and ready-to-serve soups; Swanson broth and stocks; Pacific Foods broth, soups and non-dairy beverages; Prego pasta sauces; Pace Mexican sauces; Campbell’s gravies, pasta, beans and dinner sauces; Swanson canned poultry; V8 juices and beverages, and Campbell’s tomato juice. Its Snacks segment consists of Pepperidge Farm cookies, crackers, fresh bakery and frozen products, including Goldfish crackers, Snyder’s of Hanover pretzels, Lance sandwich crackers, Cape Cod potato chips, Kettle Brand potato chips, Late July snacks, Snack Factory pretzel crisps, Pop Secret popcorn, and other snacking products in retail in the United States.</t>
  </si>
  <si>
    <t>Cap gemini</t>
  </si>
  <si>
    <t>Capgemini SE est une société française spécialisée dans le conseil, les services technologiques et la transformation numérique. Elle opère à travers quatre segments : Services d'application, services de technologie et d'ingénierie, services de conseil et autres services gérés. Les services applicatifs conçoivent et développent des solutions technologiques et aident les clients à optimiser leurs applications, entre autres. Les services de technologie et d'ingénierie assistent et soutiennent les équipes internes de technologie de l'information (TI) et d'ingénierie au sein des entreprises clientes. Le conseil se concentre sur la stratégie, la technologie, la science des données et la conception créative pour aider les clients à créer de nouveaux modèles et de nouveaux produits et services au sein de l'économie numérique. Les autres services gérés intègrent, gèrent et/ou développent les systèmes d'infrastructure informatique des clients, entre autres.</t>
  </si>
  <si>
    <t>Food &amp; Drug Retailing</t>
  </si>
  <si>
    <t>Carrefour SA est un groupe de distribution de détail implanté en France et présent sur quatre segments géographiques : France, Reste de l’Europe, Amérique latine et Asie. Le Groupe exploite plus de 12000 magasins et sites de commerce électronique dans plus de 30 pays à travers le monde. Ses magasins viennent dans une variété de formats et de canaux, tels que les hypermarchés, supermarchés, magasins de proximité, cash &amp; carry, hyper cash stores, drive et e-commerce. Son offre de produits comprend une large gamme de produits frais locaux, viandes préparées sur place, poisson frais, ainsi que des produits de boulangerie, des biens de consommation et des produits non alimentaires. En outre, le Groupe offre des services complémentaires, y compris des points de retrait de colis, des copies clés, la location de véhicules, des pharmacies et des soins de santé/beauté, la livraison de mazout, des services financiers et d’assurance, ainsi que des services de loisirs, tels que les agences de voyages, billets pour spectacles et services photo, entre autres.</t>
  </si>
  <si>
    <t>Casino, guichard-perrachon sa</t>
  </si>
  <si>
    <t>FR0000125585</t>
  </si>
  <si>
    <t>Casino Guichard Perrachon SA est une société française de distribution alimentaire qui gère des magasins en France et à l’étranger. La Société opère dans tous les formats d’aliments et de produits non alimentaires : hypermarchés, supermarchés, dépanneurs, magasins de rabais et magasins de gros. En France, la Société opère sous des marques diversifiées telles que : hypermarchés, supermarchés Casino, Monoprix, Franprix, Leader Price, Spar, Vival, Le Petit Casino, Casino Restauration. À l’étranger, la Société exerce ses activités en Amérique du Sud, notamment au Brésil et en Colombie. La société est active dans d’autres secteurs, tels que l’énergie où sa filiale GreenYellow est engagée dans la production d’énergie (en particulier le solaire photovoltaïque) et d’autres services énergétiques. Dans le secteur financier, sa filiale Banque Casino est la banque de détail qui simplifie l’accès aux produits bancaires et d’assurance.</t>
  </si>
  <si>
    <t>Caterpillar inc.</t>
  </si>
  <si>
    <t>US1491231015</t>
  </si>
  <si>
    <t>Caterpillar Inc. est un fabricant d'équipements de construction et d'exploitation minière, de moteurs diesel et à gaz naturel, de turbines à gaz industrielles et de locomotives diesel-électriques. La Société opère à travers ses trois segments principaux : Industries de la construction, industries des ressources et énergie et transport. Elle fournit également du financement et des services connexes par l'intermédiaire de son secteur Produits financiers. Ses industries de la construction sont engagées dans le soutien aux clients utilisant des machines dans les infrastructures, la foresterie et la construction de bâtiments. Ses industries des ressources sont engagées dans le soutien aux clients utilisant des machines dans les mines, la construction lourde, les carrières et les agrégats. Son énergie et transport, qui soutient les clients dans les applications pétrolières et gazières, de production d'électricité, marines, ferroviaires et industrielles, y compris les machines Caterpillar. Son secteur d'exploitation Tous les autres, qui comprend des activités telles que la gestion et le développement de produits, la fabrication de filtres et de fluides, de trains de roulement, d'outils d'attaque du sol, etc.</t>
  </si>
  <si>
    <t>Cellnex Telecom SA est une société basée en Espagne engagée dans le secteur des télécommunications sans fil (télécom). Ses activités sont divisées en trois segments: Infrastructures de Radio et Télédiffusion, Location de Sites de Télécom, Services de Réseau et autres. La division Infrastructures de Radio et Télédiffusion comprend la distribution et transmission télévisuelle et modulation de fréquence, exploitation et entretien du réseau de radiodiffusion, ainsi que des services de radio par contournement, entre autres. La division Location de Site de Télécom permet d'accéder à l'infrastructure sans fil, principalement grâce à l'hébergement d'infrastructures et la co-implantation d'équipements de télécommunications, principalement pour les opérateurs de réseaux mobiles et d'autres opérateurs de réseaux de télécommunications sans fil et à large bande. Les Services de Réseau et d'autres divisions offrent des services de connectivité pour une variété d'opérateurs de télécommunications et de communication radio, entre autres. La Société développe également des réseaux mobiles de 5ème génération (5G) via Alticom BV.</t>
  </si>
  <si>
    <t>Cfe</t>
  </si>
  <si>
    <t>Homebuilding &amp; Construction Supplies</t>
  </si>
  <si>
    <t>BEL 20</t>
  </si>
  <si>
    <t>COMPAGNIE D'ENTREPRISES CFE SA, également connue sous le nom de AANNEMINGSMAATSCHAPPIJ CFE NV, est une société belge active dans la construction et les services associés. Il opère à travers six divisions : partenariat public-privé (PPP), construction, services immobiliers et de gestion, multitechnique, rail et route, dragage et environnement. La division PPP est spécialisée dans les projets de partenariat public-privé. La division Construction est engagée dans la construction de gares, de tunnels, d'hôtels et de bureaux. La division Real Estate &amp; Management Services est engagée dans la promotion immobilière, la gestion de projets et l'assistance à la coordination de projets. La division Multitechnics installe des voies ferrées, installe des lignes électriques aériennes et fournit des services généraux d'électricité. La division Rail &amp; Road est spécialisée dans les travaux de signalisation et de pose de voies, les travaux ferroviaires, le transport de lignes haute et basse tension, entre autres. Les activités Dragage et Environnement sont principalement réalisées par DEME.</t>
  </si>
  <si>
    <t>Cgg</t>
  </si>
  <si>
    <t>CGG S.A. est un fabricant d'équipements géophysiques. La société fournit des services d'acquisition des données marines, terrestres et aéroportées, ainsi que divers autres services de géoscience, dont l'imagerie de données, les services de consultation en géoscience et en génie pétrolier, et la collecte, le développement et l'octroi de licences de données géologiques. Ses segments sont Acquisition de données contractuelles ; Géologie, géophysique et réservoir ; Équipement et Ressources non exploitées. Le segment Acquisition des données contractuelles comprend la multi-physique marine et terrestre. Son segment Géologie, géophysique et réservoir inclut le secteur d'activité Multi-clients et Imagerie du sous-sol et Réservoir (traitement et imagerie des données géophysiques, caractérisation de réservoir, des services de conseils géophysiques et logiciels, bibliothèque de données géologiques et solutions de gestion de données). Le segment Équipement se compose de ses activités de fabrication et de ventes d'équipement sismique. Elle opère par le biais de Saturno, une société d'études multi-clients dans le bassin de Campos au large du Brésil.</t>
  </si>
  <si>
    <t>Chevron corporation</t>
  </si>
  <si>
    <t>US1667641005</t>
  </si>
  <si>
    <t>Chevron Corporation gère ses investissements dans des filiales et des sociétés affiliées et fournit un soutien administratif, financier, de gestion et technologique aux filiales américaines et internationales qui s'engagent dans des opérations intégrées dans le domaine de l'énergie et des produits chimiques. La Société exerce ses activités dans deux secteurs d'activité : Amont et Aval. Le segment Amont consiste principalement à explorer, développer et produire du pétrole brut et du gaz naturel ; le traitement, la liquéfaction, le transport et la regazéification associés au gaz naturel liquéfié ; le transport de pétrole brut par des oléoducs internationaux d'exportation de pétrole ; le transport, le stockage et la commercialisation de gaz naturel et une usine de conversion de gaz en liquides. Le secteur Aval comprend principalement le raffinage du pétrole brut en produits pétroliers ; commercialisation de pétrole brut, de produits raffinés et de lubrifiants ; fabrication et commercialisation de carburants renouvelables; le transport de pétrole brut et de produits raffinés, et la fabrication et la commercialisation de produits pétrochimiques de base.</t>
  </si>
  <si>
    <t>Cintas corporation</t>
  </si>
  <si>
    <t>US1729081059</t>
  </si>
  <si>
    <t>Cintas Corporation développe des programmes d'uniformes utilisant du tissu. La Société aide les entreprises de tous types et de toutes tailles, principalement aux États-Unis, ainsi qu'au Canada et en Amérique latine. Ses segments comprennent la location d'uniformes et les services d'installation, ainsi que les services de premiers soins et de sécurité. Le secteur de la location d'uniformes et des services d'installation comprend la location et l'entretien d'uniformes et d'autres vêtements, y compris des vêtements ignifuges, des tapis, des vadrouilles et des serviettes d'atelier et d'autres articles auxiliaires. En plus de ces articles de location, les services et fournitures de nettoyage des toilettes et la vente d'articles de ses catalogues à ses clients en route sont inclus dans ce segment. Le secteur Services de premiers soins et de sécurité comprend les produits et services de premiers soins et de sécurité. Le reste de ses segments, qui comprend le segment des services de protection contre les incendies et le segment de la vente directe uniforme, est inclus dans Tous les autres. Elle fournit ses produits et services aux petites entreprises de services et de fabrication aux grandes entreprises.</t>
  </si>
  <si>
    <t>Cisco systems, inc.</t>
  </si>
  <si>
    <t>US17275R1023</t>
  </si>
  <si>
    <t>Communications &amp; Networking</t>
  </si>
  <si>
    <t>Cisco Systems, Inc. est engagé dans la conception et la vente d'une gamme de technologies qui alimentent Internet. La société intègre ses plates-formes dans les domaines de la mise en réseau, de la sécurité, de la collaboration, des applications et du cloud. La Société opère à travers trois segments géographiques : les Amériques ; Europe, Moyen-Orient et Afrique (EMEA) et Asie-Pacifique, Japon et Chine (APJC). Les catégories de produits de la Société comprennent Secure, Agile Networks ; Internet pour le futur ; Collaboration; Sécurité de bout en bout ; Expériences d'application optimisées ; Autres produits et services. Secure, Agile Networks se compose de ses principales technologies de mise en réseau de produits de commutation, de routage d'entreprise, sans fil et de calcul. Internet for the Future comprend ses offres de réseau optique routé, de cinquième génération publique (5G), de silicium et d'optique. La collaboration comprend ses offres d'appareils de collaboration, de réunions, d'appels et de centre de contact. La sécurité de bout en bout comprend ses offres de sécurité globales.</t>
  </si>
  <si>
    <t>Citrix systems, inc.</t>
  </si>
  <si>
    <t>US1773761002</t>
  </si>
  <si>
    <t>Citrix Systems, Inc. est une société de logiciels d'entreprise qui fournit des solutions d'espace de travail numérique. Les solutions d'espace de travail de la société sont complétées par des solutions de collaboration de contenu et de gestion du travail collaboratif, des solutions de livraison d'applications et de sécurité, qui fournissent les applications et les données. Sa solution Workspace est livrée avec des intégrations prêtes avec les applications commerciales utilisées, notamment Salesforce, Workday, Systems Applications and Products (SAP) Ariba et SAP Concur, ServiceNow, Microsoft Outlook et Google Workspace, et est compatible avec les fournisseurs de gestion des identités et des accès, y compris Okta, Ping, Radius et GoogleID. Les produits de livraison d'applications et de sécurité de la société peuvent être consommés via des licences perpétuelles ou dans le cadre d'accords de licence groupés qui permettent aux clients de consommer soit dans un facteur de forme matériel, soit en tant que logiciel pendant la durée de l'accord. Ses capacités de livraison et de sécurité des applications incluent Citrix ADC, Citrix SD-WAN et Secure Access Service Edge (SASE).</t>
  </si>
  <si>
    <t>Cnp assurances sa</t>
  </si>
  <si>
    <t>FR0000120222</t>
  </si>
  <si>
    <t>CNP ASSURANCES S.A. est un fournisseur d'assurance personnelle basé en France. Le portefeuille de produits de la Société comprend des produits d'épargne, de risque et des produits de contingence et des produits de retraite. Elle offre une gamme de produits et de services dans les deux secteurs individuels et collectifs de l'assurance. Elle divise ses activités en Épargne, Retraite, Risque Personnel, Assurance Prêt, Assurance Maladie, Propriété et dommages et autres. La Société exerce ses activités par l'intermédiaire de plusieurs filiales, notamment Previposte, CNP IAM, CNP International et CAIXA Seguros, Dental Time, Azimut et Isalud, entre autres. Par ailleurs, CNP SA propose une gamme de services pour les personnes âgées et les personnes handicapées, à travers Filassistance International et l'Age d'Or Expansion. La société est présentée en France, en Espagne, en Argentine, au Portugal, entre autres.</t>
  </si>
  <si>
    <t>Coface sa</t>
  </si>
  <si>
    <t>FR0010667147</t>
  </si>
  <si>
    <t>COFACE SA est une société basée en France. Elle dispose d‘une assurance-crédit globale pour la protection des entreprises contre le risque de défaillance financière de leurs clients. L‘assurance-crédit Coface constitue également une analyse du risque que la Société fournit à ses clients afin de mieux prévenir les risques qu‘ils doivent prendre.</t>
  </si>
  <si>
    <t>Cofinimmo sa</t>
  </si>
  <si>
    <t>BE0003593044</t>
  </si>
  <si>
    <t>Cofinimmo SA est une société de placement immobilier à capital fixe basée en Belgique. La Société est spécialisée dans l'immobilier locatif tel que les bureaux, les immeubles de santé, les immeubles d'exploitation des entreprises et les propriétés publiques. De plus, la Société offre une gamme de services connexes à ses clients, tels que la gestion des installations, les patrouilles et la gestion des espaces de travail. Cofinimmo SA gère un portefeuille composé de Bureaux situés principalement à Anvers et Bruxelles, d'Immeubles de Santé situés en Belgique et en Allemagne, dont Villa Sonnenmond, exploitant d'Etablissements de Soins Infirmiers basé à Neustadt, de Réseaux Immobilier de Distribution, de Services, de Partenariats Public-Privé et de Développement. La Société exerce ses activités par l'intermédiaire de ses filiales.</t>
  </si>
  <si>
    <t>Cognizant technology solutions corporation</t>
  </si>
  <si>
    <t>US1924461023</t>
  </si>
  <si>
    <t>Cognizant Technology Solutions Corporation est une société de services professionnels. La Société exerce ses activités dans quatre secteurs : Services financiers (FS), Sciences de la santé (HS), Produits et ressources (P&amp;R) et Communications, médias et technologie (CMT). Le segment FS comprend les banques, les marchés de capitaux, les paiements et les compagnies d'assurance. Le segment HS comprend les prestataires de soins de santé et les payeurs, ainsi que les sociétés des sciences de la vie, y compris les sociétés pharmaceutiques, biotechnologiques et de dispositifs médicaux. Le segment P&amp;R comprend les fabricants, les constructeurs automobiles, les détaillants et les entreprises de voyage et d'accueil, ainsi que les entreprises fournissant des services de logistique, d'énergie et de services publics. Le segment CMT comprend les entreprises mondiales de communication, de médias et de divertissement, d'éducation, de services d'information et de technologie. Ses services comprennent les services et solutions numériques, le conseil, le développement d'applications, l'intégration de systèmes, l'ingénierie et l'assurance qualité, la maintenance des applications, l'infrastructure et la sécurité.</t>
  </si>
  <si>
    <t>Comcast corporation</t>
  </si>
  <si>
    <t>US20030N1019</t>
  </si>
  <si>
    <t>Comcast Corporation est une société mondiale de médias et de technologie. La société fournit le haut débit, le sans fil et la vidéo via Xfinity, Comcast Business et Sky ; produire, distribuer et diffuser des divertissements, des sports et des actualités par le biais de marques telles que NBC, Telemundo, Universal, Peacock et Sky ; et donne vie aux parcs à thème et aux attractions grâce aux destinations et expériences universelles. La Société exerce ses activités par l'intermédiaire de deux activités principales, à savoir la connectivité et les plateformes et le contenu et les expériences. Le segment Connectivité et plateformes comprend ses activités de connectivité haut débit et sans fil exploitées sous les marques Xfinity et Comcast aux États-Unis et sous la marque Sky dans certains territoires en Europe. Le segment Content &amp; Experiences comprend ses activités de médias et de divertissement qui développent, produisent et distribuent des divertissements, des nouvelles et des informations, des sports et d'autres contenus pour un public mondial et qui possèdent et exploitent des parcs à thème aux États-Unis et en Asie.</t>
  </si>
  <si>
    <t>Compagnie financiere richemont sa</t>
  </si>
  <si>
    <t>CH0210483332</t>
  </si>
  <si>
    <t>Compagnie Financière Richemont SA est une Société de bijoux basée en Suisse. Les segments de la société sont : Jewellery Maisons et Specialist Watchmakers. Le segment Jewellery Maisons comprend les entreprises, qui sont engagées dans la conception, la fabrication et la distribution de produits de joaillerie. Les activités sont les suivantes sont : Cartier, Van Cleef &amp; Arpels et Giampiero Bodino. Son segment Specialist Watchmakers comprend les entreprises dont l'activité principale consiste en la conception, la fabrication et la distribution de montres de précision. Les entreprises dans le segment Watchmakers comprennent Piaget, A. Lange &amp; Sohne, Jaeger-LeCoultre, Vacheron Constantin, Officine Panerai, IWC Schaffhausen, Baume &amp; Mercier et Roger Dubuis. Les autres segments opérant dans la société sont Montblanc, Alfred Dunhill, Chloé, Purdey, Shanghai Tang, Peter Millar, les sociétés d'immeubles de placement et d'autres entités manufacturières.</t>
  </si>
  <si>
    <t>Continental AG est une société basée en Allemagne qui propose des solutions de mobilité au secteur automobile. La Société opère dans quatre secteurs du groupe : Automobile, Pneus, ContiTech et Contract Manufacturing. Le secteur automobile comprend des technologies pour les systèmes de sécurité passive, de freinage, de châssis, de mouvement et de contrôle de mouvement. Le secteur est en outre divisé en cinq domaines d'activité : architecture et mise en réseau, mobilité autonome, sécurité et mouvement, mobilité intelligente et expérience utilisateur. Le secteur des pneus propose des systèmes de surveillance numérique et de gestion des pneus et d'autres services. Il est divisé en secteurs d'activité Équipement d'origine, Remplacement APAC, Remplacement EMEA, Remplacement Amériques et Pneus spéciaux. Le secteur du groupe ContiTech développe et fabrique des produits et des systèmes inter-matériaux, respectueux de l'environnement et intelligents. Il est divisé en six secteurs d'activité. Le segment de la fabrication sous contrat gère la fabrication sous contrat pour Vitesco Technologies et comprend un domaine d'activité.</t>
  </si>
  <si>
    <t>Costco wholesale corporation</t>
  </si>
  <si>
    <t>US22160K1051</t>
  </si>
  <si>
    <t>Costco Wholesale Corporation est un détaillant mondial avec des opérations de clubs-entrepôts dans huit pays. La Société exploite une chaîne internationale d'entrepôts de membres, principalement sous le nom de Costco Wholesale. Les entrepôts de la Société sont conçus pour aider les petites et moyennes entreprises à réduire leurs coûts d'achat pour la revente et pour une utilisation professionnelle quotidienne. La Société propose des marchandises dans diverses catégories, notamment les produits d'épicerie, les bonbons, les appareils électroménagers, la télévision et les médias, les fournitures automobiles, les pneus, les jouets, la quincaillerie, les articles de sport, les bijoux, les montres, les appareils photo, les livres, les articles ménagers, les vêtements, les produits de santé et de beauté, les meubles. , fournitures de bureau et matériel de bureau. Les membres peuvent également acheter des produits de marque privée Kirkland Signature. Elle exploite environ 838 entrepôts dans le monde. Elle exploite également des stations-service en libre-service. La Société exploite des sites Web de commerce électronique aux États-Unis, au Canada, au Mexique, au Royaume-Uni, en Corée, à Taïwan, au Japon et en Australie.</t>
  </si>
  <si>
    <t>Covestro ag</t>
  </si>
  <si>
    <t>DE0006062144</t>
  </si>
  <si>
    <t>Covestro AG est une entreprise allemande spécialisée dans la fabrication de matériaux polymères. La Société développe, produit et commercialise des polyuréthannes, des polycarbonates et des matières premières, ainsi que des revêtements, des adhésifs et d'autres spécialités. Les activités de la Société sont divisées en trois segments: les polyuréthanes, qui offrent des précurseurs, tels que la mousse de polyuréthane qui est flexible et principalement utilisée dans les industries du meuble et de l’automobile, et la mousse rigide utilisée comme matériau isolant dans le secteur de la construction et dans les chaînes de réfrigération; Polycarbonates, fournissant des polycarbonates plastiques sous forme de granulés, de matériaux composites et de produits semi-finis destinés aux secteurs de l'automobile, de la construction, des technologies médicales, de l'éclairage, ainsi que d’autres secteurs ; et le dernier segment regroupe les Revêtements, les Adhésifs et les Spécialités en produisant des précurseurs pour revêtements, adhésifs, mastics et spécialités, ainsi que des matériaux polymères et des dispersions aqueuses pour une utilisation dans l’automobile et le transport, la transformation du bois et le meuble, , ainsi que d’autres utilisations.</t>
  </si>
  <si>
    <t>Covivio sa</t>
  </si>
  <si>
    <t>FR0000064578</t>
  </si>
  <si>
    <t>Convivio SA, anciennement connue sous le nom de Foncière des Régions SA, est une société de placement immobilier basée en France disposant d'un portefeuille diversifié d'actifs immobiliers de bureaux. La Société loue des biens immobiliers à des constructeurs et sociétés de services, notamment France Télécom, Thales, Edf, Accor, Dassault Systèmes, Suez Environnement, IBM et Eiffage. Les actifs de la Société sont constitués de bureaux en France et en Italie via sa filiale Beni Stabili. Covivio SA est également présente sur le marché de l'immobilier tertiaire via une participation dans Foncière des Murs, spécialisée dans les loisirs, les restaurants et les établissements de santé. Par ailleurs, sa filiale Foncière Europe Logistique investit dans l'immobilier logistique en France et en Allemagne. La Société a également un intérêt dans l'immobilier résidentiel via Fonciere Developpement Logements. Elle opère également à travers d'autres filiales, telles que CB 21 et Urbis Park.</t>
  </si>
  <si>
    <t>Credit agricole sa</t>
  </si>
  <si>
    <t>Crédit Agricole SA est un groupe bancaire basé en France. La Société exerce des activités de banque de détail en France (Crdit Lyonnais) et à l'étranger. Elle offre des services bancaires et d'assurance à travers un réseau de banques et de succursales régionales et locales. Elle assure la gestion d'actifs, l'assurance et la banque privée, les actifs sous gestion. La Société propose des activités telles que la banque de financement, d'investissement et de marché standard, le financement bancaire spécialisé, les opérations boursières, le conseil en fusions-acquisitions, le capital investissement, etc. Sa banque de détail LCL est organisée en quatre métiers : la banque de détail des particuliers , banque de détail pour les petites entreprises, banque privée et banque d'entreprise. La société propose des produits et services financiers aux particuliers, aux petites entreprises, aux entreprises et aux collectivités locales en France et à l'étranger.</t>
  </si>
  <si>
    <t>Daimler Truck</t>
  </si>
  <si>
    <t>DE000DTR0CK8</t>
  </si>
  <si>
    <t>Daimler Truck Holding AG est une société basée en Allemagne, qui fonctionne désormais comme une entité indépendante. Elle fabrique des véhicules utilitaires, développe de nouvelles solutions et invente de nouvelles technologies. La société est engagée dans la fabrication de camions moyens (MDT) et de camions lourds (HDT). La société produit des bus et des camions sous des marques telles que Bharat Benz, Freightliner, FUSO, Mercedes-Benz, Setra, Thomas Built Buses et Western Star. La Société offre également des services financiers sur mesure pour soutenir l'achat et l'utilisation de ses camions et autobus. La Société exerce ses activités en France, en Allemagne, en Inde, au Mexique, au Brésil et aux États-Unis d'Amérique. La gamme de produits de camions de la Société comprend des camions légers, moyens et lourds pour la distribution longue distance et le transport sur chantier, des véhicules spéciaux qui sont utilisés dans les applications municipales ainsi que dans les moteurs industriels.</t>
  </si>
  <si>
    <t>Danone SA est une entreprise mondiale de restauration basée en France. Il fonctionne à travers quatre segments : Produits laitiers et végétaux essentiels (EDP), Eaux et Nutrition spécialisée, y compris Early Life Nutrition et Medical Nutrition. EDP produit et distribue des produits laitiers frais fermentés et d’autres spécialités laitières, des produits et des boissons d’origine végétale, des crèmes à café et des produits biologiques; Waters vend de l’eau embouteillée et de l’eau vendue dans de petits et de grands contenants; Early Life Nutrition offre des préparations pour bébés (lait maternisé, lait de suite, lait de croissance), lait et desserts à base de fruits, céréales, pots d’aliments pour bébés et prêt-à-servirAdvanced Medical Nutrition offre aux adultes ou aux enfants des produits de nutrition clinique à prendre par voie orale ou par tube en cas de malnutrition liée à une maladie ou à d’autres causes. Le portefeuille de marques de la Société comprend Activia, Actimel, Alpro, Danette, Danonino, Danio, evian, Volvic, Nutrilon/Aptamil, Nutricia, entre autres.</t>
  </si>
  <si>
    <t>Dassault aviation sa</t>
  </si>
  <si>
    <t>FR0014004L86</t>
  </si>
  <si>
    <t>DASSAULT AVIATION S.A. est une société basée en France qui opère dans l'industrie de l'aviation civile et militaire mondiale. La société se spécialise dans la conception, la fabrication et la vente d'avions de combat et de jets d'affaires. Son portefeuille de produits comprend la famille Falcon pour le marché de l'aviation civile, ainsi que les avions Mirage 2000, Rafale et Neuron pour le secteur militaire. Elle offre également des pièces de rechange, des outils et un éventail de services tels que le support technique, l'entretien et la réparation des équipements et pièces du fuselage, entre autres. La société possède des bureaux en Europe, en Asie, en Amérique du Sud et au Moyen-Orient. DASSAULT AVIATION S.A. a un certain nombre de filiales, implantées en Europe et en Amérique du Nord, dont DFJ-Little Rock, Sogitec Industries, DFJ Wilmington Corp., DFJ Teterboro, Dassault Falcon Service - Le Bourget, Aero-Precision Repair &amp; Overhaul Co., Inc, Dassault Procurement Services Inc., Dassault Aircraft Services et Midway Aircraft Instruments Company.</t>
  </si>
  <si>
    <t>Dassault systèmes</t>
  </si>
  <si>
    <t>  606 300 000   </t>
  </si>
  <si>
    <t>  563 400 000   </t>
  </si>
  <si>
    <t>  520 144 000   </t>
  </si>
  <si>
    <t>  452 207 000   </t>
  </si>
  <si>
    <t>  18 988 398 000   </t>
  </si>
  <si>
    <t>  18 698 337 000   </t>
  </si>
  <si>
    <t>  22 891 656 000   </t>
  </si>
  <si>
    <t>  38 015 070 000   </t>
  </si>
  <si>
    <t>43 060 400 000</t>
  </si>
  <si>
    <t>44 098 000 000</t>
  </si>
  <si>
    <t>Dassault Systemes SE est une société de logiciels basée en France, qui fournit différents types de solutions tridimensionnelles (3D). Son produit, 3DEXPERIENCE, est une plateforme d’expérience commerciale structurée en quatre quadrants englobant douze marques : applications sociales et collaboratives (y compris ENOVIA, 3DEXCITE, CENTRIC PLM), applications de modélisation 3D (y compris SOLIDWORKS, CATIA, GEOVIA, BIOVIA); applications de simulation (y compris 3DVIA, DELMIA, SIMULIA) et applications d’intelligence de l’information (y compris NETVIBES, EXALEAD,MEDIADATA). La structure de l’entreprise est répartie en trois secteurs : industries manufacturières (transport et mobilité; aérospatiale et défense; marine et offshore; équipement industriel; haute technologie; maison et mode de vie; biens de consommation emballés et commerce de détail) sciences de la vie et soins de santé (sciences de la vie) - (Sciences de la vie) Infrastructures et villes (Énergie et matériaux; Construction, villes et territoires; Services aux entreprises).</t>
  </si>
  <si>
    <t>Datadog, Inc. is the observability and security platform for cloud applications. The Company's software as a service (SaaS) platform integrates and automates infrastructure monitoring, application performance monitoring, log management, real-user monitoring, and various other capabilities to provide unified, real-time observability and security for its customers entire technology stack. Its platform consists of products that can be used individually or as a unified solution and includes a marketplace where customers can access products built by its partners on top of the Datadog platform. The Company's products include Infrastructure Monitoring, Application Performance Monitoring (APM), Log Management, Digital Experience Monitoring, Continuous Profiler, Database Monitoring, Network Monitoring, Incident Management, Observability Pipelines, Cloud Cost Management, Universal Service Monitoring, Cloud Security Management, Application Security Management, CI Visibility and others.</t>
  </si>
  <si>
    <t>Deere &amp; co</t>
  </si>
  <si>
    <t>Deere &amp; Company livre de l’équipement agricole, de construction et forestier. Le segment Production et agriculture de précision de la Société développe et fournit des solutions technologiques et d’équipement mondiales aux producteurs de grandes céréales, de petites céréales, de coton et de canne à sucre. Le segment Agriculture et gazon de Petite taille développe et fournit des solutions technologiques et d’équipement mondiales aux producteurs laitiers et d’élevage, aux producteurs de cultures de grande valeur et aux clients de gazon et de services publics. Le segment Construction et Foresterie développe et fournit une gamme de machines et de solutions technologiques organisées le long des systèmes de production de terrassement, de foresterie et de construction routière. Le secteur des Services Financiers finance les ventes et les baux des concessionnaires John Deere d’équipement agricole de production et de précision, de petits équipements agricoles et de gazon, ainsi que d’équipement de construction et de foresterie. Ses produits technologiques comprennent John Deere Autonomous 8R Tractor, See &amp; Spray et E-Power Backhoe.</t>
  </si>
  <si>
    <t>Delivery hero se</t>
  </si>
  <si>
    <t>DE000A2E4K43</t>
  </si>
  <si>
    <t>Delivery Hero SE est une société basée en Allemagne, qui est principalement engagée dans l’industrie de la commande alimentaire en ligne. La Société fonctionne comme un fournisseur de services de livraison de nourriture en ligne des restaurants et des cafés. La Société propose des pizzas, des hamburgers, des aliments biologiques, une cuisine végétalienne et des plats Asiatiques, entre autres. Son portefeuille de marques comprend Foodpanda, PedidosYa, Clickdelivery, Talabat, Yemeksepeti, Donesi, Hungerstation, Carriage, Otlob, Mjam et d’autres. La Société opère à l’échelle mondiale, sur le territoire de plus de 40 pays, comprenant l’Europe, le Moyen-Orient, l’Afrique du Nord, l’Asie et les Amériques. Les services de la Société sont disponibles en version Web et application mobile.</t>
  </si>
  <si>
    <t>DEME Group NV est une société basée en Belgique qui fournit des services d'ingénierie. La société fournit des solutions marines durables mondiales. Son activité s'organise autour de quatre segments, tels que DEME Offshore Energy, DEME Dredging &amp; Infra, DEME Environmental et DEME Concessions. Elle offre des services d'ingénierie et de sous-traitance à l'échelle mondiale dans les secteurs des énergies renouvelables et non renouvelables offshore. La société est impliquée dans l'ensemble du périmètre de l'équilibre de l'usine pour les parcs éoliens offshore qui comprend l'ingénierie, l'approvisionnement, la construction et l'installation de fondations, de turbines, d'inter -câbles de réseau, câbles d'exportation et sous-stations. Il fournit une grande variété d'activités de dragage dans le monde entier, y compris le dragage d'investissement et d'entretien, la remise en état des terres, la construction de ports, la protection des côtes et les travaux de rechargement des plages. Elle offre des solutions pour l'assainissement des sols et le réaménagement des friches industrielles, ainsi que le dragage environnemental et le traitement des sédiments.</t>
  </si>
  <si>
    <t>Derichebourg sa</t>
  </si>
  <si>
    <t>FR0000053381</t>
  </si>
  <si>
    <t>Derichebourg SA est un opérateur mondial basé en France qui s'engage dans les services environnementaux, d'entreprise et aéroportuaires. Les activités de la Société peuvent être divisées en deux branches distinctes : la division Environnement et la division Multiservices. Les services environnementaux comprennent le recyclage, la gestion des déchets et l'élimination des déchets industriels produits par les fabricants, les collectivités et les particuliers. La division multiservices joue un rôle important sur le marché européen des services aux entreprises et aux collectivités qui se concentrent sur le cœur de métier, améliorent l'organisation et contrôlent les coûts.</t>
  </si>
  <si>
    <t>Deutsche bank ag</t>
  </si>
  <si>
    <t>DE0005140008</t>
  </si>
  <si>
    <t>Deutsche Bank AG est une banque d'investissement et une société de services financiers basée en Allemagne. La Société propose une gamme de produits et services d'investissement, financiers et connexes aux particuliers, aux entreprises et aux clients institutionnels. Ses activités commerciales sont divisées en trois segments: Corporate &amp; Investment Bank (CIB), qui propose des produits et services bancaires d'investissement et de transaction pour les entreprises et les institutionnels; Private &amp; Commercial Bank (PCB), qui offre aux clients privés, aux entreprises et à la gestion de patrimoine une large gamme de produits allant des services bancaires standard aux conseils d'investissement et de financement individuels; et la gestion d'actifs (AM), dont les capacités d'investissement couvrent à la fois des stratégies actives et passives et un éventail de classes d'actifs, notamment des actions, des titres à revenu fixe, de l'immobilier et des investissements durables.</t>
  </si>
  <si>
    <t>Deutsche borse</t>
  </si>
  <si>
    <t>Deutsche Boerse AG est une organisation d'échange basée en Allemagne et un fournisseur intégré de produits et services couvrant la chaîne de processus de négociation de titres et de produits dérivés. La Société propose des services de cotation et de négociation et exploite les plateformes de négociation Xetra et Frankfurter Wertpapierboerse. Elle fournit également des services de compensation via Eurex Clearing, ainsi que des services bancaires post-négociation, de règlement et de garde pour les titres à revenu fixe, les actions et les fonds d'investissement. En plus de cela, Elle offre des données de marché et des services basés sur la technologie, tels que des flux de données, des données de marché, des services d'actualités, des données de référence, des services de reporting, des services externes de technologie de l'information (TI) et une infrastructure de négociation. La Société opère également par le biais de DB1 Ventures, une plateforme de capital-risque d'entreprise qui offre des capitaux, des connaissances, des conseils et une connectivité à ses sociétés de portefeuille.</t>
  </si>
  <si>
    <t>Deutsche telekom ag</t>
  </si>
  <si>
    <t>DE0005557508</t>
  </si>
  <si>
    <t>Deutsche Telekom AG est une société basée en Allemagne qui fournit des services de technologie de l'information (TI) et de télécommunications. Les segments opérationnels de la société comprennent l'Allemagne, qui comprend les activités de réseau fixe et mobile en Allemagne; États-Unis, qui se compose d'activités mobiles sur le marché américain; L'Europe, constituée d'opérations sur réseau fixe et mobile des entreprises nationales dans divers pays européens, tels que la Grèce, la Roumanie, la Hongrie, la Pologne, la République tchèque, la Croatie, la Slovaquie, l'Autriche, l'Albanie, la Macédoine et le Monténégro; les Solutions systèmes, qui exploite des systèmes de technologies de l'information et de la communication (TIC) pour les sociétés multinationales et les institutions du secteur public; Développement du groupe, comprenant les entités T-Mobile Netherlands et Deutsche Funkturm (DFMG) et sa participation au capital de Stroeer SE &amp; Co. KGaA, et du siège du groupe et des services de groupe, qui comprend les opérations du siège du service et de diverses autres filiales de la société .</t>
  </si>
  <si>
    <t>Diamond offshore drilling</t>
  </si>
  <si>
    <t xml:space="preserve">Diamond Offshore Drilling Inc. is an offshore drilling company. The Company is engaged in providing contract drilling services to the energy industry around the globe. The Company has a fleet of approximately 15 offshore drilling rigs, consisting of 11 semisubmersibles and four dynamically positioned drill ships. </t>
  </si>
  <si>
    <t>E on se</t>
  </si>
  <si>
    <t>DE000ENAG999</t>
  </si>
  <si>
    <t>E.ON SE est une entreprise énergétique basée en Allemagne. Les activités commerciales de la société sont divisées en quatre segments principaux : les réseaux d'énergie, les solutions clients, l'innogy et les énergies renouvelables. Le segment Réseaux énergétiques comprend ses réseaux de distribution d'électricité et de gaz et les activités connexes. Le segment Customer Solutions sert de plate-forme pour travailler avec ses clients afin de façonner la transition énergétique de l'Europe, en fournissant de l'électricité, du gaz et de la chaleur. Le segment Innogy comprend les activités de réseau et de vente, ainsi que les fonctions d'entreprise et les services internes du groupe innogy. Le secteur des énergies renouvelables construit, exploite et gère des actifs de production éolienne et solaire. De plus, elle possède une activité nucléaire en Allemagne, qui est exploitée par sa filiale PreussenElektra et n'est pas une activité stratégique. Les clients de la Société sont des particuliers, des petites et moyennes entreprises, des entreprises industrielles et commerciales et publiques.</t>
  </si>
  <si>
    <t>BB- / Négative</t>
  </si>
  <si>
    <t>Easy jet</t>
  </si>
  <si>
    <t>Easyjet PLC est une société holding basée au Royaume-Uni qui propose des vols et des voyages à forfait, principalement en Europe. La Société exerce ses activités dans deux secteurs : Transport aérien et Vacances. Le secteur d'activité Compagnies aériennes exploite son réseau de routes. Le secteur d'activité Vacances vend des forfaits vacances. Sa flotte totale est composée d'environ 320 avions. Sa flotte comprend des A319, A320, A320 neo et A321 neo. Il relie les entreprises, les familles et les vacanciers à travers le Royaume-Uni, la France, l'Allemagne, l'Italie et d'autres destinations européennes. Elle vend des sièges via son propre site Web, www.easyjet.com et sa plate-forme easyJet Worldwide, son application mobile, ses systèmes de distribution mondiaux, ses outils de réservation en ligne d'entreprise, ses agrégateurs de contenu et son voyagiste. Il permet aux passagers de réserver des vols sur les itinéraires de vol européens, reliant plus de 30 pays et plus de 100 villes. Ses filiales comprennent easyJet Airline Company Limited, easyJet Sterling Limited et d'autres.</t>
  </si>
  <si>
    <t>EDENRED SE, anciennement New Services Holding SA, est une société basée en France engagée dans la fourniture de bons de services prépayés aux entreprises. Elle conçoit et gère des solutions qui améliorent l'efficacité des organisations et le pouvoir d'achat des particuliers. En veillant à ce que les fonds alloués soient utilisés spécifiquement comme prévu, les solutions de la Société permettent à ses clients de gérer plus efficacement leurs avantages sociaux (Tickets pour Restaurants, Ticket Alimentation, Ticket Chèque Emploi Service Universel et Chèque Garderie, entre autres), le processus de gestion des dépenses (Ticket Car, Ticket Clean Way et Repom, entre autres) et les programmes d'encouragement et de récompenses (tels que Ticket Compliments, Ticket Kadeos, entre autres). EDENRED S.A. accompagne également les institutions publiques dans la gestion de leurs programmes sociaux. La Société exerce ses activités dans plus de 40 pays en Amérique, en Europe, en Afrique et en Asie. Elle fonctionne également à travers UTA.</t>
  </si>
  <si>
    <t>Edf</t>
  </si>
  <si>
    <t>Electricite de France S.A.(EDF SA) est un producteur, distributeur et un acteur sur le marché de l'électricité, basé en France. La Société génère de l'énergie à l'aide de la technologie nucléaire, mais aussi thermique, hydroélectrique et d'autres sources d'énergie renouvelable. Elle est active dans la production et la vente d'énergie aux industries, collectivités locales et aux consommateurs résidentiels. En plus, EDF gère le réseau public de distribution basse et moyenne tension et est active dans le réseau de transport d'électricité. Elle fournit également des services d'énergie comme le chauffage urbain et des services d'énergie thermique. La société est présente dans les pays suivants : France, Belgique, États-Unis, Pologne, Italie, Chine, Vietnam et dans d'autres pays du monde. La Société possède les filiales Dalkia (inclus Citelum), sous la marque Dalkia et SINOP Energy Company, entre autres.</t>
  </si>
  <si>
    <t>Eiffage SA est une société basée en France qui fournit des services de groupe de construction et de concessions. Elle exerce ses activités à travers cinq divisions : Construction, fournissant des services de construction, de promotion immobilière et de génie civil ; Travaux Publics, engagés dans la construction de routes, depuis les projets neufs et l'entretien jusqu'à la production d'enduits et de liants ; Énergie, fourniture de contrats électriques, y compris la maintenance multitechnique et la gestion des installations ; Metal, qui est active dans la construction métallique, intervenant dans les domaines des ouvrages d'art, de la mécanique, des industries pétrolières et nucléaires et Concessions et partenariats public-privé, qui gère et exploite des parkings, autoroutes et autres infrastructures.</t>
  </si>
  <si>
    <t>Electronic arts inc.</t>
  </si>
  <si>
    <t>US2855121099</t>
  </si>
  <si>
    <t>Electronic Arts Inc. est une société de divertissement interactif numérique. La Société développe, commercialise, publie et fournit des jeux, du contenu et des services auxquels les consommateurs peuvent jouer sur une gamme de plates-formes, notamment des consoles de jeux, des ordinateurs personnels (PC), des téléphones mobiles et des tablettes. Son portefeuille comprend des marques qu'il détient à 100%, telles que Apex Legends, Battlefield et Les Sims, ou des licences d'autres, telles que Madden NFL, Star Wars et les plus de 300 licences de son écosystème de football mondial. La société développe et publie des jeux et des services dans divers genres, tels que le sport, la course, le jeu de tir à la première personne, l'action, le jeu de rôle et la simulation. La Société commercialise et vend ses jeux et services par l'intermédiaire de canaux de vente au détail et de canaux de distribution numériques. La Société propose également des services en direct, notamment du contenu, des offres d'abonnement et la vente de ses jeux de base et de ses jeux gratuits.</t>
  </si>
  <si>
    <t>Eli lilly and company</t>
  </si>
  <si>
    <t>US5324571083</t>
  </si>
  <si>
    <t>Eli Lilly and Company est engagée dans une entreprise de fabrication de médicaments. La Société découvre, développe, fabrique et commercialise des produits dans le segment des produits pharmaceutiques humains. Ses produits contre le diabète comprennent Basaglar, Humalog, Humulin, Jardiance, Mounjaro et Trulicity. Ses produits oncologiques comprennent Alimta, Cyramza, Erbitux, Jaypirca, Retevmo, Tyvyt et Verzenio. Ses produits immunologiques comprennent Olumiant et Taltz. Ses produits de neurosciences comprennent Cymbalta, Emgality et Zyprexa. Ses autres thérapies consistent en Bamlanivimab et etesevimab, Bebtelovimab, Cialis et Forteo. Il maintient des groupes commerciaux spéciaux pour les grossistes de services, les gestionnaires de prestations pharmaceutiques, les organisations de soins gérés, les organisations d'achats groupés, les établissements gouvernementaux et de soins de longue durée, les hôpitaux et certaines pharmacies de détail. Elle fabrique et distribue ses produits par l'intermédiaire d'installations aux États-Unis, y compris à Porto Rico, et dans d'autres pays. Ses produits sont vendus dans plus de 110 pays.</t>
  </si>
  <si>
    <t>Elia group sa</t>
  </si>
  <si>
    <t>BE0003822393</t>
  </si>
  <si>
    <t>Elia Group SA, anciennement Elia System Operator SA, est un gestionnaire de réseau de transport d'électricité à haute tension basé en Belgique. La Société transporte de l'électricité sur son réseau haute tension depuis des générateurs jusqu'aux grands consommateurs industriels ainsi qu'aux distributeurs, qui alimentent à leur tour les ménages et les entreprises belges. Il est attribué par le gestionnaire du réseau de transport d'électricité belge sous des licences délivrées par le gouvernement fédéral et les gouvernements régionaux. Ses formes de grille sont la connexion entre la France et les marchés d'Europe du Nord. La Société opère à travers de nombreuses filiales et entités affiliées en Belgique, en Allemagne, au Luxembourg, aux Pays-Bas et en France, entre autres. Il est actif via Elia Grid International.</t>
  </si>
  <si>
    <t>Elior</t>
  </si>
  <si>
    <t>Elior Group SA est une société basée en France, opérant en tant qu'opérateur dans le secteur des services de restauration et de soutien. La Société couvre un certain nombre de secteurs dans les domaines des affaires, de l’éducation, ainsi que de la santé, entre autres. Le modèle du groupe Elior repose sur trois activités principales : restauration collective, restauration en concession et services d'assistance. Les activités s'organisent autour de deux marques commerciales principales: Elior, qui regroupe des offres de restauration dédiées aux professionnels et aux entreprises, et Elior Services, qui englobe des solutions de nettoyage destinées notamment aux établissements de santé et aux environnements industriels sensibles, ainsi que des services de gestion d’installations.</t>
  </si>
  <si>
    <t>BB + / Positive</t>
  </si>
  <si>
    <t>Elis SA est une société basée en France qui propose de nombreux services dans les domaines de la propreté, de l'image, de l'hygiène et du bien-être. La Société propose la location et l'entretien de linge plat, de vêtements professionnels, ainsi que des services d'appareils d'hygiène et de bien-être. Ses services de linge comprennent : des tabliers, des torchons et des serviettes en verre ; linge de maison pour l'hôtellerie et la restauration; linge pour les instituts de beauté et les spas, les centres de coiffure et de fitness, ainsi que le linge pour les établissements de santé. Elle offre ses services vestimentaires aux : hôtels, restaurants et réceptions et salons de beauté et spas, entre autres. Elle propose également des accessoires et consommables pour les opérateurs de salle blanche. Elle fournit des solutions sanitaires pour le lavage des mains et les distributeurs de papier toilette, entre autres. Elle dessert les secteurs de l'hôtellerie, de la restauration, de la santé, de l'industrie, du commerce et des services, grâce à son réseau et ses centres de distribution en Europe et en Amérique du Sud. Elle opère via Lavebras et Berendsen plc.</t>
  </si>
  <si>
    <t>Engie SA est un groupe mondial d'énergie et de services basé en France. Elle opère à travers quatre secteurs d’activité : Solutions client, Énergies renouvelables, Thermique et Réseaux. Solutions clients développe des solutions intégrées pour accompagner les entreprises et les collectivités locales dans la transition zéro carbone. Réseaux intervient dans la chaîne de valeur du gaz et de l'électricité (hydrogène, gaz naturel et biogaz) en amont de l'approvisionnement des clients. Les énergies renouvelables couvrent à la fois la production et la commercialisation d'électricité à partir de toutes les sources d'énergie renouvelables. Le secteur thermique fournit la production et la commercialisation d'électricité à partir d'autres sources d'énergie, telles que le gaz et le charbon. Les réseaux comprennent l'approvisionnement qui combine les activités d'achats-ventes en gros et les activités commerciales aux clients des solutions clients et Nucléaire, dédiées aux activités nucléaires.</t>
  </si>
  <si>
    <t>EQT</t>
  </si>
  <si>
    <t>SE0012853455</t>
  </si>
  <si>
    <t>EQT AB est une société d'investissement mondiale différenciée basée en Suède. La Société gère et conseille une gamme de fonds d'investissement spécialisés et d'autres véhicules d'investissement qui investissent à travers le monde. Il comprend trois segments d'activité: Private Capital, Real Assets et Credit. Le secteur d'activité Private Capital investit dans des entreprises de taille moyenne à grande en Europe et aux États-Unis, en Chine et en Asie du Sud-Est, des entreprises axées sur la technologie dans tous les secteurs et des entreprises publiques. Le segment d'activité Real Assets investit dans les infrastructures et les activités immobilières. Credit offrent une plateforme d'investissement.</t>
  </si>
  <si>
    <t>Eramet sa</t>
  </si>
  <si>
    <t>FR0000131757</t>
  </si>
  <si>
    <t>ERAMET S.A. est une société métallurgique et minière intégrée basée en France. Les activités de la Société sont réparties sur trois pôles d'activités : Le pôle Nickel, qui se consacre à la production de minerai de nickel en Nouvelle-Calédonie (exploitation minière), le traitement de minerai pour produire le ferro-nickel, le nickel de haute pureté, la production de dérivés chimiques du nickel et la fabrication de carbure de tungstène et de poudres de cobalt ; le pôle Manganèse, qui se consacre à la production de minerai de manganèse et le frittage, le traitement de minerai pour produire des alliages de manganèse, la production de chrome de haute pureté et des durcisseurs pour la production d'aluminium, la collecte et le recyclage des catalyseurs utilisés par les raffineries de pétrole, l'extraction et la valorisation du métal ; et le pôle Alliages, qui se consacre à la production de pièces forgées en matrice fermée en titane, aluminium, aciers et alliages à base de nickel sur presses de grande puissance, la production d'aciers rapides, d'aciers spéciaux de hautes performances, d'alliages à base de nickel et d'aciers à outils, entre autres.</t>
  </si>
  <si>
    <t>Esi group</t>
  </si>
  <si>
    <t>ESI GROUP S.A. est une société basée en France qui se consacre au développement et à la distribution des progiciels conçus pour effectuer des essais virtuels. La Société développe des logiciels de simulation numérique pour la simulation numérique de prototypes et l'ingénierie des processus de fabrication en mécanique appliquée. Elle fournit des applications de tests virtuels et des solutions pour les secteurs du moulage, des composites et des plastiques, de la vibro-acoustique, de l'électromagnétisme, de la biomécanique, de la dynamique des fluides, afin de simuler de façon réaliste les comportements du produit au cours des essais pour affiner les procédés de fabrication selon la performance désirée du produit et d'évaluer l'impact environnemental de la performance du produit. La Société fournit ses produits à diverses industries, dont l'aéronautique, le génie civil, l'industrie énergétique et électrique, le gouvernement et la défense et l'éducation, entre autres. Ses filiales incluent Civitec SARL, un fabricant de résistances électroniques; Calcom ESI SA, et Efield AB, entre autres. L'actionnaire principal de la Société est Crown Energy AB.</t>
  </si>
  <si>
    <t>Essilor luxottica</t>
  </si>
  <si>
    <t>EssilorLuxottica SA est une société ophtalmique basée en France. La Société conçoit, fabrique et commercialise une gamme de verres, de montures et de lunettes de soleil pour améliorer et protéger la vue. Elle développe et commercialise également des équipements et des instruments pour les laboratoires de prescription et des services pour les professionnels de la vue. Elle opère à travers trois segments : Verres et instruments optiques, qui comprend les verres correcteurs, les instruments optiques destinés aux opticiens et optométristes ; Equipment, qui comprend les machines et consommables utilisés par les usines et les laboratoires de prescription, et Sunglasses &amp; Readers, qui comprend les lunettes de lecture sans ordonnance et les lunettes de soleil sans ordonnance.</t>
  </si>
  <si>
    <t>Etablissementen franz colruyt nv</t>
  </si>
  <si>
    <t>BE0974256852</t>
  </si>
  <si>
    <t>Etablissementen Franz Colruyt NV est une société Belge active dans le commerce de détail et de gros de produits alimentaires. La division commerce de détail de la Société comprend la fourniture directe de produits aux clients de détail opérant par le biais des marques Colruyt, DreamBaby, BIO-planet, DreamLand et ColliShop, entre autres. Elle dispose d'un portefeuille de formats alimentaires et non alimentaires, en Belgique, en France et au Luxembourg. La Société dispose également d'une division des activités corporatives, qui regroupe, entre autres, les services de soutien, les processus et systèmes et l'administration centrale.</t>
  </si>
  <si>
    <t>Eurazeo SE est une société d’investissement basée en France. La Société détient un portefeuille diversifié de plus de 18 milliards d’euros d’actifs sous gestion dans tous les secteurs d’activité, dont 12,9 milliards d’euros de tiers, investis dans plus de 430 entreprises. La Société est active à travers cinq divisions d’investissement : Eurazeo Capital avec des investissements dans Iberchem, Albingia ou Europcar Mobility Group ; Eurazeo PME avec des investissements dans Dessange ou In’Tech Medical ; Eurazeo Growth avec des investissements dans Doctolib ou PayFit ; Eurazeo Brands avec des investissements dans la consommation et la distribution, y compris la beauté avec Pat McGrath Labs, la mode avec Bandier, la maison avec Herschel Supply, les entreprises de loisirs, de bien-être ou de restauration avec Q Mixers; Eurazeo Patrimoine avec des investissements dans l’immobilier et l’infrastructure avec C2S Group, Dazeo ou Reden Solar. La société soutient également le secteur numérique avec Idinvest Venture en investissant dans Ornikar, une école de conduite en ligne ou M Pharma, une société biopharmaceutique.</t>
  </si>
  <si>
    <t>Eurofins scientific se</t>
  </si>
  <si>
    <t>Eurofins Scientific SE est une société luxembourgeoise active dans le secteur des services de soutien aux entreprises. La Société rejoint un groupe international de laboratoires fournissant une gamme de services d'essais analytiques aux industries pharmaceutique, alimentaire, environnementale et des produits de consommation ainsi qu'aux gouvernements. Elle opère à travers un certain nombre de filiales, telles que VRL Laboratories aux États-Unis, Institut Nehring GmbH en Allemagne, Agfirst Bay of Plenty, un laboratoire d'analyse de la maturité des fruits en Nouvelle-Zélande, et Megalab SA, un laboratoire de diagnostic clinique en Espagne.</t>
  </si>
  <si>
    <t>Euronext NV est une société basée aux Pays-Bas qui est la société mère du groupe d’échange paneuropéen Euronext. Euronext propose une gamme diversifiée de produits et services, combinant les marchés actions, titres à revenu fixe et dérivés à Amsterdam, Bruxelles, Dublin, Lisbonne, Londres et Paris. Les activités de la Société comprennent la cotation, le cash trading, le trading sur dérivés, les données et indices de marché, les solutions post-trade et de marché, entre autres. Les marchés réglementés d’Euronext constituent une plate-forme de cotation pour les entreprises qui souhaitent lever des capitaux et entrer dans la zone euro. Il fournit une plate-forme de négociation électronique, qui permet aux investisseurs de passer des ordres directement avec la bourse. La société vend des données en temps réel, historiques et de référence générées par l’activité sur les marchés Euronext. Il calcule et publie également un portefeuille de plus de 500 indices de référence, dont l’indice AEX-Index et l’indice CAC 40. La Société offre des solutions et des services technologiques aux opérateurs d’échanges et de marchés.</t>
  </si>
  <si>
    <t>Europcar mobility group</t>
  </si>
  <si>
    <t>Europcar Mobility Group SA, anciennement connu sous le nom d'Europcar Groupe SA, est une société basée en France spécialisée dans l'activité de location de voitures. La Société est active dans plus de 100 pays grâce à ses propres opérations, franchisés et partenariats. Les principaux marchés de la Société sont l'Allemagne, le Royaume-Uni, la France, l'Italie, l'Espagne, l'Australie et la Nouvelle-Zélande, le Portugal, la Belgique,l' Allemagne et l'Autriche. Ses services de location de voitures sont destinés aux clients commerciaux, ainsi qu'aux clients de loisirs. La Société a également des partenariats avec EasyJet, Accor, AAdvantage (programme de prix de voyage American Airlines), Delta, American Express Company et Taxeo, un démarrage de FinTech. En outre, via Bluemove, elle offre des services de partage de voiture via une application mobile. Elle opère à travers Brunel, une entreprise offrant des services de taxis (ride-hailing)basée à Londres et GuidaMi par Ubeeqo et Buchbinder Group.</t>
  </si>
  <si>
    <t>Eutelsat Communications SA est une société holding basée en France qui fournit des services de satellites fixes. Elle offre quatre types de services, y compris des services de diffusion, tels que la diffusion directe à domicile et professionnelle; services à large bande, comprenant l'accès Internet à large bande; services de télécommunications et de données pour assurer des liaisons de communication permanentes depuis tous les points du globe, établir ou rétablir des communications dans un contexte d'urgence et de multidiffusion; ainsi que les communications mobiles et maritimes, telles que la gestion de la flotte et les communications maritimes à large bande sur terre et en mer. Elle exploite une flotte de satellites couvrant l'Europe, le Moyen-Orient, l'Afrique du Nord et l'Afrique subsaharienne, ainsi que certaines parties de l'Asie et des Amériques. Elle opère à travers Satelites Mexicanos SA de CV et Noorsat.</t>
  </si>
  <si>
    <t>Exxon mobil corporation</t>
  </si>
  <si>
    <t>US30231G1022</t>
  </si>
  <si>
    <t>Exxon Mobil Corporation est active dans le secteur de l'énergie. L'activité principale de la Société comprend l'exploration et la production de pétrole brut et de gaz naturel, ainsi que la fabrication, le commerce, le transport et la vente de pétrole brut, de gaz naturel, de produits pétroliers, de produits pétrochimiques et d'une gamme de produits spécialisés. Les segments de la Société comprennent l'amont, les produits énergétiques, les produits chimiques et les produits spécialisés. Le segment Amont est organisé et opère pour explorer et produire du pétrole brut et du gaz naturel. Les segments Produits énergétiques, Produits chimiques et Produits spécialisés sont organisés et fonctionnent pour fabriquer et vendre des produits pétroliers et pétrochimiques. Le segment des produits énergétiques comprend les carburants, les aromatiques, les catalyseurs et les licences. Le segment Produits chimiques comprend les oléfines, les polyoléfines et les intermédiaires. Le segment des produits de spécialité comprend les lubrifiants finis, les huiles de base et les cires, les synthétiques, les élastomères et les résines.</t>
  </si>
  <si>
    <t>Farfetch Limited est une plateforme mondiale pour l'industrie de la mode de luxe. La société est le point de rencontre de plus de 1 300 marques, boutiques et centres commerciaux situés dans plus de 50 pays. La Société opère à travers trois segments : Plateforme numérique, plateforme de marque et en magasin. Les activités du segment Plateforme numérique comprennent Farfetch Marketplace, FPS, BrownsFashion.com, StadiumGoods.com, Farfetch Future Retail et d'autres canaux de vente en ligne exploités par la Société, y compris les sites Web respectifs des marques du portefeuille New Guards. Le segment des plateformes numériques comprend également les ventes directes aux consommateurs de produits détenus. Le segment Brand Platform comprend la production et la distribution en gros de marques détenues et licenciées par New Guards et comprend les opérations de magasins franchisés. Le segment In-Store couvre les activités des magasins qu'il exploite, notamment Browns, Stadium Goods et certaines marques du portefeuille New Guards.</t>
  </si>
  <si>
    <t>Figeac-aéro</t>
  </si>
  <si>
    <t>FIGEAC AERO S.A., anciennement Figeac Aero SARL, est une société basée en France spécialisée dans la fabrication de pièces et de composants pour l'industrie aéronautique. Elle offre une gamme de produits et de services tels que la conception, la fabrication et l'assemblage de sous-ensembles ; la fabrication de pièces de structure, allant des petits accessoires aux grands panneaux ; la fourniture de pièces de moteur, comme le tour vertical et les lames, et le fraisage de l'aluminium et des matériaux durs ; et la production de pièces de précision, tels que les trains d'atterrissage et les inverseurs de poussée. Les clients de la Société comprennent Airbus, Embraer, ATR, Boeing, Bombardier, Eurocopter et Gulfstream, entre autres. Elle est une filiale de Figeac Aero Group qui comprend les entreprises engagées dans la fourniture de produits et services liés à l'aéronautique. Elle opère à travers le Groupe Sonaca et PECISS, une société de services de technologie industrielle basée en Tunisie.</t>
  </si>
  <si>
    <t>Fnac darty sa</t>
  </si>
  <si>
    <t>FR0011476928</t>
  </si>
  <si>
    <t>Specialty Retailers</t>
  </si>
  <si>
    <t>Fnac Darty SA, anciennement Groupe Fnac SA, est une société basée en France. La Société est un distributeur de produits culturels, de loisirs et technologiques pour le publique en magasin et sur Internet, tant en France qu'à l'international : Espagne, Portugal, Brésil, Belgique, Suisse et Maroc. Elle poursuit sa dynamique dans l'économie de la réparation à travers sa filiale NSF. Fnac Darty SA propose à ses clients deux produits tels que : des produits éditoriaux (musique, vidéo, livres et papeterie, jeux vidéo) et des produits techniques (photo, télévision (TV)-vidéo, audio, informatique, entre autres). Téléphone, réservation de billets et activités de voyage complètent l'offre.</t>
  </si>
  <si>
    <t>Forvia (ex-faurecia)</t>
  </si>
  <si>
    <t>Faurecia SE est un équipementier automobile basé en France. La Société présente ses activités dans quatre secteurs principaux: Faurecia Seating, Faurecia Interiors, Faurecia Clarion Electronics et Faurecia Clean Mobility. Faurecia Seating développe des systèmes de sièges qui optimisent le confort et la sécurité des utilisateurs. Il développe également des solutions pour le confort thermique et postural, la santé et le bien-être et la sécurité avancée. Le secteur Faurecia Interiors développe des systèmes intérieurs complets, comprenant des tableaux de bord, des panneaux de porte, des consoles centrales ainsi que des surfaces intelligentes, des solutions pour des interfaces homme-machine intuitives et un confort et une qualité de l'air personnalisés dans l'habitacle. Le secteur Faurecia Clarion Electronics développe et produit des services d’infodivertissement dans les véhicules, de conception du son entièrement numérique, d’assistance avancée au conducteur, de connectivité et de services cloud pour des clients du monde entier. Le secteur Faurecia Clean Mobility développe des solutions pour amener la mobilité et l’industrie à zéro émission.</t>
  </si>
  <si>
    <t>Fresenius medical care ag &amp; co kgaa</t>
  </si>
  <si>
    <t>DE0005785802</t>
  </si>
  <si>
    <t>Healthcare Providers &amp; Services</t>
  </si>
  <si>
    <t>Fresenius Medical Care AG &amp; Co. KGaA est un institut de dialyse rénale basé en Allemagne. La Société fournit des soins de dialyse et des services connexes aux personnes souffrant d'insuffisance rénale terminale (IRT), ainsi que d'autres services de santé. La Société développe et fabrique également une grande variété de produits de soins de santé, notamment des produits de dialyse et de non-dialyse. Ses produits de dialyse comprennent des appareils d'hémodialyse, des cycleurs péritonéaux, des dialyseurs, des solutions et des granulés péritonéaux, des lignes de sang, des produits pharmaceutiques rénaux et des systèmes de traitement de l'eau. Ses produits non dialysés comprennent des produits cardiopulmonaires aigus et d'aphérèse. La Société fournit aux cliniques de dialyse qu'elle possède, exploite ou gère une large gamme de produits, et vend des produits de dialyse à d'autres fournisseurs de services de dialyse.</t>
  </si>
  <si>
    <t>Fresenius se &amp; co kgaa</t>
  </si>
  <si>
    <t>DE0005785604</t>
  </si>
  <si>
    <t>Fresenius SE &amp; Co KGaA est un groupe de santé basé en Allemagne. Il opère à travers quatre segments d’activité. Fresenius Medical Care gère un réseau mondial de cliniques de dialyse, offrant des traitements aux patients souffrant d’insuffisance rénale chronique. Il propose également des dialyseurs, des machines de dialyse et des médicaments rénaux. Fresenius Kabi se spécialise dans les médicaments génériques administrés par voie intraveineuse (IV), la nutrition clinique et les thérapies par perfusion. Il fournit également aux hôpitaux des dispositifs médicaux et des produits de technologie transfusionnelle. Fresenius Helios est un opérateur d’hôpital privé, avec plus de 130 installations en Allemagne, y compris les hôpitaux de soins maximum et les centres de réadaptation et, par le biais de Quironsalud, plus de 80 hôpitaux et centres ambulatoires, ainsi qu’environ 300 centres de prévention des risques professionnels en Espagne. Fresenius Vamed gère des projets et fournit des services pour les établissements de santé dans le monde entier, du développement et de la construction clé en main à la maintenance et la gestion opérationnelle totale.</t>
  </si>
  <si>
    <t>Galapagos nv</t>
  </si>
  <si>
    <t>BE0003818359</t>
  </si>
  <si>
    <t>Galapagos NV est une société Belge de biotechnologie au stade clinique. La Société est engagée dans la découverte et le développement de médicaments à petites molécules avec de nouveaux modes d'action. Son pipeline comprend des phases 3, 2, 1, des études précliniques et des programmes de découverte de petites molécules et d'anticorps dans la fibrose kystique, l'inflammation et d'autres indications. La Société se concentre sur le développement d'un portefeuille de thérapies au stade clinique pour l'amélioration des paradigmes de traitement existants. Elle développe des médicaments transformationnels dans des domaines où les besoins ne sont pas satisfaits en combinant la science interne avec la science externe dans le but d'ajouter des années de vie et d'améliorer la qualité de vie des patients à travers le monde. Il découvre également quelles protéines sont impliquées dans l'apparition de maladies telles que les rhumatismes articulaires, l'arthrite, les maladies inflammatoires de l'intestin et la fibrose. La Société a acquis CellPoint et AboundBio afin de développer une thérapie cellulaire, qui est un traitement transformateur potentiel de différents types de cancer.</t>
  </si>
  <si>
    <t>Gecina sa</t>
  </si>
  <si>
    <t>FR0010040865</t>
  </si>
  <si>
    <t>Gecina SA est une société basée en France qui est active dans le secteur financier. La Société est une société d'investissement immobilier (SIIC). Elle est principalement engagée dans la location d'immeubles commerciaux et résidentiels. Elle gère et développe un patrimoine immobilier situé en Île-de-France. La Société construit son activité autour du portefeuille de bureaux en France et d'un pôle de diversification avec des actifs résidentiels et des résidences étudiantes. Il crée une fondation qui se concentre sur la protection de l'environnement et le soutien aux personnes handicapées.</t>
  </si>
  <si>
    <t xml:space="preserve">BBB / Stable </t>
  </si>
  <si>
    <t>General Electric Healthcare</t>
  </si>
  <si>
    <t>GE HealthCare Technologies Inc. est une société mondiale de technologie médicale, de diagnostic pharmaceutique et de solutions numériques. La Société développe, fabrique et commercialise un portefeuille de produits, services et solutions numériques complémentaires utilisés dans le diagnostic, le traitement et le suivi des patients. Les segments de la société comprennent l'imagerie, les ultrasons, les solutions de soins aux patients et les diagnostics pharmaceutiques. Le segment Imagerie comprend les appareils de numérisation, les applications cliniques, les capacités de service et les solutions numériques. Le segment Ultrason comprend le dépistage, le diagnostic, le traitement et la surveillance de certaines maladies. Le segment Patient Care Solutions comprend les dispositifs médicaux, les services, les produits consommables, les services et les solutions numériques. Le segment Pharmaceutical Diagnostics est un fournisseur d'agents de diagnostic pour l'industrie mondiale de la radiologie et de la médecine nucléaire.</t>
  </si>
  <si>
    <t>General motors company</t>
  </si>
  <si>
    <t>US37045V1008</t>
  </si>
  <si>
    <t>General Motors Company conçoit, construit et vend des camions, des multisegments, des voitures et des pièces automobiles et fournit des services et des abonnements activés par logiciel dans le monde entier. La Société fournit des services de financement automobile par l'intermédiaire de son secteur General Motors Financial Company, Inc. (GM Financial). GM North America (GMNA) et GM International (GMI) développent, fabriquent et/ou commercialisent des véhicules sous les marques Buick, Cadillac, Chevrolet et GMC. Les segments de la Société comprennent GMNA, GMI, Cruise et GM Financial. Son segment Cruise est engagé dans le développement et la commercialisation de la technologie des véhicules autonomes. Elle offre OnStar et des services connectés à environ 21 millions de véhicules connectés dans le monde par le biais de services par abonnement et gratuits. Elle développe également des applications de piles à combustible à hydrogène dans les transports et les industries, y compris la production d'électricité mobile, les camions de classe sept/huit, les locomotives, l'aérospatiale et les applications marines.</t>
  </si>
  <si>
    <t>Getlink s.e.</t>
  </si>
  <si>
    <t>FR0010533075</t>
  </si>
  <si>
    <t>Getlink SE, anciennement dénommée Groupe Eurotunnel SE, est une société basée en France qui regroupe un groupe de sociétés actives dans les domaines de la gestion des infrastructures et des opérations de transport. Ses différentes entités partagent l'attention à la qualité et au service client, avec une priorité donnée à la sécurité. La Société gère et exploite le tunnel sous la Manche entre le Royaume-Uni et la France et son infrastructure ferroviaire. La Société est également engagée dans le transport de passagers et de marchandises entre l'Europe continentale et le Royaume-Uni. En outre, Elle assure le transport par ferry à travers la Manche. Getlink SE a des participations directes et indirectes dans un certain nombre de sociétés, notamment Channel Tunnel Group Limited, France Manche SA et Europorte SAS, entre autres.</t>
  </si>
  <si>
    <t>Gilead sciences, inc.</t>
  </si>
  <si>
    <t>US3755581036</t>
  </si>
  <si>
    <t>Gilead Sciences, Inc. est une société biopharmaceutique. La Société se concentre sur la découverte, le développement et la commercialisation de médicaments pour prévenir et traiter les maladies, notamment le virus de l'immunodéficience humaine (VIH), l'hépatite virale et le cancer. Les produits de la Société pour les patients atteints du VIH/SIDA comprennent Biktarvy, Genvoya, Descovy, Odefsey, Truvada, Complera/Eviplera et Stribild. Le produit COVID-19 de la société est Veklury. La société fournit également des produits Epclusa, Harvoni, Vemlidy et Viread pour les maladies du foie. Les produits sous hématologie/oncologie/thérapie cellulaire comprennent Yescarta, Tecartus, Trodelvy et Zydelig. Les autres produits de la Société comprennent Letairis (ambrisentan), Ranexa (ranolazine), Cayston, Jyseleca et AmBisome (liposome d'amphotéricine B pour injection). La Société vend et distribue également des versions génériques d'Epclusa et d'Harvoni aux États-Unis. La Société se concentre également sur la restauration de l'équilibre immunitaire avec des agonistes ciblant les récepteurs inhibiteurs immunitaires.</t>
  </si>
  <si>
    <t>Givaudan sa</t>
  </si>
  <si>
    <t>Givaudan SA est une holding basée en Suisse, et spécialisée dans l'industrie du parfum et des saveurs. La Société a deux divisions : Parfums et Saveurs. Le segment Parfums se compose de la fabrication et de la vente de parfums à travers quatre unités commerciales : Parfumerie fine, incluant les parfums ; Produits de consommation, incluant les soins personnels, de la peau et des cheveux, les produits ménagers et les soins bucco-dentaires ; Ingrédients de parfum ; et Activités cosmétiques, composée de produits de beauté. La division commerciale Saveurs se compose de la fabrication et la vente de saveurs en quatre unités commerciales : Boissons, comprenant des saveurs pour les boissons gazeuses, jus de fruits et boissons instantanées ; Produits laitiers, comprenant des glaces, yaourts, desserts et matières grasses à tartiner ; Produits salés, couvrant les soupes et les sauces ; et Confiserie. La Société s'engage aussi dans des activités de recherche et de développement de matières premières synthétiques et naturelles utilisées en parfumerie. La Société opère Induchem Holding AG comme une filiale à part entière.</t>
  </si>
  <si>
    <t>GN Store Nord A/S est une société basée au Danemark qui propose des solutions audio. La société se concentre sur le système auditif humain, le son et la parole, les technologies sans fil et le développement de logiciels reliant les connaissances et les connaissances des industries des prothèses auditives et des casques. Les segments de la société comprennent GN Hearing, GN Audio et Other GN. Le segment GN Audio est engagé dans la vente de solutions de communication mains libres sous forme de casques pour téléphones mobiles et téléphones traditionnels. Le segment GN Hearing opère dans l'industrie des aides auditives, produisant et vendant principalement des aides auditives et des produits connexes. GN Hearing est un fabricant en gros. Elle propose un portefeuille de solutions audio médicales, professionnelles et grand public, et propose des marques dans les domaines de la technologie médicale, des appareils auditifs et de l'audio. Ses solutions audio sont commercialisées par ses marques ReSound et Jabra. Elle fournit des produits et des solutions aux utilisateurs dans plus de 90 pays à travers le monde.</t>
  </si>
  <si>
    <t>Goldman sachs group</t>
  </si>
  <si>
    <t>Le Goldman Sachs Group, Inc. est une institution financière mondiale qui offre une gamme de services financiers à une clientèle diversifiée comprenant des entreprises, des institutions financières, des gouvernements et des particuliers. Elle opère à travers trois segments : Global Banking &amp; Markets, Asset &amp; Wealth Management et Platform Solutions. Le segment Global Banking &amp; Markets offre une gamme de services, y compris le financement, les services de conseil, la distribution des risques et la couverture pour ses clients institutionnels et entreprises. Il facilite les transactions des clients et crée des marchés de produits à revenu fixe, d'actions, de devises et de matières premières. Le segment Asset &amp; Wealth Management gère des actifs et propose des produits d'investissement dans diverses classes d'actifs à un ensemble diversifié de clients. Elle propose également des solutions d'investissement et de conseil patrimonial. Les solutions de plate-forme comprennent des plates-formes grand public, telles que des partenariats proposant des cartes de crédit et du financement au point de vente, des transactions bancaires et d'autres activités de plate-forme.</t>
  </si>
  <si>
    <t>Groep brussel lambert nv</t>
  </si>
  <si>
    <t>BE0003797140</t>
  </si>
  <si>
    <t>Holding Companies</t>
  </si>
  <si>
    <t>Groep Brussel Lambert NV est une société holding d'investissement basée en Belgique. La Société possède un portefeuille diversifié composé de sociétés mondiales, telles qu'Imerys, Adidas, Pernod Ricard, LafargeHolcim, Umicore et Ontex, entre autres. Elle opère sous trois secteurs d'activité, tels que Holding, qui comprend la société mère et les filiales. Son activité principale consiste à gérer des participations ainsi que les sociétés opérationnelles non consolidées et associées. Son Imerys, qui se compose du groupe Imerys engagé dans les solutions et spécialités énergétiques, la filtration et les additifs de performance, les matériaux céramiques, les minéraux à haute résistance et le capital de sienne.</t>
  </si>
  <si>
    <t>Gtt</t>
  </si>
  <si>
    <t>Ingénierie</t>
  </si>
  <si>
    <t>Gaztransport et Technigaz SA est une société d'ingénierie basée en France spécialisée dans les systèmes de confinement pour l'expédition et le stockage en conditions cryogéniques de GNL (gaz naturel liquéfié). Elle propose, avec ses filiales, des prestations de conseil, d'études d'ingénierie, d'assistance, de support aux opérations, de maintenance de réservoirs à membrane, de solutions numériques et de formation, entre autres. La société travaille sur de nouvelles technologies de confinement du GNL, ainsi que sur des solutions à utiliser avec d'autres gaz liquéfiés, des technologies et des solutions d'ingénierie pour l'industrie offshore, les transporteurs multigaz et les petits et moyens transporteurs. Il offre également de nouvelles applications pour le marché en pleine croissance du GNL comme carburant de propulsion. La société gère son propre laboratoire d'essais et participe activement à la recherche via ses partenariats avec des sociétés d'ingénierie, des instituts de recherche, des laboratoires et des universités.</t>
  </si>
  <si>
    <t>CAC small &amp; Mid</t>
  </si>
  <si>
    <t>GUERBET S.A. est un groupe pharmaceutique basé en France spécialisé dans la fabrication et la commercialisation de produits de contraste d'imagerie médicale destinés à des fins diagnostiques. Il met au point des produits de contraste d'imagerie médicale pour les examens radiologiques par rayons X et par IRM, les échographies et la médecine nucléaire. Les produits de contraste sont utilisés dans le diagnostic des troubles cardio-vasculaires, inflammatoires et neurodégénératifs. Le portefeuille de produits de la société comprend des marques telles que Xenetix, Hexabrix, Optiray, Oxilan, Telebrix, Lipiodol, Dotarem, Endorem, Artirem, Lumirem et Lipiodol, entre autres. GUERBET S.A. est également active dans le secteur des produits de chimie fine à travers sa filiale Simafex. La société opère par le biais de ses filiales, dont Simafex, Medex, SCI KALB, Guerbet LLC, Guerbet Asie Pacifique et Guerbet GmbH, entre autres.</t>
  </si>
  <si>
    <t>Hannover rueck se</t>
  </si>
  <si>
    <t>DE0008402215</t>
  </si>
  <si>
    <t>Hannover Rueck SE est une compagnie de réassurance. La Société opère à travers deux segments : Réassurance IARD et réassurance Vie et Santé. La Société, dans le secteur de la réassurance IARD, est active dans la réassurance maritime et aérienne, la réassurance crédit et caution, les affaires souscrites sur le marché de Londres, ainsi que la réassurance directe et facultative. Son segment de réassurance vie et santé a des activités divisées en solutions financières et solutions de risque. La catégorie des solutions de risque de la Société est subdivisée en longévité, mortalité et morbidité. Sa catégorie de longévité englobe ses activités de réassurance de rentes et de pensions. Le portefeuille de la Société se compose de rentes améliorées dans le secteur de la réassurance vie et santé. La Société dispose d'un réseau composé de plus de 130 filiales, sociétés affiliées, succursales et bureaux de représentation.</t>
  </si>
  <si>
    <t>Haulotte</t>
  </si>
  <si>
    <t>HAULOTTE GROUP S.A. est une société basée en France spécialisée dans la fabrication de matériel de levage et de matériel de terrassement. Elle exerce ses activités à travers trois secteurs d'activité : fabrication et vente de matériel de levage, location de matériel de levage et la fourniture de services tels que le financement, les pièces de rechange, les réparations, la formation et l'assistance technique. La Société offre deux principales catégories de produits : L'équipement de levage de personnes, tels que, du matériel télescopique, des ciseaux, de l'équipement articulé, des mâts, des remorques et des rampes montées sur camion ; et du matériel de levage et de terrassement, tels que des chargeuses-pelleteuses et de l'équipement télescopique. Haulotte Group dispose de six usines de production : trois en France, une en Roumanie, une en Chine et une en États-Unis. Elle exerce ses activités à travers ses filiales, y compris Haulotte France Sarl et Telescopelle SAS, entre autres. Elle est présente dans plus de 100 pays dans le monde entier.</t>
  </si>
  <si>
    <t>Heidelbergcement ag</t>
  </si>
  <si>
    <t>DE0006047004</t>
  </si>
  <si>
    <t>Construction Materials</t>
  </si>
  <si>
    <t>HeidelbergCement AG est une entreprise Allemande de matériaux de construction. Ses produits sont utilisés pour la construction de maisons, d'infrastructures et d'installations commerciales et industrielles. La Société opère à travers les segments : Ciments, Granulats, Béton prêt à l'emploi-Asphalte et Services - Coentreprises - Autres. Le segment Ciments et le segment Granulats se concentrent sur les matières premières pour le béton, à savoir le ciment et les granulats, tels que le sable, le gravier et la roche concassée. Le secteur Béton prêt à l'emploi-asphalte comprend les activités de béton prêt à l'emploi et d'asphalte de la Société. Le segment Service - Coentreprises - Autres comprend les activités des coentreprises de la Société, y compris les activités de négociation, entre autres.</t>
  </si>
  <si>
    <t>Heineken nv</t>
  </si>
  <si>
    <t>NL0000009165</t>
  </si>
  <si>
    <t>Heineken N.V. est impliqué dans le brassage et la vente de la bière. La Société opère à travers cinq segments: Afrique, Moyen-Orient et Europe de l’Est; Amériques; Asie-Pacifique, Europe, et Siège Social et Autres / éliminations. Le segment Afrique, Moyen-Orient et Europe de l’Est comprend des marques telles que Heineken, Primus, Amstel, Walia et Goldberg. Le segment Amériques comprend des marques comme Heineken, Tecate, Amstel, Sol et Dos Equis. Le segment Asie-Pacifique comprend des marques comme Heineken, Anchor, Larue, Tiger et Bintang. Le segment européen comprend des marques telles que Heineken, Cruzcampo, Birra Moretti, Zywiec et Strongbow Apple Ciders. La Société possède, commercialise et vend plus de 250 marques dans plus de 190 pays. La gamme d'extensions de marque d' Amstel comprend Amstel Light, Amstel Lager, Amstel Premium Pilsener, Amstel Bright et Amstel Radler. La gamme de saveurs de Strongbow Apple Ciders est basée sur la pomme, notamment Gold Apple, Honey, Red Berries, Elderflower et Dark Fruit.</t>
  </si>
  <si>
    <t>Hellofresh se</t>
  </si>
  <si>
    <t>DE000A161408</t>
  </si>
  <si>
    <t>Hellofresh SE est une société basée en Allemagne qui fournit des services de restauration en ligne. La société propose des ingrédients préportionnés qui permettent aux abonnés de préparer chaque semaine des repas faits maison à l'aide de ses recettes. Les utilisateurs ont le choix entre différents types de repas et de recettes qui sont livrés certains jours de la semaine. La Société livre ses produits à des clients dans différentes régions géographiques. Les activités commerciales de la Société sont divisées en deux secteurs opérationnels : le secteur États-Unis, qui comprend les activités aux États-Unis et le secteur International, qui comprend les activités en Australie, en Autriche, en Belgique, au Canada, en Allemagne, aux Pays-Bas, en Suisse et au Royaume-Uni. L'entreprise opère sous la marque HelloFresh.</t>
  </si>
  <si>
    <t>Henkel ag &amp; co kgaa</t>
  </si>
  <si>
    <t>DE0006048408</t>
  </si>
  <si>
    <t>Henkel AG &amp; Co KGaA est active dans les secteurs de la consommation et de l'industrie. Les secteurs d'activité de la Société comprennent les adhésifs pour les consommateurs, les artisans et la construction, les adhésifs industriels, les soins de beauté et les soins du linge et de la maison. La Société exerce ses activités en Europe de l'Ouest, en Europe de l'Est, en Afrique/Moyen-Orient, en Amérique du Nord, en Amérique Latine et en Asie-Pacifique. Le secteur d'activité Adhésifs pour les consommateurs, les artisans et le bâtiment de la Société commercialise une gamme de produits de marque pour les particuliers, les artisans et l'industrie de la construction. Les segments des adhésifs industriels comprennent les adhésifs pour l'emballage et les biens de consommation, le transport et le métal, l'industrie générale et l'électronique. Le segment Beauty Care couvre le segment opérationnel des biens de consommation de marque actifs avec les soins capillaires, les colorants capillaires, la coiffure, les soins du corps, les soins de la peau et les soins bucco-dentaires. Le segment de la blanchisserie et de l'entretien ménager couvre les activités de Henkel dans les biens de consommation de marque de blanchisserie et d'entretien ménager.</t>
  </si>
  <si>
    <t>AA</t>
  </si>
  <si>
    <t>Hermès international</t>
  </si>
  <si>
    <t>Hermes International SCA est une société basée en France spécialisée dans la conception, la fabrication et la commercialisation de produits de luxe. La Société présente ses activités dans plusieurs segments, y compris la Maroquinerie et Sellerie, comprenant sacs, équitation, agendas et petits articles en cuir; Prêt-à-porter et accessoires, y compris le prêt-à-porter Hermès pour hommes et femmes, ceintures, bijoux fantaisie, gants, chapeaux et chaussures; Autres Hermes, qui englobe les produits de bijouterie et Produit pour Maison Hermes, tels que l'art de vivre et la vaisselle hermes, et le segment Autres produits, qui comprend les activités de production réalisées pour le compte de marques n'appartenant pas au groupe, ainsi que le groupe John Lobb, Saint -Les produits Louis, Puiforcat et Shang Xia ; Soie et Textiles; Parfums et Montres. En dehors de la France, Hermes International SCA est présent dans d’autres pays d’Europe, d’Asie et des Amériques, entre autres.</t>
  </si>
  <si>
    <t>Icade s.a.</t>
  </si>
  <si>
    <t>FR0000035081</t>
  </si>
  <si>
    <t>Icade SA est une société immobilière d'investissement basée en France impliquée en particulier dans l'investissement en immobilier commercial. Ses activités sont organisées autour des divisions Bureaux, Parcs commerciaux, Santé, Centres commerciaux, Entrepôts et Investissements publics. La division Bureaux détient et gère des immeubles de bureaux. La division Parcs commerciaux est en charge du campus de l'entreprise créé à Paris, et combine diverses activités à travers de nombreux secteurs. L'unité Santé investit dans les hôpitaux ; la division Centres commerciaux détient deux grands centres commerciaux combinant boutiques et loisirs. La Société loue également des espaces dans ses entrepôts, investit dans des bâtiments sous-traités par le gouvernement et les loue aux utilisateurs du secteur public tels que les ministères et les autorités locales. L'actionnaire principal de la Société est Credit Agricole Assurances. Elle opère à travers Arkadea et ANF Immobilier SA.</t>
  </si>
  <si>
    <t>ICG</t>
  </si>
  <si>
    <t>GB00BYT1DJ19</t>
  </si>
  <si>
    <t>Intermediate Capital Group PLC (ICG) est un gestionnaire mondial d'actifs alternatifs basé au Royaume-Uni. La Société gère des capitaux pour le compte de sa clientèle mondiale, principalement à travers des fonds à capital fixe à long terme. La Société opère à travers deux segments : la société de gestion de fonds (FMC) et la société d'investissement (IC). ICG opère dans quatre classes d'actifs, qui comprennent les capitaux propres structurés et privés, la dette privée, les actifs réels et le crédit. Son capital-investissement structuré et privé consiste à fournir des solutions de financement structuré et en fonds propres aux entreprises privées. Sa dette privée consiste à fournir du financement par emprunt à des entreprises emprunteuses de qualité. Ses actifs réels consistent à offrir des solutions de financement dans les secteurs de l'immobilier et des infrastructures. Son crédit comprend l'investissement dans les marchés publics primaires et secondaires du crédit. Il propose une gamme de solutions de capital pour les entreprises et les propriétaires d'actifs immobiliers. Ses filiales comprennent ICG Carbon Funding Limited et ICG FMC Limited.</t>
  </si>
  <si>
    <t>ID Logistics SAS est une société française active dans le secteur de la logistique. Elle est spécialisée dans la fourniture de services de logistique et de transport. La Société réalise les prestations de logistique et d'optimisation de la chaîne d'approvisionnement pour les industriels européens et les distributeurs français. Un autre secteur d'activité utilisant ses services appartient à l'industrie des cosmétiques et du commerce électronique, ainsi qu'à l'industrie alimentaire et des boissons. La Société offre à ses clients une gamme de services pour leur chaîne d'approvisionnement, tels que l'entreposage, la logistique sous température dirigée et le commerce électronique. Elle offre des services à valeur ajoutée comprenant la gestion des stocks, le conditionnement, l'exécution des commandes, le contrôle qualité, le co-packing, le pooling et le centre de consolidation des fournisseurs. L'unité d'affaires de la Société, La Fileche Cavaillonnaise, est propriétaire de sa flotte de camions et offre des services de transport, d'organisation et d'optimisation. Elle est présente en France et à l'étranger, comme le Brésil, la Chine et la Russie, entre autres. En juillet 2013, elle a finalisé l'acquisition de CEPL.</t>
  </si>
  <si>
    <t>Imcd nv</t>
  </si>
  <si>
    <t>NL0010801007</t>
  </si>
  <si>
    <t>IMCD NV est une société basée aux Pays-Bas qui se spécialise dans la vente, la commercialisation et la distribution d'ingrédients chimiques et alimentaires spécialisés. Son portefeuille de produits comprend des produits chimiques provenant de divers domaines, notamment la pharmacie, les soins personnels, les revêtements, l'alimentation et la nutrition, les lubrifiants, la synthèse, les plastiques, les détergents, les produits agrochimiques, le textile, le traitement des eaux usées et des déchets, la coupe et le sablage au jet, les arômes et les parfums, le pétrole et le gaz et le polissage, entre autres. La société exploite une chaîne d'approvisionnement internationale avec des entrepôts locaux et fournit des services à valeur ajoutée, qui comprennent le reconditionnement, la dilution et le mélange. La société opère dans le monde entier.</t>
  </si>
  <si>
    <t>BB- / Stable</t>
  </si>
  <si>
    <t>Imerys SA est une société française de minéraux de spécialité qui fournit une gamme de solutions personnalisables à de nombreuses industries, telles que les matériaux de construction, l'énergie mobile, la sidérurgie, l'agroalimentaire, l'automobile et les cosmétiques. La Société opère à travers deux segments : Minéraux de Performance. Les Minéraux de Performance proposent des additifs pour peintures et revêtements, des composants pour céramiques techniques et conventionnelles, des additifs pour plastiques et polymères, des charges et revêtements pour papiers d'impression et d'écriture, ainsi que des cartons et emballages, des agents de filtration pour liquides alimentaires et plasma sanguin, des graphites spéciaux pour énergie mobile et précision. La Société est active à l'échelle mondiale.</t>
  </si>
  <si>
    <t>Infineon technologies ag</t>
  </si>
  <si>
    <t>Infineon Technologies AG est un concepteur, développeur et fabricant allemand de semi-conducteurs et de solutions système associées. La Société opère à travers quatre divisions : Automobile, Énergie industrielle verte, Systèmes d'alimentation et de capteurs et Systèmes sécurisés connectés. La division automobile conçoit, développe, fabrique et commercialise des semi-conducteurs pour prendre en charge des applications automobiles telles que l'électromobilité, la conduite automatisée, la connectivité et la sécurité avancée. La division Industrial Power Control fournit des produits, des solutions et des services pour la production, la transmission, le stockage et l'utilisation de l'énergie. Power &amp; Sensor Systems fournit des semi-conducteurs et des dispositifs d'alimentation et de connectivité tels que des chargeurs, des serveurs, des cartes mères, des outils électriques et des systèmes d'éclairage. Connected Secure Systems fournit des technologies Internet des objets (IoT) telles que l'informatique, la connectivité sans fil et des technologies qui fournissent des connexions sécurisées.</t>
  </si>
  <si>
    <t>Ing groep nv</t>
  </si>
  <si>
    <t>NL0011821202</t>
  </si>
  <si>
    <t>ING Groep NV (ING) est une institution financière. La société offre des services bancaires. Les segments de la société comprennent Retail Netherlands, qui offre des comptes courants et d'épargne, des prêts aux entreprises, des prêts hypothécaires et d'autres prêts aux consommateurs aux Pays-Bas; Retail Belgique, qui offre des produits similaires à ceux des Pays-Bas; Retail Germany, qui offre des comptes courants et d'épargne, des prêts hypothécaires et d'autres prêts à la clientèle; Retail Other, qui offre des produits similaires à ceux des Pays-Bas, et Wholesale Banking, qui offre des activités de banque de gros (une gamme complète de produits de la gestion de trésorerie au financement d'entreprise), immobilier et bail. Les métiers de la Banque de détail de la société fournissent des produits et des services aux particuliers, aux petites et moyennes entreprises (PME) et aux entreprises moyennes. Les activités bancaires d'ING en Australie sont entreprises par ING Bank (Australia) Limited (trading ING Direct) et ING Bank NV Sydney Branch.</t>
  </si>
  <si>
    <t>Intel corporation</t>
  </si>
  <si>
    <t>US4581401001</t>
  </si>
  <si>
    <t>Intel Corporation est engagée dans la conception et la fabrication de produits et de technologies. Les segments de la société comprennent Client Computing Group (CCG), Data Center and AI (DCAI), Network and Edge (NEX), Mobileye, Accelerated Computing Systems and Graphics (AXG) et Intel Foundry Services (IFS). Le segment CCG se concentre sur le système d'exploitation à long terme, l'architecture système, le matériel et l'intégration d'applications qui permettent des expériences PC. Son segment DCAI propose des solutions optimisées pour la charge de travail aux fournisseurs de services cloud et aux entreprises clientes, ainsi que des dispositifs en silicium pour les fournisseurs de services de communication. Son segment NEX aide les réseaux et les systèmes de calcul de pointe, du matériel à fonction fixe inflexible aux dispositifs de calcul, d'accélération et de mise en réseau à usage général exécutant des logiciels natifs du cloud sur du matériel programmable. Le segment Mobileye fournit des solutions d'aide à la conduite et d'auto-conduite. Le segment AXG fournit des produits et des technologies à ses clients pour résoudre des problèmes de calcul.</t>
  </si>
  <si>
    <t>International business machines corporation</t>
  </si>
  <si>
    <t>US4592001014</t>
  </si>
  <si>
    <t>International Business Machines Corporation (IBM) est un fournisseur de cloud hybride et d'intelligence artificielle (IA) et de services aux entreprises. Elle fournit des solutions et des produits intégrés qui utilisent les données, les technologies de l'information dans les industries et les processus commerciaux. Ses segments comprennent les logiciels, le conseil, l'infrastructure et le financement. Le secteur Logiciels comprend deux secteurs d'activité : Hybrid Platform &amp; Solutions, qui comprend des logiciels pour aider les clients à exploiter, gérer et optimiser leurs ressources informatiques et leurs processus commerciaux dans des environnements hybrides multicloud, et le traitement des transactions, qui comprend des logiciels qui soutiennent la mission des clients. charges de travail critiques sur site dans des secteurs tels que la banque, les compagnies aériennes et la vente au détail. Le secteur Conseil est engagé dans la transformation des entreprises, le conseil technologique et les opérations d'application. Le segment des infrastructures est engagé dans l'infrastructure hybride et le soutien aux infrastructures. Le secteur du financement est engagé dans le financement des clients et le financement commercial.</t>
  </si>
  <si>
    <t>Interparfums sa</t>
  </si>
  <si>
    <t>Personal &amp; Household Products &amp; Services</t>
  </si>
  <si>
    <t>INTERPARFUMS S.A., également connu sous le nom d'Interparfums, est une société basée en France se consacrant à la conception, la fabrication et la commercialisation de parfums. La société conçoit, produit et distribue des parfums et cosmétiques sous des marques telles que Burberry, Boucheron, Burberry Beauty, Jimmy Choo, Lanvin, Montblanc, Nickel, Paul Smith, Repetto, S.T. Dupont et Van Cleef &amp; Arpels, Karl Lagerfeld, entre autres. La société est présente en Suisse, Allemagne, Espagne, Italie, Royaume-Uni, Singapour et États-Unis, entre autres. La société opère par le biais de filiales, y compris Interparfums Suisse Sarl, Interparfums Deutschland GmbH, Interparfums Srl, Interparfums Ltd, Interparfums Luxury Brands et Interparfums Singapour. En date du 31 décembre 2013, l'actionnaire de la société était InterParfums Holding avec 73,1 % des parts de la société.</t>
  </si>
  <si>
    <t>Invesco Ltd. (Invesco) est une société de gestion de placements indépendante. Invesco dessert les marchés de détail et institutionnels du secteur de la gestion de placements dans les Amériques, en Europe, au Moyen-Orient et en Afrique (EMEA) et en Asie-Pacifique dans environ 110 pays. La Société offre une gamme de stratégies d'investissement à travers les classes d'actifs, les styles d'investissement et les zones géographiques. Les catégories d'actifs de la Société comprennent les actions, les titres à revenu fixe, les titres équilibrés, les placements alternatifs et le marché monétaire. Les actifs de détail sous gestion de la Société comprennent des fonds communs de placement, des fonds négociés en bourse (ETF), des comptes gérés séparément (SMA), des comptes d'épargne individuels, des sociétés d'investissement à capital variable (ICVC), des fiducies de placement, des fonds communs de placement à capital variable, des fonds communs de placement (UIT) et les fonds d'assurance variable. La clientèle d'Invesco comprend des entités publiques et privées, des syndicats, des organisations à but non lucratif, des fonds de dotation, des fondations, des fonds de pension, des institutions financières et des fonds souverains.</t>
  </si>
  <si>
    <t>Ipsen SA est un groupe biopharmaceutique français spécialisé dans les soins de spécialité. La Société exerce ses activités à l'échelle mondiale à travers deux segments : les soins spécialisés et les soins de santé grand public. En médecine de spécialité, la Société se concentre sur divers domaines thérapeutiques, notamment l'oncologie, les neurosciences et les maladies rares. Son portefeuille en oncologie comprend Somatuline, Decapeptyl, Cabometyx et Onivyde. Son portefeuille de neurosciences comprend Dysport et, dans le domaine des maladies rares, les produits clés sont NutropinAq et Increlex. Son portefeuille de soins primaires comprend Smecta, Forlax, Fortrans, Eziclen et Tanakan. En oncologie, Ipsen se concentre sur un certain nombre de domaines pathologiques, notamment les tumeurs neuroendocrines, le carcinome à cellules rénales, le carcinome hépatocellulaire et le cancer du pancréas. En outre, la Société est spécialisée dans la recherche sur les neurotoxines et exploite trois centres de recherche et développement situés en France, au Royaume-Uni et aux États-Unis.</t>
  </si>
  <si>
    <t>Ipsos sa</t>
  </si>
  <si>
    <t>FR0000073298</t>
  </si>
  <si>
    <t>IPSOS S.A. est une Société de recherche basée en France. La Société utilise des enquêtes mondiales et des sondages pour explorer le marché potentiel, tester les produits et les supports publicitaires, faire des enquêtes auditoires et de perception parmi le public et mesurer les tendances de l'opinion publique. IPSOS S.A. exploite les marques suivantes : Ipsos ASI, qui dirige la division de spécialistes de la publicité de recherche ; Ipsos Marketing, gérant l'Innovation et la Division de Spécialistes de Recherche de Marque; Ipsos MediaCT, qui gère la division des médias, des contenus et des technologies de recherche; Ipsos Public Affairs, qui gère la recherche sociale et la division réputation des sociétés ; Ipsos Loyalty, qui gère la division client et de recherche sur les employés et Ipsos Observer qui gère les enquêtes, la collecte et les livraisons de données. La Société opère par le biais de ses filiales telles qu'Ipsos Mori UK Ltd, Ipsos Brasil Pesquias de Mercado Ltda, entre autres.</t>
  </si>
  <si>
    <t>Jcdecaux sa</t>
  </si>
  <si>
    <t>FR0000077919</t>
  </si>
  <si>
    <t>JCDECAUX SE est une société de publicité extérieure basée en France. Elle divise ses activités en trois secteurs principaux : Publicité sur le mobilier urbain, publicité sur les panneaux d'affichage et dans les transports. La Société commissionne et maintient une gamme d'éléments de mobilier urbain, comprenant les abris de bus et de tram, toilettes extérieures automatiques, supports à vélos en libre-service, colonnes multiservices, kiosques à journaux, panneaux lumineux, bancs publics et poubelles publiques. La publicité sur panneaux d'affichage comprend les panneaux d'affichage défilants ainsi que les systèmes de panneaux traditionnels. La publicité dans les transports englobe la publicité sur les véhicules, les aéroports et dans les gares et les stations de métro. La Société opère en Europe, région Asie-Pacifique, Moyen-Orient et Russie, entre autres. Elle fonctionne par le biais de JCDecaux-Top Media.</t>
  </si>
  <si>
    <t>Johnson &amp; johnson</t>
  </si>
  <si>
    <t>US4781601046</t>
  </si>
  <si>
    <t>Johnson &amp; Johnson est une société diversifiée de produits de santé. La Société est engagée dans la recherche et le développement, la fabrication et la vente d'une gamme de produits dans le domaine de la santé. Elle opère à travers trois segments : Consumer Health, Pharmaceutical et MedTech. Son objectif principal est les produits liés à la santé et au bien-être humains. Le segment Consumer Health comprend une gamme de produits axés sur les soins de santé personnels utilisés sur les marchés de la santé/beauté de la peau, des médicaments en vente libre, des soins pour bébés, des soins bucco-dentaires, de la santé des femmes et du soin des plaies. Le segment Pharmaceutique se concentre sur six domaines thérapeutiques : immunologie, maladies infectieuses, neurosciences, oncologie, cardiovasculaire et métabolisme et hypertension pulmonaire. Le segment MedTech comprend une gamme de produits utilisés dans les domaines des solutions interventionnelles, de l'orthopédie, de la chirurgie et de la vision. Sa zone géographique comprend les États-Unis, l'Europe, l'hémisphère occidental (à l'exclusion des États-Unis) et l'Afrique, l'Asie et le Pacifique.</t>
  </si>
  <si>
    <t>JPMorgan Chase &amp; Co. est une société holding financière. Elle comprend quatre segments : Consumer &amp; Community Banking (CCB), Corporate &amp; Investment Bank (CIB), Commercial Banking (CB) et Asset &amp; Wealth Management (AWM). Le segment CCB offre des produits et services aux consommateurs et aux petites entreprises par l'intermédiaire d'agences bancaires ; distributeurs automatiques de billets ; numérique, y compris mobile et en ligne ; et les services bancaires par téléphone. Le segment CIB comprend les services bancaires et de marchés et de valeurs mobilières, offre une gamme de produits et services de banque d'investissement, de tenue de marché, de courtage principal, de prêt, de trésorerie et de valeurs mobilières à une clientèle mondiale d'entreprises, d'investisseurs, d'institutions financières, de commerçants, de gouvernements et entités municipales. Le segment CB fournit des solutions financières, y compris des produits de prêt, de paiement, de banque d'investissement et de gestion d'actifs à travers trois principaux segments de clientèle : les services bancaires du marché intermédiaire, les services bancaires aux entreprises et les services bancaires immobiliers commerciaux. Le segment AWM est engagé dans l'investissement et la gestion de patrimoine.</t>
  </si>
  <si>
    <t>Just eat takeaway.com nv</t>
  </si>
  <si>
    <t>NL0012015705</t>
  </si>
  <si>
    <t>Just Eat Takeaway.com NV, anciennement Takeaway.com NV, est une entreprise basée aux Pays-Bas qui exploite un marché de livraison alimentaire en ligne. La société se concentre sur la connexion des consommateurs et des restaurants, et permet aux utilisateurs de commander des aliments dans les restaurants à proximité et de faire livrer les aliments à leur domicile. La Société transmet la commande passée par les clients et la transmet aux restaurants, qui préparent et livrent le repas. Elle est présente au Portugal, en Suisse, en Autriche, au Luxembourg, en Belgique, aux Pays-Bas, en Allemagne, en Pologne, en Bulgarie, en Roumanie, en Israël et au Vietnam et exploite les sites Lieferando.de, Lieferservice.at, Lieferservice.ch, Pizza.be, Pizza.lu, Pizza.pl, Pyszne.pl, BGmenu.com, Oliviera.ro, Takeaway.com, Thuisbezorgd.nl et Vietnammm.com, entre autres. Les plateformes disposent de différents types de restaurants.</t>
  </si>
  <si>
    <t>KAUFMAN &amp; BROAD SA est un promoteur immobilier et constructeur basé en France. La société se consacre principalement au développement de maisons unifamiliales et appartements, à des activités de l'immobilier commercial, ainsi que la prestation de services pour les résidences universitaires et le tourisme d'affaires. La société est impliquée dans toutes les étapes de mise en œuvre d'un programme de développement, la recherche de terrain, la commercialisation du logement après conception du projet, la gestion de permis de construire et le service après-vente. La société opère dans de nombreuses villes en France, comme Bayonne, Bordeaux, Grenoble, Lille, Lyon, Marseille, Montpellier, Nantes, Nice, Paris, Rouen, Strasbourg, Toulon et Toulouse, entre autres. En outre, la société fournit au secteur de la construction des plates-formes logistiques et entrepôts. Elle opère également à travers un certain nombre de filiales, dont Kaufman &amp; Broad Pyrénées-Atlantiques, Kaufman &amp; Broad Homes SAS, SM2I et Résidences Bernard Teillaud SARL, entre autres.</t>
  </si>
  <si>
    <t>Kbc groep nv</t>
  </si>
  <si>
    <t>BE0003565737</t>
  </si>
  <si>
    <t>KBC Groep NV est une société holding basée en Belgique active dans le secteur de la banque, de l'assurance et de la gestion d'actifs. Les activités de la Société sont réparties dans les divisions suivantes : comprenant la banque de détail et privée et l'assurance, la gestion d'actifs et la banque privée en Belgique et en Europe centrale et orientale, comprenant les activités de banque de détail et de banque d'affaires en République tchèque, en Slovaquie, en Hongrie et en Pologne, ainsi que la bancassurance, le leasing, la gestion d'actifs et l'affacturage en Bulgarie ; Merchant Banking, comprenant les services bancaires aux entreprises et les activités de marché en Europe, et les services et opérations partagés fournissant un soutien et des produits aux autres unités commerciales. Chacune de ces unités dispose de son propre comité de direction et supervise à la fois les activités bancaires et les activités d'assurance. Ses filiales comprennent Interlease, United Bulgarian Bank AD Sofia et Telindus ISIT BV, entre autres.</t>
  </si>
  <si>
    <t>Kering SA est un groupe de luxe basé en France. Le Groupe gère le développement d'un ensemble de Maisons de renom dans la Mode, la Maroquinerie et la Joaillerie : Gucci, Saint Laurent, Bottega Veneta, Balenciaga, Alexander McQueen, Brioni, Boucheron, Pomellato, DoDo, Qeelin, ainsi que Kering Eyewear. Elle fabrique et vend, principalement par l'intermédiaire de magasins de détail gérés, une gamme de produits, notamment des articles en cuir, des vêtements, des accessoires, des chaussures, des bijoux, entre autres, pour hommes, femmes et enfants. Le Groupe est actif à l'échelle mondiale.</t>
  </si>
  <si>
    <t>Klepierre sa</t>
  </si>
  <si>
    <t>FR0000121964</t>
  </si>
  <si>
    <t>KLEPIERRE S.A. est un opérateur de centres commerciaux paneuropéens basé en France, alliant développement, location, propriété et gestion active sur le marché de l'immobilier de détail. La société est une société d'investissement immobilier cotée (SIIC) qui possède et gère des centres commerciaux et immeubles de bureaux. Le portefeuille de la société comprend environ 180 centres commerciaux dans 16 pays d'Europe continentale. KLEPIERRE S.A. détient une participation de contrôle dans Steen &amp; Strom, une société de centre commercial avec des exploitations en Norvège, en Suède et au Danemark, et Corio NV, un promoteur et gestionnaire de centres commerciaux néerlandais aux Pays-Bas, en France, en Italie, en Espagne, au Portugal, en Allemagne et en Turquie, entre autres. Ses principaux actionnaires sont Simon Property Group, BNP Paribas et APG.</t>
  </si>
  <si>
    <t>Koninklijke ahold delhaize nv</t>
  </si>
  <si>
    <t>NL0011794037</t>
  </si>
  <si>
    <t>Royal Ahold est une société de commerce de détail alimentaire basée aux Pays-Bas. Elle propose un large éventail de produits alimentaires périssables et non périssables et des produits de consommation non alimentaires par le biais de nombreuses marques, y compris, entre autres, Stop &amp; Shop, Food Lion, bfresh et Giant Carlisle aux États-Unis, Proxy Delhaize, Red Market, Shop &amp; Go et Delhaize en Belgique, Albert Heijn, bol.com, Etos et Gall &amp; Gall aux Pays-Bas, et Albert Czech Republic, AB Food Market, ENA, Tempo et MAXI en Europe centrale et du Sud-Est. La société est également active par le biais de deux joint-ventures, Pingo Doce au Portugal et Super Indo en Indonésie. La société opère par le biais de cinq secteurs d'activité : Pays-Bas, Belgique, Europe centrale et Europe du Sud-Est et deux entités déclarantes aux États-Unis.</t>
  </si>
  <si>
    <t>Koninklijke kpn nv</t>
  </si>
  <si>
    <t>NL0000009082</t>
  </si>
  <si>
    <t>Koninklijke KPN N.V. (KPN) est un fournisseur de télécommunications et de technologies de l’information et de la communication (TIC) basé aux Pays-Bas. Les secteurs de la Société comprennent Consommateur, Entreprises, Commerce de gros et réseau, Opérations et informatique. La Société offre des services de téléphonie fixe et mobile, Internet haut débit fixe et mobile et la télévision aux consommateurs de détail. Pour les clients professionnels, la Société propose des services de téléphonie mobile et Internet, ainsi que des solutions TIC liées aux infrastructures et aux réseaux, notamment l’hébergement en nuage et la connectivité Internet des objets (IoT). KPN fournit également des services réseau de gros à des tiers. Les marques de la Société comprennent notamment KPN, Telfort, XS4ALL, Simyo, Yes Telecom, Ortel Mobile, Argeweb, Solcon, Route IT, Divider, Internedservices, NLDC et StartReady. entre autres. La Société fournit ses services principalement aux Pays-Bas.</t>
  </si>
  <si>
    <t>Koninklijke philips nv</t>
  </si>
  <si>
    <t>NL0000009538</t>
  </si>
  <si>
    <t>Koninklijke Philips NV est la société de technologie de la santé basée aux Pays-Bas. Les segments de la société comprennent les activités de santé personnelle, les activités de diagnostic et de traitement, les activités de soins connectés et d'informatique de santé, HealthTech Other et Legacy Items. Le segment des entreprises de santé personnelle est engagé dans le continuum de la santé, offrant des solutions intégrées et connectées qui soutiennent des modes de vie plus sains et ceux qui vivent avec une maladie chronique. Le segment des activités de diagnostic et de traitement fournit une médecine et un traitement de précision, ainsi qu'une thérapie. Le segment d'activité Connected Care &amp; Health Informatics fournit aux consommateurs, aux soignants et aux cliniciens des solutions numériques qui facilitent les soins en permettant la médecine de précision et la gestion de la santé de la population. Le segment HealthTech Other comprend des éléments tels que l'innovation, les entreprises émergentes, les redevances, entre autres. Le segment des éléments hérités comprend principalement les coûts de séparation, les éléments juridiques hérités, les coûts de retraite hérités, entre autres.</t>
  </si>
  <si>
    <t>Clariane SE, anciennement Korian SE, est une société basée en France qui exploite des établissements de santé et des établissements médicaux. Les participations de la Société comprennent des centres résidentiels pour personnes âgées, offrant des soins sociaux permanents et un soutien médical ; les centres de soins de suite et de réadaptation, y compris les centres généraux et spécialisés. De plus, la Société propose l'hospitalisation à domicile, ce qui évite ou raccourcit le processus d'hospitalisation ; et les services de soins infirmiers à domicile, qui permettent les soins prescrits par un médecin à domicile. Les établissements de Korian-Medicas sont implantés en France, en Italie, en Belgique et en Allemagne via ses filiales, Segesta S.p.A., Phonix GmBH, Reacti Malt SAS, Sas La Normandie, Sa La Bastide de la tourne, Sas Mapadex La Roseraie, entre autres.</t>
  </si>
  <si>
    <t>La française des jeux</t>
  </si>
  <si>
    <t>La Française des Jeux SA est une société d'économie mixte basée en France qui exploite des loteries et des jeux en ligne. La Société opère sous la marque commerciale FDJ et propose des jeux de grattage, des paris sportifs et des jeux de tirage via un réseau de 35,800 points de vente (au 31 décembre 2010), dont des points de vente LOTO, des buralistes et des marchands de journaux. Ses jeux de grattage comprennent des jeux à 1, 2 et 3 euros ; les paris sportifs incluent les noms de marque, ParionsSport et ParionsWeb ; et les jeux basés sur des tirages incluent LOTO, Euro Millions, Rapido, Keno et autres. La Société est également active sur le marché du poker en ligne avec le site Internet Barrierepoker.fr, détenu conjointement avec le Groupe Lucien Barrière.</t>
  </si>
  <si>
    <t>Lacroix Group SA, anciennement connue sous le nom de Lacroix SA, est une entreprise industrielle basée en France dont l’activité principale est la conception, la fabrication et la commercialisation d’équipements de signalisation et de contrôle électronique. La Société a trois divisions : LACROIX Electronics, qui se spécialise dans la fourniture de services de sous-traitance électronique, y compris la conception, l’assemblage et les essais de cartes électroniques pour l’utilisation dans l’électronique industrielle, automobile, télécommunications, les secteurs des multimédias et des appareils électriques; LACROIX Sofrel, qui est impliqué dans la fabrication et la vente de produits de télécommande et de gestion pour les installations techniques et les sites industriels par le biais d’applications appelées Télémétrie et SCADA, et LACROIX City, qui conçoit des solutions routières intelligentes pour les administrations et les entreprises locales. Lacroix SA est présent dans plusieurs pays Européens.</t>
  </si>
  <si>
    <t>Lafarge holcim</t>
  </si>
  <si>
    <t>Holcim AG est une société suisse opérant dans l’industrie des matériaux de construction. Les secteurs d’activité de la société comprennent le ciment, les granulats, le béton prêt à l’emploi et les solutions et produits. La division des ciments est engagée dans les ciments durables et les liants hydrauliques. Le segment des granulats se concentre sur l’agrégat de fabrication qui est utilisé comme matière première pour le béton, la maçonnerie et l’asphalte, ainsi que pour les matériaux de base pour les routes, les décharges et les bâtiments. Le béton prêt à l’emploi comprend les produits de béton prêt à l’emploi, le béton auto-remplissant et autonivelant, le béton architectural, le béton isolant et le béton perméable. Solutions &amp; Products propose des produits préfabriqués et en béton pour les bâtiments spécialisés et les solutions de toiture. Le Segment propose également des mortiers pour la construction d’impression 3D.</t>
  </si>
  <si>
    <t>Lagardere SA est une société basée en France et spécialisée dans l’édition. La Société se spécialise dans la publication de contenu, la production et la distribution de marques performantes qui génèrent des auditoires aux réseaux virtuels et physiques. Elle dispose de deux agences: Lagardere Publishing et Lagardere Travel Retail. Il comprend également Lagardère News (Paris Match, Le Journal du Dimanche, Europe 1, RFM, Virgin Radio, la licence Elle) et Lagardère Live Entertainment (production de concerts et spectacles, gestion de salles de spectacle). Elle est située dans plus de 40 pays, avec environ 27000 employés.</t>
  </si>
  <si>
    <t>Legrand SA, anciennement Legrand SNC, est une société basée en France spécialisée dans la conception, la fabrication et la distribution de produits et systèmes pour installations électriques et réseaux d'information. Son activité s'organise autour de quatre familles de produits: des produits de surveillance et de contrôle de l'énergie électrique, notamment des interrupteurs, des connecteurs électriques, des thermostats, des gradateurs, des alarmes antivol, des détecteurs de fumée, des connecteurs audio et vidéo; produits de distribution d'énergie, y compris disjoncteurs, coffrets électriques, armoires électriques; systèmes de gestion de câbles, y compris canaux, moulures, conduits, boîtiers de sol et systèmes de câblage structuré (voix-données-images), y compris prises murales pour transmission à grande vitesse, diviseurs de fibres optiques et de cuivre et panneaux de connexion utilisés dans les réseaux téléphoniques et informatiques. Elle opère via Solarfective et OCL1, spécialiste des solutions d'éclairage architectural et Afco System. Legrand SA opère à l'échelle mondiale.</t>
  </si>
  <si>
    <t>Linde public limited company</t>
  </si>
  <si>
    <t>IE00BZ12WP82</t>
  </si>
  <si>
    <t>Linde PLC est une société de gaz industriels et d'ingénierie. La Société conçoit, conçoit et construit des équipements qui produisent des gaz industriels et offre à ses clients une gamme de services de production et de traitement de gaz, tels que des usines d'oléfines, des usines de gaz naturel, des usines de séparation d'air, des usines d'hydrogène et de gaz de synthèse et d'autres types d'usines. Les activités de la Société consistent en deux gammes de produits principales : les gaz industriels et l'ingénierie. Ses activités de gaz industriels sont gérées sur une base géographique, qui représente trois des segments de la Société : Amériques, EMEA (Europe/Moyen-Orient/Afrique) et APAC (Asie/Pacifique Sud) et l'activité Ingénierie, qui conçoit et fabrique des équipements pour l'air séparation et autres applications de gaz industriels. Ses principaux produits dans son activité de gaz industriels sont les gaz atmosphériques, tels que l'oxygène, l'azote, l'argon et les gaz rares et les gaz de procédé, tels que le dioxyde de carbone, l'hélium, l'hydrogène, les gaz électroniques, les gaz spéciaux et l'acétylène.</t>
  </si>
  <si>
    <t>Lonza group ltd</t>
  </si>
  <si>
    <t>CH0013841017</t>
  </si>
  <si>
    <t>Lonza Group AG (Lonza) est une société holding basée en Suisse et un fournisseur des industries pharmaceutique, de la santé et des sciences de la vie. Les offres de la Société comprennent le développement et la fabrication sur mesure de médicaments et de systèmes d'administration de médicaments, ainsi que le développement de solutions antimicrobiennes pour des applications commerciales. La Société divise ses activités en deux segments : Pharma&amp;Biotech et Ingrédients de spécialité. Le secteur Pharma&amp;Biotech comprend les activités Produits biologiques, Petites molécules, Consommables et Outils de recherche de la Société. Le segment comprend des plateformes technologiques de mammifères, microbiennes, chimiques, de bioconjugués, de thérapie cellulaire et génique. Le segment Specialty Ingredients se concentre sur les applications antimicrobiennes au sein de la division Consumer Health, qui couvre les produits d'hygiène, de nutrition et de soins personnels, ainsi que les conservateurs, les gélules et les compléments alimentaires, entre autres, et la division Consumer &amp; Resources Protection, qui comprend les revêtements et les composites. , et agro-ingrédients.</t>
  </si>
  <si>
    <t>L'oréal</t>
  </si>
  <si>
    <t>L’Oreal SA est une société de cosmétiques basée en France. La Société possède un large éventail de marques réparties en quatre divisions : Produits de consommation, L’Oreal Luxe, Produits professionnels et Cosmétiques actifs. Il s’agit notamment de L’Oreal Paris, Maybelline New York, Garnier, Lancme, Yves Saint Laurent, Giorgio Armani, Kiehl’s, Krastase, La Roche-Posay et SkinCeuticals. Il offre une large gamme de produits regroupés en six segments d’activité : Soins de la peau, Maquillage, Soins des cheveux, Coloration des cheveux, Parfums et autres. L’offre de soins de la peau comprend les soins du visage, les nettoyants pour le visage, les soins du corps et les produits de protection solaire. L’entreprise possède des magasins et des sites Web de commerce électronique. Il est actif à l’échelle mondiale.</t>
  </si>
  <si>
    <t>Lvmh</t>
  </si>
  <si>
    <t>LVMH Moet Hennessy Louis Vuitton SE est un groupe de luxe basé en France actif dans six secteurs : Vins et Spiritueux, Mode et Maroquinerie, Parfums et Cosmétiques, Montres et Joaillerie, Distribution sélective et Autres Activités. Wines and Spirits possède des marques telles que Moet &amp; Chandon, Krug, Veuve Clicquot, Hennessy et Château d'Yquem, entre autres. Mode et Maroquinerie possède des marques telles que Luis Vuitton, Christian Dior et Givenchy, entre autres. Parfums et Cosmétiques possède des marques telles que Parfums Christian Dior, Parfums Givenchy Guerlain, Benefit Cosmetics, Fresh et Make Up For Ever, entre autres. Montres et Joaillerie possède des marques telles que TAG Heuer, Hublo, Zenith, Bulgari, Chaumet et Fred, entre autres. La Distribution sélective détient entre autres les marques DFS, Miami Cruiseline, Sephora et Le Bon Marché Rive Gauche. Les autres activités comprennent l'acquisition de Pedemonte Group, un producteur de bijoux et des marques artistiques telles que Les Echos, Royal Van Lent et Cheval Blanc.</t>
  </si>
  <si>
    <t>Maisons du monde s.a.</t>
  </si>
  <si>
    <t>FR0013153541</t>
  </si>
  <si>
    <t>MAISONS DU MONDE S.A. est une société basée en France qui est spécialisée dans l'industrie des détaillants d'ameublement domestique. Les collections de décoration et de mobilier que vend la Société mettent en évidence plusieurs styles. MAISONS DU MONDE S.A. développe son activité par l'intermédiaire de son réseau international de magasins, ses sites Web et ses catalogues. En outre, elle fabrique en interne une partie de son mobilier (mobilier destiné à la vente), dans deux usines en Chine (par le biais de Chin Chin, sa coentreprise avec SDH Ltd) et au Vietnam. Le portefeuille de produits de la Société comprend les produits suivants : canapés, chaises, tabourets, poufs, bancs, tables, étagères, bibliothèques, bureaux, plateaux, verres, paniers, tabliers, couverts, couvertures, rideaux, tapis, napperons, serviettes de table, lampes, miroirs, gravures, bougies, horloges et vases, entre autres.</t>
  </si>
  <si>
    <t>Manitou BF SA est une Société de portefeuille basée en France qui se spécialise dans la commercialisation et la fabrication de machines pour la construction, l'agriculture et l'industrie. Les activités de la Société sont structurées autour de trois segments principaux: Manutention tout-terrain (RTH), Manutention industrielle (IMH) et Equipement Compact (CE). La gamme de produits du Groupe comprend des chariots élévateurs à métaux industriels et semi-industriels; Chariots élévateurs télescopiques à grande capacité et rotatifs à grande capacité; Plates-formes d'accès vertical, articulé, ciseaux et télescopiques; Chariots élévateurs à camion; Chariots élévateurs avec bras télescopique avant et une pelle arrière montée; Chargeurs compacts; Et qui sont une gamme de déménageurs d'équipement d'entrepôt. Le Groupe opère dans le monde entier à travers de nombreuses filiales et Sociétés affiliées, dont LiftRite Hire &amp; Sales.</t>
  </si>
  <si>
    <t>Mastercard incorporated.</t>
  </si>
  <si>
    <t>US57636Q1040</t>
  </si>
  <si>
    <t>Mastercard Incorporated est une société technologique qui relie les consommateurs, les institutions financières, les commerçants, les gouvernements et les entreprises du monde entier, leur permettant d'utiliser des modes de paiement électroniques. La Société permet aux utilisateurs d'effectuer des paiements en créant une gamme de solutions et de services de paiement utilisant ses marques, notamment MasterCard, Maestro et Cirrus. Les services de la Société facilitent les transactions sur son réseau central entre les titulaires de comptes, les commerçants, les institutions financières, les entreprises, les gouvernements et d'autres organisations sur les marchés mondiaux. Ses produits comprennent le crédit à la consommation, le débit et le prépaiement à la consommation, ainsi que le crédit et le débit commerciaux. La société offre des capacités de paiement supplémentaires qui incluent des transactions de chambre de compensation automatisées (ACH) (paiements par lots et en temps réel basés sur des comptes). La Société offre également d'autres services, notamment des solutions de cybersécurité et de renseignement. La société a des connexions dans plus de 210 pays et territoires.</t>
  </si>
  <si>
    <t>Mcdonald's corporation</t>
  </si>
  <si>
    <t>US5801351017</t>
  </si>
  <si>
    <t>McDonald's Corporation exploite et franchise les restaurants McDonald's. Les restaurants de la société servent un menu local d'aliments et de boissons. Ses restaurants sont détenus et exploités par des propriétaires d'entreprises locales indépendantes. Ses segments comprennent les États-Unis, les marchés exploités internationaux et les marchés de développement internationaux sous licence et les entreprises. Son segment International Operated Markets comprend ses activités sur des marchés tels que l'Australie, le Canada, la France, l'Allemagne, l'Italie, les Pays-Bas, l'Espagne et le Royaume-Uni. Son segment International Developmental Licensed Markets &amp; Corporate comprend des marchés dans plus de 80 pays, ainsi que des activités d'entreprise. Ses offres numériques comprennent le service au volant, les plats à emporter, la livraison, le ramassage en bordure de rue et le dîner. Son menu comprend des hamburgers et des cheeseburgers, le Big Mac, le Quarter Pounder with Cheese, le Filet-O-Fish, le McChicken et autres sandwichs au poulet, Chicken McNuggets, World Famous Fries, salades et autres.</t>
  </si>
  <si>
    <t>Mcphy energy sa</t>
  </si>
  <si>
    <t>FR0011742329</t>
  </si>
  <si>
    <t>MCPHY ENERGY SAS est une société basée en France qui développe des solutions de production et de stockage de l'hydrogène pour le marché libre d'hydrogène et les marchés des énergies renouvelables. La Société vend des solutions technologiques basées sur l'hydrogène à l'état solide pour offrir un moyen de stockage d'énergie renouvelable pour le gaz industriel. Ses produits comprennent un électrolyseur, un générateur d'hydrogène qui utilise l'eau comme matière première ; des solutions de stockage d'hydrogène solide avec les séries MCP et MGH ; et d'autres moyens qui intègrent les électrolyseurs et d'autres solutions. Elle possède des bureaux dans des pays comme la France, l'Italie et l'Allemagne, et des agents et distributeurs en Europe, en Asie et en Amériques.</t>
  </si>
  <si>
    <t>Medtronic</t>
  </si>
  <si>
    <t>IE00BTN1Y115 </t>
  </si>
  <si>
    <t>Medtronic Public Limited Company est une société basée en Irlande, qui fournit des solutions de technologie de la santé. La catégorie de produits de la Société comprend Advanced Surgical Technology ; rythme cardiaque ; Cardiovasculaire; digestif et gastro-intestinal ; Oreille nez gorge; Chirurgie générale; Gynécologique; Neurologique; Orale et maxillo-faciale ; Surveillance des patients ; soins rénaux ; Respiratoire; Spinal &amp; Orthopédique ; Navigation chirurgicale et imagerie ; Urologique; manuels de produits ; Commande de produits et demandes de renseignements ; et performances des produits et conseils. Ses produits comprennent la stabilisation des dispositifs électroniques implantables cardiaques (CIED), les produits de greffe d'endoprothèse aortique, le logiciel de gestion de thérapie personnelle CareLink, le logiciel de gestion de thérapie CareLink Pro. Ses services et solutions comprennent les ressources du centre de chirurgie ambulatoire, les services de gestion des soins, le support des technologies de l'information (TI) de connectivité numérique, les services et le support d'équipement, le laboratoire d'innovation, le conseil en soins de santé Medtronic et la chirurgie des sinus en cabinet.</t>
  </si>
  <si>
    <t>Melexis nv</t>
  </si>
  <si>
    <t>MELEXIS N.V. est une société belge qui conçoit, développe, teste et commercialise des dispositifs de semi-conducteurs intégrés avancés pour une utilisation dans des systèmes électroniques automobiles. La Société fournit des jetons de capteur, de communication et de pilote avec sorties analogiques et numériques. Melexis divise ses activités en quatre divisions: Capteurs, Actionneurs, Wireless et Opto. La division Capteurs s'occupe des activités de Pression et d'Accélération. La division Actionneurs se compose de Contrôle Moteur Circuits Intégrés et Réseau LIN. La division Sans Fil fournit des solutions de connectivité à portée courte et d'identification avec Fréquences Radio, et Circuits Intégrés Identification Fréquences Radio. La gamme de produits Opto se compose de SensorEyeC, Capteurs RainLight, Imageurs Automobiles et autres. La Société opère par le biais de ses filiales et succursales en Belgique, France, Allemagne, Suisse, Bulgarie, Ukraine, États-Unis, Hong Kong, Philippines et au Japon.</t>
  </si>
  <si>
    <t>A</t>
  </si>
  <si>
    <t>Mercedes-benz</t>
  </si>
  <si>
    <t>Mercedes-Benz Group AG, anciennement Daimler AG (Daimler), est une société d'ingénierie automobile basée en Allemagne. La Société s'occupe du développement, de la production et de la distribution de voitures et de camionnettes en Allemagne, et de la gestion du Daimler Group. Les segments comprennent Mercedes-Benz Cars, Mercedes-Benz Vans et Daimler Financial Services. Le segment Mercedes-Benz Cars comprend les véhicules de la marque Mercedes-Benz, y compris les marques Mercedes-AMG et Mercedes-Maybach, et les petites voitures sous la marque smart, ainsi que la marque Mercedes me. The Mercedes-Benz Vans vend des fourgonnettes sous la marque Mercedes-Benz et la marque Freightliner. Daimler Mobility AG propose par ex. le financement, le leasing, l'abonnement et la location de voitures, la gestion de flotte, les services numériques, ainsi que les services de mobilité. Les services financiers de Daimler soutiennent également les ventes de ses marques automobiles dans le monde entier.</t>
  </si>
  <si>
    <t>Mercialys sa</t>
  </si>
  <si>
    <t>FR0010241638</t>
  </si>
  <si>
    <t>MERCIALYS S.A. est une Société basée en France, se consacrant à des exploitations immobilières. Elle a le statut de SIIC (fiducie de placement immobilier - REIT). La Société détient et gère un portefeuille d'actifs, composé principalement de biens immobiliers commerciaux, tels que les restaurants en libre-service, des grands centres commerciaux et de petits centres locaux de magasins spécialisés et de grands magasins à proximité des hypermarchés ou supermarchés détenus par le Groupe Casino. MERCIALYS S.A. loue l'espace principalement aux magasins de marques nationales, aux chaines de magasins ou franchises, ainsi qu'aux détaillants indépendants. Les fonctions d'assistance de la Société, telles que la gestion immobilière, l'administration, la finance et la comptabilité, les affaires juridiques, les enquêtes et les technologies de l'information, sont externalisées auprès de différentes unités du Groupe Casino.</t>
  </si>
  <si>
    <t>Merck &amp; co., inc.</t>
  </si>
  <si>
    <t>US58933Y1055</t>
  </si>
  <si>
    <t>Merck &amp; Co., Inc. est une entreprise mondiale de soins de santé. La Société offre des solutions de santé par le biais de ses médicaments sur ordonnance, y compris les thérapies biologiques, les vaccins et les produits de santé animale. Le secteur pharmaceutique de la Société comprend les produits pharmaceutiques et vaccinaux pour la santé humaine. Ses produits pharmaceutiques pour la santé humaine se composent d'agents thérapeutiques et préventifs, généralement vendus sur ordonnance pour le traitement de troubles humains. Elle vend des produits pharmaceutiques pour la santé humaine aux grossistes et détaillants de médicaments, aux hôpitaux, aux agences gouvernementales et aux prestataires de soins de santé gérés. Le secteur Santé animale de la Société développe, fabrique et commercialise une gamme de produits pharmaceutiques vétérinaires et de vaccins ainsi que des solutions de gestion de la santé pour la prévention, le traitement et le contrôle des maladies chez toutes les espèces d'animaux d'élevage et de compagnie. Le produit MK-7240 de la société est utilisé pour le traitement des maladies à médiation immunitaire, notamment la colite ulcéreuse et la maladie de Crohn.</t>
  </si>
  <si>
    <t>Merck kgaa</t>
  </si>
  <si>
    <t>DE0006599905</t>
  </si>
  <si>
    <t>Merck KGaA est une société scientifique et technologique basée en Allemagne. La Société exerce ses activités dans trois secteurs d'activité : Santé, Sciences de la vie et Électronique. L'activité Santé, qui opère aux États-Unis et au Canada sous le nom d'EMD Serono, se concentre sur des domaines thérapeutiques tels que les allergies, la fertilité, l'oncologie et les maladies neurodégénératives, le développement de médicaments, de substances diagnostiques et de dispositifs médicaux. L'activité Life Sciences comprend les activités de MilliporeSigma, qui fournit des solutions facilitant la recherche biotechnologique et pharmaceutique. La gamme de produits comprend des systèmes d'eau de laboratoire, des outils d'édition de gènes, des lignées cellulaires et des systèmes de fabrication de médicaments de bout en bout, entre autres. L'activité Électronique permet la vie numérique et fournit des produits chimiques spécialisés pour diverses applications, y compris les cristaux liquides pour les écrans électroniques, les matériaux pour les circuits intégrés, les pigments à effet pour les revêtements et les cosmétiques de couleur, ainsi que les matériaux fonctionnels pour les solutions énergétiques.</t>
  </si>
  <si>
    <t>MERSEN S.A., anciennement Le Carbone Lorraine SA, est une société basée en France impliquée dans la production de produits à base de carbone et de graphite et leurs applications. Les activités de la société sont divisées en quatre segments : Le segment des équipements anti-corrosion et de process qui produit des mélangeurs, des appareils sous pression et des systèmes anti-corrosion, entre autres ; le segment des solutions électriques pour moteurs et générateurs qui intervient dans la fabrication de balais en carbone, de brosses antistatiques, de systèmes de transmission de signaux, entre autres ; le segment des solutions et matériaux avancés pour hautes températures qui produit des composants mécaniques et friction, pièces réfractaires en graphite, entre autres ; le segment sureté et fiabilité pour l'énergie électrique qui est impliqué dans le refroidissement de l'électronique de puissance, entre autres. En juillet 2013, elle a vendu ses activités du site de Grésy-sur-Aix en Savoie en France. En décembre 2013, elle a vendu ses activités spécialisées en agitateurs et mélangeurs, et en échangeurs de chaleur à plaques métalliques.</t>
  </si>
  <si>
    <t>Metropole television sa</t>
  </si>
  <si>
    <t>FR0000053225</t>
  </si>
  <si>
    <t>Metropole Television S.A. est une société audiovisuelle basée en France qui se spécialise dans la production, la distribution et la commercialisation de programmes de télévision (TV). Elle opère dans trois secteurs : le M Six Channell, dont M6, une chaîne de télévision, qui diffuse un éventail de programmes, y compris des nouvelles, sports, documentaires, dramatiques, feuilletons télévisés et films; TV Rights, impliqués dans le soutien audiovisuel, les activités d'acquisition, de gestion et de distribution de droits cinématographiques pour diffuser à un large public : production, distribution en salle, ventes de vidéo, entre autres; et la télévision numérique, qui fournit la télédiffusion par Internet. En outre, la Société offre des coupons de réduction et remise d'espèces d'Internet via iGraal. La Société opère à travers ses nombreuses filiales, dont Studio 89 Productions, Oxygem, M6 Publicité et Métropole Production, entre autres.</t>
  </si>
  <si>
    <t>La Compagnie Générale des Établissements Michelin SCA est une société de mobilité basée en France. Elle opère à travers trois secteurs : automobile, transport routier et entreprises spécialisées. Le secteur automobile, qui comprend les secteurs d'activité Affaires automobiles aux clients (B2C) Marques mondiales, Marques régionales B2C automobile, Équipement d'origine automobile et Expériences de mobilité. Le transport routier comprend les secteurs d'activité Transport longue distance, Transport urbain et Services et solutions. Les entreprises spécialisées comprennent les secteurs d'activité Mines, Transport hors route, Deux roues, Avions et Matériaux de haute technologie. La société fournit différents types de pneus et produits et services connexes par le biais d'un réseau de concessionnaires. Son offre de services comprend l'assistance aux conducteurs de camions avec Michelin Euro Assist, des conseils sur les pneus de flotte, des services de maintenance et de gestion et des services d'aide à la mobilité, entre autres. De plus, Elle propose des produits de style de vie de marque et des matériaux de haute technologie.</t>
  </si>
  <si>
    <t>AAA</t>
  </si>
  <si>
    <t>Microsoft Corporation est une entreprise technologique. La Société développe et prend en charge des logiciels, des services, des appareils et des solutions. Elle opère à travers trois segments. Le segment Productivité et processus commerciaux comprend les produits et services de son portefeuille de services de productivité, de communication et d'information, couvrant une variété d'appareils et de plates-formes. Ce segment comprend Office Commercial comprenant Office (y compris les abonnements Office 365), Exchange, SharePoint, Microsoft Teams, Office 365 Security and Compliance et Microsoft Viva ; Solutions d'entreprise Office Consumer, LinkedIn et Dynamics. Le segment Intelligent Cloud comprend les produits de serveurs publics, privés et hybrides et les services cloud de la Société, y compris Azure et d'autres services cloud ; SQL Server, Windows Server, Visual Studio, System Center et les licences d'accès client associées, ainsi que Nuance et GitHub. Le segment More Personal Computing comprend principalement Windows, les appareils, les jeux, la recherche et la publicité dans les actualités.</t>
  </si>
  <si>
    <t>Moderna, Inc. est une société de biotechnologie. La Société se concentre sur le développement de thérapies et de vaccins à base d'acide ribonucléique messager (ARNm). Elle développe des thérapeutiques et des vaccins pour les maladies infectieuses, l'immuno-oncologie, les maladies rares, les maladies auto-immunes et cardiovasculaires, de manière indépendante et avec ses collaborateurs stratégiques. Les médicaments à base d'ARNm sont conçus pour diriger les cellules du corps afin qu'elles produisent des protéines intracellulaires, membranaires ou sécrétées qui ont un avantage thérapeutique ou préventif avec le potentiel de traiter un large éventail de maladies. Les produits de la Société comprennent Spikevax, le vaccin Moderna COVID-19 (ARNm-1273), un vaccin bivalent ciblant la variante BA.1 Omicron, combiné avec Spikevax (ARNm-1273.214), et un vaccin bivalent ciblant le BA.4/BA.5 Variantes d'Omicron associées à Spikevax (ARNm-1273.222). Elle dispose d'un pipeline de développement de 45 candidats en développement à travers ses 48 programmes de développement, dont 38 sont en études cliniques.</t>
  </si>
  <si>
    <t>Mtu aero</t>
  </si>
  <si>
    <t>MTU Aero Engines AG est un fabricant allemand de moteurs d'avions militaires dans toutes les catégories de poussée et de puissance et de turbines à gaz stationnaires. La Société opère à travers deux segments : l'activité de moteurs commerciaux et militaires (OEM) et l'activité de maintenance commerciale (MRO). Le segment des moteurs commerciaux et militaires (OEM) couvre le développement et la production de modules, de composants et de pièces pour les programmes de moteurs, y compris l'assemblage final, ainsi que les services de maintenance. L'activité de maintenance commerciale (MRO) regroupe toutes les activités liées à la maintenance, la réparation et la révision des moteurs commerciaux et les services associés. La Société exerce ses activités par l'intermédiaire de nombreuses filiales en Europe, aux Amériques, en Asie et en Australie.</t>
  </si>
  <si>
    <t>Mulberry Group plc is engaged in sourcing, designing, and manufacturing leather goods, including bag ranges and other lifestyle accessories. Its segments include UK, Asia Pacific and Other International. It designs, manufactures and manages the Mulberry brand. Its product categories include leather accessories, leather goods, shoes, soft accessories and women's ready-to-wear. Its services include delivery, care and repairs, gift wrapping, and gifts. It uses different types and styles of leather for its bags and accessories. The Company sells directly to consumers in around 190 countries through its integrated digital channels and store network. In other territories, the Company works with selected local partners to deliver its products. Its subsidiaries include Mulberry Company (Design) Limited, Mulberry Company (France) SARL, Mulberry Company (Sales) Limited, Mulberry Company (Europe) Limited, Mulberry Group Holding Company Limited, Mulberry Trading Holding Company Limited and others.</t>
  </si>
  <si>
    <t>Munich reinsurance company</t>
  </si>
  <si>
    <t>DE0008430026</t>
  </si>
  <si>
    <t>Muenchener Rueckversicherungs Gesellschaft AG à Munich est une société basée en Allemagne qui exerce des activités de réassurance et d'assurance. La Société divise ses activités en cinq segments: réassurance vie et santé, qui comprend les activités mondiales de réassurance vie et santé; Réassurance IARD, qui comprend les activités mondiales de réassurance IARD; ERGO Life and Health Germany, qui comprend les activités d'assurance-vie et d'assurance maladie en Allemagne, les activités d'assurance directe en assurance de dommages et les activités d'assurance voyage dans le monde; ERGO IARD, qui comprend les activités allemandes d’assurance IARD, à l’exclusion des affaires directes, et ERGO International, qui comprend les activités d’assurance principale d’ERGO en dehors de l’Allemagne.</t>
  </si>
  <si>
    <t>Neoen SAS est une société française spécialisée dans le secteur des énergies renouvelables. La Société exploite, finance et développe un certain nombre de centrales électriques à partir de diverses sources d'énergie, notamment l'énergie solaire, éolienne et la biomasse. Son portefeuille de centrales comprend providencia, ombrineo, degrussa, cestas, ygos, luxey, geloux, seixal, cabrela, coruche, hornsdale I, bussy-lettree, raucourt II, villacerf, bais et trans, reclainville, chapelle vallon et la montagne. Outre la France, la Société est présente dans de nombreux autres pays tels que le Portugal, l'Australie, l'Australie, la Jordanie, la Zambie, le Mozambique, l'Argentine, la Jamaïque, le Mexique, l'Égypte et le Salvador, entre autres.</t>
  </si>
  <si>
    <t>Nestlé s.a.</t>
  </si>
  <si>
    <t>CH0038863350</t>
  </si>
  <si>
    <t>Nestlé S.A. est une entreprise spécialisée dans la nutrition, la santé et le bien-être. Les segments de la Société sont la Zone Europe, Moyen-Orient et Afrique du Nord (EMENA) ; Zone Amériques (AMS); Zone Asie, Océanie et Afrique sub-saharienne (AOA) ; Nestlé Waters; Nestlé Nutrition et autres entreprises. La Société exerce ses activités aux États-Unis, dans la région de la Grande Chine, en Suisse et dans le reste du monde. Les catégories de produits de la Société comprennent les boissons énergétiques et liquides ; l'eau; produits laitiers et glaces; sciences de la nutrition et de la santé; plats préparés et aides culinaires; confiserie et PetCare. Ses autres activités commerciales comprennent les activités de Nestlé Professional, Nespresso, Nestlé Health Science et Nestlé Skin Health. Elle opère dans environ 190 pays à travers le monde. Il a des ventes dans divers pays, dont les États-Unis, la région de la Grande Chine, le Brésil, le Mexique, l'Allemagne, le Royaume-Uni, l'Italie, le Canada, la France, la Turquie, l'Ukraine, la Géorgie, la Hongrie, Malte, la Roumanie, l'Espagne et la Suisse.</t>
  </si>
  <si>
    <t>Netflix, inc.</t>
  </si>
  <si>
    <t>US64110L1061</t>
  </si>
  <si>
    <t>Netflix, Inc. est une société de services de divertissement. La société a payé des abonnements dans plus de 190 pays avec des séries télévisées, des films et des jeux dans une variété de genres et de langues. Ses membres peuvent jouer, mettre en pause et reprendre à regarder, autant qu'ils le souhaitent, à tout moment, n'importe où, et peuvent modifier leurs plans à tout moment. Il propose une variété de plans d'abonnement au streaming, dont le prix varie selon les pays et les caractéristiques du plan. Le prix de ses plans varie de l'équivalent en dollars américains d'environ 1 $ à 26 $ par mois. Il offre aux membres la possibilité de recevoir du contenu en streaming via une multitude d'appareils connectés à Internet, y compris des téléviseurs, des lecteurs vidéo numériques, des décodeurs TV et des appareils mobiles. La Société a des accords avec divers opérateurs de câble, de satellite et de télécommunications pour rendre son service disponible via les décodeurs TV de ces fournisseurs de services. La Société acquiert, concède sous licence et produit du contenu, y compris des émissions originales.</t>
  </si>
  <si>
    <t>BB+ / Positif</t>
  </si>
  <si>
    <t>Nexans SA est une société basée en France spécialisée dans l'industrie du câble. Elle fournit des câbles et des systèmes de câblage en cuivre et en fibre optique aux infrastructures d'énergie, aux télécommunications et aux données, à la construction et aux marchés du réseau local (LAN). Elle opère sous quatre segments: Construction et Territoires, qui comprend des solutions pour le marché de la construction, les opérateurs énergétiques, les autorités locales et les communautés rurales; Haute Tension &amp; Projets, qui comprend des projets d'interconnexion sous-marine, des parcs éoliens offshore, des projets pétroliers et gaziers offshore et des projets terrestres haute tension; Industrie &amp; Solutions, qui accompagne les équipementiers et les projets d'infrastructures industrielles dans la personnalisation de leur électrification, numérisation et englobe l'aéronautique, les chemins de fer, les énergies renouvelables, et Télécommunications et de Données, permettant aux clients de déployer des infrastructures cuivre et fibre optique, ainsi que des solutions de connectivité pour les câbles transocéaniques, les réseaux urbains à fibres optiques.</t>
  </si>
  <si>
    <t>NEXITY S.A. est un promoteur d'immobilier résidentiel et commercial basé à Paris, en France. En tant que développeur de l'immobilier résidentiel, la Société offre des solutions dans les maisons individuelles, les immeubles d'habitation, et le développement complet des quartiers avec des maisons disponibles à la location ou à l'achat, des espaces commerciaux et des installations publiques. Elle dispose de plusieurs filiales engagées dans différentes divisions, telles que Nexity Entreprises qui est spécialisée dans les bâtiments gratte-ciel, les nouveaux immeubles de bureaux et les rénovations structurelles. Geprim est spécialisée dans les entrepôts, les centres de distribution et les unités à usage mixte. Nexity Services fournit des services le long de toutes les étapes de conception d'un projet, l'achat, la gestion quotidienne, la rénovation et la vente. Le Groupe est également actif au niveau international et il est présent en Belgique, en Espagne, en Italie et au Portugal. Il opère à travers Costame, entre autres.</t>
  </si>
  <si>
    <t>Nike, inc.</t>
  </si>
  <si>
    <t>US6541061031</t>
  </si>
  <si>
    <t>NIKE, Inc. est engagée dans la conception, la commercialisation et la distribution de chaussures de sport, de vêtements, d'équipements et d'accessoires et de services pour les activités sportives et de fitness. Les secteurs d'exploitation de la Société comprennent l'Amérique du Nord ; Europe, Moyen-Orient et Afrique (EMEA); Grande Chine ; et Asie-Pacifique et Amérique latine (APLA). Elle vend une gamme d'équipements et d'accessoires sous la marque NIKE, notamment des sacs, des chaussettes, des ballons de sport, des lunettes, des montres, des appareils numériques, des battes, des gants, des équipements de protection et d'autres équipements conçus pour les activités sportives. Elle conçoit également des produits spécifiquement pour la marque Jordan et Converse. La marque Jordan conçoit, distribue et concède sous licence des chaussures, des vêtements et des accessoires de sport et de loisirs principalement axés sur la performance et la culture du basket-ball en utilisant la marque Jumpman. La Société conçoit, distribue et concède également sous licence des baskets, des vêtements et des accessoires décontractés sous les marques Chuck Taylor, All Star, One Star, Star Chevron et Jack Purcell.</t>
  </si>
  <si>
    <t>Nn group nv</t>
  </si>
  <si>
    <t>NL0010773842</t>
  </si>
  <si>
    <t>NN Group N.V. est une société d'assurance et de gestion de placements basée aux Pays-Bas. Elle exploite sept segments. Le segment Pays-Bas Vie offre des produits d'assurance-vie individuelle et de groupe et des pensions. Le segment Pays-Bas Non-Vie fournit les assurances automobiles, de transport, d'incendie, de responsabilité et de voyage, ainsi que des produits de protection de revenu. L'Assurance Europe comprend l'assurance-vie offerte dans 11 pays européens, les pensions, l'assurance non-vie en Belgique et en Espagne et l'assurance des soins de santé en Grèce. Le segment Japon Vie offre des assurances-vie d'entreprises. La Gestion d'Investissement fournit des produits d'investissement et des services consultatifs. Le segment Autres comprend les affaires de la Banque Nationale-Nederlanden et le réassureur interne de la Société, ING Re, ainsi que des résultats de holding et autres. Le Japon Bloc Fermé VA comprend l'assurance-vie individuelle à prime unique bloc fermé à rente variable. En juillet 2014, ING Groep NV a réduit sa participation dans la Société à 68,1 %.</t>
  </si>
  <si>
    <t>Nordex SE est une société holding basée en Allemagne qui, avec ses filiales, développe, fabrique et distribue des systèmes éoliens, spécialisés dans les éoliennes, en Allemagne et dans d'autres pays. Sous la marque Nordex, la Société propose des éoliennes Nordex N90/2500, N100/2500 et N117/2400. En plus du développement et de la production de systèmes éoliens, la Société fournit également des services de développement de projets préliminaires pour soutenir la commercialisation, ainsi que l'acquisition de droits et la création de l'infrastructure nécessaire à la construction de systèmes éoliens à des emplacements appropriés. La Société est active dans le développement de projets sur près de quatre marchés : la France, la Pologne, la Suède et l'Amérique. La Société possède des bureaux et des filiales dans le monde entier et des sites de production en Allemagne, en Chine et aux États-Unis. La Société détient des participations dans d'autres sociétés, notamment Beebe Wind LLC, Big Berry Wind Farm LLC, Flat Rock Wind LLC et Green Hills Wind LLC, entre autres.</t>
  </si>
  <si>
    <t>Novartis inc.</t>
  </si>
  <si>
    <t>CH0012005267</t>
  </si>
  <si>
    <t>Novartis AG est une société pharmaceutique basée en Suisse. La Société développe, fabrique et commercialise des médicaments d'ordonnance de marque et génériques, des ingrédients pharmaceutiques actifs (API), des biosimilaires et des produits ophtalmiques. La Société utilise la science et les technologies numériques pour les traitements dans les domaines de l'immunologie, de la dermatologie, du cancer, de l'ophtalmologie, des neurosciences, des maladies respiratoires, cardiovasculaires, rénales et métaboliques. Les activités commerciales de la Société sont divisées en deux segments : Médicaments innovants, qui comprend des médicaments d'ordonnance innovants protégés par un brevet pour la tension artérielle, le cancer et d'autres affections, et Sandoz, qui comprend des produits pharmaceutiques génériques et des biosimilaires.</t>
  </si>
  <si>
    <t>NVIDIA Corporation accélère le calcul pour aider à résoudre les problèmes de calcul. La Société a deux segments. Le segment Compute &amp; Networking comprend sa plate-forme informatique accélérée de centre de données ; la mise en réseau; cockpit d'intelligence artificielle (IA) automobile, accords de développement de conduite autonome et solutions de véhicules autonomes ; plateformes informatiques pour véhicules électriques; Jetson pour la robotique et autres plateformes embarquées ; NVIDIA AI Enterprise et autres logiciels ; et les processeurs d'extraction de crypto-monnaie (CMP). Le segment Graphics comprend les GPU GeForce pour les jeux et les ordinateurs personnels (PC), le service de streaming de jeux GeForce NOW et l'infrastructure associée, ainsi que les solutions pour les plateformes de jeux ; GPU Quadro/NVIDIA RTX pour les graphiques de station de travail d'entreprise ; GPU virtuel (vGPU), logiciel pour l'informatique visuelle et virtuelle basée sur le cloud ; plates-formes automobiles pour systèmes d'infodivertissement; et un logiciel d'entreprise omnivers pour créer et exploiter des applications Internet métavers et tridimensionnelles.</t>
  </si>
  <si>
    <t>BB+ / Négative</t>
  </si>
  <si>
    <t>Compartiment B</t>
  </si>
  <si>
    <t>Ontex Group NV est une société basée en Belgique, qui opère dans l'industrie manufacturière. La Société est un producteur de solutions d'hygiène personnelle jetables pour bébés, femmes et adultes. Il propose une gamme de produits tels que des couches pour bébés, des pantalons pour bébés, des lingettes humides pour bébés, des tampons, des protège-slips, des tampons, des produits contre l'incontinence légère, des pull-ups, des couches pour ceinture, des systèmes de ruban tout-en-un, des tampons en forme et des sous-couches. Ses produits sont distribués par le biais de marques partenaires de vente au détail, ainsi que sous ses propres marques (canbebe, canped et Moltex,) à travers plusieurs canaux de distribution, tels que le commerce de détail, les établissements de soins et les pharmacies. La Société est présente en Europe, en Amérique du Nord, au Brésil, en Afrique du Nord, en Australie et en Asie, entre autres.</t>
  </si>
  <si>
    <t>Orange SA est un opérateur de télécommunications multiservices basé en France. La Société exploite sept segments : France, Espagne, Europe, Afrique et Moyen-Orient, Entreprise, Opérateurs internationaux et services partagés, Orange Bank. La France comprend tous les services de communication fixe et mobile aux consommateurs et aux entreprises ainsi que les services aux opérateurs. L'Espagne couvre la téléphonie fixe et mobile et la fibre. L'Europe (Pologne, Belgique, Luxembourg, Roumanie, Slovaquie et Moldavie) fournit le haut débit fixe et mobile haut débit. L'Afrique et le Moyen-Orient opèrent principalement sur les marchés mobiles, mais fournissent également des services de téléphonie et d'Internet fixe. Enterprise fournit un support de transformation numérique. Les opérateurs internationaux et les services partagés incluent, entre autres, les opérateurs internationaux et les activités d'OCS et d'Orange Studio dans le contenu. Orange Bank offre des services financiers mobiles. Orange SA est la société mère du groupe Orange.</t>
  </si>
  <si>
    <t>Orpea SA est une société basée en France qui s'occupe des maisons de retraite, des cliniques ambulatoires et de réadaptation et des soins psychiatriques. Par l'intermédiaire de sa filiale à part entière, Clinea, la Société offre également une gamme d'autres services, du traitement ambulatoire, des soins post-opératoires et de la thérapie physique, aux soins infirmiers, aux soins gériatriques, aux services psychiatriques et aux maisons de soins de longue durée. La Société gère un certain nombre de filiales en propriété exclusive, dont Clinea, Villers Services SA, Residence La Cheneraie SAS, Carina SA, Super Aix SCI, Emcejidey SA et Maison de Retraite Paul Cezanne SA et Inoges AG, entre autres. La Société fonctionne à travers Vitalis, Senevita, Dr. Dr. Wagner group et Anavita, opérateur de maisons de soins infirmiers en République Tchèque.</t>
  </si>
  <si>
    <t>Ovhcloud</t>
  </si>
  <si>
    <t>Ovh Groupe SAS est une société basée en France qui est un fournisseur de services Internet. Son portefeuille de produits et services comprend, entre autres, des noms de domaine, des services de messagerie électronique, de l'hébergement, des solutions cloud, de la téléphonie et des solutions de voix sur protocole Internet (VoIP). La société fournit également des solutions logicielles axées sur l'exploitation du cloud et le traitement des données. Il fournit un service cloud qui comprend des solutions de calcul, des solutions de stockage, des solutions de Big Data et d'apprentissage automatique, un paiement à l'utilisation, l'intelligence artificielle et l'apprentissage automatique. Il propose une solution d'entreprise qui comprend un cloud privé, des solutions de plan de reprise après sinistre, la migration de votre centre de données vers le cloud, l'interconnexion entre vos serveurs physiques et un cloud sécurisé, des solutions certifiées pour l'hébergement de données sensibles et une solution de virtualisation VMware gérée.</t>
  </si>
  <si>
    <t>Partners group holding ag</t>
  </si>
  <si>
    <t>CH0024608827</t>
  </si>
  <si>
    <t>Partners Group Holding AG est une société de gestion d'investissements sur les marchés privés mondiaux basée en Suisse. Elle gère une large gamme de portefeuilles personnalisés pour une clientèle internationale d'investisseurs institutionnels. La Société exerce ses activités dans les secteurs d'activité suivants : Le capital-investissement qui fait référence aux investissements réalisés dans des entreprises privées ; Dette privée qui fait référence au financement par emprunt de sociétés ou de projets privés, qui permet aux investisseurs d'accéder à des opportunités d'investissement qui ne sont pas disponibles sur le marché des obligations d'entreprises publiques ; Immobilier privé qui fait référence aux investissements réalisés dans des actifs immobiliers privés, y compris une gamme d'opportunités d'investissement, allant des complexes de logements et des espaces de bureaux aux centres commerciaux et aux bâtiments industriels, et Infrastructure privée qui fait référence aux investissements réalisés dans des actifs d'infrastructure privés, tels que le transport , communication, énergie conventionnelle, énergie renouvelable, infrastructure énergétique, eau, infrastructure sociale et gestion des déchets.</t>
  </si>
  <si>
    <t>Peloton interactive</t>
  </si>
  <si>
    <t>Leisure Products</t>
  </si>
  <si>
    <t>Peloton Interactive, Inc. est un fournisseur de plateformes interactives de fitness. La société propose à ses membres une remise en forme connectée et basée sur la technologie ainsi que la diffusion en continu de cours immersifs dirigés par un instructeur, à tout moment et en tout lieu. Ses segments comprennent les produits de fitness connectés et les abonnements. Le secteur Produits de fitness connectés comprend le portefeuille de produits de fitness connectés et d'accessoires associés de la société, les produits de fitness de marque Precor, les services de livraison et d'installation, les vêtements de marque Peloton, les accords de garantie prolongée et les contrats de services commerciaux. Ses produits de fitness connectés comprennent Peloton Bike, Peloton Bike+, Peloton Tread, Peloton Tread+, Peloton Guide et Peloton Row. Le segment Abonnements donne accès au contenu de sa bibliothèque de cours de fitness en direct et à la demande. Ses abonnements sont proposés au mois ou prépayés. Elle vend ses produits directement aux clients via une plateforme de vente multicanal et via des tiers.</t>
  </si>
  <si>
    <t>Pernod ricard sa</t>
  </si>
  <si>
    <t>Pernod Ricard SA est un producteur mondial de vins et spiritueux basé en France. Elle opère à travers trois segments géographiques : Amérique, Europe et Asie/Reste du Monde. La Société détient un portefeuille de marques, y compris Absolut Vodka, Ricard pastis, Ballantine’s, Chivas Regal, Royal Salute, et The Glenlivet Scotch whiskies, Jameson whisky irlandais, cognac Martell, Havana Club rhum, Beefeater gin, liqueur Malibu, Mumm et Perrier-Jouet champagnes, ainsi que les vins de Jacob Creek, Brancott Estate, Campo Viejo et Kenwood, entre autres.</t>
  </si>
  <si>
    <t>Peugeot invest</t>
  </si>
  <si>
    <t>Peugeot Invest SA (anciennement FFP SA) est une société holding d'investissement basée en France. La Société est engagée dans des activités d'investissement telles que des actifs diversifiés, constitués de participations minoritaires directes, de véhicules de capital-investissement, de co-investissements et d'immobilier. Elle exerce son activité au travers de ses participations directes et indirectes pour progresser dans les domaines de la gouvernance, de l'action sociale et de la protection de l'environnement. La Société exerce ses activités par l'intermédiaire de ses filiales.</t>
  </si>
  <si>
    <t xml:space="preserve">A+ </t>
  </si>
  <si>
    <t>Pfizer Inc. est une société biopharmaceutique axée sur la recherche. La Société est engagée dans la découverte, le développement, la fabrication, la commercialisation, la vente et la distribution de produits biopharmaceutiques dans le monde entier. La Société opère à travers deux segments : Biopharma et PC1. Biopharma est engagée dans le secteur biopharmaceutique scientifique. PC1 est son organisation mondiale de développement et de fabrication sous contrat et son fournisseur d'ingrédients pharmaceutiques actifs spécialisés. Les produits de soins primaires de la Société comprennent Eliquis, Nurtec ODT/Vydura et la famille Premarin ; la famille Prevnar, Nimenrix, FSME/IMMUN-TicoVac et Trumenba ; Comirnaty et Paxlovid. Ses produits de soins spécialisés comprennent Xeljanz, Enbrel (en dehors des États-Unis et du Canada), Inflectra, Eucrisa/Staquis et Cibinqo ; la famille Vyndaqel, Oxbryta, BeneFIX et Genotropin, et Sulperazon, Medrol, Zavicefta, Zithromax, Vfend et Panzyga. Ses produits oncologiques comprennent Ibrance, Xtandi, Inlyta, Retacrit, Lorbrena et Braftovi.</t>
  </si>
  <si>
    <t>Plastic omnium</t>
  </si>
  <si>
    <t>Compagnie Plastic Omnium SE est un groupe de traitement des plastiques basé en France avec des activités dans les secteurs de l'automobile et de l'environnement. La division Automobile se compose de deux activités : Auto Exterior, offert par Plastic Omnium Auto Exterior, et Systèmes à carburant fourni par Inergy Automotive Systems, entre autres. La division Environnement se spécialise dans la conteneurisation des déchets, la signalisation urbaine et routière, et l'aménagement urbain, fournis par Plastic Omnium Systemes Urbains, SULO et Compagnie Signature. COMPAGNIE PLASTIC OMNIUM S.A. est présente en Europe et en Amérique du Nord et du Sud, dont des pays comme l'Allemagne, la Belgique, la Pologne, la Suède, la Roumanie, les États-Unis, le Canada, l'Argentine et le Brésil. En avril 2013, la société a acquis une part supplémentaire de 40 % dans sa joint-venture avec la société chinoise Xenio. En octobre 2013, elle a ouvert un centre de développement à Lozorno (Slovaquie) pour ses opérations de composants extérieurs et structurels.</t>
  </si>
  <si>
    <t>Porsche automobil holding se</t>
  </si>
  <si>
    <t>DE000PAH0038</t>
  </si>
  <si>
    <t>Porsche Automobil Holding SE (Porsche SE) est une société holding basée en Allemagne et active dans l'industrie de la construction automobile. La Société est engagée dans la détention et la gestion de ses investissements dans Volkswagen AG, par l'intermédiaire de laquelle la Société gère douze marques automobiles de sept pays européens : Volkswagen Passenger Cars, Audi, SEAT, Skoda, Bentley, Bugatti, Lamborghini, Porsche, Ducati, Volkswagen Véhicules utilitaires, Scania et MAN. En outre, la Société est également active dans la distribution de pièces, l'après-vente et investit dans la chaîne de valeur automobile, qui comprend l'éventail des technologies de base destinées à soutenir le processus de développement et de production jusqu'aux services liés aux véhicules et à la mobilité. La Société détient une filiale en propriété exclusive, PTV Planung Transport Verkehr AG, et une filiale en propriété majoritaire, Volkswagen AG. En outre, Porsche SE détient des participations minoritaires dans un certain nombre de sociétés technologiques basées aux États-Unis, en Israël et en Allemagne.</t>
  </si>
  <si>
    <t xml:space="preserve">Prada </t>
  </si>
  <si>
    <t>Prada SpA is an Italy-based company engaged in fashion industry. The Company is a parent of the Prada Group. The Company, along with its subsidiaries, is engaged in the design, production and distribution of leather goods, handbags, clothing, eyewear, fragrances, footwear and accessories. Prada SpA manufactures jackets, trousers, skirts, dresses, sweaters, blouses, as well as perfumes and watches, among others. The Company trades its products through several brands, such as Prada, Miu Miu, The Church and The Car Shoe. Prada SpA operates in approximately 70 countries through directly operated stores, franchise operated stores, a network of selected multi-brand stores and department stores. Prada Spa operates through a numerous subsidiaries, including Artisans Shoes Srl, Angelo Marchesi Srl, Prada Far East BV, Tannerie Megisserie Hervy SAS and Prada SA, among others.</t>
  </si>
  <si>
    <t>Prologis, Inc. est une société immobilière entièrement intégrée. La Société exerce ses activités dans deux secteurs : Opérations immobilières et Capital stratégique. Le segment des opérations immobilières représente la propriété et le développement de propriétés logistiques. Le segment Strategic Capital représente la gestion d'entreprises de co-investissement non consolidées et d'autres entreprises. La Société exploite, gère et mesure la performance opérationnelle de ses propriétés sur une base détenue et gérée (O&amp;M). Son portefeuille O&amp;M comprend ses propriétés consolidées, ainsi que les propriétés détenues par ses entreprises de co-investissement non consolidées. La Société gère son portefeuille et fournit des services immobiliers, y compris la location, la gestion immobilière, le développement, les acquisitions et les aliénations. La Société possède, gère et développe des installations logistiques dans environ 19 pays sur quatre continents. La Société possède des bureaux principaux à Amsterdam, Denver, Mexico, Shanghai, Singapour et Tokyo.</t>
  </si>
  <si>
    <t>Prosus nv</t>
  </si>
  <si>
    <t>NL0013654783</t>
  </si>
  <si>
    <t>Prosus NV, anciennement Myriad International Holdings NV, est un groupe Internet mondial de consommateurs basé aux Pays-Bas. La société est organisée en six secteurs d’activité : petites annonces, paiements et technologies financières, livraison de nourriture, commerce électronique, entreprises et voyages. Il détient également des investissements dans des actifs sociaux et Internet cotés. Le domaine d'activité Petites annonces gère les marchés mobiles et numériques. Le domaine d'activité paiements et technologies financières comprend PayU, une plateforme de services de paiement. Le domaine d'activité Livraison alimentaire gère les entreprises de livraison alimentaire. Le domaine d'activité Voyages exploite une plateforme de voyages en ligne. Le domaine d'activité commerce électronique comprend les entreprises de commerce électronique grand public. Le secteur d'activité Venture recherche et investit dans des entreprises en démarrage.</t>
  </si>
  <si>
    <t>Proximus nv</t>
  </si>
  <si>
    <t>BE0003810273</t>
  </si>
  <si>
    <t>Proximus NV est une société basée en Belgique qui exerce ses activités dans les secteurs des télécommunications, de l'information, de la communication et de la technologie (TIC). Elle fournit des services de téléphonie, d'Internet, de télévision et de TIC basés sur le réseau à travers les marques Proximus et Scarlet. En outre, la Société transforme une gamme de technologies, telles que l'Internet des objets (IoT), le Big Data, le Cloud et la sécurité, en solutions. Proximus NV exploite BICS en tant que filiale, qui est un opérateur vocal et fournisseur de services de données mobiles dans le monde entier. En outre, TeleSign, la filiale de la Société, propose la plateforme de communication en tant que service (CPaaS). Proximus NV est active sur les marchés nationaux et internationaux en fournissant des services aux clients résidentiels, professionnels et publics.</t>
  </si>
  <si>
    <t>Publicis Groupe SA est un groupe de communication basé en France. Il offre une gamme complète de services de publicité et de communication organisés en quatre pôles de solutions: Publicis Communications, Publicis Media, Publicis Sapient et Publicis Health. Publicis Communications, la plateforme de communication créative, comprend les réseaux Leo Burnett, Saatchi &amp; Saatchi, Publicis Worldwide, BBH, Marcel, Fallon, MSLGROUP et Prodigious. Publicis Sapient est spécialisé dans les services de transformation numérique. Publicis Media est une agence média mondiale dotée de capacités en matière d'investissement, de stratégie, d'informations et d'analyses, de données et de technologie, de commerce, de marketing de performance et de contenu. Publicis Health se concentre sur la transformation des activités de santé et de bien-être. Le Groupe est présent dans cinq régions géographiques : Europe, Amérique du Nord, Asie-Pacifique, Amérique latine, Moyen-Orient et Afrique.</t>
  </si>
  <si>
    <t>Puma</t>
  </si>
  <si>
    <t>PUMA SE est une société basée en Allemagne qui conçoit, développe, vend et commercialise des chaussures de sport, des vêtements et des accessoires. Les segments de la Société comprennent l’Europe, le Moyen-Orient et l’Afrique (EMEA), les Amériques (Amérique du Nord et latine) et l’Asie/Pacifique. La Société offre des produits de performance, ainsi que de style sportif dans six unités commerciales : Teamsport, Running and Training, Basketball, Golf, Motorsport, Sportstyle, Accessoires et licences. La Société est engagée dans la vente de produits des marques PUMA et COBRA Golf à travers le commerce de gros et de détail, ainsi que des ventes directement aux consommateurs dans ses magasins de détail et magasins en ligne. La Société commercialise et distribue ses produits à travers le monde principalement à travers ses filiales dans environ 120 pays. Pour différents segments de produits, tels que les parfums, les lunettes et les montres, la Société délivre des licences autorisant des partenaires indépendants à concevoir, développer et vendre ces produits.</t>
  </si>
  <si>
    <t>Qiagen nv</t>
  </si>
  <si>
    <t>NL0012169213</t>
  </si>
  <si>
    <t>Qiagen NV est une société holding basée aux Pays-Bas. La Société est engagée dans la fourniture de solutions Sample to Insight qui transforment des échantillons biologiques en informations moléculaires. Ses solutions Sample to Insight intègrent des technologies d'échantillonnage et d'analyse, des systèmes bioinformatiques et d'automatisation. Ses technologies d'échantillonnage sont utilisées pour isoler et préparer l'acide désoxyribonucléique (ADN), l'acide ribonucléique (ARN) et les protéines à partir de sang ou d'autres liquides, tissus, plantes ou autres matériaux. Ses technologies de dosage rendent ces biomolécules visibles pour analyse, comme l'identification de l'information génétique d'un agent pathogène ou d'une mutation génique dans une tumeur. Ses solutions bioinformatiques interprètent les données pour fournir des informations exploitables. Les plates-formes d'automatisation de la Société basées sur la réaction en chaîne par polymérase (PCR), le séquençage de nouvelle génération (NGS) et d'autres technologies les relient dans les flux de travail des tests moléculaires, de l'échantillon à l'insight.</t>
  </si>
  <si>
    <t>Ralph lauren</t>
  </si>
  <si>
    <t>Ralph Lauren Corporation est engagée dans la conception, la commercialisation et la distribution de produits de style de vie de luxe, y compris les vêtements, les chaussures et les accessoires, la maison, les parfums et l'hôtellerie. Ses segments comprennent l'Amérique du Nord, l'Europe et l'Asie. Ses marques incluent Ralph Lauren, Ralph Lauren Collection, Ralph Lauren Purple Label, Polo Ralph Lauren, Double RL, Lauren Ralph Lauren, Polo Ralph Lauren Children et Chaps, entre autres. Ses produits vestimentaires comprennent des collections de vêtements pour hommes, femmes et enfants. Sa gamme de chaussures et d'accessoires comprend des chaussures décontractées, des chaussures habillées, des bottes, des baskets, des sandales, des lunettes, des montres, des bijoux de mode et raffinés, des foulards et des chapeaux. Sa gamme de produits pour la maison comprend des lignes de lit et de bain, des meubles, des tissus et des revêtements muraux, des luminaires, des dessus de table, du linge de cuisine, des revêtements de sol et des articles cadeaux. Sa collection hôtelière comprend ses restaurants, dont le Polo Bar à New York et le restaurant RL situé à Chicago.</t>
  </si>
  <si>
    <t>Ramsey Santé</t>
  </si>
  <si>
    <t>RAMSAY GENERALE DE SANTE S.A., anciennement Générale de Santé SA (GDS), est une société basée en France spécialisée dans la fourniture de services de santé hospitaliers privés. La Société propose une gamme de services hospitaliers et, en partenariat avec des spécialistes médicaux indépendants, fournit un éventail de services de soins, comprenant la cancérologie et la radiothérapie ; le traitement de l'alcoolisme et de l'obésité ; la remise en état, telles que la réadaptation cardiaque et rééducation orthopédique et neurologique et les diagnostics, tels que l'imagerie et l'analyse médicales. En outre, la Société développe une prise en charge globale des soins, avec un soutien personnel avant, pendant et après l'hospitalisation. La Société exploite environ 75 établissements en France. La Société opère à travers un certain nombre de filiales, telles que HPM Hopital Privé Metropole SAS. Ramsay Health Care (UK) Ltd est le principal actionnaire de la Société.</t>
  </si>
  <si>
    <t>Randstad nv</t>
  </si>
  <si>
    <t>NL0000379121</t>
  </si>
  <si>
    <t>Randstad NV, anciennement Randstad Holding NV, est un prestataire de services de recrutement basé aux Pays-Bas. Elle a trois concepts de services principaux : Le concept de dotation en personnel, qui recrute des travailleurs dans l'enseignement secondaire par le biais de placements temporaires ou permanents, et propose des services relatifs aux ressources humaines (RH), qui comprennent des services de paie, d'aide au reclassement, d'externalisation et de conseils, entre autres ; le concept de services internalisés, qui fournit des solutions de main-d'œuvre sur site pour la gestion des employés ayant des compétences spécifiques, principalement dans les secteurs de la fabrication et de la logistique ; et le concept professionnel qui couvre le recrutement des superviseurs, des gestionnaires, des professionnels, des spécialistes en contrat provisoire et des consultants possédant des qualifications professionnelles dans les domaines suivants : ingénierie, technologies de l'information (TI), finance, RH, juridique, et marketing et communications. La société est active dans les pays suivants : Pays-Bas, Allemagne, Royaume-Uni et États-Unis, entre autres. Elle possède également Twago, une plateforme pour travailleurs indépendants.</t>
  </si>
  <si>
    <t>Raytheon technologies corporation</t>
  </si>
  <si>
    <t>US75513E1010</t>
  </si>
  <si>
    <t>Raytheon Technologies Corporation est une société aérospatiale et de défense. Les activités de la Société sont classées en quatre secteurs d'activité principaux : Collins Aerospace (Collins), Pratt &amp; Whitney, Raytheon Intelligence &amp; Space (RIS) et Raytheon Missiles &amp; Defense (RMD). Son segment Collins est un fournisseur de produits aérospatiaux et de défense technologiquement avancés et de solutions de services après-vente pour les avionneurs, les compagnies aériennes et l'aviation régionale, d'affaires et générale, ainsi que pour les opérations spatiales de défense et commerciales. Pratt &amp; Whitney est engagé dans la fourniture de moteurs d'avions pour les clients commerciaux, militaires, d'avions d'affaires et d'aviation générale. Le segment RIS est un fournisseur de systèmes intégrés spatiaux, de communication et de capteurs, ainsi que de solutions informatiques et logicielles pour les clients du renseignement, de la défense, fédéraux et commerciaux. Le segment RMD est un fournisseur de solutions de bout en bout pour les clients des gouvernements américains et étrangers conçues pour détecter, suivre et engager les menaces.</t>
  </si>
  <si>
    <t>Regeneron pharmaceuticals, inc.</t>
  </si>
  <si>
    <t>US75886F1075</t>
  </si>
  <si>
    <t>Regeneron Pharmaceuticals, Inc. est une société de biotechnologie intégrée qui découvre, invente, développe, fabrique et commercialise des médicaments pour des maladies graves. Ses médicaments commercialisés et ses produits candidats en développement sont conçus pour aider les patients atteints de maladies oculaires, de maladies allergiques et inflammatoires, de cancer, de maladies cardiovasculaires et métaboliques, de douleurs, de troubles hématologiques, de maladies infectieuses et de maladies rares. Ses produits commercialisés comprennent EYLEA (aflibercept) Injection, Dupixent (dupilumab) Injection, Libtayo (cemiplimab) Injection, Praluent (alirocumab) Injection, REGEN-COV, Kevzara (sarilumab) Solution pour injection sous-cutanée, Evkeeza (evinacumab) Injection, Inmazeb (atoltivimab , maftivimab et odesivimab-ebgn) injectable, ARCALYST (rilonacept) injectable pour usage sous-cutané et ZALTRAP (ziv-aflibercept) injectable pour perfusion intraveineuse. La société fournit également des solutions d'assurance de service Expresse et de gestion de l'expérience WiFi CloudCheck.</t>
  </si>
  <si>
    <t>Relx plc</t>
  </si>
  <si>
    <t>RELX PLC est un fournisseur mondial basé au Royaume-Uni d'outils d'analyse et de décision basés sur l'information pour les clients professionnels et commerciaux. La Société opère dans quatre segments de marché : Risque ; Scientifique, technique et médical ; Juridique; et Expositions. Son segment Risque fournit aux clients des outils d'analyse et de décision basés sur l'information qui combinent un contenu public et spécifique à l'industrie avec une technologie et des algorithmes pour les aider à évaluer et à prévoir les risques. Son segment scientifique, technique et médical fournit des informations et des analyses qui aident les institutions et les professionnels à faire progresser la science et à faire progresser les soins de santé. Le segment juridique fournit des informations et des analyses juridiques, réglementaires et commerciales qui aident les clients à augmenter leur productivité et à améliorer leur prise de décision. Le segment Expositions combine l'expertise de l'industrie avec des données et des outils numériques pour aider les clients à se connecter numériquement et en face à face, à se renseigner sur les marchés, à trouver des produits et à conclure des transactions.</t>
  </si>
  <si>
    <t>Remy cointreau sa</t>
  </si>
  <si>
    <t>FR0000130395</t>
  </si>
  <si>
    <t>Rémy Cointreau S.A. est une société basée en France impliquée dans la production et la distribution de vins et spiritueux. Les activités de la société sont divisées en deux segments : Cognac, qui offre une gamme de produits sous la marque Rémy Martin, et Liqueurs &amp; Spiritueux, qui distribue des liqueurs sous les marques Cointreau, Izarra et Passoa, ainsi que des spiritueux sous les marques Mount Gay (rhum), St Remy (brandy), Ponche Kuna (rhum) et Metaxa (brandy). La société est le distributeur exclusif des marques Piper-Heidsieck et Charles Heidsieck, ainsi que Piper Sonoma (la marque de vin mousseux). Les filiales de la société comprennent des sociétés de production, telles que E. Remy Martin &amp; Cie, et des sociétés de distribution, telles que Remy Cointreau USA Inc. En août 2013, la société a conclu la vente de Larsen Cognac au groupe finlandais Altia.</t>
  </si>
  <si>
    <t>Renault SA est une société basée en France dont l'activité principale est la fabrication d'automobiles et la fourniture de services connexes. Elle est structurée en deux segments: la division Automobile, qui s'occupe de la conception, de la fabrication et de la commercialisation des voitures particulières et des véhicules utilitaires légers sous les marques Renault, Renault Samsung Motors et Dacia, ainsi que la division Financement des ventes qui fournit des services financiers et commerciaux liés aux activités de vente de RCI Banque et ses filiales. Elle opère dans le monde entier par l'intermédiaire de ses filiales et sociétés dépendantes, y compris Renault SAS, Dacia et Nissan Motor Co Ltd, entre autres. Renault SA est présente en Europe, en Russie, en Asie, aux États-Unis, en Australie et en Afrique. Elle opère par l'intermédiaire de Mitsubishi Motors Corp et détient des actions dans l'entité ara b.v. (alliance rostec auto b.v.) joint-venture, actionnaire majoritaire d'Avtovaz. La Société est également partenaire de Brilliance.</t>
  </si>
  <si>
    <t>Rexel sa</t>
  </si>
  <si>
    <t>FR0010451203</t>
  </si>
  <si>
    <t>REXEL S.A. est une société basée en France impliquée dans la distribution de matériel électrique et d'approvisionnement aux professionnels. Le groupe propose des solutions et produits électriques aux professionnels pour les bâtiments et les infrastructures résidentielles, industrielles et tertiaires, par l'intermédiaire de ses points de vente. La société dessert principalement trois marchés : tertiaire, industriel et résidentiel. L'éventail de produits de la société comprend le matériel d'installation électrique, les systèmes de conversion et de stockage de l'énergie, les conduites et les câbles, l'éclairage, la sécurité et la communication, le contrôle du climat, les outillages à main et électriques, les instruments de mesure, l'équipement de protection et les produits blancs et bruns. REXEL S.A. opère par le biais de filiales, dont Rexel Developpement SAS, Rexel Central Europe Holding GmbH, Rexel Holdings USA Corp, Australian Regional Wholesalers Pty Ltd, Lenn International, Cordia SA et Brohl &amp; APPLE INC., un grossiste basé à Sandusky et distributeur d'appareils d'automatisation industriels, entre autres.</t>
  </si>
  <si>
    <t>Roche holding ltd</t>
  </si>
  <si>
    <t>CH0012032113</t>
  </si>
  <si>
    <t>Roche Holding Ltd. est une entreprise de soins de santé axée sur la recherche. La Société développe, fabrique et fournit des médicaments et des instruments de diagnostic et d'essais. Ses activités d'exploitation sont organisées en deux divisions : Produits pharmaceutiques et les Diagnostics. Sa division de produits pharmaceutiques se compose de deux les segments d'activité : Produits pharmaceutiques Roche et Chugai. Sa division Diagnostics se compose de quatre secteurs d'activités : Prise en charge du diabète, Diagnostic moléculaire, Diagnostic professionnel et Diagnostic des tissus. Il développe des médicaments pour les domaines de la maladie, y compris l'oncologie, immunologie, maladies infectieuses, ophtalmologie et neurosciences. Son portefeuille de produits se compose de produits pharmaceutiques, des solutions pour le diagnostic et produits pour les chercheurs. Ses produits pharmaceutiques incluent ACTEMRA et CellCept. Ses Solutions pour les produits de diagnostic comprennent le système Accu-Chek Active et le système Accu-Chek Aviva Nano. Produits de la société pour les chercheurs comprennent le système Cedex HiRes et Genome Sequencer FLX.</t>
  </si>
  <si>
    <t>Rothschild &amp; co</t>
  </si>
  <si>
    <t>Rothschild &amp; Co SCA, anciennement Paris Orléans SA, est une entreprise basée en France qui se concentre sur deux activités principales : les activités bancaires et de capital-investissement. Les activités bancaires comprennent la banque d'investissement et la gestion d'actifs de tiers. Ces activités sont détenues par la société de holding Rothschilds Continuation Holdings AG et sont soutenues par un réseau de bureaux couvrant les cinq continents. Elles sont principalement réalisées par le biais de deux entités opérationnelles : Rothschild &amp; Cie Banque en France et NM Rothschild &amp; Sons au Royaume-Uni. Les activités de capital-investissement se concentrent sur des investissements stables dans les entreprises. Les investissements sont diversifiés en termes de secteur d'activité et de type d'investissement (fonds propres, dette mezzanine, etc.).</t>
  </si>
  <si>
    <t>Royal dsm n.v.</t>
  </si>
  <si>
    <t>NL0000009827</t>
  </si>
  <si>
    <t>Koninklijke DSM N.V. (Royal DSM) est une entreprise mondiale basée sur la science, engagée dans l'offre de santé, de nutrition et de matériaux. Les segments de la Société comprennent la Nutrition, les Matériaux, le Centre D'Innovation et les Activités de L'Entreprise. Son segment Nutrition se concentre sur la nutrition et la santé humaines, les aliments et les boissons, les soins personnels et les ingrédients aromatiques et la nutrition et la santé animales. Son segment Matériaux se consacre aux plastiques spéciaux, qui sont utilisés dans les composants des industries électrique et électronique, automobile, des emballages alimentaires flexibles et des biens de consommation. Son segment Centre d'Innovation se concentre sur l'innovation et la croissance de l'activité principale existante de DSM grâce à des technologies adjacentes via son Programme de Recherche d'Entreprise, ainsi qu'à travers les activités d'aventure et de licence de la Société. Son segment Corporate Activities comprend les activités d'exploitation et de service.</t>
  </si>
  <si>
    <t>Rubis sca</t>
  </si>
  <si>
    <t>FR0013269123</t>
  </si>
  <si>
    <t>Rubis SCA est une société internationale basée en France spécialisée dans le stockage et la distribution de pétrole et d'autres produits liquides. La Société est structurée autour de trois divisions opérationnelles détenues à 100 %, telles que Rubis Terminal, spécialisée dans le stockage en vrac de produits industriels liquides, dont le pétrole, la chimie, les engrais et les denrées alimentaires pour compte de tiers, et Rubis Energie, active dans la logistique et la distribution de produits pétroliers. produits, notamment le gaz de pétrole liquéfié (GPL), vendu sous forme de gaz en bouteille et en vrac et commercialisé sous la marque Vitogaz, et Rubis Support et services qui traite de la logistique et de la distribution. Rubis SCA est présent dans trois zones géographiques : Zone Europe, Zone Caraïbes &amp; Centre Américain et Zone Afrique.</t>
  </si>
  <si>
    <t>Rwe ag</t>
  </si>
  <si>
    <t>DE0007037129</t>
  </si>
  <si>
    <t>RWE AG (RWE) est une société holding basée en Allemagne active dans le secteur de l'énergie. La Société est active dans la production d'électricité, la construction de systèmes de stockage et le commerce d'énergie. Ses activités sont divisées en cinq segments : éolien offshore, éolien terrestre et solaire, hydroélectricité et biomasse et gaz, approvisionnement et négoce et charbon et nucléaire. Les énergies renouvelables, les centrales électriques au gaz, le stockage d'énergie, les activités hydrogène et le négoce d'énergie sont répartis entre les quatre premiers segments et constituent le cœur de métier de la Société. Les sociétés du groupe RWE Renewables, RWE Technology International, KELAG, RWE Generation et RWE Supply&amp;Trading sont affectées à ces segments. Le cinquième segment couvre la production d'électricité à partir du charbon et de l'énergie nucléaire, supervisée par les sociétés du groupe RWE Power et RWE Generation. L'activité Supply &amp; Trading de la société crée des solutions énergétiques personnalisées pour les grands clients. RWE sert ses clients d'Europe, d'Amérique et de la région Asie-Pacifique.</t>
  </si>
  <si>
    <t>A -</t>
  </si>
  <si>
    <t>Safran SA est une entreprise de haute technologie basée en France qui exerce des activités de recherche, de conception, de développement, d'essais, de fabrication, de vente, de maintenance et de support pour ses activités de haute technologie. Les segments de la Société sont les suivants : Propulsion Aérospatiale, Équipements Aéronautiques et Intérieurs d'Avions. Le segment Propulsion Aérospatiale conçoit, développe, produit et commercialise des systèmes de propulsion et de transmission de puissance mécanique pour les avions commerciaux, les avions de transport militaire, d'entraînement et de combat, les hélicoptères civils et militaires, les satellites et les drones. Il comprend également les activités de maintenance, de réparation et de révision (MRO) et la vente de pièces de rechange. Le segment Équipements Aéronautiques opère dans cinq secteurs principaux : Systèmes d'atterrissage et de freinage, Systèmes et équipements moteurs, Systèmes et ingénierie électriques, Aérosystèmes et Électronique &amp; Défense. Le segment Aircraft Interiors couvre les sièges et les aménagements de cabine, les placards, les systèmes de divertissement en vol et l'équipement du poste de pilotage.</t>
  </si>
  <si>
    <t>Saint-gobain</t>
  </si>
  <si>
    <t>Compagnie de Saint Gobain SA est un groupe Français spécialisé dans la conception, la fabrication et la distribution de matériaux et de solutions visant à améliorer le bien-être et la qualité de vie à travers le monde. Le Groupe, à travers ses filiales, opère à travers trois secteurs : Distribution Bâtiment (BD), Produits pour la Construction (CP) et Matériaux Innovants (IM). Le Secteur BD regroupe les activités de distribution de la Société aux fournisseurs. Le secteur CP offre à la fois des solutions intérieures (isolation et gypse) et des solutions extérieures (mortiers industriels, canalisations et produits extérieurs). Le secteur IM fournit du verre plat et des matériaux performants. Ses solutions vont des fenêtres autonettoyantes et du verre photovoltaïque aux systèmes d'isolation intelligents, aux systèmes d'approvisionnement en eau avec de nombreuses applications industrielles.</t>
  </si>
  <si>
    <t>Salesforce, inc.</t>
  </si>
  <si>
    <t>US79466L3024</t>
  </si>
  <si>
    <t>Salesforce, Inc. est un fournisseur de technologie de gestion de la relation client (CRM). La plate-forme Customer 360 de la société couvre les ventes, les services, le marketing, le commerce, la collaboration, l'intégration, l'intelligence artificielle, l'analyse, l'automatisation et autres. Il connecte les données client entre les systèmes, les applications et les appareils pour créer une vue complète des clients. La Société permet également à des tiers d'utiliser sa plate-forme et ses outils de développement pour créer des fonctionnalités et des applications supplémentaires qui s'exécutent sur sa plate-forme. Ses clients utilisent son offre de vente pour stocker des données, surveiller les prospects et les progrès, prévoir les opportunités, obtenir des informations grâce à l'analyse et à l'intelligence relationnelle et fournir des devis, des contrats et des factures. Son offre de services aide à connecter ses agents de service aux clients à travers n'importe quel point de contact. Il aide les clients à résoudre les problèmes de routine avec des prédictions et des recommandations. Il vend aux entreprises du monde entier, principalement sur la base d'un abonnement.</t>
  </si>
  <si>
    <t xml:space="preserve">AA / Stable </t>
  </si>
  <si>
    <t>Sanofi SA est une société de santé basée en France. La Société se concentre sur les besoins des patients et s'engage dans la recherche, le développement, la fabrication et la commercialisation de solutions thérapeutiques. Ses trois secteurs d'activité sont : les produits pharmaceutiques, la santé grand public (CHC) et les vaccins. Les produits pharmaceutiques comprennent : l'immunologie, la sclérose en plaques / la neurologie, l'oncologie, les maladies rares, les troubles sanguins rares, les maladies cardiovasculaires, le diabète, les produits sur ordonnance établis. Le segment Vaccins comprend, pour tous les territoires géographiques, les activités commerciales de Sanofi Pasteur, ainsi que les activités de recherche, développement et production dédiées aux vaccins. Le segment CHC comprend les activités commerciales des produits Santé Grand Public de Sanofi, ainsi que les activités de recherche, de développement et de production dédiées à ces produits. Les produits de la Société développés en collaboration ou en franchise comprennent Dupixent, Aubagio, Lemtrada, Cerezyme, Lumizyme, Jevtana, Fabrazyme, entre autres.</t>
  </si>
  <si>
    <t>SAP SE (SAP) est une société basée en Allemagne qui propose des logiciels d'application d'entreprise. La Société opère à travers trois segments: segment Applications, technologie et services, qui est engagé dans la vente de licences logicielles, d'abonnements à ses applications cloud et de services connexes, principalement des services de support et divers services professionnels, et des services de support, ainsi que la mise en œuvre services de ses produits logiciels et services de formation sur l'utilisation de ses produits; le segment SAP Business Network, qui comprend ses réseaux commerciaux collaboratifs basés sur le cloud et les services liés au SAP Business Network, y compris les applications cloud, les services professionnels et les services de formation, ainsi que la société commercialise et vend les offres cloud développées par SAP Ariba, SAP Fieldglass et Concur, et le segment Expérience client, qui comprend des produits sur site et basés sur le cloud qui exécutent des fonctions de front-office à travers l'expérience client.</t>
  </si>
  <si>
    <t>Sartorius ag</t>
  </si>
  <si>
    <t>DE0007165607</t>
  </si>
  <si>
    <t>Sartorius AG est un fournisseur Allemand d'équipements pharmaceutiques et de laboratoire. Elle opère à travers deux segments : Solutions de bioprocédés et Produits et services de laboratoire. Le segment Bioprocess Solutions propose des solutions intégrées pour la fabrication biopharmaceutique, telles que des filtres pour la stérilisation des milieux biopharmaceutiques, des sacs à usage unique pour la culture cellulaire et le stockage des produits biopharmaceutiques, des adsorbeurs à membrane pour la purification dans les bioprocédés et la technologie des filtres pour la clarification, entre autres. Le segment Produits et services de laboratoire fournit des instruments, des consommables et des services pour les laboratoires, y compris des balances de laboratoire, des systèmes d'eau de laboratoire pour le stockage de l'eau purifiée, des pipettes électroniques, des systèmes de filtres pour la préparation d'échantillons et des systèmes de filtres à membrane pour les tests de stérilité des parentéraux.</t>
  </si>
  <si>
    <t>Sartorius stedim biotech s.a.</t>
  </si>
  <si>
    <t>FR0013154002</t>
  </si>
  <si>
    <t>SARTORIUS STEDIM BIOTECH S.A. est un fournisseur international basé en France de laboratoire et des technologies des procédés et des équipements. La société couvre les secteurs de la biotechnologie et de la mécatronique. Sartorius fournit des services qui aident les clients à mettre en œuvre des procédés complexes et critiques de qualité dans les environnements de production et de laboratoire biopharmaceutique de façon efficace. Les clients de la société sont les industries biotech, pharma et de l'alimentation, ainsi que des laboratoires et des instituts de recherche publics. Sartorius exploite ses propres installations de production en Europe, Asie et Amérique et a également des bureaux de vente et des représentants locaux dans plus de 110 pays. La société opère par le biais de ses filiales, y compris Sartorius Stedim Austria GmbH, Sartorius Stedim Plastics GmbH, BioOutsource Ltd et Wave Biotech AG, entre autres.</t>
  </si>
  <si>
    <t>Schneider electric</t>
  </si>
  <si>
    <t>Schneider Electric SE est une société française qui fournit des solutions énergétiques à l’échelle mondiale. Elle opère à travers deux segments : Energy Management et Industrial Automation. La gestion de l’énergie comprend les sous-segments basse tension, moyenne tension et alimentation sécurisée. Low Voltage cible les bâtiments résidentiels et commerciaux, couvrant les industries, les infrastructures et les centres de données offrant des fonctions de protection, de surveillance et de contrôle de l’alimentation, des compteurs de puissance et des enceintes électriques, entre autres. Medium Voltage fournit des produits et des logiciels pour la gestion intégrée des infrastructures essentielles à la mission, des solutions de réseau avancées et de la gestion du rendement des actifs, entre autres. Secure Power se spécialise dans les produits et solutions d’alimentation critiques pour les centres de données et les réseaux où la continuité de l’alimentation et la qualité sont essentielles. L’automatisation industrielle fournit des solutions complètes pour l’automatisation et le contrôle des machines, des usines de fabrication et des sites industriels.</t>
  </si>
  <si>
    <t>SCOR SE est une société de réassurance mondiale indépendante. La société opère par le biais de trois moteurs d'entreprise : SCOR Global P&amp;C, SCOR Global Life et la gestion d'actifs. Le moteur d'entreprise SCOR Global P&amp;C opère dans quatre secteurs d'activités, tels que Traités P&amp;C, Spécialités, Grands risques industriels et Joint-ventures basé à Londres. L'offre commerciale de SCOR Global P&amp;C comprend la structuration des programmes de réassurance et inclut les services associés tels que la gestion des risques (prévention des pertes, la modélisation du capital et la gestion actif-passif), réclame des audits avec les cédantes de la société dans le cadre de son assistance pour la gestion des réclamations complexes, des publications techniques et des séminaires de SCOR Campus. Le moteur d'entreprise de SCOR Global Life fournit la couverture du risque de mortalité, une protection contre les risques de longévité et des solutions financières. SCOR Global Investments, la division de gestion d'actifs de l'entreprise, gère le portefeuille d'investissement de la société et de ses filiales.</t>
  </si>
  <si>
    <t>Household Goods</t>
  </si>
  <si>
    <t>SEB SA est un fabricant d'équipement ménager basé en France. La société est présente dans trois secteurs complémentaires : Articles culinaires, Électrique culinaire et produits pour la maison et les Soins personnels. Le secteur des Articles culinaires comprend les plats à four, autocuiseurs, poêles et ustensiles de cuisine, entre autres. Le secteur Électrique culinaire est divisé en deux groupes : Cuisson électrique, qui comprend les friteuses, fours posables, cuiseurs à riz, plaques à induction, barbecues, appareils pour des repas informels ; et Préparation, qui comprend les robots pâtissiers, batteurs, mixeurs, blenders, centrifugeuses, cafetières. Le secteur Soin de la maison et les soins personnels est divisé en Soin du linge (dont les fers et générateurs vapeur), Soin de la maison (ventilateurs, appareils de chauffage et de traitement de l'air portatifs, entre autres) et les Soins personnels comprend (appareils de coiffure, épilateurs, pèse-personnes). SEB SA possède six marques pluri-régionales : All-Clad, Rowenta, Moulinex, Tefal, Lagostina et Krups. La Société exerce ses activités par l’intermédiaire de SWIZZZ PROZZZ</t>
  </si>
  <si>
    <t>Ses</t>
  </si>
  <si>
    <t>SES SA est un fournisseur luxembourgeois de services de communication et de diffusion par satellite. En collaboration avec ses nombreuses filiales directes et indirectes situées en Europe, en Amérique, en Afrique et en Asie, la Société fournit des services fournis par satellite pour la diffusion et la distribution des médias, y compris des émissions de télévision et de radio. La Société exploite une constellation de satellites à orbites multiples, y compris le système Medium Earth Orbit O3b. La Société aide les diffuseurs à fournir leurs chaînes de télévision, offre une connectivité aux entreprises via des réseaux et offre des liaisons de communication sécurisées aux gouvernements et aux institutions internationales et assure des services de navigation fiables. La Société est partenaire des entreprises de télécommunications, des opérateurs de réseaux mobiles, des gouvernements, des fournisseurs de services de connectivité et de cloud, des diffuseurs, des opérateurs de plateformes vidéo et des propriétaires de contenu. La société fournit des services multimédias pour le contenu linéaire et non linéaire.</t>
  </si>
  <si>
    <t>Sgs</t>
  </si>
  <si>
    <t>SGS SA est une société basée en Suisse qui fournit des services d'inspection, de vérification, de tests et de certification. L'inspection comprend la vérification du conditionnement et du poids des marchandises échangées au transbordement, le contrôle de la qualité, de la quantité et de la conformité aux exigences réglementaires. Les services de tests sont fournis à travers un réseau mondial d'établissements de test et du test de la qualité, la sécurité et la performance des produits par rapport aux normes réglementaires, de sécurité et de santé. Les services de certification confirment si les produits, les procédés, les systèmes ou services sont conformes aux normes nationales ou internationales et les règlements ou les normes client définis. La vérification se concentre sur la garantie que les produits et services sont conformes aux normes mondiales et locales en vigueur. De plus, la société offre des services de formation par le biais de SGS Academy.</t>
  </si>
  <si>
    <t>Shell plc</t>
  </si>
  <si>
    <t>GB00BP6MXD84</t>
  </si>
  <si>
    <t>Le Royal Dutch Shell plc explore le pétrole brut et le gaz naturel dans le monde entier, à la fois dans des champs classiques et dans des sources telles que des formations de roche, de schiste et de charbon. Les segments de la Société comprennent Integrated Gas, Upstream, Downstream et Corporate. Le secteur du gaz intégrée est engagé dans la liquéfaction et le transport de gaz et la conversion du gaz naturel en liquides pour fournir des carburants et d'autres produits, ainsi que des projets avec une activité intégrée, allant de la production à la commercialisation de gaz. Le segment Upstream comprend les opérations d'Upstream, qui se consacre à l'exploration et à l'extraction de pétrole brut, de gaz naturel et de liquides de gaz naturel, ainsi que la commercialisation et le transport de pétrole et de gaz et Oil Sands, qui est engagé dans l'extraction de Le bitume provenant des sables bitumineux et la conversion en pétrole brut synthétique. Le segment Downstream est engagé dans la fabrication de produits pétroliers et de produits chimiques, et des activités de marketing.</t>
  </si>
  <si>
    <t>Siemens ag</t>
  </si>
  <si>
    <t>DE0007236101</t>
  </si>
  <si>
    <t>Siemens AG est une entreprise technologique basée en Allemagne qui se concentre sur l'industrie, les infrastructures, les transports et les soins de santé. Elle opère à travers les segments suivants : Digital Industries, qui offrent des produits et des solutions système pour l'automatisation utilisés dans les industries discrètes et de processus ; Smart Infrastructure, qui alimente et connecte les systèmes énergétiques et les technologies du bâtiment ; Mobility, qui regroupe l'ensemble des métiers du transport de personnes et de marchandises ; Healthcare, qui fournit des technologies à l'industrie de la santé et s'engage dans l'imagerie diagnostique et les diagnostics de laboratoire ; Services Financiers (SFS), qui propose des solutions de crédit-bail et des financements d'équipements, de projets et structurés sous forme de dettes et d'investissements en fonds propres.</t>
  </si>
  <si>
    <t>Siemens gamesa</t>
  </si>
  <si>
    <t>Siemens Gamesa Renewable Energy SA est une société Espagnole spécialisée dans le développement et la construction de parcs éoliens. Les activités de la Société sont divisées en deux secteurs d'activité : Éoliennes et Exploitation et maintenance. Le secteur Éoliennes comprend la fabrication d'éoliennes et le développement, la construction et la vente de parcs éoliens (onshore et offshore). Le secteur de l'Exploitation et de la maintenance se concentre sur la prestation de services d'exploitation et de maintenance par le biais de services de technologie de pointe dans le secteur des énergies renouvelables. La Société, par l'intermédiaire de ses filiales, est présente en Amérique, en Europe, en Asie, en Afrique et en Océanie.</t>
  </si>
  <si>
    <t>Siemens healthineers</t>
  </si>
  <si>
    <t>Siemens Healthineers AG est une société basée en Allemagne qui fournit des technologies au secteur de la santé. La Société offre une large gamme de produits et services dans les domaines de l'imagerie diagnostique et thérapeutique, du diagnostic en laboratoire et sur le lieu de soins et de la médecine moléculaire. Elle fournit des technologies médicales et des solutions logicielles, ainsi que des services de conseil clinique. De plus, la société développe ses services de santé numérique et d'entreprise en développant la médecine de précision, en transformant la prestation des soins, en améliorant l'expérience des patients et en numérisant les soins de santé. La Société est active dans le monde entier.</t>
  </si>
  <si>
    <t>Signify (ex phlipps lighting)</t>
  </si>
  <si>
    <t>Signify NV, anciennement Philips Lighting NV, est une société basée aux Pays-Bas qui fournit des lampes et des solutions d'éclairage. Son portefeuille de produits comprend, entre autres, des lampes à incandescence, des lampes halogènes, des lampes fluorescentes, des lampes fluorescentes linéaires (LFL), des lampes fluorescentes compactes (CFL), des lampes à décharge haute intensité (HID) et des diodes électroluminescentes (LED), ainsi que des composants électroniques, tels que des ballasts électroniques et des conducteurs. La Société fournit également des systèmes d'éclairage intégrés et personnalisés. Son portefeuille de services comprend la gestion de la lumière et les services à valeur ajoutée, tels que les audits énergétiques, la conception légère et l'ingénierie, ainsi que la surveillance à distance et les services gérés. La Société opère à travers quatre segments: les segments Lampes comprennent des lampes conventionnelles et des lampes électroniques; le segment LED se concentre sur les lampes LED; Le segment Professionnel comprend des systèmes d'éclairage et des services a l’intention des consommateurs professionnels, et les segments Immobilier couvrent les luminaires des consommateurs et les systèmes domestiques.</t>
  </si>
  <si>
    <t>Sika société de financement sa</t>
  </si>
  <si>
    <t>CH0418792922</t>
  </si>
  <si>
    <t>Sika AG est une société basée en Suisse exerçant ses activités dans l'industrie chimique. La Société fabrique des produits destinés principalement aux industries de l'automobile et des pièces automobiles, à l'énergie renouvelable et à l'équipement et aux composants. Les activités de la Société sont divisées en deux secteurs d'activité : la division Construction offre une gamme de produits, notamment des adjuvants pour béton, des mortiers prêts à l'emploi, des systèmes de toiture, des systèmes d'étanchéité, des systèmes de revêtement de sol et des solutions de protection de l'acier, entre autres, et la Division Industrie développe des solutions de collage, d'étanchéité, d'amortissement, de vitrage et de renforcement, entre autres. Les marques de la Société incluent notamment Sarnafil, Sika, Sikadur, Sikaflex, SikaGrout, SikaPower, SikaHydroPrep, SikaReinforcer, Sika ViscoCrete, Sikaplan et SikaRapid. entre autres. La Société est active dans le monde entier, avec des activités divisées en régions géographiques, à savoir l'Europe, le Moyen-Orient et l'Afrique (EMEA), l'Amérique du Nord, l'Amérique latine et l'Asie / Pacifique. La Société exploite de nombreuses filiales.</t>
  </si>
  <si>
    <t>Societe generale sa</t>
  </si>
  <si>
    <t>Société Générale SA est un groupe de services financiers basé en France. Le Groupe offre une large gamme de services de conseil et de solutions financières sur mesure pour sécuriser les transactions, protéger et gérer les actifs et l'épargne, et aider ses clients à financer leurs projets. Elle opère à travers trois secteurs : la Banque de détail en France, la Banque de détail à l'international et les services financiers et la gestion Bancaire mondiale et les Solutions aux investisseurs. La Banque de Détail en France regroupe les réseaux domestiques de Société Générale, Crédit du Nord et Boursorama. La Banque de détail à l'international et les services financiers comprend la Banque de détail à l'international (activités de crédit à la consommation), les Services financiers aux entreprises (location de véhicules opérationnels et gestion de flotte, équipement et financement des fournisseurs) et les activités d'assurance. La gestion Bancaire mondiale et les Solutions aux investisseurs comprend Marchés mondiaux et services aux investisseurs, financement et conseil, gestion d'actifs et de patrimoine. Le Groupe est actif à l'échelle mondiale.</t>
  </si>
  <si>
    <t>SODEXO SA est une société de services basée en France. Il opère à travers trois segments principaux : Services In Situ, Services d’Avantages et de Récompenses, et Services Personnels et Pour La Maison. Les Services In Situ offrent des solutions personnalisées telles que des services d’alimentation, de conception de lieux de travail, de stérilisation d’appareils médicaux, de réception et de nettoyage pour les secteurs de l’administration et des entreprises, de la santé, du troisième âge et de l’éducation. Les Services d’avantages et de récompenses fournissent des services personnalisés aux clients professionnels pour améliorer l’engagement, la reconnaissance, la conciliation de la vie professionnelle et familiale, la gestion des voyages et des dépenses, la santé et le bien-être. Les Services Personnels et Domestiques couvrent trois domaines : les services de garde d’enfants, conçus pour prendre soin des plus petits, les services de conciergerie, pour améliorer le développement et le bien-être des employés des clients sur le lieu de travail ; services de soins à domicile pour les personnes âgées et les adultes qui veulent conserver leur indépendance tout en profitant du confort de leur foyer. L’activité de l’entreprise est globale.</t>
  </si>
  <si>
    <t>Sofina s.a.</t>
  </si>
  <si>
    <t>BE0003717312</t>
  </si>
  <si>
    <t>Sofina S.A. est une société de portefeuille établie en Belgique qui investit, directement et indirectement, dans des entreprises de divers secteurs. Dans le secteur de l'Énergie et des Services, la Société a des intérêts dans GDF Suez, International Power, Exmar, bioMerieux, Suez Environnement. Dans le secteur du Détail, Sofina investit dans Colruyt et Delhaize ; le secteur des Biens de consommation comprend Danone, Rapala, Chapoutier et le groupe B &amp; W. La division Opérateurs satellites comprend la société SES ; le secteur Sociétés de financement se compose d'Eurazeo, Caledonia et Luxempart ; la division Industrie comprend Petit Forestier, Oberthur Fiduciare, Ipsos, Mersen, Touax, Deceuninck ; et la division Actifs alternatifs se compose de Private equity et Hedge funds. Sofina S.A. possède un certain nombre de filiales consolidées, par exemple Rebelco, Finabru, Sidro, Sofindev, Sofilec, Truficar, Trufidee, Tufilux, Sofina Multi Stategy, entre autres. Par le biais de ses filiales, la Société est principalement active en Belgique, au Luxembourg, aux Pays-Bas, en Suisse et au Panama.</t>
  </si>
  <si>
    <t>Soitec sa</t>
  </si>
  <si>
    <t>Soitec SA est une société basée en France qui se spécialise dans l'industrie des semi-conducteurs. La Société se concentre sur le secteur de la microélectronique, principalement dans la production et la commercialisation de wafers silicium sur isolant (SOI). Ses produits sont structurés et coupés en jetons pour créer des circuits pour les composants électroniques. La Société propose des solutions pour la miniaturisation des puces, l'amélioration des performances du produit et la réduction de la consommation d'énergie. Soitec SA accélère les secteurs mobile et numérique. Ses produits sont utilisés pour fabriquer des puces qui entrent dans des téléphones intelligents, des tableaux, des ordinateurs, des technologies Internet (TI) et des centres de données, ainsi que des composants électroniques dans les voitures, les appareils connectés et les équipements industriels et médicaux. Elle opère sur le marché intérieur et à l'international.</t>
  </si>
  <si>
    <t>Solvay SA est une société internationale de produits chimiques et de matériaux avancés basée en Belgique. Par l'intermédiaire de ses filiales, elle exploite quatre secteurs : matériaux avancés, formulations avancées, produits chimiques de performance et services aux entreprises et aux entreprises. Matériaux avancés propose des matériaux haute performance pour de multiples applications principalement dans les marchés de l'automobile, de l'aérospatiale, de l'électronique et de la santé, fournissant des solutions de mobilité durable, réduisant le poids et améliorant le CO2 et l'efficacité énergétique. Formulations avancées dessert principalement les marchés des biens de consommation, de l'agroalimentaire et de l'énergie et propose des formulations spécialisées personnalisées qui ont un impact sur la chimie de surface et modifient le comportement des liquides tout en minimisant l'impact environnemental. Produits chimiques de performance est spécialisée dans les produits chimiques intermédiaires servant principalement les marchés des biens de consommation et de l'alimentation. Les services aux entreprises comprennent les services aux entreprises et autres services aux entreprises, tels que le centre de recherche et d'innovation et les services énergétiques.</t>
  </si>
  <si>
    <t>Somfy SA est une société holding basée en France du groupe Somfy. La Société conçoit, fabrique et commercialise des moteurs et des systèmes d'ouverture et de fermeture automatiques pour les maisons et les bâtiments. La Société, par l'intermédiaire de ses filiales, opère sous trois divisions : Produits et Services ; Ingénierie &amp; Satisfaction client ; et Opérations et chaîne d'approvisionnement. La gamme de produits de la Société comprend des auvents, des volets roulants, des fenêtres, des portails, des portes de garage, des grilles de vitrine et pour la protection des grandes installations utilitaires. Les produits de la Société sont commercialisés par l'intermédiaire de fabricants d'entrées de bâtiments, d'assembleurs, d'installateurs professionnels et de grands magasins de bricolage. Le groupe Somfy est organisé en deux pôles géographiques : Nord &amp; Ouest comprenant l'Europe Centrale, l'Europe du Nord, les Amériques ; et Sud &amp; Est incluant la France, l'Europe du Sud, l'Afrique &amp; le Moyen-Orient, l'Europe de l'Est et l'Asie-Pacifique.</t>
  </si>
  <si>
    <t>Sopra steria</t>
  </si>
  <si>
    <t>Sopra Steria Group SA, anciennement Sopra Group SA, est un cabinet de conseil basé en France actif dans l'intégration de systèmes et l'externalisation d'applications. La Société guide les entreprises dans leurs projets de conversion, de la phase de développement à la phase de mise en œuvre. Ses services comprennent la consultation, l intégration de progiciels de gestion intégrés, la gestion de la relation client (CRM), l'ingénierie de logiciel sur site, les tests mondiaux et l'intelligence d'affaires, entre autres. Les activités de Steira Sopra Group SA s'adressent à des clients opérant dans différents secteurs, tels que banque, assurance, fabrication, distribution, secteur public, télécommunications et immobilier. La Société est présente dans les pays suivants : France, Benelux, Maroc, Allemagne, Inde, Irlande, Espagne, Portugal, la région Scandinave, Italie, Royaume-Uni et Suisse. La Société possède les filiales suivantes : COR&amp;FJA AG, HR Access Service Line et Steria SA, entre autres.</t>
  </si>
  <si>
    <t>BB+</t>
  </si>
  <si>
    <t>Spie SA est une société basée en France, qui fournit des services multi-techniques dans les domaines de l'énergie et des communications. La Société aide ses clients à concevoir, construire, exploiter et entretenir des installations écoénergétique et respectueuses de l'environnement. Elle concentre son développement sur trois activités: les services mécaniques et électriques, les services de technologies de l'information et de la communication et la gestion des installations techniques. La Société offre des services dans différents secteurs, comme les aliments et les boissons, les produits pharmaceutiques, les industries, l'énergie et le public. Elle exerce ses activités par l'intermédiaire d'Aaftink, de Tevean, d'Alewijnse Retail, de Leven Energy Services, un fournisseur de services publics indépendant qui soutient les opérateurs de réseaux de distribution (DNO'S); Alewijnse Technisch Beheer; GPE Technical Services BV; TriosGroup; AGIS Fire, Security Group, SAG Vermoegensverwaltung GmbH (SAG), Maintenance Mesure Controle (MMC), MER ICT, Systemat, S-Cube et Jm Electricite, entre autres.</t>
  </si>
  <si>
    <t>Spotify Technology SA une société basée au Luxembourg, qui propose des services de streaming de musique numérique. La société permet aux utilisateurs de découvrir de nouvelles versions, notamment les derniers singles et albums ; playlists, qui comprend des playlists prêtes à l'emploi créées par des fans de musique et des experts, et plus de millions de chansons afin que les utilisateurs puissent jouer leurs favoris, découvrir de nouvelles pistes et créer une collection personnalisée. Ses utilisateurs peuvent soit sélectionner Spotify Free, qui inclut uniquement la lecture aléatoire, soit Spotify Premium, qui comprend une gamme de fonctionnalités, telles que la lecture aléatoire, la publicité gratuite, les sauts illimités, l'écoute hors ligne, la lecture de n'importe quelle piste et audio. La Société opère à travers un certain nombre de filiales, dont Spotify LTD et est présente dans plus de 20 pays. Son service offre une expérience d'écoute musicale sans pauses publicitaires.</t>
  </si>
  <si>
    <t>St microelectronics</t>
  </si>
  <si>
    <t>STMicroelectronics N.V. est une société suisse de semi-conducteurs. Elle conçoit, développe, fabrique et commercialise une gamme de produits, y compris des composants de base discrets et standard, et des circuits intégrés (ASIC) spécifiques à des applications analogiques, numériques et à signaux mixtes. Les segments de la Société comprennent Automotive and Discrete Group (ADG), Analog, MEMS and Sensors Group (AMS), et Microcontrollers and Digital ICs Group (MDG). Le segment ADG comprend tous les circuits intégrés (CI) automobiles dédiés, ainsi que les transistors discrets et de puissance. Le segment AMS comprend des circuits analogiques de faible puissance pour tous les marchés, des produits d’alimentation intelligents, des contrôleurs à écran tactile, des solutions de connectivité à faible puissance pour l’Internet des objets (IdO) et des produits de conversion d’énergie, entre autres. Le segment AMS comprend des microcontrôleurs polyvalents et sécurisés, et des mémoires mémoire morte programmables électriquement effaçables.</t>
  </si>
  <si>
    <t>Starbucks corporation</t>
  </si>
  <si>
    <t>US8552441094</t>
  </si>
  <si>
    <t>Starbucks Corp est un torréfacteur, distributeur et détaillant de café de spécialité avec des opérations dans environ 83 marchés. Il compte plus de 35,000 magasins exploités par la Société et sous licence. Elle opère à travers trois segments : l'Amérique du Nord, qui comprend les États-Unis et le Canada ; International, qui comprend la Chine, le Japon, l'Asie-Pacifique, l'Europe, le Moyen-Orient, l'Afrique, l'Amérique Latine et les Caraïbes ; et développement de canaux. Ses segments Amérique du Nord et International comprennent à la fois des magasins exploités par la Société et des magasins sous licence. Le segment Channel Development comprend les cafés en grains entiers torréfiés et moulus, les produits en portion individuelle Seattle's Best Coffee, Starbucks et Teavana, une variété de boissons prêtes à boire, telles que Frappuccino et Starbucks Doubleshot, des produits de restauration et d'autres produits de marque vendus dans le monde entier à l'extérieur de ses magasins exploités par l'entreprise et sous licence. Elle vend également des biens et des services sous diverses marques, notamment Teavana, Seattle's Best Coffee, Ethos, Starbucks Reserve et Princi.</t>
  </si>
  <si>
    <t>Stellantis (fiat-peugeot)</t>
  </si>
  <si>
    <t>Stellantis N.V., anciennement Fiat Chrysler Automobiles N.V., est une société holding basée aux Pays-Bas et opère en tant que constructeur automobile et fournisseur de mobilité. La Société est engagée dans la conception, l'ingénierie, la fabrication, la distribution et la vente de véhicules, de composants et de systèmes de production. La Société a des opérations industrielles dans plus de 30 pays et vend ses véhicules directement ou par l'intermédiaire de distributeurs et concessionnaires dans plus de 130 pays. La Société conçoit, fabrique, distribue et vend des véhicules grand public sous les marques Abarth, Alfa Romeo, Chrysler, Dodge, Fiat, Fiat Professional, Jeep, Lancia et Ram. De plus, la Société conçoit, fabrique, distribue et vend des véhicules de luxe sous la marque Maserati. Le portefeuille de marques de la Société comprend également Peugeot, Citroën, DS Automobiles, Opel et Vauxhall. Il offre une grande variété de choix de véhicules, des véhicules de tourisme de luxe et grand public aux camionnettes, en passant par les véhicules utilitaires sport (SUV).</t>
  </si>
  <si>
    <t>Suez SA, anciennement Suez Environnement Company SA, est une société de holding basée en France principalement dans le domaine des services environnementaux, transformant les déchets en ressources. Elle fournit des services dans les domaines de l'eau et des déchets, comprenant les services de traitement de l'eau potable et des eaux usées et ingénierie, collecte et récupération de déchets. Elle exerce ses activités sur trois secteurs d'activités : Eau Europe ; Déchets Europe ; et International (États-Unis d'Amérique, Australie, Afrique). Le segment d'activité International couvre les activités de Degremont, une filiale œuvrant dans la construction d'usines d'eau potable et de dessalement, à l'intérieur et l'extérieur de l'Europe occidentale. Dans le segment d'activité Eau Europe, la Société planifie et construit des installations de traitement de l'eau, et distribue de l'eau et fournit des activités de traitements des eaux usées. Le segment Déchets Europe collecte et gère, récupère des matériaux et des démontages de véhicules hors d'usage, d'aéronefs et de bateaux, entre autres. La Société opère à travers Odle, Inc.</t>
  </si>
  <si>
    <t>Swatch group</t>
  </si>
  <si>
    <t>The Swatch Group AG est une société de portefeuille basée en Suisse engagée dans l'industrie des vêtements et accessoires. Les activités de la société sont divisées en deux secteurs d'activités principaux : Montres et bijoux et systèmes électroniques. Le segment montres et bijoux comprend la production et la vente de montres, bijoux et mouvements à quartz de marque, notamment les marques Breguet, Harry Winston, Blancpain, Glashuette Original, Jaquet Droz, Léon Hatot, Omega, Longines, Rado, Union Glashuette, Tissot, Balmain, Certina, Hamilton, Calvin Klein watches + jewelry, Swatch et Flik Flak. Le segment des systèmes électroniques comprend la production et la commercialisation de composants électroniques, notamment les batteries et équipements de chronométrage sportif. La Société fournit aussi des produits de ces segments aux horlogers de tierces parties. The Swatch Group SA est représentée dans le monde entier par le biais de ses filiales et distributeurs, notamment Tourbillion and Hour Passion ; elle exploite des usines de production en Suisse à Boncourt, Grenchen et Villeret.</t>
  </si>
  <si>
    <t>Swiss re ltd</t>
  </si>
  <si>
    <t>CH0126881561</t>
  </si>
  <si>
    <t>Swiss Re AG est un fournisseur suisse de réassurance, d’assurance et d’autres formes de transfert de risques. La Société opère dans quatre segments : Property&amp;Casualty Reinsurance, Life&amp;Health Reinsurance, Corporate Solutions et Life Capital. Sa Réassurance fournit des primes et des revenus de frais par l’intermédiaire des segments Property&amp;Casualty et Life&amp;Health. Son segment Solutions d’entreprise est au service des moyennes et grandes entreprises, avec des offres de produits allant de l’assurance multirisques traditionnelle aux solutions personnalisées. Son segment Admin Re offre des solutions de gestion des risques et du capital par lesquelles la Société acquiert des livres fermés des activités d’assurance vie et d’assurance maladie en vigueur, des secteurs d’activité entiers ou l’ensemble du capital-actions des sociétés d’assurance vie. Ses livres d’assurance vie ouverts et fermés, y compris Admin Re, sont gérés sous une unité appelée Life Capital.</t>
  </si>
  <si>
    <t>Swisscom ltd.</t>
  </si>
  <si>
    <t>CH0008742519</t>
  </si>
  <si>
    <t>Swisscom Ltd. fournit des services de télécommunication en Suisse et en Italie. Les secteurs de la Société incluent Swisscom Switzerland, Fastweb, Other Operating Segments, Group Headquarters, qui comprennent les divisions de la Société, telles que Group Business Steering, Group Strategy &amp; Board Services, Group Communications &amp; Responsibility, et Group Human Resources, ainsi que la société d'embauche Worklink AG. Son segment Swisscom Switzerland couvre les clients résidentiels, les petites et moyennes entreprises, les clients corporatifs, les technologies de l'information et les clients en gros ainsi que réseau et innovation. Son segment de Fastweb fournit des services large bande en Italie. Le portefeuille de produits Fastweb comprend des services vocaux, de données, de large bande et de télévision ainsi que la vidéo sur demande pour les clients résidentiels et corporatifs. Ses autres secteurs opérationnels comprennent Swisscom Health, Connected Living et un portefeuille de petites et moyennes entreprises dont les activités sont liées à ou aient aux affaires de Swisscom.</t>
  </si>
  <si>
    <t>Symrise ag</t>
  </si>
  <si>
    <t>DE000SYM9999</t>
  </si>
  <si>
    <t>Symrise AG est un fournisseur Allemand de parfums, d'arômes, d'actifs cosmétiques, de matières premières et d'ingrédients fonctionnels, ainsi que de solutions sensorielles et nutritionnelles. La Société opère à travers trois segments : Arômes, Nutrition, ainsi que Parfums et Soins. Le segment Arômes développe, produit et vend des arômes et des ingrédients fonctionnels qui sont utilisés dans les aliments, les boissons et les produits de santé. Le segment Nutrition fournit des solutions sur mesure à partir de matières premières naturelles pour les industries de l'alimentation et des boissons, des aliments pour animaux de compagnie, de l'aquaculture et des cosmétiques. Le segment Scent and Care produit des parfums, des ingrédients cosmétiques, des molécules aromatiques et des arômes de menthe pour la fabrication de parfums, de produits de soins personnels et cosmétiques, de produits de nettoyage et de détergents, de parfums d'intérieur et de produits d'hygiène bucco-dentaire. La Société exerce ses activités en Europe, au Moyen-Orient et en Afrique (EMEA), en Amérique du Nord, dans la région Asie-Pacifique et en Amérique Latine.</t>
  </si>
  <si>
    <t>Tarkett SA (Tarkett) est un fournisseur de revêtements de sol et de surfaces de sport en France. La Société se concentre sur le développement, la fabrication et la commercialisation de revêtements de sol et de surface pour les entreprises et les particuliers. Tarkett SA est spécialisée dans la fourniture de revêtements de sol intégrés, de solutions murales et de surfaces sportives. Son portefeuille de produits comprend des revêtements de sol tels que parquets, stratifiés, moquettes, revêtements de sol en vinyle, revêtements de sol en polychlorure de vinyle conducteur et sols antidérapants PVS, utilisés principalement dans les hôpitaux, écoles, immeubles d'appartements, magasins, hôtels et bureaux. En outre, il fournit des installations d'installations sportives. La société est active sur le marché national et international. L'actionnaire principal de la Société est Société Investissement Deconinck. Il fonctionne également à travers Grassman.</t>
  </si>
  <si>
    <t>Technip energies nv</t>
  </si>
  <si>
    <t>NL0014559478</t>
  </si>
  <si>
    <t>Technip Energies NV est une société basée en France. La Société est spécialisée dans la fourniture de projets, technologies, produits et services sur les infrastructures énergétiques onshore et offshore (GNL, aval, chimie durable, hydrogène, gestion du CO2 et infrastructures marines). Son expertise comprend une gamme complète de services de conception et de développement de projets, de l'engagement précoce à la livraison. Il combine les capacités E&amp;C avec son expertise technologique pour développer de nouvelles solutions qui accompagneront la transition énergétique mondiale et est un pionnier du GNL, carburant critique de la transition. En outre, il propose une gamme de solutions de conception, de construction et industrielles qui deviendront de plus en plus importantes à mesure que le monde passera à une économie moins dépendante du carbone.</t>
  </si>
  <si>
    <t>Telenet group holding n.v.</t>
  </si>
  <si>
    <t>BE0003826436</t>
  </si>
  <si>
    <t>TELENET GROUP HOLDING N.V. est un fournisseur de services médiatiques et de communication pour les secteurs public et privé, basé en Belgique. Ses activités se concentrent sur la télévision, l'Internet et la téléphonie. Le portefeuille de produits de la Société comprend : diffusion de programmes télévisés, services d'accès à Internet, téléphonie fixe, téléphonie mobile, services aux entreprises, tels que transmission de voix et de données par câble à fibre optique, câble coaxial et infrastructures sans fil principalement destinés aux établissements publics, médicaux et d'enseignement, et aux fournisseurs de voix, données et de service Internet, entre autres. En outre, la Société fournit ses produits et services à diverses sociétés, organismes gouvernementaux, établissements de soins de santé et établissements d'enseignement, ainsi qu'aux petites et moyennes entreprises. La Société exploite Lycamobile comme son réseau mobile, ainsi que Coditel Brabant Bvba et Coditel Sarl.</t>
  </si>
  <si>
    <t>Teleperformance se</t>
  </si>
  <si>
    <t>FR0000051807</t>
  </si>
  <si>
    <t>Teleperformance SE, anciennement Teleperformance SA, est un fournisseur de télémarketing et de télé-services basé en France. La Société est spécialisée dans les centres de contact de gestion de la relation client. La Société utilise une gamme de supports de vente à distance, y compris des téléphones fixes et mobiles. Ses services comprennent conseil en processus métier (knowledge services), support technique, acquisition de clients et service de recouvrement de créances. Ses filiales comprennent Teleperformance France, Synerfil, Iberphone, Wibilong SAS, Telepoerformance Intermediation, Citytech et Teleperformance Group Inc, entre autres. Teleperformance SE opère dans des pays tels que le Royaume-Uni, la Norvège, la Tunisie, la Grèce, les États-Unis, entre autres. Teleperformance SE opère également par l'intermédiaire d'Aegis USA Inc., une société d'externalisation et de technologie aux États-Unis, aux Philippines et au Costa Rica.</t>
  </si>
  <si>
    <t xml:space="preserve">BBB + </t>
  </si>
  <si>
    <t>Tencent Holdings Limited est une société de portefeuille spécialisée dans la fourniture de services à valeur ajoutée et de services de publicité en ligne. La Société opère à travers trois segments principaux. Le segment VAS est principalement impliqué dans la fourniture de jeux en ligne/mobiles, de services à valeur ajoutée et d'applications communautaires sur diverses plates-formes Internet et mobiles. Le segment de la publicité en ligne est principalement engagé dans la publicité basée sur l'affichage et la performance. Le secteur Autres intervient principalement dans la fourniture de services liés au paiement, de services cloud et d'autres services.</t>
  </si>
  <si>
    <t>Tesla, inc.</t>
  </si>
  <si>
    <t>US88160R1014</t>
  </si>
  <si>
    <t>Tesla, Inc. conçoit, développe, fabrique, vend et loue des véhicules entièrement électriques et des systèmes de production et de stockage d'énergie, et offre des services liés à ses produits. Le secteur automobile de la Société comprend la conception, le développement, la fabrication, la vente et la location de véhicules électriques ainsi que la vente de crédits réglementaires automobiles. De plus, le secteur automobile comprend également les services et autres, qui comprennent les services après-vente de véhicules hors garantie, les ventes de véhicules d'occasion, les marchandises au détail, les ventes par ses filiales acquises à des clients tiers et l'assurance automobile. Son segment de production et de stockage d'énergie comprend la conception, la fabrication, l'installation, la vente et la location de produits de production et de stockage d'énergie solaire et les services connexes et la vente d'incitatifs pour les systèmes d'énergie solaire. Ses produits automobiles comprennent le modèle 3, le modèle Y, le modèle S et le modèle X. Powerwall et Megapack sont ses produits de stockage d'énergie à batterie lithium-ion.</t>
  </si>
  <si>
    <t>Tf1</t>
  </si>
  <si>
    <t>Télévision Française 1 S.A. (également TF1) est une société basée en France impliquée principalement dans les services de télédiffusion et de communication. Elle est présente en chaînes en clair avec TF1, une chaîne généraliste sans contenu thématique spécifique, TMC et NT1 ; et est également présente en chaînes payantes avec Eurosport, une chaîne sportive, TV Breizh, la division Discovery (Ushuaia TV, Histoire, Stylia), LCI, une chaîne d'information en continu, et TF6 et Série Club. En plus, la Société est impliquée dans d'autres activités, dont la production audiovisuelle et cinématographique, l'acquisition et le commerce de droits audiovisuels, la distribution de film, la vente de publicités, et l'édition de DVD et de CD de musique. La Société opère par le biais de ses nombreuses filiales, dont TF1 Publicité, Aufeminin SA et Téléshopping, entre autres.</t>
  </si>
  <si>
    <t>Thales sa</t>
  </si>
  <si>
    <t>FR0000121329</t>
  </si>
  <si>
    <t>Thales SA est une société Française de technologie. Elle propose une large gamme de solutions réparties en trois segments : Aéronautique, Transport et Défense et Sécurité. Le secteur d’aérospatial fournit des équipements électroniques embarqués conçus pour accroître la sécurité et la fiabilité des vols, des simulateurs d'avions civils et militaires, une connectivité embarquée et des divertissements en vol, des équipements et fonctions embarqués pour le pilotage, la navigation et le contrôle des aéronefs, ainsi que des équipements, des charges utiles, des satellites, des systèmes, des systèmes et des services Pour le secteur spatial. Transport propose des solutions de signalisation ferroviaire, de télécommunications, de supervision et de billetterie. Le secteur de défense et Sécurité propose des produits de radiocommunication, des systèmes de réseau et d'infrastructure, des systèmes de protection, des systèmes d'information critiques et la cybersécurité. Elle fonctionne à l'échelle mondiale.</t>
  </si>
  <si>
    <t>The coca-cola company</t>
  </si>
  <si>
    <t>US1912161007</t>
  </si>
  <si>
    <t>The Coca-Cola Company est une entreprise de boissons. Les segments de la Société comprennent l'Europe, le Moyen-Orient et l'Afrique ; L'Amérique latine; Amérique du Nord; Asie-Pacifique; entreprises mondiales ; et investissements en embouteillage. Elle possède ou concède sous licence et commercialise diverses marques de boissons, qui sont regroupées en catégories, telles que Coca-Cola ; saveurs pétillantes; eau, sports, café et thé ; jus, produits laitiers et boissons à base de plantes; et les boissons émergentes. Elle possède et commercialise six marques de boissons gazeuses pétillantes non alcoolisées, telles que Coca-Cola, Sprite, Fanta, Diet Coke / Coca-Cola Light et Coca-Cola Zero Sugar. Ses marques d'eau, de sport, de café et de thé comprennent quarius, Ayataka, BODYARMOR, Ciel, Costa, dogadan, Dasani, FUZE TEA, Georgia, glaceau smartwater, glaceau vitaminwater, Gold Peak, Powerade et autres. Les marques de jus, de produits laitiers et de boissons à base de plantes de la société comprennent AdeS, Del Valle, fairlife, innocent, Minute Maid, Minute Maid Pulpy et Simply. Les produits de la société sont disponibles pour les consommateurs dans plus de 200 pays.</t>
  </si>
  <si>
    <t>The home depot, inc.</t>
  </si>
  <si>
    <t>US4370761029</t>
  </si>
  <si>
    <t>The Home Depot, Inc. est un détaillant de rénovation domiciliaire. Elle offre à ses clients un assortiment de matériaux de construction, de produits de rénovation domiciliaire, de produits pour pelouse et jardin, de produits de décoration et de produits d'entretien, de réparation et d'exploitation des installations et fournit un certain nombre de services, y compris des services d'installation de rénovation domiciliaire et la location d'outils et d'équipement. Elle exploite plus de 2 322 magasins situés à travers les États-Unis, y compris le Commonwealth de Porto Rico et les territoires des îles Vierges américaines et de Guam ; Canada et Mexique. Il dessert deux principaux groupes de clients : les clients bricoleurs (bricoleurs) et les clients professionnels (Pros). Les clients bricoleurs comprennent les propriétaires qui achètent des produits et réalisent leurs propres projets et installations. Les pros sont principalement des rénovateurs/rénovateurs professionnels, des entrepreneurs généraux, des professionnels de l'entretien, des bricoleurs, des gestionnaires immobiliers, des entrepreneurs de services de construction et des gens de métier spécialisés, tels que des électriciens, des plombiers et des peintres.</t>
  </si>
  <si>
    <t>The procter &amp; gamble company</t>
  </si>
  <si>
    <t>US7427181091</t>
  </si>
  <si>
    <t>La société Procter &amp; Gamble se concentre sur la fourniture de produits de consommation emballés de marque aux consommateurs du monde entier. La Société opère à travers cinq segments : Beauté ; Toilettage; Soins de santé; Tissus et soins à domicile, et bébé, soins féminins et familiaux. La Société vend ses produits dans environ 180 pays et territoires, principalement par l'intermédiaire de marchands de masse, d'épiceries, de magasins de clubs d'adhésion, de pharmacies, de grands magasins, de distributeurs, de grossistes, de magasins pour bébés, de magasins de beauté spécialisés, de commerce électronique, de magasins à haute fréquence, de pharmacies. , magasins d'électronique et chaînes professionnelles. Elle propose des produits sous les marques telles que Head &amp; Shoulders, Herbal Essences, Pantene, Rejoice, Olay, Old Spice, Safeguard, Secret, SK-II, Braun, Gillette, Venus, Crest, Oral-B, Metamucil, Neurobion, Pepto -Bismol, Vicks, Ariel, Downy, Gain, Tide, Cascade, Dawn, Fairy, Febreze, Mr. Clean, Swiffer, Luvs, Pampers, Always, Always Discreet, Tampax, Bounty, Charmin et Puffs.</t>
  </si>
  <si>
    <t>The travelers companies, inc.</t>
  </si>
  <si>
    <t>US89417E1091</t>
  </si>
  <si>
    <t>The Travelers Companies, Inc. est une société holding. La Société est engagée dans la fourniture d'une gamme de produits et de services d'assurance IARD commerciaux et personnels aux entreprises, aux unités gouvernementales, aux associations et aux particuliers. Elle opère à travers trois segments : l'assurance des entreprises, l'assurance des obligations et des spécialités et l'assurance des particuliers. Le secteur Assurance des entreprises offre une gamme d'assurances multirisques et de services connexes à ses clients, aux États-Unis et au Canada, ainsi qu'au Royaume-Uni, en République d'Irlande et dans d'autres parties du monde. Le segment Bond &amp; Specialty Insurance fournit à ses clients des garanties de cautionnement, de détournement, de responsabilité de la direction, de responsabilité professionnelle et d'autres assurances IARD et des services de gestion des risques connexes. Le secteur Assurance des particuliers de la Société offre une gamme de produits et de services d'assurance IARD couvrant les risques personnels des particuliers.</t>
  </si>
  <si>
    <t>The walt disney company</t>
  </si>
  <si>
    <t>US2546871060</t>
  </si>
  <si>
    <t>The Walt Disney Company est une société de divertissement mondiale. Les segments de la Société comprennent Disney Media and Entertainment Distribution (DMED) et Disney Parks, Experiences and Products (DPEP). Le segment DMED englobe les activités mondiales de production et de distribution de contenu cinématographique et télévisuel épisodique de la Société. Les secteurs d'activité de DMED de la société comprennent les réseaux linéaires, la vente directe aux consommateurs et les ventes de contenu/licences. L'activité du secteur DPEP de la Société comprend la vente d'entrées dans les parcs à thème, la vente de nourriture, de boissons et de marchandises dans ses parcs à thème et centres de villégiature, la vente de vacances en croisière, la vente et la location de propriétés de clubs de vacances, les redevances provenant de l'octroi de licences de ses propriétés intellectuelles (IP ) pour une utilisation sur des biens de consommation et la vente de marchandises de marque. L'activité de vente de contenu/octroi de licences de la société consiste à vendre du contenu télévisuel cinématographique et épisodique sur les marchés de la télévision et de la vidéo à la demande par abonnement (TV/SVOD) et du divertissement à domicile.</t>
  </si>
  <si>
    <t>TIKEHAU CAPITAL</t>
  </si>
  <si>
    <t>FR0013230612 </t>
  </si>
  <si>
    <t>Tikehau Capital SCA est une société de gestion d'actifs et d'investissement basée en France. La Société investit dans diverses classes d'actifs, y compris la dette privée, qui comprend des opérations de financement par emprunt, telles que la dette senior, l'unité et la mezzanine, ainsi que des obligations de prêt garanties ; l'immobilier, qui se concentre sur l'immobilier commercial et recherche des transactions de vente et de cession-bail dans lesquelles les véhicules de la société agissent en tant qu'acheteur ; Private Equity, qui regroupe les investissements en fonds propres de sociétés cotées et non cotées, et Liquid Strategies, qui regroupe les investissements en obligations, en titres investment grade et la gestion de fonds ouverts et en solutions logicielles avec l'acquisition d'Isotrol. La Société opère soit par des prises de participation directes, soit par l'intermédiaire de sa filiale de gestion d'actifs, Tikehau IM, pour le compte d'investisseurs institutionnels et privés. La Société possède des bureaux à Paris, Londres, Bruxelles, New York et Singapour, entre autres.</t>
  </si>
  <si>
    <t>Tod's S.p.A. est une société de portefeuille. La Société crée, produit et distribue des chaussures, des articles et accessoires en cuir, ainsi que des vêtements. La Société exerce ses activités dans le secteur du luxe sous ses marques, TOD'S, HOGAN et FAY, et la marque sous licence, ROGER VIVIER. Elle produit des chaussures et des articles en cuir dans ses usines, avec une externalisation partielle à des ateliers spécialisés. La Société offre ses produits aux clients à travers un réseau de magasins spécialisés. Elle exploite environ trois canaux : les magasins directement exploités, les points de vente franchisés, et une série de magasins sélectionnés, multi-bandes indépendants. La marque TOD'S offre des chaussures et des articles en cuir de luxe. La marque HOGAN propose des collections de chaussures pour femmes, hommes et enfants, et fabrique aussi divers articles de maroquinerie. La marque FAY propose une gamme de produits de vêtements décontractés. La marque FAY a des collections saisonnières pour hommes, femmes et enfants. La marque ROGER VIVIER propose des chaussures, des sacs à main, de petits articles en cuir, des bijoux et des lunettes de soleil.</t>
  </si>
  <si>
    <t>Total energies</t>
  </si>
  <si>
    <t>TotalEnergies SE est une société pétrolière et gazière basée en France. Elle opère à travers quatre segments : Exploration et production, Gaz, énergies renouvelables et électricité, Raffinage et chimie et Marketing et services. L'Exploration-Production regroupe les activités d'exploration et de production. Gas, Renewables &amp; Power regroupe les activités gazières menées en aval du processus de production et concerne le gaz naturel, le gaz naturel liquéfié (GNL) et le gaz de pétrole liquéfié (GPL), ainsi que la production d'électricité, le négoce et la commercialisation de gaz et d'électricité. Elle développe également des activités d'énergies renouvelables (hors biotechnologies) et de stockage d'énergie. Les activités d'efficacité énergétique sont représentées au travers d'un pôle Innovation &amp; Efficacité Energétique dédié. Le Raffinage-Chimie regroupe les activités de raffinage et de pétrochimie et les activités d'Hutchinson. Il comprend également les activités de négoce et d'expédition de pétrole. Marketing &amp; Services regroupe les activités mondiales d'approvisionnement et de commercialisation dans le domaine des produits et services pétroliers.</t>
  </si>
  <si>
    <t>Trigano S.A. est une société basée en France, spécialisée dans la conception, la fabrication et la commercialisation de véhicules et d'équipements de loisirs. Son segment Véhicules de loisirs comprend des produits tels que les autocaravanes, les camping-cars et les mobil-homes, les accessoires et pièces de rechange vendues sous des marques telles qu'Arca, Autostar et Challenger, entre autres. Le segment Équipement de loisirs comprend des remorques; des équipements de camping, tels que des tentes; des équipements de jardin, tels que les piscines au sol, les jeux de plein air, les barbecues et les abris de jardin. En outre, Trigano propose la location d'autocaravanes, à travers Trois Soleils et DRM, les partenaires de Hertz. La Société exerce ses activités par l'intermédiaire de nombreuses filiales, principalement en Europe. Trigano SA exerce ses activités via Auto-Sleepers Investments Ltd and Bruand Developpement, entre autres.</t>
  </si>
  <si>
    <t>Ubisoft entertainment sa</t>
  </si>
  <si>
    <t>FR0000054470</t>
  </si>
  <si>
    <t>Ubisoft Entertainment SA est une société basée en France active dans l'industrie du jeu vidéo en développant, publiant et distribuant des jeux vidéo pour consoles, PC (ordinateurs personnels), smartphones et tablettes dans des formats physiques et numériques. Il possède plusieurs marques et un portefeuille diversifié de franchises, notamment Assassin's Creed, The Crew, Far Cry, For Honor, Tom Clancy's Ghost Recon, Tom Clancy's Rainbow Six Siege, Tom Clancy's The Division et Watch Dogs. La Société, par l'intermédiaire de ses filiales, est active à l'échelle mondiale.</t>
  </si>
  <si>
    <t>Ubs group ag</t>
  </si>
  <si>
    <t>CH0244767585</t>
  </si>
  <si>
    <t>UBS Group AG est une société holding et exerce ses activités par le biais d'UBS AG et de ses filiales. La société comprend le Corporate Center et cinq divisions commerciales: Wealth Management, Wealth Management Americas, Personal &amp; Corporate Banking, Asset Management et Investment Bank. La division Gestion de patrimoine offre des conseils et des services financiers personnalisés à des clients privés fortunés dans le monde, à l'exception de ceux desservis par Wealth Management Americas. Wealth Management Americas est un gestionnaire de patrimoine dans les Amériques en termes de productivité des conseillers financiers et d'actifs investis par un conseiller financier. La division Personal &amp; Corporate Banking fournit des produits et services financiers à des clients privés, institutionnels et institutionnels en Suisse. La division Asset Management fournit des produits et services de gestion des investissements, des solutions de plate-forme et un service de conseil. La division Investment Bank fournit des conseils en investissement, des solutions financières et l'accès aux marchés de capitaux.</t>
  </si>
  <si>
    <t>Ucb sa</t>
  </si>
  <si>
    <t>BE0003739530</t>
  </si>
  <si>
    <t>Ucb SA est une société belge pharmaceutique et de produits chimiques spécialisés qui se spécialise dans deux domaines thérapeutiques : les maladies du système nerveux central (SNC) et l'immunologie. Dans le domaine des troubles du système nerveux central, la Société se concentre sur l'épilepsie, la douleur neuropathique diabétique, la sclérose en plaques, la fibromyalgie, le syndrome des jambes sans repos et la maladie de Parkinson et, dans le domaine de l'immunologie, sur les allergies, les troubles de perte osseuse, la maladie de Crohn, la polyarthrite rhumatoïde et les maladies respiratoires. En plus de ses champs principaux d'activités, Ucb SA offre des solutions de molécules à des spécialistes pour une utilisation dans le traitement des maladies graves. Son portefeuille de produits comprend des médicaments comme Neupro, Vimpat, Cimzia, entre autres. Ucb SA a aussi une présence sélective en premiers soins pour soutenir les produits spécialisés qui sont administrés par des médecins traitants.</t>
  </si>
  <si>
    <t>UMICORE S.A. est un groupe de technologie des matériaux mondial basé en Belgique. Il se concentre sur des domaines d'application tels que la métallurgie, la chimie et la science des matériaux. Ses activités sont orientées autour de trois secteurs : Catalyse, Énergie et Technologies de Surface et Recyclage. Umicore génère la majorité de ses revenus à partir des technologies propres, comme les catalyseurs de contrôle des émissions, les matériaux pour batteries rechargeables et photovoltaïques, les piles à combustible et le recyclage. Le groupe d'activité Catalyse produit également des composés à base de métaux précieux destinés à la chimie fine, les sciences de la vie et les industries pharmaceutiques. Les matériaux produits par Énergie et Technologies de Surface se trouvent dans un certain nombre d'applications utilisées dans la production et le stockage de l'énergie propre, y compris le photovoltaïque et les piles rechargeables.</t>
  </si>
  <si>
    <t>Unibail rodamco westfield</t>
  </si>
  <si>
    <t>Unibail-Rodamco-Westfield SE (URW), anciennement connu sous le nom d'Unibail Rodamco, est un groupe basé en France opérant dans le secteur de l'immobilier commercial. Le Groupe est engagé dans le développement, la construction et la gestion de biens immobiliers en Europe et aux États-Unis. Son portefeuille d'actifs est divisé en trois secteurs d'activité principaux : Retail, qui comprend 84 centres commerciaux en France, Europe centrale, Espagne, Autriche, Allemagne, Royaume-Uni, Pays-Bas, États-Unis et autres ; Bureaux &amp; Autres, où URW développe et détient des immeubles de bureaux et des hôtels situés principalement dans le quartier central des affaires de Paris et à La Défense, il détient également des actifs de bureaux, hôteliers et résidentiels aux États-Unis ; et le segment Congrès et Expositions est situé en région parisienne et est composé de la société immobilière de sites et de services : Viparis. Viparis est détenu conjointement avec la Chambre de Commerce et d'Industrie de Paris Île-de-France (CCIR) et exploité par URW.</t>
  </si>
  <si>
    <t>Unilever plc</t>
  </si>
  <si>
    <t>NL0000009355</t>
  </si>
  <si>
    <t>Unilever PLC est une société de biens de consommation rapide (FMCG) basée au Royaume-Uni. La Société opère à travers cinq segments : Beauté et bien-être, soins personnels, soins à domicile, nutrition et crème glacée. Le segment Beauté &amp; Bien-être vend des soins capillaires (shampooing, après-shampooing, coiffage), des soins de la peau (hydratants pour le visage, les mains et le corps) et comprend Prestige Beauty et Health &amp; Wellbeing. Le segment des soins personnels vend des produits de nettoyage de la peau (savon, douche), des déodorants et des soins bucco-dentaires (dentifrice, brosse à dents, rince-bouche). Le segment Home Care vend des produits d'entretien des tissus (poudres et liquides de lavage, conditionneurs de rinçage) et une large gamme de produits de nettoyage. Nutrition vend des aides culinaires à gratter (soupes, bouillons, assaisonnements), des vinaigrettes (mayonnaise, ketchup) et des produits à base de thé. Le segment de la crème glacée comprend les produits de crème glacée. Ses filiales comprennent Unilever de Argentina S.A., Unilever Australia Limited, Unilever Canada Inc, Wall's (China) Co. Limited et Unilever Bangladesh Limited.</t>
  </si>
  <si>
    <t>Unitedhealth group incorporated</t>
  </si>
  <si>
    <t>US91324P1021</t>
  </si>
  <si>
    <t>UnitedHealth Group Incorporated est une société de soins de santé diversifiée qui exploite les plateformes Optum et UnitedHealthcare. Ses segments comprennent Optum Health, Optum Insight, Optum Rx et UnitedHealthcare. Le segment Optum Health se concentre sur la prestation de soins, la gestion des soins, le bien-être et l'engagement des consommateurs, et les services financiers de santé. Le segment Optum Insight répond aux besoins des systèmes hospitaliers, des médecins, des régimes de santé, des gouvernements et des entreprises des sciences de la vie. Le segment Optum Rx offre des services et des programmes de soins pharmaceutiques, y compris les contrats de réseau de vente au détail, la livraison à domicile, les services de pharmacie spécialisés et de santé communautaire, les capacités d'achat et cliniques, et développe des programmes dans des domaines tels que la thérapie par étapes, la gestion des formulaires, l'observance des médicaments et la thérapie des maladies/médicaments gestion. UnitedHealthcare comprend les résultats d'exploitation combinés de UnitedHealthcare Employer &amp; Individual, UnitedHealthcare Medicare &amp; Retirement, UnitedHealthcare Community &amp; State et UnitedHealthcare Global.</t>
  </si>
  <si>
    <t>Universal music group nv</t>
  </si>
  <si>
    <t>NL0015000IY2</t>
  </si>
  <si>
    <t>Universal Music Group NV est une société basée aux Pays-Bas qui est principalement engagée dans le divertissement musical. La Société se concentre sur la découverte et le développement d'artistes et d'auteurs-compositeurs et sur le marketing, la promotion, la distribution, la vente et l'octroi de licences de contenu audio et audiovisuel. Universal Music Group N.V. comprend les sociétés d'édition musicale Universal Music Publishing Group. Son catalogue de musique enregistrée comprend plus de trois millions d'enregistrements et comprend un large éventail d'artistes tels que ABBA, Louis Armstrong, The Beatles, The Beach Boys, The Bee Gees, Ariana Grande, Imagine Dragons, Lady Gaga, James Brown, Bon Jovi, Neil Diamond, Marvin Gaye, Drake, Billie Eilish, Eminem, Selena Gomez Guns N' Roses, Elton John, Bob Marley, Paul McCartney, Nirvana, Luciano Pavarotti, Queen, The Rolling Stones, Frank Sinatra, U2, Amy Winehouse et Stevie Wonde, r entre autres.</t>
  </si>
  <si>
    <t>BB + / Stable</t>
  </si>
  <si>
    <t>Valeo SE est un équipementier automobile mondial basé en France. La Société est une entreprise technologique qui se concentre sur la conception, la production et la vente de composants, de systèmes intégrés, de modules et de services pour le secteur automobile. Ses segments comprennent les systèmes de confort et d'aide à la conduite, les systèmes de transmission, les systèmes thermiques et les systèmes de visibilité. Le segment des systèmes de confort et d'aide à la conduite comprend trois groupes de produits, dont l'aide à la conduite, les commandes intérieures et les voitures connectées. Il offre des capteurs intelligents et des fonctionnalités qui améliorent la sécurité du véhicule et un système de conduite automatisé. Le segment Powertrain Systems comprend quatre groupes de produits, dont les systèmes électriques, les systèmes de transmission, les systèmes de moteur à combustion et l'électronique. Le segment des systèmes thermiques comprend cinq groupes de produits, dont la climatisation thermique, le groupe motopropulseur thermique, les compresseurs thermiques, les systèmes frontaux thermiques et les systèmes de bus thermiques. Le segment des systèmes de visibilité comprend les systèmes d'éclairage et les systèmes d'essuie-glace.</t>
  </si>
  <si>
    <t>Vallourec sa</t>
  </si>
  <si>
    <t>FR0013506730</t>
  </si>
  <si>
    <t>VALLOUREC S.A. est une société basée en France qui se spécialise dans la production de solutions tubulaires en acier soudé et sans soudure pour des applications industrielles. Elle opère à travers deux segments : tubes sans soudure et produits spécialisés. Pour le marché du pétrole et du gaz, elle conçoit et développe une ligne complète de produits incluant des tubes sans soudure et des connexions premium, destinés aux opérations de forage, aux tubes pour conduite (line pipe) et à l'équipement des puits. Sur le marché de l'énergie électrique, elle propose une gamme de tubes premium résistant aux températures et aux pressions les plus élevées. Ses solutions permettent aux opérateurs électriques de relever les défis de l'efficacité énergétique et de maîtrise des émissions de CO2 des centrales.​ Elle offre également une large gamme de tubes pour les installations pétrochimiques (raffineries), ainsi que des produits tubulaires destinés à la mécanique (vérins hydrauliques, machines-outils, etc.), à l'automobile, à la construction (stades, autres édifices et structures complexes) et à d'autres industries. Elle opère par le biais de Vallourec Solucoes Tubulares do Brasil.</t>
  </si>
  <si>
    <t>Valneva se</t>
  </si>
  <si>
    <t>FR0004056851</t>
  </si>
  <si>
    <t>Valneva SE est une société basée en France spécialisée dans le développement, la fabrication et la commercialisation de vaccins pour protéger les personnes contre les maladies infectieuses grâce à la médecine préventive. Le portefeuille de la Société comprend deux vaccins commerciaux pour les voyageurs : IXIARO/JESPECT, pour la prévention de l'encéphalite japonaise, et DUKORAL, qui est indiqué pour la prévention du choléra et, dans certains pays, la prévention de la diarrhée causée par l'Escherichia coli entérotoxinogène (ETEC). La Société a également des vaccins en développement, notamment des candidats contre la maladie de Lyme, le COVID-19 et le chikungunya. Son segment technologies et services coopère avec différentes sociétés pharmaceutiques utilisant sa plateforme : lignée cellulaire de production de vaccin EB66 et adjuvant IC31. La Société se concentre sur les programmes de recherche et développement (R&amp;D) et détient des investissements dans des produits candidats et des produits commerciaux.</t>
  </si>
  <si>
    <t>Multiline Utilities</t>
  </si>
  <si>
    <t>Veolia Environnement SA est un groupe français de gestion optimisée des ressources. Il conçoit et fournit des solutions de gestion de l’eau, des déchets et de l’énergie. Les solutions d’eau couvrent les usines d’eau potable et les systèmes d’approvisionnement, les systèmes d’eaux usées et les usines de traitement, entre autres. Les solutions de gestion des déchets comprennent les services de collecte des déchets pour le compte des autorités locales, la gestion des centres de tri spécialisés et des plates-formes, entre autres. Les solutions énergétiques offrent des services de production d’énergie et des services connexes, comme la consultation et la conception des installations. Le Groupe opère à travers cinq segments géographiques : France, Europe hors France, Reste du Monde, Global Business et Autres, dont les différentes sociétés holding du Groupe.</t>
  </si>
  <si>
    <t>BBB- / Positif</t>
  </si>
  <si>
    <t>Containers &amp; Packaging</t>
  </si>
  <si>
    <t>Verallia SASU est une société basée en France, qui produit des solutions d'emballage en verre. La Société fabrique un certain nombre de pots et de bouteilles pour différents marchés, notamment les secteurs des vins tranquilles et mousseux, des spiritueux, des produits alimentaires, ainsi que des secteurs de la bière et des boissons non alcoolisées. Outre la France, la Société est également présente dans de nombreux pays d'Europe occidentale, d'Europe orientale et d'Amérique du Sud, entre autres.</t>
  </si>
  <si>
    <t>Verizon communications inc.</t>
  </si>
  <si>
    <t>US92343V1044</t>
  </si>
  <si>
    <t>Verizon Communications Inc. est une société holding. La Société, par l'intermédiaire de ses filiales, fournit des produits et services de communication, d'information et de divertissement aux consommateurs, aux entreprises et aux agences gouvernementales. Ses segments à présenter sont Verizon Consumer Group et Verizon Business Group. Son segment Consumer fournit des services de communications sans fil et filaires. Ses services sans fil sont fournis sur des réseaux sans fil aux États-Unis (É.-U.) sous la marque Verizon. Ses services filaires sont fournis dans neuf États du centre de l'Atlantique et du nord-est des États-Unis, ainsi qu'à Washington D.C., sur son réseau de fibre optique sous la marque Fios et sur un réseau traditionnel à base de cuivre. Son secteur d'activité fournit des services et produits de communications sans fil et filaires, y compris des services de données, de vidéo et de conférence, des services de sécurité et de réseau géré, des services vocaux locaux et longue distance et un accès réseau pour fournir divers services et produits Internet des objets.</t>
  </si>
  <si>
    <t>VESTAS WIND SYSTEMS A/S est une société basée au Danemark, active dans l'industrie éolienne. La Société opère deux segments: Projet et Service. Le segment Projet est responsible, entre autres, de la vente d'appareils d'énergie éolienne et d'éoliennes. Le segment Services comprend la prestation de services liés à l'offre de la Société ainsi que la vente de pièces détachées et d'autres activités. La gamme de produits de Vestas Wind System comprend des plates-formes de capture d'énergie de 2 mégawatts (MW) et 3 MW équipées de systèmes de détection de la glace, de la fumée et de l'ombre. Sa gamme de services se compose, entre autres, de services de conseil informatisés, d'optimisation de flotte, de maintenance et d'inspection de la lame, de réparations de générateurs et d'échange de boîtes de vitesses.</t>
  </si>
  <si>
    <t>VETOQUINOL SA est une société basée en France spécialisée dans la recherche, le développement, la fabrication, la commercialisation et la vente de produits et médicaments vétérinaires. Le portefeuille de produits de la Société est divisé entre les animaux, tels que les bovins et porcs et animaux de compagnie, dont les chiens et les chats. L'offre deVetoquinol SA comprend des anti-infectieux, tels que Marbocyl ; inflammatoires antidouleurs, qui comprennent la Tolfedine destinée aux chiens et chats et la Tolfine pour le bétail, et le traitement cardio-vasculaire et néphrologique, tels que Prilium, une formule d'administration quotidienne orale pour chiens, entre autres. La Société commercialise plus de 700 produits, dans des pays comme la France, l'Autriche, le Canada, l'Italie, la Pologne, l'Espagne et les Pays-Bas, entre autres. Elle négocie ses produits dans toute l'Europe, en Amérique du Nord, en Afrique, au Moyen-Orient et en Asie Pacifique. En avril 2014, elle a acquis l'entreprise de santé animale Bioniche.</t>
  </si>
  <si>
    <t>VICAT S.A. est une société basée en France impliquée dans le secteur de la construction. Elle exploite quatre secteurs d'activité. Le secteur Ciment produit quatre types de ciments : CEM I et CEM II utilisés dans des projets de génie civil, bâtiments industriels et commerciaux ; CEM III (ciment au laitier de haut fourneau) et CEM V (ciment au laitier) ; CEM IV (ciment à la pouzzolane) et le ciment naturel Prompt. Le secteur Béton prêt à l'emploi comprend la production de béton autoplaçant, béton haute performance, chape, béton désactivé et coloré ou poli. Le secteur Granulats comprend les granulats utilisés pour les travaux de terrassement, dans la fabrication d'asphalte, l'enrochement pour stabilisation. Le secteur Autres produits et services couvre les activités de construction, de chimie, de transport de matériaux et de préfabrication de béton.</t>
  </si>
  <si>
    <t>Vilmorin &amp; cie</t>
  </si>
  <si>
    <t>VILMORIN &amp; CIE S.A. se consacre à la production, la commercialisation et la vente de semences de légumes et de cultures pour la production agricole et les maraîchers. La section Semences de légumes est impliquée dans la production et la vente de semences potagères sous les noms de marque, tels que Hazera-Nickerson, Vilmorin S.A., HM. Clause et Mikado Kyowa Seed, entre autres, destinées au marché de l'alimentation professionnelle, notamment les maraîchers, les transformateurs et les spécialistes en mise en conserve, spécialistes de la congélation et de la lyophilisation. La section Semences champêtres se concentre sur des semences champêtres, notamment le maïs, céréales, graines de tournesol et de raisin pour les clients européens et américains. La section des produits de jardin s'articule autour de deux sociétés, Vilmorin Jardin et Suttons. Au 15 mars 2013, elle a acquis la Bisco Bio Sciences d'Inde. En octobre 2013, elle avait annoncé qu'elle avait récemment repris Shamrock. Elle a acquis en novembre 2013, Eureka Seeds Inc. Elle a acquis en mars 2014, Seeds Asia basée à Bangkok.</t>
  </si>
  <si>
    <t>Vinci SA est une société française active dans le secteur des concessions et de la construction dans le monde entier. Elle gère trois segments : Concessions, Contracting et VINCI Immobilier. Les concessions couvrent les activités de gestion des concessions à travers VINCI Autoroutes (autoroutes en France), VINCI Aéroports (aéroports en France et à l’étranger) et Autres concessions (différentes infrastructures en France et à l’étranger). La sous-traitance comprend VINCI Energies, qui fournit des services industriels, des réseaux électriques et des infrastructures de transport, entre autres; Eurovia, qui propose la construction et l’entretien de routes, d’autoroutes, de chemins de fer, d’infrastructures urbaines, la production de mélanges d’asphalte, de carrières et de VINCI Construction, qui conçoit et construit des bâtiments, des infrastructures de génie civil, du génie civil spécialisé, de l’eau et des pipelines, entre autres. VINCI Immobilier est actif dans différents types de développement immobilier.</t>
  </si>
  <si>
    <t>VIRBAC S.A. est une société pharmaceutique vétérinaire basée en France qui se spécialise dans le développement et la production de vaccins et de médicaments pour animaux domestiques et d'élevage. Ses centres de production sont situés en France, en Australie, aux États-Unis, au Mexique, au Vietnam, au Brésil et en Afrique du Sud. Ses efforts de développement se concentrent principalement sur la formulation de médicaments conçus pour prévenir ou guérir certaines maladies animales. Son portefeuille de produits comprend des médicaments pour animaux de compagnie tels que les médicaments antiparasitaires, les vaccins, les antibiotiques, les anesthésiques, les anti-inflammatoires non stéroïdiens, les produits de soins de bouche/dentaires, les produits ophtalmologiques et dermatologiques destinés aux chiens, chats, chevaux, oiseaux et rongeurs, ainsi que les médicaments de bétail dont les médicaments antiparasitaires et les antibiotiques destinés aux bovins, aux moutons, aux porcs et aux volailles. Elle offre également des aliments et les puces d'identification électronique pour animaux de compagnie.</t>
  </si>
  <si>
    <t>Visa Inc. (Visa) est une société mondiale de technologie de paiement. La société fournit des paiements numériques dans plus de 200 pays et territoires. La Société relie les consommateurs, les commerçants, les institutions financières, les entreprises, les partenaires stratégiques et les entités gouvernementales grâce aux technologies. La Société exerce ses activités dans le secteur des services de paiement. La Société fournit des services de traitement des transactions, y compris principalement l'autorisation, la compensation et le règlement à ses clients institutions financières et commerçants par l'intermédiaire de VisaNet, son réseau de traitement des transactions. Ses principales solutions commerciales, y compris les programmes de crédit, de débit, prépayés et d'accès aux espèces pour les particuliers, les entreprises et les titulaires de comptes gouvernementaux. Elle fournit également des services à valeur ajoutée à ses clients, notamment des solutions d'émission, des solutions d'acceptation, des solutions de risque et d'identité, des services bancaires ouverts et des services de conseil. Elle propose également des produits et des solutions qui facilitent les mouvements d'argent pour tous les participants de l'écosystème.</t>
  </si>
  <si>
    <t>Vivendi se</t>
  </si>
  <si>
    <t>FR0000127771</t>
  </si>
  <si>
    <t>Vivendi SE est un groupe français intégré de contenus, médias et communication présent sur l'ensemble de la chaîne de valeur des médias. Il opère à travers sept segments: Universal Music Group, Groupe Canal+, Havas, Gameloft, Vivendi Village, Nouvelles Initiatives et Corporate. Universal Music Group est engagé dans la musique enregistrée, l'édition musicale et le merchandising. Groupe Canal+ regroupe la télévision payante (TV), la production, la vente et la distribution de films et séries TV. Havas est un groupe mondial de communication. Gameloft développe et édite des jeux pour toutes les plateformes numériques. Vivendi Village regroupe entre autres Vivendi Ticketing (Europe et États-Unis), les salles L’Olympia et Théâtre de l’Œuvre à Paris. New Initiatives comprend Dailymotion, une plateforme d'agrégation et de distribution de contenu vidéo; Vivendi Content, pour la création de nouveaux contenus et le Groupe Vivendi Africa, développant l'Internet Très Haut Débit en Afrique. Corporate fournit des services centraux au groupe.</t>
  </si>
  <si>
    <t>Volkswagen ag</t>
  </si>
  <si>
    <t>DE0007664005</t>
  </si>
  <si>
    <t>Volkswagen AG est une société basée en Allemagne qui fabrique et vend des véhicules. Elle fonctionne à travers quatre segments: les voitures de tourisme, qui couvre le développement de véhicules et de moteurs, la production et la vente de voitures de tourisme et l'activité correspondante de pièces d'origine; Véhicules utilitaires, qui comprend le développement, la production et la vente de véhicules utilitaires légers, de camions et d'autobus, le secteur des pièces d'origine et les services connexes; Génie énergétique, qui comprend le développement et la production de moteurs diesel à gros alésage, de turbocompresseurs, de turbines industrielles et de systèmes de réacteurs chimiques, la production de réducteurs, de composants de propulsion et de systèmes d'essai, et les services financiers, qui comprennent le financement des concessionnaires et des clients, leasing, activités bancaires et d'assurance, gestion de flotte et services de mobilité. Son portefeuille de marques comprend Volkswagen, Audi, SEAT, SKODA, Bentley, Bugatti, Lamborghini, Porsche, Ducati, Volkswagen Commercial Vehicles, Scania et MAN.</t>
  </si>
  <si>
    <t>FR0011995588 </t>
  </si>
  <si>
    <t>VOLTALIA S.A. est une société de portefeuille basée en France, qui est active dans le secteur des services publics renouvelables. Elle conçoit, développe et exploite des centrales électriques dans de nombreux pays, tels que la Guyane française, le Brésil, la Grèce, la France et le Maroc. La Société génère de l'électricité à partir d'une diversité de sources d'énergie renouvelables. Il s'agit du vent, de l'eau, de la biomasse et de l'énergie solaire. En outre, VOLTALIA S.A. se spécialise dans les activités d'échange de crédits carbone. La Société exploite plusieurs filiales, parmi lesquelles Anelia et Bio-Bar en France, Voltalia Guyane, SIG Kourou, SIG Mana and SIG Cacao en Guyane française, Voltalia Energia do Brasil au Brésil, Thegero en Grèce et Alterrya Maroc au Maroc, entre autres. La Société est détenue par Voltalia Investissement SA.</t>
  </si>
  <si>
    <t>Vonovia se</t>
  </si>
  <si>
    <t>DE000A1ML7J1</t>
  </si>
  <si>
    <t>Vonovia SE est une société immobilière résidentielle basée en Allemagne. Elle gère ses activités via trois segments : Location, L' Entreprise à Valeur ajoutée et Ventes. Le segment Location regroupe des activités visant à valoriser la gestion des propriétés. Le segment de l'Entreprise à Valeur ajoutée comprend les services axés sur le client, qui sont liés à l’entreprise de location ou qui l’influencent. Le segment des Ventes regroupe toutes les ventes immobilières du portefeuille de la Société. Elle comprend la vente individuelle d’appartements du sous-portefeuille Privatize et la vente de bâtiments entiers ou de terrains provenant des sous-portefeuilles non stratégiques et non essentiels.</t>
  </si>
  <si>
    <t>Walmart inc.</t>
  </si>
  <si>
    <t>US9311421039</t>
  </si>
  <si>
    <t>Walmart Inc. est un détaillant omnicanal propulsé par la technologie. La Société offre la possibilité de magasiner dans les magasins de détail et par le biais du commerce électronique et d'accéder à ses autres offres de services. Il offre un assortiment de marchandises et de services à bas prix de tous les jours (EDLP). Elle opère à travers trois segments : Walmart U.S., Walmart International et Sam's Club. Le segment Walmart U.S. est un marchand de masse de produits de consommation, opérant sous les marques Walmart et Walmart Neighborhood Market, ainsi que walmart.com et d'autres marques de commerce électronique. Le segment Walmart International comprend divers formats divisés en deux catégories : vente au détail et vente en gros. Ces catégories comprennent de nombreux formats, y compris les supercentres, les supermarchés, les hypermarchés, les clubs-entrepôts (y compris les Sam's Clubs) et le cash &amp; carry, ainsi que le commerce électronique via walmart.com.mx, walmart.ca, flipkart.com, walmart.cn et d'autres sites. Le segment Sam's Club est un club-entrepôt réservé aux membres qui exploite également samsclub.com.</t>
  </si>
  <si>
    <t>Warehouses de pauw nv</t>
  </si>
  <si>
    <t>BE0974349814</t>
  </si>
  <si>
    <t>Warehouses de Pauw NV (WDP) est une entreprise belge spécialisée dans la logistique de location d'entrepôts. La Société est spécialisée dans la location d'entrepôts multifonctionnels, de magasins, de centres de logistique et de distribution et de biens immobiliers industriels situés en Belgique, ainsi que dans d'autres parties de l'Europe. En outre, il organise des entrepôts adaptés aux besoins de l'utilisateur, ainsi que des opérations de vente et de location. Outre la Belgique, la Société opère dans des pays européens tels que les Pays-Bas, la France, la République tchèque et la Roumanie.</t>
  </si>
  <si>
    <t>Wells fargo &amp; company</t>
  </si>
  <si>
    <t>US9497461015</t>
  </si>
  <si>
    <t>Wells Fargo &amp; Company est une société de services financiers. La Société offre un ensemble diversifié de produits et services bancaires, d'investissement et hypothécaires, ainsi que des services de financement à la consommation et commerciaux, par l'intermédiaire de sites et de bureaux bancaires, d'Internet (www.wellsfargo.com) et d'autres canaux de distribution aux particuliers, aux entreprises et aux institutions de États-Unis, le District de Columbia et dans les pays en dehors des États-Unis. La Société fournit des produits et services financiers aux consommateurs, notamment des comptes chèques et d'épargne, des cartes de crédit et de débit, des prêts automobiles, hypothécaires et immobiliers et des prêts aux petites entreprises. De plus, la Société offre des services de planification financière, de banque privée, de gestion de placements et de fiduciaire. La Société fournit également des solutions financières aux entreprises par le biais de produits et services, notamment des prêts commerciaux traditionnels et des lignes de crédit, des lettres de crédit, des prêts sur actifs, du financement commercial, de la gestion de trésorerie et des services bancaires d'investissement.</t>
  </si>
  <si>
    <t>Wendel se</t>
  </si>
  <si>
    <t>FR0000121204</t>
  </si>
  <si>
    <t>Wendel SE est un investisseur de long terme basé en France comme actionnaire majoritaire ou minoritaire dans des sociétés cotées ou non cotées, prenant l'initiative afin d'accélérer la croissance et le développement. L'entreprise participe à la définition et à la mise en œuvre de stratégies ambitieuses et fournit le financement nécessaire. La stratégie d'investissement et de développement du Groupe passe par un dialogue étroit, noué avec les équipes de management des sociétés dont Wendel est actionnaire. Ce partenariat est au cœur du processus de création de valeur. L'entreprise offre un soutien actif et constant, partage la prise de risques et met à contribution son expérience, ainsi que ses compétences financières et techniques. La société a des filiales telles que CSP Technologies, Materis Corporate Services SASU et Maxwell Chase Technologies, entre autres. Avec Future French Champions SAS, elle opère par le biais de SGI Africaine De Bourse SA.</t>
  </si>
  <si>
    <t>Wolters kluwer nv</t>
  </si>
  <si>
    <t>NL0000395903</t>
  </si>
  <si>
    <t>Wolters Kluwer NV est une société basée aux Pays-Bas qui fournit des informations, des logiciels et des services aux professionnels du droit, des affaires, de la fiscalité, de la comptabilité, de la finance, de l'audit, du risque, de la conformité et de la santé dans le monde entier. Les quatre divisions opérationnelles de la Société sont basées sur des segments de clientèle stratégiques : Santé ; Comptabilité fiscale; Gouvernance, Risque &amp; Conformité, et Juridique &amp; Réglementaire. Ses secteurs géographiques comprennent les Pays-Bas, l'Europe, l'Amérique du Nord, l'Asie-Pacifique et le reste du monde. Le portefeuille de produits de la Société propose des outils logiciels associés à du contenu et des services qui permettent à ses clients de prendre des décisions fondées sur des preuves, grâce à des solutions de gestion des flux de travail, des informations réglementaires, des analyses et des rapports, adaptés aux spécificités de leur secteur. En outre, la Société est active dans l'édition numérique et imprimée.</t>
  </si>
  <si>
    <t>BBB</t>
  </si>
  <si>
    <t>Worldline</t>
  </si>
  <si>
    <t>Worldline SA, anciennement Atos Worldline SAS, est une société basée en France fournissant des services de paiement et de transaction. La Société crée et exploite des plateformes numériques qui traitent toutes les transactions entre les entreprises, leurs partenaires et leurs clients. Ses solutions sont divisées en trois segments : Merchant Services &amp; Terminaux, comprenant des services, des solutions et une mise en œuvre dans les domaines des terminaux de paiement, de l'acceptation de paiement multicanal, des paiements sans espèces, des cartes privatives, des services de fidélité et du commerce électronique ; Mobility &amp; eTransactional Services, engagé dans la création de produits numériques tels que les billets électroniques, les plateformes de collecte d'e-gouvernement et les plateformes cloud de contact et de consommation, entre autres ; et Financial Processing &amp; Software Licensing, qui fournit le traitement des paiements, le traitement des acquisitions et des émissions, des solutions bancaires en ligne et des solutions logicielles. La Société est active au niveau international par le biais de filiales telles que Worldline Euro SA, Santeos SA, Worldline BV, entre autres.</t>
  </si>
  <si>
    <t>Zalando se</t>
  </si>
  <si>
    <t>DE000ZAL1111</t>
  </si>
  <si>
    <t>Zalando SE est un détaillant de chaussures et de mode en ligne basé en Allemagne. La société offre un portefeuille de vêtements pour femmes, hommes et enfants. Son assortiment comprend une gamme de chaussures, vêtements, accessoires, produits de beauté et articles de sport de plus de 4500 marques, y compris les entreprises de mode, le travail de designer et les produits de zLabels, une branche de marques privées de la société et comprend également des vêtements d’occasion. Zalando SE offre également la livraison gratuite et 100 jours de politique de retour gratuit. Son offre peut être achetée via des ordinateurs de bureau, des tablettes et des smartphones dans environ 23 pays européens. La société est active dans deux segments géographiques : DACH, qui comprend les ventes en Allemagne, en Autriche et en Suisse, et le reste de l’Europe.</t>
  </si>
  <si>
    <t>Zoetis Inc. est une entreprise de santé animale. La Société se concentre sur la découverte, le développement, la fabrication et la commercialisation de médicaments, de vaccins, de produits et services de diagnostic, de biodispositifs, de tests génétiques et de technologies de santé animale de précision. Elle commercialise des produits dans huit espèces principales : chiens, chats et chevaux et bovins, porcs, volailles, poissons et moutons et dans des catégories de produits, telles que les vaccins, les anti-infectieux, les parasiticides, la dermatologie, d'autres produits pharmaceutiques, les additifs alimentaires médicamenteux et la santé animale. Diagnostique. La Société opère à travers deux segments : les États-Unis et l'International. Au sein de chacun de ces segments opérationnels, il propose un portefeuille de produits pour les clients des animaux de compagnie et de l'élevage. La Société commercialise ses produits dans environ 45 pays en Amérique du Nord, en Europe, en Afrique, en Asie, en Australie et en Amérique du Sud. Les produits de la Société sont vendus dans plus de 100 pays.</t>
  </si>
  <si>
    <t>Zurich insurance group ltd</t>
  </si>
  <si>
    <t>CH0011075394</t>
  </si>
  <si>
    <t>Zurich Insurance Group Ltd est une société d'assurance. La société offre une gamme de produits et services d'assurance générale et d'assurance vie. Ses segments incluent l'assurance générale, qui fournit des produits et services automobiles, résidentiels et commerciaux pour les particuliers, mais aussi de petites et grandes entreprises ; Global Life, qui poursuit une stratégie avec les propositions en unités de compte et des produits phytopharmaceutiques, ainsi que des solutions payantes gérées par le biais de la distribution bancaire, la vie de la société et des pensions et de gestion en vigueur pour élaborer des positions dans ses marchés cibles, et Farmers, qui fournit, par le biais de Farmers Group, Inc. (FGI) et ses filiales, des services de non-réclamations connexes, administratifs et de gestion à Farmers Exchanges comme procureur de fait. FGI fournit des services à Farmers Exchanges, qui sont détenus par les assurés et gérés par FGI, une filiale de la Société. Ce segment inclut la réassurance assumée de Farmers Exchanges par la Société.</t>
  </si>
  <si>
    <t>Capitalisation boursière</t>
  </si>
  <si>
    <t>Laboratoires Vétérinaires</t>
  </si>
  <si>
    <t>Secteurs</t>
  </si>
  <si>
    <t>Portefeuille / Future invest</t>
  </si>
  <si>
    <t>Sum intérêt</t>
  </si>
  <si>
    <t>Valeur d'intérêt</t>
  </si>
  <si>
    <t>N° Portefeuille</t>
  </si>
  <si>
    <t>F. Investissement
Niveau d'intérêt</t>
  </si>
  <si>
    <t>Historique</t>
  </si>
  <si>
    <t>A Suivre</t>
  </si>
  <si>
    <r>
      <t xml:space="preserve">Analysée
</t>
    </r>
    <r>
      <rPr>
        <sz val="12"/>
        <color theme="1"/>
        <rFont val="Garamond"/>
        <family val="1"/>
      </rPr>
      <t>1 = Oui
0 = Non</t>
    </r>
  </si>
  <si>
    <t>Notes</t>
  </si>
  <si>
    <t>Code Excel</t>
  </si>
  <si>
    <t>Industrie</t>
  </si>
  <si>
    <t>Grand Secteur</t>
  </si>
  <si>
    <t>ID_Secteur</t>
  </si>
  <si>
    <t>P/E</t>
  </si>
  <si>
    <t>Employés</t>
  </si>
  <si>
    <t>Capi / Employés</t>
  </si>
  <si>
    <t>Marge OP (2021)</t>
  </si>
  <si>
    <t>REX (2021)</t>
  </si>
  <si>
    <t>EBE 2021</t>
  </si>
  <si>
    <t>Valeur Ajoutée</t>
  </si>
  <si>
    <t>Tendance long-terme</t>
  </si>
  <si>
    <t>Barrière à l'entrée</t>
  </si>
  <si>
    <t>CA 2021</t>
  </si>
  <si>
    <t>P/E2</t>
  </si>
  <si>
    <t>Zones géographiques</t>
  </si>
  <si>
    <t>TOP SUIVI</t>
  </si>
  <si>
    <t>Liste des sociétés / résultats vus</t>
  </si>
  <si>
    <t>2021 (croissance du CA)</t>
  </si>
  <si>
    <t>2022 (croissance du CA)</t>
  </si>
  <si>
    <t>Dynamique</t>
  </si>
  <si>
    <t>FCF2021</t>
  </si>
  <si>
    <t>FCF Yield</t>
  </si>
  <si>
    <t>5-6%</t>
  </si>
  <si>
    <t>+</t>
  </si>
  <si>
    <t>Autres</t>
  </si>
  <si>
    <t>--</t>
  </si>
  <si>
    <t>++</t>
  </si>
  <si>
    <t>Equipementiers</t>
  </si>
  <si>
    <t>Croissance lente</t>
  </si>
  <si>
    <t>+++</t>
  </si>
  <si>
    <t>Très élevée</t>
  </si>
  <si>
    <t>Croissance moyenne à forte</t>
  </si>
  <si>
    <t>Baisse lente</t>
  </si>
  <si>
    <t>Très forte à Disruption</t>
  </si>
  <si>
    <t>3-5%</t>
  </si>
  <si>
    <t>Moyenne - Élevée</t>
  </si>
  <si>
    <t>Croissance moyenne</t>
  </si>
  <si>
    <t>Croissante lente</t>
  </si>
  <si>
    <t xml:space="preserve">Unibail </t>
  </si>
  <si>
    <t>Logiciels et Technologie</t>
  </si>
  <si>
    <t>Croissance très forte</t>
  </si>
  <si>
    <t>Finance</t>
  </si>
  <si>
    <t>Assurance</t>
  </si>
  <si>
    <t>Transport</t>
  </si>
  <si>
    <t>Très forte</t>
  </si>
  <si>
    <t>Faurecia</t>
  </si>
  <si>
    <t>Compagnie aérienne</t>
  </si>
  <si>
    <t>sociétés</t>
  </si>
  <si>
    <t>Gaz industriel</t>
  </si>
  <si>
    <t>Élevée</t>
  </si>
  <si>
    <t>secteurs</t>
  </si>
  <si>
    <t>3-6%</t>
  </si>
  <si>
    <t>pays</t>
  </si>
  <si>
    <t>OPA</t>
  </si>
  <si>
    <t>Croissance forte</t>
  </si>
  <si>
    <t>300 sociétés suivis au quotidien (via smartphone)</t>
  </si>
  <si>
    <t xml:space="preserve">Siemens Healthineers </t>
  </si>
  <si>
    <t>=</t>
  </si>
  <si>
    <t>ZODIAC</t>
  </si>
  <si>
    <t>investissement passé sans intérêt aujourd'hui</t>
  </si>
  <si>
    <t>Dior</t>
  </si>
  <si>
    <t>étude d'avril 2017</t>
  </si>
  <si>
    <t>Croissance forte et cyclique</t>
  </si>
  <si>
    <t>i</t>
  </si>
  <si>
    <t>5-8%</t>
  </si>
  <si>
    <t>Deere &amp; Co</t>
  </si>
  <si>
    <t>Télécommunications</t>
  </si>
  <si>
    <t>Sortie de la cote</t>
  </si>
  <si>
    <t>p</t>
  </si>
  <si>
    <t>Logiciels réservation voyage</t>
  </si>
  <si>
    <t>Gestion d'actifs</t>
  </si>
  <si>
    <t>EZJ</t>
  </si>
  <si>
    <t>Matières Premières</t>
  </si>
  <si>
    <t xml:space="preserve">Google </t>
  </si>
  <si>
    <t>Sidérurgie</t>
  </si>
  <si>
    <t>Amazon</t>
  </si>
  <si>
    <t>JP Morgan</t>
  </si>
  <si>
    <t>Equipement Technologique</t>
  </si>
  <si>
    <t>2-5%</t>
  </si>
  <si>
    <t>Services informatiques</t>
  </si>
  <si>
    <t>Valo du CAC 40</t>
  </si>
  <si>
    <t xml:space="preserve">Banque </t>
  </si>
  <si>
    <t>Déclin</t>
  </si>
  <si>
    <t>Disruption</t>
  </si>
  <si>
    <t>Dragage</t>
  </si>
  <si>
    <t>Grande distribution</t>
  </si>
  <si>
    <t>Machines</t>
  </si>
  <si>
    <t>Tours télécoms</t>
  </si>
  <si>
    <t>Holding - Conglomérat</t>
  </si>
  <si>
    <t>compte en dollar</t>
  </si>
  <si>
    <t xml:space="preserve">Pneumaticien </t>
  </si>
  <si>
    <t>Logiciels tracking</t>
  </si>
  <si>
    <t>Tracteur</t>
  </si>
  <si>
    <t>Cotation le 29 juin</t>
  </si>
  <si>
    <t>Bourse</t>
  </si>
  <si>
    <t>Ticket Restaurant</t>
  </si>
  <si>
    <t>Electricité</t>
  </si>
  <si>
    <t>Blanchisserie Industrielle</t>
  </si>
  <si>
    <t>Lunettes</t>
  </si>
  <si>
    <t>Fiat chrysler automobiles</t>
  </si>
  <si>
    <t>Fusion avec Peugeot</t>
  </si>
  <si>
    <t>Équipementier automobile</t>
  </si>
  <si>
    <t>Fabricants de matériels</t>
  </si>
  <si>
    <t>Bureaux d'étude</t>
  </si>
  <si>
    <t>Fabricant de nacelles</t>
  </si>
  <si>
    <t>Minéraux pour l'industrie</t>
  </si>
  <si>
    <t>Solutions de paiement</t>
  </si>
  <si>
    <t>Laboratoires pharmaceutique</t>
  </si>
  <si>
    <t>Signaletique</t>
  </si>
  <si>
    <t>Croissance</t>
  </si>
  <si>
    <t>Cimentier</t>
  </si>
  <si>
    <t>Fusion avec Holcim</t>
  </si>
  <si>
    <t>Matériels électriques</t>
  </si>
  <si>
    <t>Industrie de pointe</t>
  </si>
  <si>
    <t>Fermes éoliennes &amp; solaires</t>
  </si>
  <si>
    <t>Fabricant de câbles</t>
  </si>
  <si>
    <t>Fabricant d'éoliennes</t>
  </si>
  <si>
    <t>Conception processeur</t>
  </si>
  <si>
    <t>Magasin pour enfant</t>
  </si>
  <si>
    <t>Technologie santé</t>
  </si>
  <si>
    <t>Location d'entrepot de logistique</t>
  </si>
  <si>
    <t>Chaussures</t>
  </si>
  <si>
    <t>Vêtements - Mode</t>
  </si>
  <si>
    <t>Service d'investissement</t>
  </si>
  <si>
    <t>Réassurance</t>
  </si>
  <si>
    <t>Appareils médical</t>
  </si>
  <si>
    <t>Fabricant de lampes</t>
  </si>
  <si>
    <t>Installateur industriel</t>
  </si>
  <si>
    <t>Steria</t>
  </si>
  <si>
    <t>Fusion SOPRA STERIA</t>
  </si>
  <si>
    <t>Environnement</t>
  </si>
  <si>
    <t>Utilities</t>
  </si>
  <si>
    <t>Fabricant de montres</t>
  </si>
  <si>
    <t>Fabricant de parquets/ carrelage</t>
  </si>
  <si>
    <t>Service internet et mobile</t>
  </si>
  <si>
    <t>Média - Télévision</t>
  </si>
  <si>
    <t>Luxe-Chaussure</t>
  </si>
  <si>
    <t>Pétrolier</t>
  </si>
  <si>
    <t>Camping-car</t>
  </si>
  <si>
    <t>Problème cours automatique</t>
  </si>
  <si>
    <t xml:space="preserve">Varian </t>
  </si>
  <si>
    <t>Équipement médical</t>
  </si>
  <si>
    <t>Services aux collectivités</t>
  </si>
  <si>
    <t>Industrie - Verre</t>
  </si>
  <si>
    <t>Analysée
1 = Oui
0 = Non</t>
  </si>
  <si>
    <t>Personnalisé</t>
  </si>
  <si>
    <t>Electrical Utilities &amp; IPPs</t>
  </si>
  <si>
    <t>Oil &amp; Gas Related Equipment and Services</t>
  </si>
  <si>
    <t>Oil &amp; Gas</t>
  </si>
  <si>
    <t>Renewable Energy</t>
  </si>
  <si>
    <t xml:space="preserve">Taille du marché : </t>
  </si>
  <si>
    <t>6 000 clients dans 40 pays</t>
  </si>
  <si>
    <t>1727 matières premières naturelles sourcées dans 60 pays. 31 sites industriels, 14 centres de R&amp;D et 80 implantations commerciales, Possède des terres en Espagne (environ 180 hectares) et en Afrique (environ 57 hectares)</t>
  </si>
  <si>
    <t>Dirigeants : Jean-Yves Parisot (1964) PDG</t>
  </si>
  <si>
    <t>Activités : Parfums, soin du visage, maquillage, luxe</t>
  </si>
  <si>
    <t>Marché des soins : 75% les femmes et 25% hommes</t>
  </si>
  <si>
    <t>2023 : rachat d'Aesop pour un montant de 2,3 Mds d'euros (CA : 537 M de dollars)</t>
  </si>
  <si>
    <t>2024 : prend une participation de 10% dans Galderma en Suisse, spécialiste de l'esthétique injectable. Contrecoup Covid dans les cosmétiques</t>
  </si>
  <si>
    <t xml:space="preserve">Minoritaires : &lt;1% </t>
  </si>
  <si>
    <t>Perspectives du secteur : 4 à 5% de croissance par an (passerait de 280 à 380 Mds d'euros)</t>
  </si>
  <si>
    <t>1996 : rachat de Maybelline 508 M dollars</t>
  </si>
  <si>
    <t>2008 : rachat de Yves Saint Laurent beauté 1,15 Md euros</t>
  </si>
  <si>
    <t>2016 : rachat d'IT cosmetics pour 1,2 Mds de dollars et</t>
  </si>
  <si>
    <t>2017 : rachat de Cerave dermatologie pour 1,3 Md dollars</t>
  </si>
  <si>
    <t xml:space="preserve">CEO : Nicolas Hieronimus (1963) depuis le 1/5/2021, entrée en 1987, Agon (maintenant président du CA) a dirigé dans les années 2010. Lindsay Owen-Jones dans les années 2000 </t>
  </si>
  <si>
    <t>Géographie : Europe : 40%, Etats-Unis : 24%, Asie : 21%, Reste du Monde : 15%</t>
  </si>
  <si>
    <t>Perspectives : 5 à 7% de croissance d'ici 2028 et 20 à 23% en marge sur EBE. Extension du système plus difficile pays par pays</t>
  </si>
  <si>
    <t xml:space="preserve">E = 1 </t>
  </si>
  <si>
    <t>Intensité capitalistique : 1,06 (en amélioration)</t>
  </si>
  <si>
    <t>Goodwill : 1,18 Md euros (18% du total bilan et 43% des fonds propres)</t>
  </si>
  <si>
    <t>R&amp;D : 20% du CA</t>
  </si>
  <si>
    <t>Intensité capitalistique : 1,18 (1,34 en 2014)</t>
  </si>
  <si>
    <t>Intensité capitalistique : 2,9</t>
  </si>
  <si>
    <t>Goodwill : 6,7 Md euros (18,6% du bilan et 58% des fonds propres)</t>
  </si>
  <si>
    <t>1995 : changement de la stratégie de vente de parfums de masse à la conception et vente de parfums avec l'exploitation d'une licence de marque de luxe</t>
  </si>
  <si>
    <t>Four électrique (300 000 bouteilles jour) inauguré à Cognac, deux ans de conception, deux ans de travaux et 57 M euros d'investissement. Réduction des émissions de Co2 de 60%. 35 usines et 63 fours dans le Monde. Décarbonation d'ici 2040 : 63 fours à 60 Meuros coût 3,6 Md euros</t>
  </si>
  <si>
    <t>Rémy Cointreau</t>
  </si>
  <si>
    <t>Cognac : 72%, Liqueurs et Spiritueux : 25%, Autres : 3%</t>
  </si>
  <si>
    <t>Goodwill : 512 M euros (17% du bilan et 25% des fonds propres)</t>
  </si>
  <si>
    <t>Trésorerie : 100 M euros (1 mois de CA). Frais financiers : 40 M euros (3% du CA)</t>
  </si>
  <si>
    <t>2017 : Acquisition dans le whisky</t>
  </si>
  <si>
    <t>Intensité capitalistique : 2,2</t>
  </si>
  <si>
    <t>Minoritaires : &lt; 1%</t>
  </si>
  <si>
    <t>1990 : Rapprochement Rémy Cointreau et Rémy Martin</t>
  </si>
  <si>
    <t>CAGR 2000-2018 : +7,5%</t>
  </si>
  <si>
    <t>Oxygène à destination des acièristes, Azote liquide pour l'industrie agroalimentaire (pour surgeler les aliments), les services de santé et l'industrie spatiale</t>
  </si>
  <si>
    <t>Minoritaires : 4 % (450 Me au bilan sur 19 Md euros et 100 Me de RN sur 2,2 Md euros)</t>
  </si>
  <si>
    <t>1975 : rapprochement entre Pernod et Ricard</t>
  </si>
  <si>
    <t>Actionnaires : Famille Heriard Dubreuil à 57,52%. Flottant : 42,48 %</t>
  </si>
  <si>
    <t>Super Luxe : 0,3% (plusieurs milliers d'euros la bouteille), Luxe 10 % (entre 50 et 500 euros), Premium 30% (entre 20 et 50 euros), Mass Market : 60% (moins de 20 euros)</t>
  </si>
  <si>
    <t>2022 : Ivresse du consommateur, résultats historique, 1,3 Md euros de CA et presque 300 M euros de RN.</t>
  </si>
  <si>
    <t>2020 : Acquisition dans le cognac et du champagne Telmont</t>
  </si>
  <si>
    <t>2011 : Cession du champagne Piper Heidsieck à EPI (Famille Descours)</t>
  </si>
  <si>
    <t>Modèle super player de spiritueux haut de gamme, exporté à 95% principalement vers les États-Unis et la Chine. Vente aux intermédiaires (grossistes et distributeurs) et développement de la vente en ligne (25% du CA du cognac Louis XIII en Chine)</t>
  </si>
  <si>
    <t>Création de Cointreau en 1849 et Rémy Martin en 1724. Rapprochement Rémy Cointreau et Rémy Martin dans les années 90. 3 ème marque mondiale de Cognac</t>
  </si>
  <si>
    <t>Intensité capitalistique : 2,06 (1,5 sur longue période)</t>
  </si>
  <si>
    <t>Propriétaire de 238 ha de vignes dans le cognac. Achète le reste nécessaire. 134 ha de terres à La Barbade pour la canne à sucre pour le Rhum. 15 ha en Écosse pour le Whisky</t>
  </si>
  <si>
    <t>Concurrences : 4 marques &gt;85% PDM : Cognac Martell (Pernod Ricard), Cognac Hennesy (LVMH), Cognac Courvoisier (Suntory) et Champagne (LVMH, Pernod, Diageo)</t>
  </si>
  <si>
    <t>2023 : contre-coup de l'excès Covid, normalisation des ventes</t>
  </si>
  <si>
    <t>Stocks : 2 Md euros (1,5 année de Chiffre d'Affaires, 100% des fonds propres et 58% bilan) mais prend de la valeur dans le temps</t>
  </si>
  <si>
    <t>Contentieux : aucun</t>
  </si>
  <si>
    <t>Trésorerie : un mois et demi de CA. Frais financiers : 0</t>
  </si>
  <si>
    <t>Actionnaires : Famille Bettencourt pour 34,73% et Nestlé pour 20,13%</t>
  </si>
  <si>
    <t>Goodwill : 25% du bilan et 45% des fonds propres</t>
  </si>
  <si>
    <t>Dans le segment du luxe : Cartier, Rolex, Audemars Piguet et Omega (du groupe Swatch) ont plus de 50% de part de marché</t>
  </si>
  <si>
    <t>Issue de la fusion de Fougerolle et SAE en 1993. Présent dans la construction, concession (APRR, depuis 2006, Est de la France acheté pour 5,4 Md euros) et énergie système</t>
  </si>
  <si>
    <t xml:space="preserve">Actionnaires : salariés 17%. Flottant : 83% </t>
  </si>
  <si>
    <t xml:space="preserve">2016 : février augmentation de capital à 2,5 euros. Fort redressement de l'activité et des comptes. Amélioration à venir sur l'activité, les coûts et les intérêts (ils ont renoncé aux dividendes pour repasser Investment Grade). Cyclique </t>
  </si>
  <si>
    <t xml:space="preserve">A subi de plein fouet le ralentissement en 2019, moins 5% de chiffre d'affaires , EBE divisé par deux et pertes de 2,2 Md euros. Dettes 9 Md euros </t>
  </si>
  <si>
    <t>Présent dans 50 pays avec 147 sociétés juridiques. Asie : 60% du CA (en 2019) et Chine plus de 40% en 2020 (à suivre une fois la situation normalisée)</t>
  </si>
  <si>
    <t>Intensité capitalistique : 1,4 (contre 1,3 en 2016)</t>
  </si>
  <si>
    <t>Trésorerie : 1,43 Md CHF (2 mois de CA). Produits financiers positif</t>
  </si>
  <si>
    <t>Stock : 7,7 Md CHF (1 an de CA)</t>
  </si>
  <si>
    <t>2021: boom de la consommation d'alcool et de l'activité liée au covid</t>
  </si>
  <si>
    <t>R&amp;D : 343 M euros (16,6% du CA)</t>
  </si>
  <si>
    <t>Intensité capitalistique : 1,14 (contre 0,62 en 2023 lié aux acquisitions)</t>
  </si>
  <si>
    <t>Répartition géographique : 28,3% Europe, 25,7% Amérique du Nord et 46% Asie - Océanie (dont Chine 26%)</t>
  </si>
  <si>
    <t>2024 : baisse d'activité et de marge dès avril, retour de la croissance timide 2025 avec des nouveaux produits et légère amélioration de marge. Retour de la marge d'exploitation à 20% à terme</t>
  </si>
  <si>
    <t>2023 : acquisition de DORC à Eurazeo, 5x le chiffre d'affaires (1 Md euros pour 200 M euros de CA soit 10% de CA en plus représentant 20% de sa capi). DORC est une plateforme de chirurgie ophtalmique de premier plan et à forte croissance</t>
  </si>
  <si>
    <t>Répartition par métiers : Ophtalmologie 75% (marge 14% tobé à 7% en 2024), Microchirurgie 25% (marge 25% tombé à 20% en 2024). Équipement : 52,8% et 47,2% en revenu récurrent</t>
  </si>
  <si>
    <t xml:space="preserve">Actionnaire : 59,1% détenu par Zeiss Group (1846). Flottant : 40,9% </t>
  </si>
  <si>
    <t>Goodwill : 416 M euros (13,7% du bilan et 19,1% des fonds propres)</t>
  </si>
  <si>
    <t xml:space="preserve">Trésorerie : </t>
  </si>
  <si>
    <t>Stratégie d'acquisition de taille modeste et à haute valeur ajoutée</t>
  </si>
  <si>
    <t>Marché mondial (320 compagnies à l'IATA) de 5,2 Md de passagers en 2025, 1000 Md $ de revenus (380 $ le billet d'avion) et 34 Md $ de résultat (3% de marge nette). États-Unis : 40%, Europe : 35% Asie : 9% et MO : 16%. EZJ : 1% de pdm et 1,9% du résultat</t>
  </si>
  <si>
    <t>Perspectives 2028 : croissance entre 7-9% par an soit entre 31% et 41% en cumulé. Progression d'autant du Rex à 6,5 Md euros. Progression possible d'autant de la valeur économique (pas de hausse du multiple si pas de hausse de marge)</t>
  </si>
  <si>
    <t>Programme de rachat d'actions pour 1,5 Md euros en 2023 et 450 M euros en 2024. Dette nette divisée par 3, lié à des avances clients pour atteindre 425 Me</t>
  </si>
  <si>
    <t>2022 : prévisions : CA de 18 Mds avec 1136 Moteurs LEAP et une Marge de 2,3 Mds (13 %). 160 M d'euros de dépréciations lié à la Russie</t>
  </si>
  <si>
    <t>2023 : 1 570 moteurs LEAP livrés. FCF proche du RN .Maintenance haute</t>
  </si>
  <si>
    <t>Avions d'affaires : 29 000 dans le Monde et 48 230 avions d'ici 2043. 34500 avions en commande sur 20 ans en 2024. Hélicoptères : 50 000 dans le Monde</t>
  </si>
  <si>
    <t>Marge par activité : Propulsion Aeoronautique (20 % soit 65% du rex groupe), Equipement &amp; Défense (15%) et Aircraft (0 à 5 %), l'acquisition de Zodiac ne semble pas avoir été profitable</t>
  </si>
  <si>
    <t xml:space="preserve">Présent dans les secteurs de l'aéronautique, de la chimie, de l'industrie de procédés (difficile) et les énergies renouvelables, l'électronique, le transport vert (plus favorable). Marché porteur : 25% du CA </t>
  </si>
  <si>
    <t>2023 : augmentation de capital de 100 M euros à 28 euros (3,57 Millions de titres) pour financer la croissance des marchés : 400 M euros à investir, véhicule électrique (hausse des capacités de production) et le solaire</t>
  </si>
  <si>
    <t>Trésorerie : 7,6 Md $ (3,5 mois de CA)</t>
  </si>
  <si>
    <t>Goodwill : 12,8 Md $ (42% du bilan et 86% des fonds propres)</t>
  </si>
  <si>
    <t>2024 : croissance du CA autour de 10%, la marge haute ne progresse. L'excédent part en rachat d'actions</t>
  </si>
  <si>
    <t>2023 : Adobe System annule le rachat de Figma pour 20 Md $</t>
  </si>
  <si>
    <t>Minoritaire : 0%</t>
  </si>
  <si>
    <t>Shantanu Narayen (PDG). John Warnock (Co-fondateur et ancien PDG), Frank Calderoni (Lead director)</t>
  </si>
  <si>
    <t>Pay-out ratio : 0%. Rachat d'actions important</t>
  </si>
  <si>
    <t>Intensité capitalistique : 0,49 (en amélioration autour de 1 en 2015-2016)</t>
  </si>
  <si>
    <t>FR0000039091</t>
  </si>
  <si>
    <t>Jean-Yves Parisot</t>
  </si>
  <si>
    <t>Jérôme Bruhat</t>
  </si>
  <si>
    <t>Eric Vallat</t>
  </si>
  <si>
    <t>Kenton Jarvis</t>
  </si>
  <si>
    <t>Jean-Baptiste Choimet</t>
  </si>
  <si>
    <t>Philippe Bénacin</t>
  </si>
  <si>
    <t>Jean-Charles Douin</t>
  </si>
  <si>
    <t xml:space="preserve">Ola Källenius </t>
  </si>
  <si>
    <t>Goodwill : 367,5 M euros (12% du bilan et 19% fonds propres)</t>
  </si>
  <si>
    <t>Actionnaire : Famille Feuillet (72 et 73 ans), 57,9%, Flottant 42,1%</t>
  </si>
  <si>
    <t xml:space="preserve">Minoritaires : </t>
  </si>
  <si>
    <t>Dirigeant : Luca de Meo CEO, Jean Dominique Senart Président du CA</t>
  </si>
  <si>
    <t>Actionnaires : 15% État Français, 15% Nissan, 5% Salariés. Flottant : 65%</t>
  </si>
  <si>
    <t>2020 : 2,9 millions de véhicule vendus. 170 158 salariés dont (dont 44 415 avec Avtovaz en Russie)</t>
  </si>
  <si>
    <t>2022 : sortie de la Russie (Avtovaz) contribution de Nissan aux résultats : 726 M euros</t>
  </si>
  <si>
    <t>2023 : 2 millions de véhicules vendus, redressement des comptes. Contribution de Nissan aux résultats : 797 M euros (Participation de Nissan : 15,6 Md euros). Débouclement en cours du partenariat et de la participation croisée</t>
  </si>
  <si>
    <t>1er sur le véhicule éléctrique, sortie de la R5 électrique à moins de 30 K euros en 2024</t>
  </si>
  <si>
    <t xml:space="preserve">Trésorerie : 261 M euros (3 semaines de CA). Frais financiers : 1 M euro </t>
  </si>
  <si>
    <t>1984 : vente des premiers camping-cars avec Chausson</t>
  </si>
  <si>
    <t>2019 : 3,34 millions de véhicules vendus</t>
  </si>
  <si>
    <t>Dirigeants Ola Källenius (1969 - Suédo - allemand) depuis 2020. PDG depuis 2021</t>
  </si>
  <si>
    <t>2017 : ils ont installé la plus grande unité de stockage électrique éolien au monde en partenariat avec Tesla, ce qui explique leur forte présence en Australie.</t>
  </si>
  <si>
    <t>2020 : répartition de la dette : 11 % à - 1 an,  23 % entre 1 et 5 ans, 65 % + de 5 ans ; 37 % Taux Fixe, 59 % Taux variable. Couverture de 75 % sur les taux variables</t>
  </si>
  <si>
    <t>2021 : programmes de développement important de 4-5 Gw sur les grandes zones géographiques. Portefeuille à 13 Gw au 30/6/21. Charges financières à 100 Meuros (25% du CA)</t>
  </si>
  <si>
    <t>2022 : au S1,  Hausse du CA + 36 %, portefeuille sécurisé de 6,2 Gw, portefeuille complet de 17,3 Gw</t>
  </si>
  <si>
    <t>2023 : annonce des besoins en capitaux supérieurs à leur objectifs 6,2 Mds au lieu de 5,3 Mds. Hausse de capital de 750 Me à 20 euros (parité 8 pour 25), Impala suit à 75%. 10 GW en 2025 et 600 Me d'EBE puis 2GW par an pour atteindre 20 GW en 2030</t>
  </si>
  <si>
    <t>2018 : acquisition de Ægide-Domitys et norme IFRS 16 (810 Millions d'€) ont augmenté le poids de la dette de 1,2 Md euros</t>
  </si>
  <si>
    <t>2020 : répartition géographique de l'activité  France (98 %) International 2 % (Allemagne, Belgique, Italie, Pologne, Portugal, Suisse)</t>
  </si>
  <si>
    <t>2020 : particulier : ventes de 21 077 lots pour 4,515 Md euros (soit 214 K euros par lot) et immobilier d'entreprise : 500 M euros . Marché en transformation sur lequel souhaite rester Nexity</t>
  </si>
  <si>
    <t xml:space="preserve">2021 : niveau d'activité en hausse avec près de 21000 logements neufs (tendance des dernières) et le rebond des services (+11%) </t>
  </si>
  <si>
    <t>2021 : cash flow libre négatif du fait du retournement d'activité entre 2021 et 2020 (année Covid-19)</t>
  </si>
  <si>
    <t>2022 : anticipation d'un fort repli de 20 % des ventes sur le marché du Neuf</t>
  </si>
  <si>
    <t>2023 : la baisse d'activité s'accélère. Sortie de la Pologne pour 100 Me =&gt; désendettement. Recentrage sur la France. Oceane 2028 de 240 Me pouvant porter le nombre de titres à 60 M</t>
  </si>
  <si>
    <t>Le stockage de données permet de connaître tout sur tous les sujets depuis l'histoire du Monde et dans toutes les langues. La vitesse des puces va permettre de répondre à toute les questions, situation et entraîner la machine à répondre à de multiples problèmes, situations</t>
  </si>
  <si>
    <t xml:space="preserve">2014 : introduction en bourse en juin à 18 euros soit une valeur d'entreprise de 1,9 Md euros avec une levée de fonds de 620 M euros pour se désendetter. </t>
  </si>
  <si>
    <t>2010 : la structure était détenue par les fonds TPG et Goldman Sachs (valeur d'entreprise : 1,2 Md euros).</t>
  </si>
  <si>
    <t>2019 : Free cash flow : 110 Me en 2019 (proche de 50% de l'EBE les bonnes années)</t>
  </si>
  <si>
    <t>2017 : croissance des besoins et développement sur les pays émergents : acquisition au Brésil (Hypermarcas pour Bébés et Adultes) en mars pour 286 M euros d'euros (4 ème marché mondial) et 346 M euros de CA (EBE de 15 Me en 2017)</t>
  </si>
  <si>
    <t>Position incontournable dans le finance américaine</t>
  </si>
  <si>
    <t>Babycare : 56% du CA, Femme : 10% et Adulte : 34%. Produits pour la grande distribution (48%) et marque Ontex (52%). Autres clients : pharmacie et maison de retraite</t>
  </si>
  <si>
    <t>Potentiel sur les émergents et constrcution. Marché mature / renouvellement en Europe et aux États-Unis</t>
  </si>
  <si>
    <t>Directeur Général : Eric Vallat (1970) et Marie-Amélie Deleusse fille de Dominique Heriard Dubreuil, Présidente du CA</t>
  </si>
  <si>
    <t>2021 : fort rebond à la sortie du Covid, progression d'activité et résultats records</t>
  </si>
  <si>
    <t>Fondée en 1923, fournisseur automobile français qui s'est transformé depuis 2009 vers l'électrification de la voiture, l'automatisation et la digitalisation</t>
  </si>
  <si>
    <t>2008 : en fin d'année, capitalisation boursière la plus basse fin : 800 M euros soit 10% du CA et 61 % de l'actif net. Endettement sous contrôle pas d'augmentation de capital</t>
  </si>
  <si>
    <t>Intensité capitalistique : 0,36</t>
  </si>
  <si>
    <t>Goodwill : 3,09 Md euros (14,3% du bilan et 85% des fonds propres)</t>
  </si>
  <si>
    <t>Remboursement de la dette entre 600 et 700 M euros par an jusqu'en 2028. Coût des nouvelles lignes 5,875 % en 2024 et coût de l'endettement financier 1% du CA (50% du RN)</t>
  </si>
  <si>
    <t xml:space="preserve">CA : presque 100% en Europe. 27,8% France, 24,5% Allemagne, 12,4% Angleterre, 6,4% Italie, 6,3% Espagne, 4,6% Belgique, 2,9% Suède, 2,7% Pays-Bas, 1,8% Norvège, 10,6% reste du monde. Présent dans 14 pays </t>
  </si>
  <si>
    <t xml:space="preserve">Président du directoire : Stéphane Gigou (1972) depuis le 30/09/2020. Il est arrivé chez Trigano le 1er juillet 2020. DG : Michel Freich (1960), il a rejoint Trigano en 1988 (2000 actions). </t>
  </si>
  <si>
    <t>Investissement : 60,8 M euros (1,5% du CA)</t>
  </si>
  <si>
    <t>2024 : Prix d'un camping-car : proche des 70 K euros en 2024 contre 50 K euros en 2020. Acquisition de BIO Habitat, Mobil Home pour camping, 900 salariés, 319,6 M euros de CA, 7 sites en France et Italie</t>
  </si>
  <si>
    <t>CAGR de 2015 à 2024 : 13,8%</t>
  </si>
  <si>
    <t>Intensité capitalistique : 0,5 (0,37 en 2015)</t>
  </si>
  <si>
    <t xml:space="preserve">Clientèle de 55 ans à 65 ans aisée. Profite de l'engouement des retraités pour le camping-car depuis 10-15 ans. N'accompagne pas sa clientèle longtemps mais augmentation continue de cettre tranche d'âge. </t>
  </si>
  <si>
    <t>70 marques avec 7 acteurs en Europe. Fournisseur de la plaque roulante : Stellantis (leader)</t>
  </si>
  <si>
    <t>2022 : baisse des volumes avec l'inflation, les problèmes de la chaîne d'approvisionnement mais hausse des prix et des marges</t>
  </si>
  <si>
    <t>2022 : forte croissance du CA + 25%. Possède 5 fours en Russie et 2 Fours en Ukraine sur un total de 58 Fours, Réduction de l'endettement entre 2021 et 2022</t>
  </si>
  <si>
    <t>Répartition des ventes : 36% Vins tranquilles, 12% Vins Pétillants, 12% Spiritieux, 13% Bières, 11% Boissons non alcoolisées, Produits alimentaires 16%</t>
  </si>
  <si>
    <t>Présent dans 12 pays. Europe : 90% du CA et en Amérique du Sud : 10% du CA. Clients : Pernod Ricard, Rémy Cointreau, Diageo, Moet-Hennessy</t>
  </si>
  <si>
    <t>Capgemini (Altran) CA 3 Md euros en 2019 achat 3,6Mds euros</t>
  </si>
  <si>
    <t>Adecco (Akka) CA 1,5 Md s euros en 2021 achat 2 Mds euros en 2022</t>
  </si>
  <si>
    <t>Randstad (Ausy) CA 394M euros en 2015 achat 284,6M euros</t>
  </si>
  <si>
    <t>Actionnaire : Fondateurs : 14,73% (25,6% des droits de vote) - Salariés : 1,91% - Auto-détention : 1,31%. Public : 82,05% / Simon Azoulay - Président du CA : 4,67%</t>
  </si>
  <si>
    <t>Leader mondial présent dans 30 pays en Europe, aux États-Unis et en Asie. 65% de l'activité à l'international. 78% en Europe</t>
  </si>
  <si>
    <t>Luca de Meo</t>
  </si>
  <si>
    <t>Prévision croissance annuelle : 3% par an jusqu'en 2032 (source : Global market Inside à vérifier)</t>
  </si>
  <si>
    <t>Vente totale de véhicules de loisirs</t>
  </si>
  <si>
    <t>2020 : 55 000 véhicules (Véhicules de loisirs : Camping-cars 75 %, Caravanes et Résidences mobiles)</t>
  </si>
  <si>
    <t>CA : 94,5% véhicules de loisirs dont 75 % de camping-cars. Le reste remorque, équipement de jardin et matériel de camping</t>
  </si>
  <si>
    <t>guerbet</t>
  </si>
  <si>
    <t xml:space="preserve">Entreprise bien géré, un des leaders mondiaux présent dans 80 pays, 31 filiales et quatre centre de recherche (60 M euros par an). </t>
  </si>
  <si>
    <t>Le marché en 2022 est de 75 Md euros, ralentit en 2023 baisse de -1% sur le petit électroménager et -5% sur le gros électroménager retour vers un niveau pré-COVID</t>
  </si>
  <si>
    <t>Racheté par Noble Corp. 15,5$ en 2024</t>
  </si>
  <si>
    <t>Intensité capitalistique : 0,7 (stable)</t>
  </si>
  <si>
    <t>Goodwill : 293 M euros (4,56% du bilan et 17,3% du bilan)</t>
  </si>
  <si>
    <t>Trésorerie : 1,1 Md euros (à peine deux mois de CA) et 80% de la dette nette. Charges financières : 72 M euros (1% du CA)</t>
  </si>
  <si>
    <t>2023 : 500 M euros d'exceptionnel négatif (Russie)</t>
  </si>
  <si>
    <t>500 M euros d'exceptionnel négatif</t>
  </si>
  <si>
    <t>Intensité capitalistique : 1,42 (en légère dégradation à 1 il y a 10 ans)</t>
  </si>
  <si>
    <t>Goodwill : 14,2 Md (29,4% du bilan et 58% des fonds propres)</t>
  </si>
  <si>
    <t>Sika</t>
  </si>
  <si>
    <t>Trésorerie 1,4 Md (3 semaine de CA et 13% de la dette brute). Charges financières à 265 M (1% du CA)</t>
  </si>
  <si>
    <r>
      <t>La part de l'hydrogène représente 2 Md euros de CA soit environ 8,6%. Environ 14 Mds de M</t>
    </r>
    <r>
      <rPr>
        <sz val="8"/>
        <color theme="1"/>
        <rFont val="Quicksand"/>
        <family val="1"/>
        <charset val="128"/>
        <scheme val="minor"/>
      </rPr>
      <t xml:space="preserve">3 </t>
    </r>
    <r>
      <rPr>
        <sz val="12"/>
        <color theme="1"/>
        <rFont val="Quicksand"/>
        <family val="1"/>
        <charset val="128"/>
        <scheme val="minor"/>
      </rPr>
      <t>alimenterait 10 M de véhicule à hydrogène.</t>
    </r>
  </si>
  <si>
    <t>Investissement de 8 Md euros d'ici 2035 pour une capacité d'électrolyse de 3 GW.</t>
  </si>
  <si>
    <t>CEO : David Hale (1968) depuis le 1/1/2020 (ancien Chief Commercial Officer) membre du comex depuis février 2018. Il a remplacé Lépine (2011 - 2019) qui avait remplacé Bernard Massiot, membre de la famille, décédé subitement en 2011</t>
  </si>
  <si>
    <t xml:space="preserve">R&amp;D : 4,3% </t>
  </si>
  <si>
    <t>Dette de financement des ventes : 54 Mds. Une année de CA</t>
  </si>
  <si>
    <t>2016 : août, point bas sur le titre atteint à 250 CHF soit 6,6 fois VE / EBE. Premier semestre 2017 en hausse  de 1,2% à 3,759 Md CHF</t>
  </si>
  <si>
    <t>Fermeture de magasins notamment à Hong Kong</t>
  </si>
  <si>
    <t>2018, mise en bourse PUMA, les actionnaires de Kering deviennent actionnaire de PUMA = &gt; Kering détiendra 15,85% et Artemis autour de 28%</t>
  </si>
  <si>
    <t>Résultats exceptionnels. Comparaison 2018-2017 : sortie de PUMA. Variation de FP 2018 : sortie de PUMA</t>
  </si>
  <si>
    <t>Départ d'Elie Girard le 20 octobre remplacé par Rodolphe Belmer d'Eutelsat. CA au 3T21 stable et coût de la réorganisation : 450 M euros au 1 S 21. Covenant à 2,5 fois le ratio Dettes/EBO soit 3,125 Md euros  conséquente)</t>
  </si>
  <si>
    <t>2023 : poursuite du développement avec un impact élevé sur les résultats. R&amp;D à 1,9 Md soit 3% du CA</t>
  </si>
  <si>
    <t>Créé en 1968 par Worms et Cie et coté en 1972. Bressler dirigeant de 1992 - 2006 puis Poitrinal 2006-2013 puis Cuvilier jus'en 2020. Tritant depuis 2021</t>
  </si>
  <si>
    <t>BBB / positif</t>
  </si>
  <si>
    <t>R&amp;D</t>
  </si>
  <si>
    <t>Résultat opérationnel des activités pour compte de tiers : 70 M euros peut-être 100 - 120 M euros en vitesse de croisière soit une valeur boursière de 1 Md euros ? (Coût de fonctionnement annuel historique du Holding 60 M euros)</t>
  </si>
  <si>
    <t>Structure d'associés introduite en bourse en 2000</t>
  </si>
  <si>
    <t>8-9 Md euros de profits par an et valorisation à 130 % des fonds propres</t>
  </si>
  <si>
    <t>IPO le 20 juin 2014 à 20 euros</t>
  </si>
  <si>
    <t>Actionnaires : 16,7% Institutionnels et 83,1% Flottant</t>
  </si>
  <si>
    <t>Dirigeants : Thomas Hasler (1965) CEO,  Thierry F. J. Vanlancker (1964) Président CA</t>
  </si>
  <si>
    <t>Répartition du CA par zone géographique : 40% Europe, 30% Etats-Unis, 22% Asie, 8% Reste du monde</t>
  </si>
  <si>
    <t>Pay-out ratio : 43 %</t>
  </si>
  <si>
    <t>2023 : Acquisition de MBCC, 2 Mds de CA, Prix de 5,5 Mds de CHF</t>
  </si>
  <si>
    <t>IS : 21 %</t>
  </si>
  <si>
    <t>Actionnaires : flottant à 94%</t>
  </si>
  <si>
    <t>Goodwill : 2,7 Mds d'euros (35% du Bilan et 76% des fonds propres)</t>
  </si>
  <si>
    <t>Concurrents : Symrise, Firmenich, IFF (International Flavors et Fragrances) et Robertet</t>
  </si>
  <si>
    <t>Goodwill : 31 Md euros (soit 15% du bilan et 38% des fonds propres)</t>
  </si>
  <si>
    <t>Trésorerie : 43 Md euros (soit 2,5 mois de CA)</t>
  </si>
  <si>
    <t>Goodwill : 4,6 Mds (15% des fonds propres, 3,8% du bilan)</t>
  </si>
  <si>
    <t>R&amp;D : 10 Md euros</t>
  </si>
  <si>
    <t>Auto : 70% du CA (2 millions de voitures vendus) et Vans : 11% (447 000 unités vendus) et Mobilité : 19%</t>
  </si>
  <si>
    <t>La dette de 3 Md euros est étalé de 2024 à 2032 à taux fixe de 2%. Coût annuel tout compris : 90 M e revu à 125 M e. Avec les convertibles (380 Me émises en 2022), le total du nombre d'actions monte à 248,5. Pris en compte dans le calcul de l'objectif de cours</t>
  </si>
  <si>
    <t>Actionnaires : famille Bellon : 42,8 % et 60 % des drois de vote. Les actionnaires de Sodexo garde une action Sodexo et reçoivent une action Pluxee (parité 1 pour 1)</t>
  </si>
  <si>
    <t>Répartition par zone géographique : 42% Europe, Amérique Latine : 38%, Reste du Monde : 20% (Inde et Turquie). Présent dans 29 pays</t>
  </si>
  <si>
    <t>500 000 entreprises clientes, 1,7 million de partenaires commerçants et 37 miilions de consommateurs</t>
  </si>
  <si>
    <t>Répartition CA par activité  : 14% issu des placements. La marge progresse de 33% à 35%, objectif 36% en 2026. Flux de trésorerie 70% de l'EBE mais proche 80% et au-dessus du RN</t>
  </si>
  <si>
    <t>Goodwill : 670 M euros (11,3% du bilan mais 28% si on enlève le float du bilan et 152% des fonds propres)</t>
  </si>
  <si>
    <t>CAGR 10 ans (2014-2024) : 8,76%. Croissance organique autour de 6% à 8% grâce à l'innovation et aux besoins d'un diagnostic pour prendre une décision</t>
  </si>
  <si>
    <t xml:space="preserve">2025 : attendue en baisse. Baisse du vaccin Covid, montée lente du vaccin contre la bronchiolite. Vaccin combiné Covid/grippe phase III. Vaccin cancer du mélanome avec Merck, Phase III. Maladies rares, latentes et mal formation du fœtus plus long </t>
  </si>
  <si>
    <t>2025 : cession de murs de 3 immeubles à Paris à Ardian, conserve 40% et récupère 837 M euros (valo : 1,39 Md euros)</t>
  </si>
  <si>
    <t xml:space="preserve">2019 : ils font l'acquisition de Q Certificazioni (société de certification biologique / alimentaire). </t>
  </si>
  <si>
    <t xml:space="preserve">2017 : ils acquierent Primary Integration Solution aux USA pour afin d'étendre l'activités aux data centers. </t>
  </si>
  <si>
    <t>2022 : nomination de Arne Freundt (43 ans) nomination PDG en remplacement de Bjorn Gulden parti chez Adidas. Ancien poste de Arne Freundt : Responsable stratégie monde de Puma, 10 ans d'ancienneté,</t>
  </si>
  <si>
    <t>Objectif 2027 : 8,5% de marge d'exploitation contre 7,1% en 2024</t>
  </si>
  <si>
    <t>2024 : croissance autour de plus 2% moins bien qu'Adidas. Produit de conso difficile, fin de l'euphorie post Covid-19 et du remplacement "chaussure de ville" par "chaussure de sport". Cherche le premium. 300 M euros d'investissement</t>
  </si>
  <si>
    <t>Ralentissement fin 2023 surtout à l'international qui devrait se poursuivre au début 2024 puis rebond sur la seconde partie de l'année finalement année à +1,8%</t>
  </si>
  <si>
    <t>Seb, fabricant d'électroménagers fondé par la famille Lescure et dirigé par Thierry de la Tour d'Artaise (né en 1954) depuis 1999 (échéance du mandat 2026. Possède 546 002 actions (54 M euros)</t>
  </si>
  <si>
    <t xml:space="preserve">Directeur Général  : Stanislas de Gramont </t>
  </si>
  <si>
    <t>IS : 28,5%</t>
  </si>
  <si>
    <t xml:space="preserve">2025 : possible amélioration </t>
  </si>
  <si>
    <t>En Europe, 5 acteurs détiennent 70% du CA. Concurrent américain : Owens Illinois. Concentration du marché et bonne pénétration du verre dans le vin, pétillant (100%), la bière (70%) et les consommateurs (91%). Risque baisse du vin</t>
  </si>
  <si>
    <t>2022 : hausse autour de 3-6% du CA et marge d'exploitation à 10%. L'impact de la Russie en direct est faible à 0,3% du CA, pas d'usines et pas d'effectifs. Excellent résultats 2022, grâce à l'éolien et aux micro-processeurs, 90 M euros d'investissement de prévu</t>
  </si>
  <si>
    <t>Minoritaires : 0,7%</t>
  </si>
  <si>
    <t>2024 : violent contrecoup en Chine, le CA ressort à -15% et le résultats à -70% contre une poursuite de la croissance attendue en Chine et et un impatc des JO favorable à Omega</t>
  </si>
  <si>
    <t>2024 : Dupixent à 13 Md euros, développement du Beyfortus (vaccin contre la bronchiolite des enfants) à 1,7 Md euros et Altuviio (contre l'hémophilie) : 700 M euros. Cession d'Opella (Doliprane, CA de 5,5 Md euros et rex de 1 Md euros) pour 15 Md euros à un fonds CDR.</t>
  </si>
  <si>
    <t>Répartition du CA par activité : Alimentation : 41%, Santé : 29%, Diagnostic : 20%, Consommation : 10%</t>
  </si>
  <si>
    <t>Goodwill : 4,84 Md euros (soit 44% du bilan et 90,7% des fonds propres)</t>
  </si>
  <si>
    <t>Objectif 2027 : 10 Md euros de CA (CAGR : 6,5% par an)</t>
  </si>
  <si>
    <t>Trésorerie : 614 M euros (1 mois de CA) et 127 M euros de frais financiers (1,83 % du CA)</t>
  </si>
  <si>
    <t xml:space="preserve">Intensité capitalistique : 1,3 </t>
  </si>
  <si>
    <t>Actionnaires : L'oréal (7,2% issue de Synthélabo), BlackRock : 6,85%, Salariés : 2,56%, Auto-contrôle : 1,28%. Flottant : 79,96%</t>
  </si>
  <si>
    <t>Président-directeur général Pascal Soriot (1959), il a rejoint l'entreprise en 1986 et occupe le poste de CEO depuis octobre 2012</t>
  </si>
  <si>
    <t>R&amp;D : 7,4 Md euros (18% du CA) entre les 3 grandes divisions : 77% dans les médicaments de prescription, 11% dans les vaccins, 2% dans les produits de santé grand public et 10% dans autre</t>
  </si>
  <si>
    <t>Acquisition de Inhibrx pour 1,9 Md euros, société canadienne dans les maladies rares (Phase 1)</t>
  </si>
  <si>
    <t>Acquisition de Provention Bio dans le diabète pour adultes et enfants (Phase 1) aux États-Unis pour 2,9 Md dollars (dévalué de 215 M euros en 2024)</t>
  </si>
  <si>
    <t>Trésorerie : 7,4 Md euros (2 mois de CA et 50% de la dette brute). Charges financières : 554 M euros (1,35% du CA)</t>
  </si>
  <si>
    <t>Minoritaires : 1% mais partenariat et partage du profit avec Regeneron sur le Dupixent et Astra pour le Beyfortus</t>
  </si>
  <si>
    <t>Répartition par zones géographiques : 51% aux États-Unis,  22% en Europe et 27% reste du Monde (dont 5,6% Chine). 73 sites industriels dans 32 pays. 260 sociétés</t>
  </si>
  <si>
    <t>A - / stable</t>
  </si>
  <si>
    <t>Présent dans 140 pays, filiale dans 43 pays, 350 000 clients et 25 Millions d'utilisateurs</t>
  </si>
  <si>
    <t>CA Logiciels Saas abonnement mensuel : 90,3% (contre 88,1%), logiciels d'optimisation des processus de production et logiciels de conception en 3D destinés aux marchés de la mécanique générale, de l'automobile, de l'aéronautique, des biens de consommation, de l'électricité et de l'électronique, et de la conception d'usines et de la construction navale ;</t>
  </si>
  <si>
    <t xml:space="preserve">2024 : croissance de l'activité : Industrie + 5% (54% du CA logiciel) tiré par l'aéronautique, Santé -1% mieux au 4T (+1%) 20% du CA. Les 20 plus grands labos dans le Monde utilisent Medidata. Les PME </t>
  </si>
  <si>
    <t>Trésorerie : 3,95 Md euros (7,5 mois de CA et 175% de la dette)</t>
  </si>
  <si>
    <t>Goodwill : 4,8 Md euros (31% du bilan et 52% des fonds propres)</t>
  </si>
  <si>
    <t>Répartition géographique : Europe (38%), Amériques (40%) et Asie (22%)</t>
  </si>
  <si>
    <t>CAC : Price et KPMG (changement Ernst pour KPMG)</t>
  </si>
  <si>
    <t>90 % du CA en logiciel (avec 75% de récurrent, 3DExperience 39% du CA logiciel). Passage sur le Cloud (24% du CA logiciel, +7% et + 40% hors Médidata). Prestation : 10%. Hausse du BPA IFRS : +14%</t>
  </si>
  <si>
    <t>Coût du risque : 32 bp. (Belgique : 6 bp, Luxembourg : 1 bp, Italie : 53 bp, Europe Médit : 13bp) Ratio réglementaire : 13,2% Levier : 4,6%. Encours de prêt : 859 Md euros  et dépôt : 988 Md euros plus en dessous . Actif net : 87,6 euros et total bilan : 2 591 Md euros. Dans les chiffres 2023, il n'y a plus Bank of the West par rapport au PNB 2022</t>
  </si>
  <si>
    <t xml:space="preserve">Coût du risque : 33 bp. (Belgique : 5 bp, Luxembourg : 1 bp, Italie : 32 bp, Europe Médit : 73 bp). Ratio réglementaire : 12,9%. Levier : 4,6%. Encours de prêt : 900 Md euros et dépôt : 1 034 Md euros. Actif net : 93,7 euros et total bilan : 2 704 Md euros. </t>
  </si>
  <si>
    <t>Prévision 2025 et 2026 revu à la hausse avec les acquisitions : hausse du PNB de +5%, effect ciseau +1,5%, +7% sur le RN et +8% sur le BPA</t>
  </si>
  <si>
    <t>Pay out : 87%</t>
  </si>
  <si>
    <t>Répartition par zone géographique : 60% Asie, 31% Europe et 9% reste du Monde (Amérique du Nord et Amérique du Sud)</t>
  </si>
  <si>
    <t>2025 : CA attendu au 1S à 400 M euros (180 au 1T) puis rebond à l'été. CAPEX à 50 M euros (contre 63 M euros en 2024)</t>
  </si>
  <si>
    <t>20 nouveaux produits : Robotique, capteur de position, driver pour les serveurs, capteur de pression (véhicule éléctrique), circuit intégré pour la conduite assisté. Cherche à élargir les applications vers l'industrie : robotique, santé numérique, mobilité alternative et monde durable</t>
  </si>
  <si>
    <t>Trésorerie : 32 M euros (un demi mois de CA)</t>
  </si>
  <si>
    <t>R&amp;D : 11,8% en 2024. Autour de 7% du CA (parfois davantage)</t>
  </si>
  <si>
    <t>Fondé en 1989 en Belgique spécialisé dans les semi-conducteurs. Présent dans 12 pays emploi plus de 2000 personnes</t>
  </si>
  <si>
    <t>Intensité capitalistique proche de 1. FCF à 10% du CA</t>
  </si>
  <si>
    <t>Concurrents : St Micro, NXP (Pays-Bas), Melexis, Soitec</t>
  </si>
  <si>
    <t>CEO : Jochen Hanebeck (1968) chez Infineon depuis 1999, CEO depuis 2022 jusqu'en 2027. Avant Reinhard Ploss qui a mené l'acquisition de Cypress</t>
  </si>
  <si>
    <t>2020 : Acquisition de l'américain Cypress (IoT : objets connectés) pour 10 Md de dollars (fondée en 1982, CA : 2,8 Md dollars et RN de 354 M $ en 2018)</t>
  </si>
  <si>
    <t>Europe : 25%, Chine : 36%, Japon : 9%, Asie : 17% (Total Asie : 62%) et Amériques : 13% (dont 11% États-Unis)</t>
  </si>
  <si>
    <t>Minoritaire : non mais</t>
  </si>
  <si>
    <t>Trésorerie : 1,8 Md euros (1,5 mois de CA). Frais financiers : 43 M euros (0,29% du CA)</t>
  </si>
  <si>
    <t>Hybride equity : 1,2 Md euros (7% des fonds propres)</t>
  </si>
  <si>
    <t xml:space="preserve">Issue de Siemens avec une introduction en bourse en 1999. Basée à Neubiberg. </t>
  </si>
  <si>
    <t xml:space="preserve">2025 : amélioration en vue grâce à la partie auto, IA et data centers en ligne, retour vers 3,6 Md euros par trimestre. Dépréciation de la valeur de Cypress de 400 M euros </t>
  </si>
  <si>
    <t xml:space="preserve">Actionnaires : 7,5% BlackRock : 9,5% Retail Investors. Flottant : 83% </t>
  </si>
  <si>
    <t>Acquisition au Brésil financé par augmentation de capital (220,8 M euros à 29,5 euros) et endettement. Finalement pas de dépréciation d'actifs au Brésil les années suivantes. Baisse de la marge d'EBE (de 12,5% à 11,3% suite hausse des prix des matières premières et problème au Brésil)</t>
  </si>
  <si>
    <t>Le prix moyen d'un logement vendu est de 225 000 euros</t>
  </si>
  <si>
    <t>ADP</t>
  </si>
  <si>
    <t>Aéroport</t>
  </si>
  <si>
    <t>Dirigeants : Jen-Hsun Huang (PDG) détient 3,65% du capital, Chris A. Malachowsky (VP), Curtis Priem (Directeur Technique) sont les 3 fondateurs de la société.</t>
  </si>
  <si>
    <t>2024 : normalisation, CA, marge et FCF en hausse. 31 acquistions pour 343 M euros réalisant 225 M euros de CA</t>
  </si>
  <si>
    <t>Goodwill : 4,6 Mds euros (11,5% du bilan et 34 % des fonds propres)  idem en 2018</t>
  </si>
  <si>
    <t>2024 : 380 machines vendus. Pas bcp de clients. Ralentissement de la demande et menace des États-Unis sur la vente potentiel aux Chinois. Carnet de commandes à 18,9 Md euros</t>
  </si>
  <si>
    <t>R&amp;D : 4 Md euros (16% du CA)</t>
  </si>
  <si>
    <t>Pay out : 33%</t>
  </si>
  <si>
    <t>2024 : acquisition d'un immeuble de 10 000 m2 à Manhattan pour 900 M euros et ouverture d'une boutique Gucci sur les Champs-Élysées et à Milan suite à l'acquisition d'un immeuble pour 1 Md euros</t>
  </si>
  <si>
    <t>Intensité capitalistique : 1,4 (moins de 1 en 2021 et 2019)</t>
  </si>
  <si>
    <t>Goodwill : 6,27 Md euros (14,5% du bilan et 42% des fonds propres)</t>
  </si>
  <si>
    <t>Trésorerie : 3,5 Md euros (25% de la dette brute). Frais financiers : 614 M euros (3,6% du CA)</t>
  </si>
  <si>
    <t>Minoritaires : 5,25% (JV sur une maison de Luxe)</t>
  </si>
  <si>
    <t>IS : 27,1%</t>
  </si>
  <si>
    <t>contecoup de l'euphorie post Covid sévère plus durement qu'Hermès et LVMH. Gucci à -24%, YSL en baisse de 8%, Bottega en hausse, autres maisons en perte. Beauté (Creed : 323 M euros de CA) et Lunettes (1,6 Md euros) excellent. L'endettement monte à 10,5 Md euros et bilan un peu dégradé</t>
  </si>
  <si>
    <t>14 marques : Cognac Louis XIII (plusieurs milliers d'euros), Cognac Rémy Martin (plusieurs centaines d'euros), Cointreau, Metaxa (grecque), Mount Gay (Rhum), St Rémy, Les Hautes Glaces (whisky), Belles de Brillet (liqueur), Champagne Telmont</t>
  </si>
  <si>
    <t>Stocks représentant Porhce 75% du CA contre 66% en 2024 (Rémy Cointreau 150%)</t>
  </si>
  <si>
    <t>Trésorerie : 1,96 Md euros et 2 mois de CA (14% de la dette brute). Frais Financiers : 480 M euros (3,4% de la dette brute)</t>
  </si>
  <si>
    <t>Goodwill : 19,33 Md euros (48,6% du bilan et 175% des fonds propres)</t>
  </si>
  <si>
    <t>2025 : baisse de 25% du Cognac en Chine, coût moyen de la dette à 3,4% (480 M euros de charges financières). Possible vente du champagne Mumm (600 Me soit 3 fois le CA)</t>
  </si>
  <si>
    <t>Concurrents : SAP, Oracle, Autodesk, Aveva (Schneider Electric), Microsoft, PTC (aux États-Unis avec les constructeurs auto)</t>
  </si>
  <si>
    <t>  </t>
  </si>
  <si>
    <t>   </t>
  </si>
  <si>
    <t>      </t>
  </si>
  <si>
    <t>                                                                                                                                                                                                                                                                             </t>
  </si>
  <si>
    <t> </t>
  </si>
  <si>
    <t>        </t>
  </si>
  <si>
    <t>                    </t>
  </si>
  <si>
    <t>                                                   </t>
  </si>
  <si>
    <t>Trésorerie : 5,2 Md euros (25% de la dette). Frais financiers : 466 M euros (19,2% du CA) contre 436 M euros (18% du CA) en 2023</t>
  </si>
  <si>
    <t>Goodwill :  806 M euros (1,5% du bilan et 5,1% des fonds propres)</t>
  </si>
  <si>
    <t xml:space="preserve">Intensité capitalistique : 14,7 </t>
  </si>
  <si>
    <t>Foncières cotées de 67 centres commerciaux (85 au plus haut) dans des endroits premium : Paris, Londres, Californie et côte Est des États-Unis. Présent dans 11 pays, Europe et États-Unis : 90% de l'activité. Bureaux et congrès : 10%</t>
  </si>
  <si>
    <t>2020 : actif net comptable à 124 euros et réévalué à 166,8 euros. Frais financiers à 679 M euros par an (Taux d'intérêt : 1,7%). Les frais financiers se rapprochent du résultat d'exploitation</t>
  </si>
  <si>
    <t>2022 : objectif de cession de 4 milliard d'euros d'actifs, dont 2,5 milliard déjà signés.</t>
  </si>
  <si>
    <t>Poursuite de l'amélioration, taux de vacances faibles (4,8%) et JO à Paris sur la partie événementiel. Frais financiers 20% du CA. Ouverture d'Hambourg en avril 2025. Conserve les flagships aux États-Unis (15 dont Prime A : valeur 3 Md euros). 6,4 Md euros de cession en 4 ans. Fin des dépréciations</t>
  </si>
  <si>
    <t>2025 : cible 1 ou 2 Md de dettes en moins par cession. 18 Md de dettes autant que les fonds propres dans 2 ans</t>
  </si>
  <si>
    <t>Minoritaires : 15,7% (3,3 Md euros sur 21 Md euros)</t>
  </si>
  <si>
    <t>Pay out ratio : 35%. Retour en 2023 mais sur les réservers. Dividendes supprimés pour 2020-2021 et 2022. Proche de 80-90% avant la crise de 2020</t>
  </si>
  <si>
    <t>Perspectives 2030 : marge opérationnelle courante de 33% pas sûr avec la baisse du pricing power. Extension du système plus difficile : tous les pays ne sont pas consommateurs</t>
  </si>
  <si>
    <t>DG : Bonnafé (1961, depuis 1/10/2011, échéance 2025 repoussé à 2028. Président du CA : Lemierre</t>
  </si>
  <si>
    <t>2021 : 55 Md euros d'actifs et 23 Md euros de dettes. Les cessions entraîneront des pertes. Actif net au 30 juin réévalué à 164 euros</t>
  </si>
  <si>
    <t>2024 : délai sur l'ouverture d'Hambourg (octobre au lieu d'avril) et surcoût de 600 Me. Activité bonne (+2%), cession 300 Meuros et 1 Md euros en discussion. Tx d'in à 2% sur 24 Mdeuros de dettes brutes plus de 500 Me de charges fin.</t>
  </si>
  <si>
    <t>Introduit en bourse, 20% du capital, en 2013 issu du laboratoire pharmaceutique Pfizer qui a retiré 3,55 Md dollars de fonds propres financé par dettes à l'IPO. Valorisation de l'IPO (20 fois VE/ EBE et 15 fois l'actif net)</t>
  </si>
  <si>
    <t>2025 : croissance prévue de 6 à 8%</t>
  </si>
  <si>
    <t>Produits phares Simparica : contre les tics pour chiens (à avaler), 1,35 Md $ (+28%) et Librela contre l'arthrose pour chiens (injections), 581 M$ (+80%, lancement résussi aux États-Unis)</t>
  </si>
  <si>
    <t>2022 : CA de 8 Md $ et RN de 2,4 Md $ soit 30% de marge nette</t>
  </si>
  <si>
    <t>R&amp; D : 680 M $ (7,4%)</t>
  </si>
  <si>
    <t>IS : 21%</t>
  </si>
  <si>
    <t>2014 : acquisition d'actifs auprès d'Abbot pour 255 M$</t>
  </si>
  <si>
    <t>2015 : acquisition de Pharmaq dans l'Aquaculture pour 765 M$</t>
  </si>
  <si>
    <t>2018 : acquisition d'Abaxis, diagnostic animal pour 1,9 Md$</t>
  </si>
  <si>
    <t>2024 : + 11% de CA (5% en volume et 6% en prix) poursuite de la croissance sur les animaux de compagnie (+10%) plus contrasté sur les animaux de production (-1% aux États-Unis et +8% à l'international). Autorisation dans de nombreux pays</t>
  </si>
  <si>
    <t>Médicaments pour 8 principales catégories : bovins allaitant, bovins laitier, porcs, volailles, poissons (animaux de production) chevaux, chien et chat (animaux de compagnie)</t>
  </si>
  <si>
    <t>États-Unis : 54%. International : 46%. Animaux de compagnie à 80% aux États-Unis, 44% pour l'international. Baisse du CA aux États-Unis sur les animaux de production</t>
  </si>
  <si>
    <t>Structure financière déséquilibrée avec un surendettement suite à l'IPO en 2013 mais en 2021 les résultats exceptionnels permettent aux fonds propres de représenter 30% du bilan avec une dette étalée sur le long terme jusqu'à 2030-2040-2050</t>
  </si>
  <si>
    <t>Intensité capitalistique : 1</t>
  </si>
  <si>
    <t>CEO : Kristin Peck (1971) depuis janvier 2020</t>
  </si>
  <si>
    <t>Pay-out ratio : 60% (1/3 de dividendes et 2/3 de rachat pour 900 M$ en 2023)</t>
  </si>
  <si>
    <t>Sortie de nouveaux : traitement contre les poux pour chiens. Vaccins contre la peste porcine. Chiens &amp; Chats 63% du CA</t>
  </si>
  <si>
    <t>Goodwill : 2,76 Md $ (19,3% du bilan et 55% des fonds propres)</t>
  </si>
  <si>
    <t>CAGR de 6% entre 2012 et 2024. Taille du marché : 48 Md $ en 2023. Entre 75 et 90 Md $ en 2033 (CAGR : entre 4,5% et 6,5%)</t>
  </si>
  <si>
    <t>Trésorerie : 2 Md $ (2,5 mois de CA mensuel et 1/3 de de la dette brute). Frais financiers : 225 M$ (2,4% du CA)</t>
  </si>
  <si>
    <t>Cession de médicaments périphériques pour les animaux de production (30 médicaments, feed, pour 355 M$ à Phibro Animal Health)</t>
  </si>
  <si>
    <t>Leader mondial. Présentation États-Unis - International avec 12 principaux pays (Australie, Brésil, Canada, Chili, Chine, France, Allemagne, Royaume-Uni). Pays d'élevage et pays à forte présence d'animaux de compagnie (Occident)</t>
  </si>
  <si>
    <t>Europe : 39%, États-Unis : 35,6%, Asie : 14,5%, Amérique Latine : 7,1% et Afrique : 3,8%. 80% du CA hors de France</t>
  </si>
  <si>
    <t xml:space="preserve">Data center : 20% du CA, Bâtments de l'industrie : 10%, résidentiels : 35%, non résidentiel (bureaux, hôtels, hopitaux, écoles…) : 35% </t>
  </si>
  <si>
    <t>2001 : fusion ratée avec Schneider, rachat de la société par KKR et Wendel</t>
  </si>
  <si>
    <t>IS  : 25,9%</t>
  </si>
  <si>
    <t>Pay out ratio : proche de 50% (45,7% en 2023 et 50% en 2022)</t>
  </si>
  <si>
    <t>Amende de 43 M euros (entente sur le marché français de 2012 à 2015)</t>
  </si>
  <si>
    <t>Répartition du géographique du CA : Europe : 40%, Amérique du Nord et centrale : 40,1%, Asie Pacifique : 12,1%, Afrique &amp; Moyen Orient : 3,7%, Amérique du Sud : 4,1%</t>
  </si>
  <si>
    <t>2024 : faible croissance dans le bâtiment (+1%), forte dans les Data center (20% du CA), acquisition (8 en 2024 et 410 M euros de CA) sur ce segment pour compléter l'offre comme Power Bus Way (Toronto, activité de bus bar pour Data, 120 personnes, 70 M euros de CA)</t>
  </si>
  <si>
    <t xml:space="preserve">Minoritaires : 0,25% </t>
  </si>
  <si>
    <t>Intensité capitalistique : 1,2 (stable sur 10 ans malgré les acquisitions)</t>
  </si>
  <si>
    <t>2021 : boom post Covid-19</t>
  </si>
  <si>
    <t>2022 : la Russie et l'Ukraine représente 2% de ses ventes, la société va se désengager de la Russie 1,5% des ventes, dépréciation d'actifs de 150 M euros. Au S1 Legrand relève ces objectifs de croissance, lié au pricing power, la gestion de la supply chain</t>
  </si>
  <si>
    <t>CAC : PWC et Deloitte</t>
  </si>
  <si>
    <t>Objectif 2025: entre 6 et 10 % de croissance annuelle, 20% de marge opérationnelle et cash flow libre proche de 13-15% du CA soit 100% du Rn. Stratégie d'acquisition complémentaire "bolt-on " dans les datacenter"</t>
  </si>
  <si>
    <t>Trésorerie : 2,08 Md euros (3 mois de CA et 40% de la dette brute). Frais financiers : 50 M euros (0,6% du CA)</t>
  </si>
  <si>
    <t>Goodwill : 6,9 Md euros (43% du bilan et 91% des fonds propres)</t>
  </si>
  <si>
    <t>R&amp;D : 5% du CA</t>
  </si>
  <si>
    <t>2019 : actif net à 75,7 euros au 2T19 probablement à 78 euros fin 2019. Différence entre l'actif net publié et le comptable les TSDI (titres subordonnées à durée indéterminé)</t>
  </si>
  <si>
    <t>Goodwill : 6,09 Md euros (143% des fonds propres)</t>
  </si>
  <si>
    <t>2024 : belle progression de l'activité avec le clearing et de la marge avec les pleins effets de l'intégration de la bourse italienne. Acquisition d'une partie des activités du Nasdaq Nordic. FCF proche du RN</t>
  </si>
  <si>
    <t>Intensité capitalistique : 3,1 (en dégradation avec les acquisitions, 2 en 2020 et 0,75 en 2014)</t>
  </si>
  <si>
    <t>Trésorerie : 1,67 Md euros (1 an de CA). Produits financiers supérieures aux charges fianncières depuis 2023</t>
  </si>
  <si>
    <t>Dirigé par Stéphane Boujenah (1964) depuis 2015, renouvelé en 2019 et en 2023. Échéance 2027</t>
  </si>
  <si>
    <t>Minoritaires : 4% peu (156 M e sur 4000 M e de fonds propres et 33 Me de résultat net)</t>
  </si>
  <si>
    <t>Goodwill : 3,26 Md euros (24,6% du bilan)</t>
  </si>
  <si>
    <t>Trésorerie : 1,6 Md euros (7 mois de CA et % de la dette brute). Frais financiers : 213 M euros (8% du CA)</t>
  </si>
  <si>
    <t>IS : 31,8%</t>
  </si>
  <si>
    <t>Intensité capitalistique : fonds propres négatifs suite au retrait d'Accor en 2010 lors de l'introduction en bourse</t>
  </si>
  <si>
    <t>Pay-out ratio : 60% (70% en 2022, 67% en 2019, il est monté à 95% - 100% dans les années 2014 - 2015, avant le plan 2016 - 2018)</t>
  </si>
  <si>
    <t>2023 : au mois de mai, acquisition de la société Reward Gateway pour 1,3 Md euros (pour accroitre sa présente au UK, US). RN impacté par l'amende de 158 Meuros</t>
  </si>
  <si>
    <t xml:space="preserve">2024 : problème sur une la filiale italienne avec des soupçons de "trucage" des appels d'offre. Deuxième problème après la condamnation de 2021 pour entente en France. </t>
  </si>
  <si>
    <t>Europe : 61%, Amérique Latine : 29% et Reste du Monde : 10%</t>
  </si>
  <si>
    <t>Trésorerie : 143 M euros (2 mois de CA). Frais financiers : 6,2 M euros (0,77% du CA)</t>
  </si>
  <si>
    <t>Dirigeants : Jérôme Bruhat () depuis juillet 2022 après 30 ans chez L'oréal. Philippe Maubert : président du Conseil d'administration</t>
  </si>
  <si>
    <t xml:space="preserve">Intensité capitalistique : 0,34 en amélioration permanente </t>
  </si>
  <si>
    <t>Trésorerie : 75% du CA annuel</t>
  </si>
  <si>
    <t>Goodwill : 228 M euros (1% du bilan et 1,3% des fonds propres)</t>
  </si>
  <si>
    <t>2024 : nouvelle année exceptionnelle à +17% de croissance dans un secteur en retrait de 1%. Désirabilité forte, prix en hausse avec une marge &gt; 40%</t>
  </si>
  <si>
    <t>Maroquinerie : 42,5%, vêtements : 29%, Soie : 6,2%, Parfums et Beauté : 3,5%, Horlogerie : 3,5%. Autres 15,3%</t>
  </si>
  <si>
    <t>Pay-out ratio : &gt; 50%. Pas de rachat d'actions</t>
  </si>
  <si>
    <t>Trésorerie : 536 M euros (1,6 mois de CA et 30% de la dette). Frais financiers : 72 M euros (1,8% du CA)</t>
  </si>
  <si>
    <t>IS : 24,7%</t>
  </si>
  <si>
    <t>Pay out ratio : 33% (75 M euros de dividendes versés en 2020)</t>
  </si>
  <si>
    <t>IS : 14% (36% en 2023, bcp plus bas avec les pertes à l'avenir)</t>
  </si>
  <si>
    <t>Goodwill : 799,4 M euros (34% du bilan et 88% des FP)</t>
  </si>
  <si>
    <t>Trésorerie : 470 M euros (1,5 mois de CA). Charges financières : 135,3 M euros (3,9% du CA, en 2023 : 119 M euros soit 3,05% du CA</t>
  </si>
  <si>
    <t>Goodwill : 733,5 M euros (15,7% du bilan et 73,6% des fonds propres)</t>
  </si>
  <si>
    <t xml:space="preserve">Pay out : 85%  </t>
  </si>
  <si>
    <t>Intensité capitalistique : 0,8 (stable à léger mieux)</t>
  </si>
  <si>
    <t>Contentieux : Inde et Turquie. Semble limité, pas de montant précisé</t>
  </si>
  <si>
    <t xml:space="preserve">Réseau de 26 aéroports en gestion ou concession : 3 en région parisinenne, 14 exploités par TAV Aiports (groupe turc détenu à 46,12% depuis 2017),  4 exploités par GMR Airports  (groupe Indien détenu à 49% depuis 2020) et 5 en Europe, Moyen Orient, Afrique, Océan indien et Amérique; </t>
  </si>
  <si>
    <t>Exploite via ADP International (détenue à 100%) 150 aéroports dans 50 pays</t>
  </si>
  <si>
    <t>Répartition du CA par métier : Gestion aéroportuaire 63,% (dont France 34 et international 29%). Commerce et services : 32%, immobilier : 5%</t>
  </si>
  <si>
    <t>Répartition du CA par zone géographique : France : 70,4%, Turquie : 9,8%, Kazakhstan : 7,5%, Jordanie : 5%,  Géorgie : 2%. Reste du monde : 5,2%</t>
  </si>
  <si>
    <t>,</t>
  </si>
  <si>
    <t xml:space="preserve">IS : 38% (22,8% en 2023)  </t>
  </si>
  <si>
    <t>2012 : acquisition de 38% de TAV Airports pour 874 M dollars (valorisation de l'ensemble 2,3 Md dollars). Groupe turc présent au Moyen Orient, en Afrique du Nord et en Asie Centrale</t>
  </si>
  <si>
    <t xml:space="preserve">2023 : CA 5 495M euros +17,2%. Passagers : 336,4 M euros ( +20,2%). Paris : 99,7 M; TAV 99,5 M; GMR 106,7M. Ebitda : 1,956 M euros quasi retour au trafic pré crise de 2019 à 98,7% </t>
  </si>
  <si>
    <t xml:space="preserve">2024 : CA 6 158 M euros (+ 12,1%). Passagers : 363,7 M (+8,1% Ebitda 2 068M euros +5,7%). Baisse du RN pdg 342M euros -45,8%=&gt; effet comptable exceptionnel finalisation fusion GIL et GAL (GRM airports) -330M euros . </t>
  </si>
  <si>
    <t>Acquisition Octobre 2024 PARIS EXPERIENCE GROUP (expériences touristiques en Ile de France) et PRIVATE SUITE devenue EXTIME PS INC (opérateur terminaux aéroportuaires aux États Unis ) pour un total de 360 M euros</t>
  </si>
  <si>
    <t xml:space="preserve">2017 : participation de 38% depuis 2012 dans TAV Airports portée à 46,12% (participation contrôlante) pour un montant de 160 M dollars </t>
  </si>
  <si>
    <t xml:space="preserve">Trésorerie : 1,95 Md euros (1/3 CA annuel). Frais financiers : 152 M euros (2,5% du CA annuel) </t>
  </si>
  <si>
    <t xml:space="preserve">Intensité capitalistique : 2,1 </t>
  </si>
  <si>
    <t xml:space="preserve">Création d'une filiale commerciale ADP /AIR Liquide pour assister les aéroports dans l'intégration des projets liés à l'hydrogène </t>
  </si>
  <si>
    <t xml:space="preserve">Actionnaires : État français : 50,6%, Vinci : 8%, Predica /Crédit Agricole Assurances : 7,7%, Institutionnels français : 1,5%, Institutionnels non résidents : 24,8%, individuels : 3,4%, autres non identifiés : 2%, salariés : 1,7%  </t>
  </si>
  <si>
    <t>Minoritaires : 20% des fonds propres soit 1 Md d'euros (Inde et Turquie)</t>
  </si>
  <si>
    <t>2021 : coût du covid : 1,5 Md euros en 2 ans</t>
  </si>
  <si>
    <t>Réalise une moins value de - 2 Mds d'euros issus de la cession en moins value de la participation Nissan.</t>
  </si>
  <si>
    <t>HBX</t>
  </si>
  <si>
    <t>Plate forme réservation hôtellerie</t>
  </si>
  <si>
    <t>Goodwill : 1,39 Md euros (38% du bilan et 60% des fonds propres)</t>
  </si>
  <si>
    <t>2024 : acquisition de Worldgrid auprès d'Atos pour 270 M euros dédié au nucléaire. 1100 personnes et 170 M euros. Opération complémentaire. Dépréciation d'actifs de 44 M euros en Allemagne et au Royaume-Uni</t>
  </si>
  <si>
    <t>Trésorerie : 288 M euros soit moins d'un mois de CA. Frais Financiers : 3,3 M euros (0,08% du CA)</t>
  </si>
  <si>
    <t>IS : 34% (26% en 2023)</t>
  </si>
  <si>
    <t xml:space="preserve">2024-2025 : gain de parts de marchés en Chine, semblent optimiste pour le second semestre. Droit de douane en Chine +38% impact en 2025/2026. Concurrence d'un Brandy Chinois (10% de pdm, 78% du cognac consommés en Chine est importé). </t>
  </si>
  <si>
    <t>Risque de droits de douane aux États-Unis</t>
  </si>
  <si>
    <t>Europe : 18%, Amériques : 52%, Asie: 30%. Pays présents : Chine et États-Unis principaux, Allemagne, Afrique du Sud et Royaume-Uni ensuite</t>
  </si>
  <si>
    <t>Pay-out ratio : 90% (50% historiquement)</t>
  </si>
  <si>
    <t>2020 : prise de participation de 49% de GMR Airports (groupe indien) 7 aéroports dans 3 pays : Inde, Philippines  et Grèce au prix de 1,36 Md euros</t>
  </si>
  <si>
    <t>Concurrence :  trafic court courrier =&gt; en baisse concurrence du réseau ferroviaire. Trafic moyen courrier =&gt; concurrence des autres aéroports principalement Beauvais et Cie à bas coût RYANAIR. Trafic long courrier =&gt; ensemble des aéroports offrant des correspondances Francfort, Londres, Amsterdam, Madrid et plus récemment des aéroports taille moyenne Lisbonne, Dublin, Helsinki, Reykjavik, Fret =&gt; 1er concurrent Francfort puis Liège, Cologne et Leipzig, A l'international =&gt; forte concurrence</t>
  </si>
  <si>
    <t>Dirigeants : Philippe Pascal (aval de l'Assemblée Nationale et du Sénat 12/02/2025,  1972, chez ADP depuis 2013 et DG adjioint finances, stratégie et administration depuis 2016. Il a remplacé Augustin de Romanet (1961, PDG de 2012 à 2024)</t>
  </si>
  <si>
    <t>Date de création de la société : 1945. Fondateur : GPRF (Gouvernement provisoire de la République française). Activités aéronautiuqes : gestion aéroporturaire nationale et internationale, commerce et services, immobolier</t>
  </si>
  <si>
    <t>2024 : acquisition dans la diatomite et perlite à destination de l'alimentation et pharmacie (50 Me de CA) en France et Italie. Cession du papier pour 150 Meuros (contre 390 Meuros prévu) avec 374 M euros de dépréciation. Avancée lente des projets Lithium</t>
  </si>
  <si>
    <t>Goodwill : 1,86 Md euros (27% du bilan et 56% des fonds propres)</t>
  </si>
  <si>
    <t>Minoritaires : 0,6% (et le JV sur le Quartz aux États-Unis)</t>
  </si>
  <si>
    <t>Trésorerie : 635 M euros, deux mois de CA et 40% de la dette brute. Frais financiers : 31 M euros (0,86% du CA)</t>
  </si>
  <si>
    <t xml:space="preserve">Pay-out ratio : 45% (autour de 50 % en 2023 et dividendes exceptionnels suite cession et en 2020, payé à 88 % en actions)  </t>
  </si>
  <si>
    <t>Intensité capitalistique : 1,3 (dégradation dans le temps, en lien avec la transition)</t>
  </si>
  <si>
    <t xml:space="preserve">Une centaine de sites / mines dans 42 pays et 20 ans de réserve. Une usine peut être gérée par une centaine de salariés. Présent dans 46 pays </t>
  </si>
  <si>
    <t>Partie Quartz (TQC) variable d'un semestre à l'autre (clients panneaux photovoltaïque en Chine entre autres). 18% de CA en moins en 3 ans avec les cessions, faiblesse de l'industrie et transition. Investissement de 360 M euros en 2024 (390 M euros en 2023)</t>
  </si>
  <si>
    <t xml:space="preserve">Répartition par métier : minéraux de performance : 65% et réfractaires : 35%.  Transition énergétique et Quartz (TQC) : comptabilise que l'EBE (marge élevée) : 550 M euros de CA et 300 M euros d'EBE </t>
  </si>
  <si>
    <t>IS : 14,5% (18,5% en 2023)</t>
  </si>
  <si>
    <t>Départ de Choimet (ex dirigeant d'Élogen) et retour provisoire de Berterrotière</t>
  </si>
  <si>
    <t>2024 : poursuite de l'amélioration du CA sur l'activité historique (+50%, 62 livraisons et 72 commandes, carnet à 332 unités), hausse du GNL carburant et des logiciels. L'électrolyse (11 Me de CA et perte de - 33 M euros) n'avance, arrêt du développement</t>
  </si>
  <si>
    <t>2025 : acquisition de Contentserv (Allemagne) par la division Centric Software (solution basée sur l'IA dans les biens de consommation, 1600 clients dans 90 pays pour 220 M euros). Poursuite de la croissance toutes zones et tous métiers avec hausse de la marge</t>
  </si>
  <si>
    <t>2024 : Sortie de la R5 Électrique à moins de 30 K euros. Voiture de l'année. Bon timing de lancement et innovation devraient permettre un succès commercial. Redressement des comptes</t>
  </si>
  <si>
    <t>IS : 33,06% (25,99% en 2023), 25,83% sur la société mère</t>
  </si>
  <si>
    <t>Actionnaires : État français : 11,58% (18,24% des droits de vote). Salariés : 5,76% (1 salarié sur 2 actionnaires). BlackRock : 4,99% et TGC : 6,59%. Sortie de Peugeot Invest. Flottant : 81,04%</t>
  </si>
  <si>
    <t>Répartition du CA par activité : Propulsion Aéoronautique : 50%, Equipement &amp; Défense : 39%,  Aircraft : 11%. Militaire : 20%</t>
  </si>
  <si>
    <t>Répartition du CA par zone géographique : France : 19%, Europe (hors France) : 23%, Asie &amp; Océanie : 16%, Afrique &amp; Moyen Orient : 9% et Amériques : 33%</t>
  </si>
  <si>
    <t>Clients : Airbus, Boeing, GE Aerospace, Dassault Aviation, COMAC (Chine). Compagnies aériennes (150 - équipements et seconde monte), Lockheed Martin, Sikorsky. Agence spatiale : ESA, NASA, Ariane Group</t>
  </si>
  <si>
    <t>2020 : 972 moteurs LEAP et CFM 56 livrés contre 2127 en 2019. Carnet de commandes de LEAP plus de 9600 moteurs. Les commandes risquent de ralentir</t>
  </si>
  <si>
    <t xml:space="preserve">2024 : 1407 moteurs LEAP livrés. poursuite du développement avec la croissance du trafic aérien et des besoins d'avions (3,7% par an avec 34500 avions commandés sur 20 ans soit 1725 par an et autant de moteurs), avec l'équipement (nacelles, toboggans, sièges), seconde monte et réparation </t>
  </si>
  <si>
    <t>Acquisition pour 90 M euros d'Ados à Air Liquide (activité oxygène et azote d'Air Liquide, équipement &amp; Défense. 54 M e de CA et 8 M e de RN). Acquisition de Preligens (IA et digital pour 229 M euros, CA de 13 M e et RN 1 M e). Boeing pas impactant à ce stade. Forte amélioration de la marge et FCF proche du RN</t>
  </si>
  <si>
    <t>Intensité capitalistique : 0,45 en amélioration. Dettes hybrides dilutives (obligations convertibles) potentiellement 12 Millions de titres</t>
  </si>
  <si>
    <t>R&amp;D : 1,98 Md euros (7,25% du CA)</t>
  </si>
  <si>
    <t xml:space="preserve">Rachat d'actions de 1,3 Md euros </t>
  </si>
  <si>
    <t>2025 : finalisation de l'acquisition de l'activité commande de vols de Collins. Acquisition de CERT (États-Unis, CA : 110 M euros et 500 salariés)</t>
  </si>
  <si>
    <t>Pay out ratio : 40%. Rachat d'actions de 5 Md euros entre 2025 - 2028 (Suppression du dividendes 2019 versé en 2020 pour économiser 1 Md euros)</t>
  </si>
  <si>
    <t>IS :  24% ( 23,4% en 2023)</t>
  </si>
  <si>
    <t xml:space="preserve">Acquisition d'Axa IM pour 5,4 Md euros (15 fois le résultat d'exploitation) et 850 Md sous gestion. Avec BNP IP cela donnera 1500 Md euros sous gestion deuxième acteur européen </t>
  </si>
  <si>
    <t>Goodwill : 240 M euros (24% du bilan et 36% des fonds propres)</t>
  </si>
  <si>
    <t>CEO : François Jackow (1969) Actionnaires : institutionnelle et individuelles</t>
  </si>
  <si>
    <t>Répartition du CA par Métier : Gaz &amp; Services 95,5%, Ingénierie et construction 1,4%, Marché Globaux et technologies : 3,1%</t>
  </si>
  <si>
    <t>Répartition du CA par branche : Santé : 16%, Grande Industrie : 26%, Industriel Marchand : 44%, Electronique : 9%, Ingénièrie : 2% et Marchés globaux &amp; Technologies : 3%</t>
  </si>
  <si>
    <t>Marge opérationnelle Gaz &amp; Services : environ 21,5% amélioration continue</t>
  </si>
  <si>
    <t>Dispose d'une centaine de brevet dans l'hydrogène, et maitrise l'ensemble de la chaîne de valeur de la production à l'utilisation. (Création d'un écosystème à hydrogène) Risque : Stockage car on stock du gaz</t>
  </si>
  <si>
    <t>A / positive</t>
  </si>
  <si>
    <t>Répartition du CA par zone géographique : Amériques : 40%, Europe Moyen Orient et Afrique : 39% et Asie Pacifique : 21% pour le gaz (95,5% du CA)</t>
  </si>
  <si>
    <t>2023 : 6,4 millions de véhicules vendus. Progression de 10% du CA à 180 Md euros (28 Ke en moyenne, plus aux États-Unis, moins en Europe et en Chine..) poursuite de l'amélioration des différents agrégats</t>
  </si>
  <si>
    <t>2025 : lancement de 10 nouveaux produits. Progession de l'activité et de la marge espérés mais modeste</t>
  </si>
  <si>
    <t xml:space="preserve">2024 : 5,5 millions de véhicules vendus. Forte baisse de l'activité notamment aux États-Unis (1,4 M contre 1,9 M) beaucoup de stocks, des prix élevés des voitures et des clients pas pressés de passer à l'électrique. Problème de management départ de Tavares </t>
  </si>
  <si>
    <t xml:space="preserve">Poursuite des cessions de Dongfeng pour 1,58% et 950 Me (18,5 euros) rachetés et annulés par Stellantis. Dongfeng à 1,5% du capital. Excellents résultats </t>
  </si>
  <si>
    <t xml:space="preserve">Carlos Tavares (1958) président du directoire de PSA, depuis le 1er avril 2014. Fin de mandat 2021. Il possède 196 000 actions. </t>
  </si>
  <si>
    <t>Trésorerie :  190,6 M euros (2,6 mois de CA)</t>
  </si>
  <si>
    <t>94% du CA à l'internatioal : France (6%), Europe (27%), États-Unis (38% du CA) et Asie (14%), développement à l'international intéressant</t>
  </si>
  <si>
    <t xml:space="preserve">Rochas (42 M euro - 5% du CA),  Karl Lagerfeld ( 27 M euros - 3% du CA, échéance 2032), Moncler (12 M euros  - 1,4% du CA - 2026 - 2031), Boucheron ( 17 M euros -2,3% du CA - échéance 2025/2026), Kate Spade (20M euros - 2,3% du CA - échéance 2030), Lanvin (45 M euros -  5% du CA), Van Cleef &amp; Arpels (25 M euros - 3% CA echéance 2033) </t>
  </si>
  <si>
    <t>2025 : lancement de la marque propre "Solférino" dans la haute parfumerie avec une dizaine de fragances premium. Ouverture d'une boutique et d'un site en ligne, Objectif poursuite de la croissance CA entre 930 et 935 M euros et maintien d'un niveau de profitabilité élévé, LACOSTE devrait atteindre 100 M euros de CA,</t>
  </si>
  <si>
    <t>Rochas, Lanvin et Solférino marques propres. Extension possible avec le lancement de nouveaux produits des Licences récentes Lacoste et par zone géographique, présence mondiale pas totalement abouti (seul région difficile le Moyen-Orient : 6% du CA)</t>
  </si>
  <si>
    <t>2024 : bon démarrage de Lacoste 79 M euros soit 9% du CA (15 lignes avec les Hommes et les femmes). Rochas 42 M euros soit 5% du CA. Renouvellement de la licence Van Cleef &amp; Arpels (25 M euros de CA en 2023) jusqu'à fin 2033. Nouveaux lancements en 2025, Obtention de la marque OFF-WHITE en 12/2024 (parfums et cosmétiques) lancement première ligne de parfum prévue fin 2026 début 2027</t>
  </si>
  <si>
    <t>Pay-out ratio : 67%</t>
  </si>
  <si>
    <t>Constructeurs : France : 13% du CA, Allemangne : 30%, États-Unis : 19% et asiatiques : 31% dont chinois : 15%</t>
  </si>
  <si>
    <t>R&amp;D : 12,1% du CA (2,6 Md euros)</t>
  </si>
  <si>
    <t>IS : 31%</t>
  </si>
  <si>
    <t>Goodwill : 14,2 Md euros (23% du total bilan et 57% des fonds propres)</t>
  </si>
  <si>
    <t>2024 : acquisition à 100% de CSR (Isolation - 2800 salariés, 130 points de vente et 1,7 Md euros de CA) en Australie pour 2,7 Md euros (peut-être 1,9 Md euros après des cessions immobilières). Cession du bois au Royaume-Uni (50 Me de CA)</t>
  </si>
  <si>
    <t>En 6 ans, 10 Md euros de cession et 6,5 Md euros d'acquisition. La chimie de construction à 6,5 Md euros pour la rénovation. Aux États-Unis, besoin d'1,5 million de logement. Métier local peu impacté par d'éventuels guerres locales</t>
  </si>
  <si>
    <t>Trésorerie : 8,6 Md euros soit 2 mois de CA. Frais financiers : 457 M euros (1% du CA). Coût moyen de la dette : 3% (15 Md euros à 3%)</t>
  </si>
  <si>
    <t>Goodwill : 5,18 Md $ (4,6% du bilan et 6,5% des fonds propres)</t>
  </si>
  <si>
    <t>Pay out ratio : 30% (1 Md en dividende et 20 Mds en rachat d'actions)</t>
  </si>
  <si>
    <t>Répartition de l'activité secteur : Data Center (90%), Gaming (7%), Robotique (1,5%), Visualisation (1,5%)</t>
  </si>
  <si>
    <t>2025 : succès de la nouvelle puce Blackwell</t>
  </si>
  <si>
    <t>Minoritaires : 4 %</t>
  </si>
  <si>
    <t>IS : 24 %</t>
  </si>
  <si>
    <t>2020 : 11 Md de chiffre d'affaires, EBE : 1 Md et 300 Me de Rn, dettes 2,1 Md. Valo / 50% du CA et 16 fois le Rn Deux fois Nexans</t>
  </si>
  <si>
    <t>2018 : 8,8 Md euros de CA et 860-920 d'EBE (rachat de General Cables pour 2,5 Md euros en 2017)</t>
  </si>
  <si>
    <t>CA par activité : Electrification 58%, Transmission 17%, Power grid 18%, Digital 7%</t>
  </si>
  <si>
    <t>Goodwill : 3,5 Mds (19,22 % du bilan, 68,8 % des fonds propres)</t>
  </si>
  <si>
    <t>Trésorerie : 1Md euros ( mois de CA et % de la dette brute). Frais financiers : M euros (% du CA)</t>
  </si>
  <si>
    <t>Frais financiers : 225 M d'euros 1,32%</t>
  </si>
  <si>
    <t>2024 : acquisition Encore Wire aux Etats-Unis</t>
  </si>
  <si>
    <t>Viridien</t>
  </si>
  <si>
    <t xml:space="preserve">IS : 26% </t>
  </si>
  <si>
    <t>Carnet de commande 8,2 Mds</t>
  </si>
  <si>
    <t>Répartition du CA par région : 71% Europe zone UE, 7% Asie &amp; Oceanie, 6% Afrique, 6% Europe Non UE, 2% Sous-continent Indien, 2% Amérique</t>
  </si>
  <si>
    <t>La division offshore energy : + 37%, Infrastructure + 22%, Environnement + 11%</t>
  </si>
  <si>
    <t>Trésorerie : 853 M euros (2 mois de CA). Charges financières : 8,6 M euros (0,2% du CA)</t>
  </si>
  <si>
    <t>Trésorerie : 9,1 Md euros (2,5 mois de CA). 1/3 de la dette brute. Charges financières : 651,8 M euros (1,46% du CA)</t>
  </si>
  <si>
    <t>Goodwill : 11,783 Md euros (16,2% du bilan et 91% des fonds propres)</t>
  </si>
  <si>
    <t>Dette nette : dans le tableau dette de la société Renault auquel il convient d'ajouter le crédit vendeur qui représente une année de chiffre d'affaires environ,</t>
  </si>
  <si>
    <t>Payout : 21,5%</t>
  </si>
  <si>
    <t>Trésorerie :  18,5 Mds (1,5 mois de CA) Charges financières : 517 M soit 1,2% CA</t>
  </si>
  <si>
    <t>Goodwill : 1152 M (34,8% du total bilan et 63,6% des fonds propres)</t>
  </si>
  <si>
    <t>Minoritaire : très faible (moins de 3%)</t>
  </si>
  <si>
    <t>Intensité capitalistique : 0,9</t>
  </si>
  <si>
    <t>Trésorerie :  536 M (1,5 mois de CA)  Charges financières : 67 M (3,88% du CA), Résultat financier -137 M</t>
  </si>
  <si>
    <t>Minoritaires : 11,8%</t>
  </si>
  <si>
    <t>Goodwill : 19,5 Mds (1,5% du bilan 65% des fonds propres)</t>
  </si>
  <si>
    <t>Trésorerie : 15,2 Md euros (2,5 mois de CA et % de la dette brute). Frais financiers : M euros (% du CA)</t>
  </si>
  <si>
    <t>Pay-out ratio : 55%</t>
  </si>
  <si>
    <t>Intensité capitalistique : 0,7</t>
  </si>
  <si>
    <t>Création 1899</t>
  </si>
  <si>
    <t xml:space="preserve">CA par activité : Construction 44,4%, Energie 38,4%, Concessions 17,2% </t>
  </si>
  <si>
    <t>CA géographique : Europe (dont France 42,2%) 79%, Amériques 13,6%, Asie 2,3%, Afrique 2,2%, Océanie 3,3%</t>
  </si>
  <si>
    <t>IS : 27,7%</t>
  </si>
  <si>
    <t>CAC : Deloitte &amp; Price</t>
  </si>
  <si>
    <t>CEO : Xavier Huilard</t>
  </si>
  <si>
    <t>Actionariat : Salariés 10,9%, Autodétention 3,3%, Flottant 85,8%</t>
  </si>
  <si>
    <t>2025 : succession de Xavier Huilard en avril, nouveau CEO : Pierre Anjolras</t>
  </si>
  <si>
    <t>2022 : acquisition de COBRA IS, avec le développement d'une activité de production d'énergie renouvelable, Portefeuille de (0,6 Gw en 2022, porté à 2 GW fin 2023)</t>
  </si>
  <si>
    <t>2021 : acquisition des activités d'ACS Énergie pour 4,9 Md euros</t>
  </si>
  <si>
    <t xml:space="preserve">Répartition du CA par activité : 43% Offshore, 40% Dragage (dont 1/4 lié à la maintenance du parc existant), 9% Infrastructures, 5% Environnement, 3% Autres </t>
  </si>
  <si>
    <t>Répartition CA : Air Distribution : 48%. IT Solutions :  36%, Hospitality : 16%</t>
  </si>
  <si>
    <t>2,16 Md de passagers (+10,9%) au-dessus de 2019 et EBITDA Margin proche de 40% comme en 2019</t>
  </si>
  <si>
    <t>Pay out ratio : 50% (rachat d'actions d'1,3 Md euros)</t>
  </si>
  <si>
    <t>2025 : CA à +9%</t>
  </si>
  <si>
    <t>Retour progressif au trafic avant crise 2019 entre 2024 et 2026 puis dépassé, La croissance devrait s'accompagner du mix trafic vers l'international plus créateur de valeur (ADP profitera de son empreinte internationale via sa présence dans divreses zones géographiques) , d'un usage plus raisonné de l'avion avec un recours croissant aux autres modes de transport sur trajets court et moyenne distance, Taux croissance 2019/2050 entre 1 et 1,5% par an vs 2 % par an entre 2000 et 2019</t>
  </si>
  <si>
    <t>Pays présents - Nombre de filiales : 31 - Nombre de structures juridiques</t>
  </si>
  <si>
    <t>2023 : création d'une Join Venture avec Jan de Nul (entreprise spécialisée dans le dragage) pour construire la première Ile energétique en mer, 45 Km2, 2,5 ans de construction,</t>
  </si>
  <si>
    <t>Intensité capitalistique : 0,5 ( contre 0,64, en amélioration)</t>
  </si>
  <si>
    <t>Les contentieux augmentent</t>
  </si>
  <si>
    <t>Trésorerie : 3,15 Md euros (1,5 mois de CA). Frais financiers : 251 M euros (1,17% des frais financiers)</t>
  </si>
  <si>
    <t xml:space="preserve">2018 : Stéphane Richard renouvelé comme PDG </t>
  </si>
  <si>
    <t>2019 : le 27 juin 2019 vente des actions BT Telecom, il en restait 2,5% soit pour 550 M euros à un cours de 198 pence</t>
  </si>
  <si>
    <t>2021 : départ de Stéphane Richard remplacé par Christel Heydemann. Activité toujours en légère progresssion (bien en France et Afrique, très difficile en Espagne) et beaucoup d'investissement : peu de flux de trésorerie excédentaire. Dépréciation sur l'Espagne d'où la baisse de résultat net</t>
  </si>
  <si>
    <t>2022 : S1 CA stable +0,1 %, mais la division "services aux opérateurs" (Wholesale) est affectés par les moindres cofinancements et la baisse du tarif régulé des terminaisons d’appel peu margées, reculent de 9% (-360 millions euros).</t>
  </si>
  <si>
    <t>2018 : dividende 2018 à 0,7 euros. Distribution proche de 100% du résultat. Même conclusion que l'année dernière</t>
  </si>
  <si>
    <t>2014 : vente à Altice d'Orange Dominicaine en 2014 : 1 Md euros</t>
  </si>
  <si>
    <t>2015 : achat de Jazztel en Espagne pour 3,179 M euros en juillet</t>
  </si>
  <si>
    <t xml:space="preserve">2017 : meilleur trimestre (3T17) de recrutement d'abonnés (350 000 en France et au total 500 000 en Europe). Dividende élevé à 0,6 euros pour un BPA de 0,7 même si le BPA devrait progresser (84% du bénéfice) </t>
  </si>
  <si>
    <t>2016 : achat en Afrique en 2016 pour 1 Md euros : Sierra Leone, RDC, Burkina Fasso et Sierra Leone</t>
  </si>
  <si>
    <t>Goodwill : 21,1 Md euros (20,31% du total bilan et 66,4% des fonds propres)</t>
  </si>
  <si>
    <t xml:space="preserve">CAC : Deloitte et KPMG </t>
  </si>
  <si>
    <t>IS : 33,4%</t>
  </si>
  <si>
    <t>Trésorerie : 8,7 Md euros ( 2 mois de CA et 26% de la dette brute). Frais financiers : 1,06 Md euros (2,65% du CA). Coût moyen de la dette : 3,03%</t>
  </si>
  <si>
    <t xml:space="preserve">Trésorerie : Md euros ( mois de CA et % de la dette brute). Frais financiers : M euros (% du CA). Coût moyen de la dette : </t>
  </si>
  <si>
    <t>Intensité capitalistique : 1,34 (contre 1,18 en 2014 et 1,28 en 2007)</t>
  </si>
  <si>
    <t>2023 : poursuite d'une légère hauuse avec l'Afrique et le redressement de l'Espagne (JV à 50/50 avec Masmovil). France mature à léger déclin avec le wholesale (fixe entreprises - 1Md de CA à perdre probablement). Sortie d'Orange Bank. Capex en baisse et légère hausse de l'EBE =&gt; FCF à 3,5 Md euros</t>
  </si>
  <si>
    <t>2024 : rapprochement en Espagne avec Masmovil, 50/50, intitulé MASORANGE (produit de cession de 4,4 Md euros), mise en équivalence, quelques synergies à venir. Baisse du CA liée à la déconsolidation de l'Espagne</t>
  </si>
  <si>
    <t>Marché mature, déclin de la voix (ligne fixe), fin du cuivre en France. Croissance sur l'Afrique</t>
  </si>
  <si>
    <t>Principaux pays sont : France (44%) Espagne (12%), Pologne (6,4%), Bénélux (3%) et Afrique (12,1%) et produits Fibre et 4G. 26 pays.  Plus de 200 Millions de clients Mobile et 18 Millions de clients Haut débit</t>
  </si>
  <si>
    <t>IS : 22,6% en 2024 (25,1%en 2023)</t>
  </si>
  <si>
    <t>Marché grand public 88% et marché professionnel 12% (bar et restaurant : 10% du CA en 2019)</t>
  </si>
  <si>
    <t>CAC : PricewaterhouseCoopers &amp; Mazars</t>
  </si>
  <si>
    <t xml:space="preserve">Concurrents : Alcon,Johnson &amp; Johnson Vision Care, Inc. ; CooperVision ; Carl Zeiss AG. ; Bausch &amp; Lomb Inc. ; Safilo Group S.p.A, Zeiss </t>
  </si>
  <si>
    <t>2024 : amende de 189,5 M euros (44,9% du RN ) de l'autorité de la concurrence pour entente verticale sur la fixation des prix de 2007 - 2014. Autres acteurs sanctionnés : Electrolux, Whirlpool, Candy Hoover et les distributeurs Boulanger, Darty. Amende globale de 611 M euros. SEB dépose un recours en appel alors que, sur les 12 entrprises sanctionnées, 10 ont décidé de ne pas conterter la réalité des griefs</t>
  </si>
  <si>
    <t>Présence mondiale avec un développement par croissance interne et externe. Europe occidentale : 35% du CA - Amérique : 16% du CA (dont Amérique du Nord 11%)- Chine : 26% du CA - Asie (hors Chine) : 7% -  EMEA : 16%</t>
  </si>
  <si>
    <t>Fabricant d'ustensiles pour la cuisine (autocuisseurs, cafetières….), la salle de bain, le nettoyage (aspirateurs), climatiseurs… Beaucoup d'innovations : 40 marques, 1200 magasins</t>
  </si>
  <si>
    <t>10 premiers pays : France, Allemagne, Espagne, Italie, Chine, États-Unis, Corée du Sud, Japon, Brésil, et Russie. Présence dans 150 pays</t>
  </si>
  <si>
    <t>Actionnaires : famille Lescure détient 34,23 du capital et 40,15% des droits de vote. Autres actionnaires : FSP (4,74%)</t>
  </si>
  <si>
    <t>Pay-out ratio : 35% -  40%</t>
  </si>
  <si>
    <t>CA professionnel (+1,4%, 2023 excpetionel) et grand public (+5,5%). Hub en Chine dans le café auprès de professionnel (60 M euros d'investissement). Renforce le professionnel, deux acquisitions (Brigade de buyer CA : 66 M euros et Sofilac : 60 M euros)</t>
  </si>
  <si>
    <t>Intensité capitalistique : 0,63 (contre 0,6 en 2019 et 0,47 en 2014)</t>
  </si>
  <si>
    <t>CAGR : 6,87% (2024-2014) et 2,4% sur 5 ans (2024-2019)</t>
  </si>
  <si>
    <t>2025 : Lunette "Nuance Audio" : technnolgie prometteuse pour une perte d'audition légère à modérer</t>
  </si>
  <si>
    <t>2021 : consolidation de l'activité de Grandvision à partir de juillet. Activité en hausse de plus de 9% par rapport à 2019. Le BtoB représente 60% du CA et le BtoC 40% du CA</t>
  </si>
  <si>
    <t xml:space="preserve">Ecommerce : 1,8 Md soit 7% du CA. BtoB : 47,3% et BtoC : 52,7% </t>
  </si>
  <si>
    <t>Optique : 75% du CA, solaire : 23% et vêtements &amp; accessoires (marques suprême),  Lunettes connectées (Ray-ban Meta) : 2% du CA</t>
  </si>
  <si>
    <t>Croissance +5% par an. Objectif : 27-28 Md euros en 2026</t>
  </si>
  <si>
    <t>2019 : en juillet, Essilor Luxottica annonce un projet d'aquisition d'une participation de 76,72% à la société GrandVision</t>
  </si>
  <si>
    <t>2024 : Innovation avec les lunettes connectées, solution de contrôle de la myopie chez les enfants. Fabrique des lunettes pour Dolce &amp; Galbana (2039), Diesel (2029), Mickael Kors (2030) et Prada (2030)</t>
  </si>
  <si>
    <t>Acquisition de Supreme pour 1,5 Md euros et 80% de Heidelberg Engineering, dignaostic et visualisation chirurgical (présent dans 100 pays)</t>
  </si>
  <si>
    <t>2018 : Essilor et Luxottica ont fusionné leurs activités. Cela à donné lieu à un conflit entre Leonardo Del Vecchio alors CEO de Luxottica et Hubert Sagnière CEO de Essilor.</t>
  </si>
  <si>
    <t>Goodwill : 31,9 Md euros (49,8% du biilan et 79,3% des fonds propres)</t>
  </si>
  <si>
    <t>Intensité capitalistique : 2</t>
  </si>
  <si>
    <t>2021, départ en septembre de Mike Manley chez un distributeur automobile en Floride. Remplacement interne. En octobre, activité en retrait à cause de la pénurie de semi-conducteurs</t>
  </si>
  <si>
    <t xml:space="preserve">2021 : excellents avec 6,05 Millions de véhicules vendus, la sortie de 10 nouveaux modèles et une présence mondiale malgré des ventes au 2S en baisse à 3 M contre 3,6 M en 2S20. </t>
  </si>
  <si>
    <t>2021 : achat de 22,9% de One Web pour 550 Millions de dollars (en septembre) aux côtés du gouvernement britannique et de Bharti Global. One Web exploite déjà 648 satellites en orbite basse. CA de 1Md de dollars à horizon 5 ans</t>
  </si>
  <si>
    <t>2022 : hausse de l'endettement avec l'acquisition de One Web compensé partiellement par la cession de 125 M$ lié de la bande C (d'où Rex et Rn meilleur). Déclin de l'activité un peu structurel, retour de la croissance en 2024</t>
  </si>
  <si>
    <t>2017 : 39 satellites. Deux lancements de satellite en 2018 et deux en 2019. Carnet de commandes en baisse à 5,2 Md e au 30/6/2017 contre 6,4 Md e au 30/6/2014</t>
  </si>
  <si>
    <t>2014 : acquisition de Satmex en 2014 qui a augmenté l'endettement de 800 M e, n'a rien apporté ou alors compenser le déclin assez fort sur les clients Occidentaux</t>
  </si>
  <si>
    <t>Pay-out ratio : autour de 100% et rachat d'actions avec un programme de 100 M euros</t>
  </si>
  <si>
    <t>Actionnaires : BPI : 19,8%, FSP : 7,5% et CIC : 6,7%. 67% en flottant</t>
  </si>
  <si>
    <t>2022 : le groupe annonce être très faiblement exposé en Russie (20 M € de CA) et ne pas être présent en Ukraine.</t>
  </si>
  <si>
    <t xml:space="preserve">2022 : acquisition au Mexique (130 Millions d'habitants - 15 ème économie mondiale, CA : 74 Me et EBE : 28 Me pour 150 Me soit 5,6 fois l'EBE - acteur centenaire). Poursuite de l'expansion en Amérique du Sud). </t>
  </si>
  <si>
    <t>2022 : acquisition en Allemagne de Textilservice Jockel. (CA 2021 : 20 M d'€) et dans une dizaine de pays depuis 2018 de petites tailles (max. 30 Me) pour compléter l'offre et le maillage géographique (Danemark, Russie, Chili, Mexique, France, Irlande, UK et Colombie)</t>
  </si>
  <si>
    <t xml:space="preserve">2020 : Elis a coupé le dividende de 87 Me et des investissements à hauteur de 100 M euros sur le premier semestre compensant la perte de revenus et contenant la dette </t>
  </si>
  <si>
    <t>Concurrence : Rentokil (UK - beaucoup de croissance externe) et Cintas (tenue de travail principalement) puissant aux États-Unis. Vestis et UniFirtst</t>
  </si>
  <si>
    <t xml:space="preserve">2017 : le résultat d'exploitation patine, le même qu'il y a 10 ans pour Elis seul en 2017. Résultat d'exploitation 2007 de 210 Meuros. Activité consommatrice de BFR avec des achats de linge conséquent </t>
  </si>
  <si>
    <t xml:space="preserve">2015 : IPO à 13 euros (1,352 Md euros VE / EBE 2015 : 6,26). Mature en France (1 Md euros de CA) mais beau développement à l'international avec Eurazeo en Espagne et Brésil. </t>
  </si>
  <si>
    <t>Répartition CA : 24 % en Europe Centrale, 32 % en France, 8 % en Amérique Latine, 12 % Royaume-Uni et Irlande, 16 % Scandinavie et Europe de l'Est, 8 % Europe du sud</t>
  </si>
  <si>
    <t>CEO : Matiré, jeune (1971), compétent et impliqué. Échéance du mandat en septembe 2022 (2008-2022). Chez Elis depuis 1999. Thierry Morin Président du Conseil de Surveillance</t>
  </si>
  <si>
    <t>2017 : offre sur Berendsen avec un multiple VE/EBITDA de 7,2 fois 2016 et 19 fois le RN =&gt; CA de l'ensemble 3 Md et EBE : 960 M euros / Dettes 2,655 Md euros et 73,7 millions d'actions Elis =&gt; soit 213,7 millions de titres</t>
  </si>
  <si>
    <t>Goodwill : 3,9 Md euros (42% du bilan et 109% des fonds propres)</t>
  </si>
  <si>
    <t>Trésorerie : 622 M euros (1,5 mois de CA et 18% de la dette brute). Frais financiers : 130,4 M euros soit 2,73% du CA</t>
  </si>
  <si>
    <t>Intensité capitalistique : 1,45 contre 1,7 il y a 10 ans</t>
  </si>
  <si>
    <t>2018 : résultat net global 220 M euros en ligne avec les prévisions avec croissance du CA partout, économies sur Beredsen et marge en hausse. Tension sur les salaires aux UK (départ des étrangers liés au Brexit) et en Espagne</t>
  </si>
  <si>
    <t>Chiffres du 1S17 : acquisition espagnole terminée et au Brésil presque (un mois de CA comptabilisé). Redémarrage de l'hôtellerie en France avec Marge Stable. EBIT toujours stable et au niveau de 2007. Emission d'une obligation de 400 M euros convertible en actions ou pas (suivre dilution)</t>
  </si>
  <si>
    <t>2024 : poursuite de la croissance à +5%, petite acquisition en Malaisie. Marche arrière sur la grosse acquisition (Vestis ou UniFirst) aux États-Unis. FCF proche du RN à 8% du CA</t>
  </si>
  <si>
    <t>Pay out ratio : 30% - 40% (pas de dividendes versés en 2021 et 2020 suite à la crise du Covid-19). Rachat d'actions de 150 M euros (avec 120 M euros de dividendes, distribution proche de 80%)</t>
  </si>
  <si>
    <t>2021 : la partie Industrie, Santé et commerces représente 85% du CA (+5% par rapport à 2019), la partie hôtellerie restauration (15% du CA) tourne à 60% de 2019 mais bcp mieux fin 2021.</t>
  </si>
  <si>
    <t>Présent dans 29 pays en Europe et en Amérique du Sud (10%). 10 acquistions par an hors Berendsen en 2017 qui a renforcé le poids de l'Europe. 400 000 clients</t>
  </si>
  <si>
    <t>2024 : AUM 36,1 Md euros (26 Tiers et 10 propre) et commissions : 421 M euros et FRE : 150 M euros, collecte 4,29 Md euros private debt (2,5 Md euros - 1/3 des encours), 1,6 Md euros en Equity, reste : infra. Réalisation 3,4 Md euros et déploiement : 4,6 Md euros. RN : -0,4 Md euros (dépréciation d'actifs Legacy)</t>
  </si>
  <si>
    <t>2022 : AUM : 34 Mde (24 fonds tiers et 9,9 fonds propres). Commission de gestion sur tiers à 380 Me et 100 Me de commission de performance (contre une estimation proche des 360 Me par an) soit plus de 1,56% de l'encours</t>
  </si>
  <si>
    <t xml:space="preserve">35 Md euros sous gestions (25 fonds tiers et 10 fonds propres) avec 3,5 Md euros de collecte (particulier proche 1 Md euros) Europe du Nord, Asie et Moyen-Orient. 400 M euros de frais de gestions. </t>
  </si>
  <si>
    <t>Sortie de Rhône et des États-Unis. Valorisation un peu en baisse mais sans gravité peu perf. Fees. Poursuite du développement. Marché porteur</t>
  </si>
  <si>
    <t>ANR : 127,10 e soit 9,9 Md e. Collecte 3,1 Md euros en Equity et Debt. Répartition : 72% Equity 22% Debt et 6% Real Estate. Rotation correcte. Progression de 10% des AUM (International et Retail : 14% des AUM) et de l'actif net malgré les vents contraires</t>
  </si>
  <si>
    <t>2021 : AUM : 25,6 Md euros (17,8 fonds tiers et 7,8 fonds propres)</t>
  </si>
  <si>
    <t xml:space="preserve">40-45 Md euros d'actifs sous gestion en 2028-2030, soit commission à 550 Me et FRE à 200 - 250 Me et valo à 4 Md de la gestion d'actifs. Valorisation de fonds de private equity au Royaume-Uni : Bridgepoint : 12,2% des actifs gérés (27 Md euros d'actifs et 3,36 Md euros de capitalisation). </t>
  </si>
  <si>
    <t>2015 : Développement de l'activité pour compte tiers (9 Md euros + 6 Md euros en FP) permettra d'absorber les coûts fixes et d'avoir des revenus plus récurrents</t>
  </si>
  <si>
    <t>2017 : sortie d'ANF Immobilier. Reste 2Md euros sur 5,6 Md euros en actifs cotés (Accor/Moncler/Elis, 3*400 Me et Europcar 800 Me)</t>
  </si>
  <si>
    <t>CEO : Nicolas Huss</t>
  </si>
  <si>
    <t>Pay-out ratio : 0%</t>
  </si>
  <si>
    <t>Concurrence : Airbnb, booking</t>
  </si>
  <si>
    <t xml:space="preserve">Répartition du CA par métier : Hébergement 89 %, Mobilité et Expériences 7,5%, Technologie application de réservation 4,3% </t>
  </si>
  <si>
    <t>Répartition du CA par zone géographique : 50% Europe, 17% États-Unis, Amérique Latine 13% Reste du monde 20%</t>
  </si>
  <si>
    <t>Minoritaires</t>
  </si>
  <si>
    <t xml:space="preserve"> Introduction 12/04/2012</t>
  </si>
  <si>
    <t>Actionnaires : Cinven Capital Management, Canadian Pension plan, Kiwi Feeder eqt famille Wallenberg, Flottant 30,25%</t>
  </si>
  <si>
    <t>Date de création de la société : 2001</t>
  </si>
  <si>
    <t>2020-2021 : Injection de 775 M d'euros (covid) et Levée lors de l'IPO 725 M d'euros</t>
  </si>
  <si>
    <t>Goodwill : 730 M euros (12,7% du bilan et 17,4% des fonds propres)</t>
  </si>
  <si>
    <t>Pay-out ratio : 25 %</t>
  </si>
  <si>
    <t>Trésorerie : 449,8 M euros soit 1,4 mois de CA. Frais financiers : 10 M soit 0,25% CA</t>
  </si>
  <si>
    <t>Minoritaire : &lt; 1% (6 M euros)</t>
  </si>
  <si>
    <t>CA : États-Unis : 45%, Europe (EMEA) : 32%, Asie Pacifique : 17,5% et Amérique Latine : 6,6%</t>
  </si>
  <si>
    <t xml:space="preserve">R&amp;D : 12,3% du CA </t>
  </si>
  <si>
    <t>2018 : acquisition Hybiome société basée en Chine dans l'application des immunoessais, 190 M euros (dépreciation de l'actif : ramené à 84 M en 2023)</t>
  </si>
  <si>
    <t>En janvier acquisition de Lumed société de logiciel d'aide à la décision clinique pour les hôpitaux (9 M euros)</t>
  </si>
  <si>
    <t>CA : 41,2% Biologie moléculaire, 33,4% Microbiologie, 8,6% Immunoessais,  Applications industrielles : 15%</t>
  </si>
  <si>
    <t>2024 : Succès du SpotFire lancé en 2024 diagnostic hors de l'hôpital (interdit en France). 95 M euros de CA (+ 180%), 190 M euros attendu en 2025. Dépréciations de 49 M euros sur Hybiome valeur ramenée à 32 M euros</t>
  </si>
  <si>
    <t>2025 : Acquistion de la start-up norvégienne Spin-Chip spécialisée dans les tests immunoessais pour 138 M d'euros (en détenait déjà 20%). Premier lancement en 2026</t>
  </si>
  <si>
    <t>Goodwill : 4,6 Md euros (11,5% du bilan et 69% des fonds propres)</t>
  </si>
  <si>
    <t xml:space="preserve">CA : Infrastructure : 35%, Construction : 16%, Énergie Système 30% Concession 16% Holding : 3% </t>
  </si>
  <si>
    <t>CA : France : 64%, Europe hors France : 33% et hors Europe : 3%</t>
  </si>
  <si>
    <t>Concession : 3,9 Md euros soit 16% CA et 1,6 Md euros de REX soit 67%</t>
  </si>
  <si>
    <t xml:space="preserve">Trésorerie : 6 Md euros (3 mois de CA). Frais financiers : 318 M euros (1,3% du CA). Coût moyen de la dette : </t>
  </si>
  <si>
    <t xml:space="preserve">Date de création de la société : 1910, Fondateur : Kaspar Winkler    </t>
  </si>
  <si>
    <t>Chimie de construction</t>
  </si>
  <si>
    <t>Nombre de titres au 31/12/2024</t>
  </si>
  <si>
    <t>Actionnaires : salariés : 8%, Blackrock : 8%, autodétention : 3%. Flottant : 81%</t>
  </si>
  <si>
    <t>Benoît Bazin (1969), PDG depuis 2024. Directeur général depuis juillet 2021 chez Saint-Gobain depuis 1999. Chalandar président du CA puis départ en 2024. Bazin regroupe les deux fonctions</t>
  </si>
  <si>
    <t>Acquisition au Canada de Kaycan (présent aux États-Unis et Canada) pour 928 M$ (EBE : 83 M$) dans la fabrication et distribution de matériaux de construction. Amérique du Nord : 10 Md de CA (20% du groupe) et 2 Md D'EBE (30% du groupe)</t>
  </si>
  <si>
    <t>IS : 25,9%</t>
  </si>
  <si>
    <t>Pay out : &gt; 50%</t>
  </si>
  <si>
    <t xml:space="preserve">Trésorerie : 368 M euros ( 15 jours de de CA et 75% de la dette brute). Frais financiers : 159 M euros (1,8% du CA). Coût moyen de la dette : </t>
  </si>
  <si>
    <t>Minoritaires : 1% mais 17-18% du RN (les minoritaires pèsent)</t>
  </si>
  <si>
    <t>Fondé par Rudolf Dassler en 1948 à Herzogenaurach, son frère fonde Adidas. Présent dans 120 pays</t>
  </si>
  <si>
    <t>Marché au plus fort potentiel : Chine, États-Unis et Inde</t>
  </si>
  <si>
    <t>Chaussures : 54% du CA, vêtements : 32% et accessoires : 14%. Marque Cobra Golf</t>
  </si>
  <si>
    <t>Répartition par zone géographique : Europe : 39%, Amérique : 40%, Asie : 21%</t>
  </si>
  <si>
    <t>Kering a mis sur le marché sur des niveaux de 70-80 euros en 2020 et 2021, Artémis, actionnaires à 28,52%, Kering actionnaire à 1,47%. Total Pinault : 29,99%. Flottant : 70,01%</t>
  </si>
  <si>
    <t xml:space="preserve">Pay-out ratio : 30%. Suppression du dividende 2019 versé en 2020. Retour du dividende en 2021 </t>
  </si>
  <si>
    <t>IS : 26,4%</t>
  </si>
  <si>
    <t>Acquisition de Bar Lo dans le graphite synthétique, client de Mersen, pour 20 M $ (CA de 15 M $) et de GMI aux États-Unis dans le graphite extrudé pour 50 M $ (CA de 40 M $, 200 salariés) pour un prix de 66 M euros plus 8 M euros de complément de prix.</t>
  </si>
  <si>
    <t>2024 : revu à la baisse à +1% / + 2, les investissements passent à 204 Meuros.  Hausse de l'endettement à suivre avec des taux fixe représentant 57% des encours de crédit. Charges financières : 1,6% du CA</t>
  </si>
  <si>
    <t>2025 : année de transition (entre 0% et -5% en organique et 0% en publié), difficile en Chine sur le solaire et décalage dans le Sic pour Soitec. 160 M euros d'investissement (12,8% CA)</t>
  </si>
  <si>
    <t>CAGR 5 ans : 6,01% (2019-2024) et 10 ans : 5,7% (2024-2014). Plan 2029 : 1,7 Md euros de CA avec EBE à 19% (300 Me) et Rex à 12% (200 Me) et un ROCE à 13% et dettes à 400 M euros.</t>
  </si>
  <si>
    <t>Trésorerie : 36 M euros (10 jours de CA). Frais financiers : 24 M euros (1,9% du CA)</t>
  </si>
  <si>
    <t>CAC : KPMG et Ernst &amp; Young</t>
  </si>
  <si>
    <t xml:space="preserve">Chimiste mondial, ancienne filiale de Total.  Société constituée en janvier 2003, cotée depuis mai 2006 </t>
  </si>
  <si>
    <t>À long terme, 40% Amérique, 35% Asie et 25% Europe</t>
  </si>
  <si>
    <t>Actionnaires : Salariés à 7,7%, FSP à 7,9 % Lac I SLP  à 7,2%,  Norges Bank à 6,4%, public à 70,5% et auto détention 0,3%</t>
  </si>
  <si>
    <t>Répartition CA par activités : Adhésifs 29% (32,6% du REX), Matériaux avancés : 37% (34% du REX), Coating solutions : 26% (17,6% du REX), intermédiaires : 8% (15,8% du REX)</t>
  </si>
  <si>
    <t>E= -2 (1)</t>
  </si>
  <si>
    <t>G =0</t>
  </si>
  <si>
    <t>2025 : faible demande en début d'année</t>
  </si>
  <si>
    <t>Répartition du CA par zone géographique : Asie et reste du monde : 32%, Amérique du Nord : 35% et Europe : 33%</t>
  </si>
  <si>
    <t xml:space="preserve">2024 : Résilience dans un environnement macroéconomique difficile. Finalisation en décembre acquisition activité adhésifs (valeur entreprise : 150 M euros, CA : 250 M euros) sur une technologie à forte valeur ajoutée, progression RSE, stratégie d'innovation, </t>
  </si>
  <si>
    <t>cession d'actifs périphériques en Chine (35 M euros de CA). Dettes avec l'hybride à 3,1 Md euros</t>
  </si>
  <si>
    <t>Dirigeant : Thierry Le Hénaff (1963) dirigeant depuis 2006 est PDG et CEO de l'entreprise (échéance 2028)</t>
  </si>
  <si>
    <t>Nombre de titres au 31/12/2023</t>
  </si>
  <si>
    <t>Intensité capitalistique : 1 (0,7 en 2015)</t>
  </si>
  <si>
    <t>Goodwill : 3 Md euros (20% du bilan et 41% des fonds propres)</t>
  </si>
  <si>
    <t xml:space="preserve">réalisation de projets de grande ampleur en Asie et Amérique du Nord qui auront une forte contribution dans le futur. Émission d'obligations hybride à 4,8% en mars 2024. Obligations : 500 M euros (10 ans à 3,5%). Rachat d'actions de 35 M euros </t>
  </si>
  <si>
    <t>IS: 25,8%</t>
  </si>
  <si>
    <t xml:space="preserve">Trésorerie : 2 Md euros (2,5 mois de CA et 44% de la dette brute). Frais financiers : 73 M euros (0,8% du CA). Coût moyen de la dette : </t>
  </si>
  <si>
    <t>positive</t>
  </si>
  <si>
    <t xml:space="preserve">Répartition par métiers : Construction : 27,5 Md euros (48% du CA et 32,6% du résultat opérationnel) / Télécoms : 7,8 Md euros (14%  du CA et 36,1%  du résultat opérationnel ) / Médias (TF1 - Intégration globale) : 2,3 Md euros (4% du CA et 12,1% du résultat opérationnel) / Equans : 19,2 Md euros (34% du CA et 26% du  résultat opérationnel)  </t>
  </si>
  <si>
    <t>Répartition géographique : France : 48,7% et International : 51,3%</t>
  </si>
  <si>
    <t>2024 : acquisition par Bouygues Telecom de la Banque Postale Mobile pour 950 M euros (2,4 millions de clients), avec les coûts d'intégration et investissement : 1,5 Md euros. Effet positif en 2028</t>
  </si>
  <si>
    <t>Carnet de commandes activités contruction niveau record (32,2 Md euros, + 13%)  dont 9 Md euros à exécuter en 2025. Part international du carnet de commandes 68% en hausse. France stable et international en hausse (construction)</t>
  </si>
  <si>
    <t>Intensité capitalistique : 0,3 (stable dans le temps)</t>
  </si>
  <si>
    <t xml:space="preserve">Trésorerie : Md euros ( mois de CA et % de la dette brute). Frais financiers : 393 M euros (0,7% du CA). Coût moyen de la dette : </t>
  </si>
  <si>
    <t>IS : 30%</t>
  </si>
  <si>
    <t xml:space="preserve">Actionnaires : Famille Bouygues : 28,8%, salariés : 21,6%. Flottant : 49%. Actions détenus par Martin Bouygues : 479  297 actions (107 253 369 actions via SCDM et SCDM Participations). Actions détenues par Edward Bouygues 14 313 actions. </t>
  </si>
  <si>
    <t>DG : Olivier Roussat (1964) et président du conseil d'administration Martin Bouygues. Échéance du mandat en 2027. Né en 1952. Edward Bouygues DG délégué. Échéance du mandat 2025. Né en 1984</t>
  </si>
  <si>
    <t>Présent dans 100 pays, 35 filiales, 40 espèces et 50 gammes de produits. Animaux de compagnie : 62% (contre 59%) et animaux de production : 38% (contre 41%). Des sites de production dans 12 pays. Numéro 6 mondial. Leader Zoetis</t>
  </si>
  <si>
    <t>Goodwill : 276 M euros (15% du bilan et 26,5% des fonds propres)</t>
  </si>
  <si>
    <t>Trésorerie : 149 M euros (1,2 mois de CA) et 10 M euros de charges financières (0,7% du CA)</t>
  </si>
  <si>
    <t>Pay-out ratio : 17% (à 1,45 euros contre à 1,35 euros en 2023 et 0,75 euros en 2021) dividendes supprimés pour baisser l'endettement en 2020</t>
  </si>
  <si>
    <t>Par pays : animaux d'élevage aux États-Unis (1-2 Me de CA en 2023) et de la Chine. Inde et Australie bien, Chili très difficile (saumon) passe de 50 à 37 Me de CA.</t>
  </si>
  <si>
    <t>Risque : générique. Extension du système facile</t>
  </si>
  <si>
    <t>R&amp;D : 8% du CA</t>
  </si>
  <si>
    <t>2017 : les Etats-Unis repartent plus doucement (décalage) et Sentinel souffreLes grandes axes de Virbac : montée en puissance des US et de l'usine de St Louis (démarrage de l'activité animaux de production), Emergents (Chine : chiens, aquaculture et porc) et recherche d'un blockbuster avec 50 M de dollars de ventes</t>
  </si>
  <si>
    <t>Galderma</t>
  </si>
  <si>
    <t>Garmin</t>
  </si>
  <si>
    <t>Minoritaires : 1,5 %</t>
  </si>
  <si>
    <t>IS : 24,3%</t>
  </si>
  <si>
    <t>Actionnariat : Delfin 32,3% (holding détenu par le CEO Leonardo Del Vecchio), Salariés 4,4 %, Public 63,2 %</t>
  </si>
  <si>
    <t>Direction : Francesco Milleri (1 000 actions, né en 1959 - Président Directeur Général) Paul du Saillant (375 000 actions, né en 1959 - Directeur général délégué)</t>
  </si>
  <si>
    <t>2024 : Emission de 375 000 actions au prix de 360 €, soit 135 M euros</t>
  </si>
  <si>
    <t>Intensité capitalistique : 0,5 (0,25 il y a 10 ans)</t>
  </si>
  <si>
    <t>Possède 9M de m² d'entrepôt (au moins 450 entrepôts), réparti dans 18 pays, États-Unis, Europe, procède à la livraison du dernier kilomètre</t>
  </si>
  <si>
    <t>IS : 28 %</t>
  </si>
  <si>
    <t xml:space="preserve">Trésorerie : 314 M euros (1,1 mois de CA et % de la dette brute). Frais financiers : 67,4 M euros (2,1 % du CA). Coût moyen de la dette : </t>
  </si>
  <si>
    <t>Goodwill : 16,9 Md euros (13 % Total bilan et 86 % des fonds propres)</t>
  </si>
  <si>
    <t>Intensité capitalistique : 0,05</t>
  </si>
  <si>
    <t>A / stable</t>
  </si>
  <si>
    <t>Minoritaire: &lt; 1%</t>
  </si>
  <si>
    <t xml:space="preserve">Trésorerie : 15 Md euros (2,5 mois de CA et % de la dette brute). Frais financiers : 900 M euros (1,3% du CA). Coût moyen de la dette : </t>
  </si>
  <si>
    <t>2024 : acquisition de Sasaeah au Japon, un labo sur les animaux d'élevage et de compagnie pour 280 M euros (CA : 75 M euros et 500 salariés). 50% de vaccins, devient leader au Japon sur les bovins, présence au Vietnam. Acquisition du distributeur en Turquie (filiale : 2 M euros de CA)</t>
  </si>
  <si>
    <t>Montres et appareils connectés</t>
  </si>
  <si>
    <t>Etats-Unis</t>
  </si>
  <si>
    <t>Pay-out ratio : 40%</t>
  </si>
  <si>
    <t>Actionnaires : famille Arnault à 49% et 64,8% des droits de vote</t>
  </si>
  <si>
    <t>Delphine Arnault (1975) l'aînée dirigeante de Dior et Antoine (1977) au conseil d'administration</t>
  </si>
  <si>
    <t>2023 : poursuite des résultats exceptionnels avec 86 Md euros de CA et 15 Md euros de résultat net. Transmission en cours avec 4 de ses enfants sur 5 dans l'entreprise, Bernard Arnault (1949) mandat à échéance en 2029 (80 ans)</t>
  </si>
  <si>
    <t>Le marché de l'optique est estimé à 285 Md dollars en 2032 contre 171 Md dollars en 2024. 147,6 milliards de dollar en 2020. Progression notamment dû à l'augmentation des problèmes ophtalmique dans le monde et l'essor des lunettes comme accesoire de mode</t>
  </si>
  <si>
    <t xml:space="preserve">Les deux CEO ont alors conclu un accord pour confier plus de responsabilités à leurs seconds respectifs (Francesco Milleri et Paul du Saillant) </t>
  </si>
  <si>
    <t>Fusion le 1er Octobre 2018, entreprise multinationale franco-italienne. Conception, production et commercialisation de verres ophtalmiques, d'équipements optiques, de lunettes de vue et lunettes de soleil.</t>
  </si>
  <si>
    <t>CA : Amérique du Nord : 45,2%, EMEA : 36,8%, Asie-Pacifique : 12,3% et Amérique Latine : 5,8%.Présent dans 250 pays, 18 000 magasins</t>
  </si>
  <si>
    <t>R&amp;D : 2,38% du CA</t>
  </si>
  <si>
    <t>Trésorerie : 2,25 Md euros (1 mois de CA, 23 % de la dette brute)   Frais financiers : 165 M euros (0,62 % du CA) Coût de la dette : 3%</t>
  </si>
  <si>
    <t>2024 : 766 avions livrés (environ 65 M euros par avion). Perspectives favorables, carnet de commandes élevés. Commercialisation du A321XR (traverse les océans sans ravitaillement) et d'un nouvel hélicoptère</t>
  </si>
  <si>
    <t xml:space="preserve">Hélicoptères : 338 / an de vente, 739 état du carnet de commande (18 Md euros) Marge 8 % </t>
  </si>
  <si>
    <t>2025 : cession de la partie industrielle à Latour capital pour 525 M euros (700 M euros de CA et 2000 salariés)</t>
  </si>
  <si>
    <t xml:space="preserve">Conglomérat : valeur de TF1 : 700 - 800 Me (pour une valeur de TF1 Groupe à 1,5-2 Md euros) - Bouygues Telecom (18% de part de marché) : 8 Md euros (Iliad : 10 Md euros) et Construction : 7-8 Md euros. </t>
  </si>
  <si>
    <t>Acquisition de la marque Goutal (parfumerie Haut de gamme, 10-12 M euros de CA), prolongement de la licence Coach (juin 2031)</t>
  </si>
  <si>
    <t xml:space="preserve">Marques en Licence : 10 parfums 96% du CA et 4 parfums 78% du CA. Jimmy Choo (224 M euros de CA - 25% du CA, échéance de la licence 2031) Mont Blanc (203 M euros de CA - 23% du CA et échéance 2030), Lacoste (79 M euros de CA - 9% du CA  lancement en 2024 - échéance 2039) , Coach (182 M euros de CA et 21% du CA, échéance 2031) </t>
  </si>
  <si>
    <t>Actionnaires : CDC 4,86%, Crédit Agricole 6,56%, Salariés 7,46%, Blackrock 5%, Caixa Bank : 5%, BPI : 3,5%. Flottant : 67,5%</t>
  </si>
  <si>
    <t xml:space="preserve">2020 : vaccins anti-Covid 19 découvert en novembre 2020. 600 - 1 Md de doses espérées en 2021 à 31 euros la dose et 1,4 Md de doses en 2022. </t>
  </si>
  <si>
    <t>Partenariat en Australie et au Canada</t>
  </si>
  <si>
    <t>Goodwill : 4,2 Md euros (42% du total bilan et 201% des fonds propres)</t>
  </si>
  <si>
    <t xml:space="preserve">2024 : activité en hausse de 13,7% (9,2% acquisitions, 4,3% croissance organique) portée par la transition énergétique et la transformation numérique. Cession par BPI de ses actions soit 5,5% du capital  </t>
  </si>
  <si>
    <t xml:space="preserve">Services multitechniques, énergie et communications en Europe fondée en 1900. Installation fibre optique, station de recharge éléctrique. </t>
  </si>
  <si>
    <t>Allemagne principal moteur de croissance, premier contributeur du groupe</t>
  </si>
  <si>
    <t xml:space="preserve">2025 : perspectives croissanve CA supérieur 10 milliards euros, pouruite de la croissance organique et activité d'acquisitions soutenue. Cession par PEUGEOT INVEST  actionnaire depuis 2017) de 50% de sa particpation pour 164,9 millions euros détient toujours 2,5% du capital  </t>
  </si>
  <si>
    <t>PDG : Gauthier Louette (1961) depuis 2010 et chez SPIE depuis 1986. Fin de son mandat le 31 décembre 2026</t>
  </si>
  <si>
    <t xml:space="preserve">Répartition du CA par lignes de métiers (dans tous les secteurs de l'économie) : 15% transmission et distribution, 18% information et communications, 24% mécanique et services électriques, 42% gestion des installations techniques </t>
  </si>
  <si>
    <t xml:space="preserve">Répartition du CA par zone géographique : 35% France, 32% Allemagne, 16,5% Pays Bas et 16,5% reste de l'Europe. Groupe 100% Europe </t>
  </si>
  <si>
    <t>Actionnaires : 85,4% public, Peugeot Invest : 5%, salariés : 7,8% et managers : 1,8,% dont 1,5 % Gauthier Louette</t>
  </si>
  <si>
    <t>2016 : SAG acheté 850 M euros en novembre (11 fois l'EBITA 2016 ou 8,8 fois EBITA 2016 après prise en compte des synergies).SAG consolidé depuis le 1er avril 2017. Consolidé sur un an, le CA de Spie sera de 6,5 Md euros</t>
  </si>
  <si>
    <t>Intensité capitalistique : 0,39 (0,42 en 2015)</t>
  </si>
  <si>
    <t>Trésorerie : 713 M euros ( 1 mois de CA et 25% de la dette brute). Frais financiers : 91 M euros (1% du CA). Coût moyen de la dette : 3,6-3,7%</t>
  </si>
  <si>
    <t>2018 : cash conversion 2018 bien, baisse de la dette, taux de la dette bien. Créances clients à 1,8 Md e soit 25% du CA. Distribution 100% du résultat net en 2018, 60% en 2019. Retour du Pay-out ratio à 40%</t>
  </si>
  <si>
    <t>Interrogation sur l'EBITA, le repère Résultat d'exploitation est plus intéressant, achat sur des niveaux de 6,5 fois de l'année en cours. EBE de 555 M e en 2019. Covenant à 4 et pas de dettes avant 2023. Attention publie une dette hors IFRS 16. Avec IFRS 16 dettes à 1,860 Md euros avec 550 Me d'EBE</t>
  </si>
  <si>
    <t xml:space="preserve">Cash conversion : 122% en 2016 (cash conversion = cash flow exploitation / EBITA) parce que c'est une société de service et peu d'investissement. Refinancement de SAG (600 M euros à 3,125%). Impact de SAG sur l'endettement 460 Me </t>
  </si>
  <si>
    <t>2019 : à partir de 2019, dettes avec IFRS 16 dans le tableau</t>
  </si>
  <si>
    <t xml:space="preserve">Actionnaires : Famille Maubert : 37,1%, FSI : 7,1%, Peugeot Invest : 7,1%, auto-contrôle : 9,2%. Les 3 agissant de concert : 60,5% Firmenich : 1,1% sortie en cours. Flottant : 38,4% </t>
  </si>
  <si>
    <t>Peugeot Invest (ex-FFP) est la holding de la famille Peugeot coté en bourse et détenue principalement par la holding non cotée de la famille Ets Peugeot Frères à 79,98%. Flottant : 20%</t>
  </si>
  <si>
    <t>Sur la partie cotée : cession presque totale de Safran, reste Seb, Spie, Orpea et Tikehau. Loan to value à 17% avec 1,1 Md euros de dettes pour 7 Md euros d'actifs</t>
  </si>
  <si>
    <t>ANR : 182,7 euros. A subi de plein fouet la chute de Stellantis (41% des actifs). Rotation bonne sur le reste des actifs cotés (investissement dans Robertet) plus mitigé sur le non coté. Résultats grâce aux dividendes de Stellantis. Loan to Value faible autour de 10%</t>
  </si>
  <si>
    <t>Minoritaires : 13%</t>
  </si>
  <si>
    <t>IS : 13%</t>
  </si>
  <si>
    <t>2025 : cession de 2,5% du capital de Spie pour 165 M euros (TRI de 9%). Frais financiers : 28 M euros (10% des revenus). Frais généraux : 40 M euros (0,6% des encours)</t>
  </si>
  <si>
    <t>R&amp;D à 8,1% du CA (7,6 % en 2023)</t>
  </si>
  <si>
    <t>CA : Europe (49%), aux États-Unis (21%) Amériques hors états unis (15%) et en Asie-Pacifique (15,4%) - 24 pays en direct et 100 pays avec les distributeurs</t>
  </si>
  <si>
    <t>Laboratoires vétérinaires créée en 1933 plus petit que Virbac déténu par la famille Frechin à 67,33% - flottant : 33%</t>
  </si>
  <si>
    <t>Goodwill : 75 M euros (14% des fonds propres et 11% du bilan)</t>
  </si>
  <si>
    <t xml:space="preserve">Trésorerie : 147 M euros (3 mois de CA + 100% de la dette). Frais financiers : 3,7 M euros (0,7% du CA). Coût moyen de la dette : </t>
  </si>
  <si>
    <t>CA : Compagnie 70% Elevage 30%</t>
  </si>
  <si>
    <t>Intensité capitalistique : 0,74 (en amélioration, 2015 : 1)</t>
  </si>
  <si>
    <t>2022, Russie - Ukraine (1% du CA pas de présence direct) contre-coup Covid-19 sur les animaux de compagnie et inflation des coûts, transition mais perspectives 2026 favorables</t>
  </si>
  <si>
    <t>2025 ,</t>
  </si>
  <si>
    <t>Intensité capitalistique : 0,83 (0,66 en 2013)</t>
  </si>
  <si>
    <t>Intensité capitalistique : 1,33 contre 1 en 2012 liée aux acquisitions</t>
  </si>
  <si>
    <t>Trésorerie : 124 M euros (3 semaines de CA et 20% de la dette brute). Frais financiers : 49,1 M euros (2,6% du CA)</t>
  </si>
  <si>
    <t>Europe : 60% - États-Unis  : 40%. Passage Europe et États-Unis entre 2022 et 2025 avec la sortie des émergents. Présent dans 14 pays</t>
  </si>
  <si>
    <t xml:space="preserve">B1 / Stable </t>
  </si>
  <si>
    <t>Actionnaire : 23,6% détenue par l'Etat, 5,2% par Blackrock, 3,9% par les salariés, 6,4% The Capital Group Companies, et la CDC 4,6%. Flottant : 56,3%</t>
  </si>
  <si>
    <t xml:space="preserve">DG : Catherine MacGregor (1972) depuis 2021 échéance mandat 2025 . 106 000 titres au 31/12/2024. Jean-Pierre Clamadieu (1958) : président du conseil d'administration depuis 2018 échéance mnadat 2026 - 50 000 titres au 31/12/2024 </t>
  </si>
  <si>
    <t>Intensité capitalistique : 0,93 (0,7 en 2023, en amélioration avec la hausse des prix du gaz et de l'électricité)</t>
  </si>
  <si>
    <t>Goodwill : 13,3 Md euros (7% du bilan et 38,5% des fonds propres), 2023 : 12,8 Md euros (6,6% du bilan et 42,8% des fonds propres)</t>
  </si>
  <si>
    <t>2022 : cession au groupe Bouygues d'EQUANS</t>
  </si>
  <si>
    <t xml:space="preserve">Dette économique à 47,9 Md euros (3,08 fois l'EBE). La dette économique comprend 24 Md euros pour le démantélement des centrales nucléaires.  </t>
  </si>
  <si>
    <t xml:space="preserve">2025 : nouvelle organisation effective 1er février 4 units Renouvelable et flex power, Networks, Local energy infrastructure et Supply energy management </t>
  </si>
  <si>
    <t>Minoritaires :  16% des capitaux propres et 17% du résultat</t>
  </si>
  <si>
    <t>R&amp;D : 146 M euros  (0,2% du CA), 2023 : 142 M euros (0,17% du CA), 2022 : 135 M euros (0,14 % du CA)</t>
  </si>
  <si>
    <t>4 Business Unit :  GEMS global energy management and sales 42,5% du CA, Énergie renouvelable 7,4% du CA , Infrastructure (transport GNL) 9,8% du CA , Energy Solution (infrastructures décentralisées bas carbone) 13,3% du CA et FlexGen &amp; Retail (vente energie) 25,7% du CA (dont Retail 19%)</t>
  </si>
  <si>
    <t>CA : France : 44,2% (contre 45% en 2023), Europe (hors France) : 37,4% (35%), États-Unis : 7,5% (7%), Amérique Latine : 6% (7%), Asie,Moyen-Orient &amp; Afrique : 4,8% (6%). Présent 30 pays</t>
  </si>
  <si>
    <t xml:space="preserve">Entre 21 - 24 Md euros d'investissement d'ici 2027 (énergie verte, batterie…). Rn attendu entre 4,4 - 5 Md euros. En 2026, 4,2 - 4,8 Md et 4,4 - 5 Md en 2027 </t>
  </si>
  <si>
    <t>2024 : vente du solde de GTT, 5% du capital à 140 euros au printemps pour 300 M euros. Poursuite du recentrage. 10 Md euros d'investissement</t>
  </si>
  <si>
    <t>Trésorerie : 16,9 Md euros (plus de 2 mois 1/2 de CA et plus de 1/2 de la dette brute). Charges financières : 1,84 Md euros (2,5% du CA contre 2,6% en 2023). Coût de la dette brute : 4,75% maturité : 13,8 ans</t>
  </si>
  <si>
    <t>IS : 25,8%</t>
  </si>
  <si>
    <t>2025 : cession de la Turquie pour 24 M euros (90 M euros de CA) à Dilek Grup. Total des cessions des émergents : autour de 400 M euros. Refinancement avec une facilité de 252 M euros (échéance 2025) et de 400 M euros (2030 à 5,25%) pour remplacer le 2026 (où il restera 180 M euros)</t>
  </si>
  <si>
    <t>Pay out ratio : pas de dividendes en 2025. 33 % en 2022 retour à 50% en 2021 - non versé en 2020 - 24% les années antérieures</t>
  </si>
  <si>
    <t>Intensité capitalistique : 0,87. Goodwill : 97 M euros (9,5% du bilan et 25,7% du bilan). Trésorerie : 51 M euros (3 semaines de CA). Frais financiers : 22 M euros (2,6% du CA)</t>
  </si>
  <si>
    <t>Secteurs : industries manufacturières : 69%. Automobile : 24%, industrie : 17%, aérospatial et défense : 13%. Santé : 23%. Les infrastructures et les villes : 8% et santé</t>
  </si>
  <si>
    <t>2022 : accord de la FDA (États-Unis) pour l'Elucirem brevet jusqu'en 2042 (Gadopiclenol) de la FDA, en attente de l'EMA (Europe) début 2023. Croissance entre 2 et 4% de croissance grâce au microcathéters (Accurate) et la filiale en Chine et 14,4% de marge.</t>
  </si>
  <si>
    <t>CMDS : produits de contraste : 410 M euros de CA acheté 253,2 M euros financé par dette en 2015. La dette était de 90 M e avant acquisition, en 2020 : 300 M euros donc légère création de valeur (paye Invest : 50 M e par an et divi : 10 Meuros par an)</t>
  </si>
  <si>
    <t>Trésorerie : 393 M euros (1 mois de CA). Frais financiers : 72 M euros (1,4% du CA)</t>
  </si>
  <si>
    <t>Dette avec provision pour fonds de pension de 500 M euros (contrairement à Siemens Healthineers)</t>
  </si>
  <si>
    <t>R&amp;D : 5,5% du CA (275 M euros)</t>
  </si>
  <si>
    <t>Pay-out ratio : 35%</t>
  </si>
  <si>
    <t>2024 : Acquisition de Probi (probiotiques) en Suède. Bonne année avec une progression de l'activité, des marges et une baisse de l'endettement</t>
  </si>
  <si>
    <t>Minoritaires : 1,5% des fonds propres</t>
  </si>
  <si>
    <t>dy</t>
  </si>
  <si>
    <t>Évolution CA
(2019-2024)</t>
  </si>
  <si>
    <t>CA 2019</t>
  </si>
  <si>
    <t>CA 2024</t>
  </si>
  <si>
    <t>Actionnaires : SITAM Belgique (famille Dassault) : 5,6%, BPI France : 5,2%, FSP : 4,2%, salariés et auto-détention : 4,4%, Capital Group : 5,1%, BlackRock : 5,8%. Flottant : 69%</t>
  </si>
  <si>
    <t>IPO le 27 janvier 2025 à 11,5 euros</t>
  </si>
  <si>
    <t>Blankfein part à la retraite remplacé par Salomon, plus discuté. L'aventure sur le particulier et le crédit coûtent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</si>
</sst>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4" formatCode="_ * #,##0.00_)\ &quot;€&quot;_ ;_ * \(#,##0.00\)\ &quot;€&quot;_ ;_ * &quot;-&quot;??_)\ &quot;€&quot;_ ;_ @_ "/>
    <numFmt numFmtId="164" formatCode="_-* #,##0.00\ &quot;€&quot;_-;\-* #,##0.00\ &quot;€&quot;_-;_-* &quot;-&quot;??\ &quot;€&quot;_-;_-@_-"/>
    <numFmt numFmtId="165" formatCode="_-* #,##0.00\ _€_-;\-* #,##0.00\ _€_-;_-* &quot;-&quot;??\ _€_-;_-@_-"/>
    <numFmt numFmtId="166" formatCode="_-* #,##0\ _€_-;\-* #,##0\ _€_-;_-* &quot;-&quot;??\ _€_-;_-@_-"/>
    <numFmt numFmtId="167" formatCode="0.0%"/>
    <numFmt numFmtId="168" formatCode="_-* #,##0.0\ _€_-;\-* #,##0.0\ _€_-;_-* &quot;-&quot;??\ _€_-;_-@_-"/>
    <numFmt numFmtId="169" formatCode="_-* #,##0.000\ _€_-;\-* #,##0.000\ _€_-;_-* &quot;-&quot;??\ _€_-;_-@_-"/>
    <numFmt numFmtId="170" formatCode="0.0"/>
    <numFmt numFmtId="171" formatCode="_ * #,##0_)\ _€_ ;_ * \(#,##0\)\ _€_ ;_ * &quot;-&quot;?_)\ _€_ ;_ @_ "/>
    <numFmt numFmtId="172" formatCode="_([$€-2]\ * #,##0_);_([$€-2]\ * \(#,##0\);_([$€-2]\ * &quot;-&quot;_);_(@_)"/>
    <numFmt numFmtId="173" formatCode="_([$$-409]* #,##0_);_([$$-409]* \(#,##0\);_([$$-409]* &quot;-&quot;_);_(@_)"/>
    <numFmt numFmtId="174" formatCode="_-[$£-809]* #,##0_-;\-[$£-809]* #,##0_-;_-[$£-809]* &quot;-&quot;_-;_-@_-"/>
    <numFmt numFmtId="175" formatCode="_-[$$-3C09]* #,##0_-;\-[$$-3C09]* #,##0_-;_-[$$-3C09]* &quot;-&quot;_-;_-@_-"/>
    <numFmt numFmtId="176" formatCode="_-* #,##0.00\ [$CHF]_-;\-* #,##0.00\ [$CHF]_-;_-* &quot;-&quot;??\ [$CHF]_-;_-@_-"/>
    <numFmt numFmtId="177" formatCode="#,##0\ _€"/>
    <numFmt numFmtId="178" formatCode="yyyy"/>
    <numFmt numFmtId="179" formatCode="_-* #,##0\ &quot;€&quot;_-;\-* #,##0\ &quot;€&quot;_-;_-* &quot;-&quot;??\ &quot;€&quot;_-;_-@_-"/>
    <numFmt numFmtId="180" formatCode="#,##0.0"/>
    <numFmt numFmtId="181" formatCode="d/m/yy;@"/>
  </numFmts>
  <fonts count="38">
    <font>
      <sz val="12"/>
      <color theme="1"/>
      <name val="Quicksand"/>
      <family val="2"/>
      <charset val="128"/>
      <scheme val="minor"/>
    </font>
    <font>
      <sz val="12"/>
      <color theme="1"/>
      <name val="Quicksand"/>
      <family val="2"/>
      <scheme val="minor"/>
    </font>
    <font>
      <u/>
      <sz val="12"/>
      <color theme="10"/>
      <name val="Quicksand"/>
      <family val="2"/>
      <scheme val="minor"/>
    </font>
    <font>
      <u/>
      <sz val="12"/>
      <color theme="11"/>
      <name val="Quicksand"/>
      <family val="2"/>
      <scheme val="minor"/>
    </font>
    <font>
      <sz val="8"/>
      <name val="Quicksand"/>
      <family val="2"/>
      <scheme val="minor"/>
    </font>
    <font>
      <sz val="12"/>
      <color theme="1"/>
      <name val="Quicksand"/>
      <family val="2"/>
      <charset val="128"/>
      <scheme val="minor"/>
    </font>
    <font>
      <sz val="9"/>
      <color indexed="81"/>
      <name val="Tahoma"/>
      <family val="2"/>
    </font>
    <font>
      <b/>
      <sz val="9"/>
      <color indexed="81"/>
      <name val="Tahoma"/>
      <family val="2"/>
    </font>
    <font>
      <sz val="8"/>
      <name val="Quicksand"/>
      <family val="2"/>
      <charset val="128"/>
      <scheme val="minor"/>
    </font>
    <font>
      <sz val="12"/>
      <color theme="0"/>
      <name val="Quicksand"/>
      <family val="2"/>
      <charset val="128"/>
      <scheme val="minor"/>
    </font>
    <font>
      <b/>
      <sz val="14"/>
      <color theme="1"/>
      <name val="Garamond"/>
      <family val="1"/>
    </font>
    <font>
      <b/>
      <sz val="14"/>
      <color theme="4"/>
      <name val="Garamond"/>
      <family val="1"/>
    </font>
    <font>
      <b/>
      <sz val="12"/>
      <color theme="1"/>
      <name val="Garamond"/>
      <family val="1"/>
    </font>
    <font>
      <sz val="12"/>
      <color theme="1"/>
      <name val="Garamond"/>
      <family val="1"/>
    </font>
    <font>
      <b/>
      <sz val="9"/>
      <name val="Garamond"/>
      <family val="1"/>
    </font>
    <font>
      <b/>
      <i/>
      <sz val="12"/>
      <color theme="1"/>
      <name val="Garamond"/>
      <family val="1"/>
    </font>
    <font>
      <sz val="12"/>
      <color rgb="FF000000"/>
      <name val="Garamond"/>
      <family val="1"/>
    </font>
    <font>
      <b/>
      <sz val="12"/>
      <color theme="4"/>
      <name val="Garamond"/>
      <family val="1"/>
    </font>
    <font>
      <b/>
      <u/>
      <sz val="12"/>
      <color theme="1"/>
      <name val="Garamond"/>
      <family val="1"/>
    </font>
    <font>
      <b/>
      <sz val="12"/>
      <color theme="0"/>
      <name val="Garamond"/>
      <family val="1"/>
    </font>
    <font>
      <b/>
      <sz val="12"/>
      <name val="Garamond"/>
      <family val="1"/>
    </font>
    <font>
      <b/>
      <u/>
      <sz val="16"/>
      <color theme="5" tint="0.79998168889431442"/>
      <name val="Garamond"/>
      <family val="1"/>
    </font>
    <font>
      <b/>
      <u/>
      <sz val="16"/>
      <color theme="4"/>
      <name val="Garamond"/>
      <family val="1"/>
    </font>
    <font>
      <sz val="16"/>
      <color theme="5" tint="0.79998168889431442"/>
      <name val="Garamond"/>
      <family val="1"/>
    </font>
    <font>
      <sz val="12"/>
      <color theme="0"/>
      <name val="Garamond"/>
      <family val="1"/>
    </font>
    <font>
      <b/>
      <sz val="11"/>
      <color theme="1"/>
      <name val="Garamond"/>
      <family val="1"/>
    </font>
    <font>
      <b/>
      <sz val="12"/>
      <color theme="6" tint="0.39997558519241921"/>
      <name val="Garamond"/>
      <family val="1"/>
    </font>
    <font>
      <sz val="12"/>
      <color theme="6" tint="0.39997558519241921"/>
      <name val="Garamond"/>
      <family val="1"/>
    </font>
    <font>
      <b/>
      <sz val="16"/>
      <color theme="5" tint="0.79998168889431442"/>
      <name val="Garamond"/>
      <family val="1"/>
    </font>
    <font>
      <b/>
      <sz val="14"/>
      <color theme="0"/>
      <name val="Garamond"/>
      <family val="1"/>
    </font>
    <font>
      <sz val="14"/>
      <color theme="0"/>
      <name val="Garamond"/>
      <family val="1"/>
    </font>
    <font>
      <sz val="12"/>
      <color theme="1"/>
      <name val="Quicksand"/>
      <family val="1"/>
      <charset val="128"/>
      <scheme val="minor"/>
    </font>
    <font>
      <sz val="8"/>
      <color theme="1"/>
      <name val="Quicksand"/>
      <family val="1"/>
      <charset val="128"/>
      <scheme val="minor"/>
    </font>
    <font>
      <sz val="12"/>
      <name val="Garamond"/>
      <family val="1"/>
    </font>
    <font>
      <b/>
      <sz val="12"/>
      <color rgb="FF000000"/>
      <name val="Garamond"/>
      <family val="1"/>
    </font>
    <font>
      <sz val="14"/>
      <color theme="1"/>
      <name val="Garamond"/>
      <family val="1"/>
    </font>
    <font>
      <b/>
      <sz val="14"/>
      <name val="Garamond"/>
      <family val="1"/>
    </font>
    <font>
      <sz val="14"/>
      <name val="Garamond"/>
      <family val="1"/>
    </font>
  </fonts>
  <fills count="11">
    <fill>
      <patternFill patternType="none"/>
    </fill>
    <fill>
      <patternFill patternType="gray125"/>
    </fill>
    <fill>
      <patternFill patternType="solid">
        <fgColor theme="4"/>
        <bgColor indexed="64"/>
      </patternFill>
    </fill>
    <fill>
      <patternFill patternType="solid">
        <fgColor theme="0" tint="-0.14999847407452621"/>
        <bgColor theme="0" tint="-0.14999847407452621"/>
      </patternFill>
    </fill>
    <fill>
      <patternFill patternType="solid">
        <fgColor theme="3" tint="0.79998168889431442"/>
        <bgColor indexed="64"/>
      </patternFill>
    </fill>
    <fill>
      <patternFill patternType="solid">
        <fgColor rgb="FFD9D9D9"/>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4" tint="0.89999084444715716"/>
        <bgColor indexed="64"/>
      </patternFill>
    </fill>
  </fills>
  <borders count="11">
    <border>
      <left/>
      <right/>
      <top/>
      <bottom/>
      <diagonal/>
    </border>
    <border>
      <left/>
      <right/>
      <top/>
      <bottom style="thick">
        <color auto="1"/>
      </bottom>
      <diagonal/>
    </border>
    <border>
      <left style="thin">
        <color indexed="64"/>
      </left>
      <right/>
      <top/>
      <bottom/>
      <diagonal/>
    </border>
    <border>
      <left/>
      <right style="thin">
        <color indexed="64"/>
      </right>
      <top/>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theme="1"/>
      </top>
      <bottom style="thin">
        <color theme="1"/>
      </bottom>
      <diagonal/>
    </border>
  </borders>
  <cellStyleXfs count="1702">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5" fillId="0" borderId="0" applyFont="0" applyFill="0" applyBorder="0" applyAlignment="0" applyProtection="0"/>
    <xf numFmtId="2" fontId="9" fillId="0" borderId="0"/>
    <xf numFmtId="164" fontId="5" fillId="0" borderId="0" applyFont="0" applyFill="0" applyBorder="0" applyAlignment="0" applyProtection="0"/>
  </cellStyleXfs>
  <cellXfs count="301">
    <xf numFmtId="0" fontId="0" fillId="0" borderId="0" xfId="0"/>
    <xf numFmtId="0" fontId="0" fillId="0" borderId="0" xfId="0" applyAlignment="1">
      <alignment horizontal="center" vertical="center"/>
    </xf>
    <xf numFmtId="0" fontId="10" fillId="0" borderId="0" xfId="0" applyFont="1" applyAlignment="1">
      <alignment horizontal="center"/>
    </xf>
    <xf numFmtId="0" fontId="12" fillId="0" borderId="0" xfId="0" applyFont="1" applyAlignment="1">
      <alignment horizontal="center" vertical="top"/>
    </xf>
    <xf numFmtId="0" fontId="13" fillId="0" borderId="0" xfId="0" applyFont="1" applyAlignment="1">
      <alignment horizontal="center"/>
    </xf>
    <xf numFmtId="10" fontId="13" fillId="0" borderId="0" xfId="2" applyNumberFormat="1" applyFont="1" applyAlignment="1">
      <alignment horizontal="center"/>
    </xf>
    <xf numFmtId="0" fontId="13" fillId="0" borderId="0" xfId="0" applyFont="1"/>
    <xf numFmtId="0" fontId="14" fillId="0" borderId="0" xfId="0" applyFont="1" applyAlignment="1">
      <alignment horizontal="left" vertical="top"/>
    </xf>
    <xf numFmtId="167" fontId="13" fillId="0" borderId="0" xfId="2" applyNumberFormat="1" applyFont="1" applyAlignment="1">
      <alignment horizontal="center"/>
    </xf>
    <xf numFmtId="3" fontId="13" fillId="0" borderId="0" xfId="0" applyNumberFormat="1" applyFont="1" applyAlignment="1">
      <alignment horizontal="center"/>
    </xf>
    <xf numFmtId="0" fontId="13" fillId="0" borderId="0" xfId="0" applyFont="1" applyAlignment="1">
      <alignment horizontal="left"/>
    </xf>
    <xf numFmtId="0" fontId="15" fillId="0" borderId="0" xfId="0" applyFont="1" applyAlignment="1">
      <alignment horizontal="center"/>
    </xf>
    <xf numFmtId="0" fontId="15" fillId="0" borderId="0" xfId="0" applyFont="1"/>
    <xf numFmtId="0" fontId="12" fillId="0" borderId="0" xfId="0" applyFont="1" applyAlignment="1">
      <alignment horizontal="center"/>
    </xf>
    <xf numFmtId="0" fontId="15" fillId="0" borderId="0" xfId="0" applyFont="1" applyAlignment="1">
      <alignment horizontal="right"/>
    </xf>
    <xf numFmtId="166" fontId="13" fillId="0" borderId="0" xfId="1" applyNumberFormat="1" applyFont="1"/>
    <xf numFmtId="1" fontId="13" fillId="0" borderId="0" xfId="0" applyNumberFormat="1" applyFont="1" applyAlignment="1">
      <alignment horizontal="center"/>
    </xf>
    <xf numFmtId="166" fontId="13" fillId="0" borderId="0" xfId="0" applyNumberFormat="1" applyFont="1"/>
    <xf numFmtId="0" fontId="16" fillId="0" borderId="0" xfId="0" applyFont="1"/>
    <xf numFmtId="166" fontId="13" fillId="0" borderId="0" xfId="1" applyNumberFormat="1" applyFont="1" applyAlignment="1"/>
    <xf numFmtId="0" fontId="12" fillId="0" borderId="0" xfId="0" applyFont="1" applyAlignment="1">
      <alignment horizontal="center" vertical="center"/>
    </xf>
    <xf numFmtId="0" fontId="12" fillId="0" borderId="0" xfId="0" applyFont="1"/>
    <xf numFmtId="0" fontId="13" fillId="0" borderId="0" xfId="0" applyFont="1" applyAlignment="1">
      <alignment horizontal="right"/>
    </xf>
    <xf numFmtId="4" fontId="13" fillId="0" borderId="0" xfId="0" applyNumberFormat="1" applyFont="1" applyAlignment="1">
      <alignment horizontal="center"/>
    </xf>
    <xf numFmtId="0" fontId="15" fillId="0" borderId="0" xfId="0" applyFont="1" applyAlignment="1">
      <alignment horizontal="left"/>
    </xf>
    <xf numFmtId="3" fontId="13" fillId="0" borderId="0" xfId="0" applyNumberFormat="1" applyFont="1"/>
    <xf numFmtId="0" fontId="13" fillId="0" borderId="0" xfId="0" applyFont="1" applyAlignment="1">
      <alignment horizontal="left" vertical="center"/>
    </xf>
    <xf numFmtId="165" fontId="13" fillId="0" borderId="0" xfId="1" applyFont="1" applyAlignment="1">
      <alignment horizontal="right"/>
    </xf>
    <xf numFmtId="0" fontId="12" fillId="0" borderId="0" xfId="0" applyFont="1" applyAlignment="1">
      <alignment horizontal="left" vertical="top"/>
    </xf>
    <xf numFmtId="0" fontId="18" fillId="0" borderId="0" xfId="0" applyFont="1" applyAlignment="1">
      <alignment horizontal="center"/>
    </xf>
    <xf numFmtId="0" fontId="12" fillId="0" borderId="0" xfId="0" applyFont="1" applyAlignment="1">
      <alignment horizontal="left"/>
    </xf>
    <xf numFmtId="0" fontId="13" fillId="0" borderId="0" xfId="0" applyFont="1" applyAlignment="1">
      <alignment horizontal="center" vertical="center"/>
    </xf>
    <xf numFmtId="0" fontId="13" fillId="0" borderId="0" xfId="0" applyFont="1" applyAlignment="1">
      <alignment vertical="center"/>
    </xf>
    <xf numFmtId="14" fontId="13" fillId="0" borderId="0" xfId="0" applyNumberFormat="1" applyFont="1" applyAlignment="1">
      <alignment horizontal="center" vertical="center"/>
    </xf>
    <xf numFmtId="10" fontId="13" fillId="0" borderId="0" xfId="0" applyNumberFormat="1" applyFont="1" applyAlignment="1">
      <alignment horizontal="center"/>
    </xf>
    <xf numFmtId="10" fontId="13" fillId="0" borderId="0" xfId="2" applyNumberFormat="1" applyFont="1"/>
    <xf numFmtId="0" fontId="19" fillId="2" borderId="0" xfId="0" applyFont="1" applyFill="1" applyAlignment="1">
      <alignment horizontal="center"/>
    </xf>
    <xf numFmtId="0" fontId="19" fillId="2" borderId="0" xfId="0" applyFont="1" applyFill="1"/>
    <xf numFmtId="0" fontId="12" fillId="0" borderId="1" xfId="0" applyFont="1" applyBorder="1" applyAlignment="1">
      <alignment horizontal="center"/>
    </xf>
    <xf numFmtId="0" fontId="12"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3" fontId="12" fillId="3" borderId="0" xfId="0" applyNumberFormat="1" applyFont="1" applyFill="1" applyAlignment="1">
      <alignment horizontal="center"/>
    </xf>
    <xf numFmtId="3" fontId="12" fillId="0" borderId="0" xfId="0" applyNumberFormat="1" applyFont="1" applyAlignment="1">
      <alignment horizontal="center"/>
    </xf>
    <xf numFmtId="0" fontId="13" fillId="0" borderId="0" xfId="0" applyFont="1" applyAlignment="1">
      <alignment horizontal="left" indent="2"/>
    </xf>
    <xf numFmtId="0" fontId="13" fillId="0" borderId="0" xfId="0" applyFont="1" applyAlignment="1">
      <alignment horizontal="left" indent="3"/>
    </xf>
    <xf numFmtId="172" fontId="13" fillId="0" borderId="0" xfId="0" applyNumberFormat="1" applyFont="1" applyAlignment="1">
      <alignment horizontal="center"/>
    </xf>
    <xf numFmtId="167" fontId="13" fillId="0" borderId="0" xfId="0" applyNumberFormat="1" applyFont="1" applyAlignment="1">
      <alignment horizontal="center"/>
    </xf>
    <xf numFmtId="0" fontId="13" fillId="0" borderId="4" xfId="0" applyFont="1" applyBorder="1"/>
    <xf numFmtId="172" fontId="12" fillId="0" borderId="0" xfId="0" applyNumberFormat="1" applyFont="1" applyAlignment="1">
      <alignment horizontal="center"/>
    </xf>
    <xf numFmtId="0" fontId="13" fillId="0" borderId="0" xfId="0" quotePrefix="1" applyFont="1"/>
    <xf numFmtId="173" fontId="13" fillId="0" borderId="0" xfId="0" applyNumberFormat="1" applyFont="1" applyAlignment="1">
      <alignment horizontal="center"/>
    </xf>
    <xf numFmtId="172" fontId="13" fillId="0" borderId="0" xfId="0" applyNumberFormat="1" applyFont="1"/>
    <xf numFmtId="0" fontId="15" fillId="0" borderId="0" xfId="0" applyFont="1" applyAlignment="1">
      <alignment horizontal="right" vertical="top"/>
    </xf>
    <xf numFmtId="172" fontId="15" fillId="0" borderId="0" xfId="0" applyNumberFormat="1" applyFont="1" applyAlignment="1">
      <alignment horizontal="right"/>
    </xf>
    <xf numFmtId="174" fontId="13" fillId="0" borderId="0" xfId="0" applyNumberFormat="1" applyFont="1" applyAlignment="1">
      <alignment horizontal="center"/>
    </xf>
    <xf numFmtId="167" fontId="13" fillId="0" borderId="0" xfId="0" quotePrefix="1" applyNumberFormat="1" applyFont="1" applyAlignment="1">
      <alignment horizontal="center"/>
    </xf>
    <xf numFmtId="167" fontId="18" fillId="0" borderId="0" xfId="0" applyNumberFormat="1" applyFont="1" applyAlignment="1">
      <alignment horizontal="center"/>
    </xf>
    <xf numFmtId="167" fontId="12" fillId="0" borderId="0" xfId="0" applyNumberFormat="1" applyFont="1" applyAlignment="1">
      <alignment horizontal="center" vertical="top"/>
    </xf>
    <xf numFmtId="167" fontId="12" fillId="0" borderId="0" xfId="0" applyNumberFormat="1" applyFont="1" applyAlignment="1">
      <alignment horizontal="center"/>
    </xf>
    <xf numFmtId="172" fontId="18" fillId="0" borderId="0" xfId="0" applyNumberFormat="1" applyFont="1" applyAlignment="1">
      <alignment horizontal="center"/>
    </xf>
    <xf numFmtId="176" fontId="13" fillId="0" borderId="0" xfId="0" applyNumberFormat="1" applyFont="1" applyAlignment="1">
      <alignment horizontal="center"/>
    </xf>
    <xf numFmtId="175" fontId="13" fillId="0" borderId="0" xfId="0" applyNumberFormat="1" applyFont="1" applyAlignment="1">
      <alignment horizontal="center"/>
    </xf>
    <xf numFmtId="0" fontId="13" fillId="0" borderId="0" xfId="0" applyFont="1" applyAlignment="1">
      <alignment horizontal="left" indent="1"/>
    </xf>
    <xf numFmtId="0" fontId="16" fillId="5" borderId="0" xfId="0" applyFont="1" applyFill="1" applyAlignment="1">
      <alignment horizontal="left" indent="2"/>
    </xf>
    <xf numFmtId="4" fontId="12" fillId="0" borderId="0" xfId="0" applyNumberFormat="1" applyFont="1" applyAlignment="1">
      <alignment horizontal="center"/>
    </xf>
    <xf numFmtId="0" fontId="18" fillId="0" borderId="0" xfId="0" applyFont="1" applyAlignment="1">
      <alignment horizontal="left" vertical="center"/>
    </xf>
    <xf numFmtId="0" fontId="13" fillId="0" borderId="4" xfId="0" applyFont="1" applyBorder="1" applyAlignment="1">
      <alignment horizontal="center"/>
    </xf>
    <xf numFmtId="0" fontId="13" fillId="0" borderId="0" xfId="0" applyFont="1" applyAlignment="1">
      <alignment horizontal="left" indent="4"/>
    </xf>
    <xf numFmtId="0" fontId="20" fillId="0" borderId="0" xfId="0" applyFont="1" applyAlignment="1">
      <alignment horizontal="left"/>
    </xf>
    <xf numFmtId="0" fontId="21" fillId="7" borderId="0" xfId="0" applyFont="1" applyFill="1" applyAlignment="1">
      <alignment horizontal="center" vertical="center"/>
    </xf>
    <xf numFmtId="0" fontId="22" fillId="7" borderId="0" xfId="0" applyFont="1" applyFill="1" applyAlignment="1">
      <alignment horizontal="center" vertical="center"/>
    </xf>
    <xf numFmtId="0" fontId="23" fillId="7" borderId="0" xfId="0" applyFont="1" applyFill="1" applyAlignment="1">
      <alignment horizontal="center" vertical="center"/>
    </xf>
    <xf numFmtId="14" fontId="23" fillId="7" borderId="0" xfId="0" applyNumberFormat="1" applyFont="1" applyFill="1" applyAlignment="1">
      <alignment horizontal="center" vertical="center"/>
    </xf>
    <xf numFmtId="0" fontId="12" fillId="0" borderId="0" xfId="0" applyFont="1" applyAlignment="1">
      <alignment horizontal="left" vertical="center"/>
    </xf>
    <xf numFmtId="0" fontId="24" fillId="0" borderId="0" xfId="0" applyFont="1" applyAlignment="1">
      <alignment horizontal="center" vertical="center"/>
    </xf>
    <xf numFmtId="3" fontId="17" fillId="8" borderId="0" xfId="0" applyNumberFormat="1" applyFont="1" applyFill="1" applyAlignment="1">
      <alignment horizontal="center"/>
    </xf>
    <xf numFmtId="3" fontId="26" fillId="8" borderId="0" xfId="0" applyNumberFormat="1" applyFont="1" applyFill="1" applyAlignment="1">
      <alignment horizontal="center"/>
    </xf>
    <xf numFmtId="0" fontId="17" fillId="8" borderId="0" xfId="0" applyFont="1" applyFill="1" applyAlignment="1">
      <alignment horizontal="center" vertical="center"/>
    </xf>
    <xf numFmtId="14" fontId="27" fillId="8" borderId="0" xfId="0" applyNumberFormat="1" applyFont="1" applyFill="1" applyAlignment="1">
      <alignment horizontal="center" vertical="center"/>
    </xf>
    <xf numFmtId="0" fontId="27" fillId="8" borderId="0" xfId="0" applyFont="1" applyFill="1" applyAlignment="1">
      <alignment horizontal="center" vertical="center"/>
    </xf>
    <xf numFmtId="166" fontId="27" fillId="8" borderId="0" xfId="1" applyNumberFormat="1" applyFont="1" applyFill="1" applyAlignment="1">
      <alignment horizontal="center" vertical="center"/>
    </xf>
    <xf numFmtId="0" fontId="11" fillId="9" borderId="0" xfId="0" applyFont="1" applyFill="1" applyAlignment="1">
      <alignment horizontal="left" vertical="center"/>
    </xf>
    <xf numFmtId="0" fontId="13" fillId="0" borderId="0" xfId="0" applyFont="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166" fontId="23" fillId="7" borderId="0" xfId="1" applyNumberFormat="1" applyFont="1" applyFill="1" applyAlignment="1">
      <alignment horizontal="center" vertical="center"/>
    </xf>
    <xf numFmtId="166" fontId="23" fillId="7" borderId="0" xfId="1" applyNumberFormat="1" applyFont="1" applyFill="1" applyBorder="1" applyAlignment="1">
      <alignment horizontal="center" vertical="center"/>
    </xf>
    <xf numFmtId="0" fontId="23" fillId="7" borderId="0" xfId="0" applyFont="1" applyFill="1"/>
    <xf numFmtId="166" fontId="13" fillId="0" borderId="0" xfId="1" applyNumberFormat="1" applyFont="1" applyAlignment="1">
      <alignment horizontal="center" vertical="center"/>
    </xf>
    <xf numFmtId="9" fontId="13" fillId="0" borderId="0" xfId="0" applyNumberFormat="1" applyFont="1" applyAlignment="1">
      <alignment horizontal="center" vertical="center"/>
    </xf>
    <xf numFmtId="9" fontId="13" fillId="0" borderId="0" xfId="0" applyNumberFormat="1" applyFont="1" applyAlignment="1">
      <alignment horizontal="center" vertical="center" wrapText="1"/>
    </xf>
    <xf numFmtId="0" fontId="20" fillId="0" borderId="0" xfId="0" applyFont="1" applyAlignment="1">
      <alignment horizontal="left" vertical="center"/>
    </xf>
    <xf numFmtId="17" fontId="13" fillId="0" borderId="0" xfId="0" applyNumberFormat="1" applyFont="1" applyAlignment="1">
      <alignment horizontal="center" vertical="center"/>
    </xf>
    <xf numFmtId="0" fontId="27" fillId="8" borderId="0" xfId="0" applyFont="1" applyFill="1"/>
    <xf numFmtId="0" fontId="13" fillId="9" borderId="0" xfId="0" applyFont="1" applyFill="1" applyAlignment="1">
      <alignment vertical="center"/>
    </xf>
    <xf numFmtId="0" fontId="11" fillId="9" borderId="0" xfId="0" applyFont="1" applyFill="1" applyAlignment="1">
      <alignment horizontal="right" vertical="center"/>
    </xf>
    <xf numFmtId="0" fontId="13" fillId="9" borderId="0" xfId="0" applyFont="1" applyFill="1" applyAlignment="1">
      <alignment horizontal="center" vertical="center"/>
    </xf>
    <xf numFmtId="166" fontId="23" fillId="7" borderId="0" xfId="1" applyNumberFormat="1" applyFont="1" applyFill="1" applyAlignment="1"/>
    <xf numFmtId="165" fontId="23" fillId="7" borderId="0" xfId="1" applyFont="1" applyFill="1" applyAlignment="1">
      <alignment horizontal="right"/>
    </xf>
    <xf numFmtId="166" fontId="23" fillId="7" borderId="0" xfId="1" applyNumberFormat="1" applyFont="1" applyFill="1"/>
    <xf numFmtId="15" fontId="13" fillId="0" borderId="0" xfId="0" applyNumberFormat="1" applyFont="1" applyAlignment="1">
      <alignment horizontal="center" vertical="center"/>
    </xf>
    <xf numFmtId="177" fontId="13" fillId="0" borderId="0" xfId="0" applyNumberFormat="1" applyFont="1"/>
    <xf numFmtId="3" fontId="13" fillId="0" borderId="0" xfId="0" applyNumberFormat="1" applyFont="1" applyAlignment="1">
      <alignment horizontal="right" vertical="center" indent="1"/>
    </xf>
    <xf numFmtId="165" fontId="13" fillId="0" borderId="0" xfId="0" applyNumberFormat="1" applyFont="1" applyAlignment="1">
      <alignment horizontal="right" indent="1"/>
    </xf>
    <xf numFmtId="3" fontId="13" fillId="0" borderId="0" xfId="0" applyNumberFormat="1" applyFont="1" applyAlignment="1">
      <alignment horizontal="center" vertical="center"/>
    </xf>
    <xf numFmtId="165" fontId="13" fillId="0" borderId="0" xfId="0" applyNumberFormat="1" applyFont="1" applyAlignment="1">
      <alignment horizontal="right"/>
    </xf>
    <xf numFmtId="165" fontId="13" fillId="0" borderId="0" xfId="0" applyNumberFormat="1" applyFont="1" applyAlignment="1">
      <alignment horizontal="right" vertical="center"/>
    </xf>
    <xf numFmtId="166" fontId="13" fillId="0" borderId="0" xfId="0" applyNumberFormat="1" applyFont="1" applyAlignment="1">
      <alignment horizontal="center" vertical="center"/>
    </xf>
    <xf numFmtId="178" fontId="13" fillId="0" borderId="0" xfId="0" applyNumberFormat="1" applyFont="1" applyAlignment="1">
      <alignment horizontal="center" vertical="center"/>
    </xf>
    <xf numFmtId="166" fontId="27" fillId="8" borderId="0" xfId="1" applyNumberFormat="1" applyFont="1" applyFill="1" applyAlignment="1"/>
    <xf numFmtId="165" fontId="27" fillId="8" borderId="0" xfId="1" applyFont="1" applyFill="1" applyAlignment="1">
      <alignment horizontal="right"/>
    </xf>
    <xf numFmtId="166" fontId="27" fillId="8" borderId="0" xfId="1" applyNumberFormat="1" applyFont="1" applyFill="1"/>
    <xf numFmtId="0" fontId="13" fillId="0" borderId="0" xfId="0" applyFont="1" applyAlignment="1">
      <alignment horizontal="right" vertical="center" indent="1"/>
    </xf>
    <xf numFmtId="165" fontId="13" fillId="0" borderId="0" xfId="1" applyFont="1" applyAlignment="1">
      <alignment horizontal="right" vertical="center"/>
    </xf>
    <xf numFmtId="10" fontId="13" fillId="0" borderId="0" xfId="0" applyNumberFormat="1" applyFont="1" applyAlignment="1">
      <alignment horizontal="center" vertical="center"/>
    </xf>
    <xf numFmtId="14" fontId="13" fillId="0" borderId="0" xfId="0" applyNumberFormat="1" applyFont="1"/>
    <xf numFmtId="0" fontId="29" fillId="6" borderId="0" xfId="0" applyFont="1" applyFill="1" applyAlignment="1">
      <alignment horizontal="center" vertical="center"/>
    </xf>
    <xf numFmtId="0" fontId="29" fillId="6" borderId="0" xfId="0" applyFont="1" applyFill="1"/>
    <xf numFmtId="170" fontId="0" fillId="0" borderId="0" xfId="0" applyNumberFormat="1"/>
    <xf numFmtId="3" fontId="24" fillId="0" borderId="0" xfId="0" applyNumberFormat="1" applyFont="1" applyAlignment="1">
      <alignment horizontal="center"/>
    </xf>
    <xf numFmtId="3" fontId="27" fillId="8" borderId="0" xfId="0" applyNumberFormat="1" applyFont="1" applyFill="1" applyAlignment="1">
      <alignment horizontal="center"/>
    </xf>
    <xf numFmtId="9" fontId="13" fillId="0" borderId="2" xfId="0" applyNumberFormat="1" applyFont="1" applyBorder="1" applyAlignment="1">
      <alignment horizontal="center" vertical="center"/>
    </xf>
    <xf numFmtId="165" fontId="23" fillId="7" borderId="0" xfId="1" applyFont="1" applyFill="1" applyBorder="1" applyAlignment="1">
      <alignment horizontal="center"/>
    </xf>
    <xf numFmtId="166" fontId="23" fillId="7" borderId="0" xfId="1" applyNumberFormat="1" applyFont="1" applyFill="1" applyBorder="1" applyAlignment="1">
      <alignment horizontal="center"/>
    </xf>
    <xf numFmtId="0" fontId="23" fillId="7" borderId="0" xfId="0" applyFont="1" applyFill="1" applyAlignment="1">
      <alignment horizontal="center"/>
    </xf>
    <xf numFmtId="0" fontId="23" fillId="7" borderId="3" xfId="0" applyFont="1" applyFill="1" applyBorder="1" applyAlignment="1">
      <alignment horizontal="center"/>
    </xf>
    <xf numFmtId="9" fontId="13" fillId="0" borderId="3" xfId="2" applyFont="1" applyBorder="1" applyAlignment="1">
      <alignment horizontal="center" vertical="center"/>
    </xf>
    <xf numFmtId="0" fontId="27" fillId="8" borderId="3" xfId="0" applyFont="1" applyFill="1" applyBorder="1" applyAlignment="1">
      <alignment horizontal="center"/>
    </xf>
    <xf numFmtId="9" fontId="27" fillId="8" borderId="0" xfId="1" applyNumberFormat="1" applyFont="1" applyFill="1" applyBorder="1" applyAlignment="1">
      <alignment horizontal="center"/>
    </xf>
    <xf numFmtId="9" fontId="27" fillId="8" borderId="0" xfId="0" applyNumberFormat="1" applyFont="1" applyFill="1" applyAlignment="1">
      <alignment horizontal="center"/>
    </xf>
    <xf numFmtId="0" fontId="13" fillId="9" borderId="3" xfId="0" applyFont="1" applyFill="1" applyBorder="1" applyAlignment="1">
      <alignment horizontal="center" vertical="center"/>
    </xf>
    <xf numFmtId="9" fontId="27" fillId="8" borderId="2" xfId="1" applyNumberFormat="1" applyFont="1" applyFill="1" applyBorder="1" applyAlignment="1">
      <alignment horizontal="center" vertical="center"/>
    </xf>
    <xf numFmtId="164" fontId="0" fillId="0" borderId="0" xfId="0" applyNumberFormat="1"/>
    <xf numFmtId="179" fontId="19" fillId="2" borderId="0" xfId="1699" applyNumberFormat="1" applyFont="1" applyFill="1" applyAlignment="1">
      <alignment horizontal="center"/>
    </xf>
    <xf numFmtId="0" fontId="13" fillId="0" borderId="0" xfId="1699" applyNumberFormat="1" applyFont="1" applyAlignment="1">
      <alignment horizontal="left"/>
    </xf>
    <xf numFmtId="2" fontId="12" fillId="0" borderId="0" xfId="2" applyNumberFormat="1" applyFont="1" applyAlignment="1">
      <alignment horizontal="center"/>
    </xf>
    <xf numFmtId="0" fontId="0" fillId="0" borderId="0" xfId="0" applyAlignment="1">
      <alignment horizontal="left"/>
    </xf>
    <xf numFmtId="0" fontId="0" fillId="0" borderId="0" xfId="0" pivotButton="1"/>
    <xf numFmtId="3" fontId="12" fillId="10" borderId="0" xfId="0" applyNumberFormat="1" applyFont="1" applyFill="1" applyAlignment="1">
      <alignment horizontal="center"/>
    </xf>
    <xf numFmtId="3" fontId="12" fillId="0" borderId="0" xfId="0" applyNumberFormat="1" applyFont="1" applyAlignment="1">
      <alignment horizontal="right"/>
    </xf>
    <xf numFmtId="3" fontId="12" fillId="10" borderId="0" xfId="0" applyNumberFormat="1" applyFont="1" applyFill="1" applyAlignment="1">
      <alignment horizontal="right"/>
    </xf>
    <xf numFmtId="0" fontId="22" fillId="7" borderId="0" xfId="0" applyFont="1" applyFill="1" applyAlignment="1">
      <alignment horizontal="left" vertical="center"/>
    </xf>
    <xf numFmtId="0" fontId="28" fillId="7" borderId="0" xfId="0" applyFont="1" applyFill="1" applyAlignment="1">
      <alignment horizontal="center" vertical="center" wrapText="1"/>
    </xf>
    <xf numFmtId="0" fontId="26" fillId="8" borderId="0" xfId="0" applyFont="1" applyFill="1" applyAlignment="1">
      <alignment horizontal="center" vertical="center" wrapText="1"/>
    </xf>
    <xf numFmtId="0" fontId="27" fillId="8" borderId="0" xfId="0" applyFont="1" applyFill="1" applyAlignment="1">
      <alignment horizontal="center" vertical="center" wrapText="1"/>
    </xf>
    <xf numFmtId="0" fontId="23" fillId="7" borderId="0" xfId="0" applyFont="1" applyFill="1" applyAlignment="1">
      <alignment horizontal="center" vertical="center" wrapText="1"/>
    </xf>
    <xf numFmtId="0" fontId="29" fillId="6" borderId="0" xfId="0" applyFont="1" applyFill="1" applyAlignment="1">
      <alignment horizontal="center" vertical="center" wrapText="1"/>
    </xf>
    <xf numFmtId="14" fontId="23" fillId="7" borderId="0" xfId="0" applyNumberFormat="1" applyFont="1" applyFill="1" applyAlignment="1">
      <alignment horizontal="center" vertical="center" wrapText="1"/>
    </xf>
    <xf numFmtId="14" fontId="13" fillId="0" borderId="0" xfId="0" applyNumberFormat="1" applyFont="1" applyAlignment="1">
      <alignment horizontal="center" vertical="center" wrapText="1"/>
    </xf>
    <xf numFmtId="14" fontId="27" fillId="8" borderId="0" xfId="0" applyNumberFormat="1" applyFont="1" applyFill="1" applyAlignment="1">
      <alignment horizontal="center" vertical="center" wrapText="1"/>
    </xf>
    <xf numFmtId="15" fontId="13" fillId="0" borderId="0" xfId="0" applyNumberFormat="1" applyFont="1" applyAlignment="1">
      <alignment horizontal="center" vertical="center" wrapText="1"/>
    </xf>
    <xf numFmtId="17" fontId="13" fillId="0" borderId="0" xfId="0" applyNumberFormat="1" applyFont="1" applyAlignment="1">
      <alignment horizontal="center" vertical="center" wrapText="1"/>
    </xf>
    <xf numFmtId="3" fontId="28" fillId="7" borderId="0" xfId="0" applyNumberFormat="1" applyFont="1" applyFill="1" applyAlignment="1">
      <alignment horizontal="center" wrapText="1"/>
    </xf>
    <xf numFmtId="3" fontId="12" fillId="0" borderId="0" xfId="0" applyNumberFormat="1" applyFont="1" applyAlignment="1">
      <alignment horizontal="center" wrapText="1"/>
    </xf>
    <xf numFmtId="3" fontId="28" fillId="7" borderId="0" xfId="0" applyNumberFormat="1" applyFont="1" applyFill="1" applyAlignment="1">
      <alignment horizontal="left" wrapText="1"/>
    </xf>
    <xf numFmtId="3" fontId="17" fillId="8" borderId="0" xfId="0" applyNumberFormat="1" applyFont="1" applyFill="1" applyAlignment="1">
      <alignment horizontal="center" wrapText="1"/>
    </xf>
    <xf numFmtId="0" fontId="13" fillId="0" borderId="0" xfId="0" applyFont="1" applyAlignment="1">
      <alignment horizontal="center" vertical="top" wrapText="1"/>
    </xf>
    <xf numFmtId="0" fontId="23" fillId="7" borderId="0" xfId="0" applyFont="1" applyFill="1" applyAlignment="1">
      <alignment horizontal="left" vertical="center" wrapText="1"/>
    </xf>
    <xf numFmtId="0" fontId="30" fillId="6" borderId="0" xfId="0" applyFont="1" applyFill="1" applyAlignment="1">
      <alignment horizontal="center" vertical="center" wrapText="1"/>
    </xf>
    <xf numFmtId="0" fontId="12" fillId="0" borderId="0" xfId="0" applyFont="1" applyAlignment="1">
      <alignment horizontal="left" vertical="center" wrapText="1"/>
    </xf>
    <xf numFmtId="3" fontId="25" fillId="0" borderId="0" xfId="0" applyNumberFormat="1" applyFont="1" applyAlignment="1">
      <alignment horizontal="center"/>
    </xf>
    <xf numFmtId="9" fontId="23" fillId="7" borderId="0" xfId="1" applyNumberFormat="1" applyFont="1" applyFill="1" applyBorder="1" applyAlignment="1">
      <alignment horizontal="center" vertical="center"/>
    </xf>
    <xf numFmtId="2" fontId="12" fillId="0" borderId="0" xfId="0" applyNumberFormat="1" applyFont="1" applyAlignment="1">
      <alignment horizontal="center"/>
    </xf>
    <xf numFmtId="0" fontId="16"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lignment horizontal="center" vertical="center"/>
    </xf>
    <xf numFmtId="0" fontId="12" fillId="0" borderId="10" xfId="0" applyFont="1" applyBorder="1"/>
    <xf numFmtId="9" fontId="13" fillId="0" borderId="2" xfId="2" applyFont="1" applyBorder="1" applyAlignment="1">
      <alignment horizontal="center" vertical="center"/>
    </xf>
    <xf numFmtId="9" fontId="23" fillId="7" borderId="0" xfId="1" applyNumberFormat="1" applyFont="1" applyFill="1" applyBorder="1" applyAlignment="1">
      <alignment horizontal="center"/>
    </xf>
    <xf numFmtId="9" fontId="23" fillId="7" borderId="0" xfId="0" applyNumberFormat="1" applyFont="1" applyFill="1" applyAlignment="1">
      <alignment horizontal="center"/>
    </xf>
    <xf numFmtId="9" fontId="13" fillId="0" borderId="0" xfId="2" applyFont="1" applyBorder="1" applyAlignment="1">
      <alignment horizontal="center" vertical="center"/>
    </xf>
    <xf numFmtId="20" fontId="13" fillId="0" borderId="0" xfId="0" applyNumberFormat="1" applyFont="1" applyAlignment="1">
      <alignment horizontal="center" vertical="center"/>
    </xf>
    <xf numFmtId="0" fontId="13" fillId="0" borderId="2" xfId="0" applyFont="1" applyBorder="1" applyAlignment="1">
      <alignment horizontal="center" vertical="center"/>
    </xf>
    <xf numFmtId="9" fontId="27" fillId="8" borderId="0" xfId="1" applyNumberFormat="1" applyFont="1" applyFill="1" applyBorder="1" applyAlignment="1">
      <alignment horizontal="center" vertical="center"/>
    </xf>
    <xf numFmtId="0" fontId="10" fillId="0" borderId="0" xfId="0" applyFont="1" applyAlignment="1" applyProtection="1">
      <alignment horizontal="left"/>
      <protection locked="0"/>
    </xf>
    <xf numFmtId="0" fontId="13" fillId="0" borderId="0" xfId="0" applyFont="1" applyProtection="1">
      <protection locked="0"/>
    </xf>
    <xf numFmtId="0" fontId="13" fillId="0" borderId="0" xfId="0" applyFont="1" applyAlignment="1" applyProtection="1">
      <alignment horizontal="center"/>
      <protection locked="0"/>
    </xf>
    <xf numFmtId="0" fontId="13" fillId="0" borderId="0" xfId="0" applyFont="1" applyAlignment="1" applyProtection="1">
      <alignment horizontal="right"/>
      <protection locked="0"/>
    </xf>
    <xf numFmtId="166" fontId="13" fillId="0" borderId="0" xfId="1" applyNumberFormat="1" applyFont="1" applyAlignment="1" applyProtection="1">
      <alignment horizontal="right"/>
      <protection locked="0"/>
    </xf>
    <xf numFmtId="0" fontId="13" fillId="0" borderId="0" xfId="0" applyFont="1" applyAlignment="1" applyProtection="1">
      <alignment horizontal="center" wrapText="1"/>
      <protection locked="0"/>
    </xf>
    <xf numFmtId="0" fontId="13" fillId="0" borderId="0" xfId="0" applyFont="1" applyAlignment="1" applyProtection="1">
      <alignment horizontal="center" vertical="center"/>
      <protection locked="0"/>
    </xf>
    <xf numFmtId="0" fontId="36" fillId="0" borderId="0" xfId="0" applyFont="1" applyAlignment="1" applyProtection="1">
      <alignment horizontal="left" wrapText="1"/>
      <protection locked="0"/>
    </xf>
    <xf numFmtId="0" fontId="36" fillId="0" borderId="0" xfId="0" applyFont="1" applyAlignment="1" applyProtection="1">
      <alignment horizontal="center" wrapText="1"/>
      <protection locked="0"/>
    </xf>
    <xf numFmtId="0" fontId="36" fillId="0" borderId="0" xfId="0" applyFont="1" applyAlignment="1" applyProtection="1">
      <alignment horizontal="center"/>
      <protection locked="0"/>
    </xf>
    <xf numFmtId="0" fontId="36" fillId="0" borderId="0" xfId="0" applyFont="1" applyAlignment="1" applyProtection="1">
      <alignment horizontal="center" vertical="center" wrapText="1"/>
      <protection locked="0"/>
    </xf>
    <xf numFmtId="170" fontId="13" fillId="0" borderId="0" xfId="0" applyNumberFormat="1" applyFont="1" applyAlignment="1" applyProtection="1">
      <alignment horizontal="center"/>
      <protection locked="0"/>
    </xf>
    <xf numFmtId="166" fontId="13" fillId="0" borderId="0" xfId="1" applyNumberFormat="1" applyFont="1" applyAlignment="1" applyProtection="1">
      <alignment horizontal="center"/>
      <protection locked="0"/>
    </xf>
    <xf numFmtId="10" fontId="13" fillId="0" borderId="0" xfId="2" applyNumberFormat="1" applyFont="1" applyAlignment="1" applyProtection="1">
      <alignment horizontal="right"/>
      <protection locked="0"/>
    </xf>
    <xf numFmtId="10" fontId="13" fillId="0" borderId="0" xfId="2" applyNumberFormat="1" applyFont="1" applyAlignment="1" applyProtection="1">
      <alignment horizontal="center"/>
      <protection locked="0"/>
    </xf>
    <xf numFmtId="2" fontId="13" fillId="0" borderId="0" xfId="0" applyNumberFormat="1" applyFont="1" applyAlignment="1" applyProtection="1">
      <alignment horizontal="center" vertical="center"/>
      <protection locked="0"/>
    </xf>
    <xf numFmtId="166" fontId="13" fillId="0" borderId="0" xfId="1" applyNumberFormat="1" applyFont="1" applyAlignment="1" applyProtection="1">
      <alignment horizontal="center" vertical="center"/>
      <protection locked="0"/>
    </xf>
    <xf numFmtId="0" fontId="37" fillId="0" borderId="0" xfId="0" applyFont="1" applyAlignment="1" applyProtection="1">
      <alignment horizontal="center"/>
      <protection locked="0"/>
    </xf>
    <xf numFmtId="165" fontId="13" fillId="0" borderId="0" xfId="1" applyFont="1" applyAlignment="1" applyProtection="1">
      <alignment horizontal="center"/>
      <protection locked="0"/>
    </xf>
    <xf numFmtId="9" fontId="13" fillId="0" borderId="0" xfId="2" applyFont="1" applyAlignment="1" applyProtection="1">
      <alignment horizontal="center"/>
      <protection locked="0"/>
    </xf>
    <xf numFmtId="0" fontId="10" fillId="0" borderId="0" xfId="0" applyFont="1" applyAlignment="1" applyProtection="1">
      <alignment horizontal="center" vertical="center" wrapText="1"/>
      <protection locked="0"/>
    </xf>
    <xf numFmtId="2" fontId="13" fillId="0" borderId="0" xfId="0" applyNumberFormat="1" applyFont="1" applyAlignment="1" applyProtection="1">
      <alignment horizontal="center"/>
      <protection locked="0"/>
    </xf>
    <xf numFmtId="0" fontId="10" fillId="0" borderId="0" xfId="0" applyFont="1" applyAlignment="1" applyProtection="1">
      <alignment horizontal="center" wrapText="1"/>
      <protection locked="0"/>
    </xf>
    <xf numFmtId="0" fontId="13" fillId="0" borderId="0" xfId="0" applyFont="1" applyAlignment="1" applyProtection="1">
      <alignment wrapText="1"/>
      <protection locked="0"/>
    </xf>
    <xf numFmtId="0" fontId="10" fillId="0" borderId="0" xfId="0" applyFont="1" applyAlignment="1" applyProtection="1">
      <alignment horizontal="left" wrapText="1"/>
      <protection locked="0"/>
    </xf>
    <xf numFmtId="0" fontId="35" fillId="0" borderId="0" xfId="0" applyFont="1" applyAlignment="1" applyProtection="1">
      <alignment horizontal="center" wrapText="1"/>
      <protection locked="0"/>
    </xf>
    <xf numFmtId="10" fontId="12" fillId="0" borderId="0" xfId="1" applyNumberFormat="1" applyFont="1" applyAlignment="1" applyProtection="1">
      <alignment horizontal="right"/>
      <protection locked="0"/>
    </xf>
    <xf numFmtId="10" fontId="12" fillId="0" borderId="0" xfId="2" applyNumberFormat="1" applyFont="1" applyAlignment="1" applyProtection="1">
      <alignment horizontal="right"/>
      <protection locked="0"/>
    </xf>
    <xf numFmtId="0" fontId="10" fillId="0" borderId="0" xfId="0" applyFont="1" applyAlignment="1" applyProtection="1">
      <alignment horizontal="center"/>
      <protection locked="0"/>
    </xf>
    <xf numFmtId="170" fontId="10" fillId="0" borderId="0" xfId="0" applyNumberFormat="1" applyFont="1" applyAlignment="1" applyProtection="1">
      <alignment horizontal="center"/>
      <protection locked="0"/>
    </xf>
    <xf numFmtId="14" fontId="13" fillId="0" borderId="0" xfId="0" applyNumberFormat="1" applyFont="1" applyAlignment="1" applyProtection="1">
      <alignment horizontal="center" vertical="center"/>
      <protection locked="0"/>
    </xf>
    <xf numFmtId="14" fontId="13" fillId="0" borderId="0" xfId="0" applyNumberFormat="1" applyFont="1" applyAlignment="1" applyProtection="1">
      <alignment horizontal="center"/>
      <protection locked="0"/>
    </xf>
    <xf numFmtId="165" fontId="13" fillId="0" borderId="0" xfId="0" applyNumberFormat="1" applyFont="1" applyAlignment="1" applyProtection="1">
      <alignment horizontal="center"/>
      <protection locked="0"/>
    </xf>
    <xf numFmtId="170" fontId="13" fillId="0" borderId="0" xfId="1" applyNumberFormat="1" applyFont="1" applyAlignment="1" applyProtection="1">
      <alignment horizontal="center"/>
      <protection locked="0"/>
    </xf>
    <xf numFmtId="169" fontId="13" fillId="0" borderId="0" xfId="1" applyNumberFormat="1" applyFont="1" applyAlignment="1" applyProtection="1">
      <alignment horizontal="center"/>
      <protection locked="0"/>
    </xf>
    <xf numFmtId="166" fontId="13" fillId="0" borderId="0" xfId="0" applyNumberFormat="1" applyFont="1" applyAlignment="1" applyProtection="1">
      <alignment horizontal="center"/>
      <protection locked="0"/>
    </xf>
    <xf numFmtId="166" fontId="13" fillId="0" borderId="0" xfId="1" applyNumberFormat="1" applyFont="1" applyAlignment="1" applyProtection="1">
      <alignment horizontal="left"/>
      <protection locked="0"/>
    </xf>
    <xf numFmtId="166" fontId="13" fillId="0" borderId="0" xfId="1" applyNumberFormat="1" applyFont="1" applyAlignment="1" applyProtection="1">
      <protection locked="0"/>
    </xf>
    <xf numFmtId="167" fontId="13" fillId="0" borderId="0" xfId="2" applyNumberFormat="1" applyFont="1" applyAlignment="1" applyProtection="1">
      <alignment horizontal="center"/>
      <protection locked="0"/>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0" fontId="12" fillId="0" borderId="0" xfId="0" applyFont="1" applyAlignment="1" applyProtection="1">
      <alignment horizontal="left"/>
      <protection locked="0"/>
    </xf>
    <xf numFmtId="2" fontId="13" fillId="0" borderId="0" xfId="0" applyNumberFormat="1" applyFont="1" applyProtection="1">
      <protection locked="0"/>
    </xf>
    <xf numFmtId="2" fontId="13" fillId="0" borderId="0" xfId="0" applyNumberFormat="1" applyFont="1" applyAlignment="1" applyProtection="1">
      <alignment horizontal="right"/>
      <protection locked="0"/>
    </xf>
    <xf numFmtId="0" fontId="12" fillId="0" borderId="0" xfId="0" applyFont="1" applyProtection="1">
      <protection locked="0"/>
    </xf>
    <xf numFmtId="2" fontId="12" fillId="0" borderId="0" xfId="0" applyNumberFormat="1" applyFont="1" applyAlignment="1" applyProtection="1">
      <alignment horizontal="center"/>
      <protection locked="0"/>
    </xf>
    <xf numFmtId="2" fontId="12" fillId="0" borderId="0" xfId="0" applyNumberFormat="1" applyFont="1" applyAlignment="1" applyProtection="1">
      <alignment horizontal="center" vertical="center"/>
      <protection locked="0"/>
    </xf>
    <xf numFmtId="167" fontId="13" fillId="0" borderId="0" xfId="2" applyNumberFormat="1" applyFont="1" applyAlignment="1" applyProtection="1">
      <alignment horizontal="right"/>
      <protection locked="0"/>
    </xf>
    <xf numFmtId="170" fontId="12" fillId="0" borderId="0" xfId="0" applyNumberFormat="1" applyFont="1" applyAlignment="1" applyProtection="1">
      <alignment horizontal="left"/>
      <protection locked="0"/>
    </xf>
    <xf numFmtId="2" fontId="13" fillId="0" borderId="0" xfId="0" applyNumberFormat="1" applyFont="1" applyAlignment="1" applyProtection="1">
      <alignment horizontal="center" wrapText="1"/>
      <protection locked="0"/>
    </xf>
    <xf numFmtId="166" fontId="13" fillId="0" borderId="0" xfId="1" applyNumberFormat="1" applyFont="1" applyProtection="1">
      <protection locked="0"/>
    </xf>
    <xf numFmtId="0" fontId="13" fillId="0" borderId="0" xfId="2" applyNumberFormat="1" applyFont="1" applyAlignment="1" applyProtection="1">
      <alignment horizontal="center"/>
      <protection locked="0"/>
    </xf>
    <xf numFmtId="10" fontId="13" fillId="0" borderId="0" xfId="2" applyNumberFormat="1" applyFont="1" applyAlignment="1" applyProtection="1">
      <alignment horizontal="left"/>
      <protection locked="0"/>
    </xf>
    <xf numFmtId="170" fontId="12" fillId="0" borderId="0" xfId="0" applyNumberFormat="1" applyFont="1" applyAlignment="1" applyProtection="1">
      <alignment horizontal="left" vertical="center"/>
      <protection locked="0"/>
    </xf>
    <xf numFmtId="1" fontId="13" fillId="0" borderId="0" xfId="0" applyNumberFormat="1" applyFont="1" applyAlignment="1" applyProtection="1">
      <alignment horizontal="center"/>
      <protection locked="0"/>
    </xf>
    <xf numFmtId="166" fontId="13" fillId="0" borderId="0" xfId="0" applyNumberFormat="1" applyFont="1" applyProtection="1">
      <protection locked="0"/>
    </xf>
    <xf numFmtId="170" fontId="12" fillId="0" borderId="0" xfId="0" applyNumberFormat="1" applyFont="1" applyAlignment="1" applyProtection="1">
      <alignment horizontal="center"/>
      <protection locked="0"/>
    </xf>
    <xf numFmtId="180" fontId="13" fillId="0" borderId="0" xfId="0" applyNumberFormat="1" applyFont="1" applyAlignment="1" applyProtection="1">
      <alignment horizontal="center"/>
      <protection locked="0"/>
    </xf>
    <xf numFmtId="0" fontId="12" fillId="0" borderId="0" xfId="0" applyFont="1" applyAlignment="1" applyProtection="1">
      <alignment horizontal="center"/>
      <protection locked="0"/>
    </xf>
    <xf numFmtId="0" fontId="16" fillId="0" borderId="0" xfId="0" applyFont="1" applyProtection="1">
      <protection locked="0"/>
    </xf>
    <xf numFmtId="3" fontId="16" fillId="0" borderId="0" xfId="0" applyNumberFormat="1" applyFont="1" applyAlignment="1" applyProtection="1">
      <alignment horizontal="center"/>
      <protection locked="0"/>
    </xf>
    <xf numFmtId="10" fontId="33" fillId="0" borderId="0" xfId="2" applyNumberFormat="1" applyFont="1" applyAlignment="1" applyProtection="1">
      <alignment horizontal="center"/>
      <protection locked="0"/>
    </xf>
    <xf numFmtId="0" fontId="16" fillId="0" borderId="0" xfId="0" applyFont="1" applyAlignment="1" applyProtection="1">
      <alignment horizontal="center"/>
      <protection locked="0"/>
    </xf>
    <xf numFmtId="2" fontId="34" fillId="0" borderId="0" xfId="0" applyNumberFormat="1" applyFont="1" applyAlignment="1" applyProtection="1">
      <alignment horizontal="center"/>
      <protection locked="0"/>
    </xf>
    <xf numFmtId="0" fontId="34" fillId="0" borderId="0" xfId="0" applyFont="1" applyAlignment="1" applyProtection="1">
      <alignment horizontal="center"/>
      <protection locked="0"/>
    </xf>
    <xf numFmtId="2" fontId="16" fillId="0" borderId="0" xfId="0" applyNumberFormat="1" applyFont="1" applyAlignment="1" applyProtection="1">
      <alignment horizontal="center"/>
      <protection locked="0"/>
    </xf>
    <xf numFmtId="166" fontId="16" fillId="0" borderId="0" xfId="0" applyNumberFormat="1" applyFont="1" applyAlignment="1" applyProtection="1">
      <alignment horizontal="center"/>
      <protection locked="0"/>
    </xf>
    <xf numFmtId="165" fontId="13" fillId="0" borderId="0" xfId="0" applyNumberFormat="1" applyFont="1" applyProtection="1">
      <protection locked="0"/>
    </xf>
    <xf numFmtId="9" fontId="13" fillId="0" borderId="0" xfId="2" applyFont="1" applyAlignment="1" applyProtection="1">
      <alignment horizontal="center" vertical="center"/>
      <protection locked="0"/>
    </xf>
    <xf numFmtId="9" fontId="13" fillId="0" borderId="0" xfId="2" applyFont="1" applyProtection="1">
      <protection locked="0"/>
    </xf>
    <xf numFmtId="171" fontId="13" fillId="0" borderId="0" xfId="0" applyNumberFormat="1" applyFont="1" applyProtection="1">
      <protection locked="0"/>
    </xf>
    <xf numFmtId="17" fontId="13" fillId="0" borderId="0" xfId="0" applyNumberFormat="1" applyFont="1" applyAlignment="1" applyProtection="1">
      <alignment horizontal="center" vertical="center"/>
      <protection locked="0"/>
    </xf>
    <xf numFmtId="17" fontId="13" fillId="0" borderId="0" xfId="0" applyNumberFormat="1" applyFont="1" applyAlignment="1" applyProtection="1">
      <alignment horizontal="center"/>
      <protection locked="0"/>
    </xf>
    <xf numFmtId="0" fontId="33" fillId="0" borderId="0" xfId="0" applyFont="1" applyAlignment="1" applyProtection="1">
      <alignment horizontal="left"/>
      <protection locked="0"/>
    </xf>
    <xf numFmtId="168" fontId="13" fillId="0" borderId="0" xfId="1" applyNumberFormat="1" applyFont="1" applyAlignment="1" applyProtection="1">
      <alignment horizontal="center"/>
      <protection locked="0"/>
    </xf>
    <xf numFmtId="168"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10" fontId="12" fillId="0" borderId="0" xfId="2" applyNumberFormat="1" applyFont="1" applyAlignment="1" applyProtection="1">
      <alignment horizontal="center"/>
      <protection locked="0"/>
    </xf>
    <xf numFmtId="46" fontId="13" fillId="0" borderId="0" xfId="0" applyNumberFormat="1" applyFont="1" applyProtection="1">
      <protection locked="0"/>
    </xf>
    <xf numFmtId="4" fontId="13" fillId="0" borderId="0" xfId="0" applyNumberFormat="1" applyFont="1" applyAlignment="1" applyProtection="1">
      <alignment horizontal="center"/>
      <protection locked="0"/>
    </xf>
    <xf numFmtId="4" fontId="12" fillId="0" borderId="0" xfId="0" applyNumberFormat="1" applyFont="1" applyAlignment="1" applyProtection="1">
      <alignment horizontal="center"/>
      <protection locked="0"/>
    </xf>
    <xf numFmtId="165" fontId="13" fillId="0" borderId="0" xfId="1" applyFont="1" applyAlignment="1" applyProtection="1">
      <alignment horizontal="center" vertical="center"/>
      <protection locked="0"/>
    </xf>
    <xf numFmtId="0" fontId="13" fillId="0" borderId="0" xfId="1" applyNumberFormat="1" applyFont="1" applyAlignment="1" applyProtection="1">
      <alignment horizontal="center"/>
      <protection locked="0"/>
    </xf>
    <xf numFmtId="166" fontId="12" fillId="0" borderId="0" xfId="1" applyNumberFormat="1" applyFont="1" applyAlignment="1" applyProtection="1">
      <alignment horizontal="center"/>
      <protection locked="0"/>
    </xf>
    <xf numFmtId="166" fontId="13" fillId="0" borderId="0" xfId="1" applyNumberFormat="1" applyFont="1" applyAlignment="1" applyProtection="1">
      <alignment horizontal="center" textRotation="45"/>
      <protection locked="0"/>
    </xf>
    <xf numFmtId="14" fontId="13" fillId="0" borderId="0" xfId="1" applyNumberFormat="1" applyFont="1" applyAlignment="1" applyProtection="1">
      <alignment horizontal="center" vertical="center"/>
      <protection locked="0"/>
    </xf>
    <xf numFmtId="14" fontId="13" fillId="0" borderId="0" xfId="1" applyNumberFormat="1" applyFont="1" applyAlignment="1" applyProtection="1">
      <alignment horizontal="center"/>
      <protection locked="0"/>
    </xf>
    <xf numFmtId="181" fontId="13" fillId="0" borderId="0" xfId="0" applyNumberFormat="1" applyFont="1" applyAlignment="1" applyProtection="1">
      <alignment horizontal="center" vertical="center"/>
      <protection locked="0"/>
    </xf>
    <xf numFmtId="0" fontId="13" fillId="0" borderId="0" xfId="0" applyFont="1" applyAlignment="1" applyProtection="1">
      <alignment horizontal="left" vertical="center"/>
      <protection locked="0"/>
    </xf>
    <xf numFmtId="2" fontId="12" fillId="0" borderId="0" xfId="0" applyNumberFormat="1" applyFont="1" applyAlignment="1" applyProtection="1">
      <alignment horizontal="left"/>
      <protection locked="0"/>
    </xf>
    <xf numFmtId="181" fontId="13" fillId="0" borderId="0" xfId="1" applyNumberFormat="1" applyFont="1" applyAlignment="1" applyProtection="1">
      <alignment horizontal="center" vertical="center"/>
      <protection locked="0"/>
    </xf>
    <xf numFmtId="3" fontId="13" fillId="0" borderId="0" xfId="0" applyNumberFormat="1" applyFont="1" applyAlignment="1" applyProtection="1">
      <alignment horizontal="right"/>
      <protection locked="0"/>
    </xf>
    <xf numFmtId="165" fontId="13" fillId="0" borderId="0" xfId="1" applyFont="1" applyAlignment="1" applyProtection="1">
      <alignment horizontal="right"/>
      <protection locked="0"/>
    </xf>
    <xf numFmtId="165" fontId="13" fillId="0" borderId="0" xfId="0" applyNumberFormat="1" applyFont="1" applyAlignment="1" applyProtection="1">
      <alignment horizontal="center" vertical="center"/>
      <protection locked="0"/>
    </xf>
    <xf numFmtId="0" fontId="16" fillId="0" borderId="0" xfId="0" applyFont="1" applyAlignment="1" applyProtection="1">
      <alignment horizontal="right"/>
      <protection locked="0"/>
    </xf>
    <xf numFmtId="10" fontId="34" fillId="0" borderId="0" xfId="0" applyNumberFormat="1" applyFont="1" applyAlignment="1" applyProtection="1">
      <alignment horizontal="right"/>
      <protection locked="0"/>
    </xf>
    <xf numFmtId="10" fontId="12" fillId="0" borderId="0" xfId="1" applyNumberFormat="1" applyFont="1" applyAlignment="1" applyProtection="1">
      <alignment horizontal="center"/>
      <protection locked="0"/>
    </xf>
    <xf numFmtId="44" fontId="13" fillId="0" borderId="0" xfId="1699" applyNumberFormat="1" applyFont="1" applyAlignment="1" applyProtection="1">
      <alignment horizontal="center"/>
      <protection locked="0"/>
    </xf>
    <xf numFmtId="46" fontId="13" fillId="0" borderId="0" xfId="0" applyNumberFormat="1" applyFont="1" applyAlignment="1" applyProtection="1">
      <alignment horizontal="left"/>
      <protection locked="0"/>
    </xf>
    <xf numFmtId="17" fontId="12" fillId="0" borderId="0" xfId="0" applyNumberFormat="1" applyFont="1" applyAlignment="1" applyProtection="1">
      <alignment horizontal="left"/>
      <protection locked="0"/>
    </xf>
    <xf numFmtId="166" fontId="12" fillId="0" borderId="0" xfId="1" applyNumberFormat="1" applyFont="1" applyAlignment="1" applyProtection="1">
      <alignment horizontal="left"/>
      <protection locked="0"/>
    </xf>
    <xf numFmtId="0" fontId="18" fillId="0" borderId="0" xfId="0" applyFont="1" applyAlignment="1" applyProtection="1">
      <alignment horizontal="left"/>
      <protection locked="0"/>
    </xf>
    <xf numFmtId="0" fontId="37" fillId="0" borderId="0" xfId="0" applyFont="1" applyAlignment="1" applyProtection="1">
      <alignment horizontal="left"/>
      <protection locked="0"/>
    </xf>
    <xf numFmtId="0" fontId="35" fillId="0" borderId="0" xfId="0" applyFont="1" applyAlignment="1" applyProtection="1">
      <alignment horizontal="left" wrapText="1"/>
      <protection locked="0"/>
    </xf>
    <xf numFmtId="170" fontId="13" fillId="0" borderId="0" xfId="0" applyNumberFormat="1" applyFont="1" applyAlignment="1" applyProtection="1">
      <alignment horizontal="left"/>
      <protection locked="0"/>
    </xf>
    <xf numFmtId="0" fontId="13" fillId="0" borderId="0" xfId="0" applyFont="1" applyAlignment="1" applyProtection="1">
      <alignment horizontal="left" wrapText="1"/>
      <protection locked="0"/>
    </xf>
    <xf numFmtId="0" fontId="36" fillId="0" borderId="0" xfId="0" applyFont="1" applyAlignment="1" applyProtection="1">
      <alignment horizontal="center" vertical="top"/>
      <protection locked="0"/>
    </xf>
    <xf numFmtId="0" fontId="13" fillId="0" borderId="0" xfId="0" applyFont="1" applyAlignment="1" applyProtection="1">
      <alignment horizontal="right" wrapText="1"/>
      <protection locked="0"/>
    </xf>
    <xf numFmtId="0" fontId="13"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3" fontId="16" fillId="0" borderId="0" xfId="0" applyNumberFormat="1" applyFont="1"/>
    <xf numFmtId="0" fontId="18" fillId="0" borderId="0" xfId="0" applyFont="1" applyAlignment="1" applyProtection="1">
      <alignment horizontal="center"/>
      <protection locked="0"/>
    </xf>
    <xf numFmtId="166" fontId="23" fillId="7" borderId="2" xfId="1" applyNumberFormat="1" applyFont="1" applyFill="1" applyBorder="1" applyAlignment="1">
      <alignment horizontal="center" vertical="center"/>
    </xf>
    <xf numFmtId="2" fontId="13"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166" fontId="13" fillId="0" borderId="0" xfId="1" applyNumberFormat="1" applyFont="1" applyAlignment="1" applyProtection="1">
      <alignment horizontal="left" vertical="center"/>
      <protection locked="0"/>
    </xf>
    <xf numFmtId="3" fontId="13" fillId="0" borderId="0" xfId="1" applyNumberFormat="1" applyFont="1" applyAlignment="1" applyProtection="1">
      <alignment horizontal="center" vertical="center"/>
      <protection locked="0"/>
    </xf>
    <xf numFmtId="0" fontId="34" fillId="0" borderId="0" xfId="0" applyFont="1" applyAlignment="1" applyProtection="1">
      <alignment horizontal="left" vertical="top"/>
      <protection locked="0"/>
    </xf>
    <xf numFmtId="9" fontId="23" fillId="7" borderId="2" xfId="1" applyNumberFormat="1" applyFont="1" applyFill="1" applyBorder="1" applyAlignment="1">
      <alignment horizontal="center" vertical="center"/>
    </xf>
    <xf numFmtId="0" fontId="16" fillId="0" borderId="0" xfId="0" applyFont="1" applyAlignment="1">
      <alignment horizontal="left"/>
    </xf>
    <xf numFmtId="167" fontId="18" fillId="0" borderId="0" xfId="2" applyNumberFormat="1" applyFont="1" applyAlignment="1">
      <alignment horizontal="center" vertical="center" wrapText="1"/>
    </xf>
    <xf numFmtId="167" fontId="12" fillId="0" borderId="0" xfId="2" applyNumberFormat="1" applyFont="1" applyAlignment="1">
      <alignment horizontal="center"/>
    </xf>
    <xf numFmtId="0" fontId="10" fillId="0" borderId="0" xfId="0" applyFont="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cellXfs>
  <cellStyles count="1702">
    <cellStyle name="Lien hypertexte" xfId="639" builtinId="8" hidden="1"/>
    <cellStyle name="Lien hypertexte" xfId="767" builtinId="8" hidden="1"/>
    <cellStyle name="Lien hypertexte" xfId="895" builtinId="8" hidden="1"/>
    <cellStyle name="Lien hypertexte" xfId="1023" builtinId="8" hidden="1"/>
    <cellStyle name="Lien hypertexte" xfId="1151" builtinId="8" hidden="1"/>
    <cellStyle name="Lien hypertexte" xfId="1279" builtinId="8" hidden="1"/>
    <cellStyle name="Lien hypertexte" xfId="1407" builtinId="8" hidden="1"/>
    <cellStyle name="Lien hypertexte" xfId="1535" builtinId="8" hidden="1"/>
    <cellStyle name="Lien hypertexte" xfId="1663" builtinId="8" hidden="1"/>
    <cellStyle name="Lien hypertexte" xfId="1605" builtinId="8" hidden="1"/>
    <cellStyle name="Lien hypertexte" xfId="1477" builtinId="8" hidden="1"/>
    <cellStyle name="Lien hypertexte" xfId="1349" builtinId="8" hidden="1"/>
    <cellStyle name="Lien hypertexte" xfId="1221" builtinId="8" hidden="1"/>
    <cellStyle name="Lien hypertexte" xfId="1093" builtinId="8" hidden="1"/>
    <cellStyle name="Lien hypertexte" xfId="965" builtinId="8" hidden="1"/>
    <cellStyle name="Lien hypertexte" xfId="837" builtinId="8" hidden="1"/>
    <cellStyle name="Lien hypertexte" xfId="709" builtinId="8" hidden="1"/>
    <cellStyle name="Lien hypertexte" xfId="581" builtinId="8" hidden="1"/>
    <cellStyle name="Lien hypertexte" xfId="453" builtinId="8" hidden="1"/>
    <cellStyle name="Lien hypertexte" xfId="325" builtinId="8" hidden="1"/>
    <cellStyle name="Lien hypertexte" xfId="197" builtinId="8" hidden="1"/>
    <cellStyle name="Lien hypertexte" xfId="193" builtinId="8" hidden="1"/>
    <cellStyle name="Lien hypertexte" xfId="69" builtinId="8" hidden="1"/>
    <cellStyle name="Lien hypertexte" xfId="189" builtinId="8" hidden="1"/>
    <cellStyle name="Lien hypertexte" xfId="113" builtinId="8" hidden="1"/>
    <cellStyle name="Lien hypertexte" xfId="317" builtinId="8" hidden="1"/>
    <cellStyle name="Lien hypertexte" xfId="445" builtinId="8" hidden="1"/>
    <cellStyle name="Lien hypertexte" xfId="573" builtinId="8" hidden="1"/>
    <cellStyle name="Lien hypertexte" xfId="701" builtinId="8" hidden="1"/>
    <cellStyle name="Lien hypertexte" xfId="829" builtinId="8" hidden="1"/>
    <cellStyle name="Lien hypertexte" xfId="957" builtinId="8" hidden="1"/>
    <cellStyle name="Lien hypertexte" xfId="1085" builtinId="8" hidden="1"/>
    <cellStyle name="Lien hypertexte" xfId="1213" builtinId="8" hidden="1"/>
    <cellStyle name="Lien hypertexte" xfId="1341" builtinId="8" hidden="1"/>
    <cellStyle name="Lien hypertexte" xfId="1469" builtinId="8" hidden="1"/>
    <cellStyle name="Lien hypertexte" xfId="1597" builtinId="8" hidden="1"/>
    <cellStyle name="Lien hypertexte" xfId="1671" builtinId="8" hidden="1"/>
    <cellStyle name="Lien hypertexte" xfId="1543" builtinId="8" hidden="1"/>
    <cellStyle name="Lien hypertexte" xfId="1415" builtinId="8" hidden="1"/>
    <cellStyle name="Lien hypertexte" xfId="1287" builtinId="8" hidden="1"/>
    <cellStyle name="Lien hypertexte" xfId="1159" builtinId="8" hidden="1"/>
    <cellStyle name="Lien hypertexte" xfId="1031" builtinId="8" hidden="1"/>
    <cellStyle name="Lien hypertexte" xfId="903" builtinId="8" hidden="1"/>
    <cellStyle name="Lien hypertexte" xfId="775" builtinId="8" hidden="1"/>
    <cellStyle name="Lien hypertexte" xfId="647" builtinId="8" hidden="1"/>
    <cellStyle name="Lien hypertexte" xfId="519" builtinId="8" hidden="1"/>
    <cellStyle name="Lien hypertexte" xfId="391" builtinId="8" hidden="1"/>
    <cellStyle name="Lien hypertexte" xfId="263" builtinId="8" hidden="1"/>
    <cellStyle name="Lien hypertexte" xfId="135" builtinId="8" hidden="1"/>
    <cellStyle name="Lien hypertexte" xfId="61" builtinId="8" hidden="1"/>
    <cellStyle name="Lien hypertexte" xfId="55" builtinId="8" hidden="1"/>
    <cellStyle name="Lien hypertexte" xfId="123" builtinId="8" hidden="1"/>
    <cellStyle name="Lien hypertexte" xfId="251" builtinId="8" hidden="1"/>
    <cellStyle name="Lien hypertexte" xfId="379" builtinId="8" hidden="1"/>
    <cellStyle name="Lien hypertexte" xfId="507" builtinId="8" hidden="1"/>
    <cellStyle name="Lien hypertexte" xfId="635" builtinId="8" hidden="1"/>
    <cellStyle name="Lien hypertexte" xfId="763" builtinId="8" hidden="1"/>
    <cellStyle name="Lien hypertexte" xfId="891" builtinId="8" hidden="1"/>
    <cellStyle name="Lien hypertexte" xfId="1019" builtinId="8" hidden="1"/>
    <cellStyle name="Lien hypertexte" xfId="1147" builtinId="8" hidden="1"/>
    <cellStyle name="Lien hypertexte" xfId="1275" builtinId="8" hidden="1"/>
    <cellStyle name="Lien hypertexte" xfId="1403" builtinId="8" hidden="1"/>
    <cellStyle name="Lien hypertexte" xfId="1531" builtinId="8" hidden="1"/>
    <cellStyle name="Lien hypertexte" xfId="1659" builtinId="8" hidden="1"/>
    <cellStyle name="Lien hypertexte" xfId="1609" builtinId="8" hidden="1"/>
    <cellStyle name="Lien hypertexte" xfId="1481" builtinId="8" hidden="1"/>
    <cellStyle name="Lien hypertexte" xfId="1353" builtinId="8" hidden="1"/>
    <cellStyle name="Lien hypertexte" xfId="1225" builtinId="8" hidden="1"/>
    <cellStyle name="Lien hypertexte" xfId="1097" builtinId="8" hidden="1"/>
    <cellStyle name="Lien hypertexte" xfId="969" builtinId="8" hidden="1"/>
    <cellStyle name="Lien hypertexte" xfId="841" builtinId="8" hidden="1"/>
    <cellStyle name="Lien hypertexte" xfId="713" builtinId="8" hidden="1"/>
    <cellStyle name="Lien hypertexte" xfId="585" builtinId="8" hidden="1"/>
    <cellStyle name="Lien hypertexte" xfId="457" builtinId="8" hidden="1"/>
    <cellStyle name="Lien hypertexte" xfId="361" builtinId="8" hidden="1"/>
    <cellStyle name="Lien hypertexte" xfId="449" builtinId="8" hidden="1"/>
    <cellStyle name="Lien hypertexte" xfId="241" builtinId="8" hidden="1"/>
    <cellStyle name="Lien hypertexte" xfId="201" builtinId="8" hidden="1"/>
    <cellStyle name="Lien hypertexte" xfId="257" builtinId="8" hidden="1"/>
    <cellStyle name="Lien hypertexte" xfId="441" builtinId="8" hidden="1"/>
    <cellStyle name="Lien hypertexte" xfId="369" builtinId="8" hidden="1"/>
    <cellStyle name="Lien hypertexte" xfId="289" builtinId="8" hidden="1"/>
    <cellStyle name="Lien hypertexte" xfId="569" builtinId="8" hidden="1"/>
    <cellStyle name="Lien hypertexte" xfId="697" builtinId="8" hidden="1"/>
    <cellStyle name="Lien hypertexte" xfId="825" builtinId="8" hidden="1"/>
    <cellStyle name="Lien hypertexte" xfId="953" builtinId="8" hidden="1"/>
    <cellStyle name="Lien hypertexte" xfId="1081" builtinId="8" hidden="1"/>
    <cellStyle name="Lien hypertexte" xfId="1209" builtinId="8" hidden="1"/>
    <cellStyle name="Lien hypertexte" xfId="1337" builtinId="8" hidden="1"/>
    <cellStyle name="Lien hypertexte" xfId="1465" builtinId="8" hidden="1"/>
    <cellStyle name="Lien hypertexte" xfId="1593" builtinId="8" hidden="1"/>
    <cellStyle name="Lien hypertexte" xfId="1675" builtinId="8" hidden="1"/>
    <cellStyle name="Lien hypertexte" xfId="1547" builtinId="8" hidden="1"/>
    <cellStyle name="Lien hypertexte" xfId="1419" builtinId="8" hidden="1"/>
    <cellStyle name="Lien hypertexte" xfId="1291" builtinId="8" hidden="1"/>
    <cellStyle name="Lien hypertexte" xfId="1163" builtinId="8" hidden="1"/>
    <cellStyle name="Lien hypertexte" xfId="1035" builtinId="8" hidden="1"/>
    <cellStyle name="Lien hypertexte" xfId="907" builtinId="8" hidden="1"/>
    <cellStyle name="Lien hypertexte" xfId="779" builtinId="8" hidden="1"/>
    <cellStyle name="Lien hypertexte" xfId="651" builtinId="8" hidden="1"/>
    <cellStyle name="Lien hypertexte" xfId="523" builtinId="8" hidden="1"/>
    <cellStyle name="Lien hypertexte" xfId="395" builtinId="8" hidden="1"/>
    <cellStyle name="Lien hypertexte" xfId="267" builtinId="8" hidden="1"/>
    <cellStyle name="Lien hypertexte" xfId="139" builtinId="8" hidden="1"/>
    <cellStyle name="Lien hypertexte" xfId="59" builtinId="8" hidden="1"/>
    <cellStyle name="Lien hypertexte" xfId="47" builtinId="8" hidden="1"/>
    <cellStyle name="Lien hypertexte" xfId="119" builtinId="8" hidden="1"/>
    <cellStyle name="Lien hypertexte" xfId="247" builtinId="8" hidden="1"/>
    <cellStyle name="Lien hypertexte" xfId="375" builtinId="8" hidden="1"/>
    <cellStyle name="Lien hypertexte" xfId="503" builtinId="8" hidden="1"/>
    <cellStyle name="Lien hypertexte" xfId="631" builtinId="8" hidden="1"/>
    <cellStyle name="Lien hypertexte" xfId="759" builtinId="8" hidden="1"/>
    <cellStyle name="Lien hypertexte" xfId="887" builtinId="8" hidden="1"/>
    <cellStyle name="Lien hypertexte" xfId="1015" builtinId="8" hidden="1"/>
    <cellStyle name="Lien hypertexte" xfId="1143" builtinId="8" hidden="1"/>
    <cellStyle name="Lien hypertexte" xfId="1271" builtinId="8" hidden="1"/>
    <cellStyle name="Lien hypertexte" xfId="1399" builtinId="8" hidden="1"/>
    <cellStyle name="Lien hypertexte" xfId="1527" builtinId="8" hidden="1"/>
    <cellStyle name="Lien hypertexte" xfId="1655" builtinId="8" hidden="1"/>
    <cellStyle name="Lien hypertexte" xfId="1613" builtinId="8" hidden="1"/>
    <cellStyle name="Lien hypertexte" xfId="1485" builtinId="8" hidden="1"/>
    <cellStyle name="Lien hypertexte" xfId="1357" builtinId="8" hidden="1"/>
    <cellStyle name="Lien hypertexte" xfId="1229" builtinId="8" hidden="1"/>
    <cellStyle name="Lien hypertexte" xfId="1101" builtinId="8" hidden="1"/>
    <cellStyle name="Lien hypertexte" xfId="973" builtinId="8" hidden="1"/>
    <cellStyle name="Lien hypertexte" xfId="845" builtinId="8" hidden="1"/>
    <cellStyle name="Lien hypertexte" xfId="717" builtinId="8" hidden="1"/>
    <cellStyle name="Lien hypertexte" xfId="589" builtinId="8" hidden="1"/>
    <cellStyle name="Lien hypertexte" xfId="461" builtinId="8" hidden="1"/>
    <cellStyle name="Lien hypertexte" xfId="333" builtinId="8" hidden="1"/>
    <cellStyle name="Lien hypertexte" xfId="205" builtinId="8" hidden="1"/>
    <cellStyle name="Lien hypertexte" xfId="185" builtinId="8" hidden="1"/>
    <cellStyle name="Lien hypertexte" xfId="73" builtinId="8" hidden="1"/>
    <cellStyle name="Lien hypertexte" xfId="173" builtinId="8" hidden="1"/>
    <cellStyle name="Lien hypertexte" xfId="117" builtinId="8" hidden="1"/>
    <cellStyle name="Lien hypertexte" xfId="309" builtinId="8" hidden="1"/>
    <cellStyle name="Lien hypertexte" xfId="437" builtinId="8" hidden="1"/>
    <cellStyle name="Lien hypertexte" xfId="565" builtinId="8" hidden="1"/>
    <cellStyle name="Lien hypertexte" xfId="693" builtinId="8" hidden="1"/>
    <cellStyle name="Lien hypertexte" xfId="821" builtinId="8" hidden="1"/>
    <cellStyle name="Lien hypertexte" xfId="949" builtinId="8" hidden="1"/>
    <cellStyle name="Lien hypertexte" xfId="1077" builtinId="8" hidden="1"/>
    <cellStyle name="Lien hypertexte" xfId="1205" builtinId="8" hidden="1"/>
    <cellStyle name="Lien hypertexte" xfId="1333" builtinId="8" hidden="1"/>
    <cellStyle name="Lien hypertexte" xfId="1461" builtinId="8" hidden="1"/>
    <cellStyle name="Lien hypertexte" xfId="1589" builtinId="8" hidden="1"/>
    <cellStyle name="Lien hypertexte" xfId="1679" builtinId="8" hidden="1"/>
    <cellStyle name="Lien hypertexte" xfId="1551" builtinId="8" hidden="1"/>
    <cellStyle name="Lien hypertexte" xfId="1423" builtinId="8" hidden="1"/>
    <cellStyle name="Lien hypertexte" xfId="1295" builtinId="8" hidden="1"/>
    <cellStyle name="Lien hypertexte" xfId="1167" builtinId="8" hidden="1"/>
    <cellStyle name="Lien hypertexte" xfId="1039" builtinId="8" hidden="1"/>
    <cellStyle name="Lien hypertexte" xfId="911" builtinId="8" hidden="1"/>
    <cellStyle name="Lien hypertexte" xfId="783" builtinId="8" hidden="1"/>
    <cellStyle name="Lien hypertexte" xfId="655" builtinId="8" hidden="1"/>
    <cellStyle name="Lien hypertexte" xfId="527" builtinId="8" hidden="1"/>
    <cellStyle name="Lien hypertexte" xfId="399" builtinId="8" hidden="1"/>
    <cellStyle name="Lien hypertexte" xfId="271" builtinId="8" hidden="1"/>
    <cellStyle name="Lien hypertexte" xfId="143" builtinId="8" hidden="1"/>
    <cellStyle name="Lien hypertexte" xfId="57" builtinId="8" hidden="1"/>
    <cellStyle name="Lien hypertexte" xfId="39" builtinId="8" hidden="1"/>
    <cellStyle name="Lien hypertexte" xfId="115" builtinId="8" hidden="1"/>
    <cellStyle name="Lien hypertexte" xfId="243" builtinId="8" hidden="1"/>
    <cellStyle name="Lien hypertexte" xfId="371" builtinId="8" hidden="1"/>
    <cellStyle name="Lien hypertexte" xfId="499" builtinId="8" hidden="1"/>
    <cellStyle name="Lien hypertexte" xfId="627" builtinId="8" hidden="1"/>
    <cellStyle name="Lien hypertexte" xfId="755" builtinId="8" hidden="1"/>
    <cellStyle name="Lien hypertexte" xfId="883" builtinId="8" hidden="1"/>
    <cellStyle name="Lien hypertexte" xfId="1011" builtinId="8" hidden="1"/>
    <cellStyle name="Lien hypertexte" xfId="1139" builtinId="8" hidden="1"/>
    <cellStyle name="Lien hypertexte" xfId="1267" builtinId="8" hidden="1"/>
    <cellStyle name="Lien hypertexte" xfId="1395" builtinId="8" hidden="1"/>
    <cellStyle name="Lien hypertexte" xfId="1523" builtinId="8" hidden="1"/>
    <cellStyle name="Lien hypertexte" xfId="1651" builtinId="8" hidden="1"/>
    <cellStyle name="Lien hypertexte" xfId="1617" builtinId="8" hidden="1"/>
    <cellStyle name="Lien hypertexte" xfId="1489" builtinId="8" hidden="1"/>
    <cellStyle name="Lien hypertexte" xfId="1361" builtinId="8" hidden="1"/>
    <cellStyle name="Lien hypertexte" xfId="1233" builtinId="8" hidden="1"/>
    <cellStyle name="Lien hypertexte" xfId="1105" builtinId="8" hidden="1"/>
    <cellStyle name="Lien hypertexte" xfId="977" builtinId="8" hidden="1"/>
    <cellStyle name="Lien hypertexte" xfId="705" builtinId="8" hidden="1"/>
    <cellStyle name="Lien hypertexte" xfId="785" builtinId="8" hidden="1"/>
    <cellStyle name="Lien hypertexte" xfId="865" builtinId="8" hidden="1"/>
    <cellStyle name="Lien hypertexte" xfId="961" builtinId="8" hidden="1"/>
    <cellStyle name="Lien hypertexte" xfId="753" builtinId="8" hidden="1"/>
    <cellStyle name="Lien hypertexte" xfId="545" builtinId="8" hidden="1"/>
    <cellStyle name="Lien hypertexte" xfId="561" builtinId="8" hidden="1"/>
    <cellStyle name="Lien hypertexte" xfId="465" builtinId="8" hidden="1"/>
    <cellStyle name="Lien hypertexte" xfId="497" builtinId="8" hidden="1"/>
    <cellStyle name="Lien hypertexte" xfId="577" builtinId="8" hidden="1"/>
    <cellStyle name="Lien hypertexte" xfId="689" builtinId="8" hidden="1"/>
    <cellStyle name="Lien hypertexte" xfId="945" builtinId="8" hidden="1"/>
    <cellStyle name="Lien hypertexte" xfId="897" builtinId="8" hidden="1"/>
    <cellStyle name="Lien hypertexte" xfId="801" builtinId="8" hidden="1"/>
    <cellStyle name="Lien hypertexte" xfId="721" builtinId="8" hidden="1"/>
    <cellStyle name="Lien hypertexte" xfId="641" builtinId="8" hidden="1"/>
    <cellStyle name="Lien hypertexte" xfId="1073" builtinId="8" hidden="1"/>
    <cellStyle name="Lien hypertexte" xfId="1201" builtinId="8" hidden="1"/>
    <cellStyle name="Lien hypertexte" xfId="1329" builtinId="8" hidden="1"/>
    <cellStyle name="Lien hypertexte" xfId="1457" builtinId="8" hidden="1"/>
    <cellStyle name="Lien hypertexte" xfId="1585" builtinId="8" hidden="1"/>
    <cellStyle name="Lien hypertexte" xfId="1683" builtinId="8" hidden="1"/>
    <cellStyle name="Lien hypertexte" xfId="1555" builtinId="8" hidden="1"/>
    <cellStyle name="Lien hypertexte" xfId="1427" builtinId="8" hidden="1"/>
    <cellStyle name="Lien hypertexte" xfId="1299" builtinId="8" hidden="1"/>
    <cellStyle name="Lien hypertexte" xfId="1171" builtinId="8" hidden="1"/>
    <cellStyle name="Lien hypertexte" xfId="1043" builtinId="8" hidden="1"/>
    <cellStyle name="Lien hypertexte" xfId="915" builtinId="8" hidden="1"/>
    <cellStyle name="Lien hypertexte" xfId="787" builtinId="8" hidden="1"/>
    <cellStyle name="Lien hypertexte" xfId="659" builtinId="8" hidden="1"/>
    <cellStyle name="Lien hypertexte" xfId="531" builtinId="8" hidden="1"/>
    <cellStyle name="Lien hypertexte" xfId="403" builtinId="8" hidden="1"/>
    <cellStyle name="Lien hypertexte" xfId="275" builtinId="8" hidden="1"/>
    <cellStyle name="Lien hypertexte" xfId="147" builtinId="8" hidden="1"/>
    <cellStyle name="Lien hypertexte" xfId="53" builtinId="8" hidden="1"/>
    <cellStyle name="Lien hypertexte" xfId="31" builtinId="8" hidden="1"/>
    <cellStyle name="Lien hypertexte" xfId="111" builtinId="8" hidden="1"/>
    <cellStyle name="Lien hypertexte" xfId="239" builtinId="8" hidden="1"/>
    <cellStyle name="Lien hypertexte" xfId="367" builtinId="8" hidden="1"/>
    <cellStyle name="Lien hypertexte" xfId="495" builtinId="8" hidden="1"/>
    <cellStyle name="Lien hypertexte" xfId="623" builtinId="8" hidden="1"/>
    <cellStyle name="Lien hypertexte" xfId="751" builtinId="8" hidden="1"/>
    <cellStyle name="Lien hypertexte" xfId="879" builtinId="8" hidden="1"/>
    <cellStyle name="Lien hypertexte" xfId="1007" builtinId="8" hidden="1"/>
    <cellStyle name="Lien hypertexte" xfId="1135" builtinId="8" hidden="1"/>
    <cellStyle name="Lien hypertexte" xfId="1263" builtinId="8" hidden="1"/>
    <cellStyle name="Lien hypertexte" xfId="1391" builtinId="8" hidden="1"/>
    <cellStyle name="Lien hypertexte" xfId="1519" builtinId="8" hidden="1"/>
    <cellStyle name="Lien hypertexte" xfId="1647" builtinId="8" hidden="1"/>
    <cellStyle name="Lien hypertexte" xfId="1621" builtinId="8" hidden="1"/>
    <cellStyle name="Lien hypertexte" xfId="1493" builtinId="8" hidden="1"/>
    <cellStyle name="Lien hypertexte" xfId="1365" builtinId="8" hidden="1"/>
    <cellStyle name="Lien hypertexte" xfId="1237" builtinId="8" hidden="1"/>
    <cellStyle name="Lien hypertexte" xfId="1109" builtinId="8" hidden="1"/>
    <cellStyle name="Lien hypertexte" xfId="981" builtinId="8" hidden="1"/>
    <cellStyle name="Lien hypertexte" xfId="853" builtinId="8" hidden="1"/>
    <cellStyle name="Lien hypertexte" xfId="725" builtinId="8" hidden="1"/>
    <cellStyle name="Lien hypertexte" xfId="597" builtinId="8" hidden="1"/>
    <cellStyle name="Lien hypertexte" xfId="469" builtinId="8" hidden="1"/>
    <cellStyle name="Lien hypertexte" xfId="341" builtinId="8" hidden="1"/>
    <cellStyle name="Lien hypertexte" xfId="213" builtinId="8" hidden="1"/>
    <cellStyle name="Lien hypertexte" xfId="181" builtinId="8" hidden="1"/>
    <cellStyle name="Lien hypertexte" xfId="81" builtinId="8" hidden="1"/>
    <cellStyle name="Lien hypertexte" xfId="157" builtinId="8" hidden="1"/>
    <cellStyle name="Lien hypertexte" xfId="121" builtinId="8" hidden="1"/>
    <cellStyle name="Lien hypertexte" xfId="301" builtinId="8" hidden="1"/>
    <cellStyle name="Lien hypertexte" xfId="429" builtinId="8" hidden="1"/>
    <cellStyle name="Lien hypertexte" xfId="557" builtinId="8" hidden="1"/>
    <cellStyle name="Lien hypertexte" xfId="685" builtinId="8" hidden="1"/>
    <cellStyle name="Lien hypertexte" xfId="813" builtinId="8" hidden="1"/>
    <cellStyle name="Lien hypertexte" xfId="941" builtinId="8" hidden="1"/>
    <cellStyle name="Lien hypertexte" xfId="1069" builtinId="8" hidden="1"/>
    <cellStyle name="Lien hypertexte" xfId="1197" builtinId="8" hidden="1"/>
    <cellStyle name="Lien hypertexte" xfId="1325" builtinId="8" hidden="1"/>
    <cellStyle name="Lien hypertexte" xfId="1453" builtinId="8" hidden="1"/>
    <cellStyle name="Lien hypertexte" xfId="1581" builtinId="8" hidden="1"/>
    <cellStyle name="Lien hypertexte" xfId="1687" builtinId="8" hidden="1"/>
    <cellStyle name="Lien hypertexte" xfId="1559" builtinId="8" hidden="1"/>
    <cellStyle name="Lien hypertexte" xfId="1431" builtinId="8" hidden="1"/>
    <cellStyle name="Lien hypertexte" xfId="1303" builtinId="8" hidden="1"/>
    <cellStyle name="Lien hypertexte" xfId="1175" builtinId="8" hidden="1"/>
    <cellStyle name="Lien hypertexte" xfId="1047" builtinId="8" hidden="1"/>
    <cellStyle name="Lien hypertexte" xfId="919" builtinId="8" hidden="1"/>
    <cellStyle name="Lien hypertexte" xfId="791" builtinId="8" hidden="1"/>
    <cellStyle name="Lien hypertexte" xfId="663" builtinId="8" hidden="1"/>
    <cellStyle name="Lien hypertexte" xfId="535" builtinId="8" hidden="1"/>
    <cellStyle name="Lien hypertexte" xfId="407" builtinId="8" hidden="1"/>
    <cellStyle name="Lien hypertexte" xfId="279" builtinId="8" hidden="1"/>
    <cellStyle name="Lien hypertexte" xfId="151" builtinId="8" hidden="1"/>
    <cellStyle name="Lien hypertexte" xfId="51" builtinId="8" hidden="1"/>
    <cellStyle name="Lien hypertexte" xfId="23" builtinId="8" hidden="1"/>
    <cellStyle name="Lien hypertexte" xfId="107" builtinId="8" hidden="1"/>
    <cellStyle name="Lien hypertexte" xfId="235" builtinId="8" hidden="1"/>
    <cellStyle name="Lien hypertexte" xfId="363" builtinId="8" hidden="1"/>
    <cellStyle name="Lien hypertexte" xfId="491" builtinId="8" hidden="1"/>
    <cellStyle name="Lien hypertexte" xfId="619" builtinId="8" hidden="1"/>
    <cellStyle name="Lien hypertexte" xfId="747" builtinId="8" hidden="1"/>
    <cellStyle name="Lien hypertexte" xfId="875" builtinId="8" hidden="1"/>
    <cellStyle name="Lien hypertexte" xfId="1003" builtinId="8" hidden="1"/>
    <cellStyle name="Lien hypertexte" xfId="1131" builtinId="8" hidden="1"/>
    <cellStyle name="Lien hypertexte" xfId="1259" builtinId="8" hidden="1"/>
    <cellStyle name="Lien hypertexte" xfId="1387" builtinId="8" hidden="1"/>
    <cellStyle name="Lien hypertexte" xfId="1515" builtinId="8" hidden="1"/>
    <cellStyle name="Lien hypertexte" xfId="1643" builtinId="8" hidden="1"/>
    <cellStyle name="Lien hypertexte" xfId="1625" builtinId="8" hidden="1"/>
    <cellStyle name="Lien hypertexte" xfId="1497" builtinId="8" hidden="1"/>
    <cellStyle name="Lien hypertexte" xfId="1369" builtinId="8" hidden="1"/>
    <cellStyle name="Lien hypertexte" xfId="1241" builtinId="8" hidden="1"/>
    <cellStyle name="Lien hypertexte" xfId="1113" builtinId="8" hidden="1"/>
    <cellStyle name="Lien hypertexte" xfId="985" builtinId="8" hidden="1"/>
    <cellStyle name="Lien hypertexte" xfId="857" builtinId="8" hidden="1"/>
    <cellStyle name="Lien hypertexte" xfId="729" builtinId="8" hidden="1"/>
    <cellStyle name="Lien hypertexte" xfId="601" builtinId="8" hidden="1"/>
    <cellStyle name="Lien hypertexte" xfId="473" builtinId="8" hidden="1"/>
    <cellStyle name="Lien hypertexte" xfId="353" builtinId="8" hidden="1"/>
    <cellStyle name="Lien hypertexte" xfId="433" builtinId="8" hidden="1"/>
    <cellStyle name="Lien hypertexte" xfId="233" builtinId="8" hidden="1"/>
    <cellStyle name="Lien hypertexte" xfId="209" builtinId="8" hidden="1"/>
    <cellStyle name="Lien hypertexte" xfId="265" builtinId="8" hidden="1"/>
    <cellStyle name="Lien hypertexte" xfId="409" builtinId="8" hidden="1"/>
    <cellStyle name="Lien hypertexte" xfId="385" builtinId="8" hidden="1"/>
    <cellStyle name="Lien hypertexte" xfId="297" builtinId="8" hidden="1"/>
    <cellStyle name="Lien hypertexte" xfId="553" builtinId="8" hidden="1"/>
    <cellStyle name="Lien hypertexte" xfId="681" builtinId="8" hidden="1"/>
    <cellStyle name="Lien hypertexte" xfId="809" builtinId="8" hidden="1"/>
    <cellStyle name="Lien hypertexte" xfId="937" builtinId="8" hidden="1"/>
    <cellStyle name="Lien hypertexte" xfId="1065" builtinId="8" hidden="1"/>
    <cellStyle name="Lien hypertexte" xfId="1193" builtinId="8" hidden="1"/>
    <cellStyle name="Lien hypertexte" xfId="1321" builtinId="8" hidden="1"/>
    <cellStyle name="Lien hypertexte" xfId="1449" builtinId="8" hidden="1"/>
    <cellStyle name="Lien hypertexte" xfId="1577" builtinId="8" hidden="1"/>
    <cellStyle name="Lien hypertexte" xfId="1691" builtinId="8" hidden="1"/>
    <cellStyle name="Lien hypertexte" xfId="1563" builtinId="8" hidden="1"/>
    <cellStyle name="Lien hypertexte" xfId="1435" builtinId="8" hidden="1"/>
    <cellStyle name="Lien hypertexte" xfId="1307" builtinId="8" hidden="1"/>
    <cellStyle name="Lien hypertexte" xfId="1179" builtinId="8" hidden="1"/>
    <cellStyle name="Lien hypertexte" xfId="1051" builtinId="8" hidden="1"/>
    <cellStyle name="Lien hypertexte" xfId="923" builtinId="8" hidden="1"/>
    <cellStyle name="Lien hypertexte" xfId="795" builtinId="8" hidden="1"/>
    <cellStyle name="Lien hypertexte" xfId="667" builtinId="8" hidden="1"/>
    <cellStyle name="Lien hypertexte" xfId="539" builtinId="8" hidden="1"/>
    <cellStyle name="Lien hypertexte" xfId="411" builtinId="8" hidden="1"/>
    <cellStyle name="Lien hypertexte" xfId="283" builtinId="8" hidden="1"/>
    <cellStyle name="Lien hypertexte" xfId="155" builtinId="8" hidden="1"/>
    <cellStyle name="Lien hypertexte" xfId="49" builtinId="8" hidden="1"/>
    <cellStyle name="Lien hypertexte" xfId="11" builtinId="8" hidden="1"/>
    <cellStyle name="Lien hypertexte" xfId="103" builtinId="8" hidden="1"/>
    <cellStyle name="Lien hypertexte" xfId="231" builtinId="8" hidden="1"/>
    <cellStyle name="Lien hypertexte" xfId="359" builtinId="8" hidden="1"/>
    <cellStyle name="Lien hypertexte" xfId="487" builtinId="8" hidden="1"/>
    <cellStyle name="Lien hypertexte" xfId="615" builtinId="8" hidden="1"/>
    <cellStyle name="Lien hypertexte" xfId="743" builtinId="8" hidden="1"/>
    <cellStyle name="Lien hypertexte" xfId="871" builtinId="8" hidden="1"/>
    <cellStyle name="Lien hypertexte" xfId="999" builtinId="8" hidden="1"/>
    <cellStyle name="Lien hypertexte" xfId="1127" builtinId="8" hidden="1"/>
    <cellStyle name="Lien hypertexte" xfId="1255" builtinId="8" hidden="1"/>
    <cellStyle name="Lien hypertexte" xfId="1383" builtinId="8" hidden="1"/>
    <cellStyle name="Lien hypertexte" xfId="1511" builtinId="8" hidden="1"/>
    <cellStyle name="Lien hypertexte" xfId="1639" builtinId="8" hidden="1"/>
    <cellStyle name="Lien hypertexte" xfId="1629" builtinId="8" hidden="1"/>
    <cellStyle name="Lien hypertexte" xfId="1501" builtinId="8" hidden="1"/>
    <cellStyle name="Lien hypertexte" xfId="1373" builtinId="8" hidden="1"/>
    <cellStyle name="Lien hypertexte" xfId="1245" builtinId="8" hidden="1"/>
    <cellStyle name="Lien hypertexte" xfId="1117" builtinId="8" hidden="1"/>
    <cellStyle name="Lien hypertexte" xfId="989" builtinId="8" hidden="1"/>
    <cellStyle name="Lien hypertexte" xfId="861" builtinId="8" hidden="1"/>
    <cellStyle name="Lien hypertexte" xfId="733" builtinId="8" hidden="1"/>
    <cellStyle name="Lien hypertexte" xfId="605" builtinId="8" hidden="1"/>
    <cellStyle name="Lien hypertexte" xfId="477" builtinId="8" hidden="1"/>
    <cellStyle name="Lien hypertexte" xfId="349" builtinId="8" hidden="1"/>
    <cellStyle name="Lien hypertexte" xfId="221" builtinId="8" hidden="1"/>
    <cellStyle name="Lien hypertexte" xfId="177" builtinId="8" hidden="1"/>
    <cellStyle name="Lien hypertexte" xfId="77" builtinId="8" hidden="1"/>
    <cellStyle name="Lien hypertexte" xfId="141" builtinId="8" hidden="1"/>
    <cellStyle name="Lien hypertexte" xfId="129" builtinId="8" hidden="1"/>
    <cellStyle name="Lien hypertexte" xfId="293" builtinId="8" hidden="1"/>
    <cellStyle name="Lien hypertexte" xfId="421" builtinId="8" hidden="1"/>
    <cellStyle name="Lien hypertexte" xfId="549" builtinId="8" hidden="1"/>
    <cellStyle name="Lien hypertexte" xfId="677" builtinId="8" hidden="1"/>
    <cellStyle name="Lien hypertexte" xfId="805" builtinId="8" hidden="1"/>
    <cellStyle name="Lien hypertexte" xfId="933" builtinId="8" hidden="1"/>
    <cellStyle name="Lien hypertexte" xfId="1061" builtinId="8" hidden="1"/>
    <cellStyle name="Lien hypertexte" xfId="1189" builtinId="8" hidden="1"/>
    <cellStyle name="Lien hypertexte" xfId="1317" builtinId="8" hidden="1"/>
    <cellStyle name="Lien hypertexte" xfId="1445" builtinId="8" hidden="1"/>
    <cellStyle name="Lien hypertexte" xfId="1573" builtinId="8" hidden="1"/>
    <cellStyle name="Lien hypertexte" xfId="1695" builtinId="8" hidden="1"/>
    <cellStyle name="Lien hypertexte" xfId="1567" builtinId="8" hidden="1"/>
    <cellStyle name="Lien hypertexte" xfId="1439" builtinId="8" hidden="1"/>
    <cellStyle name="Lien hypertexte" xfId="1311" builtinId="8" hidden="1"/>
    <cellStyle name="Lien hypertexte" xfId="1183" builtinId="8" hidden="1"/>
    <cellStyle name="Lien hypertexte" xfId="1055" builtinId="8" hidden="1"/>
    <cellStyle name="Lien hypertexte" xfId="927" builtinId="8" hidden="1"/>
    <cellStyle name="Lien hypertexte" xfId="799" builtinId="8" hidden="1"/>
    <cellStyle name="Lien hypertexte" xfId="671" builtinId="8" hidden="1"/>
    <cellStyle name="Lien hypertexte" xfId="543" builtinId="8" hidden="1"/>
    <cellStyle name="Lien hypertexte" xfId="415" builtinId="8" hidden="1"/>
    <cellStyle name="Lien hypertexte" xfId="287" builtinId="8" hidden="1"/>
    <cellStyle name="Lien hypertexte" xfId="159" builtinId="8" hidden="1"/>
    <cellStyle name="Lien hypertexte" xfId="45" builtinId="8" hidden="1"/>
    <cellStyle name="Lien hypertexte" xfId="13" builtinId="8" hidden="1"/>
    <cellStyle name="Lien hypertexte" xfId="99" builtinId="8" hidden="1"/>
    <cellStyle name="Lien hypertexte" xfId="227" builtinId="8" hidden="1"/>
    <cellStyle name="Lien hypertexte" xfId="355" builtinId="8" hidden="1"/>
    <cellStyle name="Lien hypertexte" xfId="483" builtinId="8" hidden="1"/>
    <cellStyle name="Lien hypertexte" xfId="611" builtinId="8" hidden="1"/>
    <cellStyle name="Lien hypertexte" xfId="739" builtinId="8" hidden="1"/>
    <cellStyle name="Lien hypertexte" xfId="867" builtinId="8" hidden="1"/>
    <cellStyle name="Lien hypertexte" xfId="995" builtinId="8" hidden="1"/>
    <cellStyle name="Lien hypertexte" xfId="1123" builtinId="8" hidden="1"/>
    <cellStyle name="Lien hypertexte" xfId="1251" builtinId="8" hidden="1"/>
    <cellStyle name="Lien hypertexte" xfId="1379" builtinId="8" hidden="1"/>
    <cellStyle name="Lien hypertexte" xfId="1377" builtinId="8" hidden="1"/>
    <cellStyle name="Lien hypertexte" xfId="1473" builtinId="8" hidden="1"/>
    <cellStyle name="Lien hypertexte" xfId="1537" builtinId="8" hidden="1"/>
    <cellStyle name="Lien hypertexte" xfId="1633" builtinId="8" hidden="1"/>
    <cellStyle name="Lien hypertexte" xfId="1667" builtinId="8" hidden="1"/>
    <cellStyle name="Lien hypertexte" xfId="1603" builtinId="8" hidden="1"/>
    <cellStyle name="Lien hypertexte" xfId="1507" builtinId="8" hidden="1"/>
    <cellStyle name="Lien hypertexte" xfId="1411" builtinId="8" hidden="1"/>
    <cellStyle name="Lien hypertexte" xfId="1571" builtinId="8" hidden="1"/>
    <cellStyle name="Lien hypertexte" xfId="1569" builtinId="8" hidden="1"/>
    <cellStyle name="Lien hypertexte" xfId="1313" builtinId="8" hidden="1"/>
    <cellStyle name="Lien hypertexte" xfId="1153" builtinId="8" hidden="1"/>
    <cellStyle name="Lien hypertexte" xfId="1249" builtinId="8" hidden="1"/>
    <cellStyle name="Lien hypertexte" xfId="1185" builtinId="8" hidden="1"/>
    <cellStyle name="Lien hypertexte" xfId="1089" builtinId="8" hidden="1"/>
    <cellStyle name="Lien hypertexte" xfId="993" builtinId="8" hidden="1"/>
    <cellStyle name="Lien hypertexte" xfId="1025" builtinId="8" hidden="1"/>
    <cellStyle name="Lien hypertexte" xfId="1057" builtinId="8" hidden="1"/>
    <cellStyle name="Lien hypertexte" xfId="1281" builtinId="8" hidden="1"/>
    <cellStyle name="Lien hypertexte" xfId="1217" builtinId="8" hidden="1"/>
    <cellStyle name="Lien hypertexte" xfId="1121" builtinId="8" hidden="1"/>
    <cellStyle name="Lien hypertexte" xfId="1441" builtinId="8" hidden="1"/>
    <cellStyle name="Lien hypertexte" xfId="1697" builtinId="8" hidden="1"/>
    <cellStyle name="Lien hypertexte" xfId="1443" builtinId="8" hidden="1"/>
    <cellStyle name="Lien hypertexte" xfId="1475" builtinId="8" hidden="1"/>
    <cellStyle name="Lien hypertexte" xfId="1539" builtinId="8" hidden="1"/>
    <cellStyle name="Lien hypertexte" xfId="1635" builtinId="8" hidden="1"/>
    <cellStyle name="Lien hypertexte" xfId="1665" builtinId="8" hidden="1"/>
    <cellStyle name="Lien hypertexte" xfId="1601" builtinId="8" hidden="1"/>
    <cellStyle name="Lien hypertexte" xfId="1505" builtinId="8" hidden="1"/>
    <cellStyle name="Lien hypertexte" xfId="1409" builtinId="8" hidden="1"/>
    <cellStyle name="Lien hypertexte" xfId="1345" builtinId="8" hidden="1"/>
    <cellStyle name="Lien hypertexte" xfId="1315" builtinId="8" hidden="1"/>
    <cellStyle name="Lien hypertexte" xfId="1187" builtinId="8" hidden="1"/>
    <cellStyle name="Lien hypertexte" xfId="1059" builtinId="8" hidden="1"/>
    <cellStyle name="Lien hypertexte" xfId="931" builtinId="8" hidden="1"/>
    <cellStyle name="Lien hypertexte" xfId="803" builtinId="8" hidden="1"/>
    <cellStyle name="Lien hypertexte" xfId="675" builtinId="8" hidden="1"/>
    <cellStyle name="Lien hypertexte" xfId="547" builtinId="8" hidden="1"/>
    <cellStyle name="Lien hypertexte" xfId="419" builtinId="8" hidden="1"/>
    <cellStyle name="Lien hypertexte" xfId="291" builtinId="8" hidden="1"/>
    <cellStyle name="Lien hypertexte" xfId="163" builtinId="8" hidden="1"/>
    <cellStyle name="Lien hypertexte" xfId="43" builtinId="8" hidden="1"/>
    <cellStyle name="Lien hypertexte" xfId="17" builtinId="8" hidden="1"/>
    <cellStyle name="Lien hypertexte" xfId="95" builtinId="8" hidden="1"/>
    <cellStyle name="Lien hypertexte" xfId="223" builtinId="8" hidden="1"/>
    <cellStyle name="Lien hypertexte" xfId="351" builtinId="8" hidden="1"/>
    <cellStyle name="Lien hypertexte" xfId="479" builtinId="8" hidden="1"/>
    <cellStyle name="Lien hypertexte" xfId="607" builtinId="8" hidden="1"/>
    <cellStyle name="Lien hypertexte" xfId="735" builtinId="8" hidden="1"/>
    <cellStyle name="Lien hypertexte" xfId="863" builtinId="8" hidden="1"/>
    <cellStyle name="Lien hypertexte" xfId="991" builtinId="8" hidden="1"/>
    <cellStyle name="Lien hypertexte" xfId="1119" builtinId="8" hidden="1"/>
    <cellStyle name="Lien hypertexte" xfId="1247" builtinId="8" hidden="1"/>
    <cellStyle name="Lien hypertexte" xfId="1375" builtinId="8" hidden="1"/>
    <cellStyle name="Lien hypertexte" xfId="1503" builtinId="8" hidden="1"/>
    <cellStyle name="Lien hypertexte" xfId="1631" builtinId="8" hidden="1"/>
    <cellStyle name="Lien hypertexte" xfId="1637" builtinId="8" hidden="1"/>
    <cellStyle name="Lien hypertexte" xfId="1509" builtinId="8" hidden="1"/>
    <cellStyle name="Lien hypertexte" xfId="1381" builtinId="8" hidden="1"/>
    <cellStyle name="Lien hypertexte" xfId="1253" builtinId="8" hidden="1"/>
    <cellStyle name="Lien hypertexte" xfId="1125" builtinId="8" hidden="1"/>
    <cellStyle name="Lien hypertexte" xfId="997" builtinId="8" hidden="1"/>
    <cellStyle name="Lien hypertexte" xfId="869" builtinId="8" hidden="1"/>
    <cellStyle name="Lien hypertexte" xfId="741" builtinId="8" hidden="1"/>
    <cellStyle name="Lien hypertexte" xfId="613" builtinId="8" hidden="1"/>
    <cellStyle name="Lien hypertexte" xfId="485" builtinId="8" hidden="1"/>
    <cellStyle name="Lien hypertexte" xfId="357" builtinId="8" hidden="1"/>
    <cellStyle name="Lien hypertexte" xfId="229" builtinId="8" hidden="1"/>
    <cellStyle name="Lien hypertexte" xfId="169" builtinId="8" hidden="1"/>
    <cellStyle name="Lien hypertexte" xfId="93" builtinId="8" hidden="1"/>
    <cellStyle name="Lien hypertexte" xfId="125" builtinId="8" hidden="1"/>
    <cellStyle name="Lien hypertexte" xfId="133" builtinId="8" hidden="1"/>
    <cellStyle name="Lien hypertexte" xfId="285" builtinId="8" hidden="1"/>
    <cellStyle name="Lien hypertexte" xfId="413" builtinId="8" hidden="1"/>
    <cellStyle name="Lien hypertexte" xfId="541" builtinId="8" hidden="1"/>
    <cellStyle name="Lien hypertexte" xfId="669" builtinId="8" hidden="1"/>
    <cellStyle name="Lien hypertexte" xfId="797" builtinId="8" hidden="1"/>
    <cellStyle name="Lien hypertexte" xfId="925" builtinId="8" hidden="1"/>
    <cellStyle name="Lien hypertexte" xfId="1053" builtinId="8" hidden="1"/>
    <cellStyle name="Lien hypertexte" xfId="1181" builtinId="8" hidden="1"/>
    <cellStyle name="Lien hypertexte" xfId="1309" builtinId="8" hidden="1"/>
    <cellStyle name="Lien hypertexte" xfId="1437" builtinId="8" hidden="1"/>
    <cellStyle name="Lien hypertexte" xfId="1565" builtinId="8" hidden="1"/>
    <cellStyle name="Lien hypertexte" xfId="1693" builtinId="8" hidden="1"/>
    <cellStyle name="Lien hypertexte" xfId="1575" builtinId="8" hidden="1"/>
    <cellStyle name="Lien hypertexte" xfId="1447" builtinId="8" hidden="1"/>
    <cellStyle name="Lien hypertexte" xfId="1319" builtinId="8" hidden="1"/>
    <cellStyle name="Lien hypertexte" xfId="1191" builtinId="8" hidden="1"/>
    <cellStyle name="Lien hypertexte" xfId="1063" builtinId="8" hidden="1"/>
    <cellStyle name="Lien hypertexte" xfId="935" builtinId="8" hidden="1"/>
    <cellStyle name="Lien hypertexte" xfId="807" builtinId="8" hidden="1"/>
    <cellStyle name="Lien hypertexte" xfId="679" builtinId="8" hidden="1"/>
    <cellStyle name="Lien hypertexte" xfId="551" builtinId="8" hidden="1"/>
    <cellStyle name="Lien hypertexte" xfId="423" builtinId="8" hidden="1"/>
    <cellStyle name="Lien hypertexte" xfId="295" builtinId="8" hidden="1"/>
    <cellStyle name="Lien hypertexte" xfId="167" builtinId="8" hidden="1"/>
    <cellStyle name="Lien hypertexte" xfId="41" builtinId="8" hidden="1"/>
    <cellStyle name="Lien hypertexte" xfId="19" builtinId="8" hidden="1"/>
    <cellStyle name="Lien hypertexte" xfId="91" builtinId="8" hidden="1"/>
    <cellStyle name="Lien hypertexte" xfId="219" builtinId="8" hidden="1"/>
    <cellStyle name="Lien hypertexte" xfId="347" builtinId="8" hidden="1"/>
    <cellStyle name="Lien hypertexte" xfId="475" builtinId="8" hidden="1"/>
    <cellStyle name="Lien hypertexte" xfId="603" builtinId="8" hidden="1"/>
    <cellStyle name="Lien hypertexte" xfId="731" builtinId="8" hidden="1"/>
    <cellStyle name="Lien hypertexte" xfId="859" builtinId="8" hidden="1"/>
    <cellStyle name="Lien hypertexte" xfId="987" builtinId="8" hidden="1"/>
    <cellStyle name="Lien hypertexte" xfId="1115" builtinId="8" hidden="1"/>
    <cellStyle name="Lien hypertexte" xfId="1243" builtinId="8" hidden="1"/>
    <cellStyle name="Lien hypertexte" xfId="1371" builtinId="8" hidden="1"/>
    <cellStyle name="Lien hypertexte" xfId="1499" builtinId="8" hidden="1"/>
    <cellStyle name="Lien hypertexte" xfId="1627" builtinId="8" hidden="1"/>
    <cellStyle name="Lien hypertexte" xfId="1641" builtinId="8" hidden="1"/>
    <cellStyle name="Lien hypertexte" xfId="1513" builtinId="8" hidden="1"/>
    <cellStyle name="Lien hypertexte" xfId="1385" builtinId="8" hidden="1"/>
    <cellStyle name="Lien hypertexte" xfId="1257" builtinId="8" hidden="1"/>
    <cellStyle name="Lien hypertexte" xfId="1129" builtinId="8" hidden="1"/>
    <cellStyle name="Lien hypertexte" xfId="1001" builtinId="8" hidden="1"/>
    <cellStyle name="Lien hypertexte" xfId="873" builtinId="8" hidden="1"/>
    <cellStyle name="Lien hypertexte" xfId="745" builtinId="8" hidden="1"/>
    <cellStyle name="Lien hypertexte" xfId="617" builtinId="8" hidden="1"/>
    <cellStyle name="Lien hypertexte" xfId="489" builtinId="8" hidden="1"/>
    <cellStyle name="Lien hypertexte" xfId="337" builtinId="8" hidden="1"/>
    <cellStyle name="Lien hypertexte" xfId="425" builtinId="8" hidden="1"/>
    <cellStyle name="Lien hypertexte" xfId="281" builtinId="8" hidden="1"/>
    <cellStyle name="Lien hypertexte" xfId="225" builtinId="8" hidden="1"/>
    <cellStyle name="Lien hypertexte" xfId="273" builtinId="8" hidden="1"/>
    <cellStyle name="Lien hypertexte" xfId="377" builtinId="8" hidden="1"/>
    <cellStyle name="Lien hypertexte" xfId="393" builtinId="8" hidden="1"/>
    <cellStyle name="Lien hypertexte" xfId="305" builtinId="8" hidden="1"/>
    <cellStyle name="Lien hypertexte" xfId="537" builtinId="8" hidden="1"/>
    <cellStyle name="Lien hypertexte" xfId="665" builtinId="8" hidden="1"/>
    <cellStyle name="Lien hypertexte" xfId="793" builtinId="8" hidden="1"/>
    <cellStyle name="Lien hypertexte" xfId="921" builtinId="8" hidden="1"/>
    <cellStyle name="Lien hypertexte" xfId="1049" builtinId="8" hidden="1"/>
    <cellStyle name="Lien hypertexte" xfId="1177" builtinId="8" hidden="1"/>
    <cellStyle name="Lien hypertexte" xfId="1305" builtinId="8" hidden="1"/>
    <cellStyle name="Lien hypertexte" xfId="1433" builtinId="8" hidden="1"/>
    <cellStyle name="Lien hypertexte" xfId="1561" builtinId="8" hidden="1"/>
    <cellStyle name="Lien hypertexte" xfId="1689" builtinId="8" hidden="1"/>
    <cellStyle name="Lien hypertexte" xfId="1579" builtinId="8" hidden="1"/>
    <cellStyle name="Lien hypertexte" xfId="1451" builtinId="8" hidden="1"/>
    <cellStyle name="Lien hypertexte" xfId="1323" builtinId="8" hidden="1"/>
    <cellStyle name="Lien hypertexte" xfId="1195" builtinId="8" hidden="1"/>
    <cellStyle name="Lien hypertexte" xfId="1067" builtinId="8" hidden="1"/>
    <cellStyle name="Lien hypertexte" xfId="939" builtinId="8" hidden="1"/>
    <cellStyle name="Lien hypertexte" xfId="811" builtinId="8" hidden="1"/>
    <cellStyle name="Lien hypertexte" xfId="683" builtinId="8" hidden="1"/>
    <cellStyle name="Lien hypertexte" xfId="555" builtinId="8" hidden="1"/>
    <cellStyle name="Lien hypertexte" xfId="427" builtinId="8" hidden="1"/>
    <cellStyle name="Lien hypertexte" xfId="299" builtinId="8" hidden="1"/>
    <cellStyle name="Lien hypertexte" xfId="171" builtinId="8" hidden="1"/>
    <cellStyle name="Lien hypertexte" xfId="37" builtinId="8" hidden="1"/>
    <cellStyle name="Lien hypertexte" xfId="21" builtinId="8" hidden="1"/>
    <cellStyle name="Lien hypertexte" xfId="87" builtinId="8" hidden="1"/>
    <cellStyle name="Lien hypertexte" xfId="215" builtinId="8" hidden="1"/>
    <cellStyle name="Lien hypertexte" xfId="343" builtinId="8" hidden="1"/>
    <cellStyle name="Lien hypertexte" xfId="471" builtinId="8" hidden="1"/>
    <cellStyle name="Lien hypertexte" xfId="599" builtinId="8" hidden="1"/>
    <cellStyle name="Lien hypertexte" xfId="727" builtinId="8" hidden="1"/>
    <cellStyle name="Lien hypertexte" xfId="855" builtinId="8" hidden="1"/>
    <cellStyle name="Lien hypertexte" xfId="983" builtinId="8" hidden="1"/>
    <cellStyle name="Lien hypertexte" xfId="1111" builtinId="8" hidden="1"/>
    <cellStyle name="Lien hypertexte" xfId="1239" builtinId="8" hidden="1"/>
    <cellStyle name="Lien hypertexte" xfId="1367" builtinId="8" hidden="1"/>
    <cellStyle name="Lien hypertexte" xfId="1495" builtinId="8" hidden="1"/>
    <cellStyle name="Lien hypertexte" xfId="1623" builtinId="8" hidden="1"/>
    <cellStyle name="Lien hypertexte" xfId="1645" builtinId="8" hidden="1"/>
    <cellStyle name="Lien hypertexte" xfId="1517" builtinId="8" hidden="1"/>
    <cellStyle name="Lien hypertexte" xfId="1389" builtinId="8" hidden="1"/>
    <cellStyle name="Lien hypertexte" xfId="1261" builtinId="8" hidden="1"/>
    <cellStyle name="Lien hypertexte" xfId="1133" builtinId="8" hidden="1"/>
    <cellStyle name="Lien hypertexte" xfId="1005" builtinId="8" hidden="1"/>
    <cellStyle name="Lien hypertexte" xfId="877" builtinId="8" hidden="1"/>
    <cellStyle name="Lien hypertexte" xfId="749" builtinId="8" hidden="1"/>
    <cellStyle name="Lien hypertexte" xfId="621" builtinId="8" hidden="1"/>
    <cellStyle name="Lien hypertexte" xfId="493" builtinId="8" hidden="1"/>
    <cellStyle name="Lien hypertexte" xfId="365" builtinId="8" hidden="1"/>
    <cellStyle name="Lien hypertexte" xfId="237" builtinId="8" hidden="1"/>
    <cellStyle name="Lien hypertexte" xfId="165" builtinId="8" hidden="1"/>
    <cellStyle name="Lien hypertexte" xfId="105" builtinId="8" hidden="1"/>
    <cellStyle name="Lien hypertexte" xfId="109" builtinId="8" hidden="1"/>
    <cellStyle name="Lien hypertexte" xfId="137" builtinId="8" hidden="1"/>
    <cellStyle name="Lien hypertexte" xfId="277" builtinId="8" hidden="1"/>
    <cellStyle name="Lien hypertexte" xfId="405" builtinId="8" hidden="1"/>
    <cellStyle name="Lien hypertexte" xfId="533" builtinId="8" hidden="1"/>
    <cellStyle name="Lien hypertexte" xfId="661" builtinId="8" hidden="1"/>
    <cellStyle name="Lien hypertexte" xfId="789" builtinId="8" hidden="1"/>
    <cellStyle name="Lien hypertexte" xfId="917" builtinId="8" hidden="1"/>
    <cellStyle name="Lien hypertexte" xfId="1045" builtinId="8" hidden="1"/>
    <cellStyle name="Lien hypertexte" xfId="1173" builtinId="8" hidden="1"/>
    <cellStyle name="Lien hypertexte" xfId="1301" builtinId="8" hidden="1"/>
    <cellStyle name="Lien hypertexte" xfId="1429" builtinId="8" hidden="1"/>
    <cellStyle name="Lien hypertexte" xfId="1557" builtinId="8" hidden="1"/>
    <cellStyle name="Lien hypertexte" xfId="1685" builtinId="8" hidden="1"/>
    <cellStyle name="Lien hypertexte" xfId="1583" builtinId="8" hidden="1"/>
    <cellStyle name="Lien hypertexte" xfId="1455" builtinId="8" hidden="1"/>
    <cellStyle name="Lien hypertexte" xfId="1327" builtinId="8" hidden="1"/>
    <cellStyle name="Lien hypertexte" xfId="1199" builtinId="8" hidden="1"/>
    <cellStyle name="Lien hypertexte" xfId="1071" builtinId="8" hidden="1"/>
    <cellStyle name="Lien hypertexte" xfId="943" builtinId="8" hidden="1"/>
    <cellStyle name="Lien hypertexte" xfId="815" builtinId="8" hidden="1"/>
    <cellStyle name="Lien hypertexte" xfId="687" builtinId="8" hidden="1"/>
    <cellStyle name="Lien hypertexte" xfId="559" builtinId="8" hidden="1"/>
    <cellStyle name="Lien hypertexte" xfId="431" builtinId="8" hidden="1"/>
    <cellStyle name="Lien hypertexte" xfId="303" builtinId="8" hidden="1"/>
    <cellStyle name="Lien hypertexte" xfId="175" builtinId="8" hidden="1"/>
    <cellStyle name="Lien hypertexte" xfId="35" builtinId="8" hidden="1"/>
    <cellStyle name="Lien hypertexte" xfId="15" builtinId="8" hidden="1"/>
    <cellStyle name="Lien hypertexte" xfId="83" builtinId="8" hidden="1"/>
    <cellStyle name="Lien hypertexte" xfId="211" builtinId="8" hidden="1"/>
    <cellStyle name="Lien hypertexte" xfId="339" builtinId="8" hidden="1"/>
    <cellStyle name="Lien hypertexte" xfId="467" builtinId="8" hidden="1"/>
    <cellStyle name="Lien hypertexte" xfId="595" builtinId="8" hidden="1"/>
    <cellStyle name="Lien hypertexte" xfId="723" builtinId="8" hidden="1"/>
    <cellStyle name="Lien hypertexte" xfId="851" builtinId="8" hidden="1"/>
    <cellStyle name="Lien hypertexte" xfId="979" builtinId="8" hidden="1"/>
    <cellStyle name="Lien hypertexte" xfId="1107" builtinId="8" hidden="1"/>
    <cellStyle name="Lien hypertexte" xfId="1235" builtinId="8" hidden="1"/>
    <cellStyle name="Lien hypertexte" xfId="1363" builtinId="8" hidden="1"/>
    <cellStyle name="Lien hypertexte" xfId="1491" builtinId="8" hidden="1"/>
    <cellStyle name="Lien hypertexte" xfId="1619" builtinId="8" hidden="1"/>
    <cellStyle name="Lien hypertexte" xfId="1649" builtinId="8" hidden="1"/>
    <cellStyle name="Lien hypertexte" xfId="1521" builtinId="8" hidden="1"/>
    <cellStyle name="Lien hypertexte" xfId="1393" builtinId="8" hidden="1"/>
    <cellStyle name="Lien hypertexte" xfId="1265" builtinId="8" hidden="1"/>
    <cellStyle name="Lien hypertexte" xfId="1137" builtinId="8" hidden="1"/>
    <cellStyle name="Lien hypertexte" xfId="1009" builtinId="8" hidden="1"/>
    <cellStyle name="Lien hypertexte" xfId="673" builtinId="8" hidden="1"/>
    <cellStyle name="Lien hypertexte" xfId="769" builtinId="8" hidden="1"/>
    <cellStyle name="Lien hypertexte" xfId="849" builtinId="8" hidden="1"/>
    <cellStyle name="Lien hypertexte" xfId="929" builtinId="8" hidden="1"/>
    <cellStyle name="Lien hypertexte" xfId="817" builtinId="8" hidden="1"/>
    <cellStyle name="Lien hypertexte" xfId="529" builtinId="8" hidden="1"/>
    <cellStyle name="Lien hypertexte" xfId="609" builtinId="8" hidden="1"/>
    <cellStyle name="Lien hypertexte" xfId="481" builtinId="8" hidden="1"/>
    <cellStyle name="Lien hypertexte" xfId="513" builtinId="8" hidden="1"/>
    <cellStyle name="Lien hypertexte" xfId="593" builtinId="8" hidden="1"/>
    <cellStyle name="Lien hypertexte" xfId="625" builtinId="8" hidden="1"/>
    <cellStyle name="Lien hypertexte" xfId="881" builtinId="8" hidden="1"/>
    <cellStyle name="Lien hypertexte" xfId="913" builtinId="8" hidden="1"/>
    <cellStyle name="Lien hypertexte" xfId="833" builtinId="8" hidden="1"/>
    <cellStyle name="Lien hypertexte" xfId="737" builtinId="8" hidden="1"/>
    <cellStyle name="Lien hypertexte" xfId="657" builtinId="8" hidden="1"/>
    <cellStyle name="Lien hypertexte" xfId="1041" builtinId="8" hidden="1"/>
    <cellStyle name="Lien hypertexte" xfId="1169" builtinId="8" hidden="1"/>
    <cellStyle name="Lien hypertexte" xfId="1297" builtinId="8" hidden="1"/>
    <cellStyle name="Lien hypertexte" xfId="1425" builtinId="8" hidden="1"/>
    <cellStyle name="Lien hypertexte" xfId="1553" builtinId="8" hidden="1"/>
    <cellStyle name="Lien hypertexte" xfId="1681" builtinId="8" hidden="1"/>
    <cellStyle name="Lien hypertexte" xfId="1587" builtinId="8" hidden="1"/>
    <cellStyle name="Lien hypertexte" xfId="1459" builtinId="8" hidden="1"/>
    <cellStyle name="Lien hypertexte" xfId="1331" builtinId="8" hidden="1"/>
    <cellStyle name="Lien hypertexte" xfId="1203" builtinId="8" hidden="1"/>
    <cellStyle name="Lien hypertexte" xfId="1075" builtinId="8" hidden="1"/>
    <cellStyle name="Lien hypertexte" xfId="947" builtinId="8" hidden="1"/>
    <cellStyle name="Lien hypertexte" xfId="819" builtinId="8" hidden="1"/>
    <cellStyle name="Lien hypertexte" xfId="691" builtinId="8" hidden="1"/>
    <cellStyle name="Lien hypertexte" xfId="563" builtinId="8" hidden="1"/>
    <cellStyle name="Lien hypertexte" xfId="435" builtinId="8" hidden="1"/>
    <cellStyle name="Lien hypertexte" xfId="307" builtinId="8" hidden="1"/>
    <cellStyle name="Lien hypertexte" xfId="179" builtinId="8" hidden="1"/>
    <cellStyle name="Lien hypertexte" xfId="33" builtinId="8" hidden="1"/>
    <cellStyle name="Lien hypertexte" xfId="7" builtinId="8" hidden="1"/>
    <cellStyle name="Lien hypertexte" xfId="79" builtinId="8" hidden="1"/>
    <cellStyle name="Lien hypertexte" xfId="207" builtinId="8" hidden="1"/>
    <cellStyle name="Lien hypertexte" xfId="335" builtinId="8" hidden="1"/>
    <cellStyle name="Lien hypertexte" xfId="463" builtinId="8" hidden="1"/>
    <cellStyle name="Lien hypertexte" xfId="591" builtinId="8" hidden="1"/>
    <cellStyle name="Lien hypertexte" xfId="719" builtinId="8" hidden="1"/>
    <cellStyle name="Lien hypertexte" xfId="847" builtinId="8" hidden="1"/>
    <cellStyle name="Lien hypertexte" xfId="975" builtinId="8" hidden="1"/>
    <cellStyle name="Lien hypertexte" xfId="1103" builtinId="8" hidden="1"/>
    <cellStyle name="Lien hypertexte" xfId="1231" builtinId="8" hidden="1"/>
    <cellStyle name="Lien hypertexte" xfId="1359" builtinId="8" hidden="1"/>
    <cellStyle name="Lien hypertexte" xfId="1487" builtinId="8" hidden="1"/>
    <cellStyle name="Lien hypertexte" xfId="1615" builtinId="8" hidden="1"/>
    <cellStyle name="Lien hypertexte" xfId="1653" builtinId="8" hidden="1"/>
    <cellStyle name="Lien hypertexte" xfId="1525" builtinId="8" hidden="1"/>
    <cellStyle name="Lien hypertexte" xfId="1397" builtinId="8" hidden="1"/>
    <cellStyle name="Lien hypertexte" xfId="1269" builtinId="8" hidden="1"/>
    <cellStyle name="Lien hypertexte" xfId="1141" builtinId="8" hidden="1"/>
    <cellStyle name="Lien hypertexte" xfId="1013" builtinId="8" hidden="1"/>
    <cellStyle name="Lien hypertexte" xfId="885" builtinId="8" hidden="1"/>
    <cellStyle name="Lien hypertexte" xfId="757" builtinId="8" hidden="1"/>
    <cellStyle name="Lien hypertexte" xfId="629" builtinId="8" hidden="1"/>
    <cellStyle name="Lien hypertexte" xfId="501" builtinId="8" hidden="1"/>
    <cellStyle name="Lien hypertexte" xfId="373" builtinId="8" hidden="1"/>
    <cellStyle name="Lien hypertexte" xfId="245" builtinId="8" hidden="1"/>
    <cellStyle name="Lien hypertexte" xfId="161" builtinId="8" hidden="1"/>
    <cellStyle name="Lien hypertexte" xfId="101" builtinId="8" hidden="1"/>
    <cellStyle name="Lien hypertexte" xfId="85" builtinId="8" hidden="1"/>
    <cellStyle name="Lien hypertexte" xfId="145" builtinId="8" hidden="1"/>
    <cellStyle name="Lien hypertexte" xfId="269" builtinId="8" hidden="1"/>
    <cellStyle name="Lien hypertexte" xfId="397" builtinId="8" hidden="1"/>
    <cellStyle name="Lien hypertexte" xfId="525" builtinId="8" hidden="1"/>
    <cellStyle name="Lien hypertexte" xfId="653" builtinId="8" hidden="1"/>
    <cellStyle name="Lien hypertexte" xfId="781" builtinId="8" hidden="1"/>
    <cellStyle name="Lien hypertexte" xfId="909" builtinId="8" hidden="1"/>
    <cellStyle name="Lien hypertexte" xfId="1037" builtinId="8" hidden="1"/>
    <cellStyle name="Lien hypertexte" xfId="1165" builtinId="8" hidden="1"/>
    <cellStyle name="Lien hypertexte" xfId="1293" builtinId="8" hidden="1"/>
    <cellStyle name="Lien hypertexte" xfId="1421" builtinId="8" hidden="1"/>
    <cellStyle name="Lien hypertexte" xfId="1549" builtinId="8" hidden="1"/>
    <cellStyle name="Lien hypertexte" xfId="1677" builtinId="8" hidden="1"/>
    <cellStyle name="Lien hypertexte" xfId="1591" builtinId="8" hidden="1"/>
    <cellStyle name="Lien hypertexte" xfId="1463" builtinId="8" hidden="1"/>
    <cellStyle name="Lien hypertexte" xfId="1335" builtinId="8" hidden="1"/>
    <cellStyle name="Lien hypertexte" xfId="1207" builtinId="8" hidden="1"/>
    <cellStyle name="Lien hypertexte" xfId="1079" builtinId="8" hidden="1"/>
    <cellStyle name="Lien hypertexte" xfId="951" builtinId="8" hidden="1"/>
    <cellStyle name="Lien hypertexte" xfId="823" builtinId="8" hidden="1"/>
    <cellStyle name="Lien hypertexte" xfId="695" builtinId="8" hidden="1"/>
    <cellStyle name="Lien hypertexte" xfId="567" builtinId="8" hidden="1"/>
    <cellStyle name="Lien hypertexte" xfId="439" builtinId="8" hidden="1"/>
    <cellStyle name="Lien hypertexte" xfId="311" builtinId="8" hidden="1"/>
    <cellStyle name="Lien hypertexte" xfId="183" builtinId="8" hidden="1"/>
    <cellStyle name="Lien hypertexte" xfId="29" builtinId="8" hidden="1"/>
    <cellStyle name="Lien hypertexte" xfId="9" builtinId="8" hidden="1"/>
    <cellStyle name="Lien hypertexte" xfId="75" builtinId="8" hidden="1"/>
    <cellStyle name="Lien hypertexte" xfId="203" builtinId="8" hidden="1"/>
    <cellStyle name="Lien hypertexte" xfId="331" builtinId="8" hidden="1"/>
    <cellStyle name="Lien hypertexte" xfId="459" builtinId="8" hidden="1"/>
    <cellStyle name="Lien hypertexte" xfId="587" builtinId="8" hidden="1"/>
    <cellStyle name="Lien hypertexte" xfId="715" builtinId="8" hidden="1"/>
    <cellStyle name="Lien hypertexte" xfId="843" builtinId="8" hidden="1"/>
    <cellStyle name="Lien hypertexte" xfId="971" builtinId="8" hidden="1"/>
    <cellStyle name="Lien hypertexte" xfId="1099" builtinId="8" hidden="1"/>
    <cellStyle name="Lien hypertexte" xfId="1227" builtinId="8" hidden="1"/>
    <cellStyle name="Lien hypertexte" xfId="1355" builtinId="8" hidden="1"/>
    <cellStyle name="Lien hypertexte" xfId="1483" builtinId="8" hidden="1"/>
    <cellStyle name="Lien hypertexte" xfId="1611" builtinId="8" hidden="1"/>
    <cellStyle name="Lien hypertexte" xfId="1657" builtinId="8" hidden="1"/>
    <cellStyle name="Lien hypertexte" xfId="1529" builtinId="8" hidden="1"/>
    <cellStyle name="Lien hypertexte" xfId="1401" builtinId="8" hidden="1"/>
    <cellStyle name="Lien hypertexte" xfId="1273" builtinId="8" hidden="1"/>
    <cellStyle name="Lien hypertexte" xfId="1145" builtinId="8" hidden="1"/>
    <cellStyle name="Lien hypertexte" xfId="1017" builtinId="8" hidden="1"/>
    <cellStyle name="Lien hypertexte" xfId="889" builtinId="8" hidden="1"/>
    <cellStyle name="Lien hypertexte" xfId="761" builtinId="8" hidden="1"/>
    <cellStyle name="Lien hypertexte" xfId="633" builtinId="8" hidden="1"/>
    <cellStyle name="Lien hypertexte" xfId="505" builtinId="8" hidden="1"/>
    <cellStyle name="Lien hypertexte" xfId="329" builtinId="8" hidden="1"/>
    <cellStyle name="Lien hypertexte" xfId="417" builtinId="8" hidden="1"/>
    <cellStyle name="Lien hypertexte" xfId="313" builtinId="8" hidden="1"/>
    <cellStyle name="Lien hypertexte" xfId="217" builtinId="8" hidden="1"/>
    <cellStyle name="Lien hypertexte" xfId="249" builtinId="8" hidden="1"/>
    <cellStyle name="Lien hypertexte" xfId="345" builtinId="8" hidden="1"/>
    <cellStyle name="Lien hypertexte" xfId="401" builtinId="8" hidden="1"/>
    <cellStyle name="Lien hypertexte" xfId="321" builtinId="8" hidden="1"/>
    <cellStyle name="Lien hypertexte" xfId="521" builtinId="8" hidden="1"/>
    <cellStyle name="Lien hypertexte" xfId="649" builtinId="8" hidden="1"/>
    <cellStyle name="Lien hypertexte" xfId="777" builtinId="8" hidden="1"/>
    <cellStyle name="Lien hypertexte" xfId="905" builtinId="8" hidden="1"/>
    <cellStyle name="Lien hypertexte" xfId="1033" builtinId="8" hidden="1"/>
    <cellStyle name="Lien hypertexte" xfId="1161" builtinId="8" hidden="1"/>
    <cellStyle name="Lien hypertexte" xfId="1289" builtinId="8" hidden="1"/>
    <cellStyle name="Lien hypertexte" xfId="1417" builtinId="8" hidden="1"/>
    <cellStyle name="Lien hypertexte" xfId="1545" builtinId="8" hidden="1"/>
    <cellStyle name="Lien hypertexte" xfId="1673" builtinId="8" hidden="1"/>
    <cellStyle name="Lien hypertexte" xfId="1595" builtinId="8" hidden="1"/>
    <cellStyle name="Lien hypertexte" xfId="1467" builtinId="8" hidden="1"/>
    <cellStyle name="Lien hypertexte" xfId="1339" builtinId="8" hidden="1"/>
    <cellStyle name="Lien hypertexte" xfId="1211" builtinId="8" hidden="1"/>
    <cellStyle name="Lien hypertexte" xfId="1083" builtinId="8" hidden="1"/>
    <cellStyle name="Lien hypertexte" xfId="955" builtinId="8" hidden="1"/>
    <cellStyle name="Lien hypertexte" xfId="827" builtinId="8" hidden="1"/>
    <cellStyle name="Lien hypertexte" xfId="699" builtinId="8" hidden="1"/>
    <cellStyle name="Lien hypertexte" xfId="571" builtinId="8" hidden="1"/>
    <cellStyle name="Lien hypertexte" xfId="443" builtinId="8" hidden="1"/>
    <cellStyle name="Lien hypertexte" xfId="315" builtinId="8" hidden="1"/>
    <cellStyle name="Lien hypertexte" xfId="187" builtinId="8" hidden="1"/>
    <cellStyle name="Lien hypertexte" xfId="27" builtinId="8" hidden="1"/>
    <cellStyle name="Lien hypertexte" xfId="5" builtinId="8" hidden="1"/>
    <cellStyle name="Lien hypertexte" xfId="71" builtinId="8" hidden="1"/>
    <cellStyle name="Lien hypertexte" xfId="199" builtinId="8" hidden="1"/>
    <cellStyle name="Lien hypertexte" xfId="327" builtinId="8" hidden="1"/>
    <cellStyle name="Lien hypertexte" xfId="455" builtinId="8" hidden="1"/>
    <cellStyle name="Lien hypertexte" xfId="583" builtinId="8" hidden="1"/>
    <cellStyle name="Lien hypertexte" xfId="711" builtinId="8" hidden="1"/>
    <cellStyle name="Lien hypertexte" xfId="839" builtinId="8" hidden="1"/>
    <cellStyle name="Lien hypertexte" xfId="967" builtinId="8" hidden="1"/>
    <cellStyle name="Lien hypertexte" xfId="1095" builtinId="8" hidden="1"/>
    <cellStyle name="Lien hypertexte" xfId="1223" builtinId="8" hidden="1"/>
    <cellStyle name="Lien hypertexte" xfId="1351" builtinId="8" hidden="1"/>
    <cellStyle name="Lien hypertexte" xfId="1479" builtinId="8" hidden="1"/>
    <cellStyle name="Lien hypertexte" xfId="1607" builtinId="8" hidden="1"/>
    <cellStyle name="Lien hypertexte" xfId="1661" builtinId="8" hidden="1"/>
    <cellStyle name="Lien hypertexte" xfId="1533" builtinId="8" hidden="1"/>
    <cellStyle name="Lien hypertexte" xfId="1405" builtinId="8" hidden="1"/>
    <cellStyle name="Lien hypertexte" xfId="1277" builtinId="8" hidden="1"/>
    <cellStyle name="Lien hypertexte" xfId="1149" builtinId="8" hidden="1"/>
    <cellStyle name="Lien hypertexte" xfId="1021" builtinId="8" hidden="1"/>
    <cellStyle name="Lien hypertexte" xfId="893" builtinId="8" hidden="1"/>
    <cellStyle name="Lien hypertexte" xfId="765" builtinId="8" hidden="1"/>
    <cellStyle name="Lien hypertexte" xfId="637" builtinId="8" hidden="1"/>
    <cellStyle name="Lien hypertexte" xfId="509" builtinId="8" hidden="1"/>
    <cellStyle name="Lien hypertexte" xfId="381" builtinId="8" hidden="1"/>
    <cellStyle name="Lien hypertexte" xfId="253" builtinId="8" hidden="1"/>
    <cellStyle name="Lien hypertexte" xfId="153" builtinId="8" hidden="1"/>
    <cellStyle name="Lien hypertexte" xfId="97" builtinId="8" hidden="1"/>
    <cellStyle name="Lien hypertexte" xfId="89" builtinId="8" hidden="1"/>
    <cellStyle name="Lien hypertexte" xfId="149" builtinId="8" hidden="1"/>
    <cellStyle name="Lien hypertexte" xfId="261" builtinId="8" hidden="1"/>
    <cellStyle name="Lien hypertexte" xfId="389" builtinId="8" hidden="1"/>
    <cellStyle name="Lien hypertexte" xfId="517" builtinId="8" hidden="1"/>
    <cellStyle name="Lien hypertexte" xfId="645" builtinId="8" hidden="1"/>
    <cellStyle name="Lien hypertexte" xfId="773" builtinId="8" hidden="1"/>
    <cellStyle name="Lien hypertexte" xfId="901" builtinId="8" hidden="1"/>
    <cellStyle name="Lien hypertexte" xfId="1029" builtinId="8" hidden="1"/>
    <cellStyle name="Lien hypertexte" xfId="1157" builtinId="8" hidden="1"/>
    <cellStyle name="Lien hypertexte" xfId="1285" builtinId="8" hidden="1"/>
    <cellStyle name="Lien hypertexte" xfId="1413" builtinId="8" hidden="1"/>
    <cellStyle name="Lien hypertexte" xfId="1541" builtinId="8" hidden="1"/>
    <cellStyle name="Lien hypertexte" xfId="1669" builtinId="8" hidden="1"/>
    <cellStyle name="Lien hypertexte" xfId="1599" builtinId="8" hidden="1"/>
    <cellStyle name="Lien hypertexte" xfId="1471" builtinId="8" hidden="1"/>
    <cellStyle name="Lien hypertexte" xfId="1343" builtinId="8" hidden="1"/>
    <cellStyle name="Lien hypertexte" xfId="1215" builtinId="8" hidden="1"/>
    <cellStyle name="Lien hypertexte" xfId="1087" builtinId="8" hidden="1"/>
    <cellStyle name="Lien hypertexte" xfId="959" builtinId="8" hidden="1"/>
    <cellStyle name="Lien hypertexte" xfId="831" builtinId="8" hidden="1"/>
    <cellStyle name="Lien hypertexte" xfId="703" builtinId="8" hidden="1"/>
    <cellStyle name="Lien hypertexte" xfId="575" builtinId="8" hidden="1"/>
    <cellStyle name="Lien hypertexte" xfId="643" builtinId="8" hidden="1"/>
    <cellStyle name="Lien hypertexte" xfId="579" builtinId="8" hidden="1"/>
    <cellStyle name="Lien hypertexte" xfId="515" builtinId="8" hidden="1"/>
    <cellStyle name="Lien hypertexte" xfId="387" builtinId="8" hidden="1"/>
    <cellStyle name="Lien hypertexte" xfId="323" builtinId="8" hidden="1"/>
    <cellStyle name="Lien hypertexte" xfId="259" builtinId="8" hidden="1"/>
    <cellStyle name="Lien hypertexte" xfId="131" builtinId="8" hidden="1"/>
    <cellStyle name="Lien hypertexte" xfId="67" builtinId="8" hidden="1"/>
    <cellStyle name="Lien hypertexte" xfId="65" builtinId="8" hidden="1"/>
    <cellStyle name="Lien hypertexte" xfId="63" builtinId="8" hidden="1"/>
    <cellStyle name="Lien hypertexte" xfId="25" builtinId="8" hidden="1"/>
    <cellStyle name="Lien hypertexte" xfId="127" builtinId="8" hidden="1"/>
    <cellStyle name="Lien hypertexte" xfId="255" builtinId="8" hidden="1"/>
    <cellStyle name="Lien hypertexte" xfId="319" builtinId="8" hidden="1"/>
    <cellStyle name="Lien hypertexte" xfId="383" builtinId="8" hidden="1"/>
    <cellStyle name="Lien hypertexte" xfId="511" builtinId="8" hidden="1"/>
    <cellStyle name="Lien hypertexte" xfId="447" builtinId="8" hidden="1"/>
    <cellStyle name="Lien hypertexte" xfId="191" builtinId="8" hidden="1"/>
    <cellStyle name="Lien hypertexte" xfId="3" builtinId="8" hidden="1"/>
    <cellStyle name="Lien hypertexte" xfId="195" builtinId="8" hidden="1"/>
    <cellStyle name="Lien hypertexte" xfId="451" builtinId="8" hidden="1"/>
    <cellStyle name="Lien hypertexte" xfId="707" builtinId="8" hidden="1"/>
    <cellStyle name="Lien hypertexte" xfId="1091" builtinId="8" hidden="1"/>
    <cellStyle name="Lien hypertexte" xfId="1027" builtinId="8" hidden="1"/>
    <cellStyle name="Lien hypertexte" xfId="899" builtinId="8" hidden="1"/>
    <cellStyle name="Lien hypertexte" xfId="835" builtinId="8" hidden="1"/>
    <cellStyle name="Lien hypertexte" xfId="771" builtinId="8" hidden="1"/>
    <cellStyle name="Lien hypertexte" xfId="963" builtinId="8" hidden="1"/>
    <cellStyle name="Lien hypertexte" xfId="1219" builtinId="8" hidden="1"/>
    <cellStyle name="Lien hypertexte" xfId="1155" builtinId="8" hidden="1"/>
    <cellStyle name="Lien hypertexte" xfId="1283" builtinId="8" hidden="1"/>
    <cellStyle name="Lien hypertexte" xfId="1347" builtinId="8" hidden="1"/>
    <cellStyle name="Lien hypertexte visité" xfId="1242" builtinId="9" hidden="1"/>
    <cellStyle name="Lien hypertexte visité" xfId="1250" builtinId="9" hidden="1"/>
    <cellStyle name="Lien hypertexte visité" xfId="1254" builtinId="9" hidden="1"/>
    <cellStyle name="Lien hypertexte visité" xfId="1270" builtinId="9" hidden="1"/>
    <cellStyle name="Lien hypertexte visité" xfId="1274" builtinId="9" hidden="1"/>
    <cellStyle name="Lien hypertexte visité" xfId="1278" builtinId="9" hidden="1"/>
    <cellStyle name="Lien hypertexte visité" xfId="1294" builtinId="9" hidden="1"/>
    <cellStyle name="Lien hypertexte visité" xfId="1298" builtinId="9" hidden="1"/>
    <cellStyle name="Lien hypertexte visité" xfId="1306" builtinId="9" hidden="1"/>
    <cellStyle name="Lien hypertexte visité" xfId="1316" builtinId="9" hidden="1"/>
    <cellStyle name="Lien hypertexte visité" xfId="1258" builtinId="9" hidden="1"/>
    <cellStyle name="Lien hypertexte visité" xfId="1222" builtinId="9" hidden="1"/>
    <cellStyle name="Lien hypertexte visité" xfId="1126" builtinId="9" hidden="1"/>
    <cellStyle name="Lien hypertexte visité" xfId="1094" builtinId="9" hidden="1"/>
    <cellStyle name="Lien hypertexte visité" xfId="1062" builtinId="9" hidden="1"/>
    <cellStyle name="Lien hypertexte visité" xfId="964" builtinId="9" hidden="1"/>
    <cellStyle name="Lien hypertexte visité" xfId="932" builtinId="9" hidden="1"/>
    <cellStyle name="Lien hypertexte visité" xfId="1566" builtinId="9" hidden="1"/>
    <cellStyle name="Lien hypertexte visité" xfId="1424" builtinId="9" hidden="1"/>
    <cellStyle name="Lien hypertexte visité" xfId="720" builtinId="9" hidden="1"/>
    <cellStyle name="Lien hypertexte visité" xfId="308" builtinId="9" hidden="1"/>
    <cellStyle name="Lien hypertexte visité" xfId="160" builtinId="9" hidden="1"/>
    <cellStyle name="Lien hypertexte visité" xfId="128" builtinId="9" hidden="1"/>
    <cellStyle name="Lien hypertexte visité" xfId="62" builtinId="9" hidden="1"/>
    <cellStyle name="Lien hypertexte visité" xfId="78" builtinId="9" hidden="1"/>
    <cellStyle name="Lien hypertexte visité" xfId="80" builtinId="9" hidden="1"/>
    <cellStyle name="Lien hypertexte visité" xfId="88" builtinId="9" hidden="1"/>
    <cellStyle name="Lien hypertexte visité" xfId="94" builtinId="9" hidden="1"/>
    <cellStyle name="Lien hypertexte visité" xfId="104" builtinId="9" hidden="1"/>
    <cellStyle name="Lien hypertexte visité" xfId="106" builtinId="9" hidden="1"/>
    <cellStyle name="Lien hypertexte visité" xfId="116" builtinId="9" hidden="1"/>
    <cellStyle name="Lien hypertexte visité" xfId="30" builtinId="9" hidden="1"/>
    <cellStyle name="Lien hypertexte visité" xfId="34" builtinId="9" hidden="1"/>
    <cellStyle name="Lien hypertexte visité" xfId="48" builtinId="9" hidden="1"/>
    <cellStyle name="Lien hypertexte visité" xfId="54" builtinId="9" hidden="1"/>
    <cellStyle name="Lien hypertexte visité" xfId="58" builtinId="9" hidden="1"/>
    <cellStyle name="Lien hypertexte visité" xfId="20" builtinId="9" hidden="1"/>
    <cellStyle name="Lien hypertexte visité" xfId="28" builtinId="9" hidden="1"/>
    <cellStyle name="Lien hypertexte visité" xfId="12" builtinId="9" hidden="1"/>
    <cellStyle name="Lien hypertexte visité" xfId="8" builtinId="9" hidden="1"/>
    <cellStyle name="Lien hypertexte visité" xfId="10" builtinId="9" hidden="1"/>
    <cellStyle name="Lien hypertexte visité" xfId="52" builtinId="9" hidden="1"/>
    <cellStyle name="Lien hypertexte visité" xfId="110" builtinId="9" hidden="1"/>
    <cellStyle name="Lien hypertexte visité" xfId="102" builtinId="9" hidden="1"/>
    <cellStyle name="Lien hypertexte visité" xfId="76" builtinId="9" hidden="1"/>
    <cellStyle name="Lien hypertexte visité" xfId="224" builtinId="9" hidden="1"/>
    <cellStyle name="Lien hypertexte visité" xfId="238" builtinId="9" hidden="1"/>
    <cellStyle name="Lien hypertexte visité" xfId="220" builtinId="9" hidden="1"/>
    <cellStyle name="Lien hypertexte visité" xfId="186" builtinId="9" hidden="1"/>
    <cellStyle name="Lien hypertexte visité" xfId="170" builtinId="9" hidden="1"/>
    <cellStyle name="Lien hypertexte visité" xfId="152" builtinId="9" hidden="1"/>
    <cellStyle name="Lien hypertexte visité" xfId="256" builtinId="9" hidden="1"/>
    <cellStyle name="Lien hypertexte visité" xfId="320" builtinId="9" hidden="1"/>
    <cellStyle name="Lien hypertexte visité" xfId="512" builtinId="9" hidden="1"/>
    <cellStyle name="Lien hypertexte visité" xfId="582" builtinId="9" hidden="1"/>
    <cellStyle name="Lien hypertexte visité" xfId="554" builtinId="9" hidden="1"/>
    <cellStyle name="Lien hypertexte visité" xfId="546" builtinId="9" hidden="1"/>
    <cellStyle name="Lien hypertexte visité" xfId="32" builtinId="9" hidden="1"/>
    <cellStyle name="Lien hypertexte visité" xfId="38" builtinId="9" hidden="1"/>
    <cellStyle name="Lien hypertexte visité" xfId="70" builtinId="9" hidden="1"/>
    <cellStyle name="Lien hypertexte visité" xfId="150" builtinId="9" hidden="1"/>
    <cellStyle name="Lien hypertexte visité" xfId="156" builtinId="9" hidden="1"/>
    <cellStyle name="Lien hypertexte visité" xfId="164" builtinId="9" hidden="1"/>
    <cellStyle name="Lien hypertexte visité" xfId="172" builtinId="9" hidden="1"/>
    <cellStyle name="Lien hypertexte visité" xfId="180" builtinId="9" hidden="1"/>
    <cellStyle name="Lien hypertexte visité" xfId="182" builtinId="9" hidden="1"/>
    <cellStyle name="Lien hypertexte visité" xfId="194" builtinId="9" hidden="1"/>
    <cellStyle name="Lien hypertexte visité" xfId="198" builtinId="9" hidden="1"/>
    <cellStyle name="Lien hypertexte visité" xfId="202" builtinId="9" hidden="1"/>
    <cellStyle name="Lien hypertexte visité" xfId="216" builtinId="9" hidden="1"/>
    <cellStyle name="Lien hypertexte visité" xfId="218" builtinId="9" hidden="1"/>
    <cellStyle name="Lien hypertexte visité" xfId="228" builtinId="9" hidden="1"/>
    <cellStyle name="Lien hypertexte visité" xfId="236" builtinId="9" hidden="1"/>
    <cellStyle name="Lien hypertexte visité" xfId="242" builtinId="9" hidden="1"/>
    <cellStyle name="Lien hypertexte visité" xfId="248" builtinId="9" hidden="1"/>
    <cellStyle name="Lien hypertexte visité" xfId="214" builtinId="9" hidden="1"/>
    <cellStyle name="Lien hypertexte visité" xfId="480" builtinId="9" hidden="1"/>
    <cellStyle name="Lien hypertexte visité" xfId="432" builtinId="9" hidden="1"/>
    <cellStyle name="Lien hypertexte visité" xfId="352" builtinId="9" hidden="1"/>
    <cellStyle name="Lien hypertexte visité" xfId="304" builtinId="9" hidden="1"/>
    <cellStyle name="Lien hypertexte visité" xfId="272" builtinId="9" hidden="1"/>
    <cellStyle name="Lien hypertexte visité" xfId="124" builtinId="9" hidden="1"/>
    <cellStyle name="Lien hypertexte visité" xfId="134" builtinId="9" hidden="1"/>
    <cellStyle name="Lien hypertexte visité" xfId="138" builtinId="9" hidden="1"/>
    <cellStyle name="Lien hypertexte visité" xfId="574" builtinId="9" hidden="1"/>
    <cellStyle name="Lien hypertexte visité" xfId="580" builtinId="9" hidden="1"/>
    <cellStyle name="Lien hypertexte visité" xfId="584" builtinId="9" hidden="1"/>
    <cellStyle name="Lien hypertexte visité" xfId="544" builtinId="9" hidden="1"/>
    <cellStyle name="Lien hypertexte visité" xfId="528" builtinId="9" hidden="1"/>
    <cellStyle name="Lien hypertexte visité" xfId="568" builtinId="9" hidden="1"/>
    <cellStyle name="Lien hypertexte visité" xfId="556" builtinId="9" hidden="1"/>
    <cellStyle name="Lien hypertexte visité" xfId="550" builtinId="9" hidden="1"/>
    <cellStyle name="Lien hypertexte visité" xfId="558" builtinId="9" hidden="1"/>
    <cellStyle name="Lien hypertexte visité" xfId="586" builtinId="9" hidden="1"/>
    <cellStyle name="Lien hypertexte visité" xfId="464" builtinId="9" hidden="1"/>
    <cellStyle name="Lien hypertexte visité" xfId="130" builtinId="9" hidden="1"/>
    <cellStyle name="Lien hypertexte visité" xfId="400" builtinId="9" hidden="1"/>
    <cellStyle name="Lien hypertexte visité" xfId="252" builtinId="9" hidden="1"/>
    <cellStyle name="Lien hypertexte visité" xfId="240" builtinId="9" hidden="1"/>
    <cellStyle name="Lien hypertexte visité" xfId="206" builtinId="9" hidden="1"/>
    <cellStyle name="Lien hypertexte visité" xfId="190" builtinId="9" hidden="1"/>
    <cellStyle name="Lien hypertexte visité" xfId="174" builtinId="9" hidden="1"/>
    <cellStyle name="Lien hypertexte visité" xfId="146" builtinId="9" hidden="1"/>
    <cellStyle name="Lien hypertexte visité" xfId="178" builtinId="9" hidden="1"/>
    <cellStyle name="Lien hypertexte visité" xfId="564" builtinId="9" hidden="1"/>
    <cellStyle name="Lien hypertexte visité" xfId="144" builtinId="9" hidden="1"/>
    <cellStyle name="Lien hypertexte visité" xfId="204" builtinId="9" hidden="1"/>
    <cellStyle name="Lien hypertexte visité" xfId="246" builtinId="9" hidden="1"/>
    <cellStyle name="Lien hypertexte visité" xfId="44" builtinId="9" hidden="1"/>
    <cellStyle name="Lien hypertexte visité" xfId="4" builtinId="9" hidden="1"/>
    <cellStyle name="Lien hypertexte visité" xfId="24" builtinId="9" hidden="1"/>
    <cellStyle name="Lien hypertexte visité" xfId="42" builtinId="9" hidden="1"/>
    <cellStyle name="Lien hypertexte visité" xfId="114" builtinId="9" hidden="1"/>
    <cellStyle name="Lien hypertexte visité" xfId="100" builtinId="9" hidden="1"/>
    <cellStyle name="Lien hypertexte visité" xfId="66" builtinId="9" hidden="1"/>
    <cellStyle name="Lien hypertexte visité" xfId="508" builtinId="9" hidden="1"/>
    <cellStyle name="Lien hypertexte visité" xfId="1072" builtinId="9" hidden="1"/>
    <cellStyle name="Lien hypertexte visité" xfId="1028" builtinId="9" hidden="1"/>
    <cellStyle name="Lien hypertexte visité" xfId="1158" builtinId="9" hidden="1"/>
    <cellStyle name="Lien hypertexte visité" xfId="1292" builtinId="9" hidden="1"/>
    <cellStyle name="Lien hypertexte visité" xfId="1282" builtinId="9" hidden="1"/>
    <cellStyle name="Lien hypertexte visité" xfId="1266" builtinId="9" hidden="1"/>
    <cellStyle name="Lien hypertexte visité" xfId="1244" builtinId="9" hidden="1"/>
    <cellStyle name="Lien hypertexte visité" xfId="1210" builtinId="9" hidden="1"/>
    <cellStyle name="Lien hypertexte visité" xfId="1188" builtinId="9" hidden="1"/>
    <cellStyle name="Lien hypertexte visité" xfId="1172" builtinId="9" hidden="1"/>
    <cellStyle name="Lien hypertexte visité" xfId="1134" builtinId="9" hidden="1"/>
    <cellStyle name="Lien hypertexte visité" xfId="1114" builtinId="9" hidden="1"/>
    <cellStyle name="Lien hypertexte visité" xfId="1100" builtinId="9" hidden="1"/>
    <cellStyle name="Lien hypertexte visité" xfId="1060" builtinId="9" hidden="1"/>
    <cellStyle name="Lien hypertexte visité" xfId="1042" builtinId="9" hidden="1"/>
    <cellStyle name="Lien hypertexte visité" xfId="1022" builtinId="9" hidden="1"/>
    <cellStyle name="Lien hypertexte visité" xfId="986" builtinId="9" hidden="1"/>
    <cellStyle name="Lien hypertexte visité" xfId="966" builtinId="9" hidden="1"/>
    <cellStyle name="Lien hypertexte visité" xfId="950" builtinId="9" hidden="1"/>
    <cellStyle name="Lien hypertexte visité" xfId="1406" builtinId="9" hidden="1"/>
    <cellStyle name="Lien hypertexte visité" xfId="1482" builtinId="9" hidden="1"/>
    <cellStyle name="Lien hypertexte visité" xfId="1534" builtinId="9" hidden="1"/>
    <cellStyle name="Lien hypertexte visité" xfId="1662" builtinId="9" hidden="1"/>
    <cellStyle name="Lien hypertexte visité" xfId="1584" builtinId="9" hidden="1"/>
    <cellStyle name="Lien hypertexte visité" xfId="1360" builtinId="9" hidden="1"/>
    <cellStyle name="Lien hypertexte visité" xfId="976" builtinId="9" hidden="1"/>
    <cellStyle name="Lien hypertexte visité" xfId="816" builtinId="9" hidden="1"/>
    <cellStyle name="Lien hypertexte visité" xfId="592" builtinId="9" hidden="1"/>
    <cellStyle name="Lien hypertexte visité" xfId="362" builtinId="9" hidden="1"/>
    <cellStyle name="Lien hypertexte visité" xfId="418" builtinId="9" hidden="1"/>
    <cellStyle name="Lien hypertexte visité" xfId="472" builtinId="9" hidden="1"/>
    <cellStyle name="Lien hypertexte visité" xfId="1246" builtinId="9" hidden="1"/>
    <cellStyle name="Lien hypertexte visité" xfId="762" builtinId="9" hidden="1"/>
    <cellStyle name="Lien hypertexte visité" xfId="820" builtinId="9" hidden="1"/>
    <cellStyle name="Lien hypertexte visité" xfId="670" builtinId="9" hidden="1"/>
    <cellStyle name="Lien hypertexte visité" xfId="730" builtinId="9" hidden="1"/>
    <cellStyle name="Lien hypertexte visité" xfId="606" builtinId="9" hidden="1"/>
    <cellStyle name="Lien hypertexte visité" xfId="846" builtinId="9" hidden="1"/>
    <cellStyle name="Lien hypertexte visité" xfId="1348" builtinId="9" hidden="1"/>
    <cellStyle name="Lien hypertexte visité" xfId="1154" builtinId="9" hidden="1"/>
    <cellStyle name="Lien hypertexte visité" xfId="1008" builtinId="9" hidden="1"/>
    <cellStyle name="Lien hypertexte visité" xfId="196" builtinId="9" hidden="1"/>
    <cellStyle name="Lien hypertexte visité" xfId="64" builtinId="9" hidden="1"/>
    <cellStyle name="Lien hypertexte visité" xfId="1208" builtinId="9" hidden="1"/>
    <cellStyle name="Lien hypertexte visité" xfId="1016" builtinId="9" hidden="1"/>
    <cellStyle name="Lien hypertexte visité" xfId="808" builtinId="9" hidden="1"/>
    <cellStyle name="Lien hypertexte visité" xfId="300" builtinId="9" hidden="1"/>
    <cellStyle name="Lien hypertexte visité" xfId="356" builtinId="9" hidden="1"/>
    <cellStyle name="Lien hypertexte visité" xfId="412" builtinId="9" hidden="1"/>
    <cellStyle name="Lien hypertexte visité" xfId="522" builtinId="9" hidden="1"/>
    <cellStyle name="Lien hypertexte visité" xfId="332" builtinId="9" hidden="1"/>
    <cellStyle name="Lien hypertexte visité" xfId="1590" builtinId="9" hidden="1"/>
    <cellStyle name="Lien hypertexte visité" xfId="1656" builtinId="9" hidden="1"/>
    <cellStyle name="Lien hypertexte visité" xfId="1472" builtinId="9" hidden="1"/>
    <cellStyle name="Lien hypertexte visité" xfId="1474" builtinId="9" hidden="1"/>
    <cellStyle name="Lien hypertexte visité" xfId="1430" builtinId="9" hidden="1"/>
    <cellStyle name="Lien hypertexte visité" xfId="1404" builtinId="9" hidden="1"/>
    <cellStyle name="Lien hypertexte visité" xfId="1378" builtinId="9" hidden="1"/>
    <cellStyle name="Lien hypertexte visité" xfId="1394" builtinId="9" hidden="1"/>
    <cellStyle name="Lien hypertexte visité" xfId="1454" builtinId="9" hidden="1"/>
    <cellStyle name="Lien hypertexte visité" xfId="1436" builtinId="9" hidden="1"/>
    <cellStyle name="Lien hypertexte visité" xfId="1558" builtinId="9" hidden="1"/>
    <cellStyle name="Lien hypertexte visité" xfId="1540" builtinId="9" hidden="1"/>
    <cellStyle name="Lien hypertexte visité" xfId="1518" builtinId="9" hidden="1"/>
    <cellStyle name="Lien hypertexte visité" xfId="1478" builtinId="9" hidden="1"/>
    <cellStyle name="Lien hypertexte visité" xfId="1672" builtinId="9" hidden="1"/>
    <cellStyle name="Lien hypertexte visité" xfId="1400" builtinId="9" hidden="1"/>
    <cellStyle name="Lien hypertexte visité" xfId="1512" builtinId="9" hidden="1"/>
    <cellStyle name="Lien hypertexte visité" xfId="1576" builtinId="9" hidden="1"/>
    <cellStyle name="Lien hypertexte visité" xfId="1632" builtinId="9" hidden="1"/>
    <cellStyle name="Lien hypertexte visité" xfId="1678" builtinId="9" hidden="1"/>
    <cellStyle name="Lien hypertexte visité" xfId="1660" builtinId="9" hidden="1"/>
    <cellStyle name="Lien hypertexte visité" xfId="1638" builtinId="9" hidden="1"/>
    <cellStyle name="Lien hypertexte visité" xfId="1602" builtinId="9" hidden="1"/>
    <cellStyle name="Lien hypertexte visité" xfId="1580" builtinId="9" hidden="1"/>
    <cellStyle name="Lien hypertexte visité" xfId="904" builtinId="9" hidden="1"/>
    <cellStyle name="Lien hypertexte visité" xfId="406" builtinId="9" hidden="1"/>
    <cellStyle name="Lien hypertexte visité" xfId="548" builtinId="9" hidden="1"/>
    <cellStyle name="Lien hypertexte visité" xfId="532" builtinId="9" hidden="1"/>
    <cellStyle name="Lien hypertexte visité" xfId="492" builtinId="9" hidden="1"/>
    <cellStyle name="Lien hypertexte visité" xfId="1276" builtinId="9" hidden="1"/>
    <cellStyle name="Lien hypertexte visité" xfId="1238" builtinId="9" hidden="1"/>
    <cellStyle name="Lien hypertexte visité" xfId="1214" builtinId="9" hidden="1"/>
    <cellStyle name="Lien hypertexte visité" xfId="1190" builtinId="9" hidden="1"/>
    <cellStyle name="Lien hypertexte visité" xfId="1178" builtinId="9" hidden="1"/>
    <cellStyle name="Lien hypertexte visité" xfId="1142" builtinId="9" hidden="1"/>
    <cellStyle name="Lien hypertexte visité" xfId="1116" builtinId="9" hidden="1"/>
    <cellStyle name="Lien hypertexte visité" xfId="1092" builtinId="9" hidden="1"/>
    <cellStyle name="Lien hypertexte visité" xfId="1068" builtinId="9" hidden="1"/>
    <cellStyle name="Lien hypertexte visité" xfId="1044" builtinId="9" hidden="1"/>
    <cellStyle name="Lien hypertexte visité" xfId="1030" builtinId="9" hidden="1"/>
    <cellStyle name="Lien hypertexte visité" xfId="982" builtinId="9" hidden="1"/>
    <cellStyle name="Lien hypertexte visité" xfId="972" builtinId="9" hidden="1"/>
    <cellStyle name="Lien hypertexte visité" xfId="946" builtinId="9" hidden="1"/>
    <cellStyle name="Lien hypertexte visité" xfId="1374" builtinId="9" hidden="1"/>
    <cellStyle name="Lien hypertexte visité" xfId="1460" builtinId="9" hidden="1"/>
    <cellStyle name="Lien hypertexte visité" xfId="1502" builtinId="9" hidden="1"/>
    <cellStyle name="Lien hypertexte visité" xfId="1674" builtinId="9" hidden="1"/>
    <cellStyle name="Lien hypertexte visité" xfId="1648" builtinId="9" hidden="1"/>
    <cellStyle name="Lien hypertexte visité" xfId="1392" builtinId="9" hidden="1"/>
    <cellStyle name="Lien hypertexte visité" xfId="1136" builtinId="9" hidden="1"/>
    <cellStyle name="Lien hypertexte visité" xfId="880" builtinId="9" hidden="1"/>
    <cellStyle name="Lien hypertexte visité" xfId="624" builtinId="9" hidden="1"/>
    <cellStyle name="Lien hypertexte visité" xfId="354" builtinId="9" hidden="1"/>
    <cellStyle name="Lien hypertexte visité" xfId="390" builtinId="9" hidden="1"/>
    <cellStyle name="Lien hypertexte visité" xfId="462" builtinId="9" hidden="1"/>
    <cellStyle name="Lien hypertexte visité" xfId="536" builtinId="9" hidden="1"/>
    <cellStyle name="Lien hypertexte visité" xfId="126" builtinId="9" hidden="1"/>
    <cellStyle name="Lien hypertexte visité" xfId="162" builtinId="9" hidden="1"/>
    <cellStyle name="Lien hypertexte visité" xfId="60" builtinId="9" hidden="1"/>
    <cellStyle name="Lien hypertexte visité" xfId="92" builtinId="9" hidden="1"/>
    <cellStyle name="Lien hypertexte visité" xfId="22" builtinId="9" hidden="1"/>
    <cellStyle name="Lien hypertexte visité" xfId="50" builtinId="9" hidden="1"/>
    <cellStyle name="Lien hypertexte visité" xfId="40" builtinId="9" hidden="1"/>
    <cellStyle name="Lien hypertexte visité" xfId="96" builtinId="9" hidden="1"/>
    <cellStyle name="Lien hypertexte visité" xfId="86" builtinId="9" hidden="1"/>
    <cellStyle name="Lien hypertexte visité" xfId="74" builtinId="9" hidden="1"/>
    <cellStyle name="Lien hypertexte visité" xfId="192" builtinId="9" hidden="1"/>
    <cellStyle name="Lien hypertexte visité" xfId="210" builtinId="9" hidden="1"/>
    <cellStyle name="Lien hypertexte visité" xfId="200" builtinId="9" hidden="1"/>
    <cellStyle name="Lien hypertexte visité" xfId="188" builtinId="9" hidden="1"/>
    <cellStyle name="Lien hypertexte visité" xfId="154" builtinId="9" hidden="1"/>
    <cellStyle name="Lien hypertexte visité" xfId="142" builtinId="9" hidden="1"/>
    <cellStyle name="Lien hypertexte visité" xfId="336" builtinId="9" hidden="1"/>
    <cellStyle name="Lien hypertexte visité" xfId="588" builtinId="9" hidden="1"/>
    <cellStyle name="Lien hypertexte visité" xfId="578" builtinId="9" hidden="1"/>
    <cellStyle name="Lien hypertexte visité" xfId="566" builtinId="9" hidden="1"/>
    <cellStyle name="Lien hypertexte visité" xfId="1320" builtinId="9" hidden="1"/>
    <cellStyle name="Lien hypertexte visité" xfId="1288" builtinId="9" hidden="1"/>
    <cellStyle name="Lien hypertexte visité" xfId="1280" builtinId="9" hidden="1"/>
    <cellStyle name="Lien hypertexte visité" xfId="1240" builtinId="9" hidden="1"/>
    <cellStyle name="Lien hypertexte visité" xfId="1224" builtinId="9" hidden="1"/>
    <cellStyle name="Lien hypertexte visité" xfId="1216" builtinId="9" hidden="1"/>
    <cellStyle name="Lien hypertexte visité" xfId="1176" builtinId="9" hidden="1"/>
    <cellStyle name="Lien hypertexte visité" xfId="1144" builtinId="9" hidden="1"/>
    <cellStyle name="Lien hypertexte visité" xfId="1128" builtinId="9" hidden="1"/>
    <cellStyle name="Lien hypertexte visité" xfId="1096" builtinId="9" hidden="1"/>
    <cellStyle name="Lien hypertexte visité" xfId="1088" builtinId="9" hidden="1"/>
    <cellStyle name="Lien hypertexte visité" xfId="1064" builtinId="9" hidden="1"/>
    <cellStyle name="Lien hypertexte visité" xfId="1024" builtinId="9" hidden="1"/>
    <cellStyle name="Lien hypertexte visité" xfId="1000" builtinId="9" hidden="1"/>
    <cellStyle name="Lien hypertexte visité" xfId="984" builtinId="9" hidden="1"/>
    <cellStyle name="Lien hypertexte visité" xfId="952" builtinId="9" hidden="1"/>
    <cellStyle name="Lien hypertexte visité" xfId="936" builtinId="9" hidden="1"/>
    <cellStyle name="Lien hypertexte visité" xfId="896" builtinId="9" hidden="1"/>
    <cellStyle name="Lien hypertexte visité" xfId="872" builtinId="9" hidden="1"/>
    <cellStyle name="Lien hypertexte visité" xfId="856" builtinId="9" hidden="1"/>
    <cellStyle name="Lien hypertexte visité" xfId="840" builtinId="9" hidden="1"/>
    <cellStyle name="Lien hypertexte visité" xfId="800" builtinId="9" hidden="1"/>
    <cellStyle name="Lien hypertexte visité" xfId="776" builtinId="9" hidden="1"/>
    <cellStyle name="Lien hypertexte visité" xfId="760" builtinId="9" hidden="1"/>
    <cellStyle name="Lien hypertexte visité" xfId="728" builtinId="9" hidden="1"/>
    <cellStyle name="Lien hypertexte visité" xfId="704" builtinId="9" hidden="1"/>
    <cellStyle name="Lien hypertexte visité" xfId="696" builtinId="9" hidden="1"/>
    <cellStyle name="Lien hypertexte visité" xfId="640" builtinId="9" hidden="1"/>
    <cellStyle name="Lien hypertexte visité" xfId="632" builtinId="9" hidden="1"/>
    <cellStyle name="Lien hypertexte visité" xfId="608" builtinId="9" hidden="1"/>
    <cellStyle name="Lien hypertexte visité" xfId="254" builtinId="9" hidden="1"/>
    <cellStyle name="Lien hypertexte visité" xfId="264" builtinId="9" hidden="1"/>
    <cellStyle name="Lien hypertexte visité" xfId="266" builtinId="9" hidden="1"/>
    <cellStyle name="Lien hypertexte visité" xfId="278" builtinId="9" hidden="1"/>
    <cellStyle name="Lien hypertexte visité" xfId="282" builtinId="9" hidden="1"/>
    <cellStyle name="Lien hypertexte visité" xfId="292" builtinId="9" hidden="1"/>
    <cellStyle name="Lien hypertexte visité" xfId="296" builtinId="9" hidden="1"/>
    <cellStyle name="Lien hypertexte visité" xfId="302" builtinId="9" hidden="1"/>
    <cellStyle name="Lien hypertexte visité" xfId="312" builtinId="9" hidden="1"/>
    <cellStyle name="Lien hypertexte visité" xfId="322" builtinId="9" hidden="1"/>
    <cellStyle name="Lien hypertexte visité" xfId="324" builtinId="9" hidden="1"/>
    <cellStyle name="Lien hypertexte visité" xfId="330" builtinId="9" hidden="1"/>
    <cellStyle name="Lien hypertexte visité" xfId="340" builtinId="9" hidden="1"/>
    <cellStyle name="Lien hypertexte visité" xfId="348" builtinId="9" hidden="1"/>
    <cellStyle name="Lien hypertexte visité" xfId="350" builtinId="9" hidden="1"/>
    <cellStyle name="Lien hypertexte visité" xfId="364" builtinId="9" hidden="1"/>
    <cellStyle name="Lien hypertexte visité" xfId="366" builtinId="9" hidden="1"/>
    <cellStyle name="Lien hypertexte visité" xfId="374" builtinId="9" hidden="1"/>
    <cellStyle name="Lien hypertexte visité" xfId="388" builtinId="9" hidden="1"/>
    <cellStyle name="Lien hypertexte visité" xfId="392" builtinId="9" hidden="1"/>
    <cellStyle name="Lien hypertexte visité" xfId="394" builtinId="9" hidden="1"/>
    <cellStyle name="Lien hypertexte visité" xfId="404" builtinId="9" hidden="1"/>
    <cellStyle name="Lien hypertexte visité" xfId="410" builtinId="9" hidden="1"/>
    <cellStyle name="Lien hypertexte visité" xfId="414" builtinId="9" hidden="1"/>
    <cellStyle name="Lien hypertexte visité" xfId="428" builtinId="9" hidden="1"/>
    <cellStyle name="Lien hypertexte visité" xfId="434" builtinId="9" hidden="1"/>
    <cellStyle name="Lien hypertexte visité" xfId="438" builtinId="9" hidden="1"/>
    <cellStyle name="Lien hypertexte visité" xfId="446" builtinId="9" hidden="1"/>
    <cellStyle name="Lien hypertexte visité" xfId="450" builtinId="9" hidden="1"/>
    <cellStyle name="Lien hypertexte visité" xfId="460" builtinId="9" hidden="1"/>
    <cellStyle name="Lien hypertexte visité" xfId="470" builtinId="9" hidden="1"/>
    <cellStyle name="Lien hypertexte visité" xfId="474" builtinId="9" hidden="1"/>
    <cellStyle name="Lien hypertexte visité" xfId="476" builtinId="9" hidden="1"/>
    <cellStyle name="Lien hypertexte visité" xfId="458" builtinId="9" hidden="1"/>
    <cellStyle name="Lien hypertexte visité" xfId="420" builtinId="9" hidden="1"/>
    <cellStyle name="Lien hypertexte visité" xfId="378" builtinId="9" hidden="1"/>
    <cellStyle name="Lien hypertexte visité" xfId="306" builtinId="9" hidden="1"/>
    <cellStyle name="Lien hypertexte visité" xfId="268" builtinId="9" hidden="1"/>
    <cellStyle name="Lien hypertexte visité" xfId="664" builtinId="9" hidden="1"/>
    <cellStyle name="Lien hypertexte visité" xfId="928" builtinId="9" hidden="1"/>
    <cellStyle name="Lien hypertexte visité" xfId="1048" builtinId="9" hidden="1"/>
    <cellStyle name="Lien hypertexte visité" xfId="1184" builtinId="9" hidden="1"/>
    <cellStyle name="Lien hypertexte visité" xfId="120" builtinId="9" hidden="1"/>
    <cellStyle name="Lien hypertexte visité" xfId="244" builtinId="9" hidden="1"/>
    <cellStyle name="Lien hypertexte visité" xfId="26" builtinId="9" hidden="1"/>
    <cellStyle name="Lien hypertexte visité" xfId="752" builtinId="9" hidden="1"/>
    <cellStyle name="Lien hypertexte visité" xfId="1546" builtinId="9" hidden="1"/>
    <cellStyle name="Lien hypertexte visité" xfId="996" builtinId="9" hidden="1"/>
    <cellStyle name="Lien hypertexte visité" xfId="1262" builtinId="9" hidden="1"/>
    <cellStyle name="Lien hypertexte visité" xfId="798" builtinId="9" hidden="1"/>
    <cellStyle name="Lien hypertexte visité" xfId="756" builtinId="9" hidden="1"/>
    <cellStyle name="Lien hypertexte visité" xfId="674" builtinId="9" hidden="1"/>
    <cellStyle name="Lien hypertexte visité" xfId="682" builtinId="9" hidden="1"/>
    <cellStyle name="Lien hypertexte visité" xfId="690" builtinId="9" hidden="1"/>
    <cellStyle name="Lien hypertexte visité" xfId="694" builtinId="9" hidden="1"/>
    <cellStyle name="Lien hypertexte visité" xfId="702" builtinId="9" hidden="1"/>
    <cellStyle name="Lien hypertexte visité" xfId="706" builtinId="9" hidden="1"/>
    <cellStyle name="Lien hypertexte visité" xfId="718" builtinId="9" hidden="1"/>
    <cellStyle name="Lien hypertexte visité" xfId="724" builtinId="9" hidden="1"/>
    <cellStyle name="Lien hypertexte visité" xfId="726" builtinId="9" hidden="1"/>
    <cellStyle name="Lien hypertexte visité" xfId="738" builtinId="9" hidden="1"/>
    <cellStyle name="Lien hypertexte visité" xfId="740" builtinId="9" hidden="1"/>
    <cellStyle name="Lien hypertexte visité" xfId="626" builtinId="9" hidden="1"/>
    <cellStyle name="Lien hypertexte visité" xfId="642" builtinId="9" hidden="1"/>
    <cellStyle name="Lien hypertexte visité" xfId="646" builtinId="9" hidden="1"/>
    <cellStyle name="Lien hypertexte visité" xfId="650" builtinId="9" hidden="1"/>
    <cellStyle name="Lien hypertexte visité" xfId="660" builtinId="9" hidden="1"/>
    <cellStyle name="Lien hypertexte visité" xfId="662" builtinId="9" hidden="1"/>
    <cellStyle name="Lien hypertexte visité" xfId="610" builtinId="9" hidden="1"/>
    <cellStyle name="Lien hypertexte visité" xfId="618" builtinId="9" hidden="1"/>
    <cellStyle name="Lien hypertexte visité" xfId="622" builtinId="9" hidden="1"/>
    <cellStyle name="Lien hypertexte visité" xfId="602" builtinId="9" hidden="1"/>
    <cellStyle name="Lien hypertexte visité" xfId="590" builtinId="9" hidden="1"/>
    <cellStyle name="Lien hypertexte visité" xfId="596" builtinId="9" hidden="1"/>
    <cellStyle name="Lien hypertexte visité" xfId="598" builtinId="9" hidden="1"/>
    <cellStyle name="Lien hypertexte visité" xfId="644" builtinId="9" hidden="1"/>
    <cellStyle name="Lien hypertexte visité" xfId="742" builtinId="9" hidden="1"/>
    <cellStyle name="Lien hypertexte visité" xfId="732" builtinId="9" hidden="1"/>
    <cellStyle name="Lien hypertexte visité" xfId="698" builtinId="9" hidden="1"/>
    <cellStyle name="Lien hypertexte visité" xfId="686" builtinId="9" hidden="1"/>
    <cellStyle name="Lien hypertexte visité" xfId="676" builtinId="9" hidden="1"/>
    <cellStyle name="Lien hypertexte visité" xfId="914" builtinId="9" hidden="1"/>
    <cellStyle name="Lien hypertexte visité" xfId="902" builtinId="9" hidden="1"/>
    <cellStyle name="Lien hypertexte visité" xfId="878" builtinId="9" hidden="1"/>
    <cellStyle name="Lien hypertexte visité" xfId="858" builtinId="9" hidden="1"/>
    <cellStyle name="Lien hypertexte visité" xfId="834" builtinId="9" hidden="1"/>
    <cellStyle name="Lien hypertexte visité" xfId="812" builtinId="9" hidden="1"/>
    <cellStyle name="Lien hypertexte visité" xfId="778" builtinId="9" hidden="1"/>
    <cellStyle name="Lien hypertexte visité" xfId="766" builtinId="9" hidden="1"/>
    <cellStyle name="Lien hypertexte visité" xfId="926" builtinId="9" hidden="1"/>
    <cellStyle name="Lien hypertexte visité" xfId="1098" builtinId="9" hidden="1"/>
    <cellStyle name="Lien hypertexte visité" xfId="1268" builtinId="9" hidden="1"/>
    <cellStyle name="Lien hypertexte visité" xfId="1354" builtinId="9" hidden="1"/>
    <cellStyle name="Lien hypertexte visité" xfId="1338" builtinId="9" hidden="1"/>
    <cellStyle name="Lien hypertexte visité" xfId="1324" builtinId="9" hidden="1"/>
    <cellStyle name="Lien hypertexte visité" xfId="1314" builtinId="9" hidden="1"/>
    <cellStyle name="Lien hypertexte visité" xfId="822" builtinId="9" hidden="1"/>
    <cellStyle name="Lien hypertexte visité" xfId="628" builtinId="9" hidden="1"/>
    <cellStyle name="Lien hypertexte visité" xfId="636" builtinId="9" hidden="1"/>
    <cellStyle name="Lien hypertexte visité" xfId="780" builtinId="9" hidden="1"/>
    <cellStyle name="Lien hypertexte visité" xfId="782" builtinId="9" hidden="1"/>
    <cellStyle name="Lien hypertexte visité" xfId="786" builtinId="9" hidden="1"/>
    <cellStyle name="Lien hypertexte visité" xfId="796" builtinId="9" hidden="1"/>
    <cellStyle name="Lien hypertexte visité" xfId="804" builtinId="9" hidden="1"/>
    <cellStyle name="Lien hypertexte visité" xfId="810" builtinId="9" hidden="1"/>
    <cellStyle name="Lien hypertexte visité" xfId="818" builtinId="9" hidden="1"/>
    <cellStyle name="Lien hypertexte visité" xfId="826" builtinId="9" hidden="1"/>
    <cellStyle name="Lien hypertexte visité" xfId="828" builtinId="9" hidden="1"/>
    <cellStyle name="Lien hypertexte visité" xfId="838" builtinId="9" hidden="1"/>
    <cellStyle name="Lien hypertexte visité" xfId="844" builtinId="9" hidden="1"/>
    <cellStyle name="Lien hypertexte visité" xfId="850" builtinId="9" hidden="1"/>
    <cellStyle name="Lien hypertexte visité" xfId="860" builtinId="9" hidden="1"/>
    <cellStyle name="Lien hypertexte visité" xfId="862" builtinId="9" hidden="1"/>
    <cellStyle name="Lien hypertexte visité" xfId="874" builtinId="9" hidden="1"/>
    <cellStyle name="Lien hypertexte visité" xfId="886" builtinId="9" hidden="1"/>
    <cellStyle name="Lien hypertexte visité" xfId="890" builtinId="9" hidden="1"/>
    <cellStyle name="Lien hypertexte visité" xfId="894" builtinId="9" hidden="1"/>
    <cellStyle name="Lien hypertexte visité" xfId="906" builtinId="9" hidden="1"/>
    <cellStyle name="Lien hypertexte visité" xfId="908" builtinId="9" hidden="1"/>
    <cellStyle name="Lien hypertexte visité" xfId="916" builtinId="9" hidden="1"/>
    <cellStyle name="Lien hypertexte visité" xfId="922" builtinId="9" hidden="1"/>
    <cellStyle name="Lien hypertexte visité" xfId="870" builtinId="9" hidden="1"/>
    <cellStyle name="Lien hypertexte visité" xfId="1226" builtinId="9" hidden="1"/>
    <cellStyle name="Lien hypertexte visité" xfId="1118" builtinId="9" hidden="1"/>
    <cellStyle name="Lien hypertexte visité" xfId="1076" builtinId="9" hidden="1"/>
    <cellStyle name="Lien hypertexte visité" xfId="1054" builtinId="9" hidden="1"/>
    <cellStyle name="Lien hypertexte visité" xfId="970" builtinId="9" hidden="1"/>
    <cellStyle name="Lien hypertexte visité" xfId="948" builtinId="9" hidden="1"/>
    <cellStyle name="Lien hypertexte visité" xfId="748" builtinId="9" hidden="1"/>
    <cellStyle name="Lien hypertexte visité" xfId="758" builtinId="9" hidden="1"/>
    <cellStyle name="Lien hypertexte visité" xfId="764" builtinId="9" hidden="1"/>
    <cellStyle name="Lien hypertexte visité" xfId="770" builtinId="9" hidden="1"/>
    <cellStyle name="Lien hypertexte visité" xfId="1204" builtinId="9" hidden="1"/>
    <cellStyle name="Lien hypertexte visité" xfId="1350" builtinId="9" hidden="1"/>
    <cellStyle name="Lien hypertexte visité" xfId="1358" builtinId="9" hidden="1"/>
    <cellStyle name="Lien hypertexte visité" xfId="1366" builtinId="9" hidden="1"/>
    <cellStyle name="Lien hypertexte visité" xfId="1332" builtinId="9" hidden="1"/>
    <cellStyle name="Lien hypertexte visité" xfId="1310" builtinId="9" hidden="1"/>
    <cellStyle name="Lien hypertexte visité" xfId="1334" builtinId="9" hidden="1"/>
    <cellStyle name="Lien hypertexte visité" xfId="1342" builtinId="9" hidden="1"/>
    <cellStyle name="Lien hypertexte visité" xfId="1346" builtinId="9" hidden="1"/>
    <cellStyle name="Lien hypertexte visité" xfId="1330" builtinId="9" hidden="1"/>
    <cellStyle name="Lien hypertexte visité" xfId="1318" builtinId="9" hidden="1"/>
    <cellStyle name="Lien hypertexte visité" xfId="1326" builtinId="9" hidden="1"/>
    <cellStyle name="Lien hypertexte visité" xfId="1290" builtinId="9" hidden="1"/>
    <cellStyle name="Lien hypertexte visité" xfId="1364" builtinId="9" hidden="1"/>
    <cellStyle name="Lien hypertexte visité" xfId="772" builtinId="9" hidden="1"/>
    <cellStyle name="Lien hypertexte visité" xfId="750" builtinId="9" hidden="1"/>
    <cellStyle name="Lien hypertexte visité" xfId="990" builtinId="9" hidden="1"/>
    <cellStyle name="Lien hypertexte visité" xfId="1162" builtinId="9" hidden="1"/>
    <cellStyle name="Lien hypertexte visité" xfId="918" builtinId="9" hidden="1"/>
    <cellStyle name="Lien hypertexte visité" xfId="900" builtinId="9" hidden="1"/>
    <cellStyle name="Lien hypertexte visité" xfId="876" builtinId="9" hidden="1"/>
    <cellStyle name="Lien hypertexte visité" xfId="854" builtinId="9" hidden="1"/>
    <cellStyle name="Lien hypertexte visité" xfId="830" builtinId="9" hidden="1"/>
    <cellStyle name="Lien hypertexte visité" xfId="814" builtinId="9" hidden="1"/>
    <cellStyle name="Lien hypertexte visité" xfId="794" builtinId="9" hidden="1"/>
    <cellStyle name="Lien hypertexte visité" xfId="678" builtinId="9" hidden="1"/>
    <cellStyle name="Lien hypertexte visité" xfId="1286" builtinId="9" hidden="1"/>
    <cellStyle name="Lien hypertexte visité" xfId="1362" builtinId="9" hidden="1"/>
    <cellStyle name="Lien hypertexte visité" xfId="1012" builtinId="9" hidden="1"/>
    <cellStyle name="Lien hypertexte visité" xfId="788" builtinId="9" hidden="1"/>
    <cellStyle name="Lien hypertexte visité" xfId="868" builtinId="9" hidden="1"/>
    <cellStyle name="Lien hypertexte visité" xfId="884" builtinId="9" hidden="1"/>
    <cellStyle name="Lien hypertexte visité" xfId="722" builtinId="9" hidden="1"/>
    <cellStyle name="Lien hypertexte visité" xfId="654" builtinId="9" hidden="1"/>
    <cellStyle name="Lien hypertexte visité" xfId="604" builtinId="9" hidden="1"/>
    <cellStyle name="Lien hypertexte visité" xfId="612" builtinId="9" hidden="1"/>
    <cellStyle name="Lien hypertexte visité" xfId="658" builtinId="9" hidden="1"/>
    <cellStyle name="Lien hypertexte visité" xfId="630" builtinId="9" hidden="1"/>
    <cellStyle name="Lien hypertexte visité" xfId="734" builtinId="9" hidden="1"/>
    <cellStyle name="Lien hypertexte visité" xfId="710" builtinId="9" hidden="1"/>
    <cellStyle name="Lien hypertexte visité" xfId="692" builtinId="9" hidden="1"/>
    <cellStyle name="Lien hypertexte visité" xfId="668" builtinId="9" hidden="1"/>
    <cellStyle name="Lien hypertexte visité" xfId="1130" builtinId="9" hidden="1"/>
    <cellStyle name="Lien hypertexte visité" xfId="448" builtinId="9" hidden="1"/>
    <cellStyle name="Lien hypertexte visité" xfId="1312" builtinId="9" hidden="1"/>
    <cellStyle name="Lien hypertexte visité" xfId="792" builtinId="9" hidden="1"/>
    <cellStyle name="Lien hypertexte visité" xfId="346" builtinId="9" hidden="1"/>
    <cellStyle name="Lien hypertexte visité" xfId="486" builtinId="9" hidden="1"/>
    <cellStyle name="Lien hypertexte visité" xfId="466" builtinId="9" hidden="1"/>
    <cellStyle name="Lien hypertexte visité" xfId="442" builtinId="9" hidden="1"/>
    <cellStyle name="Lien hypertexte visité" xfId="422" builtinId="9" hidden="1"/>
    <cellStyle name="Lien hypertexte visité" xfId="402" builtinId="9" hidden="1"/>
    <cellStyle name="Lien hypertexte visité" xfId="376" builtinId="9" hidden="1"/>
    <cellStyle name="Lien hypertexte visité" xfId="360" builtinId="9" hidden="1"/>
    <cellStyle name="Lien hypertexte visité" xfId="338" builtinId="9" hidden="1"/>
    <cellStyle name="Lien hypertexte visité" xfId="318" builtinId="9" hidden="1"/>
    <cellStyle name="Lien hypertexte visité" xfId="294" builtinId="9" hidden="1"/>
    <cellStyle name="Lien hypertexte visité" xfId="276" builtinId="9" hidden="1"/>
    <cellStyle name="Lien hypertexte visité" xfId="600" builtinId="9" hidden="1"/>
    <cellStyle name="Lien hypertexte visité" xfId="680" builtinId="9" hidden="1"/>
    <cellStyle name="Lien hypertexte visité" xfId="744" builtinId="9" hidden="1"/>
    <cellStyle name="Lien hypertexte visité" xfId="832" builtinId="9" hidden="1"/>
    <cellStyle name="Lien hypertexte visité" xfId="888" builtinId="9" hidden="1"/>
    <cellStyle name="Lien hypertexte visité" xfId="968" builtinId="9" hidden="1"/>
    <cellStyle name="Lien hypertexte visité" xfId="1032" builtinId="9" hidden="1"/>
    <cellStyle name="Lien hypertexte visité" xfId="1120" builtinId="9" hidden="1"/>
    <cellStyle name="Lien hypertexte visité" xfId="1192" builtinId="9" hidden="1"/>
    <cellStyle name="Lien hypertexte visité" xfId="1272" builtinId="9" hidden="1"/>
    <cellStyle name="Lien hypertexte visité" xfId="1344" builtinId="9" hidden="1"/>
    <cellStyle name="Lien hypertexte visité" xfId="416" builtinId="9" hidden="1"/>
    <cellStyle name="Lien hypertexte visité" xfId="166" builtinId="9" hidden="1"/>
    <cellStyle name="Lien hypertexte visité" xfId="234" builtinId="9" hidden="1"/>
    <cellStyle name="Lien hypertexte visité" xfId="98" builtinId="9" hidden="1"/>
    <cellStyle name="Lien hypertexte visité" xfId="6" builtinId="9" hidden="1"/>
    <cellStyle name="Lien hypertexte visité" xfId="230" builtinId="9" hidden="1"/>
    <cellStyle name="Lien hypertexte visité" xfId="500" builtinId="9" hidden="1"/>
    <cellStyle name="Lien hypertexte visité" xfId="316" builtinId="9" hidden="1"/>
    <cellStyle name="Lien hypertexte visité" xfId="1264" builtinId="9" hidden="1"/>
    <cellStyle name="Lien hypertexte visité" xfId="1630" builtinId="9" hidden="1"/>
    <cellStyle name="Lien hypertexte visité" xfId="934" builtinId="9" hidden="1"/>
    <cellStyle name="Lien hypertexte visité" xfId="1020" builtinId="9" hidden="1"/>
    <cellStyle name="Lien hypertexte visité" xfId="1082" builtinId="9" hidden="1"/>
    <cellStyle name="Lien hypertexte visité" xfId="1166" builtinId="9" hidden="1"/>
    <cellStyle name="Lien hypertexte visité" xfId="1228" builtinId="9" hidden="1"/>
    <cellStyle name="Lien hypertexte visité" xfId="514" builtinId="9" hidden="1"/>
    <cellStyle name="Lien hypertexte visité" xfId="284" builtinId="9" hidden="1"/>
    <cellStyle name="Lien hypertexte visité" xfId="1618" builtinId="9" hidden="1"/>
    <cellStyle name="Lien hypertexte visité" xfId="1696" builtinId="9" hidden="1"/>
    <cellStyle name="Lien hypertexte visité" xfId="1448" builtinId="9" hidden="1"/>
    <cellStyle name="Lien hypertexte visité" xfId="1498" builtinId="9" hidden="1"/>
    <cellStyle name="Lien hypertexte visité" xfId="1538" builtinId="9" hidden="1"/>
    <cellStyle name="Lien hypertexte visité" xfId="1412" builtinId="9" hidden="1"/>
    <cellStyle name="Lien hypertexte visité" xfId="1530" builtinId="9" hidden="1"/>
    <cellStyle name="Lien hypertexte visité" xfId="1654" builtinId="9" hidden="1"/>
    <cellStyle name="Lien hypertexte visité" xfId="468" builtinId="9" hidden="1"/>
    <cellStyle name="Lien hypertexte visité" xfId="616" builtinId="9" hidden="1"/>
    <cellStyle name="Lien hypertexte visité" xfId="496" builtinId="9" hidden="1"/>
    <cellStyle name="Lien hypertexte visité" xfId="958" builtinId="9" hidden="1"/>
    <cellStyle name="Lien hypertexte visité" xfId="634" builtinId="9" hidden="1"/>
    <cellStyle name="Lien hypertexte visité" xfId="882" builtinId="9" hidden="1"/>
    <cellStyle name="Lien hypertexte visité" xfId="1322" builtinId="9" hidden="1"/>
    <cellStyle name="Lien hypertexte visité" xfId="298" builtinId="9" hidden="1"/>
    <cellStyle name="Lien hypertexte visité" xfId="1200" builtinId="9" hidden="1"/>
    <cellStyle name="Lien hypertexte visité" xfId="1610" builtinId="9" hidden="1"/>
    <cellStyle name="Lien hypertexte visité" xfId="930" builtinId="9" hidden="1"/>
    <cellStyle name="Lien hypertexte visité" xfId="1004" builtinId="9" hidden="1"/>
    <cellStyle name="Lien hypertexte visité" xfId="1078" builtinId="9" hidden="1"/>
    <cellStyle name="Lien hypertexte visité" xfId="1150" builtinId="9" hidden="1"/>
    <cellStyle name="Lien hypertexte visité" xfId="1230" builtinId="9" hidden="1"/>
    <cellStyle name="Lien hypertexte visité" xfId="1302" builtinId="9" hidden="1"/>
    <cellStyle name="Lien hypertexte visité" xfId="1450" builtinId="9" hidden="1"/>
    <cellStyle name="Lien hypertexte visité" xfId="82" builtinId="9" hidden="1"/>
    <cellStyle name="Lien hypertexte visité" xfId="56" builtinId="9" hidden="1"/>
    <cellStyle name="Lien hypertexte visité" xfId="84" builtinId="9" hidden="1"/>
    <cellStyle name="Lien hypertexte visité" xfId="384" builtinId="9" hidden="1"/>
    <cellStyle name="Lien hypertexte visité" xfId="158" builtinId="9" hidden="1"/>
    <cellStyle name="Lien hypertexte visité" xfId="226" builtinId="9" hidden="1"/>
    <cellStyle name="Lien hypertexte visité" xfId="288" builtinId="9" hidden="1"/>
    <cellStyle name="Lien hypertexte visité" xfId="562" builtinId="9" hidden="1"/>
    <cellStyle name="Lien hypertexte visité" xfId="570" builtinId="9" hidden="1"/>
    <cellStyle name="Lien hypertexte visité" xfId="560" builtinId="9" hidden="1"/>
    <cellStyle name="Lien hypertexte visité" xfId="140" builtinId="9" hidden="1"/>
    <cellStyle name="Lien hypertexte visité" xfId="122" builtinId="9" hidden="1"/>
    <cellStyle name="Lien hypertexte visité" xfId="368" builtinId="9" hidden="1"/>
    <cellStyle name="Lien hypertexte visité" xfId="250" builtinId="9" hidden="1"/>
    <cellStyle name="Lien hypertexte visité" xfId="232" builtinId="9" hidden="1"/>
    <cellStyle name="Lien hypertexte visité" xfId="208" builtinId="9" hidden="1"/>
    <cellStyle name="Lien hypertexte visité" xfId="184" builtinId="9" hidden="1"/>
    <cellStyle name="Lien hypertexte visité" xfId="168" builtinId="9" hidden="1"/>
    <cellStyle name="Lien hypertexte visité" xfId="148" builtinId="9" hidden="1"/>
    <cellStyle name="Lien hypertexte visité" xfId="526" builtinId="9" hidden="1"/>
    <cellStyle name="Lien hypertexte visité" xfId="576" builtinId="9" hidden="1"/>
    <cellStyle name="Lien hypertexte visité" xfId="136" builtinId="9" hidden="1"/>
    <cellStyle name="Lien hypertexte visité" xfId="212" builtinId="9" hidden="1"/>
    <cellStyle name="Lien hypertexte visité" xfId="68" builtinId="9" hidden="1"/>
    <cellStyle name="Lien hypertexte visité" xfId="118" builtinId="9" hidden="1"/>
    <cellStyle name="Lien hypertexte visité" xfId="14" builtinId="9" hidden="1"/>
    <cellStyle name="Lien hypertexte visité" xfId="18" builtinId="9" hidden="1"/>
    <cellStyle name="Lien hypertexte visité" xfId="46" builtinId="9" hidden="1"/>
    <cellStyle name="Lien hypertexte visité" xfId="112" builtinId="9" hidden="1"/>
    <cellStyle name="Lien hypertexte visité" xfId="90" builtinId="9" hidden="1"/>
    <cellStyle name="Lien hypertexte visité" xfId="72" builtinId="9" hidden="1"/>
    <cellStyle name="Lien hypertexte visité" xfId="408" builtinId="9" hidden="1"/>
    <cellStyle name="Lien hypertexte visité" xfId="1684" builtinId="9" hidden="1"/>
    <cellStyle name="Lien hypertexte visité" xfId="998" builtinId="9" hidden="1"/>
    <cellStyle name="Lien hypertexte visité" xfId="1194" builtinId="9" hidden="1"/>
    <cellStyle name="Lien hypertexte visité" xfId="1308" builtinId="9" hidden="1"/>
    <cellStyle name="Lien hypertexte visité" xfId="1284" builtinId="9" hidden="1"/>
    <cellStyle name="Lien hypertexte visité" xfId="1260" builtinId="9" hidden="1"/>
    <cellStyle name="Lien hypertexte visité" xfId="1236" builtinId="9" hidden="1"/>
    <cellStyle name="Lien hypertexte visité" xfId="424" builtinId="9" hidden="1"/>
    <cellStyle name="Lien hypertexte visité" xfId="396" builtinId="9" hidden="1"/>
    <cellStyle name="Lien hypertexte visité" xfId="386" builtinId="9" hidden="1"/>
    <cellStyle name="Lien hypertexte visité" xfId="370" builtinId="9" hidden="1"/>
    <cellStyle name="Lien hypertexte visité" xfId="342" builtinId="9" hidden="1"/>
    <cellStyle name="Lien hypertexte visité" xfId="328" builtinId="9" hidden="1"/>
    <cellStyle name="Lien hypertexte visité" xfId="314" builtinId="9" hidden="1"/>
    <cellStyle name="Lien hypertexte visité" xfId="274" builtinId="9" hidden="1"/>
    <cellStyle name="Lien hypertexte visité" xfId="258" builtinId="9" hidden="1"/>
    <cellStyle name="Lien hypertexte visité" xfId="672" builtinId="9" hidden="1"/>
    <cellStyle name="Lien hypertexte visité" xfId="712" builtinId="9" hidden="1"/>
    <cellStyle name="Lien hypertexte visité" xfId="768" builtinId="9" hidden="1"/>
    <cellStyle name="Lien hypertexte visité" xfId="864" builtinId="9" hidden="1"/>
    <cellStyle name="Lien hypertexte visité" xfId="920" builtinId="9" hidden="1"/>
    <cellStyle name="Lien hypertexte visité" xfId="1056" builtinId="9" hidden="1"/>
    <cellStyle name="Lien hypertexte visité" xfId="1112" builtinId="9" hidden="1"/>
    <cellStyle name="Lien hypertexte visité" xfId="1152" builtinId="9" hidden="1"/>
    <cellStyle name="Lien hypertexte visité" xfId="1256" builtinId="9" hidden="1"/>
    <cellStyle name="Lien hypertexte visité" xfId="1304" builtinId="9" hidden="1"/>
    <cellStyle name="Lien hypertexte visité" xfId="552" builtinId="9" hidden="1"/>
    <cellStyle name="Lien hypertexte visité" xfId="132" builtinId="9" hidden="1"/>
    <cellStyle name="Lien hypertexte visité" xfId="222" builtinId="9" hidden="1"/>
    <cellStyle name="Lien hypertexte visité" xfId="108" builtinId="9" hidden="1"/>
    <cellStyle name="Lien hypertexte visité" xfId="16" builtinId="9" hidden="1"/>
    <cellStyle name="Lien hypertexte visité" xfId="36" builtinId="9" hidden="1"/>
    <cellStyle name="Lien hypertexte visité" xfId="572" builtinId="9" hidden="1"/>
    <cellStyle name="Lien hypertexte visité" xfId="426" builtinId="9" hidden="1"/>
    <cellStyle name="Lien hypertexte visité" xfId="280" builtinId="9" hidden="1"/>
    <cellStyle name="Lien hypertexte visité" xfId="1588" builtinId="9" hidden="1"/>
    <cellStyle name="Lien hypertexte visité" xfId="1418" builtinId="9" hidden="1"/>
    <cellStyle name="Lien hypertexte visité" xfId="1006" builtinId="9" hidden="1"/>
    <cellStyle name="Lien hypertexte visité" xfId="1058" builtinId="9" hidden="1"/>
    <cellStyle name="Lien hypertexte visité" xfId="1106" builtinId="9" hidden="1"/>
    <cellStyle name="Lien hypertexte visité" xfId="1202" builtinId="9" hidden="1"/>
    <cellStyle name="Lien hypertexte visité" xfId="1252" builtinId="9" hidden="1"/>
    <cellStyle name="Lien hypertexte visité" xfId="1182" builtinId="9" hidden="1"/>
    <cellStyle name="Lien hypertexte visité" xfId="754" builtinId="9" hidden="1"/>
    <cellStyle name="Lien hypertexte visité" xfId="802" builtinId="9" hidden="1"/>
    <cellStyle name="Lien hypertexte visité" xfId="892" builtinId="9" hidden="1"/>
    <cellStyle name="Lien hypertexte visité" xfId="666" builtinId="9" hidden="1"/>
    <cellStyle name="Lien hypertexte visité" xfId="708" builtinId="9" hidden="1"/>
    <cellStyle name="Lien hypertexte visité" xfId="614" builtinId="9" hidden="1"/>
    <cellStyle name="Lien hypertexte visité" xfId="620" builtinId="9" hidden="1"/>
    <cellStyle name="Lien hypertexte visité" xfId="652" builtinId="9" hidden="1"/>
    <cellStyle name="Lien hypertexte visité" xfId="638" builtinId="9" hidden="1"/>
    <cellStyle name="Lien hypertexte visité" xfId="714" builtinId="9" hidden="1"/>
    <cellStyle name="Lien hypertexte visité" xfId="716" builtinId="9" hidden="1"/>
    <cellStyle name="Lien hypertexte visité" xfId="700" builtinId="9" hidden="1"/>
    <cellStyle name="Lien hypertexte visité" xfId="684" builtinId="9" hidden="1"/>
    <cellStyle name="Lien hypertexte visité" xfId="910" builtinId="9" hidden="1"/>
    <cellStyle name="Lien hypertexte visité" xfId="898" builtinId="9" hidden="1"/>
    <cellStyle name="Lien hypertexte visité" xfId="866" builtinId="9" hidden="1"/>
    <cellStyle name="Lien hypertexte visité" xfId="852" builtinId="9" hidden="1"/>
    <cellStyle name="Lien hypertexte visité" xfId="836" builtinId="9" hidden="1"/>
    <cellStyle name="Lien hypertexte visité" xfId="806" builtinId="9" hidden="1"/>
    <cellStyle name="Lien hypertexte visité" xfId="790" builtinId="9" hidden="1"/>
    <cellStyle name="Lien hypertexte visité" xfId="746" builtinId="9" hidden="1"/>
    <cellStyle name="Lien hypertexte visité" xfId="1034" builtinId="9" hidden="1"/>
    <cellStyle name="Lien hypertexte visité" xfId="1140" builtinId="9" hidden="1"/>
    <cellStyle name="Lien hypertexte visité" xfId="1370" builtinId="9" hidden="1"/>
    <cellStyle name="Lien hypertexte visité" xfId="1356" builtinId="9" hidden="1"/>
    <cellStyle name="Lien hypertexte visité" xfId="1340" builtinId="9" hidden="1"/>
    <cellStyle name="Lien hypertexte visité" xfId="518" builtinId="9" hidden="1"/>
    <cellStyle name="Lien hypertexte visité" xfId="482" builtinId="9" hidden="1"/>
    <cellStyle name="Lien hypertexte visité" xfId="454" builtinId="9" hidden="1"/>
    <cellStyle name="Lien hypertexte visité" xfId="444" builtinId="9" hidden="1"/>
    <cellStyle name="Lien hypertexte visité" xfId="436" builtinId="9" hidden="1"/>
    <cellStyle name="Lien hypertexte visité" xfId="398" builtinId="9" hidden="1"/>
    <cellStyle name="Lien hypertexte visité" xfId="380" builtinId="9" hidden="1"/>
    <cellStyle name="Lien hypertexte visité" xfId="372" builtinId="9" hidden="1"/>
    <cellStyle name="Lien hypertexte visité" xfId="334" builtinId="9" hidden="1"/>
    <cellStyle name="Lien hypertexte visité" xfId="326" builtinId="9" hidden="1"/>
    <cellStyle name="Lien hypertexte visité" xfId="290" builtinId="9" hidden="1"/>
    <cellStyle name="Lien hypertexte visité" xfId="270" builtinId="9" hidden="1"/>
    <cellStyle name="Lien hypertexte visité" xfId="262" builtinId="9" hidden="1"/>
    <cellStyle name="Lien hypertexte visité" xfId="656" builtinId="9" hidden="1"/>
    <cellStyle name="Lien hypertexte visité" xfId="688" builtinId="9" hidden="1"/>
    <cellStyle name="Lien hypertexte visité" xfId="848" builtinId="9" hidden="1"/>
    <cellStyle name="Lien hypertexte visité" xfId="912" builtinId="9" hidden="1"/>
    <cellStyle name="Lien hypertexte visité" xfId="944" builtinId="9" hidden="1"/>
    <cellStyle name="Lien hypertexte visité" xfId="1040" builtinId="9" hidden="1"/>
    <cellStyle name="Lien hypertexte visité" xfId="1104" builtinId="9" hidden="1"/>
    <cellStyle name="Lien hypertexte visité" xfId="1168" builtinId="9" hidden="1"/>
    <cellStyle name="Lien hypertexte visité" xfId="1232" builtinId="9" hidden="1"/>
    <cellStyle name="Lien hypertexte visité" xfId="1328" builtinId="9" hidden="1"/>
    <cellStyle name="Lien hypertexte visité" xfId="1456" builtinId="9" hidden="1"/>
    <cellStyle name="Lien hypertexte visité" xfId="1488" builtinId="9" hidden="1"/>
    <cellStyle name="Lien hypertexte visité" xfId="1552" builtinId="9" hidden="1"/>
    <cellStyle name="Lien hypertexte visité" xfId="1616" builtinId="9" hidden="1"/>
    <cellStyle name="Lien hypertexte visité" xfId="1680" builtinId="9" hidden="1"/>
    <cellStyle name="Lien hypertexte visité" xfId="1694" builtinId="9" hidden="1"/>
    <cellStyle name="Lien hypertexte visité" xfId="1642" builtinId="9" hidden="1"/>
    <cellStyle name="Lien hypertexte visité" xfId="1620" builtinId="9" hidden="1"/>
    <cellStyle name="Lien hypertexte visité" xfId="1598" builtinId="9" hidden="1"/>
    <cellStyle name="Lien hypertexte visité" xfId="1578" builtinId="9" hidden="1"/>
    <cellStyle name="Lien hypertexte visité" xfId="1556" builtinId="9" hidden="1"/>
    <cellStyle name="Lien hypertexte visité" xfId="1524" builtinId="9" hidden="1"/>
    <cellStyle name="Lien hypertexte visité" xfId="1514" builtinId="9" hidden="1"/>
    <cellStyle name="Lien hypertexte visité" xfId="1470" builtinId="9" hidden="1"/>
    <cellStyle name="Lien hypertexte visité" xfId="1438" builtinId="9" hidden="1"/>
    <cellStyle name="Lien hypertexte visité" xfId="1428" builtinId="9" hidden="1"/>
    <cellStyle name="Lien hypertexte visité" xfId="1396" builtinId="9" hidden="1"/>
    <cellStyle name="Lien hypertexte visité" xfId="1386" builtinId="9" hidden="1"/>
    <cellStyle name="Lien hypertexte visité" xfId="924" builtinId="9" hidden="1"/>
    <cellStyle name="Lien hypertexte visité" xfId="938" builtinId="9" hidden="1"/>
    <cellStyle name="Lien hypertexte visité" xfId="942" builtinId="9" hidden="1"/>
    <cellStyle name="Lien hypertexte visité" xfId="954" builtinId="9" hidden="1"/>
    <cellStyle name="Lien hypertexte visité" xfId="956" builtinId="9" hidden="1"/>
    <cellStyle name="Lien hypertexte visité" xfId="962" builtinId="9" hidden="1"/>
    <cellStyle name="Lien hypertexte visité" xfId="974" builtinId="9" hidden="1"/>
    <cellStyle name="Lien hypertexte visité" xfId="978" builtinId="9" hidden="1"/>
    <cellStyle name="Lien hypertexte visité" xfId="980" builtinId="9" hidden="1"/>
    <cellStyle name="Lien hypertexte visité" xfId="994" builtinId="9" hidden="1"/>
    <cellStyle name="Lien hypertexte visité" xfId="1002" builtinId="9" hidden="1"/>
    <cellStyle name="Lien hypertexte visité" xfId="1010" builtinId="9" hidden="1"/>
    <cellStyle name="Lien hypertexte visité" xfId="1014" builtinId="9" hidden="1"/>
    <cellStyle name="Lien hypertexte visité" xfId="1018" builtinId="9" hidden="1"/>
    <cellStyle name="Lien hypertexte visité" xfId="1026" builtinId="9" hidden="1"/>
    <cellStyle name="Lien hypertexte visité" xfId="1036" builtinId="9" hidden="1"/>
    <cellStyle name="Lien hypertexte visité" xfId="1046" builtinId="9" hidden="1"/>
    <cellStyle name="Lien hypertexte visité" xfId="1050" builtinId="9" hidden="1"/>
    <cellStyle name="Lien hypertexte visité" xfId="1052" builtinId="9" hidden="1"/>
    <cellStyle name="Lien hypertexte visité" xfId="1066" builtinId="9" hidden="1"/>
    <cellStyle name="Lien hypertexte visité" xfId="1070" builtinId="9" hidden="1"/>
    <cellStyle name="Lien hypertexte visité" xfId="1074" builtinId="9" hidden="1"/>
    <cellStyle name="Lien hypertexte visité" xfId="1084" builtinId="9" hidden="1"/>
    <cellStyle name="Lien hypertexte visité" xfId="1090" builtinId="9" hidden="1"/>
    <cellStyle name="Lien hypertexte visité" xfId="1102" builtinId="9" hidden="1"/>
    <cellStyle name="Lien hypertexte visité" xfId="1108" builtinId="9" hidden="1"/>
    <cellStyle name="Lien hypertexte visité" xfId="1110" builtinId="9" hidden="1"/>
    <cellStyle name="Lien hypertexte visité" xfId="1122" builtinId="9" hidden="1"/>
    <cellStyle name="Lien hypertexte visité" xfId="1124" builtinId="9" hidden="1"/>
    <cellStyle name="Lien hypertexte visité" xfId="1132" builtinId="9" hidden="1"/>
    <cellStyle name="Lien hypertexte visité" xfId="1146" builtinId="9" hidden="1"/>
    <cellStyle name="Lien hypertexte visité" xfId="1148" builtinId="9" hidden="1"/>
    <cellStyle name="Lien hypertexte visité" xfId="1156" builtinId="9" hidden="1"/>
    <cellStyle name="Lien hypertexte visité" xfId="1164" builtinId="9" hidden="1"/>
    <cellStyle name="Lien hypertexte visité" xfId="1170" builtinId="9" hidden="1"/>
    <cellStyle name="Lien hypertexte visité" xfId="1174" builtinId="9" hidden="1"/>
    <cellStyle name="Lien hypertexte visité" xfId="1180" builtinId="9" hidden="1"/>
    <cellStyle name="Lien hypertexte visité" xfId="1196" builtinId="9" hidden="1"/>
    <cellStyle name="Lien hypertexte visité" xfId="1198" builtinId="9" hidden="1"/>
    <cellStyle name="Lien hypertexte visité" xfId="1206" builtinId="9" hidden="1"/>
    <cellStyle name="Lien hypertexte visité" xfId="1212" builtinId="9" hidden="1"/>
    <cellStyle name="Lien hypertexte visité" xfId="1218" builtinId="9" hidden="1"/>
    <cellStyle name="Lien hypertexte visité" xfId="1220" builtinId="9" hidden="1"/>
    <cellStyle name="Lien hypertexte visité" xfId="1234" builtinId="9" hidden="1"/>
    <cellStyle name="Lien hypertexte visité" xfId="1186" builtinId="9" hidden="1"/>
    <cellStyle name="Lien hypertexte visité" xfId="1138" builtinId="9" hidden="1"/>
    <cellStyle name="Lien hypertexte visité" xfId="1086" builtinId="9" hidden="1"/>
    <cellStyle name="Lien hypertexte visité" xfId="1038" builtinId="9" hidden="1"/>
    <cellStyle name="Lien hypertexte visité" xfId="988" builtinId="9" hidden="1"/>
    <cellStyle name="Lien hypertexte visité" xfId="940" builtinId="9" hidden="1"/>
    <cellStyle name="Lien hypertexte visité" xfId="1492" builtinId="9" hidden="1"/>
    <cellStyle name="Lien hypertexte visité" xfId="1652" builtinId="9" hidden="1"/>
    <cellStyle name="Lien hypertexte visité" xfId="1296" builtinId="9" hidden="1"/>
    <cellStyle name="Lien hypertexte visité" xfId="784" builtinId="9" hidden="1"/>
    <cellStyle name="Lien hypertexte visité" xfId="344" builtinId="9" hidden="1"/>
    <cellStyle name="Lien hypertexte visité" xfId="490" builtinId="9" hidden="1"/>
    <cellStyle name="Lien hypertexte visité" xfId="774" builtinId="9" hidden="1"/>
    <cellStyle name="Lien hypertexte visité" xfId="842" builtinId="9" hidden="1"/>
    <cellStyle name="Lien hypertexte visité" xfId="594" builtinId="9" hidden="1"/>
    <cellStyle name="Lien hypertexte visité" xfId="1300" builtinId="9" hidden="1"/>
    <cellStyle name="Lien hypertexte visité" xfId="1520" builtinId="9" hidden="1"/>
    <cellStyle name="Lien hypertexte visité" xfId="176" builtinId="9" hidden="1"/>
    <cellStyle name="Lien hypertexte visité" xfId="960" builtinId="9" hidden="1"/>
    <cellStyle name="Lien hypertexte visité" xfId="286" builtinId="9" hidden="1"/>
    <cellStyle name="Lien hypertexte visité" xfId="440" builtinId="9" hidden="1"/>
    <cellStyle name="Lien hypertexte visité" xfId="1650" builtinId="9" hidden="1"/>
    <cellStyle name="Lien hypertexte visité" xfId="1594" builtinId="9" hidden="1"/>
    <cellStyle name="Lien hypertexte visité" xfId="1476" builtinId="9" hidden="1"/>
    <cellStyle name="Lien hypertexte visité" xfId="1490" builtinId="9" hidden="1"/>
    <cellStyle name="Lien hypertexte visité" xfId="1494" builtinId="9" hidden="1"/>
    <cellStyle name="Lien hypertexte visité" xfId="1506" builtinId="9" hidden="1"/>
    <cellStyle name="Lien hypertexte visité" xfId="1508" builtinId="9" hidden="1"/>
    <cellStyle name="Lien hypertexte visité" xfId="1510" builtinId="9" hidden="1"/>
    <cellStyle name="Lien hypertexte visité" xfId="1522" builtinId="9" hidden="1"/>
    <cellStyle name="Lien hypertexte visité" xfId="1526" builtinId="9" hidden="1"/>
    <cellStyle name="Lien hypertexte visité" xfId="1532" builtinId="9" hidden="1"/>
    <cellStyle name="Lien hypertexte visité" xfId="1542" builtinId="9" hidden="1"/>
    <cellStyle name="Lien hypertexte visité" xfId="1550" builtinId="9" hidden="1"/>
    <cellStyle name="Lien hypertexte visité" xfId="1554" builtinId="9" hidden="1"/>
    <cellStyle name="Lien hypertexte visité" xfId="1564" builtinId="9" hidden="1"/>
    <cellStyle name="Lien hypertexte visité" xfId="1570" builtinId="9" hidden="1"/>
    <cellStyle name="Lien hypertexte visité" xfId="1572" builtinId="9" hidden="1"/>
    <cellStyle name="Lien hypertexte visité" xfId="1420" builtinId="9" hidden="1"/>
    <cellStyle name="Lien hypertexte visité" xfId="1434" builtinId="9" hidden="1"/>
    <cellStyle name="Lien hypertexte visité" xfId="1442" builtinId="9" hidden="1"/>
    <cellStyle name="Lien hypertexte visité" xfId="1446" builtinId="9" hidden="1"/>
    <cellStyle name="Lien hypertexte visité" xfId="1452" builtinId="9" hidden="1"/>
    <cellStyle name="Lien hypertexte visité" xfId="1462" builtinId="9" hidden="1"/>
    <cellStyle name="Lien hypertexte visité" xfId="1466" builtinId="9" hidden="1"/>
    <cellStyle name="Lien hypertexte visité" xfId="1468" builtinId="9" hidden="1"/>
    <cellStyle name="Lien hypertexte visité" xfId="1398" builtinId="9" hidden="1"/>
    <cellStyle name="Lien hypertexte visité" xfId="1402" builtinId="9" hidden="1"/>
    <cellStyle name="Lien hypertexte visité" xfId="1410" builtinId="9" hidden="1"/>
    <cellStyle name="Lien hypertexte visité" xfId="1414" builtinId="9" hidden="1"/>
    <cellStyle name="Lien hypertexte visité" xfId="1388" builtinId="9" hidden="1"/>
    <cellStyle name="Lien hypertexte visité" xfId="1390" builtinId="9" hidden="1"/>
    <cellStyle name="Lien hypertexte visité" xfId="1372" builtinId="9" hidden="1"/>
    <cellStyle name="Lien hypertexte visité" xfId="1380" builtinId="9" hidden="1"/>
    <cellStyle name="Lien hypertexte visité" xfId="1422" builtinId="9" hidden="1"/>
    <cellStyle name="Lien hypertexte visité" xfId="1458" builtinId="9" hidden="1"/>
    <cellStyle name="Lien hypertexte visité" xfId="1444" builtinId="9" hidden="1"/>
    <cellStyle name="Lien hypertexte visité" xfId="1574" builtinId="9" hidden="1"/>
    <cellStyle name="Lien hypertexte visité" xfId="1562" builtinId="9" hidden="1"/>
    <cellStyle name="Lien hypertexte visité" xfId="1548" builtinId="9" hidden="1"/>
    <cellStyle name="Lien hypertexte visité" xfId="1516" builtinId="9" hidden="1"/>
    <cellStyle name="Lien hypertexte visité" xfId="1500" builtinId="9" hidden="1"/>
    <cellStyle name="Lien hypertexte visité" xfId="1486" builtinId="9" hidden="1"/>
    <cellStyle name="Lien hypertexte visité" xfId="1504" builtinId="9" hidden="1"/>
    <cellStyle name="Lien hypertexte visité" xfId="1384" builtinId="9" hidden="1"/>
    <cellStyle name="Lien hypertexte visité" xfId="1432" builtinId="9" hidden="1"/>
    <cellStyle name="Lien hypertexte visité" xfId="1528" builtinId="9" hidden="1"/>
    <cellStyle name="Lien hypertexte visité" xfId="1568" builtinId="9" hidden="1"/>
    <cellStyle name="Lien hypertexte visité" xfId="1608" builtinId="9" hidden="1"/>
    <cellStyle name="Lien hypertexte visité" xfId="1682" builtinId="9" hidden="1"/>
    <cellStyle name="Lien hypertexte visité" xfId="1668" builtinId="9" hidden="1"/>
    <cellStyle name="Lien hypertexte visité" xfId="1636" builtinId="9" hidden="1"/>
    <cellStyle name="Lien hypertexte visité" xfId="1622" builtinId="9" hidden="1"/>
    <cellStyle name="Lien hypertexte visité" xfId="1606" builtinId="9" hidden="1"/>
    <cellStyle name="Lien hypertexte visité" xfId="1336" builtinId="9" hidden="1"/>
    <cellStyle name="Lien hypertexte visité" xfId="992" builtinId="9" hidden="1"/>
    <cellStyle name="Lien hypertexte visité" xfId="648" builtinId="9" hidden="1"/>
    <cellStyle name="Lien hypertexte visité" xfId="430" builtinId="9" hidden="1"/>
    <cellStyle name="Lien hypertexte visité" xfId="530" builtinId="9" hidden="1"/>
    <cellStyle name="Lien hypertexte visité" xfId="538" builtinId="9" hidden="1"/>
    <cellStyle name="Lien hypertexte visité" xfId="510" builtinId="9" hidden="1"/>
    <cellStyle name="Lien hypertexte visité" xfId="494" builtinId="9" hidden="1"/>
    <cellStyle name="Lien hypertexte visité" xfId="484" builtinId="9" hidden="1"/>
    <cellStyle name="Lien hypertexte visité" xfId="452" builtinId="9" hidden="1"/>
    <cellStyle name="Lien hypertexte visité" xfId="1698" builtinId="9" hidden="1"/>
    <cellStyle name="Lien hypertexte visité" xfId="1382" builtinId="9" hidden="1"/>
    <cellStyle name="Lien hypertexte visité" xfId="1426" builtinId="9" hidden="1"/>
    <cellStyle name="Lien hypertexte visité" xfId="1484" builtinId="9" hidden="1"/>
    <cellStyle name="Lien hypertexte visité" xfId="1626" builtinId="9" hidden="1"/>
    <cellStyle name="Lien hypertexte visité" xfId="1628" builtinId="9" hidden="1"/>
    <cellStyle name="Lien hypertexte visité" xfId="1634" builtinId="9" hidden="1"/>
    <cellStyle name="Lien hypertexte visité" xfId="1644" builtinId="9" hidden="1"/>
    <cellStyle name="Lien hypertexte visité" xfId="1646" builtinId="9" hidden="1"/>
    <cellStyle name="Lien hypertexte visité" xfId="1658" builtinId="9" hidden="1"/>
    <cellStyle name="Lien hypertexte visité" xfId="1666" builtinId="9" hidden="1"/>
    <cellStyle name="Lien hypertexte visité" xfId="1670" builtinId="9" hidden="1"/>
    <cellStyle name="Lien hypertexte visité" xfId="1676" builtinId="9" hidden="1"/>
    <cellStyle name="Lien hypertexte visité" xfId="1686" builtinId="9" hidden="1"/>
    <cellStyle name="Lien hypertexte visité" xfId="1690" builtinId="9" hidden="1"/>
    <cellStyle name="Lien hypertexte visité" xfId="1692" builtinId="9" hidden="1"/>
    <cellStyle name="Lien hypertexte visité" xfId="1688" builtinId="9" hidden="1"/>
    <cellStyle name="Lien hypertexte visité" xfId="1664" builtinId="9" hidden="1"/>
    <cellStyle name="Lien hypertexte visité" xfId="1640" builtinId="9" hidden="1"/>
    <cellStyle name="Lien hypertexte visité" xfId="1624" builtinId="9" hidden="1"/>
    <cellStyle name="Lien hypertexte visité" xfId="1600" builtinId="9" hidden="1"/>
    <cellStyle name="Lien hypertexte visité" xfId="1560" builtinId="9" hidden="1"/>
    <cellStyle name="Lien hypertexte visité" xfId="1544" builtinId="9" hidden="1"/>
    <cellStyle name="Lien hypertexte visité" xfId="1536" builtinId="9" hidden="1"/>
    <cellStyle name="Lien hypertexte visité" xfId="1496" builtinId="9" hidden="1"/>
    <cellStyle name="Lien hypertexte visité" xfId="1480" builtinId="9" hidden="1"/>
    <cellStyle name="Lien hypertexte visité" xfId="1464" builtinId="9" hidden="1"/>
    <cellStyle name="Lien hypertexte visité" xfId="1440" builtinId="9" hidden="1"/>
    <cellStyle name="Lien hypertexte visité" xfId="1416" builtinId="9" hidden="1"/>
    <cellStyle name="Lien hypertexte visité" xfId="1408" builtinId="9" hidden="1"/>
    <cellStyle name="Lien hypertexte visité" xfId="1376" builtinId="9" hidden="1"/>
    <cellStyle name="Lien hypertexte visité" xfId="1368" builtinId="9" hidden="1"/>
    <cellStyle name="Lien hypertexte visité" xfId="1352" builtinId="9" hidden="1"/>
    <cellStyle name="Lien hypertexte visité" xfId="1592" builtinId="9" hidden="1"/>
    <cellStyle name="Lien hypertexte visité" xfId="358" builtinId="9" hidden="1"/>
    <cellStyle name="Lien hypertexte visité" xfId="310" builtinId="9" hidden="1"/>
    <cellStyle name="Lien hypertexte visité" xfId="260" builtinId="9" hidden="1"/>
    <cellStyle name="Lien hypertexte visité" xfId="736" builtinId="9" hidden="1"/>
    <cellStyle name="Lien hypertexte visité" xfId="824" builtinId="9" hidden="1"/>
    <cellStyle name="Lien hypertexte visité" xfId="1080" builtinId="9" hidden="1"/>
    <cellStyle name="Lien hypertexte visité" xfId="1160" builtinId="9" hidden="1"/>
    <cellStyle name="Lien hypertexte visité" xfId="1248" builtinId="9" hidden="1"/>
    <cellStyle name="Lien hypertexte visité" xfId="1582" builtinId="9" hidden="1"/>
    <cellStyle name="Lien hypertexte visité" xfId="1586" builtinId="9" hidden="1"/>
    <cellStyle name="Lien hypertexte visité" xfId="1596" builtinId="9" hidden="1"/>
    <cellStyle name="Lien hypertexte visité" xfId="1604" builtinId="9" hidden="1"/>
    <cellStyle name="Lien hypertexte visité" xfId="1612" builtinId="9" hidden="1"/>
    <cellStyle name="Lien hypertexte visité" xfId="1614" builtinId="9" hidden="1"/>
    <cellStyle name="Lien hypertexte visité" xfId="382" builtinId="9" hidden="1"/>
    <cellStyle name="Lien hypertexte visité" xfId="524" builtinId="9" hidden="1"/>
    <cellStyle name="Lien hypertexte visité" xfId="534" builtinId="9" hidden="1"/>
    <cellStyle name="Lien hypertexte visité" xfId="540" builtinId="9" hidden="1"/>
    <cellStyle name="Lien hypertexte visité" xfId="542" builtinId="9" hidden="1"/>
    <cellStyle name="Lien hypertexte visité" xfId="504" builtinId="9" hidden="1"/>
    <cellStyle name="Lien hypertexte visité" xfId="478" builtinId="9" hidden="1"/>
    <cellStyle name="Lien hypertexte visité" xfId="456" builtinId="9" hidden="1"/>
    <cellStyle name="Lien hypertexte visité" xfId="506" builtinId="9" hidden="1"/>
    <cellStyle name="Lien hypertexte visité" xfId="516" builtinId="9" hidden="1"/>
    <cellStyle name="Lien hypertexte visité" xfId="520" builtinId="9" hidden="1"/>
    <cellStyle name="Lien hypertexte visité" xfId="498" builtinId="9" hidden="1"/>
    <cellStyle name="Lien hypertexte visité" xfId="502" builtinId="9" hidden="1"/>
    <cellStyle name="Lien hypertexte visité" xfId="488" builtinId="9" hidden="1"/>
    <cellStyle name="Milliers" xfId="1" builtinId="3"/>
    <cellStyle name="Monétaire" xfId="1699" builtinId="4"/>
    <cellStyle name="Monétaire 2" xfId="1701" xr:uid="{25BA1DBC-B9AB-4D68-BB65-8CB3161A5F30}"/>
    <cellStyle name="Normal" xfId="0" builtinId="0"/>
    <cellStyle name="Pourcentage" xfId="2" builtinId="5"/>
    <cellStyle name="Style 1" xfId="1700" xr:uid="{F1E08A54-F70C-4FBA-B7A8-7D08B98194AF}"/>
  </cellStyles>
  <dxfs count="479">
    <dxf>
      <fill>
        <patternFill>
          <bgColor rgb="FFE4EC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8"/>
      </font>
    </dxf>
    <dxf>
      <font>
        <b/>
        <i val="0"/>
        <color theme="8"/>
      </font>
    </dxf>
    <dxf>
      <font>
        <b/>
        <i val="0"/>
        <color theme="8"/>
      </font>
    </dxf>
    <dxf>
      <font>
        <b/>
        <i val="0"/>
        <color theme="8"/>
      </font>
    </dxf>
    <dxf>
      <font>
        <color theme="9" tint="-0.24994659260841701"/>
      </font>
      <fill>
        <patternFill patternType="none">
          <bgColor auto="1"/>
        </patternFill>
      </fill>
    </dxf>
    <dxf>
      <font>
        <b/>
        <i val="0"/>
        <color theme="8"/>
      </font>
    </dxf>
    <dxf>
      <font>
        <b/>
        <i val="0"/>
        <color theme="8"/>
      </font>
    </dxf>
    <dxf>
      <font>
        <color theme="9" tint="-0.24994659260841701"/>
      </font>
      <fill>
        <patternFill patternType="none">
          <bgColor auto="1"/>
        </patternFill>
      </fill>
    </dxf>
    <dxf>
      <font>
        <b/>
        <i val="0"/>
        <color theme="8"/>
      </font>
    </dxf>
    <dxf>
      <font>
        <color theme="9" tint="-0.24994659260841701"/>
      </font>
      <fill>
        <patternFill patternType="none">
          <bgColor auto="1"/>
        </patternFill>
      </fill>
    </dxf>
    <dxf>
      <font>
        <b/>
        <i val="0"/>
        <color theme="8"/>
      </font>
    </dxf>
    <dxf>
      <font>
        <strike val="0"/>
        <outline val="0"/>
        <shadow val="0"/>
        <vertAlign val="baseline"/>
        <name val="Garamond"/>
        <family val="1"/>
        <scheme val="none"/>
      </font>
    </dxf>
    <dxf>
      <numFmt numFmtId="170" formatCode="0.0"/>
    </dxf>
    <dxf>
      <font>
        <strike val="0"/>
        <outline val="0"/>
        <shadow val="0"/>
        <vertAlign val="baseline"/>
        <name val="Garamond"/>
        <family val="1"/>
        <scheme val="none"/>
      </font>
    </dxf>
    <dxf>
      <font>
        <strike val="0"/>
        <outline val="0"/>
        <shadow val="0"/>
        <vertAlign val="baseline"/>
        <name val="Garamond"/>
        <family val="1"/>
        <scheme val="none"/>
      </font>
    </dxf>
    <dxf>
      <font>
        <strike val="0"/>
        <outline val="0"/>
        <shadow val="0"/>
        <vertAlign val="baseline"/>
        <name val="Garamond"/>
        <family val="1"/>
        <scheme val="none"/>
      </font>
      <alignment horizontal="center" vertical="bottom" textRotation="0" wrapText="0" indent="0" justifyLastLine="0" shrinkToFit="0" readingOrder="0"/>
    </dxf>
    <dxf>
      <font>
        <strike val="0"/>
        <outline val="0"/>
        <shadow val="0"/>
        <vertAlign val="baseline"/>
        <name val="Garamond"/>
        <family val="1"/>
        <scheme val="none"/>
      </font>
      <alignment horizontal="center" vertical="bottom" textRotation="0" wrapText="0" indent="0" justifyLastLine="0" shrinkToFit="0" readingOrder="0"/>
    </dxf>
    <dxf>
      <font>
        <strike val="0"/>
        <outline val="0"/>
        <shadow val="0"/>
        <vertAlign val="baseline"/>
        <name val="Garamond"/>
        <family val="1"/>
        <scheme val="none"/>
      </font>
      <numFmt numFmtId="0" formatCode="General"/>
      <alignment horizontal="center" vertical="bottom" textRotation="0" wrapText="0" indent="0" justifyLastLine="0" shrinkToFit="0" readingOrder="0"/>
    </dxf>
    <dxf>
      <font>
        <strike val="0"/>
        <outline val="0"/>
        <shadow val="0"/>
        <vertAlign val="baseline"/>
        <name val="Garamond"/>
        <family val="1"/>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0" formatCode="General"/>
      <alignment horizontal="left" vertical="bottom" textRotation="0" wrapText="0" indent="0" justifyLastLine="0" shrinkToFit="0" readingOrder="0"/>
    </dxf>
    <dxf>
      <font>
        <strike val="0"/>
        <outline val="0"/>
        <shadow val="0"/>
        <vertAlign val="baseline"/>
        <name val="Garamond"/>
        <family val="1"/>
        <scheme val="none"/>
      </font>
      <numFmt numFmtId="0" formatCode="General"/>
      <alignment horizontal="left" vertical="bottom" textRotation="0" wrapText="0" indent="0" justifyLastLine="0" shrinkToFit="0" readingOrder="0"/>
    </dxf>
    <dxf>
      <font>
        <name val="Garamond"/>
        <family val="1"/>
        <scheme val="none"/>
      </font>
      <numFmt numFmtId="0" formatCode="General"/>
      <alignment horizontal="center" vertical="bottom" textRotation="0" wrapText="0" indent="0" justifyLastLine="0" shrinkToFit="0" readingOrder="0"/>
    </dxf>
    <dxf>
      <font>
        <strike val="0"/>
        <outline val="0"/>
        <shadow val="0"/>
        <vertAlign val="baseline"/>
        <name val="Garamond"/>
        <family val="1"/>
        <scheme val="none"/>
      </font>
      <numFmt numFmtId="0" formatCode="General"/>
      <alignment horizontal="center" vertical="bottom" textRotation="0" wrapText="0" indent="0" justifyLastLine="0" shrinkToFit="0" readingOrder="0"/>
    </dxf>
    <dxf>
      <font>
        <strike val="0"/>
        <outline val="0"/>
        <shadow val="0"/>
        <vertAlign val="baseline"/>
        <name val="Garamond"/>
        <family val="1"/>
        <scheme val="none"/>
      </font>
      <numFmt numFmtId="0" formatCode="General"/>
      <alignment horizontal="center" vertical="bottom" textRotation="0" wrapText="0" indent="0" justifyLastLine="0" shrinkToFit="0" readingOrder="0"/>
    </dxf>
    <dxf>
      <font>
        <strike val="0"/>
        <outline val="0"/>
        <shadow val="0"/>
        <vertAlign val="baseline"/>
        <name val="Garamond"/>
        <family val="1"/>
        <scheme val="none"/>
      </font>
    </dxf>
    <dxf>
      <font>
        <b/>
        <i val="0"/>
        <strike val="0"/>
        <condense val="0"/>
        <extend val="0"/>
        <outline val="0"/>
        <shadow val="0"/>
        <u val="none"/>
        <vertAlign val="baseline"/>
        <sz val="12"/>
        <color theme="0"/>
        <name val="Garamond"/>
        <family val="1"/>
        <scheme val="none"/>
      </font>
      <fill>
        <patternFill patternType="solid">
          <fgColor indexed="64"/>
          <bgColor theme="4"/>
        </patternFill>
      </fill>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1"/>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167"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172" formatCode="_([$€-2]\ * #,##0_);_([$€-2]\ * \(#,##0\);_([$€-2]\ *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4" formatCode="#,##0.0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numFmt numFmtId="172" formatCode="_([$€-2]\ * #,##0_);_([$€-2]\ * \(#,##0\);_([$€-2]\ *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strike val="0"/>
        <outline val="0"/>
        <shadow val="0"/>
        <vertAlign val="baseline"/>
        <name val="Garamond"/>
        <family val="1"/>
        <scheme val="none"/>
      </font>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val="0"/>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alignment horizontal="left" vertical="bottom" textRotation="0" wrapText="0" relativeIndent="1" justifyLastLine="0" shrinkToFit="0" readingOrder="0"/>
    </dxf>
    <dxf>
      <font>
        <b/>
        <i val="0"/>
        <strike val="0"/>
        <condense val="0"/>
        <extend val="0"/>
        <outline val="0"/>
        <shadow val="0"/>
        <u val="none"/>
        <vertAlign val="baseline"/>
        <sz val="12"/>
        <color theme="1"/>
        <name val="Garamond"/>
        <family val="1"/>
        <scheme val="none"/>
      </font>
      <alignment horizontal="center" vertical="top" textRotation="0" wrapText="0" indent="0" justifyLastLine="0" shrinkToFit="0" readingOrder="0"/>
    </dxf>
    <dxf>
      <font>
        <b val="0"/>
        <i val="0"/>
        <strike val="0"/>
        <condense val="0"/>
        <extend val="0"/>
        <outline val="0"/>
        <shadow val="0"/>
        <u val="none"/>
        <vertAlign val="baseline"/>
        <sz val="12"/>
        <color rgb="FF000000"/>
        <name val="Garamond"/>
        <family val="1"/>
        <scheme val="none"/>
      </font>
      <fill>
        <patternFill patternType="solid">
          <fgColor indexed="64"/>
          <bgColor rgb="FFD9D9D9"/>
        </patternFill>
      </fill>
      <alignment horizontal="left" vertical="bottom" textRotation="0" wrapText="0" indent="2" justifyLastLine="0" shrinkToFit="0" readingOrder="0"/>
    </dxf>
    <dxf>
      <font>
        <b val="0"/>
        <i val="0"/>
        <strike val="0"/>
        <condense val="0"/>
        <extend val="0"/>
        <outline val="0"/>
        <shadow val="0"/>
        <u val="none"/>
        <vertAlign val="baseline"/>
        <sz val="12"/>
        <color theme="1"/>
        <name val="Garamond"/>
        <family val="1"/>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Garamond"/>
        <family val="1"/>
        <scheme val="none"/>
      </font>
    </dxf>
    <dxf>
      <font>
        <b/>
        <i val="0"/>
        <strike val="0"/>
        <condense val="0"/>
        <extend val="0"/>
        <outline val="0"/>
        <shadow val="0"/>
        <u val="none"/>
        <vertAlign val="baseline"/>
        <sz val="12"/>
        <color theme="1"/>
        <name val="Garamond"/>
        <family val="1"/>
        <scheme val="none"/>
      </font>
      <numFmt numFmtId="3" formatCode="#,##0"/>
      <alignment horizontal="center" vertical="bottom" textRotation="0" wrapText="0" indent="0" justifyLastLine="0" shrinkToFit="0" readingOrder="0"/>
    </dxf>
    <dxf>
      <font>
        <strike val="0"/>
        <outline val="0"/>
        <shadow val="0"/>
        <vertAlign val="baseline"/>
        <name val="Garamond"/>
        <family val="1"/>
        <scheme val="none"/>
      </font>
    </dxf>
    <dxf>
      <font>
        <strike val="0"/>
        <outline val="0"/>
        <shadow val="0"/>
        <vertAlign val="baseline"/>
        <name val="Garamond"/>
        <family val="1"/>
        <scheme val="none"/>
      </font>
    </dxf>
    <dxf>
      <font>
        <strike val="0"/>
        <outline val="0"/>
        <shadow val="0"/>
        <vertAlign val="baseline"/>
        <name val="Garamond"/>
        <family val="1"/>
        <scheme val="none"/>
      </font>
      <alignment horizontal="center" vertical="center" textRotation="0" indent="0" justifyLastLine="0" shrinkToFit="0" readingOrder="0"/>
    </dxf>
    <dxf>
      <numFmt numFmtId="0" formatCode="General"/>
    </dxf>
    <dxf>
      <numFmt numFmtId="0" formatCode="General"/>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border diagonalUp="0" diagonalDown="0" outline="0">
        <left/>
        <right style="thin">
          <color indexed="64"/>
        </right>
        <top/>
        <bottom/>
      </border>
    </dxf>
    <dxf>
      <font>
        <strike val="0"/>
        <outline val="0"/>
        <shadow val="0"/>
        <vertAlign val="baseline"/>
        <name val="Garamond"/>
        <family val="1"/>
        <scheme val="none"/>
      </font>
      <numFmt numFmtId="13" formatCode="0%"/>
      <alignment horizontal="center" vertical="center" textRotation="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indent="0" justifyLastLine="0" shrinkToFit="0" readingOrder="0"/>
    </dxf>
    <dxf>
      <font>
        <b/>
        <i val="0"/>
        <strike val="0"/>
        <condense val="0"/>
        <extend val="0"/>
        <outline val="0"/>
        <shadow val="0"/>
        <u val="none"/>
        <vertAlign val="baseline"/>
        <sz val="14"/>
        <color theme="4"/>
        <name val="Garamond"/>
        <family val="1"/>
        <scheme val="none"/>
      </font>
      <fill>
        <patternFill patternType="solid">
          <fgColor indexed="64"/>
          <bgColor theme="3" tint="0.39997558519241921"/>
        </patternFill>
      </fill>
      <alignment horizontal="left" vertical="center" textRotation="0" wrapText="0" indent="0" justifyLastLine="0" shrinkToFit="0" readingOrder="0"/>
    </dxf>
    <dxf>
      <font>
        <strike val="0"/>
        <outline val="0"/>
        <shadow val="0"/>
        <vertAlign val="baseline"/>
        <name val="Garamond"/>
        <family val="1"/>
        <scheme val="none"/>
      </font>
      <alignment horizontal="left" vertical="center" textRotation="0" wrapText="0" indent="0" justifyLastLine="0" shrinkToFit="0" readingOrder="0"/>
    </dxf>
    <dxf>
      <font>
        <b/>
        <i val="0"/>
        <strike val="0"/>
        <condense val="0"/>
        <extend val="0"/>
        <outline val="0"/>
        <shadow val="0"/>
        <u val="none"/>
        <vertAlign val="baseline"/>
        <sz val="14"/>
        <color theme="4"/>
        <name val="Garamond"/>
        <family val="1"/>
        <scheme val="none"/>
      </font>
      <fill>
        <patternFill patternType="solid">
          <fgColor indexed="64"/>
          <bgColor theme="3" tint="0.39997558519241921"/>
        </patternFill>
      </fill>
      <alignment horizontal="right"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general" vertical="center" textRotation="0" wrapText="0" indent="0" justifyLastLine="0" shrinkToFit="0" readingOrder="0"/>
    </dxf>
    <dxf>
      <font>
        <strike val="0"/>
        <outline val="0"/>
        <shadow val="0"/>
        <vertAlign val="baseline"/>
        <name val="Garamond"/>
        <family val="1"/>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2"/>
        <color theme="1"/>
        <name val="Garamond"/>
        <family val="1"/>
        <scheme val="none"/>
      </font>
      <fill>
        <patternFill patternType="solid">
          <fgColor indexed="64"/>
          <bgColor theme="3" tint="0.39997558519241921"/>
        </patternFill>
      </fill>
      <alignment horizontal="general" vertical="center" textRotation="0" wrapText="0" indent="0" justifyLastLine="0" shrinkToFit="0" readingOrder="0"/>
    </dxf>
    <dxf>
      <font>
        <strike val="0"/>
        <outline val="0"/>
        <shadow val="0"/>
        <vertAlign val="baseline"/>
        <name val="Garamond"/>
        <family val="1"/>
        <scheme val="none"/>
      </font>
      <numFmt numFmtId="0" formatCode="General"/>
      <alignment vertical="center" textRotation="0" indent="0" justifyLastLine="0" shrinkToFit="0" readingOrder="0"/>
    </dxf>
    <dxf>
      <font>
        <strike val="0"/>
        <outline val="0"/>
        <shadow val="0"/>
        <vertAlign val="baseline"/>
        <name val="Garamond"/>
        <family val="1"/>
        <scheme val="none"/>
      </font>
      <fill>
        <patternFill patternType="solid">
          <fgColor indexed="64"/>
          <bgColor theme="3" tint="0.39997558519241921"/>
        </patternFill>
      </fill>
    </dxf>
    <dxf>
      <font>
        <strike val="0"/>
        <outline val="0"/>
        <shadow val="0"/>
        <vertAlign val="baseline"/>
        <name val="Garamond"/>
        <family val="1"/>
        <scheme val="none"/>
      </font>
      <alignment vertical="center" textRotation="0" indent="0" justifyLastLine="0" shrinkToFit="0" readingOrder="0"/>
    </dxf>
    <dxf>
      <font>
        <b/>
        <i val="0"/>
        <strike val="0"/>
        <condense val="0"/>
        <extend val="0"/>
        <outline val="0"/>
        <shadow val="0"/>
        <u val="none"/>
        <vertAlign val="baseline"/>
        <sz val="12"/>
        <color theme="1"/>
        <name val="Garamond"/>
        <family val="1"/>
        <scheme val="none"/>
      </font>
      <alignment horizontal="center" vertical="center" textRotation="0" wrapText="1"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numFmt numFmtId="0" formatCode="General"/>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166" formatCode="_-* #,##0\ _€_-;\-* #,##0\ _€_-;_-* &quot;-&quot;??\ _€_-;_-@_-"/>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numFmt numFmtId="165" formatCode="_-* #,##0.00\ _€_-;\-* #,##0.00\ _€_-;_-* &quot;-&quot;??\ _€_-;_-@_-"/>
      <alignment horizontal="right" textRotation="0" wrapTex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dxf>
    <dxf>
      <font>
        <strike val="0"/>
        <outline val="0"/>
        <shadow val="0"/>
        <vertAlign val="baseline"/>
        <name val="Garamond"/>
        <family val="1"/>
        <scheme val="none"/>
      </font>
      <alignment horizontal="general" vertical="bottom"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dxf>
    <dxf>
      <font>
        <strike val="0"/>
        <outline val="0"/>
        <shadow val="0"/>
        <vertAlign val="baseline"/>
        <name val="Garamond"/>
        <family val="1"/>
        <scheme val="none"/>
      </font>
      <numFmt numFmtId="166" formatCode="_-* #,##0\ _€_-;\-* #,##0\ _€_-;_-* &quot;-&quot;??\ _€_-;_-@_-"/>
      <alignment horizontal="general" vertical="bottom"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Garamond"/>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Garamond"/>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Garamond"/>
        <family val="1"/>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Garamond"/>
        <family val="1"/>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strike val="0"/>
        <outline val="0"/>
        <shadow val="0"/>
        <vertAlign val="baseline"/>
        <name val="Garamond"/>
        <family val="1"/>
        <scheme val="none"/>
      </font>
      <alignment horizontal="center" vertical="center" textRotation="0" wrapText="1"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strike val="0"/>
        <outline val="0"/>
        <shadow val="0"/>
        <vertAlign val="baseline"/>
        <name val="Garamond"/>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b val="0"/>
        <strike val="0"/>
        <outline val="0"/>
        <shadow val="0"/>
        <vertAlign val="baseline"/>
        <name val="Garamond"/>
        <family val="1"/>
        <scheme val="none"/>
      </font>
      <alignment horizontal="center" vertical="center" textRotation="0" wrapText="1"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1" indent="0" justifyLastLine="0" shrinkToFit="0" readingOrder="0"/>
    </dxf>
    <dxf>
      <font>
        <strike val="0"/>
        <outline val="0"/>
        <shadow val="0"/>
        <vertAlign val="baseline"/>
        <name val="Garamond"/>
        <family val="1"/>
        <scheme val="none"/>
      </font>
      <alignment horizontal="center" vertical="center" textRotation="0" wrapText="1"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b val="0"/>
        <strike val="0"/>
        <outline val="0"/>
        <shadow val="0"/>
        <vertAlign val="baseline"/>
        <name val="Garamond"/>
        <family val="1"/>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Garamond"/>
        <family val="1"/>
        <scheme val="none"/>
      </font>
      <fill>
        <patternFill patternType="solid">
          <fgColor indexed="64"/>
          <bgColor theme="3"/>
        </patternFill>
      </fill>
      <alignment horizontal="center" vertical="center" textRotation="0" wrapText="0" indent="0" justifyLastLine="0" shrinkToFit="0" readingOrder="0"/>
    </dxf>
    <dxf>
      <font>
        <strike val="0"/>
        <outline val="0"/>
        <shadow val="0"/>
        <vertAlign val="baseline"/>
        <name val="Garamond"/>
        <family val="1"/>
        <scheme val="none"/>
      </font>
    </dxf>
    <dxf>
      <font>
        <strike val="0"/>
        <outline val="0"/>
        <shadow val="0"/>
        <u val="none"/>
        <vertAlign val="baseline"/>
        <sz val="12"/>
        <color theme="1"/>
        <name val="Garamond"/>
        <family val="1"/>
        <scheme val="none"/>
      </font>
    </dxf>
    <dxf>
      <font>
        <i val="0"/>
        <strike val="0"/>
        <outline val="0"/>
        <shadow val="0"/>
        <vertAlign val="baseline"/>
        <name val="Garamond"/>
        <family val="1"/>
        <scheme val="none"/>
      </font>
      <protection locked="0" hidden="0"/>
    </dxf>
    <dxf>
      <font>
        <b val="0"/>
        <i val="0"/>
        <strike val="0"/>
        <condense val="0"/>
        <extend val="0"/>
        <outline val="0"/>
        <shadow val="0"/>
        <u val="none"/>
        <vertAlign val="baseline"/>
        <sz val="12"/>
        <color theme="1"/>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protection locked="0" hidden="0"/>
    </dxf>
    <dxf>
      <font>
        <b val="0"/>
        <i val="0"/>
        <strike val="0"/>
        <condense val="0"/>
        <extend val="0"/>
        <outline val="0"/>
        <shadow val="0"/>
        <u val="none"/>
        <vertAlign val="baseline"/>
        <sz val="12"/>
        <color theme="1"/>
        <name val="Garamond"/>
        <family val="1"/>
        <scheme val="none"/>
      </font>
      <numFmt numFmtId="166" formatCode="_-* #,##0\ _€_-;\-* #,##0\ _€_-;_-* &quot;-&quot;??\ _€_-;_-@_-"/>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66" formatCode="_-* #,##0\ _€_-;\-* #,##0\ _€_-;_-* &quot;-&quot;??\ _€_-;_-@_-"/>
      <alignment horizontal="right"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center" textRotation="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66" formatCode="_-* #,##0\ _€_-;\-* #,##0\ _€_-;_-* &quot;-&quot;??\ _€_-;_-@_-"/>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4" formatCode="0.0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4"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66" formatCode="_-* #,##0\ _€_-;\-* #,##0\ _€_-;_-* &quot;-&quot;??\ _€_-;_-@_-"/>
      <alignment horizontal="right"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Garamond"/>
        <family val="1"/>
        <scheme val="none"/>
      </font>
      <numFmt numFmtId="166" formatCode="_-* #,##0\ _€_-;\-* #,##0\ _€_-;_-* &quot;-&quot;??\ _€_-;_-@_-"/>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i val="0"/>
        <strike val="0"/>
        <outline val="0"/>
        <shadow val="0"/>
        <vertAlign val="baseline"/>
        <name val="Garamond"/>
        <family val="1"/>
        <scheme val="none"/>
      </font>
      <alignment horizontal="center" vertical="bottom" textRotation="0" wrapText="0" indent="0" justifyLastLine="0" shrinkToFit="0" readingOrder="0"/>
      <protection locked="0" hidden="0"/>
    </dxf>
    <dxf>
      <font>
        <b val="0"/>
        <i val="0"/>
        <strike val="0"/>
        <outline val="0"/>
        <shadow val="0"/>
        <vertAlign val="baseline"/>
        <name val="Garamond"/>
        <family val="1"/>
        <scheme val="none"/>
      </font>
      <alignment horizontal="center" vertical="bottom" textRotation="0" wrapText="0" indent="0" justifyLastLine="0" shrinkToFit="0" readingOrder="0"/>
      <protection locked="0" hidden="0"/>
    </dxf>
    <dxf>
      <font>
        <b val="0"/>
        <i val="0"/>
        <strike val="0"/>
        <outline val="0"/>
        <shadow val="0"/>
        <vertAlign val="baseline"/>
        <name val="Garamond"/>
        <family val="1"/>
        <scheme val="none"/>
      </font>
      <alignment horizontal="center" vertical="bottom" textRotation="0" wrapText="0" indent="0" justifyLastLine="0" shrinkToFit="0" readingOrder="0"/>
      <protection locked="0" hidden="0"/>
    </dxf>
    <dxf>
      <font>
        <b val="0"/>
        <i val="0"/>
        <strike val="0"/>
        <outline val="0"/>
        <shadow val="0"/>
        <vertAlign val="baseline"/>
        <name val="Garamond"/>
        <family val="1"/>
        <scheme val="none"/>
      </font>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1"/>
        <name val="Garamond"/>
        <family val="1"/>
        <scheme val="none"/>
      </font>
      <alignment horizontal="left" vertical="bottom" textRotation="0" wrapText="0" indent="0" justifyLastLine="0" shrinkToFit="0" readingOrder="0"/>
      <protection locked="0" hidden="0"/>
    </dxf>
    <dxf>
      <font>
        <i val="0"/>
        <strike val="0"/>
        <outline val="0"/>
        <shadow val="0"/>
        <vertAlign val="baseline"/>
        <name val="Garamond"/>
        <family val="1"/>
        <scheme val="none"/>
      </font>
      <protection locked="0" hidden="0"/>
    </dxf>
    <dxf>
      <font>
        <i val="0"/>
        <strike val="0"/>
        <outline val="0"/>
        <shadow val="0"/>
        <u val="none"/>
        <vertAlign val="baseline"/>
        <color auto="1"/>
        <name val="Garamond"/>
        <family val="1"/>
        <scheme val="none"/>
      </font>
      <alignment vertical="bottom" textRotation="0" wrapText="1" justifyLastLine="0" shrinkToFit="0" readingOrder="0"/>
      <protection locked="0" hidden="0"/>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patternType="solid">
          <fgColor theme="4" tint="0.79998168889431442"/>
          <bgColor theme="4" tint="0.79998168889431442"/>
        </patternFill>
      </fill>
      <border>
        <bottom style="thin">
          <color theme="4"/>
        </bottom>
      </border>
    </dxf>
    <dxf>
      <font>
        <color theme="0"/>
      </font>
      <fill>
        <patternFill patternType="solid">
          <fgColor theme="4" tint="0.39997558519241921"/>
          <bgColor theme="4" tint="0.39997558519241921"/>
        </patternFill>
      </fill>
      <border>
        <bottom style="thin">
          <color theme="4" tint="0.79998168889431442"/>
        </bottom>
        <horizontal style="thin">
          <color theme="4" tint="0.39997558519241921"/>
        </horizontal>
      </border>
    </dxf>
    <dxf>
      <border>
        <bottom style="thin">
          <color theme="4" tint="0.59999389629810485"/>
        </bottom>
      </border>
    </dxf>
    <dxf>
      <font>
        <b/>
        <color theme="1"/>
      </font>
      <fill>
        <patternFill patternType="solid">
          <fgColor theme="0" tint="-0.14999847407452621"/>
          <bgColor theme="0" tint="-0.14999847407452621"/>
        </patternFill>
      </fill>
    </dxf>
    <dxf>
      <font>
        <b/>
        <color theme="0"/>
      </font>
      <fill>
        <patternFill patternType="solid">
          <fgColor theme="4" tint="0.39997558519241921"/>
          <bgColor theme="4" tint="0.39997558519241921"/>
        </patternFill>
      </fill>
    </dxf>
    <dxf>
      <font>
        <b/>
        <color theme="0"/>
      </font>
    </dxf>
    <dxf>
      <border>
        <left style="thin">
          <color theme="4" tint="-0.249977111117893"/>
        </left>
        <right style="thin">
          <color theme="4" tint="-0.249977111117893"/>
        </right>
      </border>
    </dxf>
    <dxf>
      <border>
        <top style="thin">
          <color theme="4" tint="-0.249977111117893"/>
        </top>
        <bottom style="thin">
          <color theme="4" tint="-0.249977111117893"/>
        </bottom>
        <horizontal style="thin">
          <color theme="4" tint="-0.249977111117893"/>
        </horizontal>
      </border>
    </dxf>
    <dxf>
      <font>
        <b/>
        <color theme="1"/>
      </font>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style="thin">
          <color theme="4" tint="0.79998168889431442"/>
        </horizontal>
      </border>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ont>
        <b/>
        <i val="0"/>
      </font>
      <fill>
        <patternFill>
          <bgColor theme="2"/>
        </patternFill>
      </fill>
    </dxf>
    <dxf>
      <font>
        <b/>
        <i val="0"/>
      </font>
      <fill>
        <patternFill patternType="solid">
          <fgColor theme="4" tint="0.79998168889431442"/>
          <bgColor theme="4" tint="0.79998168889431442"/>
        </patternFill>
      </fill>
      <border>
        <top style="thin">
          <color theme="4"/>
        </top>
        <bottom style="thin">
          <color theme="4"/>
        </bottom>
      </border>
    </dxf>
    <dxf>
      <font>
        <b/>
        <i val="0"/>
        <color theme="0"/>
      </font>
      <fill>
        <patternFill patternType="solid">
          <fgColor theme="4" tint="0.39997558519241921"/>
          <bgColor theme="4" tint="0.39997558519241921"/>
        </patternFill>
      </fill>
      <border>
        <top style="thin">
          <color theme="4"/>
        </top>
        <bottom style="thin">
          <color theme="4"/>
        </bottom>
        <horizontal style="thin">
          <color theme="4"/>
        </horizontal>
      </border>
    </dxf>
    <dxf>
      <border>
        <left/>
        <right/>
        <top/>
        <bottom/>
      </border>
    </dxf>
    <dxf>
      <font>
        <b/>
        <color theme="1"/>
      </font>
      <fill>
        <patternFill patternType="solid">
          <fgColor theme="0" tint="-0.14999847407452621"/>
          <bgColor theme="0" tint="-0.14999847407452621"/>
        </patternFill>
      </fill>
    </dxf>
    <dxf>
      <font>
        <b/>
        <i val="0"/>
        <color theme="0"/>
      </font>
      <fill>
        <patternFill patternType="solid">
          <fgColor theme="4" tint="0.39997558519241921"/>
          <bgColor theme="4" tint="0.39997558519241921"/>
        </patternFill>
      </fill>
      <border>
        <bottom style="thin">
          <color theme="4"/>
        </bottom>
      </border>
    </dxf>
    <dxf>
      <font>
        <b/>
        <color theme="0"/>
      </font>
    </dxf>
    <dxf>
      <border>
        <vertical/>
      </border>
    </dxf>
    <dxf>
      <font>
        <b/>
        <i val="0"/>
      </font>
      <border>
        <top style="thin">
          <color theme="4" tint="-0.249977111117893"/>
        </top>
        <bottom style="thin">
          <color theme="4" tint="-0.249977111117893"/>
        </bottom>
        <horizontal style="thin">
          <color theme="4" tint="-0.249977111117893"/>
        </horizontal>
      </border>
    </dxf>
    <dxf>
      <font>
        <b/>
        <color theme="1"/>
      </font>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border>
    </dxf>
    <dxf>
      <font>
        <b/>
        <i val="0"/>
        <color theme="1"/>
      </font>
    </dxf>
    <dxf>
      <font>
        <b/>
        <color theme="1"/>
      </font>
      <fill>
        <patternFill patternType="solid">
          <fgColor theme="0" tint="-0.14999847407452621"/>
          <bgColor theme="0" tint="-0.14999847407452621"/>
        </patternFill>
      </fill>
      <border>
        <bottom style="thin">
          <color theme="0"/>
        </bottom>
      </border>
    </dxf>
    <dxf>
      <border>
        <top style="thin">
          <color theme="0" tint="-0.34998626667073579"/>
        </top>
      </border>
    </dxf>
    <dxf>
      <font>
        <b/>
        <i val="0"/>
        <color theme="1"/>
      </font>
    </dxf>
    <dxf>
      <font>
        <b/>
        <color theme="1"/>
      </font>
      <fill>
        <patternFill patternType="solid">
          <fgColor theme="0" tint="-0.14999847407452621"/>
          <bgColor theme="0" tint="-0.14999847407452621"/>
        </patternFill>
      </fill>
      <border>
        <top style="thin">
          <color theme="0" tint="-0.34998626667073579"/>
        </top>
        <bottom style="thin">
          <color theme="0" tint="-0.34998626667073579"/>
        </bottom>
      </border>
    </dxf>
    <dxf>
      <border>
        <left style="thin">
          <color theme="0" tint="-0.44999542222357858"/>
        </left>
        <right style="thin">
          <color theme="0" tint="-0.44999542222357858"/>
        </right>
        <top style="thin">
          <color theme="0" tint="-0.44999542222357858"/>
        </top>
        <bottom style="thin">
          <color theme="0" tint="-0.44999542222357858"/>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right style="thin">
          <color theme="1" tint="0.499984740745262"/>
        </right>
      </border>
    </dxf>
    <dxf>
      <font>
        <b/>
        <color theme="1"/>
      </font>
      <border>
        <left style="medium">
          <color theme="1" tint="0.499984740745262"/>
        </left>
        <right style="medium">
          <color theme="1" tint="0.499984740745262"/>
        </right>
        <top style="medium">
          <color theme="1" tint="0.499984740745262"/>
        </top>
        <bottom style="medium">
          <color theme="1" tint="0.499984740745262"/>
        </bottom>
      </border>
    </dxf>
    <dxf>
      <font>
        <b/>
        <color theme="1"/>
      </font>
      <border>
        <left style="medium">
          <color theme="1" tint="0.499984740745262"/>
        </left>
        <right style="medium">
          <color theme="1" tint="0.499984740745262"/>
        </right>
        <top style="medium">
          <color theme="1" tint="0.499984740745262"/>
        </top>
        <bottom style="medium">
          <color theme="1" tint="0.499984740745262"/>
        </bottom>
        <horizontal style="thin">
          <color theme="0"/>
        </horizontal>
      </border>
    </dxf>
    <dxf>
      <font>
        <color theme="1"/>
      </font>
      <border>
        <horizontal style="thin">
          <color theme="0" tint="-0.14999847407452621"/>
        </horizontal>
      </border>
    </dxf>
  </dxfs>
  <tableStyles count="3" defaultTableStyle="TableStyleMedium2" defaultPivotStyle="PivotStyleLight16">
    <tableStyle name="PivotStyleLight8 2" table="0" count="11" xr9:uid="{A93A7085-3B8A-4588-884F-1A0D8EE7F15C}">
      <tableStyleElement type="wholeTable" dxfId="478"/>
      <tableStyleElement type="headerRow" dxfId="477"/>
      <tableStyleElement type="totalRow" dxfId="476"/>
      <tableStyleElement type="firstColumn" dxfId="475"/>
      <tableStyleElement type="firstRowStripe" dxfId="474"/>
      <tableStyleElement type="firstColumnStripe" dxfId="473"/>
      <tableStyleElement type="firstSubtotalRow" dxfId="472"/>
      <tableStyleElement type="secondSubtotalRow" dxfId="471"/>
      <tableStyleElement type="secondColumnSubheading" dxfId="470"/>
      <tableStyleElement type="firstRowSubheading" dxfId="469"/>
      <tableStyleElement type="secondRowSubheading" dxfId="468"/>
    </tableStyle>
    <tableStyle name="PivotStyleMedium2 2" table="0" count="14" xr9:uid="{77E50F3D-AB41-400C-8CF3-3BD2D3C4B6FC}">
      <tableStyleElement type="wholeTable" dxfId="467"/>
      <tableStyleElement type="headerRow" dxfId="466"/>
      <tableStyleElement type="totalRow" dxfId="465"/>
      <tableStyleElement type="firstRowStripe" dxfId="464"/>
      <tableStyleElement type="firstColumnStripe" dxfId="463"/>
      <tableStyleElement type="firstHeaderCell" dxfId="462"/>
      <tableStyleElement type="firstSubtotalRow" dxfId="461"/>
      <tableStyleElement type="secondSubtotalRow" dxfId="460"/>
      <tableStyleElement type="firstColumnSubheading" dxfId="459"/>
      <tableStyleElement type="firstRowSubheading" dxfId="458"/>
      <tableStyleElement type="secondRowSubheading" dxfId="457"/>
      <tableStyleElement type="thirdRowSubheading" dxfId="456"/>
      <tableStyleElement type="pageFieldLabels" dxfId="455"/>
      <tableStyleElement type="pageFieldValues" dxfId="454"/>
    </tableStyle>
    <tableStyle name="PivotStyleMedium2 3" table="0" count="13" xr9:uid="{6FD85CF8-DA17-4004-8CCC-5EFCAE919854}">
      <tableStyleElement type="wholeTable" dxfId="453"/>
      <tableStyleElement type="headerRow" dxfId="452"/>
      <tableStyleElement type="totalRow" dxfId="451"/>
      <tableStyleElement type="firstRowStripe" dxfId="450"/>
      <tableStyleElement type="firstColumnStripe" dxfId="449"/>
      <tableStyleElement type="firstHeaderCell" dxfId="448"/>
      <tableStyleElement type="firstSubtotalRow" dxfId="447"/>
      <tableStyleElement type="secondSubtotalRow" dxfId="446"/>
      <tableStyleElement type="firstColumnSubheading" dxfId="445"/>
      <tableStyleElement type="firstRowSubheading" dxfId="444"/>
      <tableStyleElement type="secondRowSubheading" dxfId="443"/>
      <tableStyleElement type="pageFieldLabels" dxfId="442"/>
      <tableStyleElement type="pageFieldValues" dxfId="441"/>
    </tableStyle>
  </tableStyles>
  <colors>
    <mruColors>
      <color rgb="FFE4EC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17/06/relationships/rdSupportingPropertyBagStructure" Target="richData/rdsupportingpropertybagstructure.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eetMetadata" Target="metadata.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ichStyles" Target="richData/rich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styles" Target="styles.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microsoft.com/office/2017/06/relationships/rdSupportingPropertyBag" Target="richData/rdsupportingpropertybag.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dLbls>
          <c:showLegendKey val="0"/>
          <c:showVal val="0"/>
          <c:showCatName val="0"/>
          <c:showSerName val="0"/>
          <c:showPercent val="0"/>
          <c:showBubbleSize val="0"/>
        </c:dLbls>
        <c:gapWidth val="219"/>
        <c:overlap val="-27"/>
        <c:axId val="389377280"/>
        <c:axId val="389361056"/>
      </c:barChart>
      <c:catAx>
        <c:axId val="389377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9361056"/>
        <c:crosses val="autoZero"/>
        <c:auto val="1"/>
        <c:lblAlgn val="ctr"/>
        <c:lblOffset val="100"/>
        <c:noMultiLvlLbl val="0"/>
      </c:catAx>
      <c:valAx>
        <c:axId val="38936105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9377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314325</xdr:colOff>
      <xdr:row>0</xdr:row>
      <xdr:rowOff>142875</xdr:rowOff>
    </xdr:from>
    <xdr:to>
      <xdr:col>7</xdr:col>
      <xdr:colOff>695325</xdr:colOff>
      <xdr:row>14</xdr:row>
      <xdr:rowOff>85725</xdr:rowOff>
    </xdr:to>
    <xdr:graphicFrame macro="">
      <xdr:nvGraphicFramePr>
        <xdr:cNvPr id="2" name="Graphique 1">
          <a:extLst>
            <a:ext uri="{FF2B5EF4-FFF2-40B4-BE49-F238E27FC236}">
              <a16:creationId xmlns:a16="http://schemas.microsoft.com/office/drawing/2014/main" id="{4BA9BFC1-D6DA-2EC7-07A2-BA5D3E57E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1</xdr:row>
      <xdr:rowOff>0</xdr:rowOff>
    </xdr:from>
    <xdr:to>
      <xdr:col>2</xdr:col>
      <xdr:colOff>0</xdr:colOff>
      <xdr:row>11</xdr:row>
      <xdr:rowOff>0</xdr:rowOff>
    </xdr:to>
    <mc:AlternateContent xmlns:mc="http://schemas.openxmlformats.org/markup-compatibility/2006" xmlns:a14="http://schemas.microsoft.com/office/drawing/2010/main">
      <mc:Choice Requires="a14">
        <xdr:graphicFrame macro="">
          <xdr:nvGraphicFramePr>
            <xdr:cNvPr id="3" name="Nom de la société">
              <a:extLst>
                <a:ext uri="{FF2B5EF4-FFF2-40B4-BE49-F238E27FC236}">
                  <a16:creationId xmlns:a16="http://schemas.microsoft.com/office/drawing/2014/main" id="{CF7CB87E-0C3C-49D4-9FAE-919F220C96E9}"/>
                </a:ext>
              </a:extLst>
            </xdr:cNvPr>
            <xdr:cNvGraphicFramePr/>
          </xdr:nvGraphicFramePr>
          <xdr:xfrm>
            <a:off x="0" y="0"/>
            <a:ext cx="0" cy="0"/>
          </xdr:xfrm>
          <a:graphic>
            <a:graphicData uri="http://schemas.microsoft.com/office/drawing/2010/slicer">
              <sle:slicer xmlns:sle="http://schemas.microsoft.com/office/drawing/2010/slicer" name="Nom de la société"/>
            </a:graphicData>
          </a:graphic>
        </xdr:graphicFrame>
      </mc:Choice>
      <mc:Fallback xmlns="">
        <xdr:sp macro="" textlink="">
          <xdr:nvSpPr>
            <xdr:cNvPr id="0" name=""/>
            <xdr:cNvSpPr>
              <a:spLocks noTextEdit="1"/>
            </xdr:cNvSpPr>
          </xdr:nvSpPr>
          <xdr:spPr>
            <a:xfrm>
              <a:off x="123825" y="200025"/>
              <a:ext cx="1828800" cy="2667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ffichage 1" id="{A23951EE-1898-4A3E-B909-83349487AEEF}"/>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ain BEAUVAIS" refreshedDate="45190.650730555557" createdVersion="8" refreshedVersion="8" minRefreshableVersion="3" recordCount="3876" xr:uid="{A45A5E46-C962-4705-A332-28A58A1D7FB4}">
  <cacheSource type="worksheet">
    <worksheetSource name="Tableau3"/>
  </cacheSource>
  <cacheFields count="37">
    <cacheField name="Nom entreprise" numFmtId="0">
      <sharedItems containsBlank="1"/>
    </cacheField>
    <cacheField name="Secteur" numFmtId="0">
      <sharedItems containsBlank="1"/>
    </cacheField>
    <cacheField name="Pays" numFmtId="0">
      <sharedItems containsBlank="1"/>
    </cacheField>
    <cacheField name="Devise" numFmtId="0">
      <sharedItems containsBlank="1"/>
    </cacheField>
    <cacheField name="Cours" numFmtId="0">
      <sharedItems containsBlank="1" containsMixedTypes="1" containsNumber="1" minValue="0.13" maxValue="4792"/>
    </cacheField>
    <cacheField name="Année" numFmtId="0">
      <sharedItems containsDate="1" containsBlank="1" containsMixedTypes="1" minDate="1900-01-02T14:40:04" maxDate="1900-01-06T14:40:04" count="42">
        <n v="2023"/>
        <m/>
        <n v="2022"/>
        <n v="2021"/>
        <n v="2020"/>
        <n v="2019"/>
        <n v="2018"/>
        <n v="2017"/>
        <n v="2016"/>
        <n v="2015"/>
        <n v="2014"/>
        <n v="2013"/>
        <n v="2012"/>
        <s v="Categorie 2"/>
        <s v="IPO le 11 juin 2014 à 14,9 euros"/>
        <n v="2007"/>
        <n v="2006"/>
        <n v="2011"/>
        <n v="2010"/>
        <s v="Introduction en bourse le 30 juin 2022 à 105 euros"/>
        <n v="2008"/>
        <s v="IPO le 30 avril 2010 à 12,35 "/>
        <s v="…"/>
        <s v="IPO à 18,5 euros le 15 octobre 2021"/>
        <s v="avec Idinvest et Rhône"/>
        <d v="2022-06-30T00:00:00"/>
        <d v="2021-06-30T00:00:00"/>
        <d v="2020-06-30T00:00:00"/>
        <d v="2019-06-30T00:00:00"/>
        <d v="2018-06-30T00:00:00"/>
        <d v="2017-06-30T00:00:00"/>
        <d v="2016-06-30T00:00:00"/>
        <d v="2015-06-30T00:00:00"/>
        <d v="2014-06-30T00:00:00"/>
        <d v="2013-06-30T00:00:00"/>
        <d v="2012-06-30T00:00:00"/>
        <d v="2007-06-30T00:00:00"/>
        <s v="2017 (dilué)"/>
        <n v="2009"/>
        <s v="IPO en 1984"/>
        <n v="1999"/>
        <s v="2020 (15 mois)"/>
      </sharedItems>
    </cacheField>
    <cacheField name="Chiffre d'affaires" numFmtId="0">
      <sharedItems containsBlank="1" containsMixedTypes="1" containsNumber="1" minValue="-0.71749962997681194" maxValue="560118000000"/>
    </cacheField>
    <cacheField name="EBE" numFmtId="0">
      <sharedItems containsBlank="1" containsMixedTypes="1" containsNumber="1" minValue="-560000000" maxValue="194798000000"/>
    </cacheField>
    <cacheField name="Résultat d'exploitation" numFmtId="0">
      <sharedItems containsBlank="1" containsMixedTypes="1" containsNumber="1" minValue="-12767000000" maxValue="271620000000"/>
    </cacheField>
    <cacheField name="Résultat Net (PdG)" numFmtId="0">
      <sharedItems containsBlank="1" containsMixedTypes="1" containsNumber="1" minValue="-11873000000" maxValue="123788000000"/>
    </cacheField>
    <cacheField name="Dettes" numFmtId="0">
      <sharedItems containsBlank="1" containsMixedTypes="1" containsNumber="1" minValue="-22000000000" maxValue="109497000000"/>
    </cacheField>
    <cacheField name="Fonds propres" numFmtId="0">
      <sharedItems containsBlank="1" containsMixedTypes="1" containsNumber="1" minValue="-1844646000" maxValue="806299000000"/>
    </cacheField>
    <cacheField name="Actif net par action" numFmtId="0">
      <sharedItems containsBlank="1" containsMixedTypes="1" containsNumber="1" minValue="-23.507574536818726" maxValue="458.32680824113186"/>
    </cacheField>
    <cacheField name="ROE" numFmtId="0">
      <sharedItems containsBlank="1" containsMixedTypes="1" containsNumber="1" minValue="-11.16679254377992" maxValue="3"/>
    </cacheField>
    <cacheField name="ROCE" numFmtId="0">
      <sharedItems containsBlank="1" containsMixedTypes="1" containsNumber="1" minValue="-54.735999999999997" maxValue="20.420296236989593"/>
    </cacheField>
    <cacheField name="Nombre de titres" numFmtId="0">
      <sharedItems containsBlank="1" containsMixedTypes="1" containsNumber="1" minValue="3050046" maxValue="9622348978"/>
    </cacheField>
    <cacheField name="Capitalisation boursière" numFmtId="0">
      <sharedItems containsBlank="1" containsMixedTypes="1" containsNumber="1" minValue="0" maxValue="5411311722684"/>
    </cacheField>
    <cacheField name="Capitalisation / Actif Net" numFmtId="0">
      <sharedItems containsBlank="1" containsMixedTypes="1" containsNumber="1" minValue="-12.173851132506767" maxValue="90.682244171428565"/>
    </cacheField>
    <cacheField name="VE /_x000a_EBE" numFmtId="0">
      <sharedItems containsBlank="1" containsMixedTypes="1" containsNumber="1" minValue="-428.03485374030191" maxValue="2137.27483476"/>
    </cacheField>
    <cacheField name="Rating " numFmtId="0">
      <sharedItems containsDate="1" containsBlank="1" containsMixedTypes="1" minDate="2020-04-01T00:00:00" maxDate="2023-04-02T00:00:00"/>
    </cacheField>
    <cacheField name="Salariés" numFmtId="0">
      <sharedItems containsString="0" containsBlank="1" containsNumber="1" minValue="-2.6273314203730247E-2" maxValue="281595"/>
    </cacheField>
    <cacheField name="Productivité" numFmtId="0">
      <sharedItems containsBlank="1" containsMixedTypes="1" containsNumber="1" minValue="-9.397923988944104" maxValue="91666666.666666672"/>
    </cacheField>
    <cacheField name="Excédent de flux de trésorerie_x000a_(après investissement &amp; BFR)_x000a_&quot;cash-flow libre&quot;" numFmtId="166">
      <sharedItems containsString="0" containsBlank="1" containsNumber="1" containsInteger="1" minValue="-9897800000" maxValue="13531000000"/>
    </cacheField>
    <cacheField name="ESG" numFmtId="0">
      <sharedItems containsBlank="1"/>
    </cacheField>
    <cacheField name="Indicateur Clé" numFmtId="0">
      <sharedItems containsBlank="1" containsMixedTypes="1" containsNumber="1" minValue="5.4" maxValue="767500000"/>
    </cacheField>
    <cacheField name="Commentaires" numFmtId="0">
      <sharedItems containsBlank="1" longText="1"/>
    </cacheField>
    <cacheField name="Séparation" numFmtId="0">
      <sharedItems containsBlank="1"/>
    </cacheField>
    <cacheField name="1" numFmtId="0">
      <sharedItems containsSemiMixedTypes="0" containsString="0" containsNumber="1" containsInteger="1" minValue="1" maxValue="3755"/>
    </cacheField>
    <cacheField name="Portefeuille" numFmtId="0">
      <sharedItems containsMixedTypes="1" containsNumber="1" containsInteger="1" minValue="0" maxValue="0"/>
    </cacheField>
    <cacheField name="ID" numFmtId="0">
      <sharedItems containsBlank="1"/>
    </cacheField>
    <cacheField name="Isin" numFmtId="0">
      <sharedItems containsBlank="1"/>
    </cacheField>
    <cacheField name="N° 1_x000a_(Utile base)" numFmtId="0">
      <sharedItems containsString="0" containsBlank="1" containsNumber="1" containsInteger="1" minValue="1" maxValue="1"/>
    </cacheField>
    <cacheField name="Nom de la société" numFmtId="0">
      <sharedItems containsBlank="1" count="170">
        <s v="Easy Jet"/>
        <s v="Air France - KLM"/>
        <s v="Swatch Group"/>
        <s v="Elior Group"/>
        <s v="Sodexo"/>
        <s v="Saint-Gobain"/>
        <s v="Verallia"/>
        <s v="Lafarge Holcim"/>
        <s v="Lafarge"/>
        <s v="Vicat"/>
        <s v="ArcelorMittal"/>
        <s v="EDF"/>
        <s v="Veolia"/>
        <s v="Suez"/>
        <s v="Engie"/>
        <s v="Diamond Offshore Drilling"/>
        <s v="CGG"/>
        <s v="Boskalis"/>
        <s v="DEME"/>
        <s v="CFE"/>
        <s v="Mersen"/>
        <s v="Umicore"/>
        <s v="Elis "/>
        <s v="PUMA"/>
        <s v="Kering"/>
        <s v="LVMH"/>
        <s v="Tod's"/>
        <s v="PRADA"/>
        <s v="Mulberry"/>
        <s v="Ralph Lauren"/>
        <s v="Visa"/>
        <s v="Worldline "/>
        <s v="Adyen"/>
        <s v="Ingenico"/>
        <s v="Dassault Systemes"/>
        <s v="Adobe System"/>
        <s v="Amadeus"/>
        <s v="DataDog"/>
        <s v="SAP"/>
        <s v="OVHcloud"/>
        <s v="Blackline"/>
        <s v="Atos"/>
        <s v="SOPRA STERIA"/>
        <s v="STERIA"/>
        <s v="Cap gémini"/>
        <s v="SPIE"/>
        <s v="Carrefour"/>
        <s v="Air Liquide"/>
        <s v="Eurazeo"/>
        <s v="Signify (ex Philips Lighting)"/>
        <s v="Invesco"/>
        <s v="Amundi"/>
        <m/>
        <s v="Eutelsat"/>
        <s v="SES"/>
        <s v="Total Energies"/>
        <s v="Nexans"/>
        <s v="Virbac"/>
        <s v="Vétoquinol"/>
        <s v="Zoetis"/>
        <s v="Michelin"/>
        <s v="Continental"/>
        <s v="Valeo"/>
        <s v="FORVIA (ex-Faurecia)"/>
        <s v="Plastic Omnium"/>
        <s v="Korian"/>
        <s v="Orpéa"/>
        <s v="Danone"/>
        <s v="Campbell Soup"/>
        <s v="Nordex"/>
        <s v="Siemens GAMESA"/>
        <s v="Vestas"/>
        <s v="Figeac Aéro "/>
        <s v="Safran"/>
        <s v="Airbus"/>
        <s v="Boeing"/>
        <s v="ESI Group"/>
        <s v="Guerbet"/>
        <s v="Philips"/>
        <s v="Siemens Healthineers"/>
        <s v="GE Healthcare"/>
        <s v="GN Store Nord"/>
        <s v="Varian"/>
        <s v="Sanofi"/>
        <s v="Ipsen"/>
        <s v="AstraZeneca"/>
        <s v="Moderna"/>
        <s v="Vilmorin &amp; Cie"/>
        <s v="Publicis"/>
        <s v="TF1 Group"/>
        <s v="Orange"/>
        <s v="Bristish Telecom"/>
        <s v="Iliad"/>
        <s v="Altice"/>
        <s v="BIC"/>
        <s v="Tarkett"/>
        <s v="Haulotte Group"/>
        <s v="MANITOU"/>
        <s v="Ontex"/>
        <s v="Goldman Sachs Group"/>
        <s v="Grandvision"/>
        <s v="Deere &amp; CO"/>
        <s v="Vinci"/>
        <s v="Bouygues"/>
        <s v="Eiffage"/>
        <s v="Orchestra premaman"/>
        <s v="BNP Paribas"/>
        <s v="MTU aéro engine"/>
        <s v="Accor"/>
        <s v="Lagardère"/>
        <s v="Imerys"/>
        <s v="Rothschild &amp; Co"/>
        <s v="La Française des Jeux (FDJ)"/>
        <s v="Unibail Rodamco Westfield"/>
        <s v="Europcar Mobility"/>
        <s v="L'Oréal"/>
        <s v="Hermès International"/>
        <s v="Scor"/>
        <s v="Peugeot Invest (ex FFP)"/>
        <s v="Stellantis"/>
        <s v="Peugeot"/>
        <s v="Fiat Chrysler Automobiles"/>
        <s v="Mercedes-Benz"/>
        <s v="Renault"/>
        <s v="Trigano"/>
        <s v="Legrand"/>
        <s v="GTT"/>
        <s v="Euronext"/>
        <s v="Deutsche Börse"/>
        <s v="Edenred"/>
        <s v="Seb"/>
        <s v="Solvay"/>
        <s v="Arkema"/>
        <s v="Schneider Electric "/>
        <s v="Farfetch"/>
        <s v="Prologis"/>
        <s v="Peloton Interactive"/>
        <s v="Essilor Luxottica"/>
        <s v="NEOEN"/>
        <s v="VOLTALIA"/>
        <s v="Nexity"/>
        <s v="Kaufman &amp; Broad"/>
        <s v="Allfunds"/>
        <s v="Nvidia"/>
        <s v="ST Microelectronics"/>
        <s v="Soitec"/>
        <s v="ASML Holding"/>
        <s v="Melexis"/>
        <s v="Believe"/>
        <s v="ALSTOM"/>
        <s v="Tencent"/>
        <s v="Bureau Veritas"/>
        <s v="SGS"/>
        <s v="Lacroix"/>
        <s v="Cellnex"/>
        <s v="Alten"/>
        <s v="Somfy"/>
        <s v="Relx PLC"/>
        <s v="Universal Music"/>
        <s v="Deezer"/>
        <s v="Spotify"/>
        <s v="Biomerieux sa"/>
        <s v="ALD Automotive"/>
        <s v="Interparfums"/>
        <s v="Givaudan"/>
        <s v="Eurofins"/>
        <s v="Medacta"/>
        <s v="Ramsay Santé"/>
        <s v="Amplifon"/>
        <s v="ID Logistics"/>
      </sharedItems>
    </cacheField>
    <cacheField name="Colonne1" numFmtId="0">
      <sharedItems containsNonDate="0" containsString="0" containsBlank="1"/>
    </cacheField>
    <cacheField name="Colonne2" numFmtId="0">
      <sharedItems containsNonDate="0" containsString="0" containsBlank="1"/>
    </cacheField>
    <cacheField name="Colonne3" numFmtId="0">
      <sharedItems containsNonDate="0" containsString="0" containsBlank="1"/>
    </cacheField>
    <cacheField name="Champ1" numFmtId="0" formula="'Nom entreprise'" databaseField="0"/>
  </cacheFields>
  <extLst>
    <ext xmlns:x14="http://schemas.microsoft.com/office/spreadsheetml/2009/9/main" uri="{725AE2AE-9491-48be-B2B4-4EB974FC3084}">
      <x14:pivotCacheDefinition pivotCacheId="113179893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6">
  <r>
    <s v="Easy Jet"/>
    <s v="Transport aérien "/>
    <s v="Royaume-Uni"/>
    <s v="GBP"/>
    <n v="5"/>
    <x v="0"/>
    <n v="6000000000"/>
    <n v="750000000"/>
    <n v="250000000"/>
    <n v="100000000"/>
    <n v="450000000"/>
    <n v="2650000000"/>
    <n v="3.5900580746625028"/>
    <n v="3.7735849056603772E-2"/>
    <n v="6.2903225806451607E-2"/>
    <n v="738149619"/>
    <n v="3690748095"/>
    <n v="1.3927351301886792"/>
    <n v="16.562992380000001"/>
    <s v="BBB- / négative"/>
    <n v="14000"/>
    <n v="428571.42857142858"/>
    <n v="300000000"/>
    <s v="E=-2"/>
    <m/>
    <s v="Fondé en 1995 par le fils d'un homme d'affaires Libano-grecque. Fondateur -  Stelios Haji-Ioannou : 33,33% du capital"/>
    <m/>
    <n v="1"/>
    <n v="0"/>
    <s v="GB00B7KR2P8412023"/>
    <s v="GB00B7KR2P84"/>
    <n v="1"/>
    <x v="0"/>
    <m/>
    <m/>
    <m/>
  </r>
  <r>
    <m/>
    <m/>
    <m/>
    <m/>
    <m/>
    <x v="1"/>
    <n v="4.0041601664066562E-2"/>
    <n v="0.31810193321616875"/>
    <n v="82.333333333333329"/>
    <n v="-1.5917159763313609"/>
    <m/>
    <m/>
    <m/>
    <m/>
    <m/>
    <m/>
    <m/>
    <m/>
    <m/>
    <d v="2020-04-01T00:00:00"/>
    <m/>
    <s v=""/>
    <m/>
    <s v="S=1"/>
    <m/>
    <s v="CEO : Johan Lundgren (ex TUI- Suède) à partir du 1 er décembre 2017. Chairman Stephen Ester depuis 2021, a remplacé Barton"/>
    <m/>
    <n v="2"/>
    <n v="0"/>
    <s v="GB00B7KR2P841"/>
    <s v="GB00B7KR2P84"/>
    <n v="1"/>
    <x v="0"/>
    <m/>
    <m/>
    <m/>
  </r>
  <r>
    <m/>
    <m/>
    <m/>
    <m/>
    <n v="3.246"/>
    <x v="2"/>
    <n v="5769000000"/>
    <n v="569000000"/>
    <n v="3000000"/>
    <n v="-169000000"/>
    <n v="670000000"/>
    <n v="2533000000"/>
    <n v="3.431553623818913"/>
    <n v="-6.671930517173312E-2"/>
    <n v="7.3056509522322825E-4"/>
    <n v="738149619"/>
    <n v="2396033663.2740002"/>
    <n v="0.94592722592735889"/>
    <n v="1022.0112210913334"/>
    <m/>
    <n v="13951"/>
    <n v="413518.74417604471"/>
    <n v="207000000"/>
    <s v="G=2"/>
    <m/>
    <s v="320 avions (308 avions en 21 / 342 avions en 20 / 337 avions en 2019 - 57% en propriété). Perte au premier semestre, gain au second avec les vacanciers. "/>
    <m/>
    <n v="3"/>
    <n v="0"/>
    <s v="GB00B7KR2P8412022"/>
    <s v="GB00B7KR2P84"/>
    <n v="1"/>
    <x v="0"/>
    <m/>
    <m/>
    <m/>
  </r>
  <r>
    <m/>
    <m/>
    <m/>
    <m/>
    <m/>
    <x v="1"/>
    <n v="2.9567901234567899"/>
    <n v="-2.0326678765880217"/>
    <n v="-1.0028957528957529"/>
    <n v="-0.80303030303030298"/>
    <m/>
    <m/>
    <m/>
    <m/>
    <m/>
    <m/>
    <m/>
    <m/>
    <m/>
    <s v="BBB + / stable avant"/>
    <m/>
    <s v=""/>
    <m/>
    <m/>
    <m/>
    <s v="35 pays - 154 aéroports - 981 routes et autour de 90 millions de passagers (95 millions en 2019). 500 000 vols par an avec 200 passagers"/>
    <m/>
    <n v="4"/>
    <n v="0"/>
    <s v="GB00B7KR2P841"/>
    <s v="GB00B7KR2P84"/>
    <n v="1"/>
    <x v="0"/>
    <m/>
    <m/>
    <m/>
  </r>
  <r>
    <m/>
    <m/>
    <m/>
    <m/>
    <n v="5.56"/>
    <x v="3"/>
    <n v="1458000000"/>
    <n v="-551000000"/>
    <n v="-1036000000"/>
    <n v="-858000000"/>
    <n v="910000000"/>
    <n v="2639000000"/>
    <n v="3.5751559468054133"/>
    <n v="-0.3251231527093596"/>
    <n v="-0.22769230769230769"/>
    <n v="738149619"/>
    <n v="4104111881.6399999"/>
    <n v="1.5551769161197422"/>
    <n v="-4.8398763336293431"/>
    <m/>
    <m/>
    <s v=""/>
    <m/>
    <m/>
    <m/>
    <s v="Belle marque et modèle low cost abouti. Moyenne d'âge des avions 7 ans (chiffres au 30/09/2018). A souffert du Brexit à tort. Investissement en septembre 2016 à 1000 pence"/>
    <m/>
    <n v="5"/>
    <n v="0"/>
    <s v="GB00B7KR2P8412021"/>
    <s v="GB00B7KR2P84"/>
    <n v="1"/>
    <x v="0"/>
    <m/>
    <m/>
    <m/>
  </r>
  <r>
    <m/>
    <m/>
    <m/>
    <m/>
    <m/>
    <x v="1"/>
    <n v="-0.51545363908275177"/>
    <n v="1.0183150183150182"/>
    <n v="0.33333333333333326"/>
    <n v="-0.32600157109190886"/>
    <m/>
    <m/>
    <m/>
    <m/>
    <m/>
    <m/>
    <m/>
    <m/>
    <m/>
    <m/>
    <n v="13689"/>
    <n v="106508.87573964497"/>
    <n v="-316000000"/>
    <m/>
    <m/>
    <s v="Un airbus A320 consomme environ 3000 litres/ heure de kérosène. Soit 500 000 vols de 2h en moyenne, 3 Md de litres à 0,48 $ le litre.  Le carburant représente 30 à 35% du CA"/>
    <m/>
    <n v="6"/>
    <n v="0"/>
    <s v="GB00B7KR2P841"/>
    <s v="GB00B7KR2P84"/>
    <n v="1"/>
    <x v="0"/>
    <m/>
    <m/>
    <m/>
  </r>
  <r>
    <m/>
    <m/>
    <m/>
    <m/>
    <n v="8.3000000000000007"/>
    <x v="4"/>
    <n v="3009000000"/>
    <n v="-273000000"/>
    <n v="-777000000"/>
    <n v="-1273000000"/>
    <n v="1125000000"/>
    <n v="1899000000"/>
    <n v="4.3466395858126283"/>
    <n v="-0.6703528172722486"/>
    <n v="-0.20041666666666666"/>
    <n v="436889225"/>
    <n v="3626180567.5000005"/>
    <n v="1.90952109926277"/>
    <n v="-6.1147755051480051"/>
    <m/>
    <m/>
    <s v=""/>
    <m/>
    <m/>
    <m/>
    <s v="De 2012 à 2015, le CA est passé de 4,5 Md £ à 5,5 Md £ avec un doublement du résultat d'exploitation à 800 M£ et un cours de bourse à 7 MD £ soit un multiple de 8,75 et pas de dettes "/>
    <m/>
    <n v="7"/>
    <n v="0"/>
    <s v="GB00B7KR2P8412020"/>
    <s v="GB00B7KR2P84"/>
    <n v="1"/>
    <x v="0"/>
    <m/>
    <m/>
    <m/>
  </r>
  <r>
    <m/>
    <m/>
    <m/>
    <m/>
    <m/>
    <x v="1"/>
    <n v="-0.5287392325763508"/>
    <n v="-1.2814432989690721"/>
    <n v="-2.6673819742489271"/>
    <n v="-4.6475644699140402"/>
    <m/>
    <m/>
    <m/>
    <m/>
    <m/>
    <m/>
    <m/>
    <m/>
    <m/>
    <m/>
    <m/>
    <s v=""/>
    <m/>
    <m/>
    <m/>
    <s v="En 2017, chiffres revus à la hausse à 420 M £"/>
    <m/>
    <n v="8"/>
    <n v="0"/>
    <s v="GB00B7KR2P841"/>
    <s v="GB00B7KR2P84"/>
    <n v="1"/>
    <x v="0"/>
    <m/>
    <m/>
    <m/>
  </r>
  <r>
    <m/>
    <m/>
    <m/>
    <m/>
    <n v="13.3"/>
    <x v="5"/>
    <n v="6385000000"/>
    <n v="970000000"/>
    <n v="466000000"/>
    <n v="349000000"/>
    <n v="326000000"/>
    <n v="2985000000"/>
    <n v="7.5149543815834523"/>
    <n v="0.1169179229480737"/>
    <n v="0.10977952280277861"/>
    <n v="397208000"/>
    <n v="5282866400"/>
    <n v="1.7698044891122278"/>
    <n v="12.03619399141631"/>
    <m/>
    <n v="13000"/>
    <n v="491153.84615384613"/>
    <m/>
    <m/>
    <m/>
    <s v="En 2018, bons résultats au 30/09/2018 malgré le Brexit, la hausse du pétrole et la mise en place de la reprise des activités de Air Berlin en décembre 2017. Sinon tx de remplissage de 93%, Capacité de progression intéressante"/>
    <m/>
    <n v="9"/>
    <n v="0"/>
    <s v="GB00B7KR2P8412019"/>
    <s v="GB00B7KR2P84"/>
    <n v="1"/>
    <x v="0"/>
    <m/>
    <m/>
    <m/>
  </r>
  <r>
    <m/>
    <m/>
    <m/>
    <m/>
    <m/>
    <x v="1"/>
    <n v="8.2570362834859301E-2"/>
    <n v="0.15613825983313467"/>
    <n v="-0.21680672268907564"/>
    <n v="-2.5139664804469275E-2"/>
    <m/>
    <m/>
    <m/>
    <m/>
    <m/>
    <m/>
    <m/>
    <m/>
    <m/>
    <m/>
    <m/>
    <s v=""/>
    <m/>
    <m/>
    <m/>
    <s v="Potentiel avec l'intégration des activités d'Air Berlin. Investissement 1 Md£ par an sur les 4 prochaines années. ROCE à 14,4% en 2018 (avec un calcul spécifique incorporant le leasing)"/>
    <m/>
    <n v="10"/>
    <n v="0"/>
    <s v="GB00B7KR2P841"/>
    <s v="GB00B7KR2P84"/>
    <n v="1"/>
    <x v="0"/>
    <m/>
    <m/>
    <m/>
  </r>
  <r>
    <m/>
    <m/>
    <m/>
    <m/>
    <n v="12.08"/>
    <x v="6"/>
    <n v="5898000000"/>
    <n v="839000000"/>
    <n v="595000000"/>
    <n v="358000000"/>
    <n v="-396000000"/>
    <n v="3233000000"/>
    <n v="8.2074285738119936"/>
    <n v="0.11073306526446025"/>
    <n v="0.16358829749735637"/>
    <n v="393911439"/>
    <n v="5239022138.6999998"/>
    <n v="1.6204831854933497"/>
    <n v="8.1395330062184872"/>
    <m/>
    <m/>
    <s v=""/>
    <m/>
    <m/>
    <m/>
    <s v="Acquisition de 26 slots de Thomas Cook pour 36 M£. Impacts IFRS 16 en 2019, hausse de la dette de 531 Me. Leasing comptabilisé en dette à hauteur de 7 années de loyers de leasing de l'avion"/>
    <m/>
    <n v="11"/>
    <n v="0"/>
    <s v="GB00B7KR2P8412018"/>
    <s v="GB00B7KR2P84"/>
    <n v="1"/>
    <x v="0"/>
    <m/>
    <m/>
    <m/>
  </r>
  <r>
    <m/>
    <m/>
    <m/>
    <m/>
    <m/>
    <x v="1"/>
    <n v="0.16861501882306329"/>
    <m/>
    <n v="0.45833333333333326"/>
    <n v="0.17377049180327875"/>
    <m/>
    <m/>
    <m/>
    <m/>
    <m/>
    <m/>
    <m/>
    <m/>
    <m/>
    <m/>
    <m/>
    <s v=""/>
    <m/>
    <m/>
    <m/>
    <s v="En 2020, augmentation de capital en juin 2020 : à 7,03 £ pour 419 M £ et 89 Millions de titres."/>
    <m/>
    <n v="12"/>
    <n v="0"/>
    <s v="GB00B7KR2P841"/>
    <s v="GB00B7KR2P84"/>
    <n v="1"/>
    <x v="0"/>
    <m/>
    <m/>
    <m/>
  </r>
  <r>
    <m/>
    <m/>
    <m/>
    <m/>
    <n v="13.9"/>
    <x v="7"/>
    <n v="5047000000"/>
    <m/>
    <n v="408000000"/>
    <n v="305000000"/>
    <n v="-357000000"/>
    <n v="2694000000"/>
    <n v="6.8391007045621741"/>
    <n v="0.11321455085374907"/>
    <n v="0.13617458279845956"/>
    <n v="393911439"/>
    <n v="5475369002.1000004"/>
    <n v="2.0324309584632516"/>
    <n v="12.54502206397059"/>
    <m/>
    <m/>
    <s v=""/>
    <m/>
    <m/>
    <m/>
    <s v="Q4-2020 : -73% de chiffre d'affaires et pertes comprises entre 295 et 325 M£. Pertes annuelles 2020 : 1 Md £ et dettes à +800 M£ car il y a eu l'augmentation de capital"/>
    <m/>
    <n v="13"/>
    <n v="0"/>
    <s v="GB00B7KR2P8412017"/>
    <s v="GB00B7KR2P84"/>
    <n v="1"/>
    <x v="0"/>
    <m/>
    <m/>
    <m/>
  </r>
  <r>
    <m/>
    <m/>
    <m/>
    <m/>
    <m/>
    <x v="1"/>
    <n v="8.0959520239880067E-2"/>
    <m/>
    <n v="-0.18072289156626509"/>
    <n v="-0.30205949656750575"/>
    <m/>
    <m/>
    <m/>
    <m/>
    <m/>
    <m/>
    <m/>
    <m/>
    <m/>
    <m/>
    <m/>
    <s v=""/>
    <m/>
    <m/>
    <m/>
    <s v="Au Q1 - 2021 : offre à 25% de la situation d'avant-crise. Coût de la crise probablement 2 Md £ sur deux ans soit 5 £ par action"/>
    <m/>
    <n v="14"/>
    <n v="0"/>
    <s v="GB00B7KR2P841"/>
    <s v="GB00B7KR2P84"/>
    <n v="1"/>
    <x v="0"/>
    <m/>
    <m/>
    <m/>
  </r>
  <r>
    <m/>
    <m/>
    <m/>
    <m/>
    <n v="9"/>
    <x v="8"/>
    <n v="4669000000"/>
    <m/>
    <n v="498000000"/>
    <n v="437000000"/>
    <n v="-213000000"/>
    <n v="2550000000"/>
    <n v="6.4735363016457104"/>
    <n v="0.17137254901960786"/>
    <n v="0.16621309370988446"/>
    <n v="393911439"/>
    <n v="3545202951"/>
    <n v="1.3902756670588234"/>
    <n v="6.6911705843373497"/>
    <m/>
    <m/>
    <s v=""/>
    <m/>
    <m/>
    <m/>
    <s v="À fin juin 2021, Easy Jet tourne à 60% de 2019 et en septembre lève 1,2 Md £ à après avoir refusé une offre de rachat"/>
    <m/>
    <n v="15"/>
    <n v="0"/>
    <s v="GB00B7KR2P8412016"/>
    <s v="GB00B7KR2P84"/>
    <n v="1"/>
    <x v="0"/>
    <m/>
    <m/>
    <m/>
  </r>
  <r>
    <m/>
    <m/>
    <m/>
    <m/>
    <m/>
    <x v="1"/>
    <n v="-3.6278275714894948E-3"/>
    <m/>
    <n v="-0.27616279069767447"/>
    <n v="-0.20255474452554745"/>
    <m/>
    <m/>
    <m/>
    <m/>
    <m/>
    <m/>
    <m/>
    <m/>
    <m/>
    <m/>
    <m/>
    <s v=""/>
    <m/>
    <m/>
    <m/>
    <s v="À fin septembre 2021, l'offre 2022 tourne à 70% de 2019 en remontant l'offre là où il y a de la demande (Baléares, Égypte, Turquie)  Pertes toujours importantes et pas de dividendes "/>
    <m/>
    <n v="16"/>
    <n v="0"/>
    <s v="GB00B7KR2P841"/>
    <s v="GB00B7KR2P84"/>
    <n v="1"/>
    <x v="0"/>
    <m/>
    <m/>
    <m/>
  </r>
  <r>
    <m/>
    <m/>
    <m/>
    <m/>
    <n v="15"/>
    <x v="9"/>
    <n v="4686000000"/>
    <m/>
    <n v="688000000"/>
    <n v="548000000"/>
    <n v="-435000000"/>
    <n v="2249000000"/>
    <n v="5.709405153882825"/>
    <n v="0.2436638506002668"/>
    <n v="0.29583241455347298"/>
    <n v="393911439"/>
    <n v="5908671585"/>
    <n v="2.6272439239662071"/>
    <n v="7.9559180014534885"/>
    <m/>
    <m/>
    <s v=""/>
    <m/>
    <m/>
    <m/>
    <s v="En 2022, perte d'explotation au 1T (fin décembre) réduite de moitié à 213 M£, tourne à 69% de 2019 (et à 50% en janvier) retour au niveau de 2019 pour la saison estivale avec la fin des tests obligatoires au Royaume-Uni"/>
    <m/>
    <n v="17"/>
    <n v="0"/>
    <s v="GB00B7KR2P8412015"/>
    <s v="GB00B7KR2P84"/>
    <n v="1"/>
    <x v="0"/>
    <m/>
    <m/>
    <m/>
  </r>
  <r>
    <m/>
    <m/>
    <m/>
    <m/>
    <m/>
    <x v="1"/>
    <m/>
    <m/>
    <m/>
    <m/>
    <m/>
    <m/>
    <m/>
    <m/>
    <m/>
    <m/>
    <m/>
    <m/>
    <m/>
    <m/>
    <m/>
    <s v=""/>
    <m/>
    <m/>
    <m/>
    <s v="Perte au premier semestre de 550 M£ avec en mars une activité à 80% de 2019, l'activité est estimé pour fin juin à 90% et pour l'été proche de 2019"/>
    <m/>
    <n v="18"/>
    <n v="0"/>
    <s v="GB00B7KR2P841"/>
    <s v="GB00B7KR2P84"/>
    <n v="1"/>
    <x v="0"/>
    <m/>
    <m/>
    <m/>
  </r>
  <r>
    <m/>
    <m/>
    <m/>
    <m/>
    <m/>
    <x v="1"/>
    <m/>
    <m/>
    <m/>
    <m/>
    <m/>
    <m/>
    <m/>
    <m/>
    <m/>
    <m/>
    <m/>
    <m/>
    <m/>
    <m/>
    <m/>
    <s v=""/>
    <m/>
    <m/>
    <m/>
    <s v="Ventes du 4T22, 90 % de 2019 mais en valeur 13% au-dessus de 2019. Acquisition de 18 slots à l'aéroport de Lisbonne. Problème d'organisation face à la forte reprise et hausse du carburant. A320 Neo (15% de la flotte au 31/12/2021) économise 15% de consommation de fuel"/>
    <m/>
    <n v="19"/>
    <n v="0"/>
    <s v="GB00B7KR2P841"/>
    <s v="GB00B7KR2P84"/>
    <n v="1"/>
    <x v="0"/>
    <m/>
    <m/>
    <m/>
  </r>
  <r>
    <m/>
    <m/>
    <m/>
    <m/>
    <m/>
    <x v="1"/>
    <m/>
    <m/>
    <m/>
    <m/>
    <m/>
    <m/>
    <m/>
    <m/>
    <m/>
    <m/>
    <m/>
    <m/>
    <m/>
    <m/>
    <m/>
    <s v=""/>
    <m/>
    <m/>
    <m/>
    <s v="À fin septembre 2022, résultats proche de l'équilibre après un fort été (69,4 Millions de passagers et 85,5% de taux de remplissage). 2023, retour à la normale avec un objectif de 94 millions de passagers. Fuel couvert à 69% au 1S 2023 et dollar 78%"/>
    <m/>
    <n v="20"/>
    <n v="0"/>
    <s v="GB00B7KR2P841"/>
    <s v="GB00B7KR2P84"/>
    <n v="1"/>
    <x v="0"/>
    <m/>
    <m/>
    <m/>
  </r>
  <r>
    <m/>
    <m/>
    <m/>
    <m/>
    <m/>
    <x v="1"/>
    <m/>
    <m/>
    <m/>
    <m/>
    <m/>
    <m/>
    <m/>
    <m/>
    <m/>
    <m/>
    <m/>
    <m/>
    <m/>
    <m/>
    <m/>
    <s v=""/>
    <m/>
    <m/>
    <m/>
    <s v="Taux d'IS : 19%. Clôture des comptes en septembre"/>
    <m/>
    <n v="21"/>
    <n v="0"/>
    <s v="GB00B7KR2P841"/>
    <s v="GB00B7KR2P84"/>
    <n v="1"/>
    <x v="0"/>
    <m/>
    <m/>
    <m/>
  </r>
  <r>
    <m/>
    <m/>
    <m/>
    <m/>
    <m/>
    <x v="1"/>
    <m/>
    <m/>
    <m/>
    <m/>
    <m/>
    <m/>
    <m/>
    <m/>
    <m/>
    <m/>
    <m/>
    <m/>
    <m/>
    <m/>
    <m/>
    <s v=""/>
    <m/>
    <m/>
    <m/>
    <s v="Pas de minoritaires"/>
    <m/>
    <n v="22"/>
    <n v="0"/>
    <s v="GB00B7KR2P841"/>
    <s v="GB00B7KR2P84"/>
    <n v="1"/>
    <x v="0"/>
    <m/>
    <m/>
    <m/>
  </r>
  <r>
    <m/>
    <m/>
    <m/>
    <m/>
    <m/>
    <x v="1"/>
    <m/>
    <m/>
    <m/>
    <m/>
    <m/>
    <m/>
    <m/>
    <m/>
    <m/>
    <m/>
    <m/>
    <m/>
    <m/>
    <m/>
    <m/>
    <s v=""/>
    <m/>
    <m/>
    <m/>
    <s v="Pas de dividendes pour les exercices 2020-2021"/>
    <m/>
    <n v="23"/>
    <n v="0"/>
    <s v="GB00B7KR2P841"/>
    <s v="GB00B7KR2P84"/>
    <n v="1"/>
    <x v="0"/>
    <m/>
    <m/>
    <m/>
  </r>
  <r>
    <m/>
    <m/>
    <m/>
    <m/>
    <m/>
    <x v="1"/>
    <m/>
    <m/>
    <m/>
    <m/>
    <m/>
    <m/>
    <m/>
    <m/>
    <m/>
    <m/>
    <m/>
    <m/>
    <m/>
    <m/>
    <m/>
    <s v=""/>
    <m/>
    <m/>
    <m/>
    <m/>
    <m/>
    <n v="24"/>
    <n v="0"/>
    <s v="GB00B7KR2P841"/>
    <s v="GB00B7KR2P84"/>
    <n v="1"/>
    <x v="0"/>
    <m/>
    <m/>
    <m/>
  </r>
  <r>
    <m/>
    <m/>
    <m/>
    <m/>
    <m/>
    <x v="1"/>
    <m/>
    <m/>
    <m/>
    <m/>
    <m/>
    <m/>
    <m/>
    <m/>
    <m/>
    <m/>
    <m/>
    <m/>
    <m/>
    <m/>
    <m/>
    <s v=""/>
    <m/>
    <m/>
    <m/>
    <m/>
    <m/>
    <n v="25"/>
    <n v="0"/>
    <s v="GB00B7KR2P841"/>
    <s v="GB00B7KR2P84"/>
    <n v="1"/>
    <x v="0"/>
    <m/>
    <m/>
    <m/>
  </r>
  <r>
    <m/>
    <m/>
    <m/>
    <m/>
    <m/>
    <x v="1"/>
    <m/>
    <m/>
    <m/>
    <m/>
    <m/>
    <m/>
    <m/>
    <m/>
    <m/>
    <m/>
    <m/>
    <m/>
    <m/>
    <m/>
    <m/>
    <s v=""/>
    <m/>
    <m/>
    <m/>
    <m/>
    <m/>
    <n v="26"/>
    <n v="0"/>
    <s v="GB00B7KR2P841"/>
    <s v="GB00B7KR2P84"/>
    <n v="1"/>
    <x v="0"/>
    <m/>
    <m/>
    <m/>
  </r>
  <r>
    <m/>
    <m/>
    <m/>
    <m/>
    <m/>
    <x v="1"/>
    <m/>
    <m/>
    <m/>
    <m/>
    <m/>
    <m/>
    <m/>
    <m/>
    <m/>
    <m/>
    <m/>
    <m/>
    <m/>
    <m/>
    <m/>
    <s v=""/>
    <m/>
    <m/>
    <m/>
    <m/>
    <m/>
    <n v="27"/>
    <n v="0"/>
    <s v="GB00B7KR2P841"/>
    <s v="GB00B7KR2P84"/>
    <n v="1"/>
    <x v="0"/>
    <m/>
    <m/>
    <m/>
  </r>
  <r>
    <s v="Air France - KLM"/>
    <s v="Transport aérien "/>
    <s v="France"/>
    <s v="Euro"/>
    <n v="3.87"/>
    <x v="5"/>
    <n v="26515000000"/>
    <n v="4217000000"/>
    <n v="1332000000"/>
    <n v="500000000"/>
    <n v="6000000000"/>
    <n v="2000000000"/>
    <n v="4.6659850517936592"/>
    <n v="0.25"/>
    <n v="0.12987000000000001"/>
    <n v="428634035"/>
    <n v="1658813715.45"/>
    <n v="0.829406857725"/>
    <n v="0.76817420017845894"/>
    <m/>
    <m/>
    <s v=""/>
    <m/>
    <m/>
    <m/>
    <s v="Compagnié aérienne française. Rapprochement avec KLM dans les années 2000 sous l'ère Spinetta"/>
    <m/>
    <n v="28"/>
    <n v="0"/>
    <s v="FR000003112212019"/>
    <s v="FR0000031122"/>
    <n v="1"/>
    <x v="1"/>
    <m/>
    <m/>
    <m/>
  </r>
  <r>
    <m/>
    <m/>
    <m/>
    <m/>
    <m/>
    <x v="1"/>
    <n v="0"/>
    <n v="0"/>
    <n v="0"/>
    <n v="0.22249388753056243"/>
    <m/>
    <m/>
    <m/>
    <m/>
    <m/>
    <m/>
    <m/>
    <m/>
    <m/>
    <m/>
    <m/>
    <s v=""/>
    <m/>
    <m/>
    <m/>
    <s v="Actionnaire : État français 14,3%, Delta : 8,8%, China : 8,8%, salariés : 3,3%. Augmentation de capital en 2017 de 747 M euros . Fin 2011, 5 Md euros de FP quasi consommé fin 2014"/>
    <m/>
    <n v="29"/>
    <n v="0"/>
    <s v="FR00000311221"/>
    <s v="FR0000031122"/>
    <n v="1"/>
    <x v="1"/>
    <m/>
    <m/>
    <m/>
  </r>
  <r>
    <m/>
    <m/>
    <m/>
    <m/>
    <n v="9"/>
    <x v="6"/>
    <n v="26515000000"/>
    <n v="4217000000"/>
    <n v="1332000000"/>
    <n v="409000000"/>
    <n v="6164000000"/>
    <n v="1863000000"/>
    <n v="4.3463650757457932"/>
    <n v="0.21953837895866882"/>
    <n v="0.12943316307462316"/>
    <n v="428634035"/>
    <n v="3857706315"/>
    <n v="2.0706958212560385"/>
    <n v="1.3565820049798434"/>
    <m/>
    <m/>
    <s v=""/>
    <m/>
    <m/>
    <m/>
    <s v="Importance des lignes, sorte de rente. Plus important réseau au départ de l'Europe vers le Monde. 560 avions (propriété, leasing et locations)"/>
    <m/>
    <n v="30"/>
    <n v="0"/>
    <s v="FR000003112212018"/>
    <s v="FR0000031122"/>
    <n v="1"/>
    <x v="1"/>
    <m/>
    <m/>
    <m/>
  </r>
  <r>
    <m/>
    <m/>
    <m/>
    <m/>
    <m/>
    <x v="1"/>
    <n v="2.8470579108645921E-2"/>
    <n v="-0.11463363426411921"/>
    <n v="-0.30733229329173162"/>
    <n v="-2.492700729927007"/>
    <m/>
    <m/>
    <m/>
    <m/>
    <m/>
    <m/>
    <m/>
    <m/>
    <m/>
    <m/>
    <m/>
    <s v=""/>
    <m/>
    <m/>
    <m/>
    <s v="Plusieurs marques : AF, KLM, Transavia et Joon. Bon démarrage du low cost Transavia. Secteur en croissance mais concurrentiel. 100 millions de passagers en 2017"/>
    <m/>
    <n v="31"/>
    <n v="0"/>
    <s v="FR00000311221"/>
    <s v="FR0000031122"/>
    <n v="1"/>
    <x v="1"/>
    <m/>
    <m/>
    <m/>
  </r>
  <r>
    <m/>
    <m/>
    <m/>
    <m/>
    <n v="14.06"/>
    <x v="7"/>
    <n v="25781000000"/>
    <n v="4763000000"/>
    <n v="1923000000"/>
    <n v="-274000000"/>
    <n v="6359000000"/>
    <n v="2420000000"/>
    <n v="5.6458419126703276"/>
    <n v="-0.11322314049586776"/>
    <n v="0.17085545050689144"/>
    <n v="428634035"/>
    <n v="6026594532.1000004"/>
    <n v="2.4903283190495871"/>
    <n v="1.7733769750367416"/>
    <m/>
    <m/>
    <s v=""/>
    <m/>
    <m/>
    <m/>
    <s v="KLM deux fois plus rentable que AF"/>
    <m/>
    <n v="32"/>
    <n v="0"/>
    <s v="FR000003112212017"/>
    <s v="FR0000031122"/>
    <n v="1"/>
    <x v="1"/>
    <m/>
    <m/>
    <m/>
  </r>
  <r>
    <m/>
    <m/>
    <m/>
    <m/>
    <m/>
    <x v="1"/>
    <n v="3.7715343744968655E-2"/>
    <n v="0.5537951363301401"/>
    <n v="0.83317445185891326"/>
    <n v="-1.345959595959596"/>
    <m/>
    <m/>
    <m/>
    <m/>
    <m/>
    <m/>
    <m/>
    <m/>
    <m/>
    <m/>
    <m/>
    <s v=""/>
    <m/>
    <m/>
    <m/>
    <s v="En tenant compte du leasing, l'endettement net monte de 7 616 M e à 9 273 M e en 2017 contre 11 166 M e en 2016. 7 fois la location annuelle. VE / EBITDAR : 4 fois"/>
    <m/>
    <n v="33"/>
    <n v="0"/>
    <s v="FR00000311221"/>
    <s v="FR0000031122"/>
    <n v="1"/>
    <x v="1"/>
    <m/>
    <m/>
    <m/>
  </r>
  <r>
    <m/>
    <m/>
    <m/>
    <m/>
    <n v="5.17"/>
    <x v="8"/>
    <n v="24844000000"/>
    <n v="2714000000"/>
    <n v="1049000000"/>
    <n v="792000000"/>
    <n v="3655000000"/>
    <n v="1784000000"/>
    <n v="5.9423232641309598"/>
    <n v="0.44394618834080718"/>
    <n v="0.1504357418643133"/>
    <n v="300219278"/>
    <n v="1552133667.26"/>
    <n v="0.87003008254484304"/>
    <n v="1.2292312701768608"/>
    <m/>
    <m/>
    <s v=""/>
    <m/>
    <m/>
    <m/>
    <s v="Problème : grève des salariés, concurrence et prix du kérosène (près de 20% du CA), redvances (près de 8%). Beau redressement des comptes en 2017, Résultat net (pg) 745 M euros"/>
    <m/>
    <n v="34"/>
    <n v="0"/>
    <s v="FR000003112212016"/>
    <s v="FR0000031122"/>
    <n v="1"/>
    <x v="1"/>
    <m/>
    <m/>
    <m/>
  </r>
  <r>
    <m/>
    <m/>
    <m/>
    <m/>
    <m/>
    <x v="1"/>
    <n v="-4.6624966422349257E-2"/>
    <n v="0.10911319983653445"/>
    <n v="-5.9192825112107661E-2"/>
    <n v="5.2362204724409445"/>
    <m/>
    <m/>
    <m/>
    <m/>
    <m/>
    <m/>
    <m/>
    <m/>
    <m/>
    <m/>
    <m/>
    <s v=""/>
    <m/>
    <m/>
    <m/>
    <s v="La crise Covid-19 a coûté 10 Md euros de pertes : 7 Md euros en 2020 et 3,3 Md euros en 2021"/>
    <m/>
    <n v="35"/>
    <n v="0"/>
    <s v="FR00000311221"/>
    <s v="FR0000031122"/>
    <n v="1"/>
    <x v="1"/>
    <m/>
    <m/>
    <m/>
  </r>
  <r>
    <m/>
    <m/>
    <m/>
    <m/>
    <n v="6.99"/>
    <x v="9"/>
    <n v="26059000000"/>
    <n v="2447000000"/>
    <n v="1115000000"/>
    <n v="127000000"/>
    <n v="4307000000"/>
    <n v="273000000"/>
    <n v="0.90933534254918835"/>
    <n v="0.46520146520146521"/>
    <n v="0.18989082969432314"/>
    <n v="300219278"/>
    <n v="2098532753.22"/>
    <n v="7.6869331619780219"/>
    <n v="0.96915927798120161"/>
    <m/>
    <m/>
    <s v=""/>
    <m/>
    <m/>
    <m/>
    <s v="2,5 Md de titres en circulation, EBE autour de 2 Md euros et 6 Md euros de dettes"/>
    <m/>
    <n v="36"/>
    <n v="0"/>
    <s v="FR000003112212015"/>
    <s v="FR0000031122"/>
    <n v="1"/>
    <x v="1"/>
    <m/>
    <m/>
    <m/>
  </r>
  <r>
    <m/>
    <m/>
    <m/>
    <m/>
    <m/>
    <x v="1"/>
    <n v="4.6042068079640286E-2"/>
    <n v="0.53996224040276908"/>
    <n v="0.48468708388814918"/>
    <n v="-1.5879629629629628"/>
    <m/>
    <m/>
    <m/>
    <m/>
    <m/>
    <m/>
    <m/>
    <m/>
    <m/>
    <m/>
    <m/>
    <s v=""/>
    <m/>
    <m/>
    <m/>
    <s v="84 000 salariés pour 26 Md euros de CA soit 300 K euros par salarié pour 560 avions et 100 millions de passagers. Delta Airlines : 80 000 salariés, 800 avions et 180 millions de passagers"/>
    <m/>
    <n v="37"/>
    <n v="0"/>
    <s v="FR00000311221"/>
    <s v="FR0000031122"/>
    <n v="1"/>
    <x v="1"/>
    <m/>
    <m/>
    <m/>
  </r>
  <r>
    <m/>
    <m/>
    <m/>
    <m/>
    <n v="8.08"/>
    <x v="10"/>
    <n v="24912000000"/>
    <n v="1589000000"/>
    <n v="751000000"/>
    <n v="-216000000"/>
    <n v="5407000000"/>
    <n v="-653000000"/>
    <n v="-2.1750768449986082"/>
    <n v="0.33078101071975496"/>
    <n v="0.12321834244846445"/>
    <n v="300219278"/>
    <n v="2425771766.2400002"/>
    <n v="-3.7148112806125577"/>
    <n v="1.1156524645940844"/>
    <m/>
    <m/>
    <s v=""/>
    <m/>
    <m/>
    <m/>
    <m/>
    <m/>
    <n v="38"/>
    <n v="0"/>
    <s v="FR000003112212014"/>
    <s v="FR0000031122"/>
    <n v="1"/>
    <x v="1"/>
    <m/>
    <m/>
    <m/>
  </r>
  <r>
    <m/>
    <m/>
    <m/>
    <m/>
    <m/>
    <x v="1"/>
    <n v="-2.3824451410658254E-2"/>
    <n v="-0.14339622641509431"/>
    <n v="4.7769230769230768"/>
    <n v="-0.88177339901477836"/>
    <m/>
    <m/>
    <m/>
    <m/>
    <m/>
    <m/>
    <m/>
    <m/>
    <m/>
    <m/>
    <m/>
    <s v=""/>
    <m/>
    <m/>
    <m/>
    <m/>
    <m/>
    <n v="39"/>
    <n v="0"/>
    <s v="FR00000311221"/>
    <s v="FR0000031122"/>
    <n v="1"/>
    <x v="1"/>
    <m/>
    <m/>
    <m/>
  </r>
  <r>
    <m/>
    <m/>
    <m/>
    <m/>
    <n v="7.67"/>
    <x v="11"/>
    <n v="25520000000"/>
    <n v="1855000000"/>
    <n v="130000000"/>
    <n v="-1827000000"/>
    <n v="5348000000"/>
    <n v="2242000000"/>
    <n v="7.4678748644515762"/>
    <n v="-0.81489741302408569"/>
    <n v="1.3359683794466403E-2"/>
    <n v="300219278"/>
    <n v="2302681862.2599998"/>
    <n v="1.0270659510526314"/>
    <n v="2.4499632680646903"/>
    <m/>
    <m/>
    <s v=""/>
    <m/>
    <m/>
    <m/>
    <m/>
    <m/>
    <n v="40"/>
    <n v="0"/>
    <s v="FR000003112212013"/>
    <s v="FR0000031122"/>
    <n v="1"/>
    <x v="1"/>
    <m/>
    <m/>
    <m/>
  </r>
  <r>
    <m/>
    <m/>
    <m/>
    <m/>
    <m/>
    <x v="1"/>
    <n v="3.8154427093577414E-3"/>
    <n v="0.33070301291248216"/>
    <n v="-1.3869047619047619"/>
    <n v="0.49142857142857133"/>
    <m/>
    <m/>
    <m/>
    <m/>
    <m/>
    <m/>
    <m/>
    <m/>
    <m/>
    <m/>
    <m/>
    <s v=""/>
    <m/>
    <m/>
    <m/>
    <m/>
    <m/>
    <n v="41"/>
    <n v="0"/>
    <s v="FR00000311221"/>
    <s v="FR0000031122"/>
    <n v="1"/>
    <x v="1"/>
    <m/>
    <m/>
    <m/>
  </r>
  <r>
    <m/>
    <m/>
    <m/>
    <m/>
    <n v="7.03"/>
    <x v="12"/>
    <n v="25423000000"/>
    <n v="1394000000"/>
    <n v="-336000000"/>
    <n v="-1225000000"/>
    <n v="5966000000"/>
    <n v="3589000000"/>
    <n v="11.954595400765703"/>
    <n v="-0.34132070214544441"/>
    <n v="-2.7428571428571427E-2"/>
    <n v="300219278"/>
    <n v="2110541524.3400002"/>
    <n v="0.58805837958762885"/>
    <n v="4.0886237620803447"/>
    <m/>
    <m/>
    <s v=""/>
    <m/>
    <m/>
    <m/>
    <m/>
    <m/>
    <n v="42"/>
    <n v="0"/>
    <s v="FR000003112212012"/>
    <s v="FR0000031122"/>
    <n v="1"/>
    <x v="1"/>
    <m/>
    <m/>
    <m/>
  </r>
  <r>
    <m/>
    <m/>
    <m/>
    <m/>
    <m/>
    <x v="1"/>
    <m/>
    <m/>
    <m/>
    <m/>
    <m/>
    <m/>
    <m/>
    <m/>
    <m/>
    <m/>
    <m/>
    <m/>
    <m/>
    <m/>
    <m/>
    <s v=""/>
    <m/>
    <m/>
    <m/>
    <m/>
    <m/>
    <n v="43"/>
    <n v="0"/>
    <s v="FR00000311221"/>
    <s v="FR0000031122"/>
    <n v="1"/>
    <x v="1"/>
    <m/>
    <m/>
    <m/>
  </r>
  <r>
    <m/>
    <m/>
    <m/>
    <m/>
    <m/>
    <x v="1"/>
    <m/>
    <m/>
    <m/>
    <m/>
    <m/>
    <m/>
    <m/>
    <m/>
    <m/>
    <m/>
    <m/>
    <m/>
    <m/>
    <m/>
    <m/>
    <s v=""/>
    <m/>
    <m/>
    <m/>
    <m/>
    <m/>
    <n v="44"/>
    <n v="0"/>
    <s v="FR00000311221"/>
    <s v="FR0000031122"/>
    <n v="1"/>
    <x v="1"/>
    <m/>
    <m/>
    <m/>
  </r>
  <r>
    <m/>
    <m/>
    <m/>
    <m/>
    <m/>
    <x v="1"/>
    <m/>
    <m/>
    <m/>
    <m/>
    <m/>
    <m/>
    <m/>
    <m/>
    <m/>
    <m/>
    <m/>
    <m/>
    <m/>
    <m/>
    <m/>
    <s v=""/>
    <m/>
    <m/>
    <m/>
    <m/>
    <m/>
    <n v="45"/>
    <n v="0"/>
    <s v="FR00000311221"/>
    <s v="FR0000031122"/>
    <n v="1"/>
    <x v="1"/>
    <m/>
    <m/>
    <m/>
  </r>
  <r>
    <s v="Swatch Group"/>
    <s v="Montres"/>
    <s v="Suisse"/>
    <s v="CHF"/>
    <n v="310.8"/>
    <x v="0"/>
    <n v="8500000000"/>
    <n v="1800000000"/>
    <n v="1300000000"/>
    <n v="1100000000"/>
    <n v="-3000000000"/>
    <n v="12600000000"/>
    <n v="300"/>
    <n v="0.1156555567237935"/>
    <n v="0.10661339501629692"/>
    <n v="28888308"/>
    <n v="15496844193.450001"/>
    <n v="1.2299082693214287"/>
    <n v="6.9426912185833336"/>
    <m/>
    <n v="32500"/>
    <n v="261538.46153846153"/>
    <n v="1000000000"/>
    <s v="E = 1"/>
    <m/>
    <s v="1983 : naissance du groupe suite à la fusion de ASUAG (fondée en 1931) et SSIH (fondée en 1930). Renommée en 1998 Swatch Group"/>
    <m/>
    <n v="46"/>
    <s v="p"/>
    <s v="CH001225515112023"/>
    <s v="CH0012255151"/>
    <n v="1"/>
    <x v="2"/>
    <m/>
    <m/>
    <m/>
  </r>
  <r>
    <m/>
    <m/>
    <m/>
    <m/>
    <n v="56.85"/>
    <x v="1"/>
    <n v="0.1334844645952793"/>
    <n v="7.1428571428571397E-2"/>
    <n v="0.12262521588946451"/>
    <n v="0.36307311028500622"/>
    <m/>
    <m/>
    <m/>
    <m/>
    <m/>
    <n v="114658893"/>
    <m/>
    <m/>
    <m/>
    <m/>
    <m/>
    <s v=""/>
    <m/>
    <s v="S = 2"/>
    <m/>
    <s v="Seconde génération à la tête : Nick Hayek (CEO) suite au décès de son père en 2010 et Nayla Hayek présidente du conseil d'administration"/>
    <m/>
    <n v="47"/>
    <s v="p"/>
    <s v="CH00122551511"/>
    <s v="CH0012255151"/>
    <n v="1"/>
    <x v="2"/>
    <m/>
    <m/>
    <m/>
  </r>
  <r>
    <m/>
    <m/>
    <m/>
    <m/>
    <m/>
    <x v="1"/>
    <m/>
    <m/>
    <m/>
    <m/>
    <m/>
    <m/>
    <m/>
    <m/>
    <m/>
    <m/>
    <m/>
    <m/>
    <m/>
    <m/>
    <m/>
    <s v=""/>
    <m/>
    <s v="G = 2"/>
    <m/>
    <s v="Actionnaire familial : Hayek 40,5% du capital"/>
    <m/>
    <n v="48"/>
    <s v="p"/>
    <s v="CH00122551511"/>
    <s v="CH0012255151"/>
    <n v="1"/>
    <x v="2"/>
    <m/>
    <m/>
    <m/>
  </r>
  <r>
    <m/>
    <m/>
    <m/>
    <m/>
    <n v="263"/>
    <x v="2"/>
    <n v="7499000000"/>
    <n v="1680000000"/>
    <n v="1158000000"/>
    <n v="807000000"/>
    <n v="-2540000000"/>
    <n v="12051000000"/>
    <n v="285"/>
    <n v="8.9200840057477623E-2"/>
    <n v="9.9838620537194653E-2"/>
    <n v="28883462"/>
    <n v="14464668466"/>
    <n v="1.2002878156169612"/>
    <n v="7.0980169440476191"/>
    <m/>
    <n v="32061"/>
    <n v="233897.88216212843"/>
    <n v="342000000"/>
    <m/>
    <m/>
    <s v="17 marques de Harry Winston à Swatch (Premium à entrée de gamme). Omega, Longines, Rado, Tissot, Blancpain, Hamilton"/>
    <m/>
    <n v="49"/>
    <s v="p"/>
    <s v="CH001225515112022"/>
    <s v="CH0012255151"/>
    <n v="1"/>
    <x v="2"/>
    <m/>
    <m/>
    <m/>
  </r>
  <r>
    <m/>
    <m/>
    <m/>
    <m/>
    <n v="60"/>
    <x v="1"/>
    <n v="2.5434158348147218E-2"/>
    <n v="0.15147361206305687"/>
    <n v="0.13418217433888335"/>
    <n v="5.4901960784313752E-2"/>
    <m/>
    <m/>
    <m/>
    <m/>
    <m/>
    <n v="114471966"/>
    <m/>
    <m/>
    <m/>
    <m/>
    <m/>
    <s v=""/>
    <m/>
    <m/>
    <m/>
    <s v="Mouvement et composants horlogers fabriqués en grande quantité pour d'autres acteurs. Position unique au Monde"/>
    <m/>
    <n v="50"/>
    <s v="p"/>
    <s v="CH00122551511"/>
    <s v="CH0012255151"/>
    <n v="1"/>
    <x v="2"/>
    <m/>
    <m/>
    <m/>
  </r>
  <r>
    <m/>
    <m/>
    <m/>
    <m/>
    <m/>
    <x v="1"/>
    <m/>
    <m/>
    <m/>
    <m/>
    <m/>
    <m/>
    <m/>
    <m/>
    <m/>
    <m/>
    <m/>
    <m/>
    <m/>
    <m/>
    <m/>
    <s v=""/>
    <m/>
    <m/>
    <m/>
    <s v="Chronométrage sportif : position de leader mondial et montres connectéés (santé, paiement) forte concurrence, (iwatch, fitbit…)"/>
    <m/>
    <n v="51"/>
    <s v="p"/>
    <s v="CH00122551511"/>
    <s v="CH0012255151"/>
    <n v="1"/>
    <x v="2"/>
    <m/>
    <m/>
    <m/>
  </r>
  <r>
    <m/>
    <m/>
    <m/>
    <m/>
    <n v="279"/>
    <x v="3"/>
    <n v="7313000000"/>
    <n v="1459000000"/>
    <n v="1021000000"/>
    <n v="765000000"/>
    <n v="-2558000000"/>
    <n v="11605000000"/>
    <n v="268.94"/>
    <n v="8.3179297597042512E-2"/>
    <n v="8.6591279765140805E-2"/>
    <n v="28883462"/>
    <n v="14177012480.700001"/>
    <n v="1.2216296838173202"/>
    <n v="7.9636823034270057"/>
    <m/>
    <n v="31444"/>
    <n v="232572.19183310011"/>
    <n v="1033000000"/>
    <m/>
    <m/>
    <s v="Présent dans 50 pays. Asie : 60% du CA (en 2019) et Chine plus de 40% en 2020 (à suivre une fois la situation normalisée)"/>
    <m/>
    <n v="52"/>
    <s v="p"/>
    <s v="CH001225515112021"/>
    <s v="CH0012255151"/>
    <n v="1"/>
    <x v="2"/>
    <m/>
    <m/>
    <m/>
  </r>
  <r>
    <m/>
    <m/>
    <m/>
    <m/>
    <n v="53.45"/>
    <x v="1"/>
    <n v="0.30705987488829312"/>
    <n v="1.8330097087378641"/>
    <n v="18.634615384615383"/>
    <m/>
    <m/>
    <m/>
    <m/>
    <m/>
    <m/>
    <n v="114471966"/>
    <m/>
    <m/>
    <m/>
    <m/>
    <m/>
    <s v=""/>
    <m/>
    <m/>
    <m/>
    <s v="1984 : période difficile avec l'arrivée des montres japonaises électroniques (Seiko...) finalement surmontée"/>
    <m/>
    <n v="53"/>
    <s v="p"/>
    <s v="CH00122551511"/>
    <s v="CH0012255151"/>
    <n v="1"/>
    <x v="2"/>
    <m/>
    <m/>
    <m/>
  </r>
  <r>
    <m/>
    <m/>
    <m/>
    <m/>
    <m/>
    <x v="1"/>
    <m/>
    <m/>
    <m/>
    <m/>
    <m/>
    <m/>
    <m/>
    <m/>
    <m/>
    <m/>
    <m/>
    <m/>
    <m/>
    <m/>
    <m/>
    <s v=""/>
    <m/>
    <m/>
    <m/>
    <s v="En avril 2015, arrivée de l'Apple watch. Les montres connectées ont pris un peu de la croissance d'activité et une partie de la création de valeur"/>
    <m/>
    <n v="54"/>
    <s v="p"/>
    <s v="CH00122551511"/>
    <s v="CH0012255151"/>
    <n v="1"/>
    <x v="2"/>
    <m/>
    <m/>
    <m/>
  </r>
  <r>
    <m/>
    <m/>
    <m/>
    <m/>
    <n v="241.5"/>
    <x v="4"/>
    <n v="5595000000"/>
    <n v="515000000"/>
    <n v="52000000"/>
    <n v="-51000000"/>
    <n v="-1700000000"/>
    <n v="10897000000"/>
    <n v="254.48"/>
    <n v="-4.6801872074882997E-3"/>
    <n v="4.410133739262803E-3"/>
    <n v="28872923"/>
    <n v="12452933560.5"/>
    <n v="1.1427854969716436"/>
    <n v="20.879482641747572"/>
    <m/>
    <n v="32424"/>
    <n v="172557.36491487786"/>
    <m/>
    <m/>
    <m/>
    <s v="Bilan sain avec des fonds propres représentant 80% du bilan et une large trésorerie"/>
    <m/>
    <n v="55"/>
    <s v="p"/>
    <s v="CH001225515112020"/>
    <s v="CH0012255151"/>
    <n v="1"/>
    <x v="2"/>
    <m/>
    <m/>
    <m/>
  </r>
  <r>
    <m/>
    <m/>
    <m/>
    <m/>
    <n v="48"/>
    <x v="1"/>
    <n v="-0.32124226616523111"/>
    <n v="-0.65735196274118435"/>
    <n v="-0.94916911045943309"/>
    <n v="-1.0681818181818181"/>
    <m/>
    <m/>
    <m/>
    <m/>
    <m/>
    <n v="114169222"/>
    <m/>
    <m/>
    <m/>
    <m/>
    <m/>
    <s v=""/>
    <m/>
    <m/>
    <m/>
    <s v="Août 2016 : point bas sur le titre atteint à 250 CHF soit 6,6 fois VE / EBE. Premier semestre 2017 en hausse  de 1,2% à 3,759 Md CHF"/>
    <m/>
    <n v="56"/>
    <s v="p"/>
    <s v="CH00122551511"/>
    <s v="CH0012255151"/>
    <n v="1"/>
    <x v="2"/>
    <m/>
    <m/>
    <m/>
  </r>
  <r>
    <m/>
    <m/>
    <m/>
    <m/>
    <m/>
    <x v="1"/>
    <m/>
    <m/>
    <m/>
    <m/>
    <m/>
    <m/>
    <m/>
    <m/>
    <m/>
    <m/>
    <m/>
    <m/>
    <m/>
    <m/>
    <m/>
    <s v=""/>
    <m/>
    <m/>
    <m/>
    <s v="En 2018, bon premier semestre : CA +14,7%, Rex +69,5% à 620 M CHF et RN +66,5% à 468 MCHF"/>
    <m/>
    <n v="57"/>
    <s v="p"/>
    <s v="CH00122551511"/>
    <s v="CH0012255151"/>
    <n v="1"/>
    <x v="2"/>
    <m/>
    <m/>
    <m/>
  </r>
  <r>
    <m/>
    <m/>
    <m/>
    <m/>
    <n v="290"/>
    <x v="5"/>
    <n v="8243000000"/>
    <n v="1503000000"/>
    <n v="1023000000"/>
    <n v="748000000"/>
    <n v="-1348000000"/>
    <n v="11405000000"/>
    <n v="268"/>
    <n v="6.5585269618588335E-2"/>
    <n v="7.934175201352292E-2"/>
    <n v="28814317"/>
    <n v="14027571630"/>
    <n v="1.229949288031565"/>
    <n v="8.436175402528276"/>
    <m/>
    <n v="36089"/>
    <n v="228407.54800631772"/>
    <m/>
    <m/>
    <m/>
    <s v="Deuxième semestre plus difficile. Poursuite de la croissance des marques et dans le Monde"/>
    <m/>
    <n v="58"/>
    <s v="p"/>
    <s v="CH001225515112019"/>
    <s v="CH0012255151"/>
    <n v="1"/>
    <x v="2"/>
    <m/>
    <m/>
    <m/>
  </r>
  <r>
    <m/>
    <m/>
    <m/>
    <m/>
    <n v="50"/>
    <x v="1"/>
    <n v="-2.7374631268436533E-2"/>
    <n v="-8.7985436893203928E-2"/>
    <n v="-0.11351819757365689"/>
    <n v="-0.13725490196078427"/>
    <m/>
    <m/>
    <m/>
    <m/>
    <m/>
    <n v="113428394"/>
    <m/>
    <m/>
    <m/>
    <m/>
    <m/>
    <s v=""/>
    <m/>
    <m/>
    <m/>
    <s v="En 2020, perspectives de rebond assez fort mais fermeture de boutiques à Hong Kong et de l'activité Calvin Klein. "/>
    <m/>
    <n v="59"/>
    <s v="p"/>
    <s v="CH00122551511"/>
    <s v="CH0012255151"/>
    <n v="1"/>
    <x v="2"/>
    <m/>
    <m/>
    <m/>
  </r>
  <r>
    <m/>
    <m/>
    <m/>
    <m/>
    <m/>
    <x v="1"/>
    <m/>
    <m/>
    <m/>
    <m/>
    <m/>
    <m/>
    <m/>
    <m/>
    <m/>
    <m/>
    <m/>
    <m/>
    <m/>
    <m/>
    <m/>
    <s v=""/>
    <m/>
    <m/>
    <m/>
    <s v="Montres connectées et paiement par la montre (SwatchPAY !) pourraient être des relais de croissance"/>
    <m/>
    <n v="60"/>
    <s v="p"/>
    <s v="CH00122551511"/>
    <s v="CH0012255151"/>
    <n v="1"/>
    <x v="2"/>
    <m/>
    <m/>
    <m/>
  </r>
  <r>
    <m/>
    <m/>
    <m/>
    <m/>
    <n v="320"/>
    <x v="6"/>
    <n v="8475000000"/>
    <n v="1648000000"/>
    <n v="1154000000"/>
    <n v="867000000"/>
    <n v="-1037000000"/>
    <n v="11185000000"/>
    <n v="258"/>
    <n v="7.751452838623156E-2"/>
    <n v="8.8699251083957431E-2"/>
    <n v="29268442"/>
    <n v="15715627845"/>
    <n v="1.4050628381761288"/>
    <n v="8.9069343719660186"/>
    <m/>
    <m/>
    <s v=""/>
    <m/>
    <m/>
    <m/>
    <s v="Excédent de trésorerie après investissement en 2020 de 700 M CHF. En vitesse de croisière, excédent de 500 M CHF après BFR, investissements et dividendes"/>
    <m/>
    <n v="61"/>
    <s v="p"/>
    <s v="CH001225515112018"/>
    <s v="CH0012255151"/>
    <n v="1"/>
    <x v="2"/>
    <m/>
    <m/>
    <m/>
  </r>
  <r>
    <m/>
    <m/>
    <m/>
    <m/>
    <n v="55"/>
    <x v="1"/>
    <n v="6.083364626361254E-2"/>
    <n v="0.3482590850000451"/>
    <n v="0.1464175940330652"/>
    <n v="0.14834437086092711"/>
    <m/>
    <m/>
    <m/>
    <m/>
    <m/>
    <n v="115449571"/>
    <m/>
    <m/>
    <m/>
    <m/>
    <m/>
    <s v=""/>
    <m/>
    <m/>
    <m/>
    <s v="31 500 salariés au 30 juin 2021 (contre 36 100 salariés - fermeture de magasins notamment à Hong Kong)"/>
    <m/>
    <n v="62"/>
    <s v="p"/>
    <s v="CH00122551511"/>
    <s v="CH0012255151"/>
    <n v="1"/>
    <x v="2"/>
    <m/>
    <m/>
    <m/>
  </r>
  <r>
    <m/>
    <m/>
    <m/>
    <m/>
    <m/>
    <x v="1"/>
    <m/>
    <m/>
    <m/>
    <m/>
    <m/>
    <m/>
    <m/>
    <m/>
    <m/>
    <m/>
    <m/>
    <m/>
    <m/>
    <m/>
    <m/>
    <s v=""/>
    <m/>
    <m/>
    <m/>
    <s v="49,5 % de salariés Hommes"/>
    <m/>
    <n v="63"/>
    <s v="p"/>
    <s v="CH00122551511"/>
    <s v="CH0012255151"/>
    <n v="1"/>
    <x v="2"/>
    <m/>
    <m/>
    <m/>
  </r>
  <r>
    <m/>
    <m/>
    <m/>
    <m/>
    <n v="480"/>
    <x v="7"/>
    <n v="7989000000"/>
    <n v="1222317000"/>
    <n v="1006614000"/>
    <n v="755000000"/>
    <n v="-1600000000"/>
    <n v="11289000000"/>
    <n v="244"/>
    <n v="6.6879262999379921E-2"/>
    <n v="8.1036115182165344E-2"/>
    <n v="29987419"/>
    <n v="24642084394.200001"/>
    <n v="2.1828403219239969"/>
    <n v="18.851152683141937"/>
    <m/>
    <m/>
    <s v=""/>
    <m/>
    <m/>
    <m/>
    <s v="En 2021, fort redressement de l'activité qui dépasse fin 2019 avec amélioration de la marge. Vérifier l'évolution de la partie connectées/paiement/santé. Les autres branches (montres, fabrication et chronométrage sportif en forte hausse)"/>
    <m/>
    <n v="64"/>
    <s v="p"/>
    <s v="CH001225515112017"/>
    <s v="CH0012255151"/>
    <n v="1"/>
    <x v="2"/>
    <m/>
    <m/>
    <m/>
  </r>
  <r>
    <m/>
    <m/>
    <m/>
    <m/>
    <n v="86.2"/>
    <x v="1"/>
    <n v="5.7725407122997563E-2"/>
    <n v="-1.5847826086956562E-2"/>
    <n v="0.25045217391304342"/>
    <n v="0.27318718381112994"/>
    <m/>
    <m/>
    <m/>
    <m/>
    <m/>
    <n v="118887741"/>
    <m/>
    <m/>
    <m/>
    <m/>
    <m/>
    <s v=""/>
    <m/>
    <m/>
    <m/>
    <s v="En 2022, redressement post-Covid 19 presque terminée sauf en Chine sur la deuxième partie de l'année (manque à gangner de 700 M CHF). Perspectives favorables avec le nouveau modèle MoonSwatch et la réouverture de la Chine"/>
    <m/>
    <n v="65"/>
    <s v="p"/>
    <s v="CH00122551511"/>
    <s v="CH0012255151"/>
    <n v="1"/>
    <x v="2"/>
    <m/>
    <m/>
    <m/>
  </r>
  <r>
    <m/>
    <m/>
    <m/>
    <m/>
    <m/>
    <x v="1"/>
    <m/>
    <m/>
    <m/>
    <m/>
    <m/>
    <m/>
    <m/>
    <m/>
    <m/>
    <m/>
    <m/>
    <m/>
    <m/>
    <m/>
    <m/>
    <s v=""/>
    <m/>
    <m/>
    <m/>
    <s v="Taux d'IS : 25%"/>
    <m/>
    <n v="66"/>
    <s v="p"/>
    <s v="CH00122551511"/>
    <s v="CH0012255151"/>
    <n v="1"/>
    <x v="2"/>
    <m/>
    <m/>
    <m/>
  </r>
  <r>
    <m/>
    <m/>
    <m/>
    <m/>
    <n v="347.5"/>
    <x v="8"/>
    <n v="7553000000"/>
    <n v="1242000000"/>
    <n v="805000000"/>
    <n v="593000000"/>
    <n v="-1136000000"/>
    <n v="11073000000"/>
    <n v="244"/>
    <n v="5.3553689153797525E-2"/>
    <n v="6.3188084935091079E-2"/>
    <n v="29987419"/>
    <n v="18504994490.5"/>
    <n v="1.6711816572292966"/>
    <n v="13.984697657407407"/>
    <m/>
    <m/>
    <s v=""/>
    <m/>
    <m/>
    <m/>
    <s v="Minoritaires : 0,6%"/>
    <m/>
    <n v="67"/>
    <s v="p"/>
    <s v="CH001225515112016"/>
    <s v="CH0012255151"/>
    <n v="1"/>
    <x v="2"/>
    <m/>
    <m/>
    <m/>
  </r>
  <r>
    <m/>
    <m/>
    <m/>
    <m/>
    <n v="68"/>
    <x v="13"/>
    <n v="-0.10625961424683472"/>
    <n v="-0.33045822102425881"/>
    <n v="-0.44521019986216404"/>
    <n v="-0.47006255585344059"/>
    <m/>
    <m/>
    <m/>
    <m/>
    <m/>
    <n v="118887741"/>
    <m/>
    <m/>
    <m/>
    <m/>
    <m/>
    <s v=""/>
    <m/>
    <m/>
    <m/>
    <s v="CAC : Pwc"/>
    <m/>
    <n v="68"/>
    <s v="p"/>
    <s v="CH00122551511Categorie 2"/>
    <s v="CH0012255151"/>
    <n v="1"/>
    <x v="2"/>
    <m/>
    <m/>
    <m/>
  </r>
  <r>
    <m/>
    <m/>
    <m/>
    <m/>
    <m/>
    <x v="1"/>
    <m/>
    <m/>
    <m/>
    <m/>
    <m/>
    <m/>
    <m/>
    <m/>
    <m/>
    <m/>
    <m/>
    <m/>
    <m/>
    <m/>
    <m/>
    <s v=""/>
    <m/>
    <m/>
    <m/>
    <s v="Pay-out ratio : 40%-50%. Dividendes au titre de l'exercice 2020 alors que la société est en perte"/>
    <m/>
    <n v="69"/>
    <s v="p"/>
    <s v="CH00122551511"/>
    <s v="CH0012255151"/>
    <n v="1"/>
    <x v="2"/>
    <m/>
    <m/>
    <m/>
  </r>
  <r>
    <m/>
    <m/>
    <m/>
    <m/>
    <n v="250"/>
    <x v="9"/>
    <n v="8451000000"/>
    <n v="1855000000"/>
    <n v="1451000000"/>
    <n v="1119000000"/>
    <n v="-1202000000"/>
    <n v="11242000000"/>
    <n v="250"/>
    <n v="9.9537448852517349E-2"/>
    <n v="0.11272709163346614"/>
    <n v="30308846"/>
    <n v="13580695800"/>
    <n v="1.20803200498132"/>
    <n v="6.6731513746630728"/>
    <m/>
    <m/>
    <s v=""/>
    <m/>
    <m/>
    <m/>
    <m/>
    <m/>
    <n v="70"/>
    <s v="p"/>
    <s v="CH001225515112015"/>
    <s v="CH0012255151"/>
    <n v="1"/>
    <x v="2"/>
    <m/>
    <m/>
    <m/>
  </r>
  <r>
    <m/>
    <m/>
    <m/>
    <m/>
    <n v="50"/>
    <x v="13"/>
    <m/>
    <m/>
    <m/>
    <m/>
    <m/>
    <m/>
    <m/>
    <m/>
    <m/>
    <n v="120069686"/>
    <m/>
    <m/>
    <m/>
    <m/>
    <m/>
    <s v=""/>
    <m/>
    <m/>
    <m/>
    <m/>
    <m/>
    <n v="71"/>
    <s v="p"/>
    <s v="CH00122551511Categorie 2"/>
    <s v="CH0012255151"/>
    <n v="1"/>
    <x v="2"/>
    <m/>
    <m/>
    <m/>
  </r>
  <r>
    <m/>
    <m/>
    <m/>
    <m/>
    <m/>
    <x v="1"/>
    <m/>
    <m/>
    <m/>
    <m/>
    <m/>
    <m/>
    <m/>
    <m/>
    <m/>
    <m/>
    <m/>
    <m/>
    <m/>
    <m/>
    <m/>
    <s v=""/>
    <m/>
    <m/>
    <m/>
    <m/>
    <m/>
    <n v="72"/>
    <s v="p"/>
    <s v="CH00122551511"/>
    <s v="CH0012255151"/>
    <n v="1"/>
    <x v="2"/>
    <m/>
    <m/>
    <m/>
  </r>
  <r>
    <m/>
    <m/>
    <m/>
    <m/>
    <m/>
    <x v="1"/>
    <m/>
    <m/>
    <m/>
    <m/>
    <m/>
    <m/>
    <m/>
    <m/>
    <m/>
    <m/>
    <m/>
    <m/>
    <m/>
    <m/>
    <m/>
    <s v=""/>
    <m/>
    <m/>
    <m/>
    <m/>
    <m/>
    <n v="73"/>
    <s v="p"/>
    <s v="CH00122551511"/>
    <s v="CH0012255151"/>
    <n v="1"/>
    <x v="2"/>
    <m/>
    <m/>
    <m/>
  </r>
  <r>
    <m/>
    <m/>
    <m/>
    <m/>
    <m/>
    <x v="1"/>
    <m/>
    <m/>
    <m/>
    <m/>
    <m/>
    <m/>
    <m/>
    <m/>
    <m/>
    <m/>
    <m/>
    <m/>
    <m/>
    <m/>
    <m/>
    <s v=""/>
    <m/>
    <m/>
    <m/>
    <m/>
    <m/>
    <n v="74"/>
    <s v="p"/>
    <s v="CH00122551511"/>
    <s v="CH0012255151"/>
    <n v="1"/>
    <x v="2"/>
    <m/>
    <m/>
    <m/>
  </r>
  <r>
    <m/>
    <m/>
    <m/>
    <m/>
    <m/>
    <x v="1"/>
    <m/>
    <m/>
    <m/>
    <m/>
    <m/>
    <m/>
    <m/>
    <m/>
    <m/>
    <m/>
    <m/>
    <m/>
    <m/>
    <m/>
    <m/>
    <s v=""/>
    <m/>
    <m/>
    <m/>
    <m/>
    <m/>
    <n v="75"/>
    <s v="p"/>
    <s v="CH00122551511"/>
    <s v="CH0012255151"/>
    <n v="1"/>
    <x v="2"/>
    <m/>
    <m/>
    <m/>
  </r>
  <r>
    <s v="Elior Group"/>
    <s v="Restauration collective"/>
    <s v="France"/>
    <s v="Euro"/>
    <n v="3.3"/>
    <x v="2"/>
    <n v="4450000000"/>
    <n v="-6000000"/>
    <n v="-69000000"/>
    <n v="-427000000"/>
    <n v="1217000000"/>
    <n v="772000000"/>
    <n v="4.476809716838944"/>
    <n v="-0.55310880829015541"/>
    <n v="-2.2202111613876321E-2"/>
    <n v="172444229"/>
    <n v="569065955.69999993"/>
    <n v="0.73713206696891187"/>
    <s v="NS"/>
    <s v="BB / négative"/>
    <n v="99000"/>
    <n v="44949.494949494947"/>
    <n v="-48000000"/>
    <m/>
    <m/>
    <s v="Société de restauration collective fondée en 1991 et détenue par Robert Zolade à plus de 25%, Chaterhouse est sortie du capital suite LBO puis IPO en 2014"/>
    <m/>
    <n v="76"/>
    <n v="0"/>
    <s v="FR001195073212022"/>
    <s v="FR0011950732"/>
    <n v="1"/>
    <x v="3"/>
    <m/>
    <m/>
    <m/>
  </r>
  <r>
    <m/>
    <m/>
    <m/>
    <m/>
    <m/>
    <x v="1"/>
    <n v="0.20270270270270263"/>
    <m/>
    <n v="-0.2247191011235955"/>
    <n v="3.2699999999999996"/>
    <m/>
    <m/>
    <m/>
    <m/>
    <m/>
    <m/>
    <m/>
    <m/>
    <m/>
    <d v="2020-04-01T00:00:00"/>
    <m/>
    <s v=""/>
    <m/>
    <m/>
    <m/>
    <s v="Bons résultats du premier semestre 2017 avec un CA en hausse de 10% dont 4,2% en organique. Amélioration de la marge, nouveaux contrats et croissance externe. Concessions (24% du CA) toujours faible et dette à 1,86 Md euros"/>
    <m/>
    <n v="77"/>
    <n v="0"/>
    <s v="FR00119507321"/>
    <s v="FR0011950732"/>
    <n v="1"/>
    <x v="3"/>
    <m/>
    <m/>
    <m/>
  </r>
  <r>
    <m/>
    <m/>
    <m/>
    <m/>
    <n v="6.36"/>
    <x v="3"/>
    <n v="3700000000"/>
    <n v="-64000000"/>
    <n v="-89000000"/>
    <n v="-100000000"/>
    <n v="1108000000"/>
    <n v="1081000000"/>
    <n v="6.207370160464194"/>
    <n v="-9.2506938020351523E-2"/>
    <n v="-2.6021014161717679E-2"/>
    <n v="174147823"/>
    <n v="1107580154.28"/>
    <n v="1.0245884868455133"/>
    <s v="NS"/>
    <m/>
    <m/>
    <s v=""/>
    <n v="13000000"/>
    <m/>
    <m/>
    <s v="Société de restauration collective détenue par Robert Zolade à plus de 25%, Chaterhouse est sortie du capital suite LBO puis IPO en 2014"/>
    <m/>
    <n v="78"/>
    <n v="0"/>
    <s v="FR001195073212021"/>
    <s v="FR0011950732"/>
    <n v="1"/>
    <x v="3"/>
    <m/>
    <m/>
    <m/>
  </r>
  <r>
    <m/>
    <m/>
    <m/>
    <m/>
    <m/>
    <x v="1"/>
    <n v="-6.7305268464834866E-2"/>
    <n v="-0.2808988764044944"/>
    <e v="#DIV/0!"/>
    <n v="-0.79296066252587993"/>
    <m/>
    <m/>
    <m/>
    <m/>
    <m/>
    <m/>
    <m/>
    <m/>
    <m/>
    <m/>
    <m/>
    <s v=""/>
    <m/>
    <m/>
    <m/>
    <s v="Bons résultats du premier semestre 2017 avec un CA en hausse de 10% dont 4,2% en organique. Amélioration de la marge, nouveaux contrats et croissance externe. Concessions (24% du CA) toujours faible et dette à 1,86 Md euros"/>
    <m/>
    <n v="79"/>
    <n v="0"/>
    <s v="FR00119507321"/>
    <s v="FR0011950732"/>
    <n v="1"/>
    <x v="3"/>
    <m/>
    <m/>
    <m/>
  </r>
  <r>
    <m/>
    <m/>
    <m/>
    <m/>
    <n v="5.5"/>
    <x v="4"/>
    <n v="3967000000"/>
    <n v="-89000000"/>
    <n v="0"/>
    <n v="-483000000"/>
    <n v="995000000"/>
    <n v="1132000000"/>
    <n v="6.5010668066854027"/>
    <n v="-0.42667844522968196"/>
    <n v="0"/>
    <n v="174125268"/>
    <n v="957688974"/>
    <n v="0.84601499469964669"/>
    <s v="NS"/>
    <m/>
    <m/>
    <s v=""/>
    <m/>
    <m/>
    <m/>
    <s v="Plan Tsubaki de Philippe Salle. Target 2020 : 8 Md euros de CA, 10 % EBITDA Margin et 2 Md euros de dettes. Faiblesse de la concession en France. Italie faible, International bien. Target 2020 : 35 euros (multiple Sodexo VE/EBE : 10,4 et Compass : 12)"/>
    <m/>
    <n v="80"/>
    <n v="0"/>
    <s v="FR001195073212020"/>
    <s v="FR0011950732"/>
    <n v="1"/>
    <x v="3"/>
    <m/>
    <m/>
    <m/>
  </r>
  <r>
    <m/>
    <m/>
    <m/>
    <m/>
    <m/>
    <x v="1"/>
    <n v="-0.19419053422709731"/>
    <n v="-1.2937293729372938"/>
    <n v="-1"/>
    <n v="-2.7888888888888888"/>
    <m/>
    <m/>
    <m/>
    <m/>
    <m/>
    <m/>
    <m/>
    <m/>
    <m/>
    <m/>
    <m/>
    <s v=""/>
    <m/>
    <m/>
    <m/>
    <s v="FCF 2016/ EBE : 50% faible"/>
    <m/>
    <n v="81"/>
    <n v="0"/>
    <s v="FR00119507321"/>
    <s v="FR0011950732"/>
    <n v="1"/>
    <x v="3"/>
    <m/>
    <m/>
    <m/>
  </r>
  <r>
    <m/>
    <m/>
    <m/>
    <m/>
    <n v="12.8"/>
    <x v="5"/>
    <n v="4923000000"/>
    <n v="303000000"/>
    <n v="133000000"/>
    <n v="270000000"/>
    <n v="782000000"/>
    <n v="1668000000"/>
    <n v="9.5834202142002436"/>
    <s v="NS"/>
    <n v="3.4742857142857145E-2"/>
    <n v="174050596"/>
    <n v="2227847628.8000002"/>
    <n v="1.3356400652278178"/>
    <n v="9.9334905240924094"/>
    <m/>
    <m/>
    <s v=""/>
    <m/>
    <m/>
    <m/>
    <s v="Le 26/7/17 départ de Philippe Salle suite à une proposition de Zolade (25% du K) de séparer CEO et Président du CA que Salle a refusé. "/>
    <m/>
    <n v="82"/>
    <n v="0"/>
    <s v="FR001195073212019"/>
    <s v="FR0011950732"/>
    <n v="1"/>
    <x v="3"/>
    <m/>
    <m/>
    <m/>
  </r>
  <r>
    <m/>
    <m/>
    <m/>
    <m/>
    <m/>
    <x v="1"/>
    <n v="-0.26076796643168798"/>
    <n v="-0.39335823367540501"/>
    <n v="-0.43162393162393164"/>
    <n v="6.9411764705882355"/>
    <m/>
    <m/>
    <m/>
    <m/>
    <m/>
    <m/>
    <m/>
    <m/>
    <m/>
    <m/>
    <m/>
    <s v=""/>
    <m/>
    <m/>
    <m/>
    <s v="Clôture en septembre. Philippe Guillemot nouveau Directeur général fin 2017 (attention contentieux sur la loyauté avec Eurazeo quand il était PDG d'Europcar)"/>
    <m/>
    <n v="83"/>
    <n v="0"/>
    <s v="FR00119507321"/>
    <s v="FR0011950732"/>
    <n v="1"/>
    <x v="3"/>
    <m/>
    <m/>
    <m/>
  </r>
  <r>
    <m/>
    <m/>
    <m/>
    <m/>
    <n v="11.96"/>
    <x v="6"/>
    <n v="6659613999.999999"/>
    <n v="499471049.99999988"/>
    <n v="234000000"/>
    <n v="34000000"/>
    <n v="1830000000"/>
    <n v="1458000000"/>
    <n v="8.2864875872962713"/>
    <n v="2.3319615912208505E-2"/>
    <n v="4.5547445255474453E-2"/>
    <n v="175949096"/>
    <n v="2104351188.1600001"/>
    <n v="1.4433135721262003"/>
    <n v="7.877035492167165"/>
    <m/>
    <m/>
    <s v=""/>
    <m/>
    <m/>
    <m/>
    <s v="Marge EBE/CA : 8,26%. Les target 2020 seront revus à la baisse"/>
    <m/>
    <n v="84"/>
    <n v="0"/>
    <s v="FR001195073212018"/>
    <s v="FR0011950732"/>
    <n v="1"/>
    <x v="3"/>
    <m/>
    <m/>
    <m/>
  </r>
  <r>
    <m/>
    <m/>
    <m/>
    <m/>
    <m/>
    <x v="1"/>
    <n v="3.6999999999999922E-2"/>
    <n v="-5.9376553672316645E-2"/>
    <n v="-0.24516129032258061"/>
    <n v="-0.70175438596491224"/>
    <m/>
    <m/>
    <m/>
    <m/>
    <m/>
    <m/>
    <m/>
    <m/>
    <m/>
    <m/>
    <m/>
    <s v=""/>
    <m/>
    <m/>
    <m/>
    <s v="Achat de 17750 titres (284 000 euros) le 5/12/2017, par le nouveau PDG, Philippe Guillemot"/>
    <m/>
    <n v="85"/>
    <n v="0"/>
    <s v="FR00119507321"/>
    <s v="FR0011950732"/>
    <n v="1"/>
    <x v="3"/>
    <m/>
    <m/>
    <m/>
  </r>
  <r>
    <m/>
    <m/>
    <m/>
    <m/>
    <n v="16"/>
    <x v="7"/>
    <n v="6422000000"/>
    <n v="531000000"/>
    <n v="310000000"/>
    <n v="114000000"/>
    <n v="1628000000"/>
    <n v="1618000000"/>
    <n v="9.3848996407949965"/>
    <n v="7.0457354758961685E-2"/>
    <n v="6.1121380160197164E-2"/>
    <n v="172404614"/>
    <n v="2758473824"/>
    <n v="1.704866393077874"/>
    <n v="8.260779329566855"/>
    <m/>
    <m/>
    <s v=""/>
    <m/>
    <m/>
    <m/>
    <s v="Projet 2021 : CA = +3% en organique et EBE +6% par an soit EBE 2021 : 560 M euros. La situation a changé du tout au tout. "/>
    <m/>
    <n v="86"/>
    <n v="0"/>
    <s v="FR001195073212017"/>
    <s v="FR0011950732"/>
    <n v="1"/>
    <x v="3"/>
    <m/>
    <m/>
    <m/>
  </r>
  <r>
    <m/>
    <m/>
    <m/>
    <m/>
    <m/>
    <x v="1"/>
    <n v="8.921302578018997E-2"/>
    <n v="5.9880239520958112E-2"/>
    <n v="-6.3444108761329332E-2"/>
    <n v="-0.15555555555555556"/>
    <m/>
    <m/>
    <m/>
    <m/>
    <m/>
    <m/>
    <m/>
    <m/>
    <m/>
    <m/>
    <m/>
    <s v=""/>
    <m/>
    <m/>
    <m/>
    <s v="Areas vendu à PAI pour 1,42 Md euros. CA d'Areas en 2017-2018 : 1,832 Md euros "/>
    <m/>
    <n v="87"/>
    <n v="0"/>
    <s v="FR00119507321"/>
    <s v="FR0011950732"/>
    <n v="1"/>
    <x v="3"/>
    <m/>
    <m/>
    <m/>
  </r>
  <r>
    <m/>
    <m/>
    <m/>
    <m/>
    <n v="21.5"/>
    <x v="8"/>
    <n v="5896000000"/>
    <n v="501000000"/>
    <n v="331000000"/>
    <n v="135000000"/>
    <n v="1706000000"/>
    <n v="1557000000"/>
    <n v="9.0310808039047021"/>
    <n v="8.6705202312138741E-2"/>
    <n v="6.4921851057309229E-2"/>
    <n v="172404614"/>
    <n v="3706699201"/>
    <n v="2.3806674380218369"/>
    <n v="10.803790820359282"/>
    <m/>
    <m/>
    <s v=""/>
    <m/>
    <m/>
    <m/>
    <s v="Suite cession d'Areas en 2019, pas de minoritaires et PV de 202 M e impactant le résultat net. Recentré sur 6 pays (France, Italie, Espagne, Inde, États-Unis et Royaume-Uni) et la restauration collective (école, santé et entreprises)"/>
    <m/>
    <n v="88"/>
    <n v="0"/>
    <s v="FR001195073212016"/>
    <s v="FR0011950732"/>
    <n v="1"/>
    <x v="3"/>
    <m/>
    <m/>
    <m/>
  </r>
  <r>
    <m/>
    <m/>
    <m/>
    <m/>
    <m/>
    <x v="1"/>
    <n v="3.9125837151920972E-2"/>
    <n v="5.4736842105263195E-2"/>
    <n v="7.1197411003236288E-2"/>
    <n v="0.26168224299065423"/>
    <m/>
    <m/>
    <m/>
    <m/>
    <m/>
    <m/>
    <m/>
    <m/>
    <m/>
    <m/>
    <m/>
    <s v=""/>
    <m/>
    <m/>
    <m/>
    <s v="Programme de rachat d'actions : 50 M euros au 30/09/2019 (soit 4 M euros de titres) 350 M euros de retour aux actionnaires (rachat et dividendes) en deux ans. Potentiellement 13-14 millions de titres en moins soit 165 M euros de titres. À suivre. Obsolète avec la crise du Covid-19"/>
    <m/>
    <n v="89"/>
    <n v="0"/>
    <s v="FR00119507321"/>
    <s v="FR0011950732"/>
    <n v="1"/>
    <x v="3"/>
    <m/>
    <m/>
    <m/>
  </r>
  <r>
    <m/>
    <m/>
    <m/>
    <m/>
    <n v="18.8"/>
    <x v="9"/>
    <n v="5674000000"/>
    <n v="475000000"/>
    <n v="309000000"/>
    <n v="107000000"/>
    <n v="1452000000"/>
    <n v="1486000000"/>
    <n v="8.6192588789996076"/>
    <n v="7.2005383580080753E-2"/>
    <n v="6.7311095983662361E-2"/>
    <n v="164212685"/>
    <n v="3087198478"/>
    <n v="2.0775225289367429"/>
    <n v="9.5562073221052639"/>
    <m/>
    <m/>
    <s v=""/>
    <m/>
    <m/>
    <m/>
    <s v="Santé : 25%, Enseignement : 30%, Entreprises : 45%. Baisse structurelle en entreprises (passage de moins d'un jour de télétravail à 2 jours par semaine) soit une baisse qui passe de -10% à -40% sur 40% de l'activité soit -12% au global"/>
    <m/>
    <n v="90"/>
    <n v="0"/>
    <s v="FR001195073212015"/>
    <s v="FR0011950732"/>
    <n v="1"/>
    <x v="3"/>
    <m/>
    <m/>
    <m/>
  </r>
  <r>
    <m/>
    <m/>
    <m/>
    <m/>
    <m/>
    <x v="1"/>
    <m/>
    <m/>
    <m/>
    <m/>
    <m/>
    <m/>
    <m/>
    <m/>
    <m/>
    <m/>
    <m/>
    <m/>
    <m/>
    <m/>
    <m/>
    <s v=""/>
    <m/>
    <m/>
    <m/>
    <s v="EBITA 2020 prévu à -30% pour un CA en baisse de -15 - 12% soit un coût de 100 Me voire 150 M euros de coût de la crise. En fait, 750 M euros de perte (en flux) soit le montant de la cession d'Areas "/>
    <m/>
    <n v="91"/>
    <n v="0"/>
    <s v="FR00119507321"/>
    <s v="FR0011950732"/>
    <n v="1"/>
    <x v="3"/>
    <m/>
    <m/>
    <m/>
  </r>
  <r>
    <m/>
    <m/>
    <m/>
    <m/>
    <m/>
    <x v="14"/>
    <m/>
    <m/>
    <m/>
    <m/>
    <m/>
    <m/>
    <m/>
    <m/>
    <m/>
    <m/>
    <m/>
    <m/>
    <m/>
    <m/>
    <m/>
    <s v=""/>
    <m/>
    <m/>
    <m/>
    <s v="Après Covid-19 : le CA en santé et enseignement retour à la normale, entreprise (-15/-20%) soit 4,4 Md euros et 6% de marge soit 260 M euros d'EBE et 900 M euros de FP (soit 5,2 euros par action) pour 1,2 Md euros de dettes"/>
    <m/>
    <n v="92"/>
    <n v="0"/>
    <s v="FR00119507321IPO le 11 juin 2014 à 14,9 euros"/>
    <s v="FR0011950732"/>
    <n v="1"/>
    <x v="3"/>
    <m/>
    <m/>
    <m/>
  </r>
  <r>
    <m/>
    <m/>
    <m/>
    <m/>
    <m/>
    <x v="1"/>
    <m/>
    <m/>
    <m/>
    <m/>
    <m/>
    <m/>
    <m/>
    <m/>
    <m/>
    <m/>
    <m/>
    <m/>
    <m/>
    <m/>
    <m/>
    <s v=""/>
    <m/>
    <m/>
    <m/>
    <s v="En 2021, Elior tourne à 75% de son activité avant Covid-9 et à 85% au quatrième trimestre qui se clôture fin septembre. Retour en 2024 sur les niveaux mais avec marge à 4,6% contre 6,4% en 2019"/>
    <m/>
    <n v="93"/>
    <n v="0"/>
    <s v="FR00119507321"/>
    <s v="FR0011950732"/>
    <n v="1"/>
    <x v="3"/>
    <m/>
    <m/>
    <m/>
  </r>
  <r>
    <m/>
    <m/>
    <m/>
    <m/>
    <m/>
    <x v="1"/>
    <m/>
    <m/>
    <m/>
    <m/>
    <m/>
    <m/>
    <m/>
    <m/>
    <m/>
    <m/>
    <m/>
    <m/>
    <m/>
    <m/>
    <m/>
    <s v=""/>
    <m/>
    <m/>
    <m/>
    <s v="En 2022, Elior tourne au premier trimestre à 85% de 2019 et 93% à  la fin du T2 et 95% à la fin du T4. Coût du covid-19 : 1 Md euros sur 3 ans"/>
    <m/>
    <n v="94"/>
    <n v="0"/>
    <s v="FR00119507321"/>
    <s v="FR0011950732"/>
    <n v="1"/>
    <x v="3"/>
    <m/>
    <m/>
    <m/>
  </r>
  <r>
    <m/>
    <m/>
    <m/>
    <m/>
    <m/>
    <x v="1"/>
    <m/>
    <m/>
    <m/>
    <m/>
    <m/>
    <m/>
    <m/>
    <m/>
    <m/>
    <m/>
    <m/>
    <m/>
    <m/>
    <m/>
    <m/>
    <s v=""/>
    <m/>
    <m/>
    <m/>
    <s v="Retour à 5 Md euros de CA en 2024 avec 200 Me d'EBE et 50 Me de RN trop diffile rapprochement en vue avec Derichebourg"/>
    <m/>
    <n v="95"/>
    <n v="0"/>
    <s v="FR00119507321"/>
    <s v="FR0011950732"/>
    <n v="1"/>
    <x v="3"/>
    <m/>
    <m/>
    <m/>
  </r>
  <r>
    <m/>
    <m/>
    <m/>
    <m/>
    <m/>
    <x v="1"/>
    <m/>
    <m/>
    <m/>
    <m/>
    <m/>
    <m/>
    <m/>
    <m/>
    <m/>
    <m/>
    <m/>
    <m/>
    <m/>
    <m/>
    <m/>
    <s v=""/>
    <m/>
    <m/>
    <m/>
    <s v="CAC : Price et Deloitte"/>
    <m/>
    <n v="96"/>
    <n v="0"/>
    <s v="FR00119507321"/>
    <s v="FR0011950732"/>
    <n v="1"/>
    <x v="3"/>
    <m/>
    <m/>
    <m/>
  </r>
  <r>
    <m/>
    <m/>
    <m/>
    <m/>
    <m/>
    <x v="1"/>
    <m/>
    <m/>
    <m/>
    <m/>
    <m/>
    <m/>
    <m/>
    <m/>
    <m/>
    <m/>
    <m/>
    <m/>
    <m/>
    <m/>
    <m/>
    <s v=""/>
    <m/>
    <m/>
    <m/>
    <s v="Minoritaires : non"/>
    <m/>
    <n v="97"/>
    <n v="0"/>
    <s v="FR00119507321"/>
    <s v="FR0011950732"/>
    <n v="1"/>
    <x v="3"/>
    <m/>
    <m/>
    <m/>
  </r>
  <r>
    <m/>
    <m/>
    <m/>
    <m/>
    <m/>
    <x v="1"/>
    <m/>
    <m/>
    <m/>
    <m/>
    <m/>
    <m/>
    <m/>
    <m/>
    <m/>
    <m/>
    <m/>
    <m/>
    <m/>
    <m/>
    <m/>
    <s v=""/>
    <m/>
    <m/>
    <m/>
    <s v="Pay-out ratio : pas de dividendes en 2021"/>
    <m/>
    <n v="98"/>
    <n v="0"/>
    <s v="FR00119507321"/>
    <s v="FR0011950732"/>
    <n v="1"/>
    <x v="3"/>
    <m/>
    <m/>
    <m/>
  </r>
  <r>
    <m/>
    <m/>
    <m/>
    <m/>
    <m/>
    <x v="1"/>
    <m/>
    <m/>
    <m/>
    <m/>
    <m/>
    <m/>
    <m/>
    <m/>
    <m/>
    <m/>
    <m/>
    <m/>
    <m/>
    <m/>
    <m/>
    <s v=""/>
    <m/>
    <m/>
    <m/>
    <m/>
    <m/>
    <n v="99"/>
    <n v="0"/>
    <s v="FR00119507321"/>
    <s v="FR0011950732"/>
    <n v="1"/>
    <x v="3"/>
    <m/>
    <m/>
    <m/>
  </r>
  <r>
    <m/>
    <m/>
    <m/>
    <m/>
    <m/>
    <x v="1"/>
    <m/>
    <m/>
    <m/>
    <m/>
    <m/>
    <m/>
    <m/>
    <m/>
    <m/>
    <m/>
    <m/>
    <m/>
    <m/>
    <m/>
    <m/>
    <s v=""/>
    <m/>
    <m/>
    <m/>
    <m/>
    <m/>
    <n v="100"/>
    <n v="0"/>
    <s v="FR00119507321"/>
    <s v="FR0011950732"/>
    <n v="1"/>
    <x v="3"/>
    <m/>
    <m/>
    <m/>
  </r>
  <r>
    <m/>
    <m/>
    <m/>
    <m/>
    <m/>
    <x v="1"/>
    <m/>
    <m/>
    <m/>
    <m/>
    <m/>
    <m/>
    <m/>
    <m/>
    <m/>
    <m/>
    <m/>
    <m/>
    <m/>
    <m/>
    <m/>
    <s v=""/>
    <m/>
    <m/>
    <m/>
    <m/>
    <m/>
    <n v="101"/>
    <n v="0"/>
    <s v="FR00119507321"/>
    <s v="FR0011950732"/>
    <n v="1"/>
    <x v="3"/>
    <m/>
    <m/>
    <m/>
  </r>
  <r>
    <m/>
    <m/>
    <m/>
    <m/>
    <m/>
    <x v="1"/>
    <m/>
    <m/>
    <m/>
    <m/>
    <m/>
    <m/>
    <m/>
    <m/>
    <m/>
    <m/>
    <m/>
    <m/>
    <m/>
    <m/>
    <m/>
    <s v=""/>
    <m/>
    <m/>
    <m/>
    <m/>
    <m/>
    <n v="102"/>
    <n v="0"/>
    <s v="FR00119507321"/>
    <s v="FR0011950732"/>
    <n v="1"/>
    <x v="3"/>
    <m/>
    <m/>
    <m/>
  </r>
  <r>
    <s v="Sodexo"/>
    <s v="Restauration collective"/>
    <s v="France"/>
    <s v="Euro"/>
    <n v="77.06"/>
    <x v="3"/>
    <m/>
    <m/>
    <m/>
    <m/>
    <m/>
    <m/>
    <m/>
    <m/>
    <m/>
    <m/>
    <m/>
    <m/>
    <m/>
    <m/>
    <m/>
    <s v=""/>
    <m/>
    <m/>
    <m/>
    <s v="Famille Bellon fondatrice et actionnaire à 40%"/>
    <m/>
    <n v="103"/>
    <n v="0"/>
    <s v="FR000012122012021"/>
    <s v="FR0000121220"/>
    <n v="1"/>
    <x v="4"/>
    <m/>
    <m/>
    <m/>
  </r>
  <r>
    <m/>
    <m/>
    <m/>
    <m/>
    <m/>
    <x v="1"/>
    <m/>
    <m/>
    <m/>
    <m/>
    <m/>
    <m/>
    <m/>
    <m/>
    <m/>
    <m/>
    <m/>
    <m/>
    <m/>
    <m/>
    <m/>
    <s v=""/>
    <m/>
    <m/>
    <m/>
    <s v="427 000 employés dans le monde 47 000 euros par salarié"/>
    <m/>
    <n v="104"/>
    <n v="0"/>
    <s v="FR00001212201"/>
    <s v="FR0000121220"/>
    <n v="1"/>
    <x v="4"/>
    <m/>
    <m/>
    <m/>
  </r>
  <r>
    <m/>
    <m/>
    <m/>
    <m/>
    <n v="69.22"/>
    <x v="7"/>
    <n v="20698000000"/>
    <n v="1189000000"/>
    <n v="1340000000"/>
    <n v="723000000"/>
    <n v="611000000"/>
    <n v="3536000000"/>
    <n v="22.503369379984761"/>
    <n v="0.2044683257918552"/>
    <n v="0.20680009645526887"/>
    <n v="157132025"/>
    <n v="10876678770.5"/>
    <n v="3.0759838151866514"/>
    <n v="9.6616305891505458"/>
    <m/>
    <m/>
    <s v=""/>
    <m/>
    <m/>
    <m/>
    <s v="bilan 31 août"/>
    <m/>
    <n v="105"/>
    <n v="0"/>
    <s v="FR000012122012017"/>
    <s v="FR0000121220"/>
    <n v="1"/>
    <x v="4"/>
    <m/>
    <m/>
    <m/>
  </r>
  <r>
    <m/>
    <m/>
    <m/>
    <m/>
    <m/>
    <x v="1"/>
    <n v="2.237589528278594E-2"/>
    <n v="8.5844748858447506E-2"/>
    <n v="0.11388196176226106"/>
    <n v="0.13500784929356358"/>
    <m/>
    <m/>
    <m/>
    <m/>
    <m/>
    <m/>
    <m/>
    <m/>
    <m/>
    <m/>
    <m/>
    <s v=""/>
    <m/>
    <m/>
    <m/>
    <s v="Même activité qu'Elior : restauration collective et de concession plus services aux entreprises. Modèle plus abouti et plus rentable"/>
    <m/>
    <n v="106"/>
    <n v="0"/>
    <s v="FR00001212201"/>
    <s v="FR0000121220"/>
    <n v="1"/>
    <x v="4"/>
    <m/>
    <m/>
    <m/>
  </r>
  <r>
    <m/>
    <m/>
    <m/>
    <m/>
    <n v="104.86"/>
    <x v="8"/>
    <n v="20245000000"/>
    <n v="1095000000"/>
    <n v="1203000000"/>
    <n v="637000000"/>
    <n v="407000000"/>
    <n v="3668000000"/>
    <n v="23.858285582234434"/>
    <n v="0.17366412213740459"/>
    <n v="0.18893742331288343"/>
    <n v="153741139"/>
    <n v="16121295835.539999"/>
    <n v="4.3951188210305343"/>
    <n v="15.094334096383561"/>
    <m/>
    <m/>
    <s v=""/>
    <m/>
    <m/>
    <m/>
    <m/>
    <m/>
    <n v="107"/>
    <n v="0"/>
    <s v="FR000012122012016"/>
    <s v="FR0000121220"/>
    <n v="1"/>
    <x v="4"/>
    <m/>
    <m/>
    <m/>
  </r>
  <r>
    <m/>
    <m/>
    <m/>
    <m/>
    <m/>
    <x v="1"/>
    <n v="2.1700731768862003E-2"/>
    <n v="5.5096418732782926E-3"/>
    <n v="5.2493438320210029E-2"/>
    <n v="-8.9999999999999969E-2"/>
    <m/>
    <m/>
    <m/>
    <m/>
    <m/>
    <m/>
    <m/>
    <m/>
    <m/>
    <m/>
    <m/>
    <s v=""/>
    <m/>
    <m/>
    <m/>
    <m/>
    <m/>
    <n v="108"/>
    <n v="0"/>
    <s v="FR00001212201"/>
    <s v="FR0000121220"/>
    <n v="1"/>
    <x v="4"/>
    <m/>
    <m/>
    <m/>
  </r>
  <r>
    <m/>
    <m/>
    <m/>
    <m/>
    <n v="76.19"/>
    <x v="9"/>
    <n v="19815000000"/>
    <n v="1089000000"/>
    <n v="1143000000"/>
    <n v="700000000"/>
    <n v="339000000"/>
    <n v="3710000000"/>
    <n v="23.610718438841477"/>
    <n v="0.18867924528301888"/>
    <n v="0.18066683131637443"/>
    <n v="157132025"/>
    <n v="11971888984.75"/>
    <n v="3.2269242546495955"/>
    <n v="11.304764907943067"/>
    <m/>
    <m/>
    <s v=""/>
    <m/>
    <m/>
    <m/>
    <m/>
    <m/>
    <n v="109"/>
    <n v="0"/>
    <s v="FR000012122012015"/>
    <s v="FR0000121220"/>
    <n v="1"/>
    <x v="4"/>
    <m/>
    <m/>
    <m/>
  </r>
  <r>
    <m/>
    <m/>
    <m/>
    <m/>
    <m/>
    <x v="1"/>
    <n v="9.9855683836589604E-2"/>
    <n v="0.15974440894568698"/>
    <n v="0.18322981366459623"/>
    <n v="0.4285714285714286"/>
    <m/>
    <m/>
    <m/>
    <m/>
    <m/>
    <m/>
    <m/>
    <m/>
    <m/>
    <m/>
    <m/>
    <s v=""/>
    <m/>
    <m/>
    <m/>
    <m/>
    <m/>
    <n v="110"/>
    <n v="0"/>
    <s v="FR00001212201"/>
    <s v="FR0000121220"/>
    <n v="1"/>
    <x v="4"/>
    <m/>
    <m/>
    <m/>
  </r>
  <r>
    <m/>
    <m/>
    <m/>
    <m/>
    <n v="74.97"/>
    <x v="10"/>
    <n v="18016000000"/>
    <n v="939000000"/>
    <n v="966000000"/>
    <n v="490000000"/>
    <n v="371000000"/>
    <n v="3189000000"/>
    <n v="20.295035337322229"/>
    <n v="0.15365318281592977"/>
    <n v="0.1736629213483146"/>
    <n v="157132025"/>
    <n v="11780187914.25"/>
    <n v="3.6940068718250236"/>
    <n v="12.940562208998935"/>
    <m/>
    <m/>
    <s v=""/>
    <m/>
    <m/>
    <m/>
    <m/>
    <m/>
    <n v="111"/>
    <n v="0"/>
    <s v="FR000012122012014"/>
    <s v="FR0000121220"/>
    <n v="1"/>
    <x v="4"/>
    <m/>
    <m/>
    <m/>
  </r>
  <r>
    <m/>
    <m/>
    <m/>
    <m/>
    <m/>
    <x v="1"/>
    <n v="-2.0709898352992306E-2"/>
    <n v="-1.4690451206715638E-2"/>
    <n v="0.18673218673218672"/>
    <n v="0.11617312072892938"/>
    <m/>
    <m/>
    <m/>
    <m/>
    <m/>
    <m/>
    <m/>
    <m/>
    <m/>
    <m/>
    <m/>
    <s v=""/>
    <m/>
    <m/>
    <m/>
    <m/>
    <m/>
    <n v="112"/>
    <n v="0"/>
    <s v="FR00001212201"/>
    <s v="FR0000121220"/>
    <n v="1"/>
    <x v="4"/>
    <m/>
    <m/>
    <m/>
  </r>
  <r>
    <m/>
    <m/>
    <m/>
    <m/>
    <n v="67.3"/>
    <x v="11"/>
    <n v="18397000000"/>
    <n v="953000000"/>
    <n v="814000000"/>
    <n v="439000000"/>
    <n v="478000000"/>
    <n v="2990000000"/>
    <n v="19.028584402192998"/>
    <n v="0.14682274247491639"/>
    <n v="0.15021914648212226"/>
    <n v="157132025"/>
    <n v="10574985282.5"/>
    <n v="3.5367843754180601"/>
    <n v="11.598095784365162"/>
    <m/>
    <m/>
    <s v=""/>
    <m/>
    <m/>
    <m/>
    <m/>
    <m/>
    <n v="113"/>
    <n v="0"/>
    <s v="FR000012122012013"/>
    <s v="FR0000121220"/>
    <n v="1"/>
    <x v="4"/>
    <m/>
    <m/>
    <m/>
  </r>
  <r>
    <m/>
    <m/>
    <m/>
    <m/>
    <m/>
    <x v="1"/>
    <n v="8.8286905023031714E-3"/>
    <n v="-5.2192066805845094E-3"/>
    <n v="-0.17276422764227639"/>
    <n v="-0.16380952380952385"/>
    <m/>
    <m/>
    <m/>
    <m/>
    <m/>
    <m/>
    <m/>
    <m/>
    <m/>
    <m/>
    <m/>
    <s v=""/>
    <m/>
    <m/>
    <m/>
    <m/>
    <m/>
    <n v="114"/>
    <n v="0"/>
    <s v="FR00001212201"/>
    <s v="FR0000121220"/>
    <n v="1"/>
    <x v="4"/>
    <m/>
    <m/>
    <m/>
  </r>
  <r>
    <m/>
    <m/>
    <m/>
    <m/>
    <n v="62.87"/>
    <x v="12"/>
    <n v="18236000000"/>
    <n v="958000000"/>
    <n v="984000000"/>
    <n v="525000000"/>
    <n v="639000000"/>
    <n v="3069000000"/>
    <n v="19.531346331214149"/>
    <n v="0.17106549364613879"/>
    <n v="0.16983818770226536"/>
    <n v="157132025"/>
    <n v="9878890411.75"/>
    <n v="3.2189281237373737"/>
    <n v="10.979008780532359"/>
    <m/>
    <m/>
    <s v=""/>
    <m/>
    <m/>
    <m/>
    <m/>
    <m/>
    <n v="115"/>
    <n v="0"/>
    <s v="FR000012122012012"/>
    <s v="FR0000121220"/>
    <n v="1"/>
    <x v="4"/>
    <m/>
    <m/>
    <m/>
  </r>
  <r>
    <m/>
    <m/>
    <m/>
    <m/>
    <m/>
    <x v="1"/>
    <m/>
    <m/>
    <m/>
    <m/>
    <m/>
    <m/>
    <m/>
    <m/>
    <m/>
    <m/>
    <m/>
    <m/>
    <m/>
    <m/>
    <m/>
    <s v=""/>
    <m/>
    <m/>
    <m/>
    <m/>
    <m/>
    <n v="116"/>
    <n v="0"/>
    <s v="FR00001212201"/>
    <s v="FR0000121220"/>
    <n v="1"/>
    <x v="4"/>
    <m/>
    <m/>
    <m/>
  </r>
  <r>
    <m/>
    <m/>
    <m/>
    <m/>
    <m/>
    <x v="1"/>
    <m/>
    <m/>
    <m/>
    <m/>
    <m/>
    <m/>
    <m/>
    <m/>
    <m/>
    <m/>
    <m/>
    <m/>
    <m/>
    <m/>
    <m/>
    <s v=""/>
    <m/>
    <m/>
    <m/>
    <m/>
    <m/>
    <n v="117"/>
    <n v="0"/>
    <s v="FR00001212201"/>
    <s v="FR0000121220"/>
    <n v="1"/>
    <x v="4"/>
    <m/>
    <m/>
    <m/>
  </r>
  <r>
    <m/>
    <m/>
    <m/>
    <m/>
    <m/>
    <x v="1"/>
    <m/>
    <m/>
    <m/>
    <m/>
    <m/>
    <m/>
    <m/>
    <m/>
    <m/>
    <m/>
    <m/>
    <m/>
    <m/>
    <m/>
    <m/>
    <s v=""/>
    <m/>
    <m/>
    <m/>
    <m/>
    <m/>
    <n v="118"/>
    <n v="0"/>
    <s v="FR00001212201"/>
    <s v="FR0000121220"/>
    <n v="1"/>
    <x v="4"/>
    <m/>
    <m/>
    <m/>
  </r>
  <r>
    <s v="Saint-Gobain"/>
    <s v="Matériaux de construction"/>
    <s v="France"/>
    <s v="Euro"/>
    <n v="58"/>
    <x v="0"/>
    <m/>
    <m/>
    <m/>
    <m/>
    <m/>
    <m/>
    <m/>
    <m/>
    <m/>
    <m/>
    <m/>
    <m/>
    <m/>
    <s v="BBB+ / Stable"/>
    <m/>
    <s v=""/>
    <m/>
    <m/>
    <m/>
    <s v="Leader mondial des matériaux de construction, intégré verticalement recherche, fabrication et distribution. Présent dans 70 pays. 850 sociétés"/>
    <m/>
    <n v="119"/>
    <s v="p"/>
    <s v="FR000012500712023"/>
    <s v="FR0000125007"/>
    <n v="1"/>
    <x v="5"/>
    <m/>
    <m/>
    <m/>
  </r>
  <r>
    <m/>
    <m/>
    <m/>
    <m/>
    <m/>
    <x v="1"/>
    <m/>
    <m/>
    <m/>
    <m/>
    <m/>
    <m/>
    <m/>
    <m/>
    <m/>
    <m/>
    <m/>
    <m/>
    <m/>
    <d v="2023-04-25T00:00:00"/>
    <m/>
    <s v=""/>
    <m/>
    <m/>
    <m/>
    <s v="Actionnariat : 9 % salariés - Blackrock : 4,9% - CDC : 4,1% - Public : 82% à fin 2020. Pas d'actionnaires importants"/>
    <m/>
    <n v="120"/>
    <s v="p"/>
    <s v="FR00001250071"/>
    <s v="FR0000125007"/>
    <n v="1"/>
    <x v="5"/>
    <m/>
    <m/>
    <m/>
  </r>
  <r>
    <m/>
    <m/>
    <m/>
    <m/>
    <n v="45.65"/>
    <x v="2"/>
    <n v="51197000000"/>
    <n v="7123000000"/>
    <n v="4582000000"/>
    <n v="3003000000"/>
    <n v="8232000000"/>
    <n v="22711000000"/>
    <n v="43.340147767366474"/>
    <n v="0.14496741491672702"/>
    <n v="0.11781444182558388"/>
    <n v="524017595"/>
    <n v="23921403211.75"/>
    <n v="1.0532959011822465"/>
    <n v="4.5140254403692266"/>
    <m/>
    <n v="167000"/>
    <n v="306568.86227544909"/>
    <n v="3791000000"/>
    <m/>
    <m/>
    <s v="Benoît Bazin, Directeur général depuis juullet 2021, (né en 1969) chez Saint-Gobain depuis 1999, Chalandar président du CA"/>
    <m/>
    <n v="121"/>
    <s v="p"/>
    <s v="FR000012500712022"/>
    <s v="FR0000125007"/>
    <n v="1"/>
    <x v="5"/>
    <m/>
    <m/>
    <m/>
  </r>
  <r>
    <m/>
    <m/>
    <m/>
    <m/>
    <m/>
    <x v="1"/>
    <n v="0.15935235507246381"/>
    <n v="0.14850048371493063"/>
    <n v="0.16412601626016254"/>
    <n v="0.14881407804131608"/>
    <m/>
    <m/>
    <m/>
    <m/>
    <m/>
    <m/>
    <m/>
    <m/>
    <m/>
    <m/>
    <m/>
    <s v=""/>
    <m/>
    <m/>
    <m/>
    <s v="Répartition du CA : 55% en Europe (10-15% de marge d'exploitation), États-Unis 20% du CA (20% de marge donc 30% de la marge du groupe) Reste du Monde 25%. Matériaux HP "/>
    <m/>
    <n v="122"/>
    <s v="p"/>
    <s v="FR00001250071"/>
    <s v="FR0000125007"/>
    <n v="1"/>
    <x v="5"/>
    <m/>
    <m/>
    <m/>
  </r>
  <r>
    <m/>
    <m/>
    <m/>
    <m/>
    <n v="61.87"/>
    <x v="3"/>
    <n v="44160000000"/>
    <n v="6202000000"/>
    <n v="3936000000"/>
    <n v="2614000000"/>
    <n v="7287000000"/>
    <n v="20715000000"/>
    <n v="39.531115362643497"/>
    <n v="0.14609881511289963"/>
    <n v="0.11302676185538228"/>
    <n v="524017595"/>
    <n v="32420968602.649998"/>
    <n v="1.5650962395679457"/>
    <n v="6.402445759859722"/>
    <m/>
    <m/>
    <s v=""/>
    <n v="2904000000"/>
    <m/>
    <m/>
    <s v="En 2007, Wendel entre au capital à 55 euros et diminue progressivement sa participation pour détenir 2,5% au 31/12/2018 puis sortie définitive"/>
    <m/>
    <n v="123"/>
    <s v="p"/>
    <s v="FR000012500712021"/>
    <s v="FR0000125007"/>
    <n v="1"/>
    <x v="5"/>
    <m/>
    <m/>
    <m/>
  </r>
  <r>
    <m/>
    <m/>
    <m/>
    <m/>
    <m/>
    <x v="1"/>
    <n v="0.15820394460763754"/>
    <n v="0.4047565118912797"/>
    <n v="1.7486033519553073"/>
    <n v="4.7324561403508776"/>
    <m/>
    <m/>
    <m/>
    <m/>
    <m/>
    <m/>
    <m/>
    <m/>
    <m/>
    <m/>
    <m/>
    <s v=""/>
    <m/>
    <m/>
    <m/>
    <s v="En 2009, augmentation de capital en mars-avril à 16,5 euros d'où le passage de 365 M de titres avant crise à 550 M de titres après crise"/>
    <m/>
    <n v="124"/>
    <s v="p"/>
    <s v="FR00001250071"/>
    <s v="FR0000125007"/>
    <n v="1"/>
    <x v="5"/>
    <m/>
    <m/>
    <m/>
  </r>
  <r>
    <m/>
    <m/>
    <m/>
    <m/>
    <n v="37.5"/>
    <x v="4"/>
    <n v="38128000000"/>
    <n v="4415000000"/>
    <n v="1432000000"/>
    <n v="456000000"/>
    <n v="7181000000"/>
    <n v="17892000000"/>
    <n v="34.14389167600374"/>
    <n v="2.3485784919653894E-2"/>
    <n v="3.4474872103520918E-2"/>
    <n v="524017595"/>
    <n v="19650659812.5"/>
    <n v="1.0982930814050973"/>
    <n v="6.0773861409966026"/>
    <m/>
    <m/>
    <s v=""/>
    <n v="3044000000"/>
    <m/>
    <m/>
    <s v="Le multiple VE/EBE a été 6 fois dans les années 2012-2013. ROE de 6,7 %, avec un actif net à 35-37 euros, potentiel pas si élevé"/>
    <m/>
    <n v="125"/>
    <s v="p"/>
    <s v="FR000012500712020"/>
    <s v="FR0000125007"/>
    <n v="1"/>
    <x v="5"/>
    <m/>
    <m/>
    <m/>
  </r>
  <r>
    <m/>
    <m/>
    <m/>
    <m/>
    <m/>
    <x v="1"/>
    <n v="-0.1044088976581401"/>
    <n v="-9.3429158110882926E-2"/>
    <n v="-0.57758112094395275"/>
    <n v="-0.67567567567567566"/>
    <m/>
    <m/>
    <m/>
    <m/>
    <m/>
    <m/>
    <m/>
    <m/>
    <m/>
    <m/>
    <m/>
    <s v=""/>
    <m/>
    <m/>
    <m/>
    <s v="En 2014, opération avec SIKA en décembre "/>
    <m/>
    <n v="126"/>
    <s v="p"/>
    <s v="FR00001250071"/>
    <s v="FR0000125007"/>
    <n v="1"/>
    <x v="5"/>
    <m/>
    <m/>
    <m/>
  </r>
  <r>
    <m/>
    <m/>
    <m/>
    <m/>
    <n v="37"/>
    <x v="5"/>
    <n v="42573000000"/>
    <n v="4870000000"/>
    <n v="3390000000"/>
    <n v="1406000000"/>
    <n v="10491000000"/>
    <n v="19416000000"/>
    <n v="35.817606630445539"/>
    <n v="7.9475439489005706E-2"/>
    <n v="8.447136182730576E-2"/>
    <n v="542079771"/>
    <n v="20056951527"/>
    <n v="1.0330115125154511"/>
    <n v="6.2726799850102672"/>
    <m/>
    <m/>
    <s v=""/>
    <n v="1857000000"/>
    <m/>
    <m/>
    <s v="En 2018, Saint-Gobain a signé un accord avec Sika et la famille Burkard le 11 mai. Elle ne prendra pas le contrôle de Sika, elle vend une partie du capital 6,97%, conserve 10,75% qu'elle cédera d'ici 2 ans. Gain comptable de 600 M euros. "/>
    <m/>
    <n v="127"/>
    <s v="p"/>
    <s v="FR000012500712019"/>
    <s v="FR0000125007"/>
    <n v="1"/>
    <x v="5"/>
    <m/>
    <m/>
    <m/>
  </r>
  <r>
    <m/>
    <m/>
    <m/>
    <m/>
    <m/>
    <x v="1"/>
    <n v="1.9126729544692855E-2"/>
    <n v="-4.715319898258663E-2"/>
    <n v="5.7062675397567819E-2"/>
    <n v="2.3476190476190477"/>
    <m/>
    <m/>
    <m/>
    <m/>
    <m/>
    <m/>
    <m/>
    <m/>
    <m/>
    <m/>
    <m/>
    <s v=""/>
    <m/>
    <m/>
    <m/>
    <s v="PV sur la vente des actions SIKA de 781 M euros"/>
    <m/>
    <n v="128"/>
    <s v="p"/>
    <s v="FR00001250071"/>
    <s v="FR0000125007"/>
    <n v="1"/>
    <x v="5"/>
    <m/>
    <m/>
    <m/>
  </r>
  <r>
    <m/>
    <m/>
    <m/>
    <m/>
    <n v="28.5"/>
    <x v="6"/>
    <n v="41774000000"/>
    <n v="5111000000"/>
    <n v="3207000000"/>
    <n v="420000000"/>
    <n v="11204000000"/>
    <n v="17691000000"/>
    <n v="32.366420356457489"/>
    <n v="2.3224950232249502E-2"/>
    <n v="9.6053912392362412E-2"/>
    <n v="546585004"/>
    <n v="15577672614"/>
    <n v="0.88054223130405296"/>
    <n v="5.2400063811387207"/>
    <m/>
    <m/>
    <s v=""/>
    <m/>
    <m/>
    <m/>
    <s v="En 2018, IFRS 16 (chiffres revus) : +3 Md euros en dettes et +780 M euros en EBE et +85 M euros en rex"/>
    <m/>
    <n v="129"/>
    <s v="p"/>
    <s v="FR000012500712018"/>
    <s v="FR0000125007"/>
    <n v="1"/>
    <x v="5"/>
    <m/>
    <m/>
    <m/>
  </r>
  <r>
    <m/>
    <m/>
    <m/>
    <m/>
    <m/>
    <x v="1"/>
    <n v="2.3621661357510426E-2"/>
    <n v="0.20713273500236173"/>
    <n v="5.9114927344781965E-2"/>
    <n v="-0.73180076628352486"/>
    <m/>
    <m/>
    <m/>
    <m/>
    <m/>
    <m/>
    <m/>
    <m/>
    <m/>
    <m/>
    <m/>
    <s v=""/>
    <m/>
    <m/>
    <m/>
    <s v="En 2019, dettes à fin juin à 12,5 Md euros pour 5 Md euros d'EBE/ Echelonné : 1,5 Md euros par an. Frais financier : 500 Meuros"/>
    <m/>
    <n v="130"/>
    <s v="p"/>
    <s v="FR00001250071"/>
    <s v="FR0000125007"/>
    <n v="1"/>
    <x v="5"/>
    <m/>
    <m/>
    <m/>
  </r>
  <r>
    <m/>
    <m/>
    <m/>
    <m/>
    <n v="50"/>
    <x v="7"/>
    <n v="40810000000"/>
    <n v="4234000000"/>
    <n v="3028000000"/>
    <n v="1566000000"/>
    <n v="5955000000"/>
    <n v="18084000000"/>
    <n v="32.668717091729931"/>
    <n v="8.3453237410071948E-2"/>
    <n v="8.9317874554467616E-2"/>
    <n v="553557091"/>
    <n v="27677854550"/>
    <n v="1.5305161772837867"/>
    <n v="7.9435178436466698"/>
    <m/>
    <m/>
    <s v=""/>
    <m/>
    <m/>
    <m/>
    <s v="En 2020, dépréciation d'actifs de 734 Meuros au Royaume-Uni. Cession des 10,75% de SIKA le 27 mai 2020 (2,5 Md euros)"/>
    <m/>
    <n v="131"/>
    <s v="p"/>
    <s v="FR000012500712017"/>
    <s v="FR0000125007"/>
    <n v="1"/>
    <x v="5"/>
    <m/>
    <m/>
    <m/>
  </r>
  <r>
    <m/>
    <m/>
    <m/>
    <m/>
    <m/>
    <x v="1"/>
    <n v="4.3920906556160988E-2"/>
    <n v="5.902951475737872E-2"/>
    <n v="7.4520936834634455E-2"/>
    <n v="0.19450800915331801"/>
    <m/>
    <m/>
    <m/>
    <m/>
    <m/>
    <m/>
    <m/>
    <m/>
    <m/>
    <m/>
    <m/>
    <s v=""/>
    <m/>
    <m/>
    <m/>
    <s v="En 2021, retour au niveau d'activité de 2018 (plan de relance, transition énergétique, recentrage) et marge d'exploitation à 8,8 %. Grand bénéficiaire du bricolage à la maison et de la transition énergétique"/>
    <m/>
    <n v="132"/>
    <s v="p"/>
    <s v="FR00001250071"/>
    <s v="FR0000125007"/>
    <n v="1"/>
    <x v="5"/>
    <m/>
    <m/>
    <m/>
  </r>
  <r>
    <m/>
    <m/>
    <m/>
    <m/>
    <n v="46"/>
    <x v="8"/>
    <n v="39093000000"/>
    <n v="3998000000"/>
    <n v="2818000000"/>
    <n v="1311000000"/>
    <n v="5644000000"/>
    <n v="18765000000"/>
    <n v="33.793739918313477"/>
    <n v="6.9160160371386364E-2"/>
    <n v="8.5419104955163555E-2"/>
    <n v="555280358"/>
    <n v="25542896468"/>
    <n v="1.361198852544631"/>
    <n v="7.800624429214607"/>
    <m/>
    <m/>
    <s v=""/>
    <m/>
    <m/>
    <m/>
    <s v="En 2021, acquisition de GCP Applied Technologies pour une valeur d'entreprise de 2 Md euros (soit 13,3 fois VE/EBE mais 8,8 fois après synergie) dans la chimie contruction aux États-Unis. Pôle représentant 10% du CA. "/>
    <m/>
    <n v="133"/>
    <s v="p"/>
    <s v="FR000012500712016"/>
    <s v="FR0000125007"/>
    <n v="1"/>
    <x v="5"/>
    <m/>
    <m/>
    <m/>
  </r>
  <r>
    <m/>
    <m/>
    <m/>
    <m/>
    <m/>
    <x v="1"/>
    <n v="-1.3376069454609674E-2"/>
    <n v="4.0062434963579641E-2"/>
    <n v="6.9044006069802766E-2"/>
    <n v="1.2355212355212419E-2"/>
    <m/>
    <m/>
    <m/>
    <m/>
    <m/>
    <m/>
    <m/>
    <m/>
    <m/>
    <m/>
    <m/>
    <s v=""/>
    <m/>
    <m/>
    <m/>
    <s v="Excellent résultats pour suite de la demande et des effets du recentrage initiés depuis 2019 (5 Md euros de CA cédés et 2 Md euros de CA acquis)"/>
    <m/>
    <n v="134"/>
    <s v="p"/>
    <s v="FR00001250071"/>
    <s v="FR0000125007"/>
    <n v="1"/>
    <x v="5"/>
    <m/>
    <m/>
    <m/>
  </r>
  <r>
    <m/>
    <m/>
    <m/>
    <m/>
    <n v="40.19"/>
    <x v="9"/>
    <n v="39623000000"/>
    <n v="3844000000"/>
    <n v="2636000000"/>
    <n v="1295000000"/>
    <n v="4797000000"/>
    <n v="18956000000"/>
    <n v="33.793068395261152"/>
    <n v="6.8316100443131467E-2"/>
    <n v="7.990232812697344E-2"/>
    <n v="560943439"/>
    <n v="22544316813.41"/>
    <n v="1.1892971520051698"/>
    <n v="7.1127254977653482"/>
    <m/>
    <m/>
    <s v=""/>
    <m/>
    <m/>
    <m/>
    <s v="En 2022, la société passera probablement la barre des 50 Md de CA"/>
    <m/>
    <n v="135"/>
    <s v="p"/>
    <s v="FR000012500712015"/>
    <s v="FR0000125007"/>
    <n v="1"/>
    <x v="5"/>
    <m/>
    <m/>
    <m/>
  </r>
  <r>
    <m/>
    <m/>
    <m/>
    <m/>
    <m/>
    <x v="1"/>
    <m/>
    <m/>
    <m/>
    <m/>
    <m/>
    <m/>
    <m/>
    <m/>
    <m/>
    <m/>
    <m/>
    <m/>
    <m/>
    <m/>
    <m/>
    <s v=""/>
    <m/>
    <m/>
    <m/>
    <s v="Acquisition au Canada de Kaycan (présent aux États-Unis et Canda) pour 928 M$ (EBE : 83 M$) dans la fabrication et distribution de matériaux de construction. Amérique du Nord : 10 Md de CA (20% du groupe) et 2 Md D'EBE (30% du groupe)"/>
    <m/>
    <n v="136"/>
    <s v="p"/>
    <s v="FR00001250071"/>
    <s v="FR0000125007"/>
    <n v="1"/>
    <x v="5"/>
    <m/>
    <m/>
    <m/>
  </r>
  <r>
    <m/>
    <m/>
    <m/>
    <m/>
    <n v="51.65"/>
    <x v="15"/>
    <n v="43421000000"/>
    <n v="4108000000"/>
    <n v="3156000000"/>
    <n v="1487000000"/>
    <n v="9928000000"/>
    <n v="15300000000"/>
    <n v="40.885461298848476"/>
    <n v="0.10497705612424992"/>
    <n v="8.8197484862598971E-2"/>
    <n v="374216152"/>
    <n v="19328264250.799999"/>
    <n v="1.2632852451503267"/>
    <n v="7.1217780552093473"/>
    <m/>
    <m/>
    <s v=""/>
    <m/>
    <m/>
    <m/>
    <s v="Cession de la distribution de matériaux au Royaume-Uni (2,7 Md euros pour 850 M euros)"/>
    <m/>
    <n v="137"/>
    <s v="p"/>
    <s v="FR000012500712007"/>
    <s v="FR0000125007"/>
    <n v="1"/>
    <x v="5"/>
    <m/>
    <m/>
    <m/>
  </r>
  <r>
    <m/>
    <m/>
    <m/>
    <m/>
    <m/>
    <x v="1"/>
    <n v="4.3874411001057823E-2"/>
    <n v="0.10608508346795897"/>
    <n v="0.10608508346795897"/>
    <n v="-9.1631032376298105E-2"/>
    <m/>
    <m/>
    <m/>
    <m/>
    <m/>
    <m/>
    <m/>
    <m/>
    <m/>
    <m/>
    <m/>
    <s v=""/>
    <m/>
    <m/>
    <m/>
    <s v="Objectif 2025 : 20% de CA en plus (4%-5% par an) soit 53 Md euros et 10% de marge soit 5,3 Md euros et 3,5 Md euros de RN. ROCE : 15%. Objectif : 42 Md euros de capitalisation boursière soit 84 euros"/>
    <m/>
    <n v="138"/>
    <s v="p"/>
    <s v="FR00001250071"/>
    <s v="FR0000125007"/>
    <n v="1"/>
    <x v="5"/>
    <m/>
    <m/>
    <m/>
  </r>
  <r>
    <m/>
    <m/>
    <m/>
    <m/>
    <n v="73.17"/>
    <x v="16"/>
    <n v="41596000000"/>
    <n v="3714000000"/>
    <n v="3322000000"/>
    <n v="1637000000"/>
    <n v="11599000000"/>
    <n v="14165000000"/>
    <n v="38.447995901674354"/>
    <n v="0.11556653723967526"/>
    <n v="9.2836516068933395E-2"/>
    <n v="368419723"/>
    <n v="26957271131.91"/>
    <n v="1.9030900904984116"/>
    <n v="10.381333099598816"/>
    <m/>
    <m/>
    <s v=""/>
    <m/>
    <m/>
    <m/>
    <s v="La construction représente 40% des émissions de CO2, principale cause. Solution de ST-Gobain réduit des 2/3 les émissions de CO2 soit 1300 millions de tonnes : plaques de plâtre, isolation et vitrage"/>
    <m/>
    <n v="139"/>
    <s v="p"/>
    <s v="FR000012500712006"/>
    <s v="FR0000125007"/>
    <n v="1"/>
    <x v="5"/>
    <m/>
    <m/>
    <m/>
  </r>
  <r>
    <m/>
    <m/>
    <m/>
    <m/>
    <m/>
    <x v="1"/>
    <m/>
    <m/>
    <m/>
    <m/>
    <m/>
    <m/>
    <m/>
    <m/>
    <m/>
    <m/>
    <m/>
    <m/>
    <m/>
    <m/>
    <m/>
    <s v=""/>
    <m/>
    <m/>
    <m/>
    <s v="Engagé dans la neutalité carbone en 2050"/>
    <m/>
    <n v="140"/>
    <s v="p"/>
    <s v="FR00001250071"/>
    <s v="FR0000125007"/>
    <n v="1"/>
    <x v="5"/>
    <m/>
    <m/>
    <m/>
  </r>
  <r>
    <m/>
    <m/>
    <m/>
    <m/>
    <m/>
    <x v="1"/>
    <m/>
    <m/>
    <m/>
    <m/>
    <m/>
    <m/>
    <m/>
    <m/>
    <m/>
    <m/>
    <m/>
    <m/>
    <m/>
    <m/>
    <m/>
    <s v=""/>
    <m/>
    <m/>
    <m/>
    <s v="CAC : KPMG et Price"/>
    <m/>
    <n v="141"/>
    <s v="p"/>
    <s v="FR00001250071"/>
    <s v="FR0000125007"/>
    <n v="1"/>
    <x v="5"/>
    <m/>
    <m/>
    <m/>
  </r>
  <r>
    <m/>
    <m/>
    <m/>
    <m/>
    <m/>
    <x v="1"/>
    <m/>
    <m/>
    <m/>
    <m/>
    <m/>
    <m/>
    <m/>
    <m/>
    <m/>
    <m/>
    <m/>
    <m/>
    <m/>
    <m/>
    <m/>
    <s v=""/>
    <m/>
    <m/>
    <m/>
    <s v="Peu de minoritaires : 2%"/>
    <m/>
    <n v="142"/>
    <s v="p"/>
    <s v="FR00001250071"/>
    <s v="FR0000125007"/>
    <n v="1"/>
    <x v="5"/>
    <m/>
    <m/>
    <m/>
  </r>
  <r>
    <m/>
    <m/>
    <m/>
    <m/>
    <m/>
    <x v="1"/>
    <m/>
    <m/>
    <m/>
    <m/>
    <m/>
    <m/>
    <m/>
    <m/>
    <m/>
    <m/>
    <m/>
    <m/>
    <m/>
    <m/>
    <m/>
    <s v=""/>
    <m/>
    <m/>
    <m/>
    <s v="Pay out ratio : 35-40% contre 50% historiquement"/>
    <m/>
    <n v="143"/>
    <s v="p"/>
    <s v="FR00001250071"/>
    <s v="FR0000125007"/>
    <n v="1"/>
    <x v="5"/>
    <m/>
    <m/>
    <m/>
  </r>
  <r>
    <m/>
    <m/>
    <m/>
    <m/>
    <m/>
    <x v="1"/>
    <m/>
    <m/>
    <m/>
    <m/>
    <m/>
    <m/>
    <m/>
    <m/>
    <m/>
    <m/>
    <m/>
    <m/>
    <m/>
    <m/>
    <m/>
    <s v=""/>
    <m/>
    <m/>
    <m/>
    <m/>
    <m/>
    <n v="144"/>
    <s v="p"/>
    <s v="FR00001250071"/>
    <s v="FR0000125007"/>
    <n v="1"/>
    <x v="5"/>
    <m/>
    <m/>
    <m/>
  </r>
  <r>
    <m/>
    <m/>
    <m/>
    <m/>
    <m/>
    <x v="1"/>
    <m/>
    <m/>
    <m/>
    <m/>
    <m/>
    <m/>
    <m/>
    <m/>
    <m/>
    <m/>
    <m/>
    <m/>
    <m/>
    <m/>
    <m/>
    <s v=""/>
    <m/>
    <m/>
    <m/>
    <m/>
    <m/>
    <n v="145"/>
    <s v="p"/>
    <s v="FR00001250071"/>
    <s v="FR0000125007"/>
    <n v="1"/>
    <x v="5"/>
    <m/>
    <m/>
    <m/>
  </r>
  <r>
    <m/>
    <m/>
    <m/>
    <m/>
    <m/>
    <x v="1"/>
    <m/>
    <m/>
    <m/>
    <m/>
    <m/>
    <m/>
    <m/>
    <m/>
    <m/>
    <m/>
    <m/>
    <m/>
    <m/>
    <m/>
    <m/>
    <s v=""/>
    <m/>
    <m/>
    <m/>
    <m/>
    <m/>
    <n v="146"/>
    <s v="p"/>
    <s v="FR00001250071"/>
    <s v="FR0000125007"/>
    <n v="1"/>
    <x v="5"/>
    <m/>
    <m/>
    <m/>
  </r>
  <r>
    <m/>
    <m/>
    <m/>
    <m/>
    <m/>
    <x v="1"/>
    <m/>
    <m/>
    <m/>
    <m/>
    <m/>
    <m/>
    <m/>
    <m/>
    <m/>
    <m/>
    <m/>
    <m/>
    <m/>
    <m/>
    <m/>
    <s v=""/>
    <m/>
    <m/>
    <m/>
    <m/>
    <m/>
    <n v="147"/>
    <s v="p"/>
    <s v="FR00001250071"/>
    <s v="FR0000125007"/>
    <n v="1"/>
    <x v="5"/>
    <m/>
    <m/>
    <m/>
  </r>
  <r>
    <m/>
    <m/>
    <m/>
    <m/>
    <m/>
    <x v="1"/>
    <m/>
    <m/>
    <m/>
    <m/>
    <m/>
    <m/>
    <m/>
    <m/>
    <m/>
    <m/>
    <m/>
    <m/>
    <m/>
    <m/>
    <m/>
    <s v=""/>
    <m/>
    <m/>
    <m/>
    <m/>
    <m/>
    <n v="148"/>
    <s v="p"/>
    <s v="FR00001250071"/>
    <s v="FR0000125007"/>
    <n v="1"/>
    <x v="5"/>
    <m/>
    <m/>
    <m/>
  </r>
  <r>
    <m/>
    <m/>
    <m/>
    <m/>
    <m/>
    <x v="1"/>
    <m/>
    <m/>
    <m/>
    <m/>
    <m/>
    <m/>
    <m/>
    <m/>
    <m/>
    <m/>
    <m/>
    <m/>
    <m/>
    <m/>
    <m/>
    <s v=""/>
    <m/>
    <m/>
    <m/>
    <m/>
    <m/>
    <n v="149"/>
    <s v="p"/>
    <s v="FR00001250071"/>
    <s v="FR0000125007"/>
    <n v="1"/>
    <x v="5"/>
    <m/>
    <m/>
    <m/>
  </r>
  <r>
    <s v="Verallia"/>
    <s v="Emballage"/>
    <s v="France "/>
    <s v="Euro"/>
    <n v="31.94"/>
    <x v="2"/>
    <n v="3351500000"/>
    <n v="850000000"/>
    <n v="558300000"/>
    <n v="342000000"/>
    <n v="1405900000"/>
    <n v="1003400000"/>
    <n v="8.2051410875809019"/>
    <n v="0.34084114012357986"/>
    <n v="0.16684348150915204"/>
    <n v="122289183"/>
    <n v="3905916505.02"/>
    <n v="3.8926813882997808"/>
    <n v="6.2491958882588241"/>
    <s v="BBB- (6/5/2023)"/>
    <n v="10000"/>
    <n v="335150"/>
    <n v="160000000"/>
    <m/>
    <m/>
    <s v="Répartition des ventes : 36 % Vins tranquilles, 12 % Vins Pétillants, 12 % Spiritieux, 13 % Bières, 11 % Boissons non alcoolisées, Produits alimentaires 16 %"/>
    <m/>
    <n v="150"/>
    <n v="0"/>
    <s v="FR001344772912022"/>
    <s v="FR0013447729"/>
    <n v="1"/>
    <x v="6"/>
    <m/>
    <m/>
    <m/>
  </r>
  <r>
    <m/>
    <m/>
    <m/>
    <m/>
    <m/>
    <x v="1"/>
    <n v="0.25336574420344049"/>
    <n v="0.25368731563421831"/>
    <n v="0.42061068702290072"/>
    <n v="0.40740740740740744"/>
    <m/>
    <m/>
    <m/>
    <m/>
    <m/>
    <m/>
    <m/>
    <m/>
    <m/>
    <m/>
    <m/>
    <s v=""/>
    <m/>
    <m/>
    <m/>
    <s v="Actionnariat : BWSA Brasil Warrant  Administração de Bens e Empresas : 28 % BPI France : 7,51 %, Auto-détention : 3,9 %, Salariés : 3,79 %"/>
    <m/>
    <n v="151"/>
    <n v="0"/>
    <s v="FR00134477291"/>
    <s v="FR0013447729"/>
    <n v="1"/>
    <x v="6"/>
    <m/>
    <m/>
    <m/>
  </r>
  <r>
    <m/>
    <m/>
    <m/>
    <m/>
    <n v="30.96"/>
    <x v="3"/>
    <n v="2674000000"/>
    <n v="678000000"/>
    <n v="393000000"/>
    <n v="243000000"/>
    <n v="1268000000"/>
    <n v="746400000"/>
    <n v="6.1035651861375184"/>
    <n v="0.32556270096463025"/>
    <n v="0.14046862589356632"/>
    <n v="122289183"/>
    <n v="3786073105.6800003"/>
    <n v="5.0724452112540197"/>
    <n v="7.4543851116224191"/>
    <m/>
    <n v="10000"/>
    <n v="267400"/>
    <n v="421800000"/>
    <m/>
    <m/>
    <s v="Numéro 3 mondial de l'emballage en verre avec 16 Md de bouteilles produites et 10 000 clients. Le verre se recycle (calcin). 32 sites de production. 10 000 collaborateurs soit 265 K euros par salarié"/>
    <m/>
    <n v="152"/>
    <n v="0"/>
    <s v="FR001344772912021"/>
    <s v="FR0013447729"/>
    <n v="1"/>
    <x v="6"/>
    <m/>
    <m/>
    <m/>
  </r>
  <r>
    <m/>
    <m/>
    <m/>
    <m/>
    <m/>
    <x v="1"/>
    <n v="5.4416403785489065E-2"/>
    <n v="8.3067092651757157E-2"/>
    <n v="0.12607449856733521"/>
    <n v="0.20297029702970293"/>
    <m/>
    <m/>
    <m/>
    <m/>
    <m/>
    <m/>
    <m/>
    <m/>
    <m/>
    <m/>
    <m/>
    <s v=""/>
    <m/>
    <m/>
    <m/>
    <s v="Ancienne filiale de Saint-Gobain vendu au printemps 2015 à Appolo (90%) et BPI (10%) pour 2,95 Md euros "/>
    <m/>
    <n v="153"/>
    <n v="0"/>
    <s v="FR00134477291"/>
    <s v="FR0013447729"/>
    <n v="1"/>
    <x v="6"/>
    <m/>
    <m/>
    <m/>
  </r>
  <r>
    <m/>
    <m/>
    <m/>
    <m/>
    <n v="28.65"/>
    <x v="4"/>
    <n v="2536000000"/>
    <n v="626000000"/>
    <n v="349000000"/>
    <n v="202000000"/>
    <n v="1279000000"/>
    <n v="538300000"/>
    <n v="4.4570859092089696"/>
    <n v="0.37525543377298903"/>
    <n v="0.13827106146481044"/>
    <n v="120773979"/>
    <n v="3460174498.3499999"/>
    <n v="6.427966744101802"/>
    <n v="7.5705662912939307"/>
    <m/>
    <m/>
    <s v=""/>
    <n v="375200000"/>
    <m/>
    <m/>
    <s v="IPO en octobre 2019 à 27 euros par cession de 888 M euros de titres des actionnaires historiques et une valorisation de 3,2 Md euros (VE/EBE de 8 fois). Appollo : 61% du capital après l'IPO"/>
    <m/>
    <n v="154"/>
    <n v="0"/>
    <s v="FR001344772912020"/>
    <s v="FR0013447729"/>
    <n v="1"/>
    <x v="6"/>
    <m/>
    <m/>
    <m/>
  </r>
  <r>
    <m/>
    <m/>
    <m/>
    <m/>
    <m/>
    <x v="1"/>
    <n v="-4.5899172310007508E-2"/>
    <n v="2.6229508196721207E-2"/>
    <n v="9.0624999999999956E-2"/>
    <n v="0.34666666666666668"/>
    <m/>
    <m/>
    <m/>
    <m/>
    <m/>
    <m/>
    <m/>
    <m/>
    <m/>
    <m/>
    <m/>
    <s v=""/>
    <m/>
    <m/>
    <m/>
    <s v="Présence importante en Europe (90% du CA) et en Amérique du Sud (10% du CA). Numéro 3 mondial"/>
    <m/>
    <n v="155"/>
    <n v="0"/>
    <s v="FR00134477291"/>
    <s v="FR0013447729"/>
    <n v="1"/>
    <x v="6"/>
    <m/>
    <m/>
    <m/>
  </r>
  <r>
    <m/>
    <m/>
    <m/>
    <m/>
    <n v="29.05"/>
    <x v="5"/>
    <n v="2658000000"/>
    <n v="610000000"/>
    <n v="320000000"/>
    <n v="150000000"/>
    <n v="1690000000"/>
    <n v="175000000"/>
    <n v="1.4781161691533169"/>
    <n v="0.8571428571428571"/>
    <n v="0.12353887399463807"/>
    <n v="118393942"/>
    <n v="3439344015.0999999"/>
    <n v="19.653394372000001"/>
    <n v="8.4087606804918043"/>
    <m/>
    <m/>
    <s v=""/>
    <n v="362700000"/>
    <m/>
    <m/>
    <s v="Investissement : 8% du CA soit 200 M euros contre 280 M euros d'endettement. De 2016 à 2018, endettement de plus de 2 Md et 150 M e de charges financières par an d'où perte"/>
    <m/>
    <n v="156"/>
    <n v="0"/>
    <s v="FR001344772912019"/>
    <s v="FR0013447729"/>
    <n v="1"/>
    <x v="6"/>
    <m/>
    <m/>
    <m/>
  </r>
  <r>
    <m/>
    <m/>
    <m/>
    <m/>
    <m/>
    <x v="1"/>
    <n v="0.1002566437619008"/>
    <n v="0.12338858195211788"/>
    <n v="0.44665461121157324"/>
    <n v="2.0927835051546393"/>
    <m/>
    <m/>
    <m/>
    <m/>
    <m/>
    <m/>
    <m/>
    <m/>
    <m/>
    <m/>
    <m/>
    <s v=""/>
    <m/>
    <m/>
    <m/>
    <s v="Appolo a pris 97 M euros en 2016 de capital"/>
    <m/>
    <n v="157"/>
    <n v="0"/>
    <s v="FR00134477291"/>
    <s v="FR0013447729"/>
    <n v="1"/>
    <x v="6"/>
    <m/>
    <m/>
    <m/>
  </r>
  <r>
    <m/>
    <m/>
    <m/>
    <m/>
    <m/>
    <x v="6"/>
    <n v="2415800000"/>
    <n v="543000000"/>
    <n v="221200000"/>
    <n v="48500000"/>
    <n v="1709000000"/>
    <n v="23100000"/>
    <e v="#DIV/0!"/>
    <n v="2.0995670995670994"/>
    <n v="9.1948501818601702E-2"/>
    <m/>
    <n v="0"/>
    <n v="0"/>
    <n v="3.1473296500920811"/>
    <m/>
    <m/>
    <s v=""/>
    <n v="318500000"/>
    <m/>
    <m/>
    <s v="Dettes brutes élevées qui va être refinancé après l'IPO, gain sur les charges financières. Free cah Flow 400 Me par an"/>
    <m/>
    <n v="158"/>
    <n v="0"/>
    <s v="FR001344772912018"/>
    <s v="FR0013447729"/>
    <n v="1"/>
    <x v="6"/>
    <m/>
    <m/>
    <m/>
  </r>
  <r>
    <m/>
    <m/>
    <m/>
    <m/>
    <m/>
    <x v="1"/>
    <n v="8.1375453824645838E-3"/>
    <n v="7.7380952380952328E-2"/>
    <n v="0.39558359621451111"/>
    <n v="2.7596899224806202"/>
    <m/>
    <m/>
    <m/>
    <m/>
    <m/>
    <m/>
    <m/>
    <m/>
    <m/>
    <m/>
    <m/>
    <s v=""/>
    <m/>
    <m/>
    <m/>
    <s v="EBE 2022 : 25% CA. Toute la création de valeur est intégré ou presque dans le cours actuel"/>
    <m/>
    <n v="159"/>
    <n v="0"/>
    <s v="FR00134477291"/>
    <s v="FR0013447729"/>
    <n v="1"/>
    <x v="6"/>
    <m/>
    <m/>
    <m/>
  </r>
  <r>
    <m/>
    <m/>
    <m/>
    <m/>
    <m/>
    <x v="7"/>
    <n v="2396300000"/>
    <n v="504000000"/>
    <n v="158500000"/>
    <n v="12900000"/>
    <n v="1849000000"/>
    <n v="4300000"/>
    <e v="#DIV/0!"/>
    <n v="3"/>
    <n v="6.1576647061997516E-2"/>
    <m/>
    <n v="0"/>
    <n v="0"/>
    <n v="3.6686507936507935"/>
    <m/>
    <m/>
    <s v=""/>
    <m/>
    <m/>
    <m/>
    <s v="PDG : Michel Giannuzzi (ancien de Tarkett de 2007 à 2017, condamnation de Tarkett en 2017 pour entente avec Gerflor période 2002-2011)"/>
    <m/>
    <n v="160"/>
    <n v="0"/>
    <s v="FR001344772912017"/>
    <s v="FR0013447729"/>
    <n v="1"/>
    <x v="6"/>
    <m/>
    <m/>
    <m/>
  </r>
  <r>
    <m/>
    <m/>
    <m/>
    <m/>
    <m/>
    <x v="1"/>
    <n v="4.6510612280548536E-2"/>
    <n v="7.922912205567445E-2"/>
    <n v="0.4151785714285714"/>
    <n v="-1.4777777777777779"/>
    <m/>
    <m/>
    <m/>
    <m/>
    <m/>
    <m/>
    <m/>
    <m/>
    <m/>
    <m/>
    <m/>
    <s v=""/>
    <m/>
    <m/>
    <m/>
    <s v="En 2022 forte croissance du CA + 25 %, Possède 5 fours en Russie et 2 Fours en Ukraine sur un total de 58 Fours, Réduction de l'endettement entre 2021 et 2022"/>
    <m/>
    <n v="161"/>
    <n v="0"/>
    <s v="FR00134477291"/>
    <s v="FR0013447729"/>
    <n v="1"/>
    <x v="6"/>
    <m/>
    <m/>
    <m/>
  </r>
  <r>
    <m/>
    <m/>
    <m/>
    <m/>
    <m/>
    <x v="8"/>
    <n v="2289800000"/>
    <n v="467000000"/>
    <n v="112000000"/>
    <n v="-27000000"/>
    <n v="1952000000"/>
    <n v="40700000"/>
    <e v="#DIV/0!"/>
    <n v="-0.66339066339066344"/>
    <n v="4.0467707131028256E-2"/>
    <m/>
    <n v="0"/>
    <n v="0"/>
    <n v="4.179871520342612"/>
    <m/>
    <m/>
    <s v=""/>
    <m/>
    <m/>
    <m/>
    <s v="Changement de DG : Michel Giannuzzi restera Président du CA, il sera remplacé par Patrice Lucas"/>
    <m/>
    <n v="162"/>
    <n v="0"/>
    <s v="FR001344772912016"/>
    <s v="FR0013447729"/>
    <n v="1"/>
    <x v="6"/>
    <m/>
    <m/>
    <m/>
  </r>
  <r>
    <m/>
    <m/>
    <m/>
    <m/>
    <m/>
    <x v="1"/>
    <m/>
    <m/>
    <m/>
    <m/>
    <m/>
    <m/>
    <m/>
    <m/>
    <m/>
    <m/>
    <m/>
    <m/>
    <m/>
    <m/>
    <m/>
    <s v=""/>
    <m/>
    <m/>
    <m/>
    <s v="En 2022, acquisition de l'Allied Glass pour 315 M de livres."/>
    <m/>
    <n v="163"/>
    <n v="0"/>
    <s v="FR00134477291"/>
    <s v="FR0013447729"/>
    <n v="1"/>
    <x v="6"/>
    <m/>
    <m/>
    <m/>
  </r>
  <r>
    <m/>
    <m/>
    <m/>
    <m/>
    <s v="IPO le 4 octobre 2019 à 27 euros"/>
    <x v="1"/>
    <m/>
    <m/>
    <m/>
    <m/>
    <m/>
    <m/>
    <m/>
    <m/>
    <m/>
    <m/>
    <m/>
    <m/>
    <m/>
    <m/>
    <m/>
    <s v=""/>
    <m/>
    <m/>
    <m/>
    <s v="Pay out : 45 %"/>
    <m/>
    <n v="164"/>
    <n v="0"/>
    <s v="FR00134477291"/>
    <s v="FR0013447729"/>
    <n v="1"/>
    <x v="6"/>
    <m/>
    <m/>
    <m/>
  </r>
  <r>
    <m/>
    <m/>
    <m/>
    <m/>
    <m/>
    <x v="1"/>
    <m/>
    <m/>
    <m/>
    <m/>
    <m/>
    <m/>
    <m/>
    <m/>
    <m/>
    <m/>
    <m/>
    <m/>
    <m/>
    <m/>
    <m/>
    <s v=""/>
    <m/>
    <m/>
    <m/>
    <s v="CAC : Price "/>
    <m/>
    <n v="165"/>
    <n v="0"/>
    <s v="FR00134477291"/>
    <s v="FR0013447729"/>
    <n v="1"/>
    <x v="6"/>
    <m/>
    <m/>
    <m/>
  </r>
  <r>
    <m/>
    <m/>
    <m/>
    <m/>
    <m/>
    <x v="1"/>
    <m/>
    <m/>
    <m/>
    <m/>
    <m/>
    <m/>
    <m/>
    <m/>
    <m/>
    <m/>
    <m/>
    <m/>
    <m/>
    <m/>
    <m/>
    <s v=""/>
    <m/>
    <m/>
    <m/>
    <s v="À suivre pour un nouveau cycle d'investissement, les investisseurs actuels gonflent peut-être les chiffres pour permettre leur sortie"/>
    <m/>
    <n v="166"/>
    <n v="0"/>
    <s v="FR00134477291"/>
    <s v="FR0013447729"/>
    <n v="1"/>
    <x v="6"/>
    <m/>
    <m/>
    <m/>
  </r>
  <r>
    <m/>
    <m/>
    <m/>
    <m/>
    <m/>
    <x v="1"/>
    <m/>
    <m/>
    <m/>
    <m/>
    <m/>
    <m/>
    <m/>
    <m/>
    <m/>
    <m/>
    <m/>
    <m/>
    <m/>
    <m/>
    <m/>
    <s v=""/>
    <m/>
    <m/>
    <m/>
    <m/>
    <m/>
    <n v="166"/>
    <n v="0"/>
    <s v="FR00134477291"/>
    <s v="FR0013447729"/>
    <n v="1"/>
    <x v="6"/>
    <m/>
    <m/>
    <m/>
  </r>
  <r>
    <m/>
    <m/>
    <m/>
    <m/>
    <m/>
    <x v="1"/>
    <m/>
    <m/>
    <m/>
    <m/>
    <m/>
    <m/>
    <m/>
    <m/>
    <m/>
    <m/>
    <m/>
    <m/>
    <m/>
    <m/>
    <m/>
    <s v=""/>
    <m/>
    <m/>
    <m/>
    <m/>
    <m/>
    <n v="166"/>
    <n v="0"/>
    <s v="FR00134477291"/>
    <s v="FR0013447729"/>
    <n v="1"/>
    <x v="6"/>
    <m/>
    <m/>
    <m/>
  </r>
  <r>
    <m/>
    <m/>
    <m/>
    <m/>
    <m/>
    <x v="1"/>
    <m/>
    <m/>
    <m/>
    <m/>
    <m/>
    <m/>
    <m/>
    <m/>
    <m/>
    <m/>
    <m/>
    <m/>
    <m/>
    <m/>
    <m/>
    <s v=""/>
    <m/>
    <m/>
    <m/>
    <m/>
    <m/>
    <n v="167"/>
    <n v="0"/>
    <s v="FR00134477291"/>
    <s v="FR0013447729"/>
    <n v="1"/>
    <x v="6"/>
    <m/>
    <m/>
    <m/>
  </r>
  <r>
    <s v="Lafarge Holcim"/>
    <s v="Matériaux de construction"/>
    <s v="Suisse"/>
    <s v="CHF"/>
    <n v="44.65"/>
    <x v="5"/>
    <n v="28015320000"/>
    <n v="6196480000"/>
    <n v="3444480000"/>
    <n v="1650000000"/>
    <n v="12818000000"/>
    <n v="27500000000"/>
    <n v="46.110221602086504"/>
    <n v="0.06"/>
    <n v="6.1511622600327394E-2"/>
    <n v="596397047"/>
    <n v="26629128148.549999"/>
    <n v="0.96833193267454543"/>
    <n v="6.3660542999493268"/>
    <m/>
    <m/>
    <s v=""/>
    <m/>
    <m/>
    <m/>
    <s v="Numéro un mondial du ciment. Fusion en 2014. Schmeidheiny 11,4% du capital, GBL 9,4% et Sawiris 4%. Conflits entre les actionnaires"/>
    <m/>
    <n v="168"/>
    <n v="0"/>
    <s v="CH001221405912019"/>
    <s v="CH0012214059"/>
    <n v="1"/>
    <x v="7"/>
    <m/>
    <m/>
    <m/>
  </r>
  <r>
    <m/>
    <m/>
    <m/>
    <m/>
    <m/>
    <x v="1"/>
    <n v="2.0000000000000018E-2"/>
    <n v="3.0000000000000027E-2"/>
    <n v="4.0000000000000036E-2"/>
    <n v="9.8535286284953338E-2"/>
    <m/>
    <m/>
    <m/>
    <m/>
    <m/>
    <m/>
    <m/>
    <m/>
    <m/>
    <m/>
    <m/>
    <s v=""/>
    <m/>
    <m/>
    <m/>
    <s v="Fusion Lafarge Holcim en 2014, cession de 5 Md CHF incinérant des Md CHF après celle de Lafont chez Lafarge après l'acquisition d'Orascom."/>
    <m/>
    <n v="169"/>
    <n v="0"/>
    <s v="CH00122140591"/>
    <s v="CH0012214059"/>
    <n v="1"/>
    <x v="7"/>
    <m/>
    <m/>
    <m/>
  </r>
  <r>
    <m/>
    <m/>
    <m/>
    <m/>
    <n v="40.68"/>
    <x v="6"/>
    <n v="27466000000"/>
    <n v="6016000000"/>
    <n v="3312000000"/>
    <n v="1502000000"/>
    <n v="13518000000"/>
    <n v="26925000000"/>
    <n v="45.146098786770153"/>
    <n v="5.5784586815227487E-2"/>
    <n v="5.8962984941769901E-2"/>
    <n v="596397047"/>
    <n v="24261431871.959999"/>
    <n v="0.90107453563454032"/>
    <n v="6.2798257765890959"/>
    <m/>
    <m/>
    <s v=""/>
    <m/>
    <m/>
    <m/>
    <s v="Suite à l'affaire de la Syrie, Jans Jenisch nouveau CEO"/>
    <m/>
    <n v="170"/>
    <n v="0"/>
    <s v="CH001221405912018"/>
    <s v="CH0012214059"/>
    <n v="1"/>
    <x v="7"/>
    <m/>
    <m/>
    <m/>
  </r>
  <r>
    <m/>
    <m/>
    <m/>
    <m/>
    <m/>
    <x v="1"/>
    <n v="5.1169198974319707E-2"/>
    <n v="4.3405676126877513E-3"/>
    <n v="-1.1638316920322245E-2"/>
    <n v="5.9985885673959016E-2"/>
    <m/>
    <m/>
    <m/>
    <m/>
    <m/>
    <m/>
    <m/>
    <m/>
    <m/>
    <m/>
    <m/>
    <s v=""/>
    <m/>
    <m/>
    <m/>
    <s v="Société à l'image dégradée suite à l'affaire de la Syrie. Concurrence et actifs bradés par Holcim et Lafarge. 900 M CHF de frais financiers"/>
    <m/>
    <n v="171"/>
    <n v="0"/>
    <s v="CH00122140591"/>
    <s v="CH0012214059"/>
    <n v="1"/>
    <x v="7"/>
    <m/>
    <m/>
    <m/>
  </r>
  <r>
    <m/>
    <m/>
    <m/>
    <m/>
    <n v="60"/>
    <x v="7"/>
    <n v="26129000000"/>
    <n v="5990000000"/>
    <n v="3351000000"/>
    <n v="1417000000"/>
    <n v="14346000000"/>
    <n v="27787000000"/>
    <n v="45.784452590493459"/>
    <n v="5.0995069636880552E-2"/>
    <n v="5.7264377091590914E-2"/>
    <n v="606909080"/>
    <n v="36414544800"/>
    <n v="1.3104885306078382"/>
    <n v="8.4742144908180297"/>
    <m/>
    <m/>
    <s v=""/>
    <m/>
    <m/>
    <m/>
    <s v="Position forte en Inde (20% des capacités de Holcim)"/>
    <m/>
    <n v="172"/>
    <n v="0"/>
    <s v="CH001221405912017"/>
    <s v="CH0012214059"/>
    <n v="1"/>
    <x v="7"/>
    <m/>
    <m/>
    <m/>
  </r>
  <r>
    <m/>
    <m/>
    <m/>
    <m/>
    <m/>
    <x v="1"/>
    <n v="-2.8806125483199496E-2"/>
    <n v="0.14269362838611221"/>
    <n v="0.1811772999647514"/>
    <n v="-0.20882188721384698"/>
    <m/>
    <m/>
    <m/>
    <m/>
    <m/>
    <m/>
    <m/>
    <m/>
    <m/>
    <m/>
    <m/>
    <s v=""/>
    <m/>
    <m/>
    <m/>
    <s v="80000 salariés soit 336 410 CHF par salarié "/>
    <m/>
    <n v="173"/>
    <n v="0"/>
    <s v="CH00122140591"/>
    <s v="CH0012214059"/>
    <n v="1"/>
    <x v="7"/>
    <m/>
    <m/>
    <m/>
  </r>
  <r>
    <m/>
    <m/>
    <m/>
    <m/>
    <n v="54"/>
    <x v="8"/>
    <n v="26904000000"/>
    <n v="5242000000"/>
    <n v="2837000000"/>
    <n v="1791000000"/>
    <n v="14724000000"/>
    <n v="30822000000"/>
    <n v="50.785201631849041"/>
    <n v="5.8107845045746544E-2"/>
    <n v="4.4847846133579242E-2"/>
    <n v="606909080"/>
    <n v="32773090320"/>
    <n v="1.0633018726883394"/>
    <n v="9.0608718657001148"/>
    <m/>
    <m/>
    <s v=""/>
    <m/>
    <m/>
    <m/>
    <s v="2017 : Dettes (14,2 Md CHF - 1, Md CHF de frais financiers) : 2,4 fois l'EBE. Cash Flow : 3 Md CHF - Free cash flow : 1,6 md euros faibles par rapport à la dette"/>
    <m/>
    <n v="174"/>
    <n v="0"/>
    <s v="CH001221405912016"/>
    <s v="CH0012214059"/>
    <n v="1"/>
    <x v="7"/>
    <m/>
    <m/>
    <m/>
  </r>
  <r>
    <m/>
    <m/>
    <m/>
    <m/>
    <m/>
    <x v="1"/>
    <n v="-8.7474137638639204E-2"/>
    <n v="0.12852529601722273"/>
    <n v="-4.8389715832205678"/>
    <n v="0.84639175257731969"/>
    <m/>
    <m/>
    <m/>
    <m/>
    <m/>
    <m/>
    <m/>
    <m/>
    <m/>
    <m/>
    <m/>
    <s v=""/>
    <m/>
    <m/>
    <m/>
    <s v="RN du 2T 17, un peu faible à suivre"/>
    <m/>
    <n v="175"/>
    <n v="0"/>
    <s v="CH00122140591"/>
    <s v="CH0012214059"/>
    <n v="1"/>
    <x v="7"/>
    <m/>
    <m/>
    <m/>
  </r>
  <r>
    <m/>
    <m/>
    <m/>
    <m/>
    <n v="50"/>
    <x v="9"/>
    <n v="29483000000"/>
    <n v="4645000000"/>
    <n v="-739000000"/>
    <n v="970000000"/>
    <n v="17266000000"/>
    <n v="31365000000"/>
    <n v="51.679899071538031"/>
    <n v="3.0926191614857323E-2"/>
    <n v="-1.0941169213053402E-2"/>
    <n v="606909080"/>
    <n v="30345454000"/>
    <n v="0.96749414952973056"/>
    <n v="10.250043918191604"/>
    <m/>
    <m/>
    <s v=""/>
    <m/>
    <m/>
    <m/>
    <s v="2018 : toujours pareil, très lente amélioration, croissance du CA des activités conservés, cession pour diminuer la dette. Image dégradée"/>
    <m/>
    <n v="176"/>
    <n v="0"/>
    <s v="CH001221405912015"/>
    <s v="CH0012214059"/>
    <n v="1"/>
    <x v="7"/>
    <m/>
    <m/>
    <m/>
  </r>
  <r>
    <m/>
    <m/>
    <m/>
    <m/>
    <m/>
    <x v="1"/>
    <m/>
    <m/>
    <n v="-1.392876129718235"/>
    <m/>
    <m/>
    <m/>
    <m/>
    <m/>
    <m/>
    <m/>
    <m/>
    <m/>
    <m/>
    <m/>
    <m/>
    <s v=""/>
    <m/>
    <m/>
    <m/>
    <s v="Jan Jenish : 170 722 actions"/>
    <m/>
    <n v="177"/>
    <n v="0"/>
    <s v="CH00122140591"/>
    <s v="CH0012214059"/>
    <n v="1"/>
    <x v="7"/>
    <m/>
    <m/>
    <m/>
  </r>
  <r>
    <m/>
    <m/>
    <m/>
    <m/>
    <s v="Fusion Lafarge Holcim mars 2014"/>
    <x v="1"/>
    <m/>
    <m/>
    <m/>
    <m/>
    <m/>
    <m/>
    <m/>
    <m/>
    <m/>
    <m/>
    <m/>
    <m/>
    <m/>
    <m/>
    <m/>
    <s v=""/>
    <m/>
    <m/>
    <m/>
    <s v="Un peu de minoritaires : 200 M euros de résultat reversé sur 1,7 Md e"/>
    <m/>
    <n v="178"/>
    <n v="0"/>
    <s v="CH00122140591"/>
    <s v="CH0012214059"/>
    <n v="1"/>
    <x v="7"/>
    <m/>
    <m/>
    <m/>
  </r>
  <r>
    <m/>
    <m/>
    <m/>
    <m/>
    <m/>
    <x v="1"/>
    <m/>
    <m/>
    <m/>
    <m/>
    <m/>
    <m/>
    <m/>
    <m/>
    <m/>
    <m/>
    <m/>
    <m/>
    <m/>
    <m/>
    <m/>
    <s v=""/>
    <m/>
    <m/>
    <m/>
    <m/>
    <m/>
    <n v="179"/>
    <n v="0"/>
    <s v="CH00122140591"/>
    <s v="CH0012214059"/>
    <n v="1"/>
    <x v="7"/>
    <m/>
    <m/>
    <m/>
  </r>
  <r>
    <m/>
    <m/>
    <m/>
    <m/>
    <m/>
    <x v="1"/>
    <m/>
    <m/>
    <m/>
    <m/>
    <m/>
    <m/>
    <m/>
    <m/>
    <m/>
    <m/>
    <m/>
    <m/>
    <m/>
    <m/>
    <m/>
    <s v=""/>
    <m/>
    <m/>
    <m/>
    <m/>
    <m/>
    <n v="180"/>
    <n v="0"/>
    <s v="CH00122140591"/>
    <s v="CH0012214059"/>
    <n v="1"/>
    <x v="7"/>
    <m/>
    <m/>
    <m/>
  </r>
  <r>
    <m/>
    <m/>
    <m/>
    <m/>
    <m/>
    <x v="1"/>
    <m/>
    <m/>
    <m/>
    <m/>
    <m/>
    <m/>
    <m/>
    <m/>
    <m/>
    <m/>
    <m/>
    <m/>
    <m/>
    <m/>
    <m/>
    <s v=""/>
    <m/>
    <m/>
    <m/>
    <m/>
    <m/>
    <n v="181"/>
    <n v="0"/>
    <s v="CH00122140591"/>
    <s v="CH0012214059"/>
    <n v="1"/>
    <x v="7"/>
    <m/>
    <m/>
    <m/>
  </r>
  <r>
    <s v="Lafarge"/>
    <s v="Matériaux de construction"/>
    <s v="France"/>
    <s v="Euro"/>
    <n v="65"/>
    <x v="10"/>
    <n v="12843000000"/>
    <n v="2721000000"/>
    <n v="1881000000"/>
    <n v="143000000"/>
    <n v="9310000000"/>
    <n v="15453000000"/>
    <n v="53.774741709768207"/>
    <n v="9.2538665631269005E-3"/>
    <n v="5.0893268182368855E-2"/>
    <n v="287365397"/>
    <n v="18678750805"/>
    <n v="1.2087459266809033"/>
    <n v="10.286200222344727"/>
    <m/>
    <m/>
    <s v=""/>
    <m/>
    <m/>
    <m/>
    <s v="Lafarge seule avant la fusion"/>
    <m/>
    <n v="182"/>
    <e v="#N/A"/>
    <s v="Lafarge12014"/>
    <s v="Lafarge"/>
    <n v="1"/>
    <x v="8"/>
    <m/>
    <m/>
    <m/>
  </r>
  <r>
    <m/>
    <m/>
    <m/>
    <m/>
    <m/>
    <x v="1"/>
    <n v="-1.8944312886716053E-2"/>
    <n v="-2.6127415891195382E-2"/>
    <n v="-2.8910686628807469E-2"/>
    <n v="-0.76206322795341097"/>
    <m/>
    <m/>
    <m/>
    <m/>
    <m/>
    <m/>
    <m/>
    <m/>
    <m/>
    <m/>
    <m/>
    <s v=""/>
    <m/>
    <m/>
    <m/>
    <s v="Surendettement lié l'acquisition d'Orascom en 2008 en haut de cycle payé en grande partie en dettes"/>
    <m/>
    <n v="183"/>
    <e v="#N/A"/>
    <s v="1"/>
    <m/>
    <n v="1"/>
    <x v="8"/>
    <m/>
    <m/>
    <m/>
  </r>
  <r>
    <m/>
    <m/>
    <m/>
    <m/>
    <n v="54.5"/>
    <x v="11"/>
    <n v="13091000000"/>
    <n v="2794000000"/>
    <n v="1937000000"/>
    <n v="601000000"/>
    <n v="9846000000"/>
    <n v="14555000000"/>
    <n v="50.669177434937346"/>
    <n v="4.1291652353143249E-2"/>
    <n v="5.3185935002663824E-2"/>
    <n v="287255502"/>
    <n v="15655424859"/>
    <n v="1.0756045935417382"/>
    <n v="9.1272100425912672"/>
    <m/>
    <m/>
    <s v=""/>
    <m/>
    <m/>
    <m/>
    <s v="Logique de cession et de réduction de coûts mais toujours HY et 1 Md euros de charges financières"/>
    <m/>
    <n v="184"/>
    <e v="#N/A"/>
    <s v="12013"/>
    <m/>
    <n v="1"/>
    <x v="8"/>
    <m/>
    <m/>
    <m/>
  </r>
  <r>
    <m/>
    <m/>
    <m/>
    <m/>
    <m/>
    <x v="1"/>
    <n v="-0.17229387961557918"/>
    <n v="-0.18375693835816531"/>
    <n v="8.8541666666666075E-3"/>
    <n v="0.64657534246575343"/>
    <m/>
    <m/>
    <m/>
    <m/>
    <m/>
    <m/>
    <m/>
    <m/>
    <m/>
    <m/>
    <m/>
    <s v=""/>
    <m/>
    <m/>
    <m/>
    <s v="Fusion avec Holcim, prend la note IG de Holcim, nouvelle cession d'actifs et bradage"/>
    <m/>
    <n v="185"/>
    <e v="#N/A"/>
    <s v="1"/>
    <m/>
    <n v="1"/>
    <x v="8"/>
    <m/>
    <m/>
    <m/>
  </r>
  <r>
    <m/>
    <m/>
    <m/>
    <m/>
    <n v="48.3"/>
    <x v="12"/>
    <n v="15816000000"/>
    <n v="3423000000"/>
    <n v="1920000000"/>
    <n v="365000000"/>
    <n v="10800000000"/>
    <n v="15666000000"/>
    <n v="54.538330249384437"/>
    <n v="2.3298863781437508E-2"/>
    <n v="4.8605758331444114E-2"/>
    <n v="287247518"/>
    <n v="13874055119.4"/>
    <n v="0.88561567211796244"/>
    <n v="7.2083129183172661"/>
    <m/>
    <m/>
    <s v=""/>
    <m/>
    <m/>
    <m/>
    <s v="Bruno Lafont, PDG de 2007 à 2015"/>
    <m/>
    <n v="186"/>
    <e v="#N/A"/>
    <s v="12012"/>
    <m/>
    <n v="1"/>
    <x v="8"/>
    <m/>
    <m/>
    <m/>
  </r>
  <r>
    <m/>
    <m/>
    <m/>
    <m/>
    <m/>
    <x v="1"/>
    <n v="3.4807641978539694E-2"/>
    <e v="#DIV/0!"/>
    <n v="-0.11886186324001835"/>
    <e v="#DIV/0!"/>
    <m/>
    <m/>
    <m/>
    <m/>
    <m/>
    <m/>
    <m/>
    <m/>
    <m/>
    <m/>
    <m/>
    <s v=""/>
    <m/>
    <m/>
    <m/>
    <m/>
    <m/>
    <n v="187"/>
    <e v="#N/A"/>
    <s v="1"/>
    <m/>
    <n v="1"/>
    <x v="8"/>
    <m/>
    <m/>
    <m/>
  </r>
  <r>
    <m/>
    <m/>
    <m/>
    <m/>
    <n v="27.16"/>
    <x v="17"/>
    <n v="15284000000"/>
    <m/>
    <n v="2179000000"/>
    <m/>
    <n v="11974000000"/>
    <m/>
    <n v="0"/>
    <m/>
    <n v="0.12192500417571404"/>
    <n v="287247518"/>
    <n v="7801642588.8800001"/>
    <m/>
    <e v="#DIV/0!"/>
    <m/>
    <m/>
    <s v=""/>
    <m/>
    <m/>
    <m/>
    <m/>
    <m/>
    <n v="188"/>
    <e v="#N/A"/>
    <s v="12011"/>
    <m/>
    <n v="1"/>
    <x v="8"/>
    <m/>
    <m/>
    <m/>
  </r>
  <r>
    <m/>
    <m/>
    <m/>
    <m/>
    <m/>
    <x v="1"/>
    <n v="-5.4734368235512365E-2"/>
    <e v="#DIV/0!"/>
    <n v="4.6104195481788679E-3"/>
    <e v="#DIV/0!"/>
    <m/>
    <m/>
    <m/>
    <m/>
    <m/>
    <m/>
    <m/>
    <m/>
    <m/>
    <m/>
    <m/>
    <s v=""/>
    <m/>
    <m/>
    <m/>
    <m/>
    <m/>
    <n v="189"/>
    <e v="#N/A"/>
    <s v="1"/>
    <m/>
    <n v="1"/>
    <x v="8"/>
    <m/>
    <m/>
    <m/>
  </r>
  <r>
    <m/>
    <m/>
    <m/>
    <m/>
    <n v="46.92"/>
    <x v="18"/>
    <n v="16169000000"/>
    <m/>
    <n v="2169000000"/>
    <m/>
    <n v="14000000000"/>
    <n v="16000000000"/>
    <n v="55.701090513861288"/>
    <m/>
    <n v="4.8440999999999998E-2"/>
    <n v="287247518"/>
    <n v="13477653544.560001"/>
    <n v="0.84235334653500005"/>
    <e v="#DIV/0!"/>
    <m/>
    <m/>
    <s v=""/>
    <m/>
    <m/>
    <m/>
    <m/>
    <m/>
    <n v="190"/>
    <e v="#N/A"/>
    <s v="12010"/>
    <m/>
    <n v="1"/>
    <x v="8"/>
    <m/>
    <m/>
    <m/>
  </r>
  <r>
    <m/>
    <m/>
    <m/>
    <m/>
    <m/>
    <x v="1"/>
    <m/>
    <m/>
    <m/>
    <m/>
    <m/>
    <m/>
    <m/>
    <m/>
    <m/>
    <m/>
    <m/>
    <m/>
    <m/>
    <m/>
    <m/>
    <s v=""/>
    <m/>
    <m/>
    <m/>
    <m/>
    <m/>
    <n v="191"/>
    <e v="#N/A"/>
    <s v="1"/>
    <m/>
    <n v="1"/>
    <x v="8"/>
    <m/>
    <m/>
    <m/>
  </r>
  <r>
    <m/>
    <m/>
    <m/>
    <m/>
    <m/>
    <x v="1"/>
    <m/>
    <m/>
    <m/>
    <m/>
    <m/>
    <m/>
    <m/>
    <m/>
    <m/>
    <m/>
    <m/>
    <m/>
    <m/>
    <m/>
    <m/>
    <s v=""/>
    <m/>
    <m/>
    <m/>
    <m/>
    <m/>
    <n v="192"/>
    <e v="#N/A"/>
    <s v="1"/>
    <m/>
    <n v="1"/>
    <x v="8"/>
    <m/>
    <m/>
    <m/>
  </r>
  <r>
    <m/>
    <m/>
    <m/>
    <m/>
    <m/>
    <x v="1"/>
    <m/>
    <m/>
    <m/>
    <m/>
    <m/>
    <m/>
    <m/>
    <m/>
    <m/>
    <m/>
    <m/>
    <m/>
    <m/>
    <m/>
    <m/>
    <s v=""/>
    <m/>
    <m/>
    <m/>
    <m/>
    <m/>
    <n v="193"/>
    <e v="#N/A"/>
    <s v="1"/>
    <m/>
    <n v="1"/>
    <x v="8"/>
    <m/>
    <m/>
    <m/>
  </r>
  <r>
    <s v="Vicat"/>
    <s v="Matériaux de construction"/>
    <s v="France"/>
    <s v="Euro"/>
    <n v="27.95"/>
    <x v="0"/>
    <n v="3824166150"/>
    <n v="590000000"/>
    <n v="285000000"/>
    <n v="180000000"/>
    <n v="1450000000"/>
    <n v="2650000000"/>
    <n v="59.020044543429847"/>
    <n v="6.9544656362466747E-2"/>
    <n v="5.3498393002612346E-2"/>
    <n v="44900000"/>
    <n v="1254955000"/>
    <n v="0.47356792452830188"/>
    <n v="4.5846694915254238"/>
    <s v="Non noté"/>
    <m/>
    <s v=""/>
    <n v="0"/>
    <s v="E=-2"/>
    <m/>
    <s v="Cimentier français fondé au XIX siècle par la famille Vicat (1853), toujours détenue par la famille Merceron VICAT à 60,7%. Guy Sidos (gendre) le PDG"/>
    <m/>
    <n v="194"/>
    <s v="p"/>
    <s v="FR000003177512023"/>
    <s v="FR0000031775"/>
    <n v="1"/>
    <x v="9"/>
    <m/>
    <m/>
    <m/>
  </r>
  <r>
    <m/>
    <m/>
    <m/>
    <m/>
    <m/>
    <x v="1"/>
    <n v="5.0000000000000044E-2"/>
    <n v="3.4869851960990683E-2"/>
    <n v="2.6183892153473831E-2"/>
    <n v="0.15321040964596433"/>
    <m/>
    <m/>
    <m/>
    <m/>
    <m/>
    <m/>
    <m/>
    <m/>
    <m/>
    <m/>
    <m/>
    <s v=""/>
    <m/>
    <s v="S=1"/>
    <m/>
    <s v="Présent dans 12 pays : France, Italie, Suisse, États-Unis, Brésil, Turquie, Inde, Kazakshtan, Egyte et Afrique de l'Ouest avec le Sénégal, la Mauritanie et le Mali"/>
    <m/>
    <n v="195"/>
    <s v="p"/>
    <s v="FR00000317751"/>
    <s v="FR0000031775"/>
    <n v="1"/>
    <x v="9"/>
    <m/>
    <m/>
    <m/>
  </r>
  <r>
    <m/>
    <m/>
    <m/>
    <m/>
    <n v="23"/>
    <x v="2"/>
    <n v="3642063000"/>
    <n v="570120000"/>
    <n v="277728000"/>
    <n v="156086000"/>
    <n v="1567000000"/>
    <n v="2588265000"/>
    <n v="57.645100222717147"/>
    <n v="6.6154449953335956E-2"/>
    <n v="5.8907592229112925E-2"/>
    <n v="44900000"/>
    <n v="1032700000"/>
    <n v="0.39899314791955226"/>
    <n v="4.5599172104118431"/>
    <m/>
    <m/>
    <s v=""/>
    <n v="-51000000"/>
    <s v="G=1"/>
    <m/>
    <s v="Société bien gérée avec une croissance progressive dans les pays émergents mais a souffert de la baisse des ventes en Europe et aux États-Unis (-30% par rapport à 2007)"/>
    <m/>
    <n v="196"/>
    <s v="p"/>
    <s v="FR000003177512022"/>
    <s v="FR0000031775"/>
    <n v="1"/>
    <x v="9"/>
    <m/>
    <m/>
    <m/>
  </r>
  <r>
    <m/>
    <m/>
    <m/>
    <m/>
    <m/>
    <x v="1"/>
    <n v="0.16622893811600603"/>
    <n v="-7.9141617591476865E-2"/>
    <n v="-0.17447031127386869"/>
    <n v="-0.23554332228093977"/>
    <m/>
    <m/>
    <m/>
    <m/>
    <m/>
    <m/>
    <m/>
    <m/>
    <m/>
    <m/>
    <m/>
    <s v=""/>
    <m/>
    <m/>
    <m/>
    <s v="Barrière à l'entrée avec les carrières d'une durée de vie d'un siècle mais concurrence sur les émergents (Chine qui casse les prix)"/>
    <m/>
    <n v="197"/>
    <s v="p"/>
    <s v="FR00000317751"/>
    <s v="FR0000031775"/>
    <n v="1"/>
    <x v="9"/>
    <m/>
    <m/>
    <m/>
  </r>
  <r>
    <m/>
    <m/>
    <m/>
    <m/>
    <n v="36"/>
    <x v="3"/>
    <n v="3122940000"/>
    <n v="619118000"/>
    <n v="336424000"/>
    <n v="204179000"/>
    <n v="1318000000"/>
    <n v="2359418000"/>
    <n v="52.548285077951"/>
    <n v="9.339755037216485E-2"/>
    <n v="7.7450060918595756E-2"/>
    <n v="44900000"/>
    <n v="1616400000"/>
    <n v="0.68508420296869821"/>
    <n v="4.7396457541211854"/>
    <m/>
    <n v="9515"/>
    <n v="328212.29637414607"/>
    <n v="63000000"/>
    <m/>
    <m/>
    <s v="En 2007, Heidelbergcement a vendu 35% de sa participation à 102 euros à la famille Vicat (12%) et sur le marché (23%)"/>
    <m/>
    <n v="198"/>
    <s v="p"/>
    <s v="FR000003177512021"/>
    <s v="FR0000031775"/>
    <n v="1"/>
    <x v="9"/>
    <m/>
    <m/>
    <m/>
  </r>
  <r>
    <m/>
    <m/>
    <m/>
    <m/>
    <m/>
    <x v="1"/>
    <n v="0.11328329700744555"/>
    <n v="0.16174878358624856"/>
    <n v="0.21207230122387521"/>
    <n v="0.3088816949261195"/>
    <m/>
    <m/>
    <m/>
    <m/>
    <m/>
    <m/>
    <m/>
    <m/>
    <m/>
    <m/>
    <m/>
    <s v=""/>
    <m/>
    <m/>
    <m/>
    <s v="Cours de bourse de fin 2007, 62 euros en forte baisse par rapport au 102 e de mai 2007 suite au début de la crise des subprime. Cours de bourse laisser à 102 euros pour conserver le multiple de valorisation de haut de cycle"/>
    <m/>
    <n v="199"/>
    <s v="p"/>
    <s v="FR00000317751"/>
    <s v="FR0000031775"/>
    <n v="1"/>
    <x v="9"/>
    <m/>
    <m/>
    <m/>
  </r>
  <r>
    <m/>
    <m/>
    <m/>
    <m/>
    <n v="34.35"/>
    <x v="4"/>
    <n v="2805162000"/>
    <n v="532919000"/>
    <n v="277561000"/>
    <n v="155995000"/>
    <n v="1202000000"/>
    <n v="2186128000"/>
    <n v="48.688819599109131"/>
    <n v="6.691709906793504E-2"/>
    <n v="5.9786671040945906E-2"/>
    <n v="44900000"/>
    <n v="1542315000"/>
    <n v="0.70550077580086801"/>
    <n v="5.1495912136741229"/>
    <m/>
    <m/>
    <s v=""/>
    <n v="228000000"/>
    <m/>
    <m/>
    <s v="En 2017, pas d'amélioration des résultats. Légère progression du chiffre d'affaires mais marges sous tension. Point positif, le désendettement. "/>
    <m/>
    <n v="200"/>
    <s v="p"/>
    <s v="FR000003177512020"/>
    <s v="FR0000031775"/>
    <n v="1"/>
    <x v="9"/>
    <m/>
    <m/>
    <m/>
  </r>
  <r>
    <m/>
    <m/>
    <m/>
    <m/>
    <m/>
    <x v="1"/>
    <n v="2.3784367332325251E-2"/>
    <n v="8.8894246781348274E-2"/>
    <n v="6.3211764390425085E-2"/>
    <n v="4.8205562387028777E-2"/>
    <m/>
    <m/>
    <m/>
    <m/>
    <m/>
    <m/>
    <m/>
    <m/>
    <m/>
    <m/>
    <m/>
    <s v=""/>
    <m/>
    <m/>
    <m/>
    <s v="En 2018, Vicat prend une participation de 65% dans une société brésilienne, CIPLAN, pour 290 M euros (145 euros la tonne) Cimenterie de 3M de tonnes de capacité (VICAT : 30 M de tonnes de capacité)"/>
    <m/>
    <n v="201"/>
    <s v="p"/>
    <s v="FR00000317751"/>
    <s v="FR0000031775"/>
    <n v="1"/>
    <x v="9"/>
    <m/>
    <m/>
    <m/>
  </r>
  <r>
    <m/>
    <m/>
    <m/>
    <m/>
    <n v="37.9"/>
    <x v="5"/>
    <n v="2739993000"/>
    <n v="489413000"/>
    <n v="261059000"/>
    <n v="148821000"/>
    <n v="1290000000"/>
    <n v="2331168000"/>
    <n v="51.919109131403118"/>
    <n v="6.5871364473521724E-2"/>
    <n v="6.8996136235725203E-2"/>
    <n v="44900000"/>
    <n v="1701710000"/>
    <n v="0.72998170873999646"/>
    <n v="6.1128535613071167"/>
    <m/>
    <m/>
    <s v=""/>
    <n v="159000000"/>
    <m/>
    <m/>
    <s v="Brésil - Ciplan : 140 M euros de CA et EBE : 24 M euros en 2019 - En 2020, CA de 170 Me et EBE : 43  Me"/>
    <m/>
    <n v="202"/>
    <s v="p"/>
    <s v="FR000003177512019"/>
    <s v="FR0000031775"/>
    <n v="1"/>
    <x v="9"/>
    <m/>
    <m/>
    <m/>
  </r>
  <r>
    <m/>
    <m/>
    <m/>
    <m/>
    <m/>
    <x v="1"/>
    <n v="6.0999084208304799E-2"/>
    <n v="8.9489841122140312E-2"/>
    <n v="4.9120706007169446E-2"/>
    <n v="-4.0972044975218225E-4"/>
    <m/>
    <m/>
    <m/>
    <m/>
    <m/>
    <m/>
    <m/>
    <m/>
    <m/>
    <m/>
    <m/>
    <s v=""/>
    <m/>
    <m/>
    <m/>
    <s v="1T19 amélioration des prix un peu partout et intégration de Ciplan au Brésil en bonne voie. Marge en hausse"/>
    <m/>
    <n v="203"/>
    <s v="p"/>
    <s v="FR00000317751"/>
    <s v="FR0000031775"/>
    <n v="1"/>
    <x v="9"/>
    <m/>
    <m/>
    <m/>
  </r>
  <r>
    <m/>
    <m/>
    <m/>
    <m/>
    <n v="43"/>
    <x v="6"/>
    <n v="2582465000"/>
    <n v="449213000"/>
    <n v="248836000"/>
    <n v="148882000"/>
    <n v="692000000"/>
    <n v="2259267000"/>
    <n v="50.317750556792873"/>
    <n v="6.870128264051549E-2"/>
    <n v="6.5702787861718598E-2"/>
    <n v="44900000"/>
    <n v="1930700000"/>
    <n v="0.85456920319732022"/>
    <n v="5.8384329928118728"/>
    <m/>
    <m/>
    <s v=""/>
    <m/>
    <m/>
    <m/>
    <s v="9 000 salariés pour 2,85 Md euros de CA soit 315 K euros de CA par salarié"/>
    <m/>
    <n v="204"/>
    <s v="p"/>
    <s v="FR000003177512018"/>
    <s v="FR0000031775"/>
    <n v="1"/>
    <x v="9"/>
    <m/>
    <m/>
    <m/>
  </r>
  <r>
    <m/>
    <m/>
    <m/>
    <m/>
    <m/>
    <x v="1"/>
    <n v="7.4122359432393647E-3"/>
    <n v="1.1740990990990907E-2"/>
    <n v="7.4331983805668855E-3"/>
    <n v="4.7130066605242549E-2"/>
    <m/>
    <m/>
    <m/>
    <m/>
    <m/>
    <m/>
    <m/>
    <m/>
    <m/>
    <m/>
    <m/>
    <s v=""/>
    <m/>
    <m/>
    <m/>
    <s v="Vicat possède un stock de quotas de Co2 pour produire jusqu'en 2030 (valeur 120 M euros)"/>
    <m/>
    <n v="205"/>
    <s v="p"/>
    <s v="FR00000317751"/>
    <s v="FR0000031775"/>
    <n v="1"/>
    <x v="9"/>
    <m/>
    <m/>
    <m/>
  </r>
  <r>
    <m/>
    <m/>
    <m/>
    <m/>
    <n v="70"/>
    <x v="7"/>
    <n v="2563464000"/>
    <n v="444000000"/>
    <n v="247000000"/>
    <n v="142181000"/>
    <n v="787000000"/>
    <n v="2167092000"/>
    <n v="48.264855233853005"/>
    <n v="6.3191555555555556E-2"/>
    <n v="6.0929791271347247E-2"/>
    <n v="44900000"/>
    <n v="3143000000"/>
    <n v="1.4503306735477774"/>
    <n v="8.8513513513513509"/>
    <m/>
    <m/>
    <s v=""/>
    <m/>
    <m/>
    <m/>
    <s v="En 2020, Vicat n'a pas été impacté financièrement par la Covid-19 hormis le choc de mars-avril-mai 2020. Retour à la normale très rapide"/>
    <m/>
    <n v="206"/>
    <s v="p"/>
    <s v="FR000003177512017"/>
    <s v="FR0000031775"/>
    <n v="1"/>
    <x v="9"/>
    <m/>
    <m/>
    <m/>
  </r>
  <r>
    <m/>
    <m/>
    <m/>
    <m/>
    <m/>
    <x v="1"/>
    <n v="4.4606356968215133E-2"/>
    <n v="-3.0567685589519611E-2"/>
    <n v="-4.2635658914728647E-2"/>
    <n v="2.2884892086330932E-2"/>
    <m/>
    <m/>
    <m/>
    <m/>
    <m/>
    <m/>
    <m/>
    <m/>
    <m/>
    <m/>
    <m/>
    <s v=""/>
    <m/>
    <m/>
    <m/>
    <s v="En 2021, chiffre d'affaires en hausse à deux chiffres par rapport à 2019 dans toutes les zones, risque d'inflation contenu avec une hausse des prix de vente compensant partiellement la hausse des coûts. 410 M euros d'investissement"/>
    <m/>
    <n v="207"/>
    <s v="p"/>
    <s v="FR00000317751"/>
    <s v="FR0000031775"/>
    <n v="1"/>
    <x v="9"/>
    <m/>
    <m/>
    <m/>
  </r>
  <r>
    <m/>
    <m/>
    <m/>
    <m/>
    <n v="57.66"/>
    <x v="8"/>
    <n v="2454000000"/>
    <n v="458000000"/>
    <n v="258000000"/>
    <n v="139000000"/>
    <n v="912000000"/>
    <n v="2250000000"/>
    <n v="50.111358574610243"/>
    <n v="6.017316017316017E-2"/>
    <n v="6.0468750000000002E-2"/>
    <n v="44900000"/>
    <n v="2588934000"/>
    <n v="1.1506373333333333"/>
    <n v="7.6439606986899564"/>
    <m/>
    <m/>
    <s v=""/>
    <m/>
    <m/>
    <m/>
    <s v="En 2021, la société a poursuivi le rachat des minoritaires de CIPLAN (8% passant de 66% à 74% du capital), cédé une activité en Suisse et investi 75 M euros pour la rédcution de CO2 dans un programme de 800 Meuros d'ici 2030"/>
    <m/>
    <n v="208"/>
    <s v="p"/>
    <s v="FR000003177512016"/>
    <s v="FR0000031775"/>
    <n v="1"/>
    <x v="9"/>
    <m/>
    <m/>
    <m/>
  </r>
  <r>
    <m/>
    <m/>
    <m/>
    <m/>
    <m/>
    <x v="1"/>
    <n v="-1.6273393002440573E-3"/>
    <n v="3.1531531531531432E-2"/>
    <n v="4.8780487804878092E-2"/>
    <n v="0.17796610169491522"/>
    <m/>
    <m/>
    <m/>
    <m/>
    <m/>
    <m/>
    <m/>
    <m/>
    <m/>
    <m/>
    <m/>
    <s v=""/>
    <m/>
    <m/>
    <m/>
    <s v="En 2022, année difficile avec l'inflation, l'énergie, la Turquie et les investissements pour la réduction de CO2. Investissement à 400 Me (dont 80 Me pour la réduction de CO2), FCF négatif. Prise de participation dans une société vendant du ciment sur le Net aux particuliers"/>
    <m/>
    <n v="209"/>
    <s v="p"/>
    <s v="FR00000317751"/>
    <s v="FR0000031775"/>
    <n v="1"/>
    <x v="9"/>
    <m/>
    <m/>
    <m/>
  </r>
  <r>
    <m/>
    <m/>
    <m/>
    <m/>
    <n v="55"/>
    <x v="9"/>
    <n v="2458000000"/>
    <n v="444000000"/>
    <n v="246000000"/>
    <n v="118000000"/>
    <n v="1018000000"/>
    <n v="2310000000"/>
    <n v="51.447661469933188"/>
    <n v="5.2444444444444446E-2"/>
    <n v="5.8643031784841079E-2"/>
    <n v="44900000"/>
    <n v="2469500000"/>
    <n v="1.069047619047619"/>
    <n v="7.8547297297297298"/>
    <m/>
    <m/>
    <s v=""/>
    <m/>
    <m/>
    <m/>
    <s v="En 2023, améliroation des paramétres avec une certaine normalisation"/>
    <m/>
    <n v="210"/>
    <s v="p"/>
    <s v="FR000003177512015"/>
    <s v="FR0000031775"/>
    <n v="1"/>
    <x v="9"/>
    <m/>
    <m/>
    <m/>
  </r>
  <r>
    <m/>
    <m/>
    <m/>
    <m/>
    <m/>
    <x v="1"/>
    <n v="1.4444903012793997E-2"/>
    <n v="4.5248868778280382E-3"/>
    <n v="-6.4638783269961975E-2"/>
    <n v="-7.8125E-2"/>
    <m/>
    <m/>
    <m/>
    <m/>
    <m/>
    <m/>
    <m/>
    <m/>
    <m/>
    <m/>
    <m/>
    <s v=""/>
    <m/>
    <m/>
    <m/>
    <s v="Taux d'IS : 29%"/>
    <m/>
    <n v="211"/>
    <s v="p"/>
    <s v="FR00000317751"/>
    <s v="FR0000031775"/>
    <n v="1"/>
    <x v="9"/>
    <m/>
    <m/>
    <m/>
  </r>
  <r>
    <m/>
    <m/>
    <m/>
    <m/>
    <n v="60"/>
    <x v="10"/>
    <n v="2423000000"/>
    <n v="442000000"/>
    <n v="263000000"/>
    <n v="128000000"/>
    <n v="1022000000"/>
    <n v="2250000000"/>
    <n v="50.111358574610243"/>
    <n v="6.1185468451242828E-2"/>
    <n v="6.4979410833069365E-2"/>
    <n v="44900000"/>
    <n v="2694000000"/>
    <n v="1.1973333333333334"/>
    <n v="8.4072398190045252"/>
    <m/>
    <m/>
    <s v=""/>
    <m/>
    <m/>
    <m/>
    <s v="CAC : KPMG et Wolff &amp; Associés"/>
    <m/>
    <n v="212"/>
    <s v="p"/>
    <s v="FR000003177512014"/>
    <s v="FR0000031775"/>
    <n v="1"/>
    <x v="9"/>
    <m/>
    <m/>
    <m/>
  </r>
  <r>
    <m/>
    <m/>
    <m/>
    <m/>
    <m/>
    <x v="1"/>
    <n v="1.5507124895222102E-2"/>
    <n v="3.5128805620608938E-2"/>
    <n v="0.12393162393162394"/>
    <n v="6.6666666666666652E-2"/>
    <m/>
    <m/>
    <m/>
    <m/>
    <m/>
    <m/>
    <m/>
    <m/>
    <m/>
    <m/>
    <m/>
    <s v=""/>
    <m/>
    <m/>
    <m/>
    <s v="Minoritaires : 10% (reste un peu de minoritaires suite à l'acquisition de Ciplan au Brésil - 26% du capital)"/>
    <m/>
    <n v="213"/>
    <s v="p"/>
    <s v="FR00000317751"/>
    <s v="FR0000031775"/>
    <n v="1"/>
    <x v="9"/>
    <m/>
    <m/>
    <m/>
  </r>
  <r>
    <m/>
    <m/>
    <m/>
    <m/>
    <n v="54"/>
    <x v="11"/>
    <n v="2386000000"/>
    <n v="427000000"/>
    <n v="234000000"/>
    <n v="120000000"/>
    <n v="1065000000"/>
    <n v="2092000000"/>
    <n v="46.5924276169265"/>
    <n v="6.9889341875364011E-2"/>
    <n v="8.1774193548387095E-2"/>
    <n v="44900000"/>
    <n v="2424600000"/>
    <n v="1.1589866156787763"/>
    <n v="8.1723653395784535"/>
    <m/>
    <m/>
    <s v=""/>
    <m/>
    <m/>
    <m/>
    <s v="Pay out ratio : 36% (75 M euros de dividendes versés en 2020)"/>
    <m/>
    <n v="214"/>
    <s v="p"/>
    <s v="FR000003177512013"/>
    <s v="FR0000031775"/>
    <n v="1"/>
    <x v="9"/>
    <m/>
    <m/>
    <m/>
  </r>
  <r>
    <m/>
    <m/>
    <m/>
    <m/>
    <m/>
    <x v="1"/>
    <m/>
    <m/>
    <m/>
    <m/>
    <m/>
    <m/>
    <m/>
    <m/>
    <m/>
    <m/>
    <m/>
    <m/>
    <m/>
    <m/>
    <m/>
    <s v=""/>
    <m/>
    <m/>
    <m/>
    <m/>
    <m/>
    <n v="215"/>
    <s v="p"/>
    <s v="FR00000317751"/>
    <s v="FR0000031775"/>
    <n v="1"/>
    <x v="9"/>
    <m/>
    <m/>
    <m/>
  </r>
  <r>
    <m/>
    <m/>
    <m/>
    <m/>
    <n v="102"/>
    <x v="15"/>
    <n v="2136000000"/>
    <n v="593000000"/>
    <n v="480000000"/>
    <n v="299000000"/>
    <n v="515000000"/>
    <n v="1717000000"/>
    <n v="38.240534521158132"/>
    <n v="0.17414094350611531"/>
    <n v="0.15053763440860216"/>
    <n v="44900000"/>
    <n v="4579800000"/>
    <n v="2.6673267326732675"/>
    <n v="8.5915682967959519"/>
    <m/>
    <m/>
    <s v=""/>
    <m/>
    <m/>
    <m/>
    <m/>
    <m/>
    <n v="216"/>
    <s v="p"/>
    <s v="FR000003177512007"/>
    <s v="FR0000031775"/>
    <n v="1"/>
    <x v="9"/>
    <m/>
    <m/>
    <m/>
  </r>
  <r>
    <m/>
    <m/>
    <m/>
    <m/>
    <m/>
    <x v="1"/>
    <m/>
    <m/>
    <m/>
    <m/>
    <m/>
    <m/>
    <m/>
    <m/>
    <m/>
    <m/>
    <m/>
    <m/>
    <m/>
    <m/>
    <m/>
    <s v=""/>
    <m/>
    <m/>
    <m/>
    <m/>
    <m/>
    <n v="217"/>
    <s v="p"/>
    <s v="FR00000317751"/>
    <s v="FR0000031775"/>
    <n v="1"/>
    <x v="9"/>
    <m/>
    <m/>
    <m/>
  </r>
  <r>
    <m/>
    <m/>
    <m/>
    <m/>
    <m/>
    <x v="1"/>
    <m/>
    <m/>
    <m/>
    <m/>
    <m/>
    <m/>
    <m/>
    <m/>
    <m/>
    <m/>
    <m/>
    <m/>
    <m/>
    <m/>
    <m/>
    <s v=""/>
    <m/>
    <m/>
    <m/>
    <m/>
    <m/>
    <n v="218"/>
    <s v="p"/>
    <s v="FR00000317751"/>
    <s v="FR0000031775"/>
    <n v="1"/>
    <x v="9"/>
    <m/>
    <m/>
    <m/>
  </r>
  <r>
    <m/>
    <m/>
    <m/>
    <m/>
    <m/>
    <x v="1"/>
    <m/>
    <m/>
    <m/>
    <m/>
    <m/>
    <m/>
    <m/>
    <m/>
    <m/>
    <m/>
    <m/>
    <m/>
    <m/>
    <m/>
    <m/>
    <s v=""/>
    <m/>
    <m/>
    <m/>
    <m/>
    <m/>
    <n v="219"/>
    <s v="p"/>
    <s v="FR00000317751"/>
    <s v="FR0000031775"/>
    <n v="1"/>
    <x v="9"/>
    <m/>
    <m/>
    <m/>
  </r>
  <r>
    <s v="ArcelorMittal"/>
    <s v="Acier"/>
    <s v="Luxembourg"/>
    <s v="Euro"/>
    <m/>
    <x v="0"/>
    <m/>
    <m/>
    <m/>
    <m/>
    <m/>
    <m/>
    <m/>
    <m/>
    <m/>
    <m/>
    <m/>
    <m/>
    <m/>
    <m/>
    <m/>
    <s v=""/>
    <m/>
    <m/>
    <m/>
    <m/>
    <m/>
    <n v="220"/>
    <n v="0"/>
    <s v="LU159875768712023"/>
    <s v="LU1598757687"/>
    <n v="1"/>
    <x v="10"/>
    <m/>
    <m/>
    <m/>
  </r>
  <r>
    <m/>
    <m/>
    <m/>
    <m/>
    <m/>
    <x v="1"/>
    <m/>
    <m/>
    <m/>
    <m/>
    <m/>
    <m/>
    <m/>
    <m/>
    <m/>
    <m/>
    <m/>
    <m/>
    <m/>
    <m/>
    <m/>
    <s v=""/>
    <m/>
    <m/>
    <m/>
    <m/>
    <m/>
    <n v="221"/>
    <n v="0"/>
    <s v="LU15987576871"/>
    <s v="LU1598757687"/>
    <n v="1"/>
    <x v="10"/>
    <m/>
    <m/>
    <m/>
  </r>
  <r>
    <m/>
    <m/>
    <m/>
    <m/>
    <n v="24.58"/>
    <x v="2"/>
    <m/>
    <m/>
    <m/>
    <m/>
    <m/>
    <m/>
    <m/>
    <m/>
    <m/>
    <m/>
    <m/>
    <m/>
    <m/>
    <m/>
    <m/>
    <s v=""/>
    <m/>
    <m/>
    <m/>
    <m/>
    <m/>
    <n v="222"/>
    <n v="0"/>
    <s v="LU159875768712022"/>
    <s v="LU1598757687"/>
    <n v="1"/>
    <x v="10"/>
    <m/>
    <m/>
    <m/>
  </r>
  <r>
    <m/>
    <m/>
    <m/>
    <m/>
    <m/>
    <x v="1"/>
    <m/>
    <m/>
    <m/>
    <m/>
    <m/>
    <m/>
    <m/>
    <m/>
    <m/>
    <m/>
    <m/>
    <m/>
    <m/>
    <m/>
    <m/>
    <s v=""/>
    <m/>
    <m/>
    <m/>
    <m/>
    <m/>
    <n v="223"/>
    <n v="0"/>
    <s v="LU15987576871"/>
    <s v="LU1598757687"/>
    <n v="1"/>
    <x v="10"/>
    <m/>
    <m/>
    <m/>
  </r>
  <r>
    <m/>
    <m/>
    <m/>
    <m/>
    <n v="28.14"/>
    <x v="3"/>
    <n v="63716814159.292038"/>
    <n v="15929203539.823009"/>
    <n v="14159292035.398232"/>
    <n v="12389380530.973452"/>
    <n v="3451327433.6283188"/>
    <n v="41695575221.238945"/>
    <n v="42.940860166054527"/>
    <n v="0.29713897614398499"/>
    <n v="0.2101301552454132"/>
    <n v="971000000"/>
    <n v="27323940000"/>
    <n v="0.65531989557687398"/>
    <n v="1.9320028999999999"/>
    <s v="BBB- / négative"/>
    <m/>
    <s v=""/>
    <m/>
    <m/>
    <m/>
    <s v="Leader mondial de l'acier détenu par la famille Mittal (40% du capital). Effondrement fin 2015 lié à la baisse des matières premières et à la perspective d'augmentation de capital"/>
    <m/>
    <n v="224"/>
    <n v="0"/>
    <s v="LU159875768712021"/>
    <s v="LU1598757687"/>
    <n v="1"/>
    <x v="10"/>
    <m/>
    <m/>
    <m/>
  </r>
  <r>
    <m/>
    <m/>
    <m/>
    <s v="Compte en dollar"/>
    <m/>
    <x v="1"/>
    <n v="0.44729388272467352"/>
    <n v="3.4813616096688778"/>
    <n v="7.1197835842805013"/>
    <n v="-17.90229267527074"/>
    <m/>
    <m/>
    <m/>
    <m/>
    <m/>
    <m/>
    <m/>
    <m/>
    <m/>
    <s v="Investment Grade "/>
    <m/>
    <s v=""/>
    <m/>
    <m/>
    <m/>
    <s v="Fort redressement de l'activité et des comptes. Amélioration à venir sur l'activité, les coûts et les intérêts (ils ont renoncé aux dividendes pour repasser Investment Grade). Objectif 10-30 euros (actif net fin 2017 et VE/EBE : 5,5) attention activité cyclique "/>
    <m/>
    <n v="225"/>
    <n v="0"/>
    <s v="LU15987576871"/>
    <s v="LU1598757687"/>
    <n v="1"/>
    <x v="10"/>
    <m/>
    <m/>
    <m/>
  </r>
  <r>
    <m/>
    <m/>
    <m/>
    <m/>
    <n v="19.05"/>
    <x v="4"/>
    <n v="44024793388.429756"/>
    <n v="3554545454.5454545"/>
    <n v="1743801652.8925622"/>
    <n v="-733000000"/>
    <n v="5423728813.5593224"/>
    <n v="31636363636.363636"/>
    <n v="30.631355835354775"/>
    <n v="-2.3169540229885058E-2"/>
    <n v="3.1525747244606384E-2"/>
    <n v="1032809772"/>
    <n v="19675026156.600002"/>
    <n v="0.62191174632931046"/>
    <n v="7.0610308100192478"/>
    <s v="depuis 2018"/>
    <m/>
    <s v=""/>
    <m/>
    <m/>
    <m/>
    <s v="EBE 2017 annoncé maintenant à 7,2 M euros, cela conforte le scénario à 10 euros (le 24/3/2017). Nombre de titres divisé par 3 et cours multipié par 3 en mars 2017"/>
    <m/>
    <n v="226"/>
    <n v="0"/>
    <s v="LU159875768712020"/>
    <s v="LU1598757687"/>
    <n v="1"/>
    <x v="10"/>
    <m/>
    <m/>
    <m/>
  </r>
  <r>
    <m/>
    <m/>
    <m/>
    <s v="conversion 2020 = 1,21"/>
    <m/>
    <x v="1"/>
    <n v="-0.31420699954297626"/>
    <n v="-0.24735322425409034"/>
    <n v="-0.30247933884297518"/>
    <n v="-0.67143439282803574"/>
    <m/>
    <m/>
    <m/>
    <m/>
    <m/>
    <m/>
    <m/>
    <m/>
    <m/>
    <m/>
    <m/>
    <s v=""/>
    <m/>
    <m/>
    <m/>
    <s v="Le 1T17 est bon avec 2,2 Md$ d'EBE, 1 Md$ de RN et la dette a 12 Md$. Sur de bons rails  "/>
    <m/>
    <n v="227"/>
    <n v="0"/>
    <s v="LU15987576871"/>
    <s v="LU1598757687"/>
    <n v="1"/>
    <x v="10"/>
    <m/>
    <m/>
    <m/>
  </r>
  <r>
    <m/>
    <m/>
    <m/>
    <s v="conversion 2019 = 1,1"/>
    <n v="12.5"/>
    <x v="5"/>
    <n v="64195454545.454544"/>
    <n v="4722727272.727272"/>
    <n v="2500000000"/>
    <n v="-2230909090.9090905"/>
    <n v="9090909090.90909"/>
    <n v="35019090909.090904"/>
    <n v="30.409684555575513"/>
    <n v="-6.3705511279561797E-2"/>
    <n v="3.7973248696440726E-2"/>
    <n v="1151576921"/>
    <n v="14394711512.5"/>
    <n v="0.41105326091612371"/>
    <n v="4.9728936792589034"/>
    <m/>
    <m/>
    <s v=""/>
    <m/>
    <m/>
    <m/>
    <s v="Le 2T17 est bon et confirme le redressement. Au-dessus des prévisions de début d'année. Valorisation faible. Consever objectif 27 euros"/>
    <m/>
    <n v="228"/>
    <n v="0"/>
    <s v="LU159875768712019"/>
    <s v="LU1598757687"/>
    <n v="1"/>
    <x v="10"/>
    <m/>
    <m/>
    <m/>
  </r>
  <r>
    <m/>
    <m/>
    <m/>
    <m/>
    <m/>
    <x v="1"/>
    <n v="-3.3597291039614841E-2"/>
    <n v="-0.47728530462343421"/>
    <n v="-0.56148044202771441"/>
    <n v="-1.4852628047811578"/>
    <m/>
    <m/>
    <m/>
    <m/>
    <m/>
    <m/>
    <m/>
    <m/>
    <m/>
    <m/>
    <m/>
    <s v=""/>
    <m/>
    <m/>
    <m/>
    <s v="Idem pour le 3T17. Sur l'année EBE à 8,2Md$, stabilité de la situation maintenant bien redressée. Levier amélioration des coûts et acquisition d'Ilva faite en novembre 2018 finalement. Objectif 27 euros"/>
    <m/>
    <n v="229"/>
    <n v="0"/>
    <s v="LU15987576871"/>
    <s v="LU1598757687"/>
    <n v="1"/>
    <x v="10"/>
    <m/>
    <m/>
    <m/>
  </r>
  <r>
    <m/>
    <m/>
    <m/>
    <m/>
    <n v="18"/>
    <x v="6"/>
    <n v="66427229508.196724"/>
    <n v="9035000000"/>
    <n v="5701000000"/>
    <n v="4597321428.5714283"/>
    <n v="9107142857.1428566"/>
    <n v="37576785714.285713"/>
    <n v="32.630721429928442"/>
    <n v="0.12234472271064012"/>
    <n v="8.1819806449145077E-2"/>
    <n v="1151576921"/>
    <n v="20728384578"/>
    <n v="0.55162739930998428"/>
    <n v="3.3022166502648429"/>
    <m/>
    <m/>
    <s v=""/>
    <m/>
    <m/>
    <m/>
    <s v="Vente de l'actions en janvier 2018 à 29,8-30,5 euros (VE/EBE de 5,6 fois 2017 et à l'actif net). Le redressement s'est passé comme prévu et bonne stratégie de la famille Mittal"/>
    <m/>
    <n v="230"/>
    <n v="0"/>
    <s v="LU159875768712018"/>
    <s v="LU1598757687"/>
    <n v="1"/>
    <x v="10"/>
    <m/>
    <m/>
    <m/>
  </r>
  <r>
    <m/>
    <m/>
    <m/>
    <m/>
    <m/>
    <x v="1"/>
    <n v="0.17999999999999994"/>
    <n v="0.31097764034253084"/>
    <n v="0.28800370370370376"/>
    <n v="0.21928959627329192"/>
    <m/>
    <m/>
    <m/>
    <m/>
    <m/>
    <m/>
    <m/>
    <m/>
    <m/>
    <m/>
    <m/>
    <s v=""/>
    <m/>
    <m/>
    <m/>
    <s v="La note de crédit est repassé Investment Grade en 2018 et résultats &gt; attentes"/>
    <m/>
    <n v="231"/>
    <n v="0"/>
    <s v="LU15987576871"/>
    <s v="LU1598757687"/>
    <n v="1"/>
    <x v="10"/>
    <m/>
    <m/>
    <m/>
  </r>
  <r>
    <m/>
    <m/>
    <m/>
    <m/>
    <n v="27"/>
    <x v="7"/>
    <n v="56294262295.08197"/>
    <n v="6891803278.6885252"/>
    <n v="4426229508.1967211"/>
    <n v="3770491803.2786884"/>
    <n v="8278688524.5901642"/>
    <n v="32872033898.305088"/>
    <n v="32.167450196333327"/>
    <n v="0.11470211471986522"/>
    <n v="7.2066141148516769E-2"/>
    <n v="1021903623"/>
    <n v="27591397821"/>
    <n v="0.83935779289953327"/>
    <n v="5.2047461157968593"/>
    <m/>
    <m/>
    <s v=""/>
    <m/>
    <m/>
    <m/>
    <s v="BBB- perspective stable. Dettes bien étalées sur 2019 à 2023 avec des montants réguliers et 2024 puis au-delà"/>
    <m/>
    <n v="232"/>
    <n v="0"/>
    <s v="LU159875768712017"/>
    <s v="LU1598757687"/>
    <n v="1"/>
    <x v="10"/>
    <m/>
    <m/>
    <m/>
  </r>
  <r>
    <m/>
    <m/>
    <m/>
    <m/>
    <m/>
    <x v="1"/>
    <n v="6.0640958175374848E-2"/>
    <n v="0.17893357445191405"/>
    <n v="0.13820369472975047"/>
    <n v="1.2678056377224265"/>
    <m/>
    <m/>
    <m/>
    <m/>
    <m/>
    <m/>
    <m/>
    <m/>
    <m/>
    <m/>
    <m/>
    <s v=""/>
    <m/>
    <m/>
    <m/>
    <s v="Frais financiers 2019 : 650 M$ versus plus de 1 Md$ en 2015 et 2016"/>
    <m/>
    <n v="233"/>
    <n v="0"/>
    <s v="LU15987576871"/>
    <s v="LU1598757687"/>
    <n v="1"/>
    <x v="10"/>
    <m/>
    <m/>
    <m/>
  </r>
  <r>
    <m/>
    <m/>
    <s v="Division du nominal par 3"/>
    <m/>
    <n v="7.1"/>
    <x v="8"/>
    <n v="53075700934.579437"/>
    <n v="5845794392.5233641"/>
    <n v="3888785046.728972"/>
    <n v="1662616822.4299064"/>
    <n v="10522429906.542055"/>
    <n v="28163551401.869156"/>
    <n v="9.1866299874051034"/>
    <n v="5.9034345445495275E-2"/>
    <n v="6.7349615886360362E-2"/>
    <n v="3065710869"/>
    <n v="21766547169.899998"/>
    <n v="0.77286230203394723"/>
    <n v="5.5234541121971228"/>
    <m/>
    <m/>
    <s v=""/>
    <m/>
    <m/>
    <m/>
    <s v="Besoin de l'année 2019 : Capex (4,3Md $) frais financiers (0,65Md$) et taxes (1,5Md$) : 6,4 Md $"/>
    <m/>
    <n v="234"/>
    <n v="0"/>
    <s v="LU159875768712016"/>
    <s v="LU1598757687"/>
    <n v="1"/>
    <x v="10"/>
    <m/>
    <m/>
    <m/>
  </r>
  <r>
    <m/>
    <m/>
    <s v="en mars 2017"/>
    <m/>
    <m/>
    <x v="1"/>
    <n v="-8.1706391707235482E-2"/>
    <n v="0.22928194069502994"/>
    <n v="-2.02803738317757"/>
    <n v="-1.2301634161430779"/>
    <m/>
    <m/>
    <m/>
    <m/>
    <m/>
    <m/>
    <m/>
    <m/>
    <m/>
    <m/>
    <m/>
    <s v=""/>
    <m/>
    <m/>
    <m/>
    <s v="A subi de plein fouet le ralentissement en 2019, moins 5% de chiffre d'affaires , EBE divisé par deux et pertes de 2,2 Md euros. Dettes 9 Mde "/>
    <m/>
    <n v="235"/>
    <n v="0"/>
    <s v="LU15987576871"/>
    <s v="LU1598757687"/>
    <n v="1"/>
    <x v="10"/>
    <m/>
    <m/>
    <m/>
  </r>
  <r>
    <m/>
    <m/>
    <m/>
    <m/>
    <n v="4"/>
    <x v="9"/>
    <n v="57798181818.181816"/>
    <n v="4755454545.454545"/>
    <n v="-3782727272.7272725"/>
    <n v="-7223636363.636363"/>
    <n v="14266363636.363636"/>
    <n v="22974545454.545452"/>
    <n v="12.73985997711647"/>
    <n v="-0.18495242385235952"/>
    <n v="-6.5007689491028933E-2"/>
    <n v="1803359338"/>
    <n v="7213437352"/>
    <n v="0.31397519338398233"/>
    <s v="Non significatif"/>
    <m/>
    <m/>
    <s v=""/>
    <m/>
    <m/>
    <m/>
    <s v="Mai 2020 : augmentation de capital de 750 M$ à 8,57 euros (80,9 M actions) et 1,25 Md $ de convertible à 8,57 euros échéance 3 ans coupon 5,5% et conversion à 117,5 %. La famille Mittal participe à hauteur de 10% (actionnaire à 40%)"/>
    <m/>
    <n v="236"/>
    <n v="0"/>
    <s v="LU159875768712015"/>
    <s v="LU1598757687"/>
    <n v="1"/>
    <x v="10"/>
    <m/>
    <m/>
    <m/>
  </r>
  <r>
    <m/>
    <m/>
    <m/>
    <m/>
    <m/>
    <x v="1"/>
    <m/>
    <m/>
    <m/>
    <m/>
    <m/>
    <m/>
    <m/>
    <m/>
    <m/>
    <m/>
    <m/>
    <m/>
    <m/>
    <m/>
    <m/>
    <s v=""/>
    <m/>
    <m/>
    <m/>
    <s v="Cession de l'activité aux États-Unis du fait d'une moindre rentabilité et d'une volonté de poursuivre le désendettement (septembre 2020)"/>
    <m/>
    <n v="237"/>
    <n v="0"/>
    <s v="LU15987576871"/>
    <s v="LU1598757687"/>
    <n v="1"/>
    <x v="10"/>
    <m/>
    <m/>
    <m/>
  </r>
  <r>
    <m/>
    <m/>
    <m/>
    <m/>
    <m/>
    <x v="10"/>
    <m/>
    <n v="7200000000"/>
    <m/>
    <m/>
    <m/>
    <m/>
    <m/>
    <m/>
    <m/>
    <m/>
    <m/>
    <m/>
    <m/>
    <m/>
    <m/>
    <s v=""/>
    <m/>
    <m/>
    <m/>
    <s v="En 2021, année exceptionnelle avec le retour de la demande et des prix de l'acier. Redressement supérieure à celui de 2016-2018"/>
    <m/>
    <n v="238"/>
    <n v="0"/>
    <s v="LU159875768712014"/>
    <s v="LU1598757687"/>
    <n v="1"/>
    <x v="10"/>
    <m/>
    <m/>
    <m/>
  </r>
  <r>
    <m/>
    <m/>
    <m/>
    <m/>
    <m/>
    <x v="1"/>
    <m/>
    <m/>
    <m/>
    <m/>
    <m/>
    <m/>
    <m/>
    <m/>
    <m/>
    <m/>
    <m/>
    <m/>
    <m/>
    <m/>
    <m/>
    <s v=""/>
    <m/>
    <m/>
    <m/>
    <m/>
    <m/>
    <n v="239"/>
    <n v="0"/>
    <s v="LU15987576871"/>
    <s v="LU1598757687"/>
    <n v="1"/>
    <x v="10"/>
    <m/>
    <m/>
    <m/>
  </r>
  <r>
    <m/>
    <m/>
    <m/>
    <m/>
    <m/>
    <x v="1"/>
    <m/>
    <m/>
    <m/>
    <m/>
    <m/>
    <m/>
    <m/>
    <m/>
    <m/>
    <m/>
    <m/>
    <m/>
    <m/>
    <m/>
    <m/>
    <s v=""/>
    <m/>
    <m/>
    <m/>
    <m/>
    <m/>
    <n v="240"/>
    <n v="0"/>
    <s v="LU15987576871"/>
    <s v="LU1598757687"/>
    <n v="1"/>
    <x v="10"/>
    <m/>
    <m/>
    <m/>
  </r>
  <r>
    <m/>
    <m/>
    <m/>
    <m/>
    <s v="Retrait de la cote par l'État à 12 euros"/>
    <x v="1"/>
    <m/>
    <m/>
    <m/>
    <m/>
    <m/>
    <m/>
    <m/>
    <m/>
    <m/>
    <m/>
    <m/>
    <m/>
    <m/>
    <m/>
    <m/>
    <s v=""/>
    <m/>
    <m/>
    <m/>
    <m/>
    <m/>
    <n v="241"/>
    <n v="0"/>
    <s v="LU15987576871"/>
    <s v="LU1598757687"/>
    <n v="1"/>
    <x v="10"/>
    <m/>
    <m/>
    <m/>
  </r>
  <r>
    <s v="EDF"/>
    <s v="Électricité"/>
    <s v="France"/>
    <s v="Euro"/>
    <n v="8.1999999999999993"/>
    <x v="2"/>
    <n v="75000000000"/>
    <n v="8000000000"/>
    <n v="-5000000000"/>
    <n v="-6000000000"/>
    <n v="49000000000"/>
    <n v="47000000000"/>
    <n v="11.962842575089962"/>
    <n v="-0.1276595744680851"/>
    <n v="-3.3333333333333333E-2"/>
    <n v="3928832107"/>
    <n v="32216423277.399998"/>
    <n v="0.68545581441276593"/>
    <n v="10.152052909675"/>
    <s v="BBB+"/>
    <m/>
    <s v=""/>
    <m/>
    <m/>
    <m/>
    <s v="Etat actionnaire à 83,77% de l'éléctricien. Parc de 56 réacteurs nucléaires"/>
    <m/>
    <n v="242"/>
    <n v="0"/>
    <s v="FR001024251112022"/>
    <s v="FR0010242511"/>
    <n v="1"/>
    <x v="11"/>
    <m/>
    <m/>
    <m/>
  </r>
  <r>
    <m/>
    <m/>
    <m/>
    <m/>
    <m/>
    <x v="1"/>
    <n v="-0.11201619682456987"/>
    <n v="-0.55567897806164956"/>
    <n v="-1.9569377990430623"/>
    <n v="-2.1734793663211422"/>
    <m/>
    <m/>
    <m/>
    <m/>
    <m/>
    <m/>
    <m/>
    <m/>
    <m/>
    <s v="Stable"/>
    <m/>
    <s v=""/>
    <m/>
    <m/>
    <m/>
    <s v="Montée en charge d'Hinkley Point au Royaume-Uni et de la rénovation des centrales. Conccurence auprès des clients professionnels."/>
    <m/>
    <n v="243"/>
    <n v="0"/>
    <s v="FR00102425111"/>
    <s v="FR0010242511"/>
    <n v="1"/>
    <x v="11"/>
    <m/>
    <m/>
    <m/>
  </r>
  <r>
    <m/>
    <m/>
    <m/>
    <m/>
    <n v="10.33"/>
    <x v="3"/>
    <n v="84461000000"/>
    <n v="18005000000"/>
    <n v="5225000000"/>
    <n v="5113000000"/>
    <n v="43000000000"/>
    <n v="50211000000"/>
    <n v="15.900465350484195"/>
    <n v="0.10183027623429129"/>
    <n v="3.5875594082243514E-2"/>
    <n v="3157832107"/>
    <n v="32620405665.310001"/>
    <n v="0.64966652058931318"/>
    <n v="4.1999669905753958"/>
    <s v="le 30/6/2021"/>
    <n v="165200"/>
    <n v="511265.13317191281"/>
    <m/>
    <m/>
    <m/>
    <s v="En 2017, actif Net à 13,7 euros après augmentation de capital au 30/6/2017"/>
    <m/>
    <n v="244"/>
    <n v="0"/>
    <s v="FR001024251112021"/>
    <s v="FR0010242511"/>
    <n v="1"/>
    <x v="11"/>
    <m/>
    <m/>
    <m/>
  </r>
  <r>
    <m/>
    <m/>
    <m/>
    <m/>
    <m/>
    <x v="1"/>
    <n v="0.22352276513450486"/>
    <n v="0.11320638061085697"/>
    <n v="0.34838709677419355"/>
    <n v="6.8661538461538463"/>
    <m/>
    <m/>
    <m/>
    <m/>
    <m/>
    <m/>
    <m/>
    <m/>
    <m/>
    <s v="A- avant"/>
    <m/>
    <s v=""/>
    <m/>
    <m/>
    <m/>
    <s v="Résultats en baisse avec un prix de l'électricité en baisse en France et au Royaume-Uni"/>
    <m/>
    <n v="245"/>
    <n v="0"/>
    <s v="FR00102425111"/>
    <s v="FR0010242511"/>
    <n v="1"/>
    <x v="11"/>
    <m/>
    <m/>
    <m/>
  </r>
  <r>
    <m/>
    <m/>
    <m/>
    <m/>
    <n v="12.9"/>
    <x v="4"/>
    <n v="69031000000"/>
    <n v="16174000000"/>
    <n v="3875000000"/>
    <n v="650000000"/>
    <n v="42290000000"/>
    <n v="45633000000"/>
    <n v="14.956884398691159"/>
    <n v="1.4244077750750553E-2"/>
    <n v="2.8206498868327969E-2"/>
    <n v="3050969626"/>
    <n v="39357508175.400002"/>
    <n v="0.86247908696338182"/>
    <n v="5.0480714835785827"/>
    <m/>
    <m/>
    <s v=""/>
    <m/>
    <m/>
    <m/>
    <s v="EBE annoncé à 14 Md euros et dettes à 31 Md euros suite cession RTE et AK de 4 Md mais dettes hybrides de 10 Md donc total dettes à 41 Md. Suivre le coût de la montée en charge d'Hinkley Point et de la rénovation des centrales"/>
    <m/>
    <n v="246"/>
    <n v="0"/>
    <s v="FR001024251112020"/>
    <s v="FR0010242511"/>
    <n v="1"/>
    <x v="11"/>
    <m/>
    <m/>
    <m/>
  </r>
  <r>
    <m/>
    <m/>
    <m/>
    <m/>
    <m/>
    <x v="1"/>
    <n v="-3.2461070542559645E-2"/>
    <n v="-3.2829037852060039E-2"/>
    <n v="-0.4265206452567708"/>
    <n v="-0.87390882638215328"/>
    <m/>
    <m/>
    <m/>
    <m/>
    <m/>
    <m/>
    <m/>
    <m/>
    <m/>
    <m/>
    <m/>
    <s v=""/>
    <m/>
    <m/>
    <m/>
    <s v="En 2018, EBE 2018 annoncé à 15 Md revu à 14,6-15 Md euros"/>
    <m/>
    <n v="247"/>
    <n v="0"/>
    <s v="FR00102425111"/>
    <s v="FR0010242511"/>
    <n v="1"/>
    <x v="11"/>
    <m/>
    <m/>
    <m/>
  </r>
  <r>
    <m/>
    <m/>
    <m/>
    <m/>
    <n v="11"/>
    <x v="5"/>
    <n v="71347000000"/>
    <n v="16723000000"/>
    <n v="6757000000"/>
    <n v="5155000000"/>
    <n v="41100000000"/>
    <n v="46466000000"/>
    <n v="15.229912354427352"/>
    <n v="0.11094133344811259"/>
    <n v="4.9385377886394265E-2"/>
    <n v="3050969626"/>
    <n v="33560665886"/>
    <n v="0.7222628564111393"/>
    <n v="4.4645497749207674"/>
    <m/>
    <m/>
    <s v=""/>
    <m/>
    <m/>
    <m/>
    <s v="Upside de long terme en baisse même si la régulation pourrait être plus favorable"/>
    <m/>
    <n v="248"/>
    <n v="0"/>
    <s v="FR001024251112019"/>
    <s v="FR0010242511"/>
    <n v="1"/>
    <x v="11"/>
    <m/>
    <m/>
    <m/>
  </r>
  <r>
    <m/>
    <m/>
    <m/>
    <m/>
    <m/>
    <x v="1"/>
    <n v="3.4374275110183206E-2"/>
    <n v="9.5512610547002996E-2"/>
    <n v="0.27925028398333973"/>
    <n v="3.3797790994052672"/>
    <m/>
    <m/>
    <m/>
    <m/>
    <m/>
    <m/>
    <m/>
    <m/>
    <m/>
    <m/>
    <m/>
    <s v=""/>
    <m/>
    <m/>
    <m/>
    <s v="Chiffres de 2018 avec une production nucléaire de 395 Twh. Ligne vendue à 13,3 euros. Le titre est monté à 15 euros soit 5,75 fois VE/EBE"/>
    <m/>
    <n v="249"/>
    <n v="0"/>
    <s v="FR00102425111"/>
    <s v="FR0010242511"/>
    <n v="1"/>
    <x v="11"/>
    <m/>
    <m/>
    <m/>
  </r>
  <r>
    <m/>
    <m/>
    <m/>
    <m/>
    <n v="15.3"/>
    <x v="6"/>
    <n v="68976000000"/>
    <n v="15265000000"/>
    <n v="5282000000"/>
    <n v="1177000000"/>
    <n v="43400000000"/>
    <n v="44469000000"/>
    <n v="14.772440455889877"/>
    <n v="2.6467876498234726E-2"/>
    <n v="3.8471815998816418E-2"/>
    <n v="3010267676"/>
    <n v="46057095442.800003"/>
    <n v="1.035712416352965"/>
    <n v="5.860274840668195"/>
    <m/>
    <m/>
    <s v=""/>
    <m/>
    <m/>
    <m/>
    <s v="En 2019, dettes émises fin novembre à échéance 2069 (50 ans) à un coupon de 4,5% pour 2 Md $. Maturité de la dette EDF (15 ans)"/>
    <m/>
    <n v="250"/>
    <n v="0"/>
    <s v="FR001024251112018"/>
    <s v="FR0010242511"/>
    <n v="1"/>
    <x v="11"/>
    <m/>
    <m/>
    <m/>
  </r>
  <r>
    <m/>
    <m/>
    <m/>
    <m/>
    <m/>
    <x v="1"/>
    <n v="-9.4209558823529216E-3"/>
    <n v="0.11082811817784899"/>
    <n v="-6.2976760688309374E-2"/>
    <n v="-0.62905767412543334"/>
    <m/>
    <m/>
    <m/>
    <m/>
    <m/>
    <m/>
    <m/>
    <m/>
    <m/>
    <m/>
    <m/>
    <s v=""/>
    <m/>
    <m/>
    <m/>
    <s v="Amélioration des prix de l'électricité en France et RU. Projet de loi pour modifier le prix de gros d'éléectricité revendu par EDF avec un min et un max"/>
    <m/>
    <n v="251"/>
    <n v="0"/>
    <s v="FR00102425111"/>
    <s v="FR0010242511"/>
    <n v="1"/>
    <x v="11"/>
    <m/>
    <m/>
    <m/>
  </r>
  <r>
    <m/>
    <m/>
    <m/>
    <m/>
    <n v="11"/>
    <x v="7"/>
    <n v="69632000000"/>
    <n v="13742000000"/>
    <n v="5637000000"/>
    <n v="3173000000"/>
    <n v="43000000000"/>
    <n v="41357000000"/>
    <n v="14.323493439101266"/>
    <n v="7.6722199385835535E-2"/>
    <n v="4.2766812475550336E-2"/>
    <n v="2887354274"/>
    <n v="31760897014"/>
    <n v="0.7679690744976666"/>
    <n v="5.4403214243923737"/>
    <m/>
    <m/>
    <s v=""/>
    <m/>
    <m/>
    <m/>
    <s v="En 2020, EDF a resisté à la crise mais excédent de trésorerie négatif et quelques charges exceptionnels liés à Flamanville pèse sur le résultat net. Projet Hercule de séparation des activités probablement créateur de valeur."/>
    <m/>
    <n v="252"/>
    <n v="0"/>
    <s v="FR001024251112017"/>
    <s v="FR0010242511"/>
    <n v="1"/>
    <x v="11"/>
    <m/>
    <m/>
    <m/>
  </r>
  <r>
    <m/>
    <m/>
    <m/>
    <m/>
    <m/>
    <x v="1"/>
    <n v="-2.2063677092257317E-2"/>
    <n v="-0.16278786401852074"/>
    <n v="-0.24980037263774291"/>
    <n v="0.11294282707821823"/>
    <m/>
    <m/>
    <m/>
    <m/>
    <m/>
    <m/>
    <m/>
    <m/>
    <m/>
    <m/>
    <m/>
    <s v=""/>
    <m/>
    <m/>
    <m/>
    <s v="Problèmes liés à l'acceptation par la société du nucléaire, au démarrage de Flamanville, aux coûts de Hinkley Point (forcément plus élevés et plus long) et dossier politique"/>
    <m/>
    <n v="253"/>
    <n v="0"/>
    <s v="FR00102425111"/>
    <s v="FR0010242511"/>
    <n v="1"/>
    <x v="11"/>
    <m/>
    <m/>
    <m/>
  </r>
  <r>
    <m/>
    <m/>
    <m/>
    <m/>
    <n v="9.5"/>
    <x v="8"/>
    <n v="71203000000"/>
    <n v="16414000000"/>
    <n v="7514000000"/>
    <n v="2851000000"/>
    <n v="47245000000"/>
    <n v="34438000000"/>
    <n v="16.328007699821509"/>
    <n v="8.2786456820953591E-2"/>
    <n v="5.8873449799835949E-2"/>
    <n v="2109136683"/>
    <n v="20036798488.5"/>
    <n v="0.58182236159184619"/>
    <n v="4.0990494997258438"/>
    <m/>
    <m/>
    <s v=""/>
    <m/>
    <m/>
    <m/>
    <s v="En 2021, progression des résultats mais problème de sûreté sur des centrales et ponction de l'État qui coûtera 10 Md euros. Risque d'augmentation de capital"/>
    <m/>
    <n v="254"/>
    <n v="0"/>
    <s v="FR001024251112016"/>
    <s v="FR0010242511"/>
    <n v="1"/>
    <x v="11"/>
    <m/>
    <m/>
    <m/>
  </r>
  <r>
    <m/>
    <m/>
    <m/>
    <m/>
    <m/>
    <x v="1"/>
    <n v="-5.0702610457830088E-2"/>
    <n v="-6.7439350036929691E-2"/>
    <n v="0.75560747663551409"/>
    <n v="1.4018534119629318"/>
    <m/>
    <m/>
    <m/>
    <m/>
    <m/>
    <m/>
    <m/>
    <m/>
    <m/>
    <m/>
    <m/>
    <s v=""/>
    <m/>
    <m/>
    <m/>
    <s v="En 2022, production nucléaire annoncé à 300 Twh et 315 en 2023. Augmentation de capital à 4,9 euros par action pour 2,5 Md euros. Dividendes en actions en 2022 et 2023 : 2 fois 1,8 Md euros et cession de 3 Md euros pour compenser les 10 Md euros ponctionné par l'État"/>
    <m/>
    <n v="255"/>
    <n v="0"/>
    <s v="FR00102425111"/>
    <s v="FR0010242511"/>
    <n v="1"/>
    <x v="11"/>
    <m/>
    <m/>
    <m/>
  </r>
  <r>
    <m/>
    <m/>
    <m/>
    <m/>
    <n v="14"/>
    <x v="9"/>
    <n v="75006000000"/>
    <n v="17601000000"/>
    <n v="4280000000"/>
    <n v="1187000000"/>
    <n v="47395000000"/>
    <n v="34749000000"/>
    <n v="18.097127088912611"/>
    <n v="3.4159256381478605E-2"/>
    <n v="3.3346318659914297E-2"/>
    <n v="1920139027"/>
    <n v="26881946378"/>
    <n v="0.77360345270367492"/>
    <n v="4.2200412691324356"/>
    <m/>
    <m/>
    <s v=""/>
    <m/>
    <m/>
    <m/>
    <s v="Minoritaires : 15-20% environ (partenaire chinois)"/>
    <m/>
    <n v="256"/>
    <n v="0"/>
    <s v="FR001024251112015"/>
    <s v="FR0010242511"/>
    <n v="1"/>
    <x v="11"/>
    <m/>
    <m/>
    <m/>
  </r>
  <r>
    <m/>
    <m/>
    <m/>
    <m/>
    <m/>
    <x v="1"/>
    <m/>
    <m/>
    <m/>
    <m/>
    <m/>
    <m/>
    <m/>
    <m/>
    <m/>
    <m/>
    <m/>
    <m/>
    <m/>
    <m/>
    <m/>
    <s v=""/>
    <m/>
    <m/>
    <m/>
    <s v="CAC : KPMG et Deloitte"/>
    <m/>
    <n v="257"/>
    <n v="0"/>
    <s v="FR00102425111"/>
    <s v="FR0010242511"/>
    <n v="1"/>
    <x v="11"/>
    <m/>
    <m/>
    <m/>
  </r>
  <r>
    <m/>
    <m/>
    <m/>
    <m/>
    <m/>
    <x v="1"/>
    <m/>
    <m/>
    <m/>
    <m/>
    <m/>
    <m/>
    <m/>
    <m/>
    <m/>
    <m/>
    <m/>
    <m/>
    <m/>
    <m/>
    <m/>
    <s v=""/>
    <m/>
    <m/>
    <m/>
    <s v="Pay out ratio : 45% (En 2020, acompte sur dividendes de 0,15 euro par action puis absence de dividendes)"/>
    <m/>
    <n v="258"/>
    <n v="0"/>
    <s v="FR00102425111"/>
    <s v="FR0010242511"/>
    <n v="1"/>
    <x v="11"/>
    <m/>
    <m/>
    <m/>
  </r>
  <r>
    <m/>
    <m/>
    <m/>
    <m/>
    <m/>
    <x v="1"/>
    <m/>
    <m/>
    <m/>
    <m/>
    <m/>
    <m/>
    <m/>
    <m/>
    <m/>
    <m/>
    <m/>
    <m/>
    <m/>
    <m/>
    <m/>
    <s v=""/>
    <m/>
    <m/>
    <m/>
    <m/>
    <m/>
    <n v="259"/>
    <n v="0"/>
    <s v="FR00102425111"/>
    <s v="FR0010242511"/>
    <n v="1"/>
    <x v="11"/>
    <m/>
    <m/>
    <m/>
  </r>
  <r>
    <m/>
    <m/>
    <m/>
    <m/>
    <m/>
    <x v="1"/>
    <m/>
    <m/>
    <m/>
    <m/>
    <m/>
    <m/>
    <m/>
    <m/>
    <m/>
    <m/>
    <m/>
    <m/>
    <m/>
    <m/>
    <m/>
    <s v=""/>
    <m/>
    <m/>
    <m/>
    <m/>
    <m/>
    <n v="260"/>
    <n v="0"/>
    <s v="FR00102425111"/>
    <s v="FR0010242511"/>
    <n v="1"/>
    <x v="11"/>
    <m/>
    <m/>
    <m/>
  </r>
  <r>
    <m/>
    <m/>
    <m/>
    <m/>
    <m/>
    <x v="1"/>
    <m/>
    <m/>
    <m/>
    <m/>
    <m/>
    <m/>
    <m/>
    <m/>
    <m/>
    <m/>
    <m/>
    <m/>
    <m/>
    <m/>
    <m/>
    <s v=""/>
    <m/>
    <m/>
    <m/>
    <m/>
    <m/>
    <n v="261"/>
    <n v="0"/>
    <s v="FR00102425111"/>
    <s v="FR0010242511"/>
    <n v="1"/>
    <x v="11"/>
    <m/>
    <m/>
    <m/>
  </r>
  <r>
    <m/>
    <m/>
    <m/>
    <m/>
    <m/>
    <x v="1"/>
    <m/>
    <m/>
    <m/>
    <m/>
    <m/>
    <m/>
    <m/>
    <m/>
    <m/>
    <m/>
    <m/>
    <m/>
    <m/>
    <m/>
    <m/>
    <s v=""/>
    <m/>
    <m/>
    <m/>
    <m/>
    <m/>
    <n v="262"/>
    <n v="0"/>
    <s v="FR00102425111"/>
    <s v="FR0010242511"/>
    <n v="1"/>
    <x v="11"/>
    <m/>
    <m/>
    <m/>
  </r>
  <r>
    <s v="Veolia"/>
    <s v="Eau &amp; Déchets &amp; Energie"/>
    <s v="France"/>
    <s v="Euro"/>
    <m/>
    <x v="0"/>
    <m/>
    <m/>
    <m/>
    <m/>
    <m/>
    <m/>
    <m/>
    <m/>
    <m/>
    <m/>
    <m/>
    <m/>
    <m/>
    <m/>
    <m/>
    <s v=""/>
    <m/>
    <m/>
    <m/>
    <m/>
    <m/>
    <n v="263"/>
    <n v="0"/>
    <s v="FR000012414112023"/>
    <s v="FR0000124141"/>
    <n v="1"/>
    <x v="12"/>
    <m/>
    <m/>
    <m/>
  </r>
  <r>
    <m/>
    <m/>
    <m/>
    <m/>
    <m/>
    <x v="1"/>
    <m/>
    <m/>
    <m/>
    <m/>
    <m/>
    <m/>
    <m/>
    <m/>
    <m/>
    <m/>
    <m/>
    <m/>
    <m/>
    <m/>
    <m/>
    <s v=""/>
    <m/>
    <m/>
    <m/>
    <m/>
    <m/>
    <n v="264"/>
    <n v="0"/>
    <s v="FR00001241411"/>
    <s v="FR0000124141"/>
    <n v="1"/>
    <x v="12"/>
    <m/>
    <m/>
    <m/>
  </r>
  <r>
    <m/>
    <m/>
    <m/>
    <m/>
    <n v="24"/>
    <x v="2"/>
    <n v="42885000000"/>
    <n v="6196000000"/>
    <n v="3062000000"/>
    <n v="1162000000"/>
    <n v="18138000000"/>
    <n v="12000000000"/>
    <n v="17.149587964142487"/>
    <n v="9.6833333333333327E-2"/>
    <n v="7.9247461676289072E-2"/>
    <n v="699725266"/>
    <n v="16793406384"/>
    <n v="1.3994505319999999"/>
    <n v="5.6377350522918013"/>
    <m/>
    <n v="230000"/>
    <n v="186456.52173913043"/>
    <m/>
    <m/>
    <m/>
    <s v="Leader mondial de l'eau, des traitements de déchets et de l'énergie. Reprise en main par Frérot depuis 2009. Actionnaire institutionnel"/>
    <m/>
    <n v="265"/>
    <n v="0"/>
    <s v="FR000012414112022"/>
    <s v="FR0000124141"/>
    <n v="1"/>
    <x v="12"/>
    <m/>
    <m/>
    <m/>
  </r>
  <r>
    <m/>
    <m/>
    <m/>
    <m/>
    <m/>
    <x v="1"/>
    <n v="0.50430930156692311"/>
    <n v="0.46346072086541645"/>
    <n v="0.7341564252137962"/>
    <n v="1.8741033885728418"/>
    <m/>
    <m/>
    <m/>
    <m/>
    <m/>
    <m/>
    <m/>
    <m/>
    <m/>
    <m/>
    <m/>
    <s v=""/>
    <m/>
    <m/>
    <m/>
    <s v="Antoine Frérot renouvelé comme PDG, remplacé par Estelle BRACHLIANOF"/>
    <m/>
    <n v="266"/>
    <n v="0"/>
    <s v="FR00001241411"/>
    <s v="FR0000124141"/>
    <n v="1"/>
    <x v="12"/>
    <m/>
    <m/>
    <m/>
  </r>
  <r>
    <m/>
    <m/>
    <m/>
    <m/>
    <n v="32.26"/>
    <x v="3"/>
    <n v="28508100000"/>
    <n v="4233800000"/>
    <n v="1765700000"/>
    <n v="404300000"/>
    <n v="9532000000"/>
    <n v="11511800000"/>
    <n v="16.451885560467957"/>
    <n v="3.512048506749596E-2"/>
    <n v="6.5446639865423539E-2"/>
    <n v="699725266"/>
    <n v="22573137081.16"/>
    <n v="1.9608694627391026"/>
    <n v="7.583054721800746"/>
    <m/>
    <n v="179000"/>
    <n v="159263.12849162013"/>
    <n v="1341000000"/>
    <m/>
    <m/>
    <s v="En 2017, résultats du 1T17 avec un retour de la croissance organique, les objectifs 2018-2019 atteignables mais ligne un peu haute =&gt; allégement et retour à 25 K euros vers 20 euros"/>
    <m/>
    <n v="267"/>
    <n v="0"/>
    <s v="FR000012414112021"/>
    <s v="FR0000124141"/>
    <n v="1"/>
    <x v="12"/>
    <m/>
    <m/>
    <m/>
  </r>
  <r>
    <m/>
    <m/>
    <m/>
    <m/>
    <m/>
    <x v="1"/>
    <n v="9.6048043245072101E-2"/>
    <n v="0.16287629092507139"/>
    <n v="0.38453697169293499"/>
    <n v="3.5529279279279278"/>
    <m/>
    <m/>
    <m/>
    <m/>
    <m/>
    <m/>
    <m/>
    <m/>
    <m/>
    <m/>
    <m/>
    <s v=""/>
    <m/>
    <m/>
    <m/>
    <s v="CA du 1S17 mieux à +4,4%. Eau (mieux) France (mieux) Europe Bien"/>
    <m/>
    <n v="268"/>
    <n v="0"/>
    <s v="FR00001241411"/>
    <s v="FR0000124141"/>
    <n v="1"/>
    <x v="12"/>
    <m/>
    <m/>
    <m/>
  </r>
  <r>
    <m/>
    <m/>
    <m/>
    <m/>
    <n v="20.010000000000002"/>
    <x v="4"/>
    <n v="26009900000"/>
    <n v="3640800000"/>
    <n v="1275300000"/>
    <n v="88800000"/>
    <n v="13217000000"/>
    <n v="7239400000"/>
    <n v="12.511679644479571"/>
    <n v="1.2266209906898362E-2"/>
    <n v="4.8627031149175805E-2"/>
    <n v="578611362"/>
    <n v="11578013353.620001"/>
    <n v="1.5993056542835042"/>
    <n v="6.810320081745771"/>
    <m/>
    <n v="178894"/>
    <n v="145392.80244166937"/>
    <n v="507500000"/>
    <m/>
    <m/>
    <s v="Cession de 30% de Transdev à l'allemand Rethmann pour 340 M euros, sorti définitive du transport (Caisse des dépôts actionnaire à 66% de Transdev) le 2/10/2018"/>
    <m/>
    <n v="269"/>
    <n v="0"/>
    <s v="FR000012414112020"/>
    <s v="FR0000124141"/>
    <n v="1"/>
    <x v="12"/>
    <m/>
    <m/>
    <m/>
  </r>
  <r>
    <m/>
    <m/>
    <m/>
    <m/>
    <m/>
    <x v="1"/>
    <n v="-4.3356247264488501E-2"/>
    <n v="-9.4756209751609921E-2"/>
    <n v="-0.26300277392510407"/>
    <n v="-0.85789726356217"/>
    <m/>
    <m/>
    <m/>
    <m/>
    <m/>
    <m/>
    <m/>
    <m/>
    <m/>
    <m/>
    <m/>
    <s v=""/>
    <m/>
    <m/>
    <m/>
    <s v="Point faible : eau stable, un peu de minoritaires et dettes élevées mais sous contrôle"/>
    <m/>
    <n v="270"/>
    <n v="0"/>
    <s v="FR00001241411"/>
    <s v="FR0000124141"/>
    <n v="1"/>
    <x v="12"/>
    <m/>
    <m/>
    <m/>
  </r>
  <r>
    <m/>
    <m/>
    <m/>
    <m/>
    <n v="23"/>
    <x v="5"/>
    <n v="27188700000"/>
    <n v="4021900000"/>
    <n v="1730400000"/>
    <n v="624900000"/>
    <n v="10680000000"/>
    <n v="5933700000"/>
    <n v="10.460162184887835"/>
    <n v="0.10531371656807725"/>
    <n v="8.124090359161415E-2"/>
    <n v="567266539"/>
    <n v="13047130397"/>
    <n v="2.1988186792389235"/>
    <n v="5.8994829302071157"/>
    <m/>
    <n v="178780"/>
    <n v="152079.0916209867"/>
    <n v="868000000"/>
    <m/>
    <m/>
    <s v="En 2018, hausse de la dette lié au remboursement de la dette hybride de 1452 Me. D'où dette nette égale à dette ancienne + hybride - Cession de Transdev 350 M e encaissé en 2019"/>
    <m/>
    <n v="271"/>
    <n v="0"/>
    <s v="FR000012414112019"/>
    <s v="FR0000124141"/>
    <n v="1"/>
    <x v="12"/>
    <m/>
    <m/>
    <m/>
  </r>
  <r>
    <m/>
    <m/>
    <m/>
    <m/>
    <m/>
    <x v="1"/>
    <n v="4.9307053733728123E-2"/>
    <n v="0.18570165094339619"/>
    <n v="7.8802992518703263E-2"/>
    <n v="0.41829323649568773"/>
    <m/>
    <m/>
    <m/>
    <m/>
    <m/>
    <m/>
    <m/>
    <m/>
    <m/>
    <m/>
    <m/>
    <s v=""/>
    <m/>
    <m/>
    <m/>
    <s v="En 2019, impact IFRS 16 : dettes : + 2 Md euros venant s'ajouter au 1,8 Md euros de dettes hybrides d'où le passage en deux ans de 8 à 12 Md euros de dettes et EBITDA : + 400 M euros"/>
    <m/>
    <n v="272"/>
    <n v="0"/>
    <s v="FR00001241411"/>
    <s v="FR0000124141"/>
    <n v="1"/>
    <x v="12"/>
    <m/>
    <m/>
    <m/>
  </r>
  <r>
    <m/>
    <m/>
    <m/>
    <m/>
    <n v="18"/>
    <x v="6"/>
    <n v="25911100000"/>
    <n v="3392000000"/>
    <n v="1604000000"/>
    <n v="440600000"/>
    <n v="9748900000"/>
    <n v="5985000000"/>
    <n v="10.623666504644362"/>
    <n v="7.3617376775271512E-2"/>
    <n v="7.9517475006196811E-2"/>
    <n v="563364823"/>
    <n v="12957390929"/>
    <n v="2.1649775988304092"/>
    <n v="6.6940716182193398"/>
    <m/>
    <n v="171495"/>
    <n v="151089.53613807983"/>
    <n v="655000000"/>
    <m/>
    <m/>
    <s v="Création de valeur : total capitaux employés : 16 Md euros (car 2,5 Md euros de BFR négatif) et Rex après impôt : 1,4 Md e (car taux d'impôt de 25%) : ROCE : 8,8% d'où création de valeur de 0,8% *16 MD / an soit 128 M e "/>
    <m/>
    <n v="273"/>
    <n v="0"/>
    <s v="FR000012414112018"/>
    <s v="FR0000124141"/>
    <n v="1"/>
    <x v="12"/>
    <m/>
    <m/>
    <m/>
  </r>
  <r>
    <m/>
    <m/>
    <m/>
    <m/>
    <m/>
    <x v="1"/>
    <n v="3.1303980958900857E-2"/>
    <n v="3.2855272372948496E-2"/>
    <n v="5.5679873634329358E-2"/>
    <n v="-0.2848563544879078"/>
    <m/>
    <m/>
    <m/>
    <m/>
    <m/>
    <m/>
    <m/>
    <m/>
    <m/>
    <m/>
    <m/>
    <s v=""/>
    <m/>
    <m/>
    <m/>
    <s v="Création de valeur : 128 M e multiplié par 20 soit 2,5 Md =&gt; Capitalisation boursière maximale de 8-9 Md euros (FP hors minoritaires : 6 Md euros). Problème des JV et minoritaires"/>
    <m/>
    <n v="274"/>
    <n v="0"/>
    <s v="FR00001241411"/>
    <s v="FR0000124141"/>
    <n v="1"/>
    <x v="12"/>
    <m/>
    <m/>
    <m/>
  </r>
  <r>
    <m/>
    <m/>
    <m/>
    <m/>
    <n v="21.5"/>
    <x v="7"/>
    <n v="25124600000"/>
    <n v="3284100000"/>
    <n v="1519400000"/>
    <n v="616100000"/>
    <n v="7841000000"/>
    <n v="7480200000"/>
    <n v="13.277719329664288"/>
    <n v="8.2364107911553172E-2"/>
    <n v="7.7352426702869223E-2"/>
    <n v="563364823"/>
    <n v="12112343694.5"/>
    <n v="1.619253989799738"/>
    <n v="6.0757418149569133"/>
    <m/>
    <n v="168800"/>
    <n v="148842.41706161137"/>
    <n v="940000000"/>
    <m/>
    <m/>
    <s v="Premier objectif 21 euros (VE/EBE : 6 fois) et 25 euros ? (VE/EBE : 6,5 fois). Pas d'acquisition selon Frérot. Dette brute (13 Md) et coût un peu élevé (400 M e) par an des frais financiers"/>
    <m/>
    <n v="275"/>
    <n v="0"/>
    <s v="FR000012414112017"/>
    <s v="FR0000124141"/>
    <n v="1"/>
    <x v="12"/>
    <m/>
    <m/>
    <m/>
  </r>
  <r>
    <m/>
    <m/>
    <m/>
    <m/>
    <m/>
    <x v="1"/>
    <n v="3.0118901189011948E-2"/>
    <n v="7.4640052356020892E-2"/>
    <n v="9.7832369942196573E-2"/>
    <n v="3.1993299832495881E-2"/>
    <m/>
    <m/>
    <m/>
    <m/>
    <m/>
    <m/>
    <m/>
    <m/>
    <m/>
    <m/>
    <m/>
    <s v=""/>
    <m/>
    <m/>
    <m/>
    <s v="En 2020-2021 : acquisition de Suez (hors Suez France) à 20,5 euros par action soit 11 Md euros mais vente d'une partie Suez France (7 Md euros de CA), augmentation de capital de 2,5 Md euros et 5,5 Md euros de dettes et la dette de la partie Suez repris soit 7 Md euros. Total dettes proche 20-22 Md euros "/>
    <m/>
    <n v="276"/>
    <n v="0"/>
    <s v="FR00001241411"/>
    <s v="FR0000124141"/>
    <n v="1"/>
    <x v="12"/>
    <m/>
    <m/>
    <m/>
  </r>
  <r>
    <m/>
    <m/>
    <m/>
    <m/>
    <n v="15.6"/>
    <x v="8"/>
    <n v="24390000000"/>
    <n v="3056000000"/>
    <n v="1384000000"/>
    <n v="597000000"/>
    <n v="7811000000"/>
    <n v="7749200000"/>
    <n v="13.755207431543875"/>
    <n v="7.7040210602384765E-2"/>
    <n v="6.9377000295626018E-2"/>
    <n v="563364823"/>
    <n v="8788491238.7999992"/>
    <n v="1.1341159395550509"/>
    <n v="5.4317706933246068"/>
    <m/>
    <n v="163226"/>
    <n v="149424.72400230356"/>
    <n v="970000000"/>
    <m/>
    <m/>
    <s v="Veolia : 169 000 salariés pour 26 Md de CA soit 153 K euros / salarié"/>
    <m/>
    <n v="277"/>
    <n v="0"/>
    <s v="FR000012414112016"/>
    <s v="FR0000124141"/>
    <n v="1"/>
    <x v="12"/>
    <m/>
    <m/>
    <m/>
  </r>
  <r>
    <m/>
    <m/>
    <m/>
    <m/>
    <m/>
    <x v="1"/>
    <n v="-2.3032245143200458E-2"/>
    <n v="1.9686353019686242E-2"/>
    <n v="5.2471482889733911E-2"/>
    <n v="2.931034482758621E-2"/>
    <m/>
    <m/>
    <m/>
    <m/>
    <m/>
    <m/>
    <m/>
    <m/>
    <m/>
    <m/>
    <m/>
    <s v=""/>
    <m/>
    <m/>
    <m/>
    <s v="Veolia + Suez : 37 Md euros de CA pour 230 000 salariés soit 161 K euros par salarié"/>
    <m/>
    <n v="278"/>
    <n v="0"/>
    <s v="FR00001241411"/>
    <s v="FR0000124141"/>
    <n v="1"/>
    <x v="12"/>
    <m/>
    <m/>
    <m/>
  </r>
  <r>
    <m/>
    <m/>
    <m/>
    <m/>
    <n v="22"/>
    <x v="9"/>
    <n v="24965000000"/>
    <n v="2997000000"/>
    <n v="1315000000"/>
    <n v="580000000"/>
    <n v="8170000000"/>
    <n v="9130000000"/>
    <n v="16.206194684612036"/>
    <n v="6.3526834611171965E-2"/>
    <n v="5.9289017341040459E-2"/>
    <n v="563364823"/>
    <n v="12394026106"/>
    <n v="1.3575055975903614"/>
    <n v="6.8615369055722386"/>
    <m/>
    <n v="173959"/>
    <n v="143510.82726389551"/>
    <n v="856000000"/>
    <m/>
    <m/>
    <s v="En 2021, les chiffres 2021 sont ceux de Veolia seuls, de retour sur les niveaux de 2019 mais augmentation de capital pour financer l'acquisition de Suez en 2021. Suez sera intégré en fin d'année ou en 2022. L'ensemble 37 Md euros de CA"/>
    <m/>
    <n v="279"/>
    <n v="0"/>
    <s v="FR000012414112015"/>
    <s v="FR0000124141"/>
    <n v="1"/>
    <x v="12"/>
    <m/>
    <m/>
    <m/>
  </r>
  <r>
    <m/>
    <m/>
    <m/>
    <m/>
    <m/>
    <x v="1"/>
    <n v="2.3155737704918078E-2"/>
    <n v="7.0357142857142785E-2"/>
    <n v="0.25238095238095237"/>
    <n v="0.75757575757575757"/>
    <m/>
    <m/>
    <m/>
    <m/>
    <m/>
    <m/>
    <m/>
    <m/>
    <m/>
    <m/>
    <m/>
    <s v=""/>
    <m/>
    <m/>
    <m/>
    <s v="Taux d'impôt  : 28,41 % en 2021"/>
    <m/>
    <n v="280"/>
    <n v="0"/>
    <s v="FR00001241411"/>
    <s v="FR0000124141"/>
    <n v="1"/>
    <x v="12"/>
    <m/>
    <m/>
    <m/>
  </r>
  <r>
    <m/>
    <m/>
    <m/>
    <m/>
    <n v="14.69"/>
    <x v="10"/>
    <n v="24400000000"/>
    <n v="2800000000"/>
    <n v="1050000000"/>
    <n v="330000000"/>
    <n v="8170000000"/>
    <m/>
    <n v="0"/>
    <m/>
    <m/>
    <n v="562301801"/>
    <n v="8260213456.6899996"/>
    <m/>
    <n v="5.867933377389285"/>
    <m/>
    <n v="179508"/>
    <n v="135927.08960046349"/>
    <n v="330000000"/>
    <m/>
    <m/>
    <s v="CAC  : KPMG // Ernst"/>
    <m/>
    <n v="281"/>
    <n v="0"/>
    <s v="FR000012414112014"/>
    <s v="FR0000124141"/>
    <n v="1"/>
    <x v="12"/>
    <m/>
    <m/>
    <m/>
  </r>
  <r>
    <m/>
    <m/>
    <m/>
    <m/>
    <m/>
    <x v="1"/>
    <m/>
    <m/>
    <m/>
    <m/>
    <m/>
    <m/>
    <m/>
    <m/>
    <m/>
    <m/>
    <m/>
    <m/>
    <m/>
    <m/>
    <m/>
    <s v=""/>
    <m/>
    <m/>
    <m/>
    <s v="Minoritaires : 11 %"/>
    <m/>
    <n v="282"/>
    <n v="0"/>
    <s v="FR00001241411"/>
    <s v="FR0000124141"/>
    <n v="1"/>
    <x v="12"/>
    <m/>
    <m/>
    <m/>
  </r>
  <r>
    <m/>
    <m/>
    <m/>
    <m/>
    <m/>
    <x v="1"/>
    <m/>
    <m/>
    <m/>
    <m/>
    <m/>
    <m/>
    <m/>
    <m/>
    <m/>
    <m/>
    <m/>
    <m/>
    <m/>
    <m/>
    <m/>
    <s v=""/>
    <m/>
    <m/>
    <m/>
    <s v="Pay out ratio : 72%"/>
    <m/>
    <n v="283"/>
    <n v="0"/>
    <s v="FR00001241411"/>
    <s v="FR0000124141"/>
    <n v="1"/>
    <x v="12"/>
    <m/>
    <m/>
    <m/>
  </r>
  <r>
    <m/>
    <m/>
    <m/>
    <m/>
    <m/>
    <x v="1"/>
    <m/>
    <m/>
    <m/>
    <m/>
    <m/>
    <m/>
    <m/>
    <m/>
    <m/>
    <m/>
    <m/>
    <m/>
    <m/>
    <m/>
    <m/>
    <s v=""/>
    <m/>
    <m/>
    <m/>
    <m/>
    <m/>
    <n v="284"/>
    <n v="0"/>
    <s v="FR00001241411"/>
    <s v="FR0000124141"/>
    <n v="1"/>
    <x v="12"/>
    <m/>
    <m/>
    <m/>
  </r>
  <r>
    <m/>
    <m/>
    <m/>
    <m/>
    <m/>
    <x v="1"/>
    <m/>
    <m/>
    <m/>
    <m/>
    <m/>
    <m/>
    <m/>
    <m/>
    <m/>
    <m/>
    <m/>
    <m/>
    <m/>
    <m/>
    <m/>
    <s v=""/>
    <m/>
    <m/>
    <m/>
    <m/>
    <m/>
    <n v="285"/>
    <n v="0"/>
    <s v="FR00001241411"/>
    <s v="FR0000124141"/>
    <n v="1"/>
    <x v="12"/>
    <m/>
    <m/>
    <m/>
  </r>
  <r>
    <m/>
    <m/>
    <m/>
    <m/>
    <m/>
    <x v="1"/>
    <m/>
    <m/>
    <m/>
    <m/>
    <m/>
    <m/>
    <m/>
    <m/>
    <m/>
    <m/>
    <m/>
    <m/>
    <m/>
    <m/>
    <m/>
    <s v=""/>
    <m/>
    <m/>
    <m/>
    <m/>
    <m/>
    <n v="286"/>
    <n v="0"/>
    <s v="FR00001241411"/>
    <s v="FR0000124141"/>
    <n v="1"/>
    <x v="12"/>
    <m/>
    <m/>
    <m/>
  </r>
  <r>
    <s v="Suez"/>
    <s v="Eau &amp; Déchets &amp; Energie"/>
    <s v="France"/>
    <s v="Euro"/>
    <s v="Rachat par Veolia à 20,5 euros en avril 2021 "/>
    <x v="1"/>
    <m/>
    <m/>
    <m/>
    <m/>
    <m/>
    <m/>
    <m/>
    <m/>
    <m/>
    <m/>
    <m/>
    <m/>
    <m/>
    <m/>
    <m/>
    <s v=""/>
    <m/>
    <m/>
    <m/>
    <s v="Avril 2021, achat de Suez par Veoila à 20,5 euros par action soit 11 Md euros (les 29% acheté à Engie à 18 euros) plus la dette financés par augmentation de capital (2,5 Md euros), dettes et la revente d'une partie Suez (Suez France principalement) de 7 Md euros de chiffre d'affaires à des fonds"/>
    <m/>
    <n v="287"/>
    <n v="0"/>
    <s v="FR00106134711"/>
    <s v="FR0010613471"/>
    <n v="1"/>
    <x v="13"/>
    <m/>
    <m/>
    <m/>
  </r>
  <r>
    <m/>
    <m/>
    <m/>
    <m/>
    <m/>
    <x v="1"/>
    <m/>
    <m/>
    <m/>
    <m/>
    <m/>
    <m/>
    <m/>
    <m/>
    <m/>
    <m/>
    <m/>
    <m/>
    <m/>
    <m/>
    <m/>
    <s v=""/>
    <m/>
    <m/>
    <m/>
    <s v="Concurrent de Veolia, détenu par Engie, plus petit mais un peu plus rentable donc un peu mieux valorisé. Business mature"/>
    <m/>
    <n v="288"/>
    <n v="0"/>
    <s v="FR00106134711"/>
    <s v="FR0010613471"/>
    <n v="1"/>
    <x v="13"/>
    <m/>
    <m/>
    <m/>
  </r>
  <r>
    <m/>
    <m/>
    <m/>
    <m/>
    <n v="20.5"/>
    <x v="4"/>
    <m/>
    <m/>
    <m/>
    <m/>
    <m/>
    <m/>
    <m/>
    <m/>
    <m/>
    <n v="565577574"/>
    <n v="11594340267"/>
    <m/>
    <m/>
    <m/>
    <m/>
    <s v=""/>
    <m/>
    <m/>
    <m/>
    <s v="Acquisition pour 3,2 Md euros en septembre 2017 de GE Water (traitement des eaux pour les industriels) avec la Caisse des dépôts du Québec"/>
    <m/>
    <n v="289"/>
    <n v="0"/>
    <s v="FR001061347112020"/>
    <s v="FR0010613471"/>
    <n v="1"/>
    <x v="13"/>
    <m/>
    <m/>
    <m/>
  </r>
  <r>
    <m/>
    <m/>
    <m/>
    <m/>
    <m/>
    <x v="1"/>
    <m/>
    <m/>
    <m/>
    <m/>
    <m/>
    <m/>
    <m/>
    <m/>
    <m/>
    <m/>
    <m/>
    <m/>
    <m/>
    <m/>
    <m/>
    <s v=""/>
    <m/>
    <m/>
    <m/>
    <s v="Le 24/1/2018, profit warning suite à des problèmes en Espagne et l'abandon de contrats en Inde et au Maroc"/>
    <m/>
    <n v="290"/>
    <n v="0"/>
    <s v="FR00106134711"/>
    <s v="FR0010613471"/>
    <n v="1"/>
    <x v="13"/>
    <m/>
    <m/>
    <m/>
  </r>
  <r>
    <m/>
    <m/>
    <m/>
    <m/>
    <n v="16.22"/>
    <x v="5"/>
    <n v="17500000000"/>
    <n v="3200000000"/>
    <n v="1354000000"/>
    <n v="350000000"/>
    <n v="10600000000"/>
    <n v="5542660000"/>
    <n v="9.799999601822968"/>
    <n v="6.3146575831820817E-2"/>
    <n v="5.3681363542315827E-2"/>
    <n v="565577574"/>
    <n v="9173668250.2799988"/>
    <n v="1.655102108063637"/>
    <n v="6.1792713282124998"/>
    <m/>
    <m/>
    <s v=""/>
    <m/>
    <m/>
    <m/>
    <m/>
    <m/>
    <n v="291"/>
    <n v="0"/>
    <s v="FR001061347112019"/>
    <s v="FR0010613471"/>
    <n v="1"/>
    <x v="13"/>
    <m/>
    <m/>
    <m/>
  </r>
  <r>
    <m/>
    <m/>
    <m/>
    <m/>
    <m/>
    <x v="1"/>
    <n v="0.10773515634890485"/>
    <n v="0.21212121212121215"/>
    <n v="5.7812500000000044E-2"/>
    <n v="0.16666666666666674"/>
    <m/>
    <m/>
    <m/>
    <m/>
    <m/>
    <m/>
    <m/>
    <m/>
    <m/>
    <m/>
    <m/>
    <s v=""/>
    <m/>
    <m/>
    <m/>
    <m/>
    <m/>
    <n v="292"/>
    <n v="0"/>
    <s v="FR00106134711"/>
    <s v="FR0010613471"/>
    <n v="1"/>
    <x v="13"/>
    <m/>
    <m/>
    <m/>
  </r>
  <r>
    <m/>
    <m/>
    <m/>
    <m/>
    <n v="11.5"/>
    <x v="6"/>
    <n v="15798000000"/>
    <n v="2640000000"/>
    <n v="1280000000"/>
    <n v="300000000"/>
    <n v="8500000000"/>
    <n v="5542660000"/>
    <n v="9.799999601822968"/>
    <n v="5.4125636427274991E-2"/>
    <n v="5.8336525985817504E-2"/>
    <n v="565577574"/>
    <n v="6504142101"/>
    <n v="1.1734694354335282"/>
    <n v="5.6833871594696967"/>
    <m/>
    <m/>
    <s v=""/>
    <m/>
    <m/>
    <m/>
    <m/>
    <m/>
    <n v="293"/>
    <n v="0"/>
    <s v="FR001061347112018"/>
    <s v="FR0010613471"/>
    <n v="1"/>
    <x v="13"/>
    <m/>
    <m/>
    <m/>
  </r>
  <r>
    <m/>
    <m/>
    <m/>
    <m/>
    <m/>
    <x v="1"/>
    <n v="0"/>
    <n v="0"/>
    <n v="0"/>
    <n v="0"/>
    <m/>
    <m/>
    <m/>
    <m/>
    <m/>
    <m/>
    <m/>
    <m/>
    <m/>
    <m/>
    <m/>
    <s v=""/>
    <m/>
    <m/>
    <m/>
    <m/>
    <m/>
    <n v="294"/>
    <n v="0"/>
    <s v="FR00106134711"/>
    <s v="FR0010613471"/>
    <n v="1"/>
    <x v="13"/>
    <m/>
    <m/>
    <m/>
  </r>
  <r>
    <m/>
    <m/>
    <m/>
    <m/>
    <n v="14.16"/>
    <x v="7"/>
    <n v="15798000000"/>
    <n v="2640000000"/>
    <n v="1280000000"/>
    <n v="300000000"/>
    <n v="8500000000"/>
    <n v="5542660000"/>
    <n v="9.799999601822968"/>
    <n v="5.4125636427274991E-2"/>
    <n v="5.8336525985817504E-2"/>
    <n v="565577574"/>
    <n v="8008578447.8400002"/>
    <n v="1.444898017890327"/>
    <n v="6.2532494120606064"/>
    <m/>
    <m/>
    <s v=""/>
    <m/>
    <m/>
    <m/>
    <m/>
    <m/>
    <n v="295"/>
    <n v="0"/>
    <s v="FR001061347112017"/>
    <s v="FR0010613471"/>
    <n v="1"/>
    <x v="13"/>
    <m/>
    <m/>
    <m/>
  </r>
  <r>
    <m/>
    <m/>
    <m/>
    <m/>
    <m/>
    <x v="1"/>
    <n v="3.1066440412478746E-2"/>
    <n v="-4.1493775933609811E-3"/>
    <n v="-1.5600624024960652E-3"/>
    <n v="-0.2857142857142857"/>
    <m/>
    <m/>
    <m/>
    <m/>
    <m/>
    <m/>
    <m/>
    <m/>
    <m/>
    <m/>
    <m/>
    <s v=""/>
    <m/>
    <m/>
    <m/>
    <m/>
    <m/>
    <n v="296"/>
    <n v="0"/>
    <s v="FR00106134711"/>
    <s v="FR0010613471"/>
    <n v="1"/>
    <x v="13"/>
    <m/>
    <m/>
    <m/>
  </r>
  <r>
    <m/>
    <m/>
    <m/>
    <m/>
    <n v="13.9"/>
    <x v="8"/>
    <n v="15322000000"/>
    <n v="2651000000"/>
    <n v="1282000000"/>
    <n v="420000000"/>
    <n v="8042000000"/>
    <n v="5542660000"/>
    <n v="9.799999601822968"/>
    <n v="7.5775890998184992E-2"/>
    <n v="6.0397536633231892E-2"/>
    <n v="565577574"/>
    <n v="7861528278.6000004"/>
    <n v="1.4183674045674821"/>
    <n v="5.9990676267823462"/>
    <m/>
    <m/>
    <s v=""/>
    <m/>
    <m/>
    <m/>
    <m/>
    <m/>
    <n v="297"/>
    <n v="0"/>
    <s v="FR001061347112016"/>
    <s v="FR0010613471"/>
    <n v="1"/>
    <x v="13"/>
    <m/>
    <m/>
    <m/>
  </r>
  <r>
    <m/>
    <m/>
    <m/>
    <m/>
    <m/>
    <x v="1"/>
    <n v="1.2355467459530978E-2"/>
    <n v="-3.6350418029807319E-2"/>
    <n v="-7.1687183200579319E-2"/>
    <n v="2.9411764705882248E-2"/>
    <m/>
    <m/>
    <m/>
    <m/>
    <m/>
    <m/>
    <m/>
    <m/>
    <m/>
    <m/>
    <m/>
    <s v=""/>
    <m/>
    <m/>
    <m/>
    <m/>
    <m/>
    <n v="298"/>
    <n v="0"/>
    <s v="FR00106134711"/>
    <s v="FR0010613471"/>
    <n v="1"/>
    <x v="13"/>
    <m/>
    <m/>
    <m/>
  </r>
  <r>
    <m/>
    <m/>
    <m/>
    <m/>
    <n v="17.420000000000002"/>
    <x v="9"/>
    <n v="15135000000"/>
    <n v="2751000000"/>
    <n v="1381000000"/>
    <n v="408000000"/>
    <n v="8083000000"/>
    <n v="5542660000"/>
    <n v="9.799999601822968"/>
    <n v="7.3610865541093987E-2"/>
    <n v="6.4865848700173062E-2"/>
    <n v="565577574"/>
    <n v="9852361339.0800018"/>
    <n v="1.7775510926306146"/>
    <n v="6.5195788219120328"/>
    <m/>
    <m/>
    <s v=""/>
    <m/>
    <m/>
    <m/>
    <m/>
    <m/>
    <n v="299"/>
    <n v="0"/>
    <s v="FR001061347112015"/>
    <s v="FR0010613471"/>
    <n v="1"/>
    <x v="13"/>
    <m/>
    <m/>
    <m/>
  </r>
  <r>
    <m/>
    <m/>
    <m/>
    <m/>
    <m/>
    <x v="1"/>
    <n v="5.6618263055012497E-2"/>
    <n v="4.0862656072644832E-2"/>
    <n v="0.10039840637450204"/>
    <n v="-2.1582733812949617E-2"/>
    <m/>
    <m/>
    <m/>
    <m/>
    <m/>
    <m/>
    <m/>
    <m/>
    <m/>
    <m/>
    <m/>
    <s v=""/>
    <m/>
    <m/>
    <m/>
    <m/>
    <m/>
    <n v="300"/>
    <n v="0"/>
    <s v="FR00106134711"/>
    <s v="FR0010613471"/>
    <n v="1"/>
    <x v="13"/>
    <m/>
    <m/>
    <m/>
  </r>
  <r>
    <m/>
    <m/>
    <m/>
    <m/>
    <n v="14.63"/>
    <x v="10"/>
    <n v="14324000000"/>
    <n v="2643000000"/>
    <n v="1255000000"/>
    <n v="417000000"/>
    <n v="7186000000"/>
    <n v="5542660000"/>
    <n v="9.799999601822968"/>
    <n v="7.5234634633912237E-2"/>
    <n v="6.3101693343996929E-2"/>
    <n v="565577574"/>
    <n v="8274399907.6200008"/>
    <n v="1.492857203512393"/>
    <n v="5.8495648534317066"/>
    <m/>
    <m/>
    <s v=""/>
    <m/>
    <m/>
    <m/>
    <m/>
    <m/>
    <n v="301"/>
    <n v="0"/>
    <s v="FR001061347112014"/>
    <s v="FR0010613471"/>
    <n v="1"/>
    <x v="13"/>
    <m/>
    <m/>
    <m/>
  </r>
  <r>
    <m/>
    <m/>
    <m/>
    <m/>
    <m/>
    <x v="1"/>
    <n v="-2.1851953018301007E-2"/>
    <n v="4.8809523809523858E-2"/>
    <n v="5.9966216216216228E-2"/>
    <n v="0.18465909090909083"/>
    <m/>
    <m/>
    <m/>
    <m/>
    <m/>
    <m/>
    <m/>
    <m/>
    <m/>
    <m/>
    <m/>
    <s v=""/>
    <m/>
    <m/>
    <m/>
    <m/>
    <m/>
    <n v="302"/>
    <n v="0"/>
    <s v="FR00106134711"/>
    <s v="FR0010613471"/>
    <n v="1"/>
    <x v="13"/>
    <m/>
    <m/>
    <m/>
  </r>
  <r>
    <m/>
    <m/>
    <m/>
    <m/>
    <n v="13.08"/>
    <x v="11"/>
    <n v="14644000000"/>
    <n v="2520000000"/>
    <n v="1184000000"/>
    <n v="352000000"/>
    <n v="7245000000"/>
    <m/>
    <m/>
    <m/>
    <m/>
    <m/>
    <m/>
    <m/>
    <m/>
    <m/>
    <m/>
    <s v=""/>
    <m/>
    <m/>
    <m/>
    <m/>
    <m/>
    <n v="303"/>
    <n v="0"/>
    <s v="FR001061347112013"/>
    <s v="FR0010613471"/>
    <n v="1"/>
    <x v="13"/>
    <m/>
    <m/>
    <m/>
  </r>
  <r>
    <m/>
    <m/>
    <m/>
    <m/>
    <m/>
    <x v="1"/>
    <n v="-3.0327108992186491E-2"/>
    <n v="2.857142857142847E-2"/>
    <n v="3.3158813263525211E-2"/>
    <n v="0.40239043824701204"/>
    <m/>
    <m/>
    <m/>
    <m/>
    <m/>
    <m/>
    <m/>
    <m/>
    <m/>
    <m/>
    <m/>
    <s v=""/>
    <m/>
    <m/>
    <m/>
    <m/>
    <m/>
    <n v="304"/>
    <n v="0"/>
    <s v="FR00106134711"/>
    <s v="FR0010613471"/>
    <n v="1"/>
    <x v="13"/>
    <m/>
    <m/>
    <m/>
  </r>
  <r>
    <m/>
    <m/>
    <m/>
    <m/>
    <n v="9.11"/>
    <x v="12"/>
    <n v="15102000000"/>
    <n v="2450000000"/>
    <n v="1146000000"/>
    <n v="251000000"/>
    <n v="7436000000"/>
    <m/>
    <m/>
    <m/>
    <m/>
    <m/>
    <m/>
    <m/>
    <m/>
    <m/>
    <m/>
    <s v=""/>
    <m/>
    <m/>
    <m/>
    <m/>
    <m/>
    <n v="305"/>
    <n v="0"/>
    <s v="FR001061347112012"/>
    <s v="FR0010613471"/>
    <n v="1"/>
    <x v="13"/>
    <m/>
    <m/>
    <m/>
  </r>
  <r>
    <m/>
    <m/>
    <m/>
    <m/>
    <m/>
    <x v="1"/>
    <n v="1.8341200269723634E-2"/>
    <n v="-2.5069637883008311E-2"/>
    <n v="0.1029836381135707"/>
    <n v="-0.22291021671826627"/>
    <m/>
    <m/>
    <m/>
    <m/>
    <m/>
    <m/>
    <m/>
    <m/>
    <m/>
    <m/>
    <m/>
    <s v=""/>
    <m/>
    <m/>
    <m/>
    <m/>
    <m/>
    <n v="306"/>
    <n v="0"/>
    <s v="FR00106134711"/>
    <s v="FR0010613471"/>
    <n v="1"/>
    <x v="13"/>
    <m/>
    <m/>
    <m/>
  </r>
  <r>
    <m/>
    <m/>
    <m/>
    <m/>
    <n v="8.9"/>
    <x v="17"/>
    <n v="14830000000"/>
    <n v="2513000000"/>
    <n v="1039000000"/>
    <n v="323000000"/>
    <n v="7557000000"/>
    <m/>
    <m/>
    <m/>
    <m/>
    <m/>
    <m/>
    <m/>
    <m/>
    <m/>
    <m/>
    <s v=""/>
    <m/>
    <m/>
    <m/>
    <m/>
    <m/>
    <n v="307"/>
    <n v="0"/>
    <s v="FR001061347112011"/>
    <s v="FR0010613471"/>
    <n v="1"/>
    <x v="13"/>
    <m/>
    <m/>
    <m/>
  </r>
  <r>
    <m/>
    <m/>
    <m/>
    <m/>
    <m/>
    <x v="1"/>
    <m/>
    <m/>
    <m/>
    <m/>
    <m/>
    <m/>
    <m/>
    <m/>
    <m/>
    <m/>
    <m/>
    <m/>
    <m/>
    <m/>
    <m/>
    <s v=""/>
    <m/>
    <m/>
    <m/>
    <m/>
    <m/>
    <n v="308"/>
    <n v="0"/>
    <s v="FR00106134711"/>
    <s v="FR0010613471"/>
    <n v="1"/>
    <x v="13"/>
    <m/>
    <m/>
    <m/>
  </r>
  <r>
    <m/>
    <m/>
    <m/>
    <m/>
    <m/>
    <x v="1"/>
    <m/>
    <m/>
    <m/>
    <m/>
    <m/>
    <m/>
    <m/>
    <m/>
    <m/>
    <m/>
    <m/>
    <m/>
    <m/>
    <m/>
    <m/>
    <s v=""/>
    <m/>
    <m/>
    <m/>
    <m/>
    <m/>
    <n v="309"/>
    <n v="0"/>
    <s v="FR00106134711"/>
    <s v="FR0010613471"/>
    <n v="1"/>
    <x v="13"/>
    <m/>
    <m/>
    <m/>
  </r>
  <r>
    <m/>
    <m/>
    <m/>
    <m/>
    <m/>
    <x v="1"/>
    <m/>
    <m/>
    <m/>
    <m/>
    <m/>
    <m/>
    <m/>
    <m/>
    <m/>
    <m/>
    <m/>
    <m/>
    <m/>
    <m/>
    <m/>
    <s v=""/>
    <m/>
    <m/>
    <m/>
    <m/>
    <m/>
    <n v="310"/>
    <n v="0"/>
    <s v="FR00106134711"/>
    <s v="FR0010613471"/>
    <n v="1"/>
    <x v="13"/>
    <m/>
    <m/>
    <m/>
  </r>
  <r>
    <s v="Engie"/>
    <s v="Energie"/>
    <s v="France"/>
    <s v="Euro"/>
    <n v="13.39"/>
    <x v="2"/>
    <m/>
    <m/>
    <m/>
    <m/>
    <m/>
    <m/>
    <m/>
    <m/>
    <m/>
    <m/>
    <m/>
    <m/>
    <m/>
    <m/>
    <m/>
    <s v=""/>
    <m/>
    <m/>
    <m/>
    <s v="Créé suite à la fusion entre SUEZ et Gaz de France en 2008"/>
    <m/>
    <n v="311"/>
    <n v="0"/>
    <s v="FR001020848812022"/>
    <s v="FR0010208488"/>
    <n v="1"/>
    <x v="14"/>
    <m/>
    <m/>
    <m/>
  </r>
  <r>
    <m/>
    <m/>
    <m/>
    <m/>
    <m/>
    <x v="1"/>
    <m/>
    <m/>
    <m/>
    <m/>
    <m/>
    <m/>
    <m/>
    <m/>
    <m/>
    <m/>
    <m/>
    <m/>
    <m/>
    <m/>
    <m/>
    <s v=""/>
    <m/>
    <m/>
    <m/>
    <s v="DG : Catherine Macgregor (née en 1972) au 1er janvier 2021"/>
    <m/>
    <n v="312"/>
    <n v="0"/>
    <s v="FR00102084881"/>
    <s v="FR0010208488"/>
    <n v="1"/>
    <x v="14"/>
    <m/>
    <m/>
    <m/>
  </r>
  <r>
    <m/>
    <m/>
    <m/>
    <m/>
    <n v="13.01"/>
    <x v="3"/>
    <m/>
    <m/>
    <m/>
    <m/>
    <m/>
    <m/>
    <m/>
    <m/>
    <m/>
    <m/>
    <m/>
    <m/>
    <m/>
    <m/>
    <m/>
    <s v=""/>
    <m/>
    <m/>
    <m/>
    <s v="Président du conseil d'administration : Jean-Pierre Clamadieu (né en 1958) depuis 2018"/>
    <m/>
    <n v="313"/>
    <n v="0"/>
    <s v="FR001020848812021"/>
    <s v="FR0010208488"/>
    <n v="1"/>
    <x v="14"/>
    <m/>
    <m/>
    <m/>
  </r>
  <r>
    <m/>
    <m/>
    <m/>
    <m/>
    <m/>
    <x v="1"/>
    <m/>
    <m/>
    <m/>
    <m/>
    <m/>
    <m/>
    <m/>
    <m/>
    <m/>
    <m/>
    <m/>
    <m/>
    <m/>
    <m/>
    <m/>
    <s v=""/>
    <m/>
    <m/>
    <m/>
    <s v="Les dividendes au titre de l'année 2019 ne seront pas versés "/>
    <m/>
    <n v="314"/>
    <n v="0"/>
    <s v="FR00102084881"/>
    <s v="FR0010208488"/>
    <n v="1"/>
    <x v="14"/>
    <m/>
    <m/>
    <m/>
  </r>
  <r>
    <m/>
    <m/>
    <m/>
    <m/>
    <n v="12.52"/>
    <x v="4"/>
    <n v="54953070000"/>
    <n v="9018420000"/>
    <n v="4122720000"/>
    <n v="100000000"/>
    <n v="25000000000"/>
    <n v="31432650000"/>
    <n v="12.907175077258339"/>
    <n v="3.1814053221729637E-3"/>
    <n v="4.6755571464391625E-2"/>
    <n v="2435285011"/>
    <n v="30489768337.719997"/>
    <n v="0.97000311261443106"/>
    <n v="6.1529368046420547"/>
    <s v="A- (04/2019)"/>
    <m/>
    <s v=""/>
    <m/>
    <m/>
    <m/>
    <s v="Actionnariat : 23,64% détenue par l'Etat, 4,5% blackrock, 3,2% salarié, group CDC 2,5%"/>
    <m/>
    <n v="315"/>
    <n v="0"/>
    <s v="FR001020848812020"/>
    <s v="FR0010208488"/>
    <n v="1"/>
    <x v="14"/>
    <m/>
    <m/>
    <m/>
  </r>
  <r>
    <m/>
    <m/>
    <m/>
    <m/>
    <m/>
    <x v="1"/>
    <n v="-8.4999999999999964E-2"/>
    <n v="-0.13"/>
    <n v="-0.28000000000000003"/>
    <n v="-0.89837398373983746"/>
    <m/>
    <m/>
    <m/>
    <m/>
    <m/>
    <m/>
    <m/>
    <m/>
    <m/>
    <m/>
    <m/>
    <s v=""/>
    <m/>
    <m/>
    <m/>
    <s v="170 000 salarés soit 353 k euros par salarié"/>
    <m/>
    <n v="316"/>
    <n v="0"/>
    <s v="FR00102084881"/>
    <s v="FR0010208488"/>
    <n v="1"/>
    <x v="14"/>
    <m/>
    <m/>
    <m/>
  </r>
  <r>
    <m/>
    <m/>
    <m/>
    <m/>
    <n v="14.5"/>
    <x v="5"/>
    <n v="60058000000"/>
    <n v="10366000000"/>
    <n v="5726000000"/>
    <n v="984000000"/>
    <n v="25919000000"/>
    <n v="33087000000"/>
    <n v="13.586500081324568"/>
    <n v="2.9739776951672861E-2"/>
    <n v="6.2106226485442159E-2"/>
    <n v="2435285011"/>
    <n v="35311632659.5"/>
    <n v="1.0672358527367245"/>
    <n v="5.9068717595504534"/>
    <m/>
    <m/>
    <s v=""/>
    <m/>
    <m/>
    <m/>
    <s v="Vente de 29,9%/32% des parts de Suez pour 3,4 Md euros (fin 2020) de 20% de GTT en juin 2021 et mis en vente de la partie Service Techniques (ventilation, chauffage…) 12,5 Md euros de CA et 450 Meuros de Rex (74000 salariés- 17 pays) valorisation : 5-6 Md euros "/>
    <m/>
    <n v="317"/>
    <n v="0"/>
    <s v="FR001020848812019"/>
    <s v="FR0010208488"/>
    <n v="1"/>
    <x v="14"/>
    <m/>
    <m/>
    <m/>
  </r>
  <r>
    <m/>
    <m/>
    <m/>
    <m/>
    <m/>
    <x v="1"/>
    <n v="-8.8784738266551866E-3"/>
    <n v="0.12234733650931129"/>
    <n v="0.11705033164260636"/>
    <n v="-4.7434656340755055E-2"/>
    <m/>
    <m/>
    <m/>
    <m/>
    <m/>
    <m/>
    <m/>
    <m/>
    <m/>
    <m/>
    <m/>
    <s v=""/>
    <m/>
    <m/>
    <m/>
    <s v="CA : 39% en France, 28% reste de l'Europe, 8% en Amérique Latine, 7% en Amérique du Nord et 5% en Asie, Afrique et Moyent Orient et 14% autre"/>
    <m/>
    <n v="318"/>
    <n v="0"/>
    <s v="FR00102084881"/>
    <s v="FR0010208488"/>
    <n v="1"/>
    <x v="14"/>
    <m/>
    <m/>
    <m/>
  </r>
  <r>
    <m/>
    <m/>
    <m/>
    <m/>
    <n v="12.5"/>
    <x v="6"/>
    <n v="60596000000"/>
    <n v="9236000000"/>
    <n v="5126000000"/>
    <n v="1033000000"/>
    <n v="21102000000"/>
    <n v="35551000000"/>
    <n v="14.598291304475163"/>
    <n v="2.9056847908638293E-2"/>
    <n v="5.7907613012550083E-2"/>
    <n v="2435285011"/>
    <n v="30441062637.5"/>
    <n v="0.85626459558099632"/>
    <n v="5.580669406398874"/>
    <m/>
    <m/>
    <s v=""/>
    <m/>
    <m/>
    <m/>
    <s v="Minorité 41% du résultat net pour 12% capitaux propre"/>
    <m/>
    <n v="319"/>
    <n v="0"/>
    <s v="FR001020848812018"/>
    <s v="FR0010208488"/>
    <n v="1"/>
    <x v="14"/>
    <m/>
    <m/>
    <m/>
  </r>
  <r>
    <m/>
    <m/>
    <m/>
    <m/>
    <m/>
    <x v="1"/>
    <n v="-6.8169585877070227E-2"/>
    <n v="-8.587376556462023E-3"/>
    <n v="-2.7877868386117943E-2"/>
    <n v="-0.27406886858749124"/>
    <m/>
    <m/>
    <m/>
    <m/>
    <m/>
    <m/>
    <m/>
    <m/>
    <m/>
    <m/>
    <m/>
    <s v=""/>
    <m/>
    <m/>
    <m/>
    <s v="CAC : Deloitte et ERNEST &amp; YOUNG"/>
    <m/>
    <n v="320"/>
    <n v="0"/>
    <s v="FR00102084881"/>
    <s v="FR0010208488"/>
    <n v="1"/>
    <x v="14"/>
    <m/>
    <m/>
    <m/>
  </r>
  <r>
    <m/>
    <m/>
    <m/>
    <m/>
    <n v="14.2"/>
    <x v="7"/>
    <n v="65029000000"/>
    <n v="9316000000"/>
    <n v="5273000000"/>
    <n v="1423000000"/>
    <n v="22548000000"/>
    <n v="36639000000"/>
    <n v="15.045056260152048"/>
    <n v="3.8838396244438987E-2"/>
    <n v="5.7017926233801343E-2"/>
    <n v="2435285011"/>
    <n v="34581047156.199997"/>
    <n v="0.94383163176396723"/>
    <n v="6.1323580030270497"/>
    <m/>
    <m/>
    <s v=""/>
    <m/>
    <m/>
    <m/>
    <s v="Pay out ratio : 183%"/>
    <m/>
    <n v="321"/>
    <n v="0"/>
    <s v="FR001020848812017"/>
    <s v="FR0010208488"/>
    <n v="1"/>
    <x v="14"/>
    <m/>
    <m/>
    <m/>
  </r>
  <r>
    <m/>
    <m/>
    <m/>
    <m/>
    <m/>
    <x v="1"/>
    <n v="-2.41600264109606E-2"/>
    <n v="-0.12844980821405183"/>
    <n v="-0.14565780946208684"/>
    <n v="-4.4289156626506028"/>
    <m/>
    <m/>
    <m/>
    <m/>
    <m/>
    <m/>
    <m/>
    <m/>
    <m/>
    <m/>
    <m/>
    <s v=""/>
    <m/>
    <m/>
    <m/>
    <m/>
    <m/>
    <n v="322"/>
    <n v="0"/>
    <s v="FR00102084881"/>
    <s v="FR0010208488"/>
    <n v="1"/>
    <x v="14"/>
    <m/>
    <m/>
    <m/>
  </r>
  <r>
    <m/>
    <m/>
    <m/>
    <m/>
    <n v="12.2"/>
    <x v="8"/>
    <n v="66639000000"/>
    <n v="10689000000"/>
    <n v="6172000000"/>
    <n v="-415000000"/>
    <n v="24807000000"/>
    <n v="39578000000"/>
    <n v="16.25189652185643"/>
    <n v="-1.0485623326090251E-2"/>
    <n v="6.1350935776966688E-2"/>
    <n v="2435285011"/>
    <n v="29710477134.199997"/>
    <n v="0.75068161944009293"/>
    <n v="5.100334655645991"/>
    <m/>
    <m/>
    <s v=""/>
    <m/>
    <m/>
    <m/>
    <m/>
    <m/>
    <n v="323"/>
    <n v="0"/>
    <s v="FR001020848812016"/>
    <s v="FR0010208488"/>
    <n v="1"/>
    <x v="14"/>
    <m/>
    <m/>
    <m/>
  </r>
  <r>
    <m/>
    <m/>
    <m/>
    <m/>
    <m/>
    <x v="1"/>
    <n v="-4.6420445601934701E-2"/>
    <n v="-5.0879062333510916E-2"/>
    <n v="-2.4343977236800485E-2"/>
    <n v="-0.91011479315572885"/>
    <m/>
    <m/>
    <m/>
    <m/>
    <m/>
    <m/>
    <m/>
    <m/>
    <m/>
    <m/>
    <m/>
    <s v=""/>
    <m/>
    <m/>
    <m/>
    <m/>
    <m/>
    <n v="324"/>
    <n v="0"/>
    <s v="FR00102084881"/>
    <s v="FR0010208488"/>
    <n v="1"/>
    <x v="14"/>
    <m/>
    <m/>
    <m/>
  </r>
  <r>
    <m/>
    <m/>
    <m/>
    <m/>
    <n v="16.3"/>
    <x v="9"/>
    <n v="69883000000"/>
    <n v="11262000000"/>
    <n v="6326000000"/>
    <n v="-4617000000"/>
    <n v="27727000000"/>
    <n v="43078000000"/>
    <n v="17.689099963831708"/>
    <n v="-0.10717767770091462"/>
    <n v="5.7180142645293412E-2"/>
    <n v="2435285011"/>
    <n v="39695145679.300003"/>
    <n v="0.92147141648405229"/>
    <n v="5.9866938092079565"/>
    <m/>
    <m/>
    <s v=""/>
    <m/>
    <m/>
    <m/>
    <m/>
    <m/>
    <n v="325"/>
    <n v="0"/>
    <s v="FR001020848812015"/>
    <s v="FR0010208488"/>
    <n v="1"/>
    <x v="14"/>
    <m/>
    <m/>
    <m/>
  </r>
  <r>
    <m/>
    <m/>
    <m/>
    <m/>
    <m/>
    <x v="1"/>
    <m/>
    <m/>
    <m/>
    <m/>
    <m/>
    <m/>
    <m/>
    <m/>
    <m/>
    <m/>
    <m/>
    <m/>
    <m/>
    <m/>
    <m/>
    <s v=""/>
    <m/>
    <m/>
    <m/>
    <m/>
    <m/>
    <n v="326"/>
    <n v="0"/>
    <s v="FR00102084881"/>
    <s v="FR0010208488"/>
    <n v="1"/>
    <x v="14"/>
    <m/>
    <m/>
    <m/>
  </r>
  <r>
    <m/>
    <m/>
    <m/>
    <m/>
    <m/>
    <x v="1"/>
    <m/>
    <m/>
    <m/>
    <m/>
    <m/>
    <m/>
    <m/>
    <m/>
    <m/>
    <m/>
    <m/>
    <m/>
    <m/>
    <m/>
    <m/>
    <s v=""/>
    <m/>
    <m/>
    <m/>
    <m/>
    <m/>
    <n v="327"/>
    <n v="0"/>
    <s v="FR00102084881"/>
    <s v="FR0010208488"/>
    <n v="1"/>
    <x v="14"/>
    <m/>
    <m/>
    <m/>
  </r>
  <r>
    <m/>
    <m/>
    <m/>
    <m/>
    <m/>
    <x v="1"/>
    <m/>
    <m/>
    <m/>
    <m/>
    <m/>
    <m/>
    <m/>
    <m/>
    <m/>
    <m/>
    <m/>
    <m/>
    <m/>
    <m/>
    <m/>
    <s v=""/>
    <m/>
    <m/>
    <m/>
    <m/>
    <m/>
    <n v="328"/>
    <n v="0"/>
    <s v="FR00102084881"/>
    <s v="FR0010208488"/>
    <n v="1"/>
    <x v="14"/>
    <m/>
    <m/>
    <m/>
  </r>
  <r>
    <s v="Diamond Offshore Drilling"/>
    <s v="Parapétrolier"/>
    <s v="États-Unis"/>
    <s v="Dollar"/>
    <n v="12.8"/>
    <x v="0"/>
    <n v="1000000000"/>
    <n v="150000000"/>
    <n v="20000000"/>
    <n v="0"/>
    <n v="400000000"/>
    <n v="680000000"/>
    <n v="6.7949038221334002"/>
    <n v="0"/>
    <n v="1.2344444444444444E-2"/>
    <n v="100075000"/>
    <n v="1280960000"/>
    <n v="1.883764705882353"/>
    <n v="11.2064"/>
    <s v="CCC"/>
    <m/>
    <s v=""/>
    <m/>
    <m/>
    <m/>
    <s v="Extraction pétrolière en eau profonde. Fondée dans les années 50 par un membre de la famille Bush, entre autres, détenues par Loews, famille Tisch à 51% depuis les années 90"/>
    <m/>
    <n v="329"/>
    <n v="0"/>
    <s v="US25271C102712023"/>
    <s v="US25271C1027"/>
    <n v="1"/>
    <x v="15"/>
    <m/>
    <m/>
    <m/>
  </r>
  <r>
    <m/>
    <m/>
    <m/>
    <m/>
    <m/>
    <x v="1"/>
    <n v="0.25"/>
    <m/>
    <m/>
    <m/>
    <m/>
    <m/>
    <m/>
    <m/>
    <m/>
    <m/>
    <m/>
    <m/>
    <m/>
    <m/>
    <m/>
    <s v=""/>
    <m/>
    <m/>
    <m/>
    <s v="Forte VA sur l'ultra deepwater. A beaucoup souffert de la baisse du baril"/>
    <m/>
    <n v="330"/>
    <n v="0"/>
    <s v="US25271C10271"/>
    <s v="US25271C1027"/>
    <n v="1"/>
    <x v="15"/>
    <m/>
    <m/>
    <m/>
  </r>
  <r>
    <m/>
    <m/>
    <m/>
    <m/>
    <n v="10.4"/>
    <x v="2"/>
    <n v="800000000"/>
    <n v="120000000"/>
    <n v="0"/>
    <n v="-55000000"/>
    <n v="200000000"/>
    <n v="700000000"/>
    <n v="6.9947539345490881"/>
    <n v="-7.857142857142857E-2"/>
    <n v="0"/>
    <n v="100075000"/>
    <n v="1040780000"/>
    <n v="1.4868285714285714"/>
    <n v="10.339833333333333"/>
    <m/>
    <m/>
    <s v=""/>
    <m/>
    <m/>
    <m/>
    <s v="Chiffre d'affaires du 4 T16 enfin en hausse, devrait profiter de la hausse du baril et des investissements. Actif Net à 27 $ au 31 décembre 2016"/>
    <m/>
    <n v="331"/>
    <n v="0"/>
    <s v="US25271C102712022"/>
    <s v="US25271C1027"/>
    <n v="1"/>
    <x v="15"/>
    <m/>
    <m/>
    <m/>
  </r>
  <r>
    <m/>
    <m/>
    <m/>
    <m/>
    <m/>
    <x v="1"/>
    <n v="0.10277140238060767"/>
    <m/>
    <m/>
    <m/>
    <m/>
    <m/>
    <m/>
    <m/>
    <m/>
    <m/>
    <m/>
    <m/>
    <m/>
    <m/>
    <m/>
    <s v=""/>
    <m/>
    <m/>
    <m/>
    <s v="Forte VA sur l'ultra deepwater. A beaucoup souffert de la baisse du baril"/>
    <m/>
    <n v="332"/>
    <n v="0"/>
    <s v="US25271C10271"/>
    <s v="US25271C1027"/>
    <n v="1"/>
    <x v="15"/>
    <m/>
    <m/>
    <m/>
  </r>
  <r>
    <m/>
    <m/>
    <m/>
    <s v="Coup d'accordéon"/>
    <n v="0.13"/>
    <x v="3"/>
    <n v="725445000"/>
    <n v="0"/>
    <n v="-478239000"/>
    <n v="-2139333000"/>
    <n v="730000000"/>
    <n v="767705000"/>
    <n v="7.671296527604297"/>
    <n v="-2.7866602405872047"/>
    <n v="-0.21285507987220445"/>
    <n v="100075000"/>
    <n v="13009750"/>
    <n v="1.6946287962172971E-2"/>
    <m/>
    <m/>
    <m/>
    <s v=""/>
    <m/>
    <m/>
    <m/>
    <s v="Chiffre d'affaires du 4 T16 enfin en hausse, devrait profiter de la hausse du baril et des investissements. Actif Net à 27 $ au 31 décembre 2016"/>
    <m/>
    <n v="333"/>
    <n v="0"/>
    <s v="US25271C102712021"/>
    <s v="US25271C1027"/>
    <n v="1"/>
    <x v="15"/>
    <m/>
    <m/>
    <m/>
  </r>
  <r>
    <m/>
    <m/>
    <m/>
    <m/>
    <m/>
    <x v="1"/>
    <n v="-1.1233673214872231E-2"/>
    <m/>
    <n v="-0.58527274635105342"/>
    <m/>
    <m/>
    <m/>
    <m/>
    <m/>
    <m/>
    <m/>
    <m/>
    <m/>
    <m/>
    <m/>
    <m/>
    <s v=""/>
    <m/>
    <m/>
    <m/>
    <s v="CA du 1T 17 en baisse de 5% par rapport au 4T 16. Depuis 4 trimestres cela tourne autour de 375 MS. Carnet de commandes encore en baisse à 3,2 Md de $ (contre 3,6 Md $) mais stable sur l'ultradeepwater le plus important et plus rentable"/>
    <m/>
    <n v="334"/>
    <n v="0"/>
    <s v="US25271C10271"/>
    <s v="US25271C1027"/>
    <n v="1"/>
    <x v="15"/>
    <m/>
    <m/>
    <m/>
  </r>
  <r>
    <m/>
    <m/>
    <m/>
    <m/>
    <n v="0.17199999999999999"/>
    <x v="4"/>
    <n v="733687000"/>
    <n v="-8960000"/>
    <n v="-1153141000"/>
    <n v="-1254904000"/>
    <n v="2618805000"/>
    <n v="1982566000"/>
    <n v="14.366836719904924"/>
    <n v="-0.63296959596805358"/>
    <n v="-0.16705538210242121"/>
    <n v="137996000"/>
    <n v="23735311.999999996"/>
    <n v="1.1972016064030149E-2"/>
    <s v="NS"/>
    <m/>
    <m/>
    <s v=""/>
    <m/>
    <m/>
    <m/>
    <s v="S&amp;P a dégradé en janvier 2017 à BB- mais dette de 2 Md $ étalé (500 M$ en 2019 puis 2023 puis 2039 puis 2043). Attendre "/>
    <m/>
    <n v="335"/>
    <n v="0"/>
    <s v="US25271C102712020"/>
    <s v="US25271C1027"/>
    <n v="1"/>
    <x v="15"/>
    <m/>
    <m/>
    <m/>
  </r>
  <r>
    <m/>
    <m/>
    <m/>
    <m/>
    <m/>
    <x v="1"/>
    <n v="-0.2518314495372429"/>
    <n v="-1.1227397260273972"/>
    <n v="3.0843728969645454"/>
    <n v="2.5130314041442943"/>
    <m/>
    <m/>
    <m/>
    <m/>
    <m/>
    <m/>
    <m/>
    <m/>
    <m/>
    <m/>
    <m/>
    <s v=""/>
    <m/>
    <m/>
    <m/>
    <s v="CA du 2T 17 proche des 400 MS semble un peu mieux dans le Deep Water et deux nouveaux contrats. Backlog en baisse à 2,9 Md $ (contre 3,2 Md $). Légère dépréciation d'actifs de 70 M$. Actif net à 27$"/>
    <m/>
    <n v="336"/>
    <n v="0"/>
    <s v="US25271C10271"/>
    <s v="US25271C1027"/>
    <n v="1"/>
    <x v="15"/>
    <m/>
    <m/>
    <m/>
  </r>
  <r>
    <m/>
    <m/>
    <m/>
    <m/>
    <n v="5.6"/>
    <x v="5"/>
    <n v="980644000"/>
    <n v="73000000"/>
    <n v="-282330000"/>
    <n v="-357214000"/>
    <n v="1975741000"/>
    <n v="3232210000"/>
    <n v="23.473180438350592"/>
    <n v="-0.11051695279700267"/>
    <n v="-3.613727894137253E-2"/>
    <n v="137698000"/>
    <n v="771108800"/>
    <n v="0.23857014241030131"/>
    <n v="37.628079452054791"/>
    <m/>
    <m/>
    <s v=""/>
    <m/>
    <m/>
    <m/>
    <s v="CA 3T17 à 366 M$ toujours rentable mais faible mieux dans le Deep et nouveau contrat. Backlog en baisse à 2,6 Md$"/>
    <m/>
    <n v="337"/>
    <n v="0"/>
    <s v="US25271C102712019"/>
    <s v="US25271C1027"/>
    <n v="1"/>
    <x v="15"/>
    <m/>
    <m/>
    <m/>
  </r>
  <r>
    <m/>
    <m/>
    <m/>
    <m/>
    <m/>
    <x v="1"/>
    <n v="-7.484058556208506E-2"/>
    <n v="-0.70445344129554655"/>
    <n v="1.5166914773183104"/>
    <n v="0.98152791337534384"/>
    <m/>
    <m/>
    <m/>
    <m/>
    <m/>
    <m/>
    <m/>
    <m/>
    <m/>
    <m/>
    <m/>
    <s v=""/>
    <m/>
    <m/>
    <m/>
    <s v="Refinancement des 500 M USD à 8,75% échéance 2025. Donne du temps "/>
    <m/>
    <n v="338"/>
    <n v="0"/>
    <s v="US25271C10271"/>
    <s v="US25271C1027"/>
    <n v="1"/>
    <x v="15"/>
    <m/>
    <m/>
    <m/>
  </r>
  <r>
    <m/>
    <m/>
    <m/>
    <m/>
    <n v="12"/>
    <x v="6"/>
    <n v="1059973000"/>
    <n v="247000000"/>
    <n v="-112183000"/>
    <n v="-180272000"/>
    <n v="1974000000"/>
    <n v="3584653000"/>
    <n v="26.082343781833"/>
    <n v="-5.0289944382343285E-2"/>
    <n v="-1.3453113155291399E-2"/>
    <n v="137436000"/>
    <n v="1649232000"/>
    <n v="0.46008135236520803"/>
    <n v="14.668955465587045"/>
    <m/>
    <m/>
    <s v=""/>
    <m/>
    <m/>
    <m/>
    <s v="CA  4T 17 en baisse à 346 MUSD, l'ultra deep water progresse de 25% (Ebit margin à 50%)"/>
    <m/>
    <n v="339"/>
    <n v="0"/>
    <s v="US25271C102712018"/>
    <s v="US25271C1027"/>
    <n v="1"/>
    <x v="15"/>
    <m/>
    <m/>
    <m/>
  </r>
  <r>
    <m/>
    <m/>
    <m/>
    <m/>
    <m/>
    <x v="1"/>
    <n v="-0.28657186356214315"/>
    <n v="-0.56809649458721734"/>
    <n v="-1.9055852888705913"/>
    <n v="-10.82622915076856"/>
    <m/>
    <m/>
    <m/>
    <m/>
    <m/>
    <m/>
    <m/>
    <m/>
    <m/>
    <m/>
    <m/>
    <s v=""/>
    <m/>
    <m/>
    <m/>
    <s v="Dettes en baisse, nbre d'actions stable et backlog à 2,4 Md USD encore en baisse mais des prolongements de contrats.  Point bas passé ?"/>
    <m/>
    <n v="340"/>
    <n v="0"/>
    <s v="US25271C10271"/>
    <s v="US25271C1027"/>
    <n v="1"/>
    <x v="15"/>
    <m/>
    <m/>
    <m/>
  </r>
  <r>
    <m/>
    <m/>
    <m/>
    <m/>
    <n v="19"/>
    <x v="7"/>
    <n v="1485746000"/>
    <n v="571887000"/>
    <n v="123879000"/>
    <n v="18346000"/>
    <n v="1972000000"/>
    <n v="3774261000"/>
    <n v="27.496164353622554"/>
    <n v="4.8608191113439165E-3"/>
    <n v="1.4370691028479213E-2"/>
    <n v="137265000"/>
    <n v="2608035000"/>
    <n v="0.69100547100478737"/>
    <n v="8.0086363215110676"/>
    <m/>
    <m/>
    <s v=""/>
    <m/>
    <m/>
    <m/>
    <s v="Forte baisse des investissements en contruction de plates-formes / bâteaux : 140 M usd en 2017 contre 652 M usd en 2016"/>
    <m/>
    <n v="341"/>
    <n v="0"/>
    <s v="US25271C102712017"/>
    <s v="US25271C1027"/>
    <n v="1"/>
    <x v="15"/>
    <m/>
    <m/>
    <m/>
  </r>
  <r>
    <m/>
    <m/>
    <m/>
    <m/>
    <m/>
    <x v="1"/>
    <n v="-7.1607193962290538E-2"/>
    <n v="-0.18652927864174751"/>
    <n v="-1.34711278734827"/>
    <n v="-1.0441516935324724"/>
    <m/>
    <m/>
    <m/>
    <m/>
    <m/>
    <m/>
    <m/>
    <m/>
    <m/>
    <m/>
    <m/>
    <s v=""/>
    <m/>
    <m/>
    <m/>
    <s v="Le chiffre d'affaires du 1T18 tombe à 300 M usd et EBE 80 M usd - 2T18 / CA à 270 MS et pertes. Quelques commandes, carnet à 2,2 Md$. 3T18 : CA de 286 mE / RN : -50 M$. Carnet de commandes à 2 md. Dettes refinancés et allongés"/>
    <m/>
    <n v="342"/>
    <n v="0"/>
    <s v="US25271C10271"/>
    <s v="US25271C1027"/>
    <n v="1"/>
    <x v="15"/>
    <m/>
    <m/>
    <m/>
  </r>
  <r>
    <m/>
    <m/>
    <m/>
    <m/>
    <n v="17.7"/>
    <x v="8"/>
    <n v="1600342000"/>
    <n v="703021000"/>
    <n v="-356884000"/>
    <n v="-415522000"/>
    <n v="1928851000"/>
    <n v="3750134000"/>
    <n v="27.339714802286249"/>
    <n v="-0.11080190734517753"/>
    <n v="-4.1891090467750837E-2"/>
    <n v="137168000"/>
    <n v="2427873600"/>
    <n v="0.64740982588888829"/>
    <n v="6.1971471691457296"/>
    <m/>
    <m/>
    <s v=""/>
    <m/>
    <m/>
    <m/>
    <s v="CA 2018 très faible, carnet de commandes à 2 Md$"/>
    <m/>
    <n v="343"/>
    <n v="0"/>
    <s v="US25271C102712016"/>
    <s v="US25271C1027"/>
    <n v="1"/>
    <x v="15"/>
    <m/>
    <m/>
    <m/>
  </r>
  <r>
    <m/>
    <m/>
    <m/>
    <m/>
    <m/>
    <x v="1"/>
    <n v="-0.32194184860163444"/>
    <n v="-0.39106811085174298"/>
    <n v="0.21358569611730371"/>
    <n v="0.51493342666725006"/>
    <m/>
    <m/>
    <m/>
    <m/>
    <m/>
    <m/>
    <m/>
    <m/>
    <m/>
    <m/>
    <m/>
    <s v=""/>
    <m/>
    <m/>
    <m/>
    <s v="CA1T19 stable, très faible avec des pertes mais carnet de commandes à 1,8Md$ fin mars et 450 M$ fin avril 2019"/>
    <m/>
    <n v="344"/>
    <n v="0"/>
    <s v="US25271C10271"/>
    <s v="US25271C1027"/>
    <n v="1"/>
    <x v="15"/>
    <m/>
    <m/>
    <m/>
  </r>
  <r>
    <m/>
    <m/>
    <m/>
    <m/>
    <n v="20.85"/>
    <x v="9"/>
    <n v="2360184000"/>
    <n v="1154515000"/>
    <n v="-294074000"/>
    <n v="-274284000"/>
    <n v="2147339000"/>
    <n v="4112770000"/>
    <n v="29.985855625305309"/>
    <n v="-6.6690819083002451E-2"/>
    <n v="-3.1314107853393607E-2"/>
    <n v="137157000"/>
    <n v="2859723450"/>
    <n v="0.69532783257998865"/>
    <n v="4.3369401436967037"/>
    <m/>
    <m/>
    <s v=""/>
    <m/>
    <m/>
    <m/>
    <s v="Dettes : 2023 - 2025 - 2039 et 2043. Flux de tréso négatif en 2019. Risque refinancement 2023 avec un marché fermé et hausse de capital de 500 MS à 1 dollar soit 500 Millions de titres. Risque : 2,5 Md $ de FP pour 637 M titres soit max 4$ par titre"/>
    <m/>
    <n v="345"/>
    <n v="0"/>
    <s v="US25271C102712015"/>
    <s v="US25271C1027"/>
    <n v="1"/>
    <x v="15"/>
    <m/>
    <m/>
    <m/>
  </r>
  <r>
    <m/>
    <m/>
    <m/>
    <m/>
    <m/>
    <x v="1"/>
    <n v="-0.16147073672198275"/>
    <n v="0.1219285842698814"/>
    <n v="-1.513610753071283"/>
    <n v="-1.7087240414355147"/>
    <m/>
    <m/>
    <m/>
    <m/>
    <m/>
    <m/>
    <m/>
    <m/>
    <m/>
    <m/>
    <m/>
    <s v=""/>
    <m/>
    <m/>
    <m/>
    <s v="L'EBE 2019 ne couvrira pas les frais financiers de 120 M$ par an. Chapitre 11"/>
    <m/>
    <n v="346"/>
    <n v="0"/>
    <s v="US25271C10271"/>
    <s v="US25271C1027"/>
    <n v="1"/>
    <x v="15"/>
    <m/>
    <m/>
    <m/>
  </r>
  <r>
    <m/>
    <m/>
    <m/>
    <m/>
    <n v="38"/>
    <x v="10"/>
    <n v="2814671000"/>
    <n v="1029045000"/>
    <n v="572562000"/>
    <n v="387011000"/>
    <n v="1978635000"/>
    <n v="4451563000"/>
    <n v="32.36958908691637"/>
    <n v="8.6938228213326418E-2"/>
    <n v="5.9355843972456211E-2"/>
    <n v="137523000"/>
    <n v="5225874000"/>
    <n v="1.173941377444282"/>
    <n v="7.0011602991122839"/>
    <m/>
    <m/>
    <s v=""/>
    <m/>
    <m/>
    <m/>
    <s v="En 2022, reprise de la cotation et carnet de commandes à 1,2 Md dollars, redressement en cours"/>
    <m/>
    <n v="347"/>
    <n v="0"/>
    <s v="US25271C102712014"/>
    <s v="US25271C1027"/>
    <n v="1"/>
    <x v="15"/>
    <m/>
    <m/>
    <m/>
  </r>
  <r>
    <m/>
    <m/>
    <m/>
    <m/>
    <m/>
    <x v="1"/>
    <n v="-3.621053265950358E-2"/>
    <n v="-0.13503679084944242"/>
    <n v="-0.28573139422609117"/>
    <n v="-0.29465851142547828"/>
    <m/>
    <m/>
    <m/>
    <m/>
    <m/>
    <m/>
    <m/>
    <m/>
    <m/>
    <m/>
    <m/>
    <s v=""/>
    <m/>
    <m/>
    <m/>
    <s v="Fin 2022, carnet de commandes à 1,2 Md dollars"/>
    <m/>
    <n v="348"/>
    <n v="0"/>
    <s v="US25271C10271"/>
    <s v="US25271C1027"/>
    <n v="1"/>
    <x v="15"/>
    <m/>
    <m/>
    <m/>
  </r>
  <r>
    <m/>
    <m/>
    <m/>
    <m/>
    <n v="55.91"/>
    <x v="11"/>
    <n v="2920421000"/>
    <n v="1189698000"/>
    <n v="801606000"/>
    <n v="548686000"/>
    <n v="2227192000"/>
    <n v="4637258000"/>
    <n v="33.353170065091525"/>
    <n v="0.11832121482134486"/>
    <n v="7.7843171645215564E-2"/>
    <n v="139035000"/>
    <n v="7773446850"/>
    <n v="1.6763024291510198"/>
    <n v="8.4060314886635101"/>
    <m/>
    <m/>
    <s v=""/>
    <m/>
    <m/>
    <m/>
    <s v="En 2023, carnet de commandes à 1,8 Md dollars"/>
    <m/>
    <n v="349"/>
    <n v="0"/>
    <s v="US25271C102712013"/>
    <s v="US25271C1027"/>
    <n v="1"/>
    <x v="15"/>
    <m/>
    <m/>
    <m/>
  </r>
  <r>
    <m/>
    <m/>
    <m/>
    <m/>
    <m/>
    <x v="1"/>
    <n v="-2.2128519327589302E-2"/>
    <n v="-0.12218261613188608"/>
    <n v="-0.1670570191754176"/>
    <n v="-0.23844064418433897"/>
    <m/>
    <m/>
    <m/>
    <m/>
    <m/>
    <m/>
    <m/>
    <m/>
    <m/>
    <m/>
    <m/>
    <s v=""/>
    <m/>
    <m/>
    <m/>
    <m/>
    <m/>
    <n v="350"/>
    <n v="0"/>
    <s v="US25271C10271"/>
    <s v="US25271C1027"/>
    <n v="1"/>
    <x v="15"/>
    <m/>
    <m/>
    <m/>
  </r>
  <r>
    <m/>
    <m/>
    <m/>
    <m/>
    <n v="71.510000000000005"/>
    <x v="12"/>
    <n v="2986508000"/>
    <n v="1355291000"/>
    <n v="962378000"/>
    <n v="720477000"/>
    <n v="1484540000"/>
    <n v="4576394000"/>
    <n v="32.912332431965943"/>
    <n v="0.15743334162224668"/>
    <n v="0.10584526655462673"/>
    <n v="139048000"/>
    <n v="9943322480"/>
    <n v="2.1727417875296577"/>
    <n v="8.4320359834161085"/>
    <m/>
    <m/>
    <s v=""/>
    <m/>
    <m/>
    <m/>
    <m/>
    <m/>
    <n v="351"/>
    <n v="0"/>
    <s v="US25271C102712012"/>
    <s v="US25271C1027"/>
    <n v="1"/>
    <x v="15"/>
    <m/>
    <m/>
    <m/>
  </r>
  <r>
    <m/>
    <m/>
    <m/>
    <m/>
    <m/>
    <x v="1"/>
    <m/>
    <m/>
    <m/>
    <m/>
    <m/>
    <m/>
    <m/>
    <m/>
    <m/>
    <m/>
    <m/>
    <m/>
    <m/>
    <m/>
    <m/>
    <s v=""/>
    <m/>
    <m/>
    <m/>
    <m/>
    <m/>
    <n v="352"/>
    <n v="0"/>
    <s v="US25271C10271"/>
    <s v="US25271C1027"/>
    <n v="1"/>
    <x v="15"/>
    <m/>
    <m/>
    <m/>
  </r>
  <r>
    <m/>
    <m/>
    <m/>
    <m/>
    <m/>
    <x v="1"/>
    <m/>
    <m/>
    <m/>
    <m/>
    <m/>
    <m/>
    <m/>
    <m/>
    <m/>
    <m/>
    <m/>
    <m/>
    <m/>
    <m/>
    <m/>
    <s v=""/>
    <m/>
    <m/>
    <m/>
    <m/>
    <m/>
    <n v="353"/>
    <n v="0"/>
    <s v="US25271C10271"/>
    <s v="US25271C1027"/>
    <n v="1"/>
    <x v="15"/>
    <m/>
    <m/>
    <m/>
  </r>
  <r>
    <m/>
    <m/>
    <m/>
    <m/>
    <m/>
    <x v="1"/>
    <m/>
    <m/>
    <m/>
    <m/>
    <m/>
    <m/>
    <m/>
    <m/>
    <m/>
    <m/>
    <m/>
    <m/>
    <m/>
    <m/>
    <m/>
    <s v=""/>
    <m/>
    <m/>
    <m/>
    <m/>
    <m/>
    <n v="354"/>
    <n v="0"/>
    <s v="US25271C10271"/>
    <s v="US25271C1027"/>
    <n v="1"/>
    <x v="15"/>
    <m/>
    <m/>
    <m/>
  </r>
  <r>
    <s v="CGG"/>
    <s v="Service pétrolier "/>
    <s v="France"/>
    <s v="Compte en dollar"/>
    <n v="0.63600000000000001"/>
    <x v="3"/>
    <n v="1062000000"/>
    <n v="465000000"/>
    <n v="-23000000"/>
    <n v="-180000000"/>
    <n v="989000000"/>
    <n v="962000000"/>
    <n v="1.3517649149289865"/>
    <n v="-0.18711018711018712"/>
    <n v="-7.8584315735520244E-3"/>
    <n v="711662205"/>
    <n v="452617162.38"/>
    <n v="0.47049601079002079"/>
    <n v="3.1002519621075271"/>
    <s v="B / Stable"/>
    <m/>
    <s v=""/>
    <n v="19000000"/>
    <m/>
    <m/>
    <s v="Société réalisant des cartographies des sous-sols sur terre et mer disposant de l'une des plus grandes bibliothèques du Monde à destination des compagnies pétrolières. Fondé en 1937"/>
    <m/>
    <n v="355"/>
    <n v="0"/>
    <s v="FR001318186412021"/>
    <s v="FR0013181864"/>
    <n v="1"/>
    <x v="16"/>
    <m/>
    <m/>
    <m/>
  </r>
  <r>
    <m/>
    <m/>
    <m/>
    <m/>
    <m/>
    <x v="1"/>
    <n v="0.19864559819413086"/>
    <n v="0.28808864265927969"/>
    <n v="-0.86682107701215982"/>
    <n v="-0.59257582616568583"/>
    <m/>
    <m/>
    <m/>
    <m/>
    <m/>
    <m/>
    <m/>
    <m/>
    <m/>
    <m/>
    <m/>
    <s v=""/>
    <m/>
    <m/>
    <m/>
    <s v="Actionnaire fonds anglo-saxon entre autres suite à le restructuration du capital en février 2018 et BPI France. Changement de Pdg (Malcor) fin 2018. Philippe Salle au CA"/>
    <m/>
    <n v="356"/>
    <n v="0"/>
    <s v="FR00131818641"/>
    <s v="FR0013181864"/>
    <n v="1"/>
    <x v="16"/>
    <m/>
    <m/>
    <m/>
  </r>
  <r>
    <m/>
    <m/>
    <m/>
    <m/>
    <n v="0.81"/>
    <x v="4"/>
    <n v="886000000"/>
    <n v="361000000"/>
    <n v="-172700000"/>
    <n v="-441800000"/>
    <n v="849000000"/>
    <n v="1119700000"/>
    <n v="1.5754008500321017"/>
    <n v="-0.39456997410020539"/>
    <n v="-5.8476060344389701E-2"/>
    <n v="710739746"/>
    <n v="575699194.25999999"/>
    <n v="0.51415485778333481"/>
    <n v="3.9465351641551245"/>
    <m/>
    <m/>
    <s v=""/>
    <n v="-247000000"/>
    <m/>
    <m/>
    <s v="La société a beaucoup souffert de la baisse des investissements des compagnies pétrolières suite à la baisse du pétrole (à partir de juin 2014), d'un endettement trop élevé"/>
    <m/>
    <n v="357"/>
    <n v="0"/>
    <s v="FR001318186412020"/>
    <s v="FR0013181864"/>
    <n v="1"/>
    <x v="16"/>
    <m/>
    <m/>
    <m/>
  </r>
  <r>
    <m/>
    <m/>
    <m/>
    <m/>
    <m/>
    <x v="1"/>
    <n v="-0.36736879685826496"/>
    <n v="-0.49916759156492785"/>
    <n v="-1.7092402464065708"/>
    <n v="6.1837398373983739"/>
    <m/>
    <m/>
    <m/>
    <m/>
    <m/>
    <m/>
    <m/>
    <m/>
    <m/>
    <m/>
    <m/>
    <s v=""/>
    <m/>
    <m/>
    <m/>
    <s v="Write off fin 2017 début 2018, les anciens actionnaires ont perdu 99%"/>
    <m/>
    <n v="358"/>
    <n v="0"/>
    <s v="FR00131818641"/>
    <s v="FR0013181864"/>
    <n v="1"/>
    <x v="16"/>
    <m/>
    <m/>
    <m/>
  </r>
  <r>
    <m/>
    <m/>
    <m/>
    <m/>
    <n v="3.19"/>
    <x v="5"/>
    <n v="1400500000"/>
    <n v="720800000"/>
    <n v="243500000"/>
    <n v="-61500000"/>
    <n v="715500000"/>
    <n v="1561700000"/>
    <n v="2.1997126758599999"/>
    <n v="-3.9380162643273355E-2"/>
    <n v="7.1279246443000169E-2"/>
    <n v="709956358"/>
    <n v="2264760782.02"/>
    <n v="1.4501893974643016"/>
    <n v="4.1346570227802442"/>
    <m/>
    <m/>
    <s v=""/>
    <m/>
    <m/>
    <m/>
    <s v="Mi-février 2018 : restructuration du capital, activité et rentabilité en hausse"/>
    <m/>
    <n v="359"/>
    <n v="0"/>
    <s v="FR001318186412019"/>
    <s v="FR0013181864"/>
    <n v="1"/>
    <x v="16"/>
    <m/>
    <m/>
    <m/>
  </r>
  <r>
    <m/>
    <m/>
    <m/>
    <m/>
    <m/>
    <x v="1"/>
    <n v="0.14102981912986801"/>
    <n v="0.29640287769784179"/>
    <n v="0.7111735769501053"/>
    <n v="-0.92215189873417724"/>
    <m/>
    <m/>
    <m/>
    <m/>
    <m/>
    <m/>
    <m/>
    <m/>
    <m/>
    <m/>
    <m/>
    <s v=""/>
    <m/>
    <m/>
    <m/>
    <s v="Coût de la dette 2018 : 85 M dollars. Echéancier porté en 2023 (684 M dollars) et 2024 (454 M dollars)"/>
    <m/>
    <n v="360"/>
    <n v="0"/>
    <s v="FR00131818641"/>
    <s v="FR0013181864"/>
    <n v="1"/>
    <x v="16"/>
    <m/>
    <m/>
    <m/>
  </r>
  <r>
    <m/>
    <m/>
    <m/>
    <m/>
    <n v="1.3109999999999997"/>
    <x v="6"/>
    <n v="1227400000"/>
    <n v="556000000"/>
    <n v="142300000"/>
    <n v="-790000000"/>
    <n v="732600000"/>
    <n v="1631500000"/>
    <n v="2.2980564155820602"/>
    <n v="-0.48421697824088261"/>
    <n v="4.0124013366608854E-2"/>
    <n v="709947758"/>
    <n v="930741510.7379998"/>
    <n v="0.57048207829482056"/>
    <n v="2.9916214221906472"/>
    <m/>
    <m/>
    <s v=""/>
    <m/>
    <m/>
    <m/>
    <s v="Coût de la restructuration / transformation : 25 M dollars. Effectif divisé par 2 en 5 ans de 11060 personnes à 5325 personnes (200 K euros par salarié). Frais généraux divisé par 3"/>
    <m/>
    <n v="361"/>
    <n v="0"/>
    <s v="FR001318186412018"/>
    <s v="FR0013181864"/>
    <n v="1"/>
    <x v="16"/>
    <m/>
    <m/>
    <m/>
  </r>
  <r>
    <m/>
    <m/>
    <m/>
    <m/>
    <m/>
    <x v="1"/>
    <n v="-7.0151515151515187E-2"/>
    <n v="0.49301825993555326"/>
    <n v="-2.8432642487046635"/>
    <n v="0.53666601828438054"/>
    <m/>
    <m/>
    <m/>
    <m/>
    <m/>
    <m/>
    <m/>
    <m/>
    <m/>
    <m/>
    <m/>
    <s v=""/>
    <m/>
    <m/>
    <m/>
    <s v="Retrait de Schlumberger du secteur"/>
    <m/>
    <n v="362"/>
    <n v="0"/>
    <s v="FR00131818641"/>
    <s v="FR0013181864"/>
    <n v="1"/>
    <x v="16"/>
    <m/>
    <m/>
    <m/>
  </r>
  <r>
    <m/>
    <m/>
    <m/>
    <m/>
    <n v="6.15"/>
    <x v="7"/>
    <n v="1320000000"/>
    <n v="372400000"/>
    <n v="-77200000"/>
    <n v="-514100000"/>
    <n v="2639900000"/>
    <n v="489100000"/>
    <n v="10.623766257854033"/>
    <n v="-11.16679254377992"/>
    <n v="-1.9159606253455218E-2"/>
    <n v="46038287"/>
    <n v="283135465.05000001"/>
    <n v="0.57889074841545696"/>
    <n v="7.84918223697637"/>
    <m/>
    <m/>
    <s v=""/>
    <m/>
    <m/>
    <m/>
    <s v="2018 : Suite à l'abandon de l'activité bibliothèque, perte de 790 M$, fonds propres fin 2018 ramené de 2,5 M à 1,7 Md$ soit un actif net de 2,3 $ / 2,1 euros"/>
    <m/>
    <n v="363"/>
    <n v="0"/>
    <s v="FR001318186412017"/>
    <s v="FR0013181864"/>
    <n v="1"/>
    <x v="16"/>
    <m/>
    <m/>
    <m/>
  </r>
  <r>
    <m/>
    <m/>
    <m/>
    <m/>
    <m/>
    <x v="1"/>
    <n v="0.10367892976588622"/>
    <n v="0.13571210734980177"/>
    <n v="-0.63704748472026329"/>
    <n v="-0.10839403399236902"/>
    <m/>
    <m/>
    <m/>
    <m/>
    <m/>
    <m/>
    <m/>
    <m/>
    <m/>
    <m/>
    <m/>
    <s v=""/>
    <m/>
    <m/>
    <m/>
    <s v="Dirigée par Sophie Zurquiyah depuis mai 2018. Meilleur gouvernance"/>
    <m/>
    <n v="364"/>
    <n v="0"/>
    <s v="FR00131818641"/>
    <s v="FR0013181864"/>
    <n v="1"/>
    <x v="16"/>
    <m/>
    <m/>
    <m/>
  </r>
  <r>
    <m/>
    <m/>
    <m/>
    <m/>
    <n v="11.382113821138212"/>
    <x v="8"/>
    <n v="1196000000"/>
    <n v="327900000"/>
    <n v="-212700000"/>
    <n v="-576600000"/>
    <n v="2311600000"/>
    <n v="1120700000"/>
    <n v="25.908692422947762"/>
    <n v="-0.5144998661550817"/>
    <n v="-4.1309273664889436E-2"/>
    <n v="43255753"/>
    <n v="492341904.06504071"/>
    <n v="0.43931641301422386"/>
    <n v="8.5512104424063455"/>
    <m/>
    <m/>
    <s v=""/>
    <m/>
    <m/>
    <m/>
    <s v="Prévision 2021 : CA : 1,7 Md$ - EBE : 750 M$ - Rex : 250 M$ - Dettes : 750 M$ (= EBE). Valo : 2,2 - 2,8 euros. Les anciens objectifs 2019-2020 ont été abandonnés (trop otimiste, lié à l'ancienne équipe de direction et suite abandon de l'activité bibliothèque)"/>
    <m/>
    <n v="365"/>
    <n v="0"/>
    <s v="FR001318186412016"/>
    <s v="FR0013181864"/>
    <n v="1"/>
    <x v="16"/>
    <m/>
    <m/>
    <m/>
  </r>
  <r>
    <m/>
    <m/>
    <m/>
    <m/>
    <m/>
    <x v="1"/>
    <n v="-0.43074726320799617"/>
    <n v="-0.50393343419062031"/>
    <n v="-4.4868852459016395"/>
    <n v="-0.60124481327800827"/>
    <m/>
    <m/>
    <m/>
    <m/>
    <m/>
    <m/>
    <m/>
    <m/>
    <m/>
    <m/>
    <m/>
    <s v=""/>
    <m/>
    <m/>
    <m/>
    <s v="Chiffres 2019 proche des objectifs 2021, redressement achevé. Reste des perspectives difficiles sur le marché pétrolier"/>
    <m/>
    <n v="366"/>
    <n v="0"/>
    <s v="FR00131818641"/>
    <s v="FR0013181864"/>
    <n v="1"/>
    <x v="16"/>
    <m/>
    <m/>
    <m/>
  </r>
  <r>
    <m/>
    <m/>
    <m/>
    <m/>
    <n v="17.008130081300816"/>
    <x v="9"/>
    <n v="2101000000"/>
    <n v="661000000"/>
    <n v="61000000"/>
    <n v="-1446000000"/>
    <n v="2500000000"/>
    <n v="1312200000"/>
    <n v="7.4108297920011292"/>
    <n v="-1.1019661636945588"/>
    <n v="1.0666439326373223E-2"/>
    <n v="177065192"/>
    <n v="3011547818.4065046"/>
    <n v="2.295037203480037"/>
    <n v="8.338196396984122"/>
    <m/>
    <m/>
    <s v=""/>
    <m/>
    <m/>
    <m/>
    <s v="Emission de titres : 29 Millions si cours &gt; 3,12 euros (soit 739 385 512 actions en circulation) et 47,95 M euros si cours &gt; 4,02 euros (soit 787 340 666 actions)"/>
    <m/>
    <n v="367"/>
    <n v="0"/>
    <s v="FR001318186412015"/>
    <s v="FR0013181864"/>
    <n v="1"/>
    <x v="16"/>
    <m/>
    <m/>
    <m/>
  </r>
  <r>
    <m/>
    <m/>
    <m/>
    <m/>
    <m/>
    <x v="1"/>
    <n v="-0.32116316639741516"/>
    <n v="-0.33501006036217307"/>
    <n v="-0.74793388429752072"/>
    <n v="0.26068003487358316"/>
    <m/>
    <m/>
    <m/>
    <m/>
    <m/>
    <m/>
    <m/>
    <m/>
    <m/>
    <m/>
    <m/>
    <s v=""/>
    <m/>
    <m/>
    <m/>
    <s v="Nombre d'actions totalement dilué avec l'exercice des bons en 2022 et 2023 : 787 340 666"/>
    <m/>
    <n v="368"/>
    <n v="0"/>
    <s v="FR00131818641"/>
    <s v="FR0013181864"/>
    <n v="1"/>
    <x v="16"/>
    <m/>
    <m/>
    <m/>
  </r>
  <r>
    <m/>
    <m/>
    <m/>
    <m/>
    <n v="30.422764227642279"/>
    <x v="10"/>
    <n v="3095000000"/>
    <n v="994000000"/>
    <n v="242000000"/>
    <n v="-1147000000"/>
    <n v="2420000000"/>
    <n v="2693000000"/>
    <n v="15.21595356513606"/>
    <n v="-0.42591904938730041"/>
    <n v="3.1550400938783495E-2"/>
    <n v="176985293"/>
    <n v="5384381840.6991873"/>
    <n v="1.9993991239135489"/>
    <n v="7.8514907854116576"/>
    <m/>
    <m/>
    <s v=""/>
    <m/>
    <m/>
    <m/>
    <s v="Premier trimestre 2020 : dépréciation d'actifs de 70 M $ pesant sur le résultat d'exploitation et net. Les activités abandonnées pèse encore (30 M$) d'où 100 M$ de pertes"/>
    <m/>
    <n v="369"/>
    <n v="0"/>
    <s v="FR001318186412014"/>
    <s v="FR0013181864"/>
    <n v="1"/>
    <x v="16"/>
    <m/>
    <m/>
    <m/>
  </r>
  <r>
    <m/>
    <m/>
    <m/>
    <m/>
    <m/>
    <x v="1"/>
    <n v="-0.17817312798725438"/>
    <n v="-0.14310344827586208"/>
    <n v="-0.39650872817955107"/>
    <n v="0.65991316931982635"/>
    <m/>
    <m/>
    <m/>
    <m/>
    <m/>
    <m/>
    <m/>
    <m/>
    <m/>
    <m/>
    <m/>
    <s v=""/>
    <m/>
    <m/>
    <m/>
    <m/>
    <m/>
    <n v="370"/>
    <n v="0"/>
    <s v="FR00131818641"/>
    <s v="FR0013181864"/>
    <n v="1"/>
    <x v="16"/>
    <m/>
    <m/>
    <m/>
  </r>
  <r>
    <m/>
    <m/>
    <m/>
    <m/>
    <n v="76.008130081300806"/>
    <x v="11"/>
    <n v="3766000000"/>
    <n v="1160000000"/>
    <n v="401000000"/>
    <n v="-691000000"/>
    <n v="2218000000"/>
    <n v="3799900000"/>
    <n v="21.481606630836438"/>
    <n v="-0.1818468907076502"/>
    <n v="4.4418584556074378E-2"/>
    <n v="176890866"/>
    <n v="13445143953.12195"/>
    <n v="3.5382888900028817"/>
    <n v="13.502710304415475"/>
    <m/>
    <m/>
    <s v=""/>
    <m/>
    <m/>
    <m/>
    <m/>
    <m/>
    <n v="371"/>
    <n v="0"/>
    <s v="FR001318186412013"/>
    <s v="FR0013181864"/>
    <n v="1"/>
    <x v="16"/>
    <m/>
    <m/>
    <m/>
  </r>
  <r>
    <m/>
    <m/>
    <m/>
    <m/>
    <m/>
    <x v="1"/>
    <m/>
    <m/>
    <m/>
    <m/>
    <m/>
    <m/>
    <m/>
    <m/>
    <m/>
    <m/>
    <m/>
    <m/>
    <m/>
    <m/>
    <m/>
    <s v=""/>
    <m/>
    <m/>
    <m/>
    <m/>
    <m/>
    <n v="372"/>
    <n v="0"/>
    <s v="FR00131818641"/>
    <s v="FR0013181864"/>
    <n v="1"/>
    <x v="16"/>
    <m/>
    <m/>
    <m/>
  </r>
  <r>
    <m/>
    <m/>
    <m/>
    <m/>
    <m/>
    <x v="1"/>
    <m/>
    <m/>
    <m/>
    <m/>
    <m/>
    <m/>
    <m/>
    <m/>
    <m/>
    <m/>
    <m/>
    <m/>
    <m/>
    <m/>
    <m/>
    <s v=""/>
    <m/>
    <m/>
    <m/>
    <m/>
    <m/>
    <n v="373"/>
    <n v="0"/>
    <s v="FR00131818641"/>
    <s v="FR0013181864"/>
    <n v="1"/>
    <x v="16"/>
    <m/>
    <m/>
    <m/>
  </r>
  <r>
    <m/>
    <m/>
    <m/>
    <m/>
    <s v="Retiré de la cote à 32,82 euros le 8 novembre 2022"/>
    <x v="1"/>
    <m/>
    <m/>
    <m/>
    <m/>
    <m/>
    <m/>
    <m/>
    <m/>
    <m/>
    <m/>
    <m/>
    <m/>
    <m/>
    <m/>
    <m/>
    <s v=""/>
    <m/>
    <m/>
    <m/>
    <m/>
    <m/>
    <n v="374"/>
    <n v="0"/>
    <s v="FR00131818641"/>
    <s v="FR0013181864"/>
    <n v="1"/>
    <x v="16"/>
    <m/>
    <m/>
    <m/>
  </r>
  <r>
    <s v="Boskalis"/>
    <s v="Dragage offshore"/>
    <s v="Pays-Bas"/>
    <s v="Euro"/>
    <n v="32.82"/>
    <x v="2"/>
    <m/>
    <m/>
    <m/>
    <m/>
    <m/>
    <m/>
    <m/>
    <m/>
    <m/>
    <n v="129512000"/>
    <n v="4250583840"/>
    <m/>
    <m/>
    <m/>
    <m/>
    <s v=""/>
    <m/>
    <m/>
    <m/>
    <s v="Fondée est 1910. CEO : Dr. P.A.M Berdowski (né en 1957) depuis 2006 jusqu'en 2023, DG : Mr. J. van der Veer (né en 1947) depuis 2015 jusqu'en 2023"/>
    <m/>
    <n v="375"/>
    <n v="0"/>
    <s v="NL000085258012022"/>
    <s v="NL0000852580"/>
    <n v="1"/>
    <x v="17"/>
    <m/>
    <m/>
    <m/>
  </r>
  <r>
    <m/>
    <m/>
    <m/>
    <m/>
    <m/>
    <x v="1"/>
    <m/>
    <m/>
    <m/>
    <m/>
    <m/>
    <m/>
    <m/>
    <m/>
    <m/>
    <m/>
    <m/>
    <m/>
    <m/>
    <m/>
    <m/>
    <s v=""/>
    <m/>
    <m/>
    <m/>
    <s v="Le dragage consiste à préparer les fonds marins afin d'accueillir un chantier ou retirer les sédiments qui bloque l'entrée d'un port"/>
    <m/>
    <n v="376"/>
    <n v="0"/>
    <s v="NL00008525801"/>
    <s v="NL0000852580"/>
    <n v="1"/>
    <x v="17"/>
    <m/>
    <m/>
    <m/>
  </r>
  <r>
    <m/>
    <m/>
    <m/>
    <m/>
    <n v="25.62"/>
    <x v="3"/>
    <n v="2957000000"/>
    <n v="462000000"/>
    <n v="199000000"/>
    <n v="148000000"/>
    <n v="-203000000"/>
    <n v="2404000000"/>
    <n v="18.561986534066342"/>
    <n v="6.156405990016639E-2"/>
    <n v="6.0269604725124944E-2"/>
    <n v="129512000"/>
    <n v="3318097440"/>
    <n v="1.3802401996672213"/>
    <n v="6.7426351515151515"/>
    <m/>
    <m/>
    <s v=""/>
    <n v="412000000"/>
    <m/>
    <m/>
    <s v="Marché de 6-7 Md euros tombés à moins de 4-5 Md euros ces dernières années avec 4 acteurs du Benelux se partageant 80% du marché. Les marchés US et chinois étant réservés aux acteurs locaux"/>
    <m/>
    <n v="377"/>
    <n v="0"/>
    <s v="NL000085258012021"/>
    <s v="NL0000852580"/>
    <n v="1"/>
    <x v="17"/>
    <m/>
    <m/>
    <m/>
  </r>
  <r>
    <m/>
    <m/>
    <m/>
    <m/>
    <m/>
    <x v="1"/>
    <n v="0.17108910891089102"/>
    <n v="0.14271580509522641"/>
    <n v="0.42346208869814017"/>
    <n v="-2.5257731958762886"/>
    <m/>
    <m/>
    <m/>
    <m/>
    <m/>
    <m/>
    <m/>
    <m/>
    <m/>
    <m/>
    <m/>
    <s v=""/>
    <m/>
    <m/>
    <m/>
    <s v="HAL Investments B.V. 43,5%, Sprucegrove Investment Management Limited : 5,2%, International Value Advisers, LLC : 5,1%, Marathon Asset Management : 3,6%, Black Creek Investment Management, Inc. : 3%, Bestinver Gestion, SGIIC S.A. : 3%"/>
    <m/>
    <n v="378"/>
    <n v="0"/>
    <s v="NL00008525801"/>
    <s v="NL0000852580"/>
    <n v="1"/>
    <x v="17"/>
    <m/>
    <m/>
    <m/>
  </r>
  <r>
    <m/>
    <m/>
    <m/>
    <m/>
    <n v="22.58"/>
    <x v="4"/>
    <n v="2525000000"/>
    <n v="404300000"/>
    <n v="139800000"/>
    <n v="-97000000"/>
    <n v="-439000000"/>
    <n v="2283000000"/>
    <n v="17.133453073881071"/>
    <n v="-4.2487954445904509E-2"/>
    <n v="5.0537245119305858E-2"/>
    <n v="133248096"/>
    <n v="3008742007.6799998"/>
    <n v="1.3178896222864651"/>
    <n v="6.3560277211971306"/>
    <m/>
    <n v="7484"/>
    <n v="337386.42437199358"/>
    <n v="355000000"/>
    <m/>
    <m/>
    <s v="CA : 57% dragage, 39% offshore (50 % éolien) et 4% autres (Remorquage et Sauvetage)"/>
    <m/>
    <n v="379"/>
    <n v="0"/>
    <s v="NL000085258012020"/>
    <s v="NL0000852580"/>
    <n v="1"/>
    <x v="17"/>
    <m/>
    <m/>
    <m/>
  </r>
  <r>
    <m/>
    <m/>
    <m/>
    <m/>
    <m/>
    <x v="1"/>
    <n v="-4.522423050744917E-2"/>
    <n v="7.5838211814795109E-2"/>
    <n v="0.26263310483106195"/>
    <n v="-2.2952503037829324"/>
    <m/>
    <m/>
    <m/>
    <m/>
    <m/>
    <m/>
    <m/>
    <m/>
    <m/>
    <m/>
    <m/>
    <s v=""/>
    <m/>
    <m/>
    <m/>
    <s v="Marge par activité : Dragage environ 14 %, Offshore et Energie environ 18 %, Remorquage et Sauvetage environ 50 %"/>
    <m/>
    <n v="380"/>
    <n v="0"/>
    <s v="NL00008525801"/>
    <s v="NL0000852580"/>
    <n v="1"/>
    <x v="17"/>
    <m/>
    <m/>
    <m/>
  </r>
  <r>
    <m/>
    <m/>
    <m/>
    <m/>
    <n v="22.73"/>
    <x v="5"/>
    <n v="2644600000"/>
    <n v="375800000"/>
    <n v="110721000"/>
    <n v="74889000"/>
    <n v="-26000000"/>
    <n v="2491352000"/>
    <n v="18.697092677406811"/>
    <n v="3.0059582106422535E-2"/>
    <n v="2.9937558044449634E-2"/>
    <n v="133248096"/>
    <n v="3028729222.0799999"/>
    <n v="1.2156970279912271"/>
    <n v="7.9902320970729113"/>
    <m/>
    <n v="7133"/>
    <n v="370755.64278704615"/>
    <m/>
    <m/>
    <m/>
    <s v="CA : 57% Europe, 16% Asie, Australie, 14% Moyen - Orient, 3% Afrique et 10% autre"/>
    <m/>
    <n v="381"/>
    <n v="0"/>
    <s v="NL000085258012019"/>
    <s v="NL0000852580"/>
    <n v="1"/>
    <x v="17"/>
    <m/>
    <m/>
    <m/>
  </r>
  <r>
    <m/>
    <m/>
    <m/>
    <m/>
    <m/>
    <x v="1"/>
    <n v="2.9207849315191048E-2"/>
    <n v="6.2782805429864252E-2"/>
    <n v="-1.276449335973294"/>
    <n v="-1.1726603279414205"/>
    <m/>
    <m/>
    <m/>
    <m/>
    <m/>
    <m/>
    <m/>
    <m/>
    <m/>
    <m/>
    <m/>
    <s v=""/>
    <m/>
    <m/>
    <m/>
    <s v="En 2012, OPA de Boskalis sur Dockwise"/>
    <m/>
    <n v="382"/>
    <n v="0"/>
    <s v="NL00008525801"/>
    <s v="NL0000852580"/>
    <n v="1"/>
    <x v="17"/>
    <m/>
    <m/>
    <m/>
  </r>
  <r>
    <m/>
    <m/>
    <m/>
    <m/>
    <n v="21.47"/>
    <x v="6"/>
    <n v="2569549000"/>
    <n v="353600000"/>
    <n v="-400511000"/>
    <n v="-433736000"/>
    <n v="131000000"/>
    <n v="2544326000"/>
    <n v="19.203557081633484"/>
    <n v="-0.17047186563357053"/>
    <n v="-9.9793682190506869E-2"/>
    <n v="132492433"/>
    <n v="2844612536.5099998"/>
    <n v="1.1180220366847644"/>
    <n v="8.415193824971718"/>
    <m/>
    <n v="7078"/>
    <n v="363033.20146934164"/>
    <m/>
    <m/>
    <m/>
    <s v="En 2013, achat de Dockwise pour 700 Me dans les transports de matérels lourds"/>
    <m/>
    <n v="383"/>
    <n v="0"/>
    <s v="NL000085258012018"/>
    <s v="NL0000852580"/>
    <n v="1"/>
    <x v="17"/>
    <m/>
    <m/>
    <m/>
  </r>
  <r>
    <m/>
    <m/>
    <m/>
    <m/>
    <m/>
    <x v="1"/>
    <n v="9.6691848058045204E-2"/>
    <n v="-0.19010535959688502"/>
    <n v="-3.1649243243243244"/>
    <n v="-3.8838829787234044"/>
    <m/>
    <m/>
    <m/>
    <m/>
    <m/>
    <m/>
    <m/>
    <m/>
    <m/>
    <m/>
    <m/>
    <s v=""/>
    <m/>
    <m/>
    <m/>
    <s v="Travail probablement avec Nexans pour l'installation de cable sous marin "/>
    <m/>
    <n v="384"/>
    <n v="0"/>
    <s v="NL00008525801"/>
    <s v="NL0000852580"/>
    <n v="1"/>
    <x v="17"/>
    <m/>
    <m/>
    <m/>
  </r>
  <r>
    <m/>
    <m/>
    <m/>
    <m/>
    <n v="31.4"/>
    <x v="7"/>
    <n v="2343000000"/>
    <n v="436600000"/>
    <n v="185000000"/>
    <n v="150400000"/>
    <n v="119700000"/>
    <n v="3022938000"/>
    <n v="23.058704630906053"/>
    <n v="4.975292248799016E-2"/>
    <n v="3.9241236184377581E-2"/>
    <n v="131097477"/>
    <n v="4116460777.7999997"/>
    <n v="1.3617417154437172"/>
    <n v="9.70261286715529"/>
    <m/>
    <n v="6410"/>
    <n v="365522.62090483622"/>
    <m/>
    <m/>
    <m/>
    <s v="En 2016, difficultés du marché lié à l'activité Offshore. (Forte baisse sur le Pétrole) Nécessité de restructurer l'entreprise (- 1000 employés)"/>
    <m/>
    <n v="385"/>
    <n v="0"/>
    <s v="NL000085258012017"/>
    <s v="NL0000852580"/>
    <n v="1"/>
    <x v="17"/>
    <m/>
    <m/>
    <m/>
  </r>
  <r>
    <m/>
    <m/>
    <m/>
    <m/>
    <m/>
    <x v="1"/>
    <n v="-9.745762711864403E-2"/>
    <n v="-0.33898561695685092"/>
    <n v="-1.4038419559048243"/>
    <n v="-1.2677109291562834"/>
    <m/>
    <m/>
    <m/>
    <m/>
    <m/>
    <m/>
    <m/>
    <m/>
    <m/>
    <m/>
    <m/>
    <s v=""/>
    <m/>
    <m/>
    <m/>
    <s v="En 2020, dépréciation d'actifs sur des bâteaux pour 195 M euros d'où le résultat net négatif. Contrat de 1,5 Md euros pour l'agrandissement de l'aéoroport de Manille"/>
    <m/>
    <n v="386"/>
    <n v="0"/>
    <s v="NL00008525801"/>
    <s v="NL0000852580"/>
    <n v="1"/>
    <x v="17"/>
    <m/>
    <m/>
    <m/>
  </r>
  <r>
    <m/>
    <m/>
    <m/>
    <m/>
    <n v="33"/>
    <x v="8"/>
    <n v="2596000000"/>
    <n v="660500000"/>
    <n v="-458100000"/>
    <n v="-561800000"/>
    <n v="-202700000"/>
    <n v="3121173000"/>
    <n v="24.345261855633563"/>
    <n v="-0.17999643082905048"/>
    <n v="-0.10463329967417893"/>
    <n v="128204536"/>
    <n v="4230749688"/>
    <n v="1.3554998995569936"/>
    <n v="6.0984855230885691"/>
    <m/>
    <n v="6960"/>
    <n v="372988.50574712642"/>
    <m/>
    <m/>
    <m/>
    <s v="En 2021, amélioration de l'activité et des résultats au niveau de 2019. Carnet de commandes élevés (contrat  de Manille) potentiel avec l'installation de parc éolien en mer"/>
    <m/>
    <n v="387"/>
    <n v="0"/>
    <s v="NL000085258012016"/>
    <s v="NL0000852580"/>
    <n v="1"/>
    <x v="17"/>
    <m/>
    <m/>
    <m/>
  </r>
  <r>
    <m/>
    <m/>
    <m/>
    <m/>
    <m/>
    <x v="1"/>
    <n v="-0.1987654320987654"/>
    <n v="-0.25341923815982814"/>
    <n v="-1.8139658848614073"/>
    <n v="-2.2667418263810597"/>
    <m/>
    <m/>
    <m/>
    <m/>
    <m/>
    <m/>
    <m/>
    <m/>
    <m/>
    <m/>
    <m/>
    <s v=""/>
    <m/>
    <m/>
    <m/>
    <s v="En janvier 2021, acquisition société Rever Offshor, 130 salariés 90 M € de CA"/>
    <m/>
    <n v="388"/>
    <n v="0"/>
    <s v="NL00008525801"/>
    <s v="NL0000852580"/>
    <n v="1"/>
    <x v="17"/>
    <m/>
    <m/>
    <m/>
  </r>
  <r>
    <m/>
    <m/>
    <m/>
    <m/>
    <n v="37.6"/>
    <x v="9"/>
    <n v="3240000000"/>
    <n v="884700000"/>
    <n v="562800000"/>
    <n v="443500000"/>
    <n v="169300000"/>
    <n v="3714313000"/>
    <n v="29.910236588233399"/>
    <n v="0.11940296900126618"/>
    <n v="9.6601406988801403E-2"/>
    <n v="124182000"/>
    <n v="4669243200"/>
    <n v="1.2570947036504463"/>
    <n v="5.4691343958403982"/>
    <m/>
    <n v="8268"/>
    <n v="391872.27866473148"/>
    <m/>
    <m/>
    <m/>
    <s v="En septembre 2021, Boskalis finalise un programme de rachat d'action 100 M €"/>
    <m/>
    <n v="389"/>
    <n v="0"/>
    <s v="NL000085258012015"/>
    <s v="NL0000852580"/>
    <n v="1"/>
    <x v="17"/>
    <m/>
    <m/>
    <m/>
  </r>
  <r>
    <m/>
    <m/>
    <m/>
    <m/>
    <m/>
    <x v="1"/>
    <n v="2.3050205241553545E-2"/>
    <n v="-6.4700285442435779E-2"/>
    <n v="-0.13720680668404106"/>
    <n v="-9.8943518894758276E-2"/>
    <m/>
    <m/>
    <m/>
    <m/>
    <m/>
    <m/>
    <m/>
    <m/>
    <m/>
    <m/>
    <m/>
    <s v=""/>
    <m/>
    <m/>
    <m/>
    <s v="En novembre 2021, remporte un contrat de 450 M €  pour le transport et l'installation des fondations d'un parc eolien (début 2023)"/>
    <m/>
    <n v="390"/>
    <n v="0"/>
    <s v="NL00008525801"/>
    <s v="NL0000852580"/>
    <n v="1"/>
    <x v="17"/>
    <m/>
    <m/>
    <m/>
  </r>
  <r>
    <m/>
    <m/>
    <m/>
    <m/>
    <n v="45.5"/>
    <x v="10"/>
    <n v="3167000000"/>
    <n v="945900000"/>
    <n v="652300000"/>
    <n v="492200000"/>
    <n v="507359000"/>
    <n v="3151937000"/>
    <n v="25.919255628834104"/>
    <n v="0.15615794351219583"/>
    <n v="0.11882700388271406"/>
    <n v="121606000"/>
    <n v="5533073000"/>
    <n v="1.7554516476693538"/>
    <n v="6.3859097156147584"/>
    <m/>
    <n v="8446"/>
    <n v="374970.40018943878"/>
    <m/>
    <m/>
    <m/>
    <s v="En 2022, investissement de 500 millions d'euros dans les bateaux"/>
    <m/>
    <n v="391"/>
    <n v="0"/>
    <s v="NL000085258012014"/>
    <s v="NL0000852580"/>
    <n v="1"/>
    <x v="17"/>
    <m/>
    <m/>
    <m/>
  </r>
  <r>
    <m/>
    <m/>
    <m/>
    <m/>
    <m/>
    <x v="1"/>
    <n v="7.3155216284988001E-3"/>
    <n v="0.24920760697305866"/>
    <n v="0.40763918860595605"/>
    <n v="0.34738571037503418"/>
    <m/>
    <m/>
    <m/>
    <m/>
    <m/>
    <m/>
    <m/>
    <m/>
    <m/>
    <m/>
    <m/>
    <s v=""/>
    <m/>
    <m/>
    <m/>
    <s v="Environ 900 bateaux"/>
    <m/>
    <n v="392"/>
    <n v="0"/>
    <s v="NL00008525801"/>
    <s v="NL0000852580"/>
    <n v="1"/>
    <x v="17"/>
    <m/>
    <m/>
    <m/>
  </r>
  <r>
    <m/>
    <m/>
    <m/>
    <m/>
    <n v="38.4"/>
    <x v="11"/>
    <n v="3144000000"/>
    <n v="757200000"/>
    <n v="463400000"/>
    <n v="365300000"/>
    <n v="784355000"/>
    <n v="2525000000"/>
    <n v="21.317911266832706"/>
    <n v="0.14467326732673266"/>
    <n v="9.3342189036836484E-2"/>
    <n v="118445000"/>
    <n v="4548288000"/>
    <n v="1.8013021782178218"/>
    <n v="7.0425818806127838"/>
    <m/>
    <n v="8459"/>
    <n v="371675.13890530798"/>
    <m/>
    <m/>
    <m/>
    <s v="L'éolien représente 50 % de l'activité Offshore Energie. Soit 20 % du CA global"/>
    <m/>
    <n v="393"/>
    <n v="0"/>
    <s v="NL000085258012013"/>
    <s v="NL0000852580"/>
    <n v="1"/>
    <x v="17"/>
    <m/>
    <m/>
    <m/>
  </r>
  <r>
    <m/>
    <m/>
    <m/>
    <m/>
    <m/>
    <x v="1"/>
    <n v="2.0447906523855863E-2"/>
    <n v="0.3352142479280551"/>
    <n v="0.3799880881477069"/>
    <n v="0.44960317460317456"/>
    <m/>
    <m/>
    <m/>
    <m/>
    <m/>
    <m/>
    <m/>
    <m/>
    <m/>
    <m/>
    <m/>
    <s v=""/>
    <m/>
    <m/>
    <m/>
    <s v="En 2022, le 8 mars HAL propose une OPA à 32,5 euros, retiré d e la cote à 32,82 euros soit 1,9 fois l'actif net et VE/EBE de 8,5 - 9 fois, à vérifier si investissement dans DEME"/>
    <m/>
    <n v="394"/>
    <n v="0"/>
    <s v="NL00008525801"/>
    <s v="NL0000852580"/>
    <n v="1"/>
    <x v="17"/>
    <m/>
    <m/>
    <m/>
  </r>
  <r>
    <m/>
    <m/>
    <m/>
    <m/>
    <n v="34"/>
    <x v="12"/>
    <n v="3081000000"/>
    <n v="567100000"/>
    <n v="335800000"/>
    <n v="252000000"/>
    <n v="597808000"/>
    <n v="1898000000"/>
    <n v="17.9659990155617"/>
    <n v="0.13277133825079029"/>
    <n v="8.9688101007769833E-2"/>
    <n v="105644000"/>
    <n v="3591896000"/>
    <n v="1.8924636459430979"/>
    <n v="7.3879456885910777"/>
    <m/>
    <n v="15653"/>
    <n v="196831.27834919823"/>
    <m/>
    <m/>
    <m/>
    <s v="CAC : Ernst &amp; Young Accountants"/>
    <m/>
    <n v="395"/>
    <n v="0"/>
    <s v="NL000085258012012"/>
    <s v="NL0000852580"/>
    <n v="1"/>
    <x v="17"/>
    <m/>
    <m/>
    <m/>
  </r>
  <r>
    <m/>
    <m/>
    <m/>
    <m/>
    <m/>
    <x v="1"/>
    <n v="9.9964298464833901E-2"/>
    <n v="-3.9627434377646042E-2"/>
    <n v="-5.1680316294831941E-2"/>
    <n v="-3.4482758620689613E-2"/>
    <m/>
    <m/>
    <m/>
    <m/>
    <m/>
    <m/>
    <m/>
    <m/>
    <m/>
    <m/>
    <m/>
    <s v=""/>
    <m/>
    <m/>
    <m/>
    <s v="Minoritaire : 0,1% à vérifier car JV indiquer dans le compte de résultat"/>
    <m/>
    <n v="396"/>
    <n v="0"/>
    <s v="NL00008525801"/>
    <s v="NL0000852580"/>
    <n v="1"/>
    <x v="17"/>
    <m/>
    <m/>
    <m/>
  </r>
  <r>
    <m/>
    <m/>
    <m/>
    <m/>
    <n v="28.39"/>
    <x v="17"/>
    <n v="2801000000"/>
    <n v="590500000"/>
    <n v="354100000"/>
    <n v="261000000"/>
    <n v="409675000"/>
    <n v="1733000000"/>
    <n v="16.925315701575332"/>
    <n v="0.15060588574725908"/>
    <n v="0.11016279183730616"/>
    <n v="102391000"/>
    <n v="2906880490"/>
    <n v="1.6773690075014427"/>
    <n v="5.616520728196444"/>
    <m/>
    <n v="13935"/>
    <n v="201004.66451381415"/>
    <m/>
    <m/>
    <m/>
    <s v="Pay out ratio  : entre 40 et 50% mais plus haut ces 3 dernières années"/>
    <m/>
    <n v="397"/>
    <n v="0"/>
    <s v="NL000085258012011"/>
    <s v="NL0000852580"/>
    <n v="1"/>
    <x v="17"/>
    <m/>
    <m/>
    <m/>
  </r>
  <r>
    <m/>
    <m/>
    <m/>
    <m/>
    <m/>
    <x v="1"/>
    <n v="4.7494390426327637E-2"/>
    <n v="-4.9879324215607368E-2"/>
    <n v="-0.11893505847225683"/>
    <n v="-0.16586768935762219"/>
    <m/>
    <m/>
    <m/>
    <m/>
    <m/>
    <m/>
    <m/>
    <m/>
    <m/>
    <m/>
    <m/>
    <s v=""/>
    <m/>
    <m/>
    <m/>
    <m/>
    <m/>
    <n v="398"/>
    <n v="0"/>
    <s v="NL00008525801"/>
    <s v="NL0000852580"/>
    <n v="1"/>
    <x v="17"/>
    <m/>
    <m/>
    <m/>
  </r>
  <r>
    <m/>
    <m/>
    <m/>
    <m/>
    <n v="35.25"/>
    <x v="18"/>
    <n v="2674000000"/>
    <n v="621500000"/>
    <n v="401900000"/>
    <n v="312900000"/>
    <n v="451500000"/>
    <n v="1565000000"/>
    <n v="15.655949260719073"/>
    <n v="0.19993610223642172"/>
    <n v="0.13285719811554675"/>
    <n v="99962000"/>
    <n v="3523660500"/>
    <n v="2.2515402555910544"/>
    <n v="6.3960748189863237"/>
    <m/>
    <n v="13832"/>
    <n v="193319.83805668016"/>
    <m/>
    <m/>
    <m/>
    <m/>
    <m/>
    <n v="399"/>
    <n v="0"/>
    <s v="NL000085258012010"/>
    <s v="NL0000852580"/>
    <n v="1"/>
    <x v="17"/>
    <m/>
    <m/>
    <m/>
  </r>
  <r>
    <m/>
    <m/>
    <m/>
    <m/>
    <m/>
    <x v="1"/>
    <m/>
    <m/>
    <m/>
    <m/>
    <m/>
    <m/>
    <m/>
    <m/>
    <m/>
    <m/>
    <m/>
    <m/>
    <m/>
    <m/>
    <m/>
    <s v=""/>
    <m/>
    <m/>
    <m/>
    <m/>
    <m/>
    <n v="400"/>
    <n v="0"/>
    <s v="NL00008525801"/>
    <s v="NL0000852580"/>
    <n v="1"/>
    <x v="17"/>
    <m/>
    <m/>
    <m/>
  </r>
  <r>
    <m/>
    <m/>
    <m/>
    <m/>
    <m/>
    <x v="1"/>
    <m/>
    <m/>
    <m/>
    <m/>
    <m/>
    <m/>
    <m/>
    <m/>
    <m/>
    <m/>
    <m/>
    <m/>
    <m/>
    <m/>
    <m/>
    <s v=""/>
    <m/>
    <m/>
    <m/>
    <m/>
    <m/>
    <n v="401"/>
    <n v="0"/>
    <s v="NL00008525801"/>
    <s v="NL0000852580"/>
    <n v="1"/>
    <x v="17"/>
    <m/>
    <m/>
    <m/>
  </r>
  <r>
    <m/>
    <m/>
    <m/>
    <m/>
    <m/>
    <x v="1"/>
    <m/>
    <m/>
    <m/>
    <m/>
    <m/>
    <m/>
    <m/>
    <m/>
    <m/>
    <m/>
    <m/>
    <m/>
    <m/>
    <m/>
    <m/>
    <s v=""/>
    <m/>
    <m/>
    <m/>
    <m/>
    <m/>
    <n v="402"/>
    <n v="0"/>
    <s v="NL00008525801"/>
    <s v="NL0000852580"/>
    <n v="1"/>
    <x v="17"/>
    <m/>
    <m/>
    <m/>
  </r>
  <r>
    <s v="DEME"/>
    <s v="Dragage offshore"/>
    <s v="Belgique"/>
    <s v="Euro"/>
    <n v="117"/>
    <x v="0"/>
    <m/>
    <m/>
    <m/>
    <m/>
    <m/>
    <m/>
    <m/>
    <m/>
    <m/>
    <n v="25314482"/>
    <n v="2961794394"/>
    <m/>
    <m/>
    <m/>
    <m/>
    <s v=""/>
    <m/>
    <m/>
    <m/>
    <s v="Dragage et infrastructure des ports issus du groupe CFE. Scission le 29 juin 2022"/>
    <m/>
    <n v="403"/>
    <n v="0"/>
    <s v="BE097441345312023"/>
    <s v="BE0974413453"/>
    <n v="1"/>
    <x v="18"/>
    <m/>
    <m/>
    <m/>
  </r>
  <r>
    <m/>
    <m/>
    <m/>
    <m/>
    <m/>
    <x v="1"/>
    <m/>
    <m/>
    <m/>
    <m/>
    <m/>
    <m/>
    <m/>
    <m/>
    <m/>
    <m/>
    <m/>
    <m/>
    <m/>
    <m/>
    <m/>
    <s v=""/>
    <m/>
    <m/>
    <m/>
    <s v="Actionnaires : Ackermann 62,12 %, Vinci 12,11 %, Free Float 25,77 %"/>
    <m/>
    <n v="404"/>
    <n v="0"/>
    <s v="BE09744134531"/>
    <s v="BE0974413453"/>
    <n v="1"/>
    <x v="18"/>
    <m/>
    <m/>
    <m/>
  </r>
  <r>
    <m/>
    <m/>
    <m/>
    <m/>
    <n v="124"/>
    <x v="2"/>
    <n v="2655000000"/>
    <n v="474000000"/>
    <n v="155000000"/>
    <n v="113000000"/>
    <n v="520513000"/>
    <n v="1700000000"/>
    <n v="67.155235489313981"/>
    <n v="7.1541627097182647E-2"/>
    <n v="5.5014704391035389E-2"/>
    <n v="25314482"/>
    <n v="3138995768"/>
    <n v="1.8464680988235294"/>
    <n v="7.7204826329113923"/>
    <m/>
    <n v="5000"/>
    <n v="531000"/>
    <n v="150896000"/>
    <m/>
    <m/>
    <s v="CEO : Luc Vandenbulcke"/>
    <m/>
    <n v="405"/>
    <n v="0"/>
    <s v="BE097441345312022"/>
    <s v="BE0974413453"/>
    <n v="1"/>
    <x v="18"/>
    <m/>
    <m/>
    <m/>
  </r>
  <r>
    <m/>
    <m/>
    <m/>
    <m/>
    <m/>
    <x v="1"/>
    <n v="5.7516131602007414E-2"/>
    <n v="1.0014915832090354E-2"/>
    <n v="8.1646894626657307E-2"/>
    <n v="-1.3961605584642212E-2"/>
    <m/>
    <m/>
    <m/>
    <m/>
    <m/>
    <m/>
    <m/>
    <m/>
    <m/>
    <m/>
    <m/>
    <s v=""/>
    <m/>
    <m/>
    <m/>
    <s v="Répartition du CA par région : 77 % Europe zone UE, 7 % Asie &amp; Oceanie, 6 % Afrique, 6 % Europe Non UE, 2 % Sous-continent Indien, 2 % Amérique"/>
    <m/>
    <n v="406"/>
    <n v="0"/>
    <s v="BE09744134531"/>
    <s v="BE0974413453"/>
    <n v="1"/>
    <x v="18"/>
    <m/>
    <m/>
    <m/>
  </r>
  <r>
    <m/>
    <m/>
    <m/>
    <m/>
    <m/>
    <x v="3"/>
    <n v="2510600000"/>
    <n v="469300000"/>
    <n v="143300000"/>
    <n v="114600000"/>
    <n v="392700000"/>
    <n v="1579500000"/>
    <m/>
    <n v="7.8091993185689948E-2"/>
    <n v="5.1270125223613593E-2"/>
    <m/>
    <m/>
    <m/>
    <m/>
    <m/>
    <n v="4880"/>
    <n v="514467.21311475412"/>
    <n v="150896000"/>
    <m/>
    <m/>
    <s v="Répartition du CA par activité : 43 % Offshore, 40 % Dragage (dont 1/4 lié à la maintenance du parc existant), 9 % Infrastructures, 5 % Environnement, 3 % Autres "/>
    <m/>
    <n v="407"/>
    <n v="0"/>
    <s v="BE097441345312021"/>
    <s v="BE0974413453"/>
    <n v="1"/>
    <x v="18"/>
    <m/>
    <m/>
    <m/>
  </r>
  <r>
    <m/>
    <m/>
    <m/>
    <m/>
    <m/>
    <x v="1"/>
    <n v="0.14336460515529637"/>
    <n v="0.27009472259810563"/>
    <n v="1.228615863141524"/>
    <n v="1.2738095238095237"/>
    <m/>
    <m/>
    <m/>
    <m/>
    <m/>
    <m/>
    <m/>
    <m/>
    <m/>
    <m/>
    <m/>
    <s v=""/>
    <m/>
    <m/>
    <m/>
    <s v="En 2019 : &quot;Nous avons installé les 467 km de câbles d'exportation au parc éolien offshore Hornsea One au Royaume-Uni, le plus long projet de câble d'exportation éolien offshore AC jamais installé.&quot;"/>
    <m/>
    <n v="408"/>
    <n v="0"/>
    <s v="BE09744134531"/>
    <s v="BE0974413453"/>
    <n v="1"/>
    <x v="18"/>
    <m/>
    <m/>
    <m/>
  </r>
  <r>
    <m/>
    <m/>
    <m/>
    <m/>
    <m/>
    <x v="4"/>
    <n v="2195800000"/>
    <n v="369500000"/>
    <n v="64300000"/>
    <n v="50400000"/>
    <n v="489000000"/>
    <n v="1467500000"/>
    <m/>
    <n v="3.5109717868338559E-2"/>
    <n v="2.0993470149253731E-2"/>
    <m/>
    <m/>
    <m/>
    <m/>
    <m/>
    <n v="4976"/>
    <n v="441278.13504823152"/>
    <n v="150896000"/>
    <m/>
    <m/>
    <s v="En 2000 Boskalis et HBG, a voulu racheter DEME, accepté par Ackermann et refusé par CFE. "/>
    <m/>
    <n v="409"/>
    <n v="0"/>
    <s v="BE097441345312020"/>
    <s v="BE0974413453"/>
    <n v="1"/>
    <x v="18"/>
    <m/>
    <m/>
    <m/>
  </r>
  <r>
    <m/>
    <m/>
    <m/>
    <m/>
    <m/>
    <x v="1"/>
    <n v="-0.16254767353165522"/>
    <n v="-0.15446224256292906"/>
    <n v="-0.54429482636428062"/>
    <n v="-0.5968"/>
    <m/>
    <m/>
    <m/>
    <m/>
    <m/>
    <m/>
    <m/>
    <m/>
    <m/>
    <m/>
    <m/>
    <s v=""/>
    <m/>
    <m/>
    <m/>
    <s v="Plus de 2.200 éoliennes installées depuis ce jour."/>
    <m/>
    <n v="410"/>
    <n v="0"/>
    <s v="BE09744134531"/>
    <s v="BE0974413453"/>
    <n v="1"/>
    <x v="18"/>
    <m/>
    <m/>
    <m/>
  </r>
  <r>
    <m/>
    <m/>
    <m/>
    <m/>
    <m/>
    <x v="5"/>
    <n v="2622000000"/>
    <n v="437000000"/>
    <n v="141100000"/>
    <n v="125000000"/>
    <n v="708500000"/>
    <n v="1435500000"/>
    <m/>
    <n v="8.9196517767946334E-2"/>
    <n v="5.0464949928469241E-2"/>
    <m/>
    <m/>
    <m/>
    <m/>
    <m/>
    <n v="5089"/>
    <n v="515228.92513263901"/>
    <n v="187112000"/>
    <m/>
    <m/>
    <s v="Surveille de près le sujet de l'éolien flottant offshore, qui selon eux est un secteur d'avenir mais ils s'attendent que les coûts baissent significativement dans les années à venir "/>
    <m/>
    <n v="411"/>
    <n v="0"/>
    <s v="BE097441345312019"/>
    <s v="BE0974413453"/>
    <n v="1"/>
    <x v="18"/>
    <m/>
    <m/>
    <m/>
  </r>
  <r>
    <m/>
    <m/>
    <m/>
    <m/>
    <m/>
    <x v="1"/>
    <n v="-8.9953889182855518E-3"/>
    <n v="-4.7722815428197896E-2"/>
    <n v="-0.2801020408163265"/>
    <n v="-0.19665809768637532"/>
    <m/>
    <m/>
    <m/>
    <m/>
    <m/>
    <m/>
    <m/>
    <m/>
    <m/>
    <m/>
    <m/>
    <s v=""/>
    <m/>
    <m/>
    <m/>
    <s v="En 2022, carnet de commandes à 5,8 Md euros (comme Boskalis) et 500 M euros d'investissement"/>
    <m/>
    <n v="412"/>
    <n v="0"/>
    <s v="BE09744134531"/>
    <s v="BE0974413453"/>
    <n v="1"/>
    <x v="18"/>
    <m/>
    <m/>
    <m/>
  </r>
  <r>
    <m/>
    <m/>
    <m/>
    <m/>
    <m/>
    <x v="6"/>
    <n v="2645800000"/>
    <n v="458900000"/>
    <n v="196000000"/>
    <n v="155600000"/>
    <n v="555800000"/>
    <n v="1401400000"/>
    <m/>
    <n v="0.11771826297473142"/>
    <n v="8.5349922239502329E-2"/>
    <m/>
    <m/>
    <m/>
    <m/>
    <m/>
    <n v="4937"/>
    <n v="535912.49746809807"/>
    <n v="-144850000"/>
    <m/>
    <m/>
    <s v="En 2023, Création d'une Join Venture avec Jan de Nul (entreprise spécialisée dans le gradage) pour construire la première Ile energétique en mer, 45 Km2, 2,5 ans de construction,"/>
    <m/>
    <n v="413"/>
    <n v="0"/>
    <s v="BE097441345312018"/>
    <s v="BE0974413453"/>
    <n v="1"/>
    <x v="18"/>
    <m/>
    <m/>
    <m/>
  </r>
  <r>
    <m/>
    <m/>
    <m/>
    <m/>
    <m/>
    <x v="1"/>
    <n v="0.12300509337860777"/>
    <n v="7.4643249176729043E-3"/>
    <n v="-0.14967462039045554"/>
    <n v="3.2237266279819821E-3"/>
    <m/>
    <m/>
    <m/>
    <m/>
    <m/>
    <m/>
    <m/>
    <m/>
    <m/>
    <m/>
    <m/>
    <s v=""/>
    <m/>
    <m/>
    <m/>
    <s v="Une autre association voit le jour avec la join venture Seavolt pour permettre le déploiement du photovoltaique en pleine mer (flotteurs compact)"/>
    <m/>
    <n v="414"/>
    <n v="0"/>
    <s v="BE09744134531"/>
    <s v="BE0974413453"/>
    <n v="1"/>
    <x v="18"/>
    <m/>
    <m/>
    <m/>
  </r>
  <r>
    <m/>
    <m/>
    <m/>
    <m/>
    <m/>
    <x v="7"/>
    <n v="2356000000"/>
    <n v="455500000"/>
    <n v="230500000"/>
    <n v="155100000"/>
    <n v="285700000"/>
    <n v="1321800000"/>
    <m/>
    <n v="0.12706865475995413"/>
    <n v="0.11761918647033096"/>
    <m/>
    <m/>
    <m/>
    <m/>
    <m/>
    <n v="4440"/>
    <n v="530630.63063063065"/>
    <n v="-90873000"/>
    <m/>
    <m/>
    <m/>
    <m/>
    <n v="415"/>
    <n v="0"/>
    <s v="BE097441345312017"/>
    <s v="BE0974413453"/>
    <n v="1"/>
    <x v="18"/>
    <m/>
    <m/>
    <m/>
  </r>
  <r>
    <m/>
    <m/>
    <m/>
    <m/>
    <m/>
    <x v="1"/>
    <n v="0.19098170053584074"/>
    <n v="1.8104604380867251E-2"/>
    <n v="1.5418502202643181E-2"/>
    <n v="-1.2878300064391723E-3"/>
    <m/>
    <m/>
    <m/>
    <m/>
    <m/>
    <m/>
    <m/>
    <m/>
    <m/>
    <m/>
    <m/>
    <s v=""/>
    <m/>
    <m/>
    <m/>
    <m/>
    <m/>
    <n v="416"/>
    <n v="0"/>
    <s v="BE09744134531"/>
    <s v="BE0974413453"/>
    <n v="1"/>
    <x v="18"/>
    <m/>
    <m/>
    <m/>
  </r>
  <r>
    <m/>
    <m/>
    <m/>
    <m/>
    <m/>
    <x v="8"/>
    <n v="1978200000"/>
    <n v="447400000"/>
    <n v="227000000"/>
    <n v="155300000"/>
    <n v="151200000"/>
    <n v="1220600000"/>
    <m/>
    <n v="0.13708182540383088"/>
    <n v="0.11330576155162578"/>
    <m/>
    <m/>
    <m/>
    <m/>
    <m/>
    <n v="4232"/>
    <n v="467438.56332703214"/>
    <n v="149937000"/>
    <m/>
    <m/>
    <m/>
    <m/>
    <n v="417"/>
    <n v="0"/>
    <s v="BE097441345312016"/>
    <s v="BE0974413453"/>
    <n v="1"/>
    <x v="18"/>
    <m/>
    <m/>
    <m/>
  </r>
  <r>
    <m/>
    <m/>
    <m/>
    <m/>
    <m/>
    <x v="1"/>
    <n v="-0.13468352215563628"/>
    <n v="-8.5445625511038403E-2"/>
    <n v="-0.15676077265973254"/>
    <n v="-0.22038152610441764"/>
    <m/>
    <m/>
    <m/>
    <m/>
    <m/>
    <m/>
    <m/>
    <m/>
    <m/>
    <m/>
    <m/>
    <s v=""/>
    <m/>
    <m/>
    <m/>
    <m/>
    <m/>
    <n v="418"/>
    <n v="0"/>
    <s v="BE09744134531"/>
    <s v="BE0974413453"/>
    <n v="1"/>
    <x v="18"/>
    <m/>
    <m/>
    <m/>
  </r>
  <r>
    <m/>
    <m/>
    <m/>
    <m/>
    <m/>
    <x v="9"/>
    <n v="2286100000"/>
    <n v="489200000"/>
    <n v="269200000"/>
    <n v="199200000"/>
    <n v="269500000"/>
    <n v="1132900000"/>
    <m/>
    <n v="0.20188507145028883"/>
    <n v="0.16923215087561741"/>
    <m/>
    <m/>
    <m/>
    <m/>
    <m/>
    <n v="4099"/>
    <n v="557721.39546230785"/>
    <n v="-224941000"/>
    <m/>
    <m/>
    <m/>
    <m/>
    <n v="419"/>
    <n v="0"/>
    <s v="BE097441345312015"/>
    <s v="BE0974413453"/>
    <n v="1"/>
    <x v="18"/>
    <m/>
    <m/>
    <m/>
  </r>
  <r>
    <m/>
    <m/>
    <m/>
    <m/>
    <m/>
    <x v="1"/>
    <n v="-5.5213456213580203E-2"/>
    <n v="0.10279531109107309"/>
    <n v="0.20447427293064879"/>
    <n v="0.17939609236234455"/>
    <m/>
    <m/>
    <m/>
    <m/>
    <m/>
    <m/>
    <m/>
    <m/>
    <m/>
    <m/>
    <m/>
    <s v=""/>
    <m/>
    <m/>
    <m/>
    <m/>
    <m/>
    <n v="420"/>
    <n v="0"/>
    <s v="BE09744134531"/>
    <s v="BE0974413453"/>
    <n v="1"/>
    <x v="18"/>
    <m/>
    <m/>
    <m/>
  </r>
  <r>
    <m/>
    <m/>
    <m/>
    <m/>
    <m/>
    <x v="10"/>
    <n v="2419700000"/>
    <n v="443600000"/>
    <n v="223500000"/>
    <n v="168900000"/>
    <n v="126800000"/>
    <n v="986700000"/>
    <m/>
    <m/>
    <m/>
    <m/>
    <m/>
    <m/>
    <m/>
    <m/>
    <n v="4194"/>
    <n v="576943.25226514065"/>
    <m/>
    <m/>
    <m/>
    <m/>
    <m/>
    <n v="421"/>
    <n v="0"/>
    <s v="BE097441345312014"/>
    <s v="BE0974413453"/>
    <n v="1"/>
    <x v="18"/>
    <m/>
    <m/>
    <m/>
  </r>
  <r>
    <m/>
    <m/>
    <m/>
    <m/>
    <m/>
    <x v="1"/>
    <m/>
    <m/>
    <m/>
    <m/>
    <m/>
    <m/>
    <m/>
    <m/>
    <m/>
    <m/>
    <m/>
    <m/>
    <m/>
    <m/>
    <m/>
    <s v=""/>
    <m/>
    <m/>
    <m/>
    <s v="CAC : "/>
    <m/>
    <n v="422"/>
    <n v="0"/>
    <s v="BE09744134531"/>
    <s v="BE0974413453"/>
    <n v="1"/>
    <x v="18"/>
    <m/>
    <m/>
    <m/>
  </r>
  <r>
    <m/>
    <m/>
    <m/>
    <m/>
    <m/>
    <x v="19"/>
    <m/>
    <m/>
    <m/>
    <m/>
    <m/>
    <m/>
    <m/>
    <m/>
    <m/>
    <m/>
    <m/>
    <m/>
    <m/>
    <m/>
    <m/>
    <s v=""/>
    <m/>
    <m/>
    <m/>
    <s v="Minoritaire : 3 à 4 %"/>
    <m/>
    <n v="423"/>
    <n v="0"/>
    <s v="BE09744134531Introduction en bourse le 30 juin 2022 à 105 euros"/>
    <s v="BE0974413453"/>
    <n v="1"/>
    <x v="18"/>
    <m/>
    <m/>
    <m/>
  </r>
  <r>
    <m/>
    <m/>
    <m/>
    <m/>
    <m/>
    <x v="1"/>
    <m/>
    <m/>
    <m/>
    <m/>
    <m/>
    <m/>
    <m/>
    <m/>
    <m/>
    <m/>
    <m/>
    <m/>
    <m/>
    <m/>
    <m/>
    <s v=""/>
    <m/>
    <m/>
    <m/>
    <s v="Pay-out ratio : 33 %"/>
    <m/>
    <n v="424"/>
    <n v="0"/>
    <s v="BE09744134531"/>
    <s v="BE0974413453"/>
    <n v="1"/>
    <x v="18"/>
    <m/>
    <m/>
    <m/>
  </r>
  <r>
    <m/>
    <m/>
    <m/>
    <m/>
    <m/>
    <x v="1"/>
    <m/>
    <m/>
    <m/>
    <m/>
    <m/>
    <m/>
    <m/>
    <m/>
    <m/>
    <m/>
    <m/>
    <m/>
    <m/>
    <m/>
    <m/>
    <s v=""/>
    <m/>
    <m/>
    <m/>
    <m/>
    <m/>
    <n v="425"/>
    <n v="0"/>
    <s v="BE09744134531"/>
    <s v="BE0974413453"/>
    <n v="1"/>
    <x v="18"/>
    <m/>
    <m/>
    <m/>
  </r>
  <r>
    <m/>
    <m/>
    <m/>
    <m/>
    <m/>
    <x v="1"/>
    <m/>
    <m/>
    <m/>
    <m/>
    <m/>
    <m/>
    <m/>
    <m/>
    <m/>
    <m/>
    <m/>
    <m/>
    <m/>
    <m/>
    <m/>
    <s v=""/>
    <m/>
    <m/>
    <m/>
    <m/>
    <m/>
    <n v="426"/>
    <n v="0"/>
    <s v="BE09744134531"/>
    <s v="BE0974413453"/>
    <n v="1"/>
    <x v="18"/>
    <m/>
    <m/>
    <m/>
  </r>
  <r>
    <m/>
    <m/>
    <m/>
    <m/>
    <m/>
    <x v="1"/>
    <m/>
    <m/>
    <m/>
    <m/>
    <m/>
    <m/>
    <m/>
    <m/>
    <m/>
    <m/>
    <m/>
    <m/>
    <m/>
    <m/>
    <m/>
    <s v=""/>
    <m/>
    <m/>
    <m/>
    <m/>
    <m/>
    <n v="427"/>
    <n v="0"/>
    <s v="BE09744134531"/>
    <s v="BE0974413453"/>
    <n v="1"/>
    <x v="18"/>
    <m/>
    <m/>
    <m/>
  </r>
  <r>
    <m/>
    <m/>
    <m/>
    <m/>
    <m/>
    <x v="1"/>
    <m/>
    <m/>
    <m/>
    <m/>
    <m/>
    <m/>
    <m/>
    <m/>
    <m/>
    <m/>
    <m/>
    <m/>
    <m/>
    <m/>
    <m/>
    <s v=""/>
    <m/>
    <m/>
    <m/>
    <m/>
    <m/>
    <n v="428"/>
    <n v="0"/>
    <s v="BE09744134531"/>
    <s v="BE0974413453"/>
    <n v="1"/>
    <x v="18"/>
    <m/>
    <m/>
    <m/>
  </r>
  <r>
    <s v="CFE"/>
    <s v="Ingénierie "/>
    <s v="Belgique"/>
    <s v="Euro"/>
    <n v="122.8"/>
    <x v="3"/>
    <n v="3636000000"/>
    <n v="537800000"/>
    <n v="57976000"/>
    <n v="150008000"/>
    <n v="505700000"/>
    <n v="1936300000"/>
    <n v="76.489813222328621"/>
    <n v="7.7471466198419672E-2"/>
    <n v="1.5825881081081083E-2"/>
    <n v="25314482"/>
    <n v="3108618389.5999999"/>
    <n v="1.6054425396890977"/>
    <n v="6.7205622714763855"/>
    <m/>
    <n v="8227"/>
    <n v="441959.40196912608"/>
    <m/>
    <m/>
    <m/>
    <s v="La société a été constituée en 1880"/>
    <m/>
    <n v="429"/>
    <n v="0"/>
    <s v="BE000388303112021"/>
    <s v="BE0003883031"/>
    <n v="1"/>
    <x v="19"/>
    <m/>
    <m/>
    <m/>
  </r>
  <r>
    <m/>
    <m/>
    <m/>
    <m/>
    <m/>
    <x v="1"/>
    <n v="0.12849162011173187"/>
    <n v="0.29684108994453817"/>
    <n v="-0.71924455205811144"/>
    <n v="5.3333333333238642E-5"/>
    <m/>
    <m/>
    <m/>
    <m/>
    <m/>
    <m/>
    <m/>
    <m/>
    <m/>
    <m/>
    <m/>
    <s v=""/>
    <m/>
    <m/>
    <m/>
    <s v="Actionnariat : Ackermans &amp; van Haaren 62,1 %, Vinci 12,1 %"/>
    <m/>
    <n v="430"/>
    <n v="0"/>
    <s v="BE00038830311"/>
    <s v="BE0003883031"/>
    <n v="1"/>
    <x v="19"/>
    <m/>
    <m/>
    <m/>
  </r>
  <r>
    <m/>
    <m/>
    <m/>
    <m/>
    <n v="83.6"/>
    <x v="4"/>
    <n v="3222000000"/>
    <n v="414700000"/>
    <n v="206500000"/>
    <n v="150000000"/>
    <n v="601400000"/>
    <n v="1787100000"/>
    <n v="70.595953731148839"/>
    <n v="8.3934866543562192E-2"/>
    <n v="5.7631526062382248E-2"/>
    <n v="25314482"/>
    <n v="2116290695.1999998"/>
    <n v="1.1842038471266296"/>
    <n v="6.5533896677115981"/>
    <m/>
    <n v="8226"/>
    <n v="391684.90153172868"/>
    <m/>
    <m/>
    <m/>
    <s v="Activités : Dragage, environnement, offshore // Activité construction multitechnique (électricité tertiaire, réseaux de télécommunication) Rail et maintenance  // Promotion immobilière"/>
    <m/>
    <n v="431"/>
    <n v="0"/>
    <s v="BE000388303112020"/>
    <s v="BE0003883031"/>
    <n v="1"/>
    <x v="19"/>
    <m/>
    <m/>
    <m/>
  </r>
  <r>
    <m/>
    <m/>
    <m/>
    <m/>
    <m/>
    <x v="1"/>
    <n v="-0.11109884955996363"/>
    <n v="-8.0895390070921946E-2"/>
    <n v="0.72803347280334729"/>
    <n v="1.34375"/>
    <m/>
    <m/>
    <m/>
    <m/>
    <m/>
    <m/>
    <m/>
    <m/>
    <m/>
    <m/>
    <m/>
    <s v=""/>
    <m/>
    <m/>
    <m/>
    <s v="Salariés : 85 % d'homme et 14,8 % de femme"/>
    <m/>
    <n v="432"/>
    <n v="0"/>
    <s v="BE00038830311"/>
    <s v="BE0003883031"/>
    <n v="1"/>
    <x v="19"/>
    <m/>
    <m/>
    <m/>
  </r>
  <r>
    <m/>
    <m/>
    <m/>
    <m/>
    <n v="97.3"/>
    <x v="5"/>
    <n v="3624700000"/>
    <n v="451200000"/>
    <n v="119500000"/>
    <n v="64000000"/>
    <n v="798100000"/>
    <n v="1748700000"/>
    <n v="69.079035470684332"/>
    <n v="3.6598616114828161E-2"/>
    <n v="3.1277956651484216E-2"/>
    <n v="25314482"/>
    <n v="2463099098.5999999"/>
    <n v="1.4085315369131355"/>
    <n v="7.2278348816489357"/>
    <m/>
    <n v="8410"/>
    <n v="430998.81093935791"/>
    <m/>
    <m/>
    <m/>
    <s v="Président du CA : Luc Bertrand                  Administrateur Délégué :   Piet Dejonghe"/>
    <m/>
    <n v="433"/>
    <n v="0"/>
    <s v="BE000388303112019"/>
    <s v="BE0003883031"/>
    <n v="1"/>
    <x v="19"/>
    <m/>
    <m/>
    <m/>
  </r>
  <r>
    <m/>
    <m/>
    <m/>
    <m/>
    <m/>
    <x v="1"/>
    <n v="-4.3674119650607413E-3"/>
    <n v="-7.5409836065573721E-2"/>
    <n v="-0.32751828925154758"/>
    <n v="-0.52023988005997002"/>
    <m/>
    <m/>
    <m/>
    <m/>
    <m/>
    <m/>
    <m/>
    <m/>
    <m/>
    <m/>
    <m/>
    <s v=""/>
    <m/>
    <m/>
    <m/>
    <s v="Répartition du Chiffre d'affaires : 66 % DEME"/>
    <m/>
    <n v="434"/>
    <n v="0"/>
    <s v="BE00038830311"/>
    <s v="BE0003883031"/>
    <n v="1"/>
    <x v="19"/>
    <m/>
    <m/>
    <m/>
  </r>
  <r>
    <m/>
    <m/>
    <m/>
    <m/>
    <n v="86.4"/>
    <x v="6"/>
    <n v="3640600000"/>
    <n v="488000000"/>
    <n v="177700000"/>
    <n v="133400000"/>
    <n v="648300000"/>
    <n v="1720900000"/>
    <n v="67.980849855035544"/>
    <n v="7.7517578011505606E-2"/>
    <n v="4.9997813607968934E-2"/>
    <n v="25314482"/>
    <n v="2187171244.8000002"/>
    <n v="1.2709461588703586"/>
    <n v="5.8103918950819677"/>
    <m/>
    <n v="8598"/>
    <n v="423424.05210514076"/>
    <m/>
    <m/>
    <m/>
    <s v="Répartition du Chiffre d'affaires  par zone géographique : "/>
    <m/>
    <n v="435"/>
    <n v="0"/>
    <s v="BE000388303112018"/>
    <s v="BE0003883031"/>
    <n v="1"/>
    <x v="19"/>
    <m/>
    <m/>
    <m/>
  </r>
  <r>
    <m/>
    <m/>
    <m/>
    <m/>
    <m/>
    <x v="1"/>
    <n v="0.18721669655959561"/>
    <n v="-2.5364489714399863E-2"/>
    <n v="-0.21786971830985913"/>
    <n v="-0.22215743440233238"/>
    <m/>
    <m/>
    <m/>
    <m/>
    <m/>
    <m/>
    <m/>
    <m/>
    <m/>
    <m/>
    <m/>
    <s v=""/>
    <m/>
    <m/>
    <m/>
    <s v="En 2021-12, Le groupe a décidé de scinder ses activités, en deux sociétés côtées distinctes : CFE et DEME"/>
    <m/>
    <n v="436"/>
    <n v="0"/>
    <s v="BE00038830311"/>
    <s v="BE0003883031"/>
    <n v="1"/>
    <x v="19"/>
    <m/>
    <m/>
    <m/>
  </r>
  <r>
    <m/>
    <m/>
    <m/>
    <m/>
    <n v="121.7"/>
    <x v="7"/>
    <n v="3066500000"/>
    <n v="500700000"/>
    <n v="227200000"/>
    <n v="171500000"/>
    <n v="351900000"/>
    <n v="1641900000"/>
    <n v="64.860106558767427"/>
    <n v="0.10445215908398807"/>
    <n v="7.5961239843514897E-2"/>
    <n v="25314482"/>
    <n v="3080772459.4000001"/>
    <n v="1.8763459768560815"/>
    <n v="6.8557468731775515"/>
    <m/>
    <n v="8689"/>
    <n v="352917.48187363334"/>
    <m/>
    <m/>
    <m/>
    <s v="En 2021, 2 Filiales en Russie, Exposition faible d'après le rapport annuel"/>
    <m/>
    <n v="437"/>
    <n v="0"/>
    <s v="BE000388303112017"/>
    <s v="BE0003883031"/>
    <n v="1"/>
    <x v="19"/>
    <m/>
    <m/>
    <m/>
  </r>
  <r>
    <m/>
    <m/>
    <m/>
    <m/>
    <m/>
    <x v="1"/>
    <m/>
    <m/>
    <m/>
    <m/>
    <m/>
    <m/>
    <m/>
    <m/>
    <m/>
    <m/>
    <m/>
    <m/>
    <m/>
    <m/>
    <m/>
    <s v=""/>
    <m/>
    <m/>
    <m/>
    <s v="En 2022, le 29 juin, la scission partielle entre CFE et DEME est prévue. "/>
    <m/>
    <n v="438"/>
    <n v="0"/>
    <s v="BE00038830311"/>
    <s v="BE0003883031"/>
    <n v="1"/>
    <x v="19"/>
    <m/>
    <m/>
    <m/>
  </r>
  <r>
    <m/>
    <m/>
    <m/>
    <m/>
    <m/>
    <x v="1"/>
    <m/>
    <m/>
    <m/>
    <m/>
    <m/>
    <m/>
    <m/>
    <m/>
    <m/>
    <m/>
    <m/>
    <m/>
    <m/>
    <m/>
    <m/>
    <s v=""/>
    <m/>
    <m/>
    <m/>
    <s v="CAC : Ernst &amp; Young"/>
    <m/>
    <n v="439"/>
    <n v="0"/>
    <s v="BE00038830311"/>
    <s v="BE0003883031"/>
    <n v="1"/>
    <x v="19"/>
    <m/>
    <m/>
    <m/>
  </r>
  <r>
    <m/>
    <m/>
    <m/>
    <m/>
    <m/>
    <x v="1"/>
    <m/>
    <m/>
    <m/>
    <m/>
    <m/>
    <m/>
    <m/>
    <m/>
    <m/>
    <m/>
    <m/>
    <m/>
    <m/>
    <m/>
    <m/>
    <s v=""/>
    <m/>
    <m/>
    <m/>
    <s v="Minoritaire : 2 %"/>
    <m/>
    <n v="440"/>
    <n v="0"/>
    <s v="BE00038830311"/>
    <s v="BE0003883031"/>
    <n v="1"/>
    <x v="19"/>
    <m/>
    <m/>
    <m/>
  </r>
  <r>
    <m/>
    <m/>
    <m/>
    <m/>
    <m/>
    <x v="1"/>
    <m/>
    <m/>
    <m/>
    <m/>
    <m/>
    <m/>
    <m/>
    <m/>
    <m/>
    <m/>
    <m/>
    <m/>
    <m/>
    <m/>
    <m/>
    <s v=""/>
    <m/>
    <m/>
    <m/>
    <s v="Pay-out ratio :"/>
    <m/>
    <n v="441"/>
    <n v="0"/>
    <s v="BE00038830311"/>
    <s v="BE0003883031"/>
    <n v="1"/>
    <x v="19"/>
    <m/>
    <m/>
    <m/>
  </r>
  <r>
    <m/>
    <m/>
    <m/>
    <m/>
    <m/>
    <x v="1"/>
    <m/>
    <m/>
    <m/>
    <m/>
    <m/>
    <m/>
    <m/>
    <m/>
    <m/>
    <m/>
    <m/>
    <m/>
    <m/>
    <m/>
    <m/>
    <s v=""/>
    <m/>
    <m/>
    <m/>
    <m/>
    <m/>
    <n v="442"/>
    <n v="0"/>
    <s v="BE00038830311"/>
    <s v="BE0003883031"/>
    <n v="1"/>
    <x v="19"/>
    <m/>
    <m/>
    <m/>
  </r>
  <r>
    <m/>
    <m/>
    <m/>
    <m/>
    <m/>
    <x v="1"/>
    <m/>
    <m/>
    <m/>
    <m/>
    <m/>
    <m/>
    <m/>
    <m/>
    <m/>
    <m/>
    <m/>
    <m/>
    <m/>
    <m/>
    <m/>
    <s v=""/>
    <m/>
    <m/>
    <m/>
    <m/>
    <m/>
    <n v="443"/>
    <n v="0"/>
    <s v="BE00038830311"/>
    <s v="BE0003883031"/>
    <n v="1"/>
    <x v="19"/>
    <m/>
    <m/>
    <m/>
  </r>
  <r>
    <m/>
    <m/>
    <m/>
    <m/>
    <m/>
    <x v="1"/>
    <m/>
    <m/>
    <m/>
    <m/>
    <m/>
    <m/>
    <m/>
    <m/>
    <m/>
    <m/>
    <m/>
    <m/>
    <m/>
    <m/>
    <m/>
    <s v=""/>
    <m/>
    <m/>
    <m/>
    <m/>
    <m/>
    <n v="444"/>
    <n v="0"/>
    <s v="BE00038830311"/>
    <s v="BE0003883031"/>
    <n v="1"/>
    <x v="19"/>
    <m/>
    <m/>
    <m/>
  </r>
  <r>
    <m/>
    <m/>
    <m/>
    <m/>
    <m/>
    <x v="1"/>
    <m/>
    <m/>
    <m/>
    <m/>
    <m/>
    <m/>
    <m/>
    <m/>
    <m/>
    <m/>
    <m/>
    <m/>
    <m/>
    <m/>
    <m/>
    <s v=""/>
    <m/>
    <m/>
    <m/>
    <m/>
    <m/>
    <n v="445"/>
    <n v="0"/>
    <s v="BE00038830311"/>
    <s v="BE0003883031"/>
    <n v="1"/>
    <x v="19"/>
    <m/>
    <m/>
    <m/>
  </r>
  <r>
    <m/>
    <m/>
    <m/>
    <m/>
    <m/>
    <x v="1"/>
    <m/>
    <m/>
    <m/>
    <m/>
    <m/>
    <m/>
    <m/>
    <m/>
    <m/>
    <m/>
    <m/>
    <m/>
    <m/>
    <m/>
    <m/>
    <s v=""/>
    <m/>
    <m/>
    <m/>
    <m/>
    <m/>
    <n v="446"/>
    <n v="0"/>
    <s v="BE00038830311"/>
    <s v="BE0003883031"/>
    <n v="1"/>
    <x v="19"/>
    <m/>
    <m/>
    <m/>
  </r>
  <r>
    <s v="Mersen"/>
    <s v="Spécialités électriques "/>
    <s v="France"/>
    <s v="Euro"/>
    <n v="36"/>
    <x v="0"/>
    <n v="1226280000"/>
    <n v="208467600.00000003"/>
    <n v="134890800"/>
    <n v="95000000"/>
    <n v="180000000"/>
    <n v="640000000"/>
    <n v="26.235298241025735"/>
    <n v="0.16379310344827586"/>
    <n v="0.13844055789473683"/>
    <n v="24394615"/>
    <n v="878206140"/>
    <n v="1.3721970937500001"/>
    <n v="5.076118015461395"/>
    <s v="Non noté"/>
    <n v="7000"/>
    <n v="175182.85714285713"/>
    <n v="50000000"/>
    <s v="E (impact) = -1"/>
    <m/>
    <s v="Société industrielle fondée en 1937, actionnaire institutionnelle (CDC : 4,9% et BPI France : 10,8%) "/>
    <m/>
    <n v="447"/>
    <n v="0"/>
    <s v="FR000003962012023"/>
    <s v="FR0000039620"/>
    <n v="1"/>
    <x v="20"/>
    <m/>
    <m/>
    <m/>
  </r>
  <r>
    <m/>
    <m/>
    <m/>
    <m/>
    <m/>
    <x v="1"/>
    <n v="0.10000000000000009"/>
    <n v="8.7209302325581772E-2"/>
    <n v="0.11009174311926606"/>
    <n v="0.18159203980099492"/>
    <m/>
    <m/>
    <m/>
    <m/>
    <m/>
    <m/>
    <m/>
    <m/>
    <m/>
    <m/>
    <m/>
    <s v=""/>
    <m/>
    <s v="E (effort) = 1"/>
    <m/>
    <s v="Asie : 28% du CA - Europe : 34% - Amérique du Nord : 35% présent dans 35 pays avec 55 sites industrielles et 16 centres de R&amp;D"/>
    <m/>
    <n v="448"/>
    <n v="0"/>
    <s v="FR00000396201"/>
    <s v="FR0000039620"/>
    <n v="1"/>
    <x v="20"/>
    <m/>
    <m/>
    <m/>
  </r>
  <r>
    <m/>
    <m/>
    <m/>
    <m/>
    <n v="37.75"/>
    <x v="2"/>
    <n v="1114800000"/>
    <n v="191745599.99999997"/>
    <n v="121513200"/>
    <n v="80400000"/>
    <n v="180000000"/>
    <n v="580000000"/>
    <n v="27.856214099403555"/>
    <n v="0.14888888888888888"/>
    <n v="0.13163929999999999"/>
    <n v="20821207"/>
    <n v="786000564.25"/>
    <n v="1.355173386637931"/>
    <n v="5.0379281936586819"/>
    <m/>
    <n v="6900"/>
    <n v="161565.21739130435"/>
    <n v="50000000"/>
    <s v="S = -1"/>
    <m/>
    <s v="Présent dans les secteurs de l'aéronautique, de la chimie, de l'industrie de procédés (difficile) et les énergies renouvelables, l'électronique, le transport vert (plus favorable)"/>
    <m/>
    <n v="449"/>
    <n v="0"/>
    <s v="FR000003962012022"/>
    <s v="FR0000039620"/>
    <n v="1"/>
    <x v="20"/>
    <m/>
    <m/>
    <m/>
  </r>
  <r>
    <m/>
    <m/>
    <m/>
    <m/>
    <m/>
    <x v="1"/>
    <n v="0.2080624187256177"/>
    <n v="0.28861290322580624"/>
    <n v="0.3122375809935205"/>
    <n v="0.48888888888888893"/>
    <m/>
    <m/>
    <m/>
    <m/>
    <m/>
    <m/>
    <m/>
    <m/>
    <m/>
    <m/>
    <m/>
    <s v=""/>
    <m/>
    <s v="G = 2"/>
    <m/>
    <s v="Croissance de l'activité liée aux matériaux vendus pour le solaire, le véhicule électrique et les semi-conducteurs / Dynamisme en Europe, aux États-Unis et en Asie  "/>
    <m/>
    <n v="450"/>
    <n v="0"/>
    <s v="FR00000396201"/>
    <s v="FR0000039620"/>
    <n v="1"/>
    <x v="20"/>
    <m/>
    <m/>
    <m/>
  </r>
  <r>
    <m/>
    <m/>
    <m/>
    <m/>
    <n v="36.9"/>
    <x v="3"/>
    <n v="922800000"/>
    <n v="148800000"/>
    <n v="92600000"/>
    <n v="54000000"/>
    <n v="180000000"/>
    <n v="540000000"/>
    <n v="25.935095885651585"/>
    <n v="0.10604870384917518"/>
    <n v="0.10330091533180778"/>
    <n v="20821207"/>
    <n v="768302538.29999995"/>
    <n v="1.4227824783333332"/>
    <n v="6.3730009294354835"/>
    <m/>
    <n v="6968"/>
    <n v="132433.98392652124"/>
    <n v="38200000"/>
    <m/>
    <m/>
    <s v="Premier client : 3,6% du CA et les dix premiers moins de 20%"/>
    <m/>
    <n v="451"/>
    <n v="0"/>
    <s v="FR000003962012021"/>
    <s v="FR0000039620"/>
    <n v="1"/>
    <x v="20"/>
    <m/>
    <m/>
    <m/>
  </r>
  <r>
    <m/>
    <m/>
    <m/>
    <m/>
    <m/>
    <x v="1"/>
    <n v="8.9235127478753506E-2"/>
    <n v="0.3052631578947369"/>
    <n v="0.36626534466477811"/>
    <n v="9.8000000000000007"/>
    <m/>
    <m/>
    <m/>
    <m/>
    <m/>
    <m/>
    <m/>
    <m/>
    <m/>
    <m/>
    <m/>
    <s v=""/>
    <m/>
    <m/>
    <m/>
    <s v="Marché de remplacement pour 65% de l'activité (mature) et croissance sur la partie énergie renouvelable, l'électrique et semi-conducteurs"/>
    <m/>
    <n v="452"/>
    <n v="0"/>
    <s v="FR00000396201"/>
    <s v="FR0000039620"/>
    <n v="1"/>
    <x v="20"/>
    <m/>
    <m/>
    <m/>
  </r>
  <r>
    <m/>
    <m/>
    <m/>
    <m/>
    <n v="24.75"/>
    <x v="4"/>
    <n v="847200000"/>
    <n v="114000000"/>
    <n v="67776000"/>
    <n v="5000000"/>
    <n v="190000000"/>
    <n v="509200000"/>
    <n v="24.412429685418612"/>
    <n v="9.1141086401749904E-3"/>
    <n v="6.8942723004694839E-2"/>
    <n v="20858227"/>
    <n v="516241118.25"/>
    <n v="1.0138278048900236"/>
    <n v="6.1950975285087715"/>
    <m/>
    <n v="6900"/>
    <n v="122782.60869565218"/>
    <n v="76000000"/>
    <m/>
    <m/>
    <s v="Luc Themelin (né en 1961) Dirigeant depuis 2011 (chez Mersen depuis 1988), renouvelé en 2016 comme DG pour 4 ans. "/>
    <m/>
    <n v="453"/>
    <n v="0"/>
    <s v="FR000003962012020"/>
    <s v="FR0000039620"/>
    <n v="1"/>
    <x v="20"/>
    <m/>
    <m/>
    <m/>
  </r>
  <r>
    <m/>
    <m/>
    <m/>
    <m/>
    <m/>
    <x v="1"/>
    <n v="-0.10839823195116816"/>
    <n v="-0.26261319534282013"/>
    <n v="-0.33618021547502452"/>
    <n v="-0.91273996509598598"/>
    <m/>
    <m/>
    <m/>
    <m/>
    <m/>
    <m/>
    <m/>
    <m/>
    <m/>
    <m/>
    <m/>
    <s v=""/>
    <m/>
    <m/>
    <m/>
    <s v="Olivier Legrain, président du directoire depuis le 18 mai 2017. Il a remplacé Hervé Couffin "/>
    <m/>
    <n v="454"/>
    <n v="0"/>
    <s v="FR00000396201"/>
    <s v="FR0000039620"/>
    <n v="1"/>
    <x v="20"/>
    <m/>
    <m/>
    <m/>
  </r>
  <r>
    <m/>
    <m/>
    <m/>
    <m/>
    <n v="31"/>
    <x v="5"/>
    <n v="950200000"/>
    <n v="154600000"/>
    <n v="102100000"/>
    <n v="57300000"/>
    <n v="218200000"/>
    <n v="548600000"/>
    <n v="26.301372595091614"/>
    <n v="0.11317400750543156"/>
    <n v="0.110332502078138"/>
    <n v="20858227"/>
    <n v="646605037"/>
    <n v="1.178645710900474"/>
    <n v="5.5938230077619666"/>
    <m/>
    <m/>
    <s v=""/>
    <n v="60000000"/>
    <m/>
    <m/>
    <s v="En 2016, actif net à 24 euros au 31/12/2016. Déclin enrayé, perspectives 2017 : CA entre 0 et +2% et marge entre 50 et 100 bp tiré par l'aéronautique et le photovoltaique. Achat vers 19 euros pour viser un retour sur l'actif net. Pas de création de valeur."/>
    <m/>
    <n v="455"/>
    <n v="0"/>
    <s v="FR000003962012019"/>
    <s v="FR0000039620"/>
    <n v="1"/>
    <x v="20"/>
    <m/>
    <m/>
    <m/>
  </r>
  <r>
    <m/>
    <m/>
    <m/>
    <m/>
    <m/>
    <x v="1"/>
    <n v="8.1616391576550873E-2"/>
    <n v="0.18649270913277061"/>
    <n v="0.11462882096069871"/>
    <n v="1.4159292035398341E-2"/>
    <m/>
    <m/>
    <m/>
    <m/>
    <m/>
    <m/>
    <m/>
    <m/>
    <m/>
    <m/>
    <m/>
    <s v=""/>
    <m/>
    <m/>
    <m/>
    <s v="En 2017, le 20 juillet, Mersen relève ses objectifs à +5% pour le CA et 8,8% pour la marge. Bons résultats 2017 en ligne avec les dernières prévisions de la société. Valorisation normale à élevée (11 fois le résultat d'exploitation 2017)"/>
    <m/>
    <n v="456"/>
    <n v="0"/>
    <s v="FR00000396201"/>
    <s v="FR0000039620"/>
    <n v="1"/>
    <x v="20"/>
    <m/>
    <m/>
    <m/>
  </r>
  <r>
    <m/>
    <m/>
    <m/>
    <m/>
    <n v="23"/>
    <x v="6"/>
    <n v="878500000"/>
    <n v="130300000"/>
    <n v="91600000"/>
    <n v="56500000"/>
    <n v="215500000"/>
    <n v="506300000"/>
    <n v="24.378713564705286"/>
    <n v="0.12114065180102916"/>
    <n v="0.11085802948021722"/>
    <n v="20768118"/>
    <n v="477666714"/>
    <n v="0.94344600829547698"/>
    <n v="5.3197752417498085"/>
    <m/>
    <m/>
    <s v=""/>
    <m/>
    <m/>
    <m/>
    <s v="En 2017, pas d'acquisition"/>
    <m/>
    <n v="457"/>
    <n v="0"/>
    <s v="FR000003962012018"/>
    <s v="FR0000039620"/>
    <n v="1"/>
    <x v="20"/>
    <m/>
    <m/>
    <m/>
  </r>
  <r>
    <m/>
    <m/>
    <m/>
    <m/>
    <m/>
    <x v="1"/>
    <n v="8.5640138408304534E-2"/>
    <n v="0.14298245614035077"/>
    <n v="0.22788203753351199"/>
    <n v="0.50265957446808507"/>
    <m/>
    <m/>
    <m/>
    <m/>
    <m/>
    <m/>
    <m/>
    <m/>
    <m/>
    <m/>
    <m/>
    <s v=""/>
    <m/>
    <m/>
    <m/>
    <s v="En 2018, relève à nouveau : CA +9% marge à 9-9,2% pourrait 800 M euros de CA. Rachat de minoritaires de Ciprotec en 2018"/>
    <m/>
    <n v="458"/>
    <n v="0"/>
    <s v="FR00000396201"/>
    <s v="FR0000039620"/>
    <n v="1"/>
    <x v="20"/>
    <m/>
    <m/>
    <m/>
  </r>
  <r>
    <m/>
    <m/>
    <m/>
    <m/>
    <n v="40.700000000000003"/>
    <x v="7"/>
    <n v="809200000"/>
    <n v="114000000"/>
    <n v="74600000"/>
    <n v="37600000"/>
    <n v="178100000"/>
    <n v="466400000"/>
    <n v="22.782499328101892"/>
    <n v="7.6329679252943566E-2"/>
    <n v="8.3675582398619497E-2"/>
    <n v="20471854"/>
    <n v="833204457.80000007"/>
    <n v="1.7864589575471699"/>
    <n v="8.8710917350877203"/>
    <m/>
    <m/>
    <s v=""/>
    <m/>
    <m/>
    <m/>
    <s v="En 2018, 30 M euros d'acquisition. Achat d'une société de condensateurs (FT cap) 20 M euros de CA basée en Allemagne et Suisse. Investissement dans la partie Graphite, fibre de carbone et carbure de silicium "/>
    <m/>
    <n v="459"/>
    <n v="0"/>
    <s v="FR000003962012017"/>
    <s v="FR0000039620"/>
    <n v="1"/>
    <x v="20"/>
    <m/>
    <m/>
    <m/>
  </r>
  <r>
    <m/>
    <m/>
    <m/>
    <m/>
    <m/>
    <x v="1"/>
    <n v="5.971712938711371E-2"/>
    <n v="0.17890382626680457"/>
    <n v="0.24540901502504164"/>
    <n v="10.75"/>
    <m/>
    <m/>
    <m/>
    <m/>
    <m/>
    <m/>
    <m/>
    <m/>
    <m/>
    <m/>
    <m/>
    <s v=""/>
    <m/>
    <m/>
    <m/>
    <s v="En 2019, Impact IFRS 16 sur la dette + 40 Me. Exercice de qualité, acquisition auprès de Graftech du site industrielle de Columbia aux États-Unis et minoritaires de la filiale italienne. Total : 19,4 M euros"/>
    <m/>
    <n v="460"/>
    <n v="0"/>
    <s v="FR00000396201"/>
    <s v="FR0000039620"/>
    <n v="1"/>
    <x v="20"/>
    <m/>
    <m/>
    <m/>
  </r>
  <r>
    <m/>
    <m/>
    <m/>
    <m/>
    <n v="22.6"/>
    <x v="8"/>
    <n v="763600000"/>
    <n v="96700000"/>
    <n v="59900000"/>
    <n v="3200000"/>
    <n v="202800000"/>
    <n v="492600000"/>
    <n v="24.06336549467753"/>
    <n v="6.5306122448979594E-3"/>
    <n v="6.4311080523055744E-2"/>
    <n v="20470952"/>
    <n v="462643515.20000005"/>
    <n v="0.93918699796995542"/>
    <n v="6.8815254932781809"/>
    <m/>
    <m/>
    <s v=""/>
    <m/>
    <m/>
    <m/>
    <s v="En 2020, plan d'adaptation et de réduction d'effectifs sur la partie advanced materials destinés à la chimie et l'aéronautique pour 51 M euros. Acquisition de la société GAB Neumann (échangeur de chaleur graphite) et Americarb (isolation). Total : 13,6 M euros"/>
    <m/>
    <n v="461"/>
    <n v="0"/>
    <s v="FR000003962012016"/>
    <s v="FR0000039620"/>
    <n v="1"/>
    <x v="20"/>
    <m/>
    <m/>
    <m/>
  </r>
  <r>
    <m/>
    <m/>
    <m/>
    <m/>
    <m/>
    <x v="1"/>
    <n v="-5.2110474205315782E-3"/>
    <n v="-3.7810945273631824E-2"/>
    <n v="-1.6420361247947435E-2"/>
    <n v="0.23076923076923084"/>
    <m/>
    <m/>
    <m/>
    <m/>
    <m/>
    <m/>
    <m/>
    <m/>
    <m/>
    <m/>
    <m/>
    <s v=""/>
    <m/>
    <m/>
    <m/>
    <s v="En 2021, activité proche de 2019. Sortie définitive d'Ardian (3,94%) du capital de Mersen à 26 euros le 5 février 2021. Précédente cession en 2017 avec SOFINA avec la vente de 11% du capital à 35 euros. Entrée au capital en 2008 pendant l'été "/>
    <m/>
    <n v="462"/>
    <n v="0"/>
    <s v="FR00000396201"/>
    <s v="FR0000039620"/>
    <n v="1"/>
    <x v="20"/>
    <m/>
    <m/>
    <m/>
  </r>
  <r>
    <m/>
    <m/>
    <m/>
    <m/>
    <n v="15.6"/>
    <x v="9"/>
    <n v="767600000"/>
    <n v="100500000"/>
    <n v="60900000"/>
    <n v="2600000"/>
    <n v="236500000"/>
    <n v="490000000"/>
    <n v="23.680587727056967"/>
    <n v="5.3061224489795921E-3"/>
    <n v="6.5384721266345494E-2"/>
    <n v="20692054"/>
    <n v="322796042.39999998"/>
    <n v="0.65876743346938771"/>
    <n v="5.565134750248756"/>
    <m/>
    <m/>
    <s v=""/>
    <m/>
    <m/>
    <m/>
    <s v="En 2021, offre de Mersen sur les matériaux et feutre d'isolation : potentiel CA de 140 à 170 M euros en 2025 et 280 M euros en 2030 pour 8 à 12 M euros d'investissement par an et partenariat avec Soitec pour l'électronique des voitures"/>
    <m/>
    <n v="463"/>
    <n v="0"/>
    <s v="FR000003962012015"/>
    <s v="FR0000039620"/>
    <n v="1"/>
    <x v="20"/>
    <m/>
    <m/>
    <m/>
  </r>
  <r>
    <m/>
    <m/>
    <m/>
    <m/>
    <m/>
    <x v="1"/>
    <m/>
    <m/>
    <m/>
    <m/>
    <m/>
    <m/>
    <m/>
    <m/>
    <m/>
    <m/>
    <m/>
    <m/>
    <m/>
    <m/>
    <m/>
    <s v=""/>
    <m/>
    <m/>
    <m/>
    <s v="En 2021, résultats solides avec une nette amélioration. Le solaire est en hausse (90% de la production du marché est en Chine). Aéronautique se redresse mais inférieur à 2019 et le ferrovaire progresse lentement. Le reste croît bien"/>
    <m/>
    <n v="464"/>
    <n v="0"/>
    <s v="FR00000396201"/>
    <s v="FR0000039620"/>
    <n v="1"/>
    <x v="20"/>
    <m/>
    <m/>
    <m/>
  </r>
  <r>
    <m/>
    <m/>
    <m/>
    <m/>
    <m/>
    <x v="1"/>
    <m/>
    <m/>
    <m/>
    <m/>
    <m/>
    <m/>
    <m/>
    <m/>
    <m/>
    <m/>
    <m/>
    <m/>
    <m/>
    <m/>
    <m/>
    <s v=""/>
    <m/>
    <m/>
    <m/>
    <s v="Investissement à 79 M euros (usine de graphite à Columbia entre autres)"/>
    <m/>
    <n v="465"/>
    <n v="0"/>
    <s v="FR00000396201"/>
    <s v="FR0000039620"/>
    <n v="1"/>
    <x v="20"/>
    <m/>
    <m/>
    <m/>
  </r>
  <r>
    <m/>
    <m/>
    <m/>
    <m/>
    <m/>
    <x v="1"/>
    <m/>
    <m/>
    <m/>
    <m/>
    <m/>
    <m/>
    <m/>
    <m/>
    <m/>
    <m/>
    <m/>
    <m/>
    <m/>
    <m/>
    <m/>
    <s v=""/>
    <m/>
    <m/>
    <m/>
    <s v="En 2022, hausse autour de 3-6% du CA et marge d'exploitation à 10%. L'impact de la Russie en direct est faible à 0,3% du CA, pas d'usines et pas d'effectifs"/>
    <m/>
    <n v="466"/>
    <n v="0"/>
    <s v="FR00000396201"/>
    <s v="FR0000039620"/>
    <n v="1"/>
    <x v="20"/>
    <m/>
    <m/>
    <m/>
  </r>
  <r>
    <m/>
    <m/>
    <m/>
    <m/>
    <m/>
    <x v="1"/>
    <m/>
    <m/>
    <m/>
    <m/>
    <m/>
    <m/>
    <m/>
    <m/>
    <m/>
    <m/>
    <m/>
    <m/>
    <m/>
    <m/>
    <m/>
    <s v=""/>
    <m/>
    <m/>
    <m/>
    <s v="Excllent résultats 2022, grâce à l'éolien et aux micro-processeurs, 90 M eurors d'investissement de prévu. Le plan de marche 2025 devrait être atteint"/>
    <m/>
    <n v="467"/>
    <n v="0"/>
    <s v="FR00000396201"/>
    <s v="FR0000039620"/>
    <n v="1"/>
    <x v="20"/>
    <m/>
    <m/>
    <m/>
  </r>
  <r>
    <m/>
    <m/>
    <m/>
    <m/>
    <m/>
    <x v="1"/>
    <m/>
    <m/>
    <m/>
    <m/>
    <m/>
    <m/>
    <m/>
    <m/>
    <m/>
    <m/>
    <m/>
    <m/>
    <m/>
    <m/>
    <m/>
    <s v=""/>
    <m/>
    <m/>
    <m/>
    <s v="En 2023, augmentation de capital de 100 Me à 28 euros (3,57 Millions de titres) pour financer la croissance des marchés : 400 Me à investir, véhicule électrique (hausse des capacités de production) et le solaire"/>
    <m/>
    <n v="468"/>
    <n v="0"/>
    <s v="FR00000396201"/>
    <s v="FR0000039620"/>
    <n v="1"/>
    <x v="20"/>
    <m/>
    <m/>
    <m/>
  </r>
  <r>
    <m/>
    <m/>
    <m/>
    <m/>
    <m/>
    <x v="1"/>
    <m/>
    <m/>
    <m/>
    <m/>
    <m/>
    <m/>
    <m/>
    <m/>
    <m/>
    <m/>
    <m/>
    <m/>
    <m/>
    <m/>
    <m/>
    <s v=""/>
    <m/>
    <m/>
    <m/>
    <s v="Plan 2025 : 1,2 Md euros de CA avec EBE à 17,5 % et Rex à 11% et un ROCE à 12% avec une implication sur l'environnement et l'éthique"/>
    <m/>
    <n v="469"/>
    <n v="0"/>
    <s v="FR00000396201"/>
    <s v="FR0000039620"/>
    <n v="1"/>
    <x v="20"/>
    <m/>
    <m/>
    <m/>
  </r>
  <r>
    <m/>
    <m/>
    <m/>
    <m/>
    <m/>
    <x v="1"/>
    <m/>
    <m/>
    <m/>
    <m/>
    <m/>
    <m/>
    <m/>
    <m/>
    <m/>
    <m/>
    <m/>
    <m/>
    <m/>
    <m/>
    <m/>
    <s v=""/>
    <m/>
    <m/>
    <m/>
    <s v="Plan 2027 : 1,7 Md e de CA avec EBE à 19% (300 Me) et Rex à 12% (200 Me) et un ROCE à 13%. Objectif cours 55 - 60  euros"/>
    <m/>
    <n v="470"/>
    <n v="0"/>
    <s v="FR00000396201"/>
    <s v="FR0000039620"/>
    <n v="1"/>
    <x v="20"/>
    <m/>
    <m/>
    <m/>
  </r>
  <r>
    <m/>
    <m/>
    <m/>
    <m/>
    <m/>
    <x v="1"/>
    <m/>
    <m/>
    <m/>
    <m/>
    <m/>
    <m/>
    <m/>
    <m/>
    <m/>
    <m/>
    <m/>
    <m/>
    <m/>
    <m/>
    <m/>
    <s v=""/>
    <m/>
    <m/>
    <m/>
    <s v="IS : 22%"/>
    <m/>
    <n v="471"/>
    <n v="0"/>
    <s v="FR00000396201"/>
    <s v="FR0000039620"/>
    <n v="1"/>
    <x v="20"/>
    <m/>
    <m/>
    <m/>
  </r>
  <r>
    <m/>
    <m/>
    <m/>
    <m/>
    <m/>
    <x v="1"/>
    <m/>
    <m/>
    <m/>
    <m/>
    <m/>
    <m/>
    <m/>
    <m/>
    <m/>
    <m/>
    <m/>
    <m/>
    <m/>
    <m/>
    <m/>
    <s v=""/>
    <m/>
    <m/>
    <m/>
    <s v="CAC : KPMG et Deloitte"/>
    <m/>
    <n v="472"/>
    <n v="0"/>
    <s v="FR00000396201"/>
    <s v="FR0000039620"/>
    <n v="1"/>
    <x v="20"/>
    <m/>
    <m/>
    <m/>
  </r>
  <r>
    <m/>
    <m/>
    <m/>
    <m/>
    <m/>
    <x v="1"/>
    <m/>
    <m/>
    <m/>
    <m/>
    <m/>
    <m/>
    <m/>
    <m/>
    <m/>
    <m/>
    <m/>
    <m/>
    <m/>
    <m/>
    <m/>
    <s v=""/>
    <m/>
    <m/>
    <m/>
    <s v="Minoritaires : 5%. En Chine (Yantai détenue à 60%) et un peu en Colombie et Afrique du Sud"/>
    <m/>
    <n v="473"/>
    <n v="0"/>
    <s v="FR00000396201"/>
    <s v="FR0000039620"/>
    <n v="1"/>
    <x v="20"/>
    <m/>
    <m/>
    <m/>
  </r>
  <r>
    <m/>
    <m/>
    <m/>
    <m/>
    <m/>
    <x v="1"/>
    <m/>
    <m/>
    <m/>
    <m/>
    <m/>
    <m/>
    <m/>
    <m/>
    <m/>
    <m/>
    <m/>
    <m/>
    <m/>
    <m/>
    <m/>
    <s v=""/>
    <m/>
    <m/>
    <m/>
    <s v="Pay-out ratio : 36%. Suppression du dividende 2019 versé en 2020. Retour du dividende en 2021 "/>
    <m/>
    <n v="474"/>
    <n v="0"/>
    <s v="FR00000396201"/>
    <s v="FR0000039620"/>
    <n v="1"/>
    <x v="20"/>
    <m/>
    <m/>
    <m/>
  </r>
  <r>
    <m/>
    <m/>
    <m/>
    <m/>
    <m/>
    <x v="1"/>
    <m/>
    <m/>
    <m/>
    <m/>
    <m/>
    <m/>
    <m/>
    <m/>
    <m/>
    <m/>
    <m/>
    <m/>
    <m/>
    <m/>
    <m/>
    <s v=""/>
    <m/>
    <m/>
    <m/>
    <m/>
    <m/>
    <n v="475"/>
    <n v="0"/>
    <s v="FR00000396201"/>
    <s v="FR0000039620"/>
    <n v="1"/>
    <x v="20"/>
    <m/>
    <m/>
    <m/>
  </r>
  <r>
    <m/>
    <m/>
    <m/>
    <m/>
    <m/>
    <x v="1"/>
    <m/>
    <m/>
    <m/>
    <m/>
    <m/>
    <m/>
    <m/>
    <m/>
    <m/>
    <m/>
    <m/>
    <m/>
    <m/>
    <m/>
    <m/>
    <s v=""/>
    <m/>
    <m/>
    <m/>
    <m/>
    <m/>
    <n v="476"/>
    <n v="0"/>
    <s v="FR00000396201"/>
    <s v="FR0000039620"/>
    <n v="1"/>
    <x v="20"/>
    <m/>
    <m/>
    <m/>
  </r>
  <r>
    <m/>
    <m/>
    <m/>
    <m/>
    <m/>
    <x v="1"/>
    <m/>
    <m/>
    <m/>
    <m/>
    <m/>
    <m/>
    <m/>
    <m/>
    <m/>
    <m/>
    <m/>
    <m/>
    <m/>
    <m/>
    <m/>
    <s v=""/>
    <m/>
    <m/>
    <m/>
    <m/>
    <m/>
    <n v="477"/>
    <n v="0"/>
    <s v="FR00000396201"/>
    <s v="FR0000039620"/>
    <n v="1"/>
    <x v="20"/>
    <m/>
    <m/>
    <m/>
  </r>
  <r>
    <s v="Umicore"/>
    <s v="Recyclage"/>
    <s v="Belgique"/>
    <s v="Euro"/>
    <n v="34.32"/>
    <x v="2"/>
    <n v="23000000000"/>
    <n v="1100000000"/>
    <n v="750000000"/>
    <n v="530000000"/>
    <n v="850000000"/>
    <n v="3400000000"/>
    <n v="13.7987012987013"/>
    <n v="0.15588235294117647"/>
    <n v="0.11763529411764706"/>
    <n v="246400000"/>
    <n v="8456448000"/>
    <n v="2.4871905882352943"/>
    <n v="8.4604072727272719"/>
    <m/>
    <m/>
    <s v=""/>
    <m/>
    <s v="E = 3"/>
    <m/>
    <s v="Fondé en 1805 comme exploitation minière en Belgique"/>
    <m/>
    <n v="478"/>
    <n v="0"/>
    <s v="BE097432052612022"/>
    <s v="BE0974320526"/>
    <n v="1"/>
    <x v="21"/>
    <m/>
    <m/>
    <m/>
  </r>
  <r>
    <m/>
    <m/>
    <m/>
    <m/>
    <m/>
    <x v="1"/>
    <n v="-4.3818075995676442E-2"/>
    <n v="-9.6657633242999141E-2"/>
    <n v="-0.14666059847536694"/>
    <n v="-0.14378029079159937"/>
    <m/>
    <m/>
    <m/>
    <m/>
    <m/>
    <m/>
    <m/>
    <m/>
    <m/>
    <m/>
    <m/>
    <s v=""/>
    <m/>
    <s v="S = 1"/>
    <m/>
    <s v="Mathias Miedreich (né en 1975 - ancien du comex de Faurecia depuis 2013, avant KPMG), CEO a remplacé fin 2021 Marc Grynberg (né en 1966) CEO depuis 2008, il a rejoint Umicore en 1996"/>
    <m/>
    <n v="479"/>
    <n v="0"/>
    <s v="BE09743205261"/>
    <s v="BE0974320526"/>
    <n v="1"/>
    <x v="21"/>
    <m/>
    <m/>
    <m/>
  </r>
  <r>
    <m/>
    <m/>
    <m/>
    <m/>
    <n v="35.75"/>
    <x v="3"/>
    <n v="24054000000"/>
    <n v="1217700000"/>
    <n v="878900000"/>
    <n v="619000000"/>
    <n v="960000000"/>
    <n v="3112900000"/>
    <n v="12.633522727272727"/>
    <n v="0.19884994699476372"/>
    <n v="0.14384707211078102"/>
    <n v="246400000"/>
    <n v="8808800000"/>
    <n v="2.8297728805936586"/>
    <n v="8.0223371930688998"/>
    <m/>
    <n v="10859"/>
    <n v="2215121.0977069712"/>
    <m/>
    <s v="G = -1"/>
    <m/>
    <s v="Actionnaire : GBL à hauteur de 15,92% en 2021 contre 18% depuis 2013"/>
    <m/>
    <n v="480"/>
    <n v="0"/>
    <s v="BE097432052612021"/>
    <s v="BE0974320526"/>
    <n v="1"/>
    <x v="21"/>
    <m/>
    <m/>
    <m/>
  </r>
  <r>
    <m/>
    <m/>
    <m/>
    <m/>
    <m/>
    <x v="1"/>
    <n v="0.16146228168864463"/>
    <n v="0.82536351371608463"/>
    <n v="1.885423506237689"/>
    <n v="3.7432950191570882"/>
    <m/>
    <m/>
    <m/>
    <m/>
    <m/>
    <m/>
    <m/>
    <m/>
    <m/>
    <m/>
    <m/>
    <s v=""/>
    <m/>
    <m/>
    <m/>
    <s v="En 2016, condamné à payer 69,2 M d'euros pour abus de position dominante"/>
    <m/>
    <n v="481"/>
    <n v="0"/>
    <s v="BE09743205261"/>
    <s v="BE0974320526"/>
    <n v="1"/>
    <x v="21"/>
    <m/>
    <m/>
    <m/>
  </r>
  <r>
    <m/>
    <m/>
    <m/>
    <m/>
    <n v="44.06"/>
    <x v="4"/>
    <n v="20710100000"/>
    <n v="667100000"/>
    <n v="304600000"/>
    <n v="130500000"/>
    <n v="1414000000"/>
    <n v="2557182000"/>
    <n v="10.378173701298701"/>
    <n v="5.1032738381546559E-2"/>
    <n v="5.1129955766318444E-2"/>
    <n v="246400000"/>
    <n v="10856384000"/>
    <n v="4.2454483098973794"/>
    <n v="18.393620146904514"/>
    <m/>
    <n v="10859"/>
    <n v="1907182.9818583664"/>
    <m/>
    <m/>
    <m/>
    <s v="Répartition du CA par zone géographique : 46% en Europe, 28% en Asie Pacifique, 22% en Amerique du Nord et 4% en Afrique et Amérique du Sud"/>
    <m/>
    <n v="482"/>
    <n v="0"/>
    <s v="BE097432052612020"/>
    <s v="BE0974320526"/>
    <n v="1"/>
    <x v="21"/>
    <m/>
    <m/>
    <m/>
  </r>
  <r>
    <m/>
    <m/>
    <m/>
    <m/>
    <m/>
    <x v="1"/>
    <n v="0.18444410892029084"/>
    <n v="-0.14255711037504615"/>
    <n v="-0.35252654938738726"/>
    <n v="-0.54654593090124437"/>
    <m/>
    <m/>
    <m/>
    <m/>
    <m/>
    <m/>
    <m/>
    <m/>
    <m/>
    <m/>
    <n v="-2.6273314203730247E-2"/>
    <n v="-7.0202071763791309"/>
    <m/>
    <m/>
    <m/>
    <s v="Répartition du CA par Métier : Catalyseurs : 33,6 %, Energie et Technologie : 14,6 % et Recyclage : 64,8 % "/>
    <m/>
    <n v="483"/>
    <n v="0"/>
    <s v="BE09743205261"/>
    <s v="BE0974320526"/>
    <n v="1"/>
    <x v="21"/>
    <m/>
    <m/>
    <m/>
  </r>
  <r>
    <m/>
    <m/>
    <m/>
    <m/>
    <n v="43.35"/>
    <x v="5"/>
    <n v="17485080000"/>
    <n v="778011000"/>
    <n v="470444000"/>
    <n v="287791000"/>
    <n v="1443000000"/>
    <n v="2593467474"/>
    <n v="10.525436176948052"/>
    <n v="0.11096765349292366"/>
    <n v="7.7691192216949839E-2"/>
    <n v="246400000"/>
    <n v="10681440000"/>
    <n v="4.1185941628662972"/>
    <n v="15.583892772724294"/>
    <m/>
    <n v="11152"/>
    <n v="1567887.3744619798"/>
    <m/>
    <m/>
    <m/>
    <s v="Répartition Marge par Métier: Catalyseurs : 19 %, Energie et Technologie : 11 % et Recyclage : 50 % "/>
    <m/>
    <n v="484"/>
    <n v="0"/>
    <s v="BE097432052612019"/>
    <s v="BE0974320526"/>
    <n v="1"/>
    <x v="21"/>
    <m/>
    <m/>
    <m/>
  </r>
  <r>
    <m/>
    <m/>
    <m/>
    <m/>
    <m/>
    <x v="1"/>
    <n v="0.2747259060226932"/>
    <n v="7.9958856647899479E-2"/>
    <n v="-4.622845395603814E-2"/>
    <n v="-9.2096131035004913E-2"/>
    <m/>
    <m/>
    <m/>
    <m/>
    <m/>
    <m/>
    <m/>
    <m/>
    <m/>
    <m/>
    <n v="7.0249520153550904E-2"/>
    <n v="3.9107157660607399"/>
    <m/>
    <m/>
    <m/>
    <s v="2019 acquisition de Kokkola pour 188 M euros et placement de 390 M euros dans la dette privée américaine de long terme"/>
    <m/>
    <n v="485"/>
    <n v="0"/>
    <s v="BE09743205261"/>
    <s v="BE0974320526"/>
    <n v="1"/>
    <x v="21"/>
    <m/>
    <m/>
    <m/>
  </r>
  <r>
    <m/>
    <m/>
    <m/>
    <m/>
    <n v="36.36"/>
    <x v="6"/>
    <n v="13716737000"/>
    <n v="720408000"/>
    <n v="493246000"/>
    <n v="316984000"/>
    <n v="861000000"/>
    <n v="2609408000"/>
    <n v="10.59012987012987"/>
    <n v="0.12147736191503973"/>
    <n v="9.4743264653608439E-2"/>
    <n v="246400000"/>
    <n v="8959104000"/>
    <n v="3.4333856568233103"/>
    <n v="13.631308924942532"/>
    <m/>
    <n v="10420"/>
    <n v="1316385.5086372362"/>
    <m/>
    <m/>
    <m/>
    <s v="11 152 salariés, soit 1,57 M euros par salarié (peu pertinent pour cette entreprise)"/>
    <m/>
    <n v="486"/>
    <n v="0"/>
    <s v="BE097432052612018"/>
    <s v="BE0974320526"/>
    <n v="1"/>
    <x v="21"/>
    <m/>
    <m/>
    <m/>
  </r>
  <r>
    <m/>
    <m/>
    <m/>
    <m/>
    <m/>
    <x v="1"/>
    <n v="0.1481069640714392"/>
    <n v="0.39669983888885652"/>
    <n v="0.58046076452305417"/>
    <n v="0.49560966863732236"/>
    <m/>
    <m/>
    <m/>
    <m/>
    <m/>
    <m/>
    <m/>
    <m/>
    <m/>
    <m/>
    <n v="6.6639369433923568E-2"/>
    <n v="2.2225144885006007"/>
    <m/>
    <m/>
    <m/>
    <s v="En 2021, GBL a réduit sa participation de 18% à 15,92%, cession de 2,09% du capital pour 256 M euros au second trimestre 2021 autour de 55 - 60 euros. GBL s'était renforcé en 2016 à 25 euros"/>
    <m/>
    <n v="487"/>
    <n v="0"/>
    <s v="BE09743205261"/>
    <s v="BE0974320526"/>
    <n v="1"/>
    <x v="21"/>
    <m/>
    <m/>
    <m/>
  </r>
  <r>
    <m/>
    <m/>
    <m/>
    <m/>
    <n v="45.1"/>
    <x v="7"/>
    <n v="11947264000"/>
    <n v="515793000"/>
    <n v="312090000"/>
    <n v="211943000"/>
    <n v="840000000"/>
    <n v="1803000000"/>
    <n v="8.0491071428571423"/>
    <n v="0.1175501941209096"/>
    <n v="7.8713278093076045E-2"/>
    <n v="224000000"/>
    <n v="10102400000"/>
    <n v="5.6031059345535219"/>
    <n v="21.214712103498883"/>
    <m/>
    <n v="9769"/>
    <n v="1222977.1726891187"/>
    <m/>
    <m/>
    <m/>
    <s v="En 2021, Umicore a averti en octobre d'un EBIT 2021 à moins de 1 Md euros au lieu de plus de 1 Md euros en lien avec la baisse du prix des métaux platinoïdes et de la crise des semi-conducteurs"/>
    <m/>
    <n v="488"/>
    <n v="0"/>
    <s v="BE097432052612017"/>
    <s v="BE0974320526"/>
    <n v="1"/>
    <x v="21"/>
    <m/>
    <m/>
    <m/>
  </r>
  <r>
    <m/>
    <m/>
    <m/>
    <m/>
    <m/>
    <x v="1"/>
    <n v="0.14398593350665267"/>
    <n v="0.16895187243339294"/>
    <n v="0.25354466071672443"/>
    <n v="0.62130136776720413"/>
    <m/>
    <m/>
    <m/>
    <m/>
    <m/>
    <m/>
    <m/>
    <m/>
    <m/>
    <m/>
    <n v="-1.5321036185868331E-2"/>
    <n v="-9.397923988944104"/>
    <m/>
    <m/>
    <m/>
    <s v="La fabrication de pots catalytiques est en danger à terme, une branche d'Umicore fabrique et fournit les équipementiers automobiles."/>
    <m/>
    <n v="489"/>
    <n v="0"/>
    <s v="BE09743205261"/>
    <s v="BE0974320526"/>
    <n v="1"/>
    <x v="21"/>
    <m/>
    <m/>
    <m/>
  </r>
  <r>
    <m/>
    <m/>
    <m/>
    <m/>
    <n v="27.2"/>
    <x v="8"/>
    <n v="10443541000"/>
    <n v="441244000"/>
    <n v="248966000"/>
    <n v="130724000"/>
    <n v="296000000"/>
    <n v="1790000000"/>
    <n v="7.9910714285714288"/>
    <n v="7.3030167597765358E-2"/>
    <n v="7.95593171620326E-2"/>
    <n v="224000000"/>
    <n v="6092800000"/>
    <n v="3.4037988826815644"/>
    <n v="14.479063737977174"/>
    <m/>
    <n v="9921"/>
    <n v="1052670.194536841"/>
    <m/>
    <m/>
    <m/>
    <s v="Taux d'IS : 23,1 %"/>
    <m/>
    <n v="490"/>
    <n v="0"/>
    <s v="BE097432052612016"/>
    <s v="BE0974320526"/>
    <n v="1"/>
    <x v="21"/>
    <m/>
    <m/>
    <m/>
  </r>
  <r>
    <m/>
    <m/>
    <m/>
    <m/>
    <m/>
    <x v="1"/>
    <n v="7.6910726632180682E-2"/>
    <n v="-1.8775137194225744E-3"/>
    <n v="0.11527917144495414"/>
    <n v="-0.22751366523858763"/>
    <m/>
    <m/>
    <m/>
    <m/>
    <m/>
    <m/>
    <m/>
    <m/>
    <m/>
    <m/>
    <m/>
    <s v=""/>
    <m/>
    <m/>
    <m/>
    <s v="CAC : PricewaterhouseCoopers"/>
    <m/>
    <n v="491"/>
    <n v="0"/>
    <s v="BE09743205261"/>
    <s v="BE0974320526"/>
    <n v="1"/>
    <x v="21"/>
    <m/>
    <m/>
    <m/>
  </r>
  <r>
    <m/>
    <m/>
    <m/>
    <m/>
    <n v="16.96"/>
    <x v="9"/>
    <n v="9697685000"/>
    <n v="442074000"/>
    <n v="223232000"/>
    <n v="169225000"/>
    <n v="321000000"/>
    <n v="1732000000"/>
    <n v="7.7321428571428568"/>
    <n v="9.7704965357967674E-2"/>
    <n v="7.2482440915733068E-2"/>
    <n v="224000000"/>
    <n v="3799040000"/>
    <n v="2.1934411085450347"/>
    <n v="9.3197971380357139"/>
    <m/>
    <m/>
    <s v=""/>
    <m/>
    <m/>
    <m/>
    <s v="Minoritaires : 4%"/>
    <m/>
    <n v="492"/>
    <n v="0"/>
    <s v="BE097432052612015"/>
    <s v="BE0974320526"/>
    <n v="1"/>
    <x v="21"/>
    <m/>
    <m/>
    <m/>
  </r>
  <r>
    <m/>
    <m/>
    <m/>
    <m/>
    <m/>
    <x v="1"/>
    <m/>
    <m/>
    <m/>
    <m/>
    <m/>
    <m/>
    <m/>
    <m/>
    <m/>
    <m/>
    <m/>
    <m/>
    <m/>
    <m/>
    <m/>
    <s v=""/>
    <m/>
    <m/>
    <m/>
    <s v="Pay ou ratio : 282%,   en 2021 : 30 %"/>
    <m/>
    <n v="493"/>
    <n v="0"/>
    <s v="BE09743205261"/>
    <s v="BE0974320526"/>
    <n v="1"/>
    <x v="21"/>
    <m/>
    <m/>
    <m/>
  </r>
  <r>
    <m/>
    <m/>
    <m/>
    <m/>
    <m/>
    <x v="1"/>
    <m/>
    <m/>
    <m/>
    <m/>
    <m/>
    <m/>
    <m/>
    <m/>
    <m/>
    <m/>
    <m/>
    <m/>
    <m/>
    <m/>
    <m/>
    <s v=""/>
    <m/>
    <m/>
    <m/>
    <m/>
    <m/>
    <n v="494"/>
    <n v="0"/>
    <s v="BE09743205261"/>
    <s v="BE0974320526"/>
    <n v="1"/>
    <x v="21"/>
    <m/>
    <m/>
    <m/>
  </r>
  <r>
    <m/>
    <m/>
    <m/>
    <m/>
    <m/>
    <x v="1"/>
    <m/>
    <m/>
    <m/>
    <m/>
    <m/>
    <m/>
    <m/>
    <m/>
    <m/>
    <m/>
    <m/>
    <m/>
    <m/>
    <m/>
    <m/>
    <s v=""/>
    <m/>
    <m/>
    <m/>
    <m/>
    <m/>
    <n v="495"/>
    <n v="0"/>
    <s v="BE09743205261"/>
    <s v="BE0974320526"/>
    <n v="1"/>
    <x v="21"/>
    <m/>
    <m/>
    <m/>
  </r>
  <r>
    <m/>
    <m/>
    <m/>
    <m/>
    <m/>
    <x v="1"/>
    <m/>
    <m/>
    <m/>
    <m/>
    <m/>
    <m/>
    <m/>
    <m/>
    <m/>
    <m/>
    <m/>
    <m/>
    <m/>
    <m/>
    <m/>
    <s v=""/>
    <m/>
    <m/>
    <m/>
    <m/>
    <m/>
    <n v="496"/>
    <n v="0"/>
    <s v="BE09743205261"/>
    <s v="BE0974320526"/>
    <n v="1"/>
    <x v="21"/>
    <m/>
    <m/>
    <m/>
  </r>
  <r>
    <s v="Elis "/>
    <s v="Blanchisseur industriel"/>
    <s v="France"/>
    <s v="Euro"/>
    <n v="19"/>
    <x v="0"/>
    <n v="4470453000"/>
    <n v="1497601755"/>
    <n v="500000000"/>
    <n v="260000000"/>
    <n v="3037443560"/>
    <n v="3350000000"/>
    <n v="14.555898009247183"/>
    <n v="8.0996884735202487E-2"/>
    <n v="5.4795004717035807E-2"/>
    <n v="230147257"/>
    <n v="4372797883"/>
    <n v="1.3053128008955224"/>
    <n v="4.9480720880966116"/>
    <s v="BB+ "/>
    <n v="49070"/>
    <n v="91103.586712859178"/>
    <n v="260000000"/>
    <s v="E=-1"/>
    <m/>
    <s v="Linge (46%), tenue de travail (37%) et services d'hygiènes (17%) pour l'industrie (27%), la santé (30%), les petits commerces (21%) et l'hôtellerie-restauration (25% en 2023 - 18% en 2021 contre 25% avant). Développe des services d'hygiène. "/>
    <m/>
    <n v="497"/>
    <n v="0"/>
    <s v="FR001243512112023"/>
    <s v="FR0012435121"/>
    <n v="1"/>
    <x v="22"/>
    <m/>
    <m/>
    <m/>
  </r>
  <r>
    <m/>
    <m/>
    <m/>
    <m/>
    <m/>
    <x v="1"/>
    <n v="0.16999999999999993"/>
    <n v="0.18772727272727274"/>
    <n v="0.34480903711672939"/>
    <n v="0.27077223851417398"/>
    <m/>
    <m/>
    <m/>
    <m/>
    <m/>
    <m/>
    <m/>
    <m/>
    <m/>
    <s v="Positif (mars 2023)"/>
    <m/>
    <s v=""/>
    <m/>
    <s v="S=0"/>
    <m/>
    <s v="Concurrence : Rentokil (UK - beaucoup de croissance externe) et Cintas puissant aux États-Unis et très abouti"/>
    <m/>
    <n v="498"/>
    <n v="0"/>
    <s v="FR00124351211"/>
    <s v="FR0012435121"/>
    <n v="1"/>
    <x v="22"/>
    <m/>
    <m/>
    <m/>
  </r>
  <r>
    <m/>
    <m/>
    <m/>
    <m/>
    <n v="13.82"/>
    <x v="2"/>
    <n v="3820900000"/>
    <n v="1260897000"/>
    <n v="371800000"/>
    <n v="204600000"/>
    <n v="3177600000"/>
    <n v="3210000000"/>
    <n v="13.984010838836902"/>
    <n v="6.7907995618838993E-2"/>
    <n v="4.074456759972446E-2"/>
    <n v="229547877"/>
    <n v="3172351660.1399999"/>
    <n v="0.9882715452149532"/>
    <n v="5.0360589803449445"/>
    <m/>
    <n v="49070"/>
    <n v="77866.313429794172"/>
    <n v="200000000"/>
    <s v="G=2"/>
    <m/>
    <s v="Actionnaire : Canadian Pension : 12,3%, Crédit Agricole Assurance : 6,3% et BPI : 5% (début 2023). Le reste 76,5% flottant, Eurazeo est sortie en 2019"/>
    <m/>
    <n v="499"/>
    <n v="0"/>
    <s v="FR001243512112022"/>
    <s v="FR0012435121"/>
    <n v="1"/>
    <x v="22"/>
    <m/>
    <m/>
    <m/>
  </r>
  <r>
    <m/>
    <m/>
    <m/>
    <m/>
    <m/>
    <x v="1"/>
    <n v="0.25345274415247854"/>
    <n v="0.19845737097234095"/>
    <n v="0.42179732313575524"/>
    <n v="0.79002624671916011"/>
    <m/>
    <m/>
    <m/>
    <m/>
    <m/>
    <m/>
    <m/>
    <m/>
    <m/>
    <m/>
    <m/>
    <s v=""/>
    <m/>
    <m/>
    <m/>
    <s v="PDG, Matiré, jeune (1971), compétent et impliqué. Échéance du mandat en septembe 2022 (2008-2022). Chez Elis depuis 1999. Thierry Morin Président du Conseil de Surveillance"/>
    <m/>
    <n v="500"/>
    <n v="0"/>
    <s v="FR00124351211"/>
    <s v="FR0012435121"/>
    <n v="1"/>
    <x v="22"/>
    <m/>
    <m/>
    <m/>
  </r>
  <r>
    <m/>
    <m/>
    <m/>
    <m/>
    <n v="15.22"/>
    <x v="3"/>
    <n v="3048300000"/>
    <n v="1052100000"/>
    <n v="261500000"/>
    <n v="114300000"/>
    <n v="3145600000"/>
    <n v="3012900000"/>
    <n v="13.44588401202633"/>
    <n v="4.0715278025148717E-2"/>
    <n v="2.9723146870179427E-2"/>
    <n v="224076007"/>
    <n v="3410436826.54"/>
    <n v="1.131944912390056"/>
    <n v="6.2313818330386841"/>
    <m/>
    <n v="46668"/>
    <n v="65318.848032913345"/>
    <n v="228000000"/>
    <m/>
    <m/>
    <s v="Présent dans 29 pays en Europe et en Amérique du Sud (10%). 10 acquistions par an hors Berendsen en 2017 qui a renforcé le poids de l'Europe"/>
    <m/>
    <n v="501"/>
    <n v="0"/>
    <s v="FR001243512112021"/>
    <s v="FR0012435121"/>
    <n v="1"/>
    <x v="22"/>
    <m/>
    <m/>
    <m/>
  </r>
  <r>
    <m/>
    <m/>
    <m/>
    <m/>
    <m/>
    <x v="1"/>
    <n v="8.6234543705234756E-2"/>
    <n v="0.11039577836411607"/>
    <n v="-0.10291595197255576"/>
    <n v="-0.17591925018024512"/>
    <m/>
    <m/>
    <m/>
    <m/>
    <m/>
    <m/>
    <m/>
    <m/>
    <m/>
    <m/>
    <m/>
    <s v=""/>
    <m/>
    <m/>
    <m/>
    <s v="IPO en 2015 à 13 euros (1,352 Md euros VE / EBE 2015 : 6,26). Mature en France (1 Md euros de CA) mais beau développement à l'international avec Eurazeo en Espagne et Brésil. "/>
    <m/>
    <n v="502"/>
    <n v="0"/>
    <s v="FR00124351211"/>
    <s v="FR0012435121"/>
    <n v="1"/>
    <x v="22"/>
    <m/>
    <m/>
    <m/>
  </r>
  <r>
    <m/>
    <m/>
    <m/>
    <m/>
    <n v="12.34"/>
    <x v="4"/>
    <n v="2806300000"/>
    <n v="947500000"/>
    <n v="291500000"/>
    <n v="138700000"/>
    <n v="3281000000"/>
    <n v="2807300000"/>
    <n v="12.655789440988105"/>
    <n v="4.6926278039043208E-2"/>
    <n v="3.3515102738038531E-2"/>
    <n v="221819430"/>
    <n v="2737251766.1999998"/>
    <n v="0.97504782752110564"/>
    <n v="6.3517169036411607"/>
    <m/>
    <n v="45774"/>
    <n v="61307.729278629791"/>
    <n v="216800000"/>
    <m/>
    <m/>
    <s v="Externalisation dans les pays d'Elis à venir (35% aujourd'hui) à l'image des chiffres aux USA et UK (70-80%) où Elis n'est pas présent  "/>
    <m/>
    <n v="503"/>
    <n v="0"/>
    <s v="FR001243512112020"/>
    <s v="FR0012435121"/>
    <n v="1"/>
    <x v="22"/>
    <m/>
    <m/>
    <m/>
  </r>
  <r>
    <m/>
    <m/>
    <m/>
    <m/>
    <m/>
    <x v="1"/>
    <n v="-0.14488999939057834"/>
    <n v="-0.14097914777878517"/>
    <n v="-0.359199824137173"/>
    <n v="-2.186177715091675E-2"/>
    <m/>
    <m/>
    <m/>
    <m/>
    <m/>
    <m/>
    <m/>
    <m/>
    <m/>
    <m/>
    <m/>
    <s v=""/>
    <m/>
    <m/>
    <m/>
    <s v="Concurrence : Rentokil au Royaume-Uni. Modèle venant des États-Unis (Cintas : 8 Md $ de CA - 40 000 salariés et 1,2 Md de RN, 36 Md $ de capi) et du Royaume-Uni dupliquer par Elis en Europe et en Amérique Latine"/>
    <m/>
    <n v="504"/>
    <n v="0"/>
    <s v="FR00124351211"/>
    <s v="FR0012435121"/>
    <n v="1"/>
    <x v="22"/>
    <m/>
    <m/>
    <m/>
  </r>
  <r>
    <m/>
    <m/>
    <m/>
    <m/>
    <n v="16"/>
    <x v="5"/>
    <n v="3281800000"/>
    <n v="1103000000"/>
    <n v="454900000"/>
    <n v="141800000"/>
    <n v="3372100000"/>
    <n v="2955700000"/>
    <n v="13.35621068112124"/>
    <n v="4.9438672338051742E-2"/>
    <n v="5.0322386927526157E-2"/>
    <n v="221297797"/>
    <n v="3540764752"/>
    <n v="1.1979445654159759"/>
    <n v="6.2673297842248417"/>
    <m/>
    <n v="48973"/>
    <n v="67012.435423600764"/>
    <n v="247500000"/>
    <m/>
    <m/>
    <s v="Concurrence : lingerie des centres hospitaliers, petits centres et nouveaux acteurs avec le digital dont Amazon (faible suite à un point avec Elis)"/>
    <m/>
    <n v="505"/>
    <n v="0"/>
    <s v="FR001243512112019"/>
    <s v="FR0012435121"/>
    <n v="1"/>
    <x v="22"/>
    <m/>
    <m/>
    <m/>
  </r>
  <r>
    <m/>
    <m/>
    <m/>
    <m/>
    <m/>
    <x v="1"/>
    <n v="4.7394121214055396E-2"/>
    <n v="0.11911525974025983"/>
    <n v="6.6838649155722241E-2"/>
    <n v="0.73349633251833746"/>
    <m/>
    <m/>
    <m/>
    <m/>
    <m/>
    <m/>
    <m/>
    <m/>
    <m/>
    <m/>
    <m/>
    <s v=""/>
    <m/>
    <m/>
    <m/>
    <s v="Le résultat d'exploitation patine, le même qu'il y a 10 ans pour Elis seul en 2017. Résultat d'exploitation 2007 de 210 Meuros. Activité consommatrice de BFR avec des achats de linge conséquent "/>
    <m/>
    <n v="506"/>
    <n v="0"/>
    <s v="FR00124351211"/>
    <s v="FR0012435121"/>
    <n v="1"/>
    <x v="22"/>
    <m/>
    <m/>
    <m/>
  </r>
  <r>
    <m/>
    <m/>
    <m/>
    <m/>
    <n v="14.68"/>
    <x v="6"/>
    <n v="3133300000"/>
    <n v="985600000"/>
    <n v="426400000"/>
    <n v="81800000"/>
    <n v="3378400000"/>
    <n v="2868200000"/>
    <n v="13.074701616158844"/>
    <n v="2.8011780015067461E-2"/>
    <n v="4.7782793839848875E-2"/>
    <n v="219370207"/>
    <n v="3220354638.7599998"/>
    <n v="1.1227789689561396"/>
    <n v="6.6951650149756494"/>
    <m/>
    <n v="48191"/>
    <n v="65018.364424892614"/>
    <n v="153700000"/>
    <m/>
    <m/>
    <s v="Developpement à l'international intéressant. Prix payé par Eurazeo en 2007 (VE/EBE de 7,2 fois) soit 18,42 euros par action sur les chiffres 2017. A revoir avec les acquisitions en Espagne et au Brésil"/>
    <m/>
    <n v="507"/>
    <n v="0"/>
    <s v="FR001243512112018"/>
    <s v="FR0012435121"/>
    <n v="1"/>
    <x v="22"/>
    <m/>
    <m/>
    <m/>
  </r>
  <r>
    <m/>
    <m/>
    <m/>
    <m/>
    <m/>
    <x v="1"/>
    <n v="0.41464625942480482"/>
    <n v="0.52616909259832756"/>
    <n v="0.47798960138648172"/>
    <n v="0.2356495468277946"/>
    <m/>
    <m/>
    <m/>
    <m/>
    <m/>
    <m/>
    <m/>
    <m/>
    <m/>
    <m/>
    <m/>
    <s v=""/>
    <m/>
    <m/>
    <m/>
    <s v="En 2017, offre sur Berendsen avec un multiple VE/EBITDA de 7,2 fois 2016 et 19 fois le RN =&gt; CA de l'ensemble 3 Md et EBE : 960 M euros / Dettes 2,655 Md euros et 73,7 millions d'actions Elis =&gt; soit 213,7 millions de titres"/>
    <m/>
    <n v="508"/>
    <n v="0"/>
    <s v="FR00124351211"/>
    <s v="FR0012435121"/>
    <n v="1"/>
    <x v="22"/>
    <m/>
    <m/>
    <m/>
  </r>
  <r>
    <m/>
    <m/>
    <m/>
    <m/>
    <n v="22.574999999999999"/>
    <x v="7"/>
    <n v="2214900000"/>
    <n v="645800000"/>
    <n v="288500000"/>
    <n v="66200000"/>
    <n v="3296600000"/>
    <n v="2920200000"/>
    <n v="13.312914666040554"/>
    <n v="4.4994222796166654E-2"/>
    <n v="3.2484557971946985E-2"/>
    <n v="219350914"/>
    <n v="4951846883.5500002"/>
    <n v="1.6957218284877749"/>
    <n v="12.772447946035925"/>
    <m/>
    <n v="24321"/>
    <n v="91069.446157641549"/>
    <n v="42600000"/>
    <m/>
    <m/>
    <s v="L'ensemble est déjà valorisé VE/EBE de 7,2 comme le prix d'achat de Berendsen et comme le prix payé par Eurazeo en 2007 pour Elis"/>
    <m/>
    <n v="509"/>
    <n v="0"/>
    <s v="FR001243512112017"/>
    <s v="FR0012435121"/>
    <n v="1"/>
    <x v="22"/>
    <m/>
    <m/>
    <m/>
  </r>
  <r>
    <m/>
    <m/>
    <m/>
    <m/>
    <m/>
    <x v="1"/>
    <n v="0.26565714285714281"/>
    <n v="0.19592592592592584"/>
    <n v="0.15399999999999991"/>
    <n v="-0.44833333333333336"/>
    <m/>
    <m/>
    <m/>
    <m/>
    <m/>
    <m/>
    <m/>
    <m/>
    <m/>
    <m/>
    <m/>
    <s v=""/>
    <m/>
    <m/>
    <m/>
    <s v="Offre revue à la hausse sur Berendsen avec plus de cash et l'aval du CA de Beredsen. Dettes 2900 M eu / Titres : 243 Millions / VE : 8,1 fois faible upside (8,75 fois selon les calculs du 26/7/2017 - IPO 2015 à 6,26 fois)"/>
    <m/>
    <n v="510"/>
    <n v="0"/>
    <s v="FR00124351211"/>
    <s v="FR0012435121"/>
    <n v="1"/>
    <x v="22"/>
    <m/>
    <m/>
    <m/>
  </r>
  <r>
    <m/>
    <m/>
    <m/>
    <m/>
    <n v="20.399999999999999"/>
    <x v="7"/>
    <n v="1750000000"/>
    <n v="540000000"/>
    <n v="250000000"/>
    <n v="120000000"/>
    <n v="1800000000"/>
    <n v="1471300000"/>
    <n v="10.496760904197961"/>
    <n v="0.10468463752944256"/>
    <n v="5.3495552226943417E-2"/>
    <n v="140167049"/>
    <n v="2859407799.5999999"/>
    <n v="1.9434566706993814"/>
    <n v="8.6285329622222235"/>
    <m/>
    <n v="24321"/>
    <n v="71954.278195797873"/>
    <n v="42600000"/>
    <m/>
    <m/>
    <s v="Chiffres du 1S17 : acquisition espagnole terminée et au Brésil presque (un mois de CA comptabilisé). Redémarrage de l'hôtellerie en France avec Marge Stable. EBIT toujours stable et au niveau de 2007 "/>
    <m/>
    <n v="511"/>
    <n v="0"/>
    <s v="FR001243512112017"/>
    <s v="FR0012435121"/>
    <n v="1"/>
    <x v="22"/>
    <m/>
    <m/>
    <m/>
  </r>
  <r>
    <m/>
    <m/>
    <m/>
    <m/>
    <m/>
    <x v="1"/>
    <n v="0.15664243225380048"/>
    <n v="0.18110236220472431"/>
    <n v="0.20250120250120252"/>
    <n v="0.29032258064516125"/>
    <m/>
    <m/>
    <m/>
    <m/>
    <m/>
    <m/>
    <m/>
    <m/>
    <m/>
    <m/>
    <m/>
    <s v=""/>
    <m/>
    <m/>
    <m/>
    <s v="Emission d'une obligation de 400 M euros convertible en actions ou pas (suivre dilution)"/>
    <m/>
    <n v="512"/>
    <n v="0"/>
    <s v="FR00124351211"/>
    <s v="FR0012435121"/>
    <n v="1"/>
    <x v="22"/>
    <m/>
    <m/>
    <m/>
  </r>
  <r>
    <m/>
    <m/>
    <m/>
    <m/>
    <n v="16.95"/>
    <x v="8"/>
    <n v="1513000000"/>
    <n v="457200000"/>
    <n v="207900000"/>
    <n v="93000000"/>
    <n v="1595800000"/>
    <n v="1146300000"/>
    <n v="10.054719232863956"/>
    <n v="8.8244922358701378E-2"/>
    <n v="5.3072462711060864E-2"/>
    <n v="114006167"/>
    <n v="1932404530.6499999"/>
    <n v="1.6857755654278983"/>
    <n v="6.9118602419444439"/>
    <m/>
    <n v="21729"/>
    <n v="69630.447788669524"/>
    <n v="104500000"/>
    <m/>
    <m/>
    <s v="Fusion Elis / Berendsen effective le 15/9/2017. Révaluation des marges le 29/1/2018. Ebitda à 31,5% et Ebit à 13,5%. Rating BB-"/>
    <m/>
    <n v="513"/>
    <n v="0"/>
    <s v="FR001243512112016"/>
    <s v="FR0012435121"/>
    <n v="1"/>
    <x v="22"/>
    <m/>
    <m/>
    <m/>
  </r>
  <r>
    <m/>
    <m/>
    <m/>
    <m/>
    <m/>
    <x v="1"/>
    <n v="6.8955772219867262E-2"/>
    <n v="2.486393429393785E-2"/>
    <n v="-4.8076923076922906E-4"/>
    <n v="0.27747252747252737"/>
    <m/>
    <m/>
    <m/>
    <m/>
    <m/>
    <m/>
    <m/>
    <m/>
    <m/>
    <m/>
    <m/>
    <s v=""/>
    <m/>
    <m/>
    <m/>
    <s v="En 2018, résultat net global 220 M euros en ligne avec les prévisions avec croissance du CA partout, économies sur Beredsen et marge en hausse"/>
    <m/>
    <n v="514"/>
    <n v="0"/>
    <s v="FR00124351211"/>
    <s v="FR0012435121"/>
    <n v="1"/>
    <x v="22"/>
    <m/>
    <m/>
    <m/>
  </r>
  <r>
    <m/>
    <m/>
    <m/>
    <m/>
    <n v="15.17"/>
    <x v="9"/>
    <n v="1415400000"/>
    <n v="446108000"/>
    <n v="208000000"/>
    <n v="72800000"/>
    <n v="1440700000"/>
    <n v="1053885000"/>
    <n v="9.2441051895025996"/>
    <n v="6.9077745674338276E-2"/>
    <n v="5.8366421669335783E-2"/>
    <n v="114006167"/>
    <n v="1729473553.3900001"/>
    <n v="1.6410458004336337"/>
    <n v="6.7"/>
    <m/>
    <n v="20008"/>
    <n v="70741.703318672531"/>
    <n v="56600000"/>
    <m/>
    <m/>
    <s v="Tension sur les salaires aux UK (départ des étrangers liés au Brexit) et en Espagne"/>
    <m/>
    <n v="515"/>
    <n v="0"/>
    <s v="FR001243512112015"/>
    <s v="FR0012435121"/>
    <n v="1"/>
    <x v="22"/>
    <m/>
    <m/>
    <m/>
  </r>
  <r>
    <m/>
    <m/>
    <m/>
    <m/>
    <m/>
    <x v="1"/>
    <m/>
    <m/>
    <m/>
    <m/>
    <m/>
    <m/>
    <m/>
    <m/>
    <m/>
    <m/>
    <m/>
    <m/>
    <m/>
    <m/>
    <m/>
    <s v=""/>
    <m/>
    <m/>
    <m/>
    <s v="Modèle lié à la croissance externe favorise les banques (M&amp;A) et obligataires. Faible création de valeur (beaucoup de survaleur lié aux acquisitions) mais activité résiliente qui croît avec l'externalisation, la bonne gestion des coûts et les faibles taux d'intérêt"/>
    <m/>
    <n v="516"/>
    <n v="0"/>
    <s v="FR00124351211"/>
    <s v="FR0012435121"/>
    <n v="1"/>
    <x v="22"/>
    <m/>
    <m/>
    <m/>
  </r>
  <r>
    <m/>
    <m/>
    <m/>
    <m/>
    <s v="IPO en 2015 à 13 euros"/>
    <x v="1"/>
    <m/>
    <m/>
    <m/>
    <m/>
    <m/>
    <m/>
    <m/>
    <m/>
    <m/>
    <m/>
    <m/>
    <m/>
    <m/>
    <m/>
    <m/>
    <s v=""/>
    <m/>
    <m/>
    <m/>
    <s v="Refinancement de la dette à échéance 2025, coût de la dette inférieur à 1,5% et pas d'échéance avant 2023 et plus de dettes bancaires (en date de septembre 2019)"/>
    <m/>
    <n v="517"/>
    <n v="0"/>
    <s v="FR00124351211"/>
    <s v="FR0012435121"/>
    <n v="1"/>
    <x v="22"/>
    <m/>
    <m/>
    <m/>
  </r>
  <r>
    <m/>
    <m/>
    <m/>
    <m/>
    <m/>
    <x v="1"/>
    <m/>
    <m/>
    <m/>
    <m/>
    <m/>
    <m/>
    <m/>
    <m/>
    <m/>
    <m/>
    <m/>
    <m/>
    <m/>
    <m/>
    <m/>
    <s v=""/>
    <m/>
    <m/>
    <m/>
    <s v="En 2020, Elis a coupé le dividende de 87 Me et des investissements à hauteur de 100 M euros sur le premier semestre compensant la perte de revenus et contenant la dette "/>
    <m/>
    <n v="518"/>
    <n v="0"/>
    <s v="FR00124351211"/>
    <s v="FR0012435121"/>
    <n v="1"/>
    <x v="22"/>
    <m/>
    <m/>
    <m/>
  </r>
  <r>
    <m/>
    <m/>
    <m/>
    <m/>
    <m/>
    <x v="1"/>
    <m/>
    <m/>
    <m/>
    <m/>
    <m/>
    <m/>
    <m/>
    <m/>
    <m/>
    <m/>
    <m/>
    <m/>
    <m/>
    <m/>
    <m/>
    <s v=""/>
    <m/>
    <m/>
    <m/>
    <s v="Bonne résistance en 2020 en dépit d'un contexte difficile avec maintien de la marge et free cash flow à 200 M euros. CA 2021 attendu en hausse de 3%"/>
    <m/>
    <n v="519"/>
    <n v="0"/>
    <s v="FR00124351211"/>
    <s v="FR0012435121"/>
    <n v="1"/>
    <x v="22"/>
    <m/>
    <m/>
    <m/>
  </r>
  <r>
    <m/>
    <m/>
    <m/>
    <m/>
    <m/>
    <x v="1"/>
    <m/>
    <m/>
    <m/>
    <m/>
    <m/>
    <m/>
    <m/>
    <m/>
    <m/>
    <m/>
    <m/>
    <m/>
    <m/>
    <m/>
    <m/>
    <s v=""/>
    <m/>
    <m/>
    <m/>
    <s v="En 2021, la partie Industrie, Santé et commerces représente 85% du CA (+5% par rapport à 2019), la partie hôtellerie restauration (15% du CA) tourne à 60% de 2019 mais bcp mieux fin 2021."/>
    <m/>
    <n v="520"/>
    <n v="0"/>
    <s v="FR00124351211"/>
    <s v="FR0012435121"/>
    <n v="1"/>
    <x v="22"/>
    <m/>
    <m/>
    <m/>
  </r>
  <r>
    <m/>
    <m/>
    <m/>
    <m/>
    <m/>
    <x v="1"/>
    <m/>
    <m/>
    <m/>
    <m/>
    <m/>
    <m/>
    <m/>
    <m/>
    <m/>
    <m/>
    <m/>
    <m/>
    <m/>
    <m/>
    <m/>
    <s v=""/>
    <m/>
    <m/>
    <m/>
    <s v="En 2021, Répartition CA : 24 % en Europe Centrale, 32 % en France, 8 % en Amérique Latine, 12 % Royaume-Uni et Irlande, 16 % Scandinavie et Europe de l'Est, 8 % Europe du sud"/>
    <m/>
    <n v="521"/>
    <n v="0"/>
    <s v="FR00124351211"/>
    <s v="FR0012435121"/>
    <n v="1"/>
    <x v="22"/>
    <m/>
    <m/>
    <m/>
  </r>
  <r>
    <m/>
    <m/>
    <m/>
    <m/>
    <m/>
    <x v="1"/>
    <m/>
    <m/>
    <m/>
    <m/>
    <m/>
    <m/>
    <m/>
    <m/>
    <m/>
    <m/>
    <m/>
    <m/>
    <m/>
    <m/>
    <m/>
    <s v=""/>
    <m/>
    <m/>
    <m/>
    <s v="En 2022, Le groupe annonce être très faiblement exposé en Russie (20 M € de CA) et ne pas être présent en Ukraine."/>
    <m/>
    <n v="522"/>
    <n v="0"/>
    <s v="FR00124351211"/>
    <s v="FR0012435121"/>
    <n v="1"/>
    <x v="22"/>
    <m/>
    <m/>
    <m/>
  </r>
  <r>
    <m/>
    <m/>
    <m/>
    <m/>
    <m/>
    <x v="1"/>
    <m/>
    <m/>
    <m/>
    <m/>
    <m/>
    <m/>
    <m/>
    <m/>
    <m/>
    <m/>
    <m/>
    <m/>
    <m/>
    <m/>
    <m/>
    <s v=""/>
    <m/>
    <m/>
    <m/>
    <s v="En 2022, acquisition au Mexique (130 Millions d'habitants - 15 ème économie mondiale, CA : 74 Me et EBE : 28 Me pour 150 Me soit 5,6 fois l'EBE - acteur centenaire). Poursuite de l'expansion en Amérique du Sud). "/>
    <m/>
    <n v="523"/>
    <n v="0"/>
    <s v="FR00124351211"/>
    <s v="FR0012435121"/>
    <n v="1"/>
    <x v="22"/>
    <m/>
    <m/>
    <m/>
  </r>
  <r>
    <m/>
    <m/>
    <m/>
    <m/>
    <m/>
    <x v="1"/>
    <m/>
    <m/>
    <m/>
    <m/>
    <m/>
    <m/>
    <m/>
    <m/>
    <m/>
    <m/>
    <m/>
    <m/>
    <m/>
    <m/>
    <m/>
    <s v=""/>
    <m/>
    <m/>
    <m/>
    <s v="En 2022, acquisition en Allemagne de Textilservice Jockel. (CA 2021 : 20 M d'€) et dans une dizaine de pays depuis 2018 de petites tailles (max. 30 Me) pour compléter l'offre et le maillage géographique (Danemark, Russie, Chili, Mexique, France, Irlande, UK et Colombie)"/>
    <m/>
    <n v="524"/>
    <n v="0"/>
    <s v="FR00124351211"/>
    <s v="FR0012435121"/>
    <n v="1"/>
    <x v="22"/>
    <m/>
    <m/>
    <m/>
  </r>
  <r>
    <m/>
    <m/>
    <m/>
    <m/>
    <m/>
    <x v="1"/>
    <m/>
    <m/>
    <m/>
    <m/>
    <m/>
    <m/>
    <m/>
    <m/>
    <m/>
    <m/>
    <m/>
    <m/>
    <m/>
    <m/>
    <m/>
    <s v=""/>
    <m/>
    <m/>
    <m/>
    <s v="L'activité dans l'hôtellerie reviendra à son niveau de 2019 en 2024. Pas de dépréciation d'actifs. Impact contenu de l'inflation (marge d'EBE à 33,5% contre 34,5%). "/>
    <m/>
    <n v="525"/>
    <n v="0"/>
    <s v="FR00124351211"/>
    <s v="FR0012435121"/>
    <n v="1"/>
    <x v="22"/>
    <m/>
    <m/>
    <m/>
  </r>
  <r>
    <m/>
    <m/>
    <m/>
    <m/>
    <m/>
    <x v="1"/>
    <m/>
    <m/>
    <m/>
    <m/>
    <m/>
    <m/>
    <m/>
    <m/>
    <m/>
    <m/>
    <m/>
    <m/>
    <m/>
    <m/>
    <m/>
    <s v=""/>
    <m/>
    <m/>
    <m/>
    <s v="Risque de taux : pas de taux variable et charges financières à 90 Me soit 2,73% et échéance étalée. Charges financières : 3% du CA"/>
    <m/>
    <n v="526"/>
    <n v="0"/>
    <s v="FR00124351211"/>
    <s v="FR0012435121"/>
    <n v="1"/>
    <x v="22"/>
    <m/>
    <m/>
    <m/>
  </r>
  <r>
    <m/>
    <m/>
    <m/>
    <m/>
    <m/>
    <x v="1"/>
    <m/>
    <m/>
    <m/>
    <m/>
    <m/>
    <m/>
    <m/>
    <m/>
    <m/>
    <m/>
    <m/>
    <m/>
    <m/>
    <m/>
    <m/>
    <s v=""/>
    <m/>
    <m/>
    <m/>
    <s v="Croissance organique structurelle revue à 3,5% par an (contre 3%) besoin de plus d'hygiène et marge en hausse de 0,9% pour l'EBE. Dépréciation de la Russie : 58,7 M euros"/>
    <m/>
    <n v="527"/>
    <n v="0"/>
    <s v="FR00124351211"/>
    <s v="FR0012435121"/>
    <n v="1"/>
    <x v="22"/>
    <m/>
    <m/>
    <m/>
  </r>
  <r>
    <m/>
    <m/>
    <m/>
    <m/>
    <m/>
    <x v="1"/>
    <m/>
    <m/>
    <m/>
    <m/>
    <m/>
    <m/>
    <m/>
    <m/>
    <m/>
    <m/>
    <m/>
    <m/>
    <m/>
    <m/>
    <m/>
    <s v=""/>
    <m/>
    <m/>
    <m/>
    <s v="Risque Amazon (faible) Transformation blanchisserie d'hôtels en piscine (terminé) risque télétravail (faible). Opportunité : Plus de vêtements de travail en Espagne et Amérique du Sud. Hôpitaux en France sous traitance non encore développé"/>
    <m/>
    <n v="528"/>
    <n v="0"/>
    <s v="FR00124351211"/>
    <s v="FR0012435121"/>
    <n v="1"/>
    <x v="22"/>
    <m/>
    <m/>
    <m/>
  </r>
  <r>
    <m/>
    <m/>
    <m/>
    <m/>
    <m/>
    <x v="1"/>
    <m/>
    <m/>
    <m/>
    <m/>
    <m/>
    <m/>
    <m/>
    <m/>
    <m/>
    <m/>
    <m/>
    <m/>
    <m/>
    <m/>
    <m/>
    <s v=""/>
    <m/>
    <m/>
    <m/>
    <s v="Acquisition de Berendsen bien passée (pépite en Scandinavie 40% d'EBE, cela a aidé pendant le Covid-19), Allemagne taille faible (mieux avec Elis) et UK mal géré (affaire redressée)"/>
    <m/>
    <n v="529"/>
    <n v="0"/>
    <s v="FR00124351211"/>
    <s v="FR0012435121"/>
    <n v="1"/>
    <x v="22"/>
    <m/>
    <m/>
    <m/>
  </r>
  <r>
    <m/>
    <m/>
    <m/>
    <m/>
    <m/>
    <x v="1"/>
    <m/>
    <m/>
    <m/>
    <m/>
    <m/>
    <m/>
    <m/>
    <m/>
    <m/>
    <m/>
    <m/>
    <m/>
    <m/>
    <m/>
    <m/>
    <s v=""/>
    <m/>
    <m/>
    <m/>
    <s v="Le linge représente 5 euros  du prix d'une chambre d'hôtel de 150 euros/jour. Refinancement en deux fois pour un montant de 500 Me avec un taux autour de 4,3% à horizon 10 ans"/>
    <m/>
    <n v="530"/>
    <n v="0"/>
    <s v="FR00124351211"/>
    <s v="FR0012435121"/>
    <n v="1"/>
    <x v="22"/>
    <m/>
    <m/>
    <m/>
  </r>
  <r>
    <m/>
    <m/>
    <m/>
    <m/>
    <m/>
    <x v="1"/>
    <m/>
    <m/>
    <m/>
    <m/>
    <m/>
    <m/>
    <m/>
    <m/>
    <m/>
    <m/>
    <m/>
    <m/>
    <m/>
    <m/>
    <m/>
    <s v=""/>
    <m/>
    <m/>
    <m/>
    <s v="Risque sur le prix du gaz au 30/6/2022 : couvert à 100 euros le MWh pour 2022, à 85% pour 2023 à 80 euros, 33% pour 2024 à 65 euros et à 20% pour 2025 à 50 euros"/>
    <m/>
    <n v="531"/>
    <n v="0"/>
    <s v="FR00124351211"/>
    <s v="FR0012435121"/>
    <n v="1"/>
    <x v="22"/>
    <m/>
    <m/>
    <m/>
  </r>
  <r>
    <m/>
    <m/>
    <m/>
    <m/>
    <m/>
    <x v="1"/>
    <m/>
    <m/>
    <m/>
    <m/>
    <m/>
    <m/>
    <m/>
    <m/>
    <m/>
    <m/>
    <m/>
    <m/>
    <m/>
    <m/>
    <m/>
    <s v=""/>
    <m/>
    <m/>
    <m/>
    <s v="La dette (3 Md euros) se rapproche des 2,5 fois l'EBE, probablement à 2 fois en 2023 et moins de 2 fois pour 2024 pour viser l'Investment Grade et contenir les frais financiers à 100 Me par an par progression de l'EBE et moins d'acquisitions"/>
    <m/>
    <n v="532"/>
    <n v="0"/>
    <s v="FR00124351211"/>
    <s v="FR0012435121"/>
    <n v="1"/>
    <x v="22"/>
    <m/>
    <m/>
    <m/>
  </r>
  <r>
    <m/>
    <m/>
    <m/>
    <m/>
    <m/>
    <x v="1"/>
    <m/>
    <m/>
    <m/>
    <m/>
    <m/>
    <m/>
    <m/>
    <m/>
    <m/>
    <m/>
    <m/>
    <m/>
    <m/>
    <m/>
    <m/>
    <s v=""/>
    <m/>
    <m/>
    <m/>
    <s v="La dette de 3 Md euros est étalé de 2024 à 2032 à taux fixe de 2%. Coût annuel tout compris : 90 Me. À suivre"/>
    <m/>
    <n v="533"/>
    <n v="0"/>
    <s v="FR00124351211"/>
    <s v="FR0012435121"/>
    <n v="1"/>
    <x v="22"/>
    <m/>
    <m/>
    <m/>
  </r>
  <r>
    <m/>
    <m/>
    <m/>
    <m/>
    <m/>
    <x v="1"/>
    <m/>
    <m/>
    <m/>
    <m/>
    <m/>
    <m/>
    <m/>
    <m/>
    <m/>
    <m/>
    <m/>
    <m/>
    <m/>
    <m/>
    <m/>
    <s v=""/>
    <m/>
    <m/>
    <m/>
    <s v="Avec les convertibles (380 Me émises en 2022), le total du nombre d'actions monte à 248,5. Pris en compte dans le calcul de l'objectif de cours"/>
    <m/>
    <n v="534"/>
    <n v="0"/>
    <s v="FR00124351211"/>
    <s v="FR0012435121"/>
    <n v="1"/>
    <x v="22"/>
    <m/>
    <m/>
    <m/>
  </r>
  <r>
    <m/>
    <m/>
    <m/>
    <m/>
    <m/>
    <x v="1"/>
    <m/>
    <m/>
    <m/>
    <m/>
    <m/>
    <m/>
    <m/>
    <m/>
    <m/>
    <m/>
    <m/>
    <m/>
    <m/>
    <m/>
    <m/>
    <s v=""/>
    <m/>
    <m/>
    <m/>
    <s v="Taux d'IS : 28%"/>
    <m/>
    <n v="535"/>
    <n v="0"/>
    <s v="FR00124351211"/>
    <s v="FR0012435121"/>
    <n v="1"/>
    <x v="22"/>
    <m/>
    <m/>
    <m/>
  </r>
  <r>
    <m/>
    <m/>
    <m/>
    <m/>
    <m/>
    <x v="1"/>
    <m/>
    <m/>
    <m/>
    <m/>
    <m/>
    <m/>
    <m/>
    <m/>
    <m/>
    <m/>
    <m/>
    <m/>
    <m/>
    <m/>
    <m/>
    <s v=""/>
    <m/>
    <m/>
    <m/>
    <s v="CAC : Pwc et Mazars"/>
    <m/>
    <n v="536"/>
    <n v="0"/>
    <s v="FR00124351211"/>
    <s v="FR0012435121"/>
    <n v="1"/>
    <x v="22"/>
    <m/>
    <m/>
    <m/>
  </r>
  <r>
    <m/>
    <m/>
    <m/>
    <m/>
    <m/>
    <x v="1"/>
    <m/>
    <m/>
    <m/>
    <m/>
    <m/>
    <m/>
    <m/>
    <m/>
    <m/>
    <m/>
    <m/>
    <m/>
    <m/>
    <m/>
    <m/>
    <s v=""/>
    <m/>
    <m/>
    <m/>
    <s v="Minoritaires : aucun"/>
    <m/>
    <n v="537"/>
    <n v="0"/>
    <s v="FR00124351211"/>
    <s v="FR0012435121"/>
    <n v="1"/>
    <x v="22"/>
    <m/>
    <m/>
    <m/>
  </r>
  <r>
    <m/>
    <m/>
    <m/>
    <m/>
    <m/>
    <x v="1"/>
    <m/>
    <m/>
    <m/>
    <m/>
    <m/>
    <m/>
    <m/>
    <m/>
    <m/>
    <m/>
    <m/>
    <m/>
    <m/>
    <m/>
    <m/>
    <s v=""/>
    <m/>
    <m/>
    <m/>
    <s v="Pay out ratio : 40% (pas de dividendes versés en 2021 et 2020 suite à la crise du Covid-19)"/>
    <m/>
    <n v="538"/>
    <n v="0"/>
    <s v="FR00124351211"/>
    <s v="FR0012435121"/>
    <n v="1"/>
    <x v="22"/>
    <m/>
    <m/>
    <m/>
  </r>
  <r>
    <m/>
    <m/>
    <m/>
    <m/>
    <m/>
    <x v="1"/>
    <m/>
    <m/>
    <m/>
    <m/>
    <m/>
    <m/>
    <m/>
    <m/>
    <m/>
    <m/>
    <m/>
    <m/>
    <m/>
    <m/>
    <m/>
    <s v=""/>
    <m/>
    <m/>
    <m/>
    <m/>
    <m/>
    <n v="539"/>
    <n v="0"/>
    <s v="FR00124351211"/>
    <s v="FR0012435121"/>
    <n v="1"/>
    <x v="22"/>
    <m/>
    <m/>
    <m/>
  </r>
  <r>
    <m/>
    <m/>
    <m/>
    <m/>
    <m/>
    <x v="1"/>
    <m/>
    <m/>
    <m/>
    <m/>
    <m/>
    <m/>
    <m/>
    <m/>
    <m/>
    <m/>
    <m/>
    <m/>
    <m/>
    <m/>
    <m/>
    <s v=""/>
    <m/>
    <m/>
    <m/>
    <m/>
    <m/>
    <n v="540"/>
    <n v="0"/>
    <s v="FR00124351211"/>
    <s v="FR0012435121"/>
    <n v="1"/>
    <x v="22"/>
    <m/>
    <m/>
    <m/>
  </r>
  <r>
    <m/>
    <m/>
    <m/>
    <m/>
    <m/>
    <x v="1"/>
    <m/>
    <m/>
    <m/>
    <m/>
    <m/>
    <m/>
    <m/>
    <m/>
    <m/>
    <m/>
    <m/>
    <m/>
    <m/>
    <m/>
    <m/>
    <s v=""/>
    <m/>
    <m/>
    <m/>
    <m/>
    <m/>
    <n v="541"/>
    <n v="0"/>
    <s v="FR00124351211"/>
    <s v="FR0012435121"/>
    <n v="1"/>
    <x v="22"/>
    <m/>
    <m/>
    <m/>
  </r>
  <r>
    <m/>
    <m/>
    <m/>
    <m/>
    <m/>
    <x v="1"/>
    <m/>
    <m/>
    <m/>
    <m/>
    <m/>
    <m/>
    <m/>
    <m/>
    <m/>
    <m/>
    <m/>
    <m/>
    <m/>
    <m/>
    <m/>
    <s v=""/>
    <m/>
    <m/>
    <m/>
    <m/>
    <m/>
    <n v="542"/>
    <n v="0"/>
    <s v="FR00124351211"/>
    <s v="FR0012435121"/>
    <n v="1"/>
    <x v="22"/>
    <m/>
    <m/>
    <m/>
  </r>
  <r>
    <s v="PUMA"/>
    <s v="Chaussures &amp; Sports"/>
    <s v="Allemagne"/>
    <s v="Euro"/>
    <m/>
    <x v="0"/>
    <m/>
    <m/>
    <m/>
    <m/>
    <m/>
    <m/>
    <m/>
    <m/>
    <m/>
    <m/>
    <m/>
    <m/>
    <m/>
    <m/>
    <m/>
    <s v=""/>
    <m/>
    <m/>
    <m/>
    <m/>
    <m/>
    <n v="543"/>
    <n v="0"/>
    <s v="DE000696960312023"/>
    <s v="DE0006969603"/>
    <n v="1"/>
    <x v="23"/>
    <m/>
    <m/>
    <m/>
  </r>
  <r>
    <m/>
    <m/>
    <m/>
    <m/>
    <m/>
    <x v="1"/>
    <m/>
    <m/>
    <m/>
    <m/>
    <m/>
    <m/>
    <m/>
    <m/>
    <m/>
    <m/>
    <m/>
    <m/>
    <m/>
    <m/>
    <m/>
    <s v=""/>
    <m/>
    <m/>
    <m/>
    <s v="Amélioration de l'activité et résultat d'exploitation à 350 M euros. Poursuite en 2019 objectif 560 Me de rex"/>
    <m/>
    <n v="544"/>
    <n v="0"/>
    <s v="DE00069696031"/>
    <s v="DE0006969603"/>
    <n v="1"/>
    <x v="23"/>
    <m/>
    <m/>
    <m/>
  </r>
  <r>
    <m/>
    <m/>
    <m/>
    <m/>
    <n v="56.7"/>
    <x v="2"/>
    <n v="8465100000"/>
    <m/>
    <n v="640600000"/>
    <n v="353500000"/>
    <m/>
    <n v="2471700000"/>
    <n v="16.520954481652296"/>
    <n v="0.15971626078706005"/>
    <n v="0.21128541092486333"/>
    <n v="149610000"/>
    <n v="8482887000"/>
    <n v="3.4320050977060323"/>
    <e v="#DIV/0!"/>
    <m/>
    <n v="16669"/>
    <n v="507834.90311356413"/>
    <n v="918900000"/>
    <m/>
    <m/>
    <s v="Kering a mis sur le marché Puma, Artémis, actionnaire, Kering actionnaire et Flottant"/>
    <m/>
    <n v="543"/>
    <n v="0"/>
    <s v="DE000696960312022"/>
    <s v="DE0006969603"/>
    <n v="1"/>
    <x v="23"/>
    <m/>
    <m/>
    <m/>
  </r>
  <r>
    <m/>
    <m/>
    <m/>
    <m/>
    <m/>
    <x v="1"/>
    <n v="0.24387986011108831"/>
    <m/>
    <n v="0.149883324358284"/>
    <m/>
    <m/>
    <m/>
    <m/>
    <m/>
    <m/>
    <m/>
    <m/>
    <m/>
    <m/>
    <m/>
    <m/>
    <s v=""/>
    <m/>
    <m/>
    <m/>
    <s v="Valorisation généreuse, 20 fois le résultat d'exploitation"/>
    <m/>
    <n v="544"/>
    <n v="0"/>
    <s v="DE00069696031"/>
    <s v="DE0006969603"/>
    <n v="1"/>
    <x v="23"/>
    <m/>
    <m/>
    <m/>
  </r>
  <r>
    <m/>
    <m/>
    <m/>
    <m/>
    <n v="107.5"/>
    <x v="3"/>
    <n v="6805400000"/>
    <m/>
    <n v="557100000"/>
    <n v="309600000"/>
    <m/>
    <n v="2213300000"/>
    <n v="14.793797206069113"/>
    <n v="0.17552015420375305"/>
    <n v="0.23055898860479618"/>
    <n v="149610000"/>
    <n v="16083075000"/>
    <n v="7.266558984322053"/>
    <e v="#DIV/0!"/>
    <m/>
    <n v="14846"/>
    <n v="458399.56890744984"/>
    <n v="821200000"/>
    <m/>
    <m/>
    <s v="Répartition par zone géographique : 37 % Europe, 44 % Amérique, 19 % Asie"/>
    <m/>
    <n v="543"/>
    <n v="0"/>
    <s v="DE000696960312021"/>
    <s v="DE0006969603"/>
    <n v="1"/>
    <x v="23"/>
    <m/>
    <m/>
    <m/>
  </r>
  <r>
    <m/>
    <m/>
    <m/>
    <m/>
    <m/>
    <x v="1"/>
    <n v="0.30012990982729626"/>
    <m/>
    <n v="1.663001912045889"/>
    <m/>
    <m/>
    <m/>
    <m/>
    <m/>
    <m/>
    <m/>
    <m/>
    <m/>
    <m/>
    <m/>
    <m/>
    <s v=""/>
    <m/>
    <m/>
    <m/>
    <s v="Plus gros marchés potentiel : Chine Etat-Unis Inde"/>
    <m/>
    <n v="544"/>
    <n v="0"/>
    <s v="DE00069696031"/>
    <s v="DE0006969603"/>
    <n v="1"/>
    <x v="23"/>
    <m/>
    <m/>
    <m/>
  </r>
  <r>
    <m/>
    <m/>
    <m/>
    <m/>
    <n v="92.28"/>
    <x v="4"/>
    <n v="5234400000"/>
    <m/>
    <n v="209200000"/>
    <n v="78900000"/>
    <m/>
    <n v="1763900000"/>
    <n v="11.792351918705709"/>
    <n v="4.1087330104671145E-2"/>
    <n v="7.952715721501849E-2"/>
    <n v="149580000"/>
    <n v="13803242400"/>
    <m/>
    <e v="#DIV/0!"/>
    <m/>
    <n v="13016"/>
    <n v="402151.19852489245"/>
    <n v="522800000"/>
    <m/>
    <m/>
    <s v="Répartition du Marché : 52 % Nike, 26 % Adidas, 9 % PUMA"/>
    <m/>
    <n v="549"/>
    <n v="0"/>
    <s v="DE000696960312020"/>
    <s v="DE0006969603"/>
    <n v="1"/>
    <x v="23"/>
    <m/>
    <m/>
    <m/>
  </r>
  <r>
    <m/>
    <m/>
    <m/>
    <m/>
    <m/>
    <x v="1"/>
    <n v="-1.0687022900763843E-3"/>
    <m/>
    <n v="-0.62642857142857145"/>
    <m/>
    <m/>
    <m/>
    <m/>
    <m/>
    <m/>
    <m/>
    <m/>
    <m/>
    <m/>
    <m/>
    <m/>
    <s v=""/>
    <m/>
    <m/>
    <m/>
    <s v="L'estimation de la croissance du marché est de +4% sur les deux prochaines années à venir"/>
    <m/>
    <n v="550"/>
    <n v="0"/>
    <s v="DE00069696031"/>
    <s v="DE0006969603"/>
    <n v="1"/>
    <x v="23"/>
    <m/>
    <m/>
    <m/>
  </r>
  <r>
    <m/>
    <m/>
    <m/>
    <m/>
    <n v="92.28"/>
    <x v="5"/>
    <n v="5240000000"/>
    <m/>
    <n v="560000000"/>
    <n v="262400000"/>
    <m/>
    <n v="1920300000"/>
    <n v="11.475022988691393"/>
    <n v="0.1523632563000813"/>
    <n v="0.21675531297178027"/>
    <n v="150082488"/>
    <n v="13849611992.639999"/>
    <m/>
    <e v="#DIV/0!"/>
    <m/>
    <n v="13348"/>
    <n v="392568.17500749178"/>
    <n v="704800000"/>
    <m/>
    <m/>
    <m/>
    <m/>
    <n v="545"/>
    <n v="0"/>
    <s v="DE000696960312019"/>
    <s v="DE0006969603"/>
    <n v="1"/>
    <x v="23"/>
    <m/>
    <m/>
    <m/>
  </r>
  <r>
    <m/>
    <m/>
    <m/>
    <m/>
    <m/>
    <x v="1"/>
    <n v="9.7507464202720495E-2"/>
    <m/>
    <n v="0.60000000000000009"/>
    <m/>
    <m/>
    <m/>
    <m/>
    <m/>
    <m/>
    <m/>
    <m/>
    <m/>
    <m/>
    <m/>
    <m/>
    <s v=""/>
    <m/>
    <m/>
    <m/>
    <m/>
    <m/>
    <n v="546"/>
    <n v="0"/>
    <s v="DE00069696031"/>
    <s v="DE0006969603"/>
    <n v="1"/>
    <x v="23"/>
    <m/>
    <m/>
    <m/>
  </r>
  <r>
    <m/>
    <m/>
    <s v="division du nominal par 10"/>
    <m/>
    <n v="505"/>
    <x v="6"/>
    <n v="4774455000"/>
    <m/>
    <n v="350000000"/>
    <n v="187400000"/>
    <m/>
    <n v="1722200000"/>
    <n v="10.98426201300475"/>
    <n v="0.11311643628900826"/>
    <n v="0.14082815235105933"/>
    <n v="15082488"/>
    <n v="7616656440"/>
    <m/>
    <e v="#DIV/0!"/>
    <m/>
    <n v="12192"/>
    <n v="391605.56102362205"/>
    <n v="398000000"/>
    <m/>
    <m/>
    <s v="En 2022, nomination de Arne Freundt (43 ans) nomination PDG en remplacement de Bjorn Gulden parti chez Adidas. Ancien poste de Arne Freundt : Responsable stratégie monde de Puma, 10 ans d'ancieneté,"/>
    <m/>
    <n v="547"/>
    <n v="0"/>
    <s v="DE000696960312018"/>
    <s v="DE0006969603"/>
    <n v="1"/>
    <x v="23"/>
    <m/>
    <m/>
    <m/>
  </r>
  <r>
    <m/>
    <m/>
    <m/>
    <m/>
    <m/>
    <x v="1"/>
    <n v="0.14999999999999991"/>
    <m/>
    <n v="0.43501435014350154"/>
    <m/>
    <m/>
    <m/>
    <m/>
    <m/>
    <m/>
    <m/>
    <m/>
    <m/>
    <m/>
    <m/>
    <m/>
    <s v=""/>
    <m/>
    <m/>
    <m/>
    <s v="Pay out : 25/35 %"/>
    <m/>
    <n v="548"/>
    <n v="0"/>
    <s v="DE00069696031"/>
    <s v="DE0006969603"/>
    <n v="1"/>
    <x v="23"/>
    <m/>
    <m/>
    <m/>
  </r>
  <r>
    <m/>
    <m/>
    <m/>
    <m/>
    <n v="310"/>
    <x v="7"/>
    <n v="4151700000"/>
    <m/>
    <n v="243900000"/>
    <n v="135800000"/>
    <m/>
    <n v="1656700000"/>
    <n v="11.418540495440805"/>
    <n v="7.8852630356520723E-2"/>
    <n v="9.440468006038788E-2"/>
    <n v="15082488"/>
    <n v="4675571280"/>
    <m/>
    <e v="#DIV/0!"/>
    <m/>
    <n v="11389"/>
    <n v="364535.95574677322"/>
    <m/>
    <m/>
    <m/>
    <s v="CAC :"/>
    <m/>
    <n v="549"/>
    <n v="0"/>
    <s v="DE000696960312017"/>
    <s v="DE0006969603"/>
    <n v="1"/>
    <x v="23"/>
    <m/>
    <m/>
    <m/>
  </r>
  <r>
    <m/>
    <m/>
    <m/>
    <m/>
    <m/>
    <x v="1"/>
    <n v="0.13988797979243306"/>
    <m/>
    <n v="0.92654028436018954"/>
    <m/>
    <m/>
    <m/>
    <m/>
    <m/>
    <m/>
    <m/>
    <m/>
    <m/>
    <m/>
    <m/>
    <m/>
    <s v=""/>
    <m/>
    <m/>
    <m/>
    <s v="Minoritaire"/>
    <m/>
    <n v="550"/>
    <n v="0"/>
    <s v="DE00069696031"/>
    <s v="DE0006969603"/>
    <n v="1"/>
    <x v="23"/>
    <m/>
    <m/>
    <m/>
  </r>
  <r>
    <m/>
    <m/>
    <m/>
    <m/>
    <m/>
    <x v="8"/>
    <n v="3642200000"/>
    <m/>
    <n v="126600000"/>
    <n v="62400000"/>
    <m/>
    <n v="1722200000"/>
    <n v="10.736292314636684"/>
    <n v="3.8535169517692827E-2"/>
    <n v="5.2116074847156177E-2"/>
    <n v="15082488"/>
    <n v="0"/>
    <m/>
    <e v="#DIV/0!"/>
    <m/>
    <n v="11128"/>
    <n v="327300.50323508267"/>
    <m/>
    <m/>
    <m/>
    <m/>
    <m/>
    <n v="551"/>
    <n v="0"/>
    <s v="DE000696960312016"/>
    <s v="DE0006969603"/>
    <n v="1"/>
    <x v="23"/>
    <m/>
    <m/>
    <m/>
  </r>
  <r>
    <m/>
    <m/>
    <m/>
    <m/>
    <m/>
    <x v="1"/>
    <m/>
    <m/>
    <m/>
    <m/>
    <m/>
    <m/>
    <m/>
    <m/>
    <m/>
    <m/>
    <m/>
    <m/>
    <m/>
    <m/>
    <m/>
    <s v=""/>
    <m/>
    <m/>
    <m/>
    <m/>
    <m/>
    <n v="552"/>
    <n v="0"/>
    <s v="DE00069696031"/>
    <s v="DE0006969603"/>
    <n v="1"/>
    <x v="23"/>
    <m/>
    <m/>
    <m/>
  </r>
  <r>
    <m/>
    <m/>
    <m/>
    <m/>
    <m/>
    <x v="9"/>
    <n v="3387400000"/>
    <m/>
    <n v="96300000"/>
    <n v="37100000"/>
    <m/>
    <n v="1619300000"/>
    <m/>
    <m/>
    <m/>
    <m/>
    <m/>
    <m/>
    <m/>
    <m/>
    <n v="10988"/>
    <n v="308281.76192209683"/>
    <m/>
    <m/>
    <m/>
    <m/>
    <m/>
    <n v="559"/>
    <n v="0"/>
    <s v="DE000696960312015"/>
    <s v="DE0006969603"/>
    <n v="1"/>
    <x v="23"/>
    <m/>
    <m/>
    <m/>
  </r>
  <r>
    <m/>
    <m/>
    <m/>
    <m/>
    <m/>
    <x v="1"/>
    <m/>
    <m/>
    <m/>
    <m/>
    <m/>
    <m/>
    <m/>
    <m/>
    <m/>
    <m/>
    <m/>
    <m/>
    <m/>
    <m/>
    <m/>
    <s v=""/>
    <m/>
    <m/>
    <m/>
    <m/>
    <m/>
    <n v="560"/>
    <n v="0"/>
    <s v="DE00069696031"/>
    <s v="DE0006969603"/>
    <n v="1"/>
    <x v="23"/>
    <m/>
    <m/>
    <m/>
  </r>
  <r>
    <m/>
    <m/>
    <m/>
    <m/>
    <m/>
    <x v="1"/>
    <m/>
    <m/>
    <m/>
    <m/>
    <m/>
    <m/>
    <m/>
    <m/>
    <m/>
    <m/>
    <m/>
    <m/>
    <m/>
    <m/>
    <m/>
    <s v=""/>
    <m/>
    <m/>
    <m/>
    <m/>
    <m/>
    <n v="553"/>
    <n v="0"/>
    <s v="DE00069696031"/>
    <s v="DE0006969603"/>
    <n v="1"/>
    <x v="23"/>
    <m/>
    <m/>
    <m/>
  </r>
  <r>
    <m/>
    <m/>
    <m/>
    <m/>
    <m/>
    <x v="1"/>
    <m/>
    <m/>
    <m/>
    <m/>
    <m/>
    <m/>
    <m/>
    <m/>
    <m/>
    <m/>
    <m/>
    <m/>
    <m/>
    <m/>
    <m/>
    <s v=""/>
    <m/>
    <m/>
    <m/>
    <m/>
    <m/>
    <n v="554"/>
    <n v="0"/>
    <s v="DE00069696031"/>
    <s v="DE0006969603"/>
    <n v="1"/>
    <x v="23"/>
    <m/>
    <m/>
    <m/>
  </r>
  <r>
    <s v="Kering"/>
    <s v="Luxe"/>
    <s v="France"/>
    <s v="Euro"/>
    <n v="560"/>
    <x v="0"/>
    <n v="22386100000"/>
    <n v="8200000000"/>
    <n v="6000000000"/>
    <n v="4000000000"/>
    <n v="2000000000"/>
    <n v="15000000000"/>
    <n v="122.72913263149179"/>
    <n v="0.2857551078725532"/>
    <n v="0.26874463124309733"/>
    <n v="122220370"/>
    <n v="68443407200"/>
    <n v="4.562893813333333"/>
    <n v="8.5906594146341462"/>
    <s v="A / Stable (04/2022)"/>
    <n v="47000"/>
    <n v="476300"/>
    <n v="3500000000"/>
    <s v="E = -1"/>
    <m/>
    <s v="Groupe fondée par la famille Pinault dans les années 60. (40,9% du capital)"/>
    <m/>
    <n v="555"/>
    <n v="0"/>
    <s v="FR000012148512023"/>
    <s v="FR0000121485"/>
    <n v="1"/>
    <x v="24"/>
    <m/>
    <m/>
    <m/>
  </r>
  <r>
    <m/>
    <m/>
    <m/>
    <m/>
    <m/>
    <x v="1"/>
    <n v="0.10000000000000009"/>
    <n v="0.13025499655410067"/>
    <n v="7.3537305421363497E-2"/>
    <n v="0.10680686220254576"/>
    <m/>
    <m/>
    <m/>
    <m/>
    <m/>
    <m/>
    <m/>
    <m/>
    <m/>
    <m/>
    <m/>
    <s v=""/>
    <m/>
    <s v="S = 1"/>
    <m/>
    <s v="En 1999 puis 2001 acquisition de Gucci et YSL, virage dans le Luxe"/>
    <m/>
    <n v="556"/>
    <n v="0"/>
    <s v="FR00001214851"/>
    <s v="FR0000121485"/>
    <n v="1"/>
    <x v="24"/>
    <m/>
    <m/>
    <m/>
  </r>
  <r>
    <m/>
    <m/>
    <m/>
    <m/>
    <n v="475.5"/>
    <x v="2"/>
    <n v="20351000000"/>
    <n v="7255000000"/>
    <n v="5589000000"/>
    <n v="3614000000"/>
    <n v="2300000000"/>
    <n v="13998000000"/>
    <n v="114.53082657170813"/>
    <n v="0.2707765157191237"/>
    <n v="0.3018801053628507"/>
    <n v="122220370"/>
    <n v="58115785935"/>
    <n v="4.151720669738534"/>
    <n v="8.3274687711922812"/>
    <m/>
    <n v="47000"/>
    <n v="433000"/>
    <n v="3200000000"/>
    <s v="G = 2"/>
    <m/>
    <s v="En 2007, achat de PUMA à 330 euros soit 5 Md euros de valorisation et 70% du capital soit 3,5 Md euros. "/>
    <m/>
    <n v="557"/>
    <n v="0"/>
    <s v="FR000012148512022"/>
    <s v="FR0000121485"/>
    <n v="1"/>
    <x v="24"/>
    <m/>
    <m/>
    <m/>
  </r>
  <r>
    <m/>
    <m/>
    <m/>
    <m/>
    <m/>
    <x v="1"/>
    <n v="0.15334481898760011"/>
    <n v="0.12125989119683478"/>
    <n v="0.11396795025113615"/>
    <n v="0.1380168151903518"/>
    <m/>
    <m/>
    <m/>
    <m/>
    <m/>
    <m/>
    <m/>
    <m/>
    <m/>
    <m/>
    <m/>
    <s v=""/>
    <m/>
    <m/>
    <m/>
    <s v="Fin 2008, position longue, redressement de Gucci et de Puma en cours. Développement d'YSL. Attendre la cession de PUMA. Objectif 300 -350 euros à la cession de PUMA"/>
    <m/>
    <n v="558"/>
    <n v="0"/>
    <s v="FR00001214851"/>
    <s v="FR0000121485"/>
    <n v="1"/>
    <x v="24"/>
    <m/>
    <m/>
    <m/>
  </r>
  <r>
    <m/>
    <m/>
    <m/>
    <m/>
    <n v="706.9"/>
    <x v="3"/>
    <n v="17645200000"/>
    <n v="6470400000"/>
    <n v="5017200000"/>
    <n v="3175700000"/>
    <n v="168400000"/>
    <n v="13346800000"/>
    <n v="107.5758790260606"/>
    <n v="0.26865128712703773"/>
    <n v="0.26218044897491694"/>
    <n v="124068705"/>
    <n v="87704167564.5"/>
    <n v="6.5711756799007999"/>
    <n v="13.580700971269165"/>
    <m/>
    <n v="42000"/>
    <n v="420123.80952380953"/>
    <n v="4424000000"/>
    <m/>
    <m/>
    <s v="Une douzaine de grandes marques de Luxe tiré par Gucci (57%), YSL (13,3%) et Bottega Veneta (9,2%) au-dessus de 1 Milliard d'euros d'activité. Montée en puissance du on-line et baisse du Wholesale (faible marge)"/>
    <m/>
    <n v="559"/>
    <n v="0"/>
    <s v="FR000012148512021"/>
    <s v="FR0000121485"/>
    <n v="1"/>
    <x v="24"/>
    <m/>
    <m/>
    <m/>
  </r>
  <r>
    <m/>
    <m/>
    <m/>
    <m/>
    <m/>
    <x v="1"/>
    <n v="0.34694126807224324"/>
    <n v="0.41454243364959997"/>
    <n v="0.60028068384792044"/>
    <n v="0.47679501488095233"/>
    <m/>
    <m/>
    <m/>
    <m/>
    <m/>
    <m/>
    <m/>
    <m/>
    <m/>
    <m/>
    <m/>
    <s v=""/>
    <m/>
    <m/>
    <m/>
    <s v="En 2017, excellents résultats dans la lignée du CA de Gucci et YSL. Redressement de PUMA"/>
    <m/>
    <n v="560"/>
    <n v="0"/>
    <s v="FR00001214851"/>
    <s v="FR0000121485"/>
    <n v="1"/>
    <x v="24"/>
    <m/>
    <m/>
    <m/>
  </r>
  <r>
    <m/>
    <m/>
    <m/>
    <m/>
    <n v="530"/>
    <x v="4"/>
    <n v="13100200000"/>
    <n v="4574200000"/>
    <n v="3135200000"/>
    <n v="2150400000"/>
    <n v="2148700000"/>
    <n v="11820900000"/>
    <n v="94.625552928975821"/>
    <n v="0.2092215487298236"/>
    <n v="0.17483907931827383"/>
    <n v="124922916"/>
    <n v="66209145480"/>
    <n v="5.6010240743090627"/>
    <n v="14.944218766123038"/>
    <m/>
    <m/>
    <s v=""/>
    <n v="2692000000"/>
    <m/>
    <m/>
    <s v="EBE à 1550 Me soit 3100 sur l'année en ligne avec le tableau. Multiple VE/EBE de 13,5 fois en ligne avec la rentabilité (mais pas la croissance donc pas de problème de soutenabilité) mais prises de profits si accélération haussière"/>
    <m/>
    <n v="561"/>
    <n v="0"/>
    <s v="FR000012148512020"/>
    <s v="FR0000121485"/>
    <n v="1"/>
    <x v="24"/>
    <m/>
    <m/>
    <m/>
  </r>
  <r>
    <m/>
    <m/>
    <m/>
    <m/>
    <m/>
    <x v="1"/>
    <n v="-0.14837543718227086"/>
    <n v="-0.2406202271067136"/>
    <n v="-0.34386706569281966"/>
    <n v="-7.614564585352368E-3"/>
    <m/>
    <m/>
    <m/>
    <m/>
    <m/>
    <m/>
    <m/>
    <m/>
    <m/>
    <m/>
    <m/>
    <s v=""/>
    <m/>
    <m/>
    <m/>
    <s v="Dernier levier : PUMA et développement d'une autre marque de Luxe Balenciaga ? Et split"/>
    <m/>
    <n v="562"/>
    <n v="0"/>
    <s v="FR00001214851"/>
    <s v="FR0000121485"/>
    <n v="1"/>
    <x v="24"/>
    <m/>
    <m/>
    <m/>
  </r>
  <r>
    <m/>
    <m/>
    <m/>
    <m/>
    <n v="540"/>
    <x v="5"/>
    <n v="15382600000"/>
    <n v="6023600000"/>
    <n v="4778300000"/>
    <n v="2166900000"/>
    <n v="2812200000"/>
    <n v="10278100000"/>
    <n v="82.213016572760665"/>
    <n v="0.21874842265720429"/>
    <n v="0.30025556712833446"/>
    <n v="125017916"/>
    <n v="67509674640"/>
    <n v="6.5683029587180508"/>
    <n v="11.674393160236404"/>
    <m/>
    <m/>
    <s v=""/>
    <m/>
    <m/>
    <m/>
    <s v="Début 2018, mise en bourse PUMA, les actionnaires de Kering deviennent actionnaire de PUMA = &gt; Kering détiendra 15,85% et Artemis autour de 28%"/>
    <m/>
    <n v="563"/>
    <n v="0"/>
    <s v="FR000012148512019"/>
    <s v="FR0000121485"/>
    <n v="1"/>
    <x v="24"/>
    <m/>
    <m/>
    <m/>
  </r>
  <r>
    <m/>
    <m/>
    <m/>
    <m/>
    <m/>
    <x v="1"/>
    <n v="0.16124015792612489"/>
    <n v="0.36899999999999999"/>
    <n v="0.21159795121456471"/>
    <n v="-0.2306954947278731"/>
    <m/>
    <m/>
    <m/>
    <m/>
    <m/>
    <m/>
    <m/>
    <m/>
    <m/>
    <m/>
    <m/>
    <s v=""/>
    <m/>
    <m/>
    <m/>
    <s v="Un potentiel à très long terme demeure avec les marques puissantes, la taille moindre par rapport à LVMH et l'explosion potentielle d'une petite marque comme Balenciaga"/>
    <m/>
    <n v="564"/>
    <n v="0"/>
    <s v="FR00001214851"/>
    <s v="FR0000121485"/>
    <n v="1"/>
    <x v="24"/>
    <m/>
    <m/>
    <m/>
  </r>
  <r>
    <m/>
    <m/>
    <m/>
    <m/>
    <n v="375"/>
    <x v="6"/>
    <n v="13246700000"/>
    <n v="4400000000"/>
    <n v="3943800000"/>
    <n v="2816700000"/>
    <n v="1711400000"/>
    <n v="9905900000"/>
    <n v="78.444355284074135"/>
    <n v="0.22308021288728377"/>
    <n v="0.18366660287081341"/>
    <n v="126279322"/>
    <n v="47354745750"/>
    <n v="4.7804586912849913"/>
    <n v="11.151396761363637"/>
    <m/>
    <m/>
    <s v=""/>
    <m/>
    <m/>
    <m/>
    <s v="2018 : Kering sans Puma/ Progression de 35% de Gucci - 17% Saint Laurent - baisse de Bottega et hausse de Balenciaga. "/>
    <m/>
    <n v="565"/>
    <n v="0"/>
    <s v="FR000012148512018"/>
    <s v="FR0000121485"/>
    <n v="1"/>
    <x v="24"/>
    <m/>
    <m/>
    <m/>
  </r>
  <r>
    <m/>
    <m/>
    <m/>
    <m/>
    <m/>
    <x v="1"/>
    <n v="-0.14414286360376538"/>
    <n v="0.27006119385752214"/>
    <n v="0.33778833107191319"/>
    <n v="0.57745295698924726"/>
    <m/>
    <m/>
    <m/>
    <m/>
    <m/>
    <m/>
    <m/>
    <m/>
    <m/>
    <m/>
    <m/>
    <s v=""/>
    <m/>
    <m/>
    <m/>
    <s v="Résultats exceptionnels. Comparaison 2018-2017 : sortie de PUMA"/>
    <m/>
    <n v="566"/>
    <n v="0"/>
    <s v="FR00001214851"/>
    <s v="FR0000121485"/>
    <n v="1"/>
    <x v="24"/>
    <m/>
    <m/>
    <m/>
  </r>
  <r>
    <m/>
    <m/>
    <m/>
    <m/>
    <n v="393"/>
    <x v="7"/>
    <n v="15477700000"/>
    <n v="3464400000"/>
    <n v="2948000000"/>
    <n v="1785600000"/>
    <n v="3048600000"/>
    <n v="12626400000"/>
    <n v="99.987866580404983"/>
    <n v="0.15844254949111333"/>
    <n v="0.13759230724967553"/>
    <n v="126279322"/>
    <n v="49627773546"/>
    <n v="3.9304769012545142"/>
    <n v="15.205049516799447"/>
    <m/>
    <m/>
    <s v=""/>
    <m/>
    <m/>
    <m/>
    <s v="Variation de FP 2018 : sortie de PUMA"/>
    <m/>
    <n v="567"/>
    <n v="0"/>
    <s v="FR000012148512017"/>
    <s v="FR0000121485"/>
    <n v="1"/>
    <x v="24"/>
    <m/>
    <m/>
    <m/>
  </r>
  <r>
    <m/>
    <m/>
    <m/>
    <m/>
    <m/>
    <x v="1"/>
    <n v="0.24971336293903912"/>
    <n v="0.49456427955133742"/>
    <n v="0.56309650053022264"/>
    <n v="1.1949600491702519"/>
    <m/>
    <m/>
    <m/>
    <m/>
    <m/>
    <m/>
    <m/>
    <m/>
    <m/>
    <m/>
    <m/>
    <s v=""/>
    <m/>
    <m/>
    <m/>
    <s v="Cession le 5 octobre 2020 de 5,9% de PUMA par Kering soit 694 M euros. Kering a encore 9,8% de PUMA (920 M euros)"/>
    <m/>
    <n v="568"/>
    <n v="0"/>
    <s v="FR00001214851"/>
    <s v="FR0000121485"/>
    <n v="1"/>
    <x v="24"/>
    <m/>
    <m/>
    <m/>
  </r>
  <r>
    <m/>
    <m/>
    <m/>
    <m/>
    <n v="213.6"/>
    <x v="8"/>
    <n v="12385000000"/>
    <n v="2318000000"/>
    <n v="1886000000"/>
    <n v="813500000"/>
    <n v="4371000000"/>
    <n v="11269700000"/>
    <n v="89.252529370764009"/>
    <n v="7.4303773188531555E-2"/>
    <n v="8.8100951539933317E-2"/>
    <n v="126267570"/>
    <n v="26970752952"/>
    <n v="2.393209486676664"/>
    <n v="13.521032334771355"/>
    <m/>
    <m/>
    <s v=""/>
    <m/>
    <m/>
    <m/>
    <s v="Le 27 mai 2021, nouvelle cession de 5,9% de PUMA soit 805 M euros. Kering a encore 4% de PUMA (600 M euros)"/>
    <m/>
    <n v="569"/>
    <n v="0"/>
    <s v="FR000012148512016"/>
    <s v="FR0000121485"/>
    <n v="1"/>
    <x v="24"/>
    <m/>
    <m/>
    <m/>
  </r>
  <r>
    <m/>
    <m/>
    <m/>
    <m/>
    <m/>
    <x v="1"/>
    <n v="6.9147099447513849E-2"/>
    <n v="0.12743190661478598"/>
    <n v="0.14511232544019426"/>
    <n v="0.16882183908045967"/>
    <m/>
    <m/>
    <m/>
    <m/>
    <m/>
    <m/>
    <m/>
    <m/>
    <m/>
    <m/>
    <m/>
    <s v=""/>
    <m/>
    <m/>
    <m/>
    <s v="En 2021, forte progression de l'activité à +35% et de la marge. YSL à 2,5 Md euros (+47% au 4T21). Les ventes en ligne (+55%) représentent 15% du CA. Création de valeur annuelle : 2,5 Md euros (capitalisation de 26 années de création de valeur)"/>
    <m/>
    <n v="570"/>
    <n v="0"/>
    <s v="FR00001214851"/>
    <s v="FR0000121485"/>
    <n v="1"/>
    <x v="24"/>
    <m/>
    <m/>
    <m/>
  </r>
  <r>
    <m/>
    <m/>
    <m/>
    <m/>
    <n v="157.94999999999999"/>
    <x v="9"/>
    <n v="11584000000"/>
    <n v="2056000000"/>
    <n v="1647000000"/>
    <n v="696000000"/>
    <n v="4679000000"/>
    <n v="10948300000"/>
    <n v="86.707141033917097"/>
    <n v="6.357151338563978E-2"/>
    <n v="7.693651494500009E-2"/>
    <n v="126267570"/>
    <n v="19943962681.5"/>
    <n v="1.8216492680598815"/>
    <n v="11.976149164153696"/>
    <m/>
    <m/>
    <s v=""/>
    <m/>
    <m/>
    <m/>
    <s v="En 2022, poursuite de la croissance et cession de Sowind (Ulysse Nardin et Girard Perregaux au Management). Acqusition d'une marque de lunettes Maui Jim aux États-Unis pour 1,5 Md euros (officieux) et 300 M euros de CA. Branche lunettes à 1Md euros"/>
    <m/>
    <n v="571"/>
    <n v="0"/>
    <s v="FR000012148512015"/>
    <s v="FR0000121485"/>
    <n v="1"/>
    <x v="24"/>
    <m/>
    <m/>
    <m/>
  </r>
  <r>
    <m/>
    <m/>
    <m/>
    <m/>
    <m/>
    <x v="1"/>
    <m/>
    <m/>
    <m/>
    <m/>
    <m/>
    <m/>
    <m/>
    <m/>
    <m/>
    <m/>
    <m/>
    <m/>
    <m/>
    <m/>
    <m/>
    <s v=""/>
    <m/>
    <m/>
    <m/>
    <s v="Potentiel de la branche Lunette : 2 Md euros (contre 1 Md euro) et marge d'EBIT à 15% et YSL à 5 Md euros (contre 2,5 Md euros) avec marge d'EBIT à 30% soit 3,5 Md euros en plus et 1 Md euros d'EBIT en plus. Potentiel : 26 Md euros, 8 Md d'EBIT et 6 Md de RN"/>
    <m/>
    <n v="572"/>
    <n v="0"/>
    <s v="FR00001214851"/>
    <s v="FR0000121485"/>
    <n v="1"/>
    <x v="24"/>
    <m/>
    <m/>
    <m/>
  </r>
  <r>
    <m/>
    <m/>
    <m/>
    <m/>
    <n v="159.65"/>
    <x v="10"/>
    <n v="13000000000"/>
    <m/>
    <n v="2000000000"/>
    <m/>
    <m/>
    <m/>
    <m/>
    <m/>
    <m/>
    <m/>
    <m/>
    <m/>
    <m/>
    <m/>
    <m/>
    <s v=""/>
    <m/>
    <m/>
    <m/>
    <s v="Taux d'IS : 27,5%"/>
    <m/>
    <n v="573"/>
    <n v="0"/>
    <s v="FR000012148512014"/>
    <s v="FR0000121485"/>
    <n v="1"/>
    <x v="24"/>
    <m/>
    <m/>
    <m/>
  </r>
  <r>
    <m/>
    <m/>
    <m/>
    <m/>
    <m/>
    <x v="1"/>
    <m/>
    <m/>
    <m/>
    <m/>
    <m/>
    <m/>
    <m/>
    <m/>
    <m/>
    <m/>
    <m/>
    <m/>
    <m/>
    <m/>
    <m/>
    <s v=""/>
    <m/>
    <m/>
    <m/>
    <s v="Minoritaires : 2% (JV sur une maison de Luxe)"/>
    <m/>
    <n v="574"/>
    <n v="0"/>
    <s v="FR00001214851"/>
    <s v="FR0000121485"/>
    <n v="1"/>
    <x v="24"/>
    <m/>
    <m/>
    <m/>
  </r>
  <r>
    <m/>
    <m/>
    <m/>
    <m/>
    <n v="153.69999999999999"/>
    <x v="11"/>
    <n v="10000000000"/>
    <m/>
    <n v="1780000000"/>
    <m/>
    <m/>
    <m/>
    <m/>
    <m/>
    <m/>
    <m/>
    <m/>
    <m/>
    <m/>
    <m/>
    <m/>
    <s v=""/>
    <m/>
    <m/>
    <m/>
    <s v="CAC : KPMG"/>
    <m/>
    <n v="575"/>
    <n v="0"/>
    <s v="FR000012148512013"/>
    <s v="FR0000121485"/>
    <n v="1"/>
    <x v="24"/>
    <m/>
    <m/>
    <m/>
  </r>
  <r>
    <m/>
    <m/>
    <m/>
    <m/>
    <m/>
    <x v="1"/>
    <m/>
    <m/>
    <m/>
    <m/>
    <m/>
    <m/>
    <m/>
    <m/>
    <m/>
    <m/>
    <m/>
    <m/>
    <m/>
    <m/>
    <m/>
    <s v=""/>
    <m/>
    <m/>
    <m/>
    <s v="Pay out ratio : 40%-45%"/>
    <m/>
    <n v="576"/>
    <n v="0"/>
    <s v="FR00001214851"/>
    <s v="FR0000121485"/>
    <n v="1"/>
    <x v="24"/>
    <m/>
    <m/>
    <m/>
  </r>
  <r>
    <m/>
    <m/>
    <m/>
    <m/>
    <n v="140.9"/>
    <x v="12"/>
    <n v="13492000000"/>
    <m/>
    <n v="1800000000"/>
    <m/>
    <m/>
    <m/>
    <m/>
    <m/>
    <m/>
    <m/>
    <m/>
    <m/>
    <m/>
    <m/>
    <m/>
    <s v=""/>
    <m/>
    <m/>
    <m/>
    <m/>
    <m/>
    <n v="577"/>
    <n v="0"/>
    <s v="FR000012148512012"/>
    <s v="FR0000121485"/>
    <n v="1"/>
    <x v="24"/>
    <m/>
    <m/>
    <m/>
  </r>
  <r>
    <m/>
    <m/>
    <m/>
    <m/>
    <m/>
    <x v="1"/>
    <m/>
    <m/>
    <m/>
    <m/>
    <m/>
    <m/>
    <m/>
    <m/>
    <m/>
    <m/>
    <m/>
    <m/>
    <m/>
    <m/>
    <m/>
    <s v=""/>
    <m/>
    <m/>
    <m/>
    <m/>
    <m/>
    <n v="578"/>
    <n v="0"/>
    <s v="FR00001214851"/>
    <s v="FR0000121485"/>
    <n v="1"/>
    <x v="24"/>
    <m/>
    <m/>
    <m/>
  </r>
  <r>
    <m/>
    <m/>
    <m/>
    <m/>
    <n v="110.65"/>
    <x v="17"/>
    <n v="12227000000"/>
    <m/>
    <n v="1602000000"/>
    <m/>
    <m/>
    <m/>
    <m/>
    <m/>
    <m/>
    <m/>
    <m/>
    <m/>
    <m/>
    <m/>
    <m/>
    <s v=""/>
    <m/>
    <m/>
    <m/>
    <m/>
    <m/>
    <n v="579"/>
    <n v="0"/>
    <s v="FR000012148512011"/>
    <s v="FR0000121485"/>
    <n v="1"/>
    <x v="24"/>
    <m/>
    <m/>
    <m/>
  </r>
  <r>
    <m/>
    <m/>
    <m/>
    <m/>
    <m/>
    <x v="1"/>
    <m/>
    <m/>
    <m/>
    <m/>
    <m/>
    <m/>
    <m/>
    <m/>
    <m/>
    <m/>
    <m/>
    <m/>
    <m/>
    <m/>
    <m/>
    <s v=""/>
    <m/>
    <m/>
    <m/>
    <m/>
    <m/>
    <n v="580"/>
    <n v="0"/>
    <s v="FR00001214851"/>
    <s v="FR0000121485"/>
    <n v="1"/>
    <x v="24"/>
    <m/>
    <m/>
    <m/>
  </r>
  <r>
    <m/>
    <m/>
    <m/>
    <m/>
    <n v="119"/>
    <x v="18"/>
    <n v="14605000000"/>
    <m/>
    <n v="1337000000"/>
    <m/>
    <m/>
    <m/>
    <m/>
    <m/>
    <m/>
    <m/>
    <m/>
    <m/>
    <m/>
    <m/>
    <m/>
    <s v=""/>
    <m/>
    <m/>
    <m/>
    <m/>
    <m/>
    <n v="581"/>
    <n v="0"/>
    <s v="FR000012148512010"/>
    <s v="FR0000121485"/>
    <n v="1"/>
    <x v="24"/>
    <m/>
    <m/>
    <m/>
  </r>
  <r>
    <m/>
    <m/>
    <m/>
    <m/>
    <m/>
    <x v="1"/>
    <m/>
    <m/>
    <m/>
    <m/>
    <m/>
    <m/>
    <m/>
    <m/>
    <m/>
    <m/>
    <m/>
    <m/>
    <m/>
    <m/>
    <m/>
    <s v=""/>
    <m/>
    <m/>
    <m/>
    <m/>
    <m/>
    <n v="582"/>
    <n v="0"/>
    <s v="FR00001214851"/>
    <s v="FR0000121485"/>
    <n v="1"/>
    <x v="24"/>
    <m/>
    <m/>
    <m/>
  </r>
  <r>
    <m/>
    <m/>
    <m/>
    <m/>
    <m/>
    <x v="1"/>
    <m/>
    <m/>
    <m/>
    <m/>
    <m/>
    <m/>
    <m/>
    <m/>
    <m/>
    <m/>
    <m/>
    <m/>
    <m/>
    <m/>
    <m/>
    <s v=""/>
    <m/>
    <m/>
    <m/>
    <m/>
    <m/>
    <n v="583"/>
    <n v="0"/>
    <s v="FR00001214851"/>
    <s v="FR0000121485"/>
    <n v="1"/>
    <x v="24"/>
    <m/>
    <m/>
    <m/>
  </r>
  <r>
    <m/>
    <m/>
    <m/>
    <m/>
    <m/>
    <x v="1"/>
    <m/>
    <m/>
    <m/>
    <m/>
    <m/>
    <m/>
    <m/>
    <m/>
    <m/>
    <m/>
    <m/>
    <m/>
    <m/>
    <m/>
    <m/>
    <s v=""/>
    <m/>
    <m/>
    <m/>
    <m/>
    <m/>
    <n v="584"/>
    <n v="0"/>
    <s v="FR00001214851"/>
    <s v="FR0000121485"/>
    <n v="1"/>
    <x v="24"/>
    <m/>
    <m/>
    <m/>
  </r>
  <r>
    <s v="LVMH"/>
    <s v="Luxe"/>
    <s v="France"/>
    <s v="Euro"/>
    <n v="679.9"/>
    <x v="2"/>
    <n v="79184000000"/>
    <n v="23000000000"/>
    <n v="21055000000"/>
    <n v="14084000000"/>
    <n v="9201000000"/>
    <n v="56604000000"/>
    <n v="112.47525989879306"/>
    <n v="0.28796336052669241"/>
    <n v="0.23997036699338956"/>
    <n v="503257339"/>
    <n v="342164664786.09998"/>
    <n v="6.0448848983481724"/>
    <n v="15.276768034178259"/>
    <m/>
    <m/>
    <s v=""/>
    <n v="10113000000"/>
    <m/>
    <m/>
    <s v="Numéro un mondial du luxe détenu par la famille Arnault à 48,18% (et 63,9% des droits de vote). 70 marques de prestiges Louis Vuitton, Céline, Guerlain. Mode, parfum et bijouterie Vins et spiritueux et distribution"/>
    <m/>
    <n v="585"/>
    <n v="0"/>
    <s v="FR000012101412022"/>
    <s v="FR0000121014"/>
    <n v="1"/>
    <x v="25"/>
    <m/>
    <m/>
    <m/>
  </r>
  <r>
    <m/>
    <m/>
    <m/>
    <m/>
    <m/>
    <x v="1"/>
    <n v="0.23310752939344392"/>
    <n v="0.12195121951219523"/>
    <n v="0.22762521135793823"/>
    <n v="0.17015619807244931"/>
    <m/>
    <m/>
    <m/>
    <m/>
    <m/>
    <m/>
    <m/>
    <m/>
    <m/>
    <m/>
    <m/>
    <s v=""/>
    <m/>
    <m/>
    <m/>
    <s v="Valo : 4 fois les fonds propres / PER : 24 fois 2017"/>
    <m/>
    <n v="586"/>
    <n v="0"/>
    <s v="FR00001210141"/>
    <s v="FR0000121014"/>
    <n v="1"/>
    <x v="25"/>
    <m/>
    <m/>
    <m/>
  </r>
  <r>
    <m/>
    <m/>
    <m/>
    <m/>
    <n v="727"/>
    <x v="3"/>
    <n v="64215000000"/>
    <n v="20500000000"/>
    <n v="17151000000"/>
    <n v="12036000000"/>
    <n v="9607000000"/>
    <n v="48909000000"/>
    <n v="97.061773860486554"/>
    <n v="0.3217149577675612"/>
    <n v="0.21982449244651037"/>
    <n v="503895592"/>
    <n v="366332095384"/>
    <n v="7.4900753518575316"/>
    <n v="18.338492457756097"/>
    <m/>
    <m/>
    <s v=""/>
    <n v="13531000000"/>
    <m/>
    <m/>
    <s v="Croissance du CA 2018 : +10%"/>
    <m/>
    <n v="587"/>
    <n v="0"/>
    <s v="FR000012101412021"/>
    <s v="FR0000121014"/>
    <n v="1"/>
    <x v="25"/>
    <m/>
    <m/>
    <m/>
  </r>
  <r>
    <m/>
    <m/>
    <m/>
    <m/>
    <m/>
    <x v="1"/>
    <n v="0.43815368076862771"/>
    <n v="0.79039301310043664"/>
    <n v="1.1514049172102356"/>
    <n v="1.5597618034878775"/>
    <m/>
    <m/>
    <m/>
    <m/>
    <m/>
    <m/>
    <m/>
    <m/>
    <m/>
    <m/>
    <m/>
    <s v=""/>
    <m/>
    <m/>
    <m/>
    <s v="En 2020, achat de Tiffany (après avoir hésité en juin 2020 avec la crise, la transaction s'est faite en fin d'année)"/>
    <m/>
    <n v="588"/>
    <n v="0"/>
    <s v="FR00001210141"/>
    <s v="FR0000121014"/>
    <n v="1"/>
    <x v="25"/>
    <m/>
    <m/>
    <m/>
  </r>
  <r>
    <m/>
    <m/>
    <m/>
    <m/>
    <n v="502"/>
    <x v="4"/>
    <n v="44651000000"/>
    <n v="11450000000"/>
    <n v="7972000000"/>
    <n v="4702000000"/>
    <n v="4241000000"/>
    <n v="37412000000"/>
    <n v="74.199222806972031"/>
    <n v="0.12851910566883507"/>
    <n v="0.14354308213093894"/>
    <n v="504210133"/>
    <n v="253113486766"/>
    <n v="6.7655695168929757"/>
    <n v="22.476374390043667"/>
    <m/>
    <m/>
    <s v=""/>
    <n v="6117000000"/>
    <m/>
    <m/>
    <s v="En 2021, LVMH prend 10% de Tod's. Année exceptionnelle avec 64 Md de CA (+44%) doublement du résultat d'exploitation et 150% du résultat net. Dior, Cognac, champagne, Asie, États-Unis et Tiffany ont brillé"/>
    <m/>
    <n v="589"/>
    <n v="0"/>
    <s v="FR000012101412020"/>
    <s v="FR0000121014"/>
    <n v="1"/>
    <x v="25"/>
    <m/>
    <m/>
    <m/>
  </r>
  <r>
    <m/>
    <m/>
    <m/>
    <m/>
    <m/>
    <x v="1"/>
    <n v="-0.16804546301471956"/>
    <n v="-0.18056251341873608"/>
    <n v="-0.29282356072030513"/>
    <n v="-0.34430344442894989"/>
    <m/>
    <m/>
    <m/>
    <m/>
    <m/>
    <m/>
    <m/>
    <m/>
    <m/>
    <m/>
    <m/>
    <s v=""/>
    <m/>
    <m/>
    <m/>
    <s v="En 2022, résultats hors norme avec 80 Md de CA (+23%) dont 50% pour la mode et maroquinerie et un résultat net de 14 Md euros"/>
    <m/>
    <n v="590"/>
    <n v="0"/>
    <s v="FR00001210141"/>
    <s v="FR0000121014"/>
    <n v="1"/>
    <x v="25"/>
    <m/>
    <m/>
    <m/>
  </r>
  <r>
    <m/>
    <m/>
    <m/>
    <m/>
    <n v="419.1"/>
    <x v="5"/>
    <n v="53670000000"/>
    <n v="13973000000"/>
    <n v="11273000000"/>
    <n v="7171000000"/>
    <n v="6206000000"/>
    <n v="36586000000"/>
    <n v="72.614388014825565"/>
    <n v="0.22206050846932771"/>
    <n v="0.19757781828379137"/>
    <n v="503839542"/>
    <n v="211159152052.20001"/>
    <n v="5.7715834486470241"/>
    <n v="15.556083307249697"/>
    <m/>
    <m/>
    <s v=""/>
    <m/>
    <m/>
    <m/>
    <s v="Minoritaires : 5%"/>
    <m/>
    <n v="591"/>
    <n v="0"/>
    <s v="FR000012101412019"/>
    <s v="FR0000121014"/>
    <n v="1"/>
    <x v="25"/>
    <m/>
    <m/>
    <m/>
  </r>
  <r>
    <m/>
    <m/>
    <m/>
    <m/>
    <m/>
    <x v="1"/>
    <n v="0.14615811728526884"/>
    <n v="0.1473027342146318"/>
    <n v="0.14133846309608189"/>
    <n v="0.12858042178155493"/>
    <m/>
    <m/>
    <m/>
    <m/>
    <m/>
    <m/>
    <m/>
    <m/>
    <m/>
    <m/>
    <m/>
    <s v=""/>
    <m/>
    <m/>
    <m/>
    <s v="CAC : Deloitte et Mazars"/>
    <m/>
    <n v="592"/>
    <n v="0"/>
    <s v="FR00001210141"/>
    <s v="FR0000121014"/>
    <n v="1"/>
    <x v="25"/>
    <m/>
    <m/>
    <m/>
  </r>
  <r>
    <m/>
    <m/>
    <m/>
    <m/>
    <n v="251.15"/>
    <x v="6"/>
    <n v="46826000000"/>
    <n v="12179000000"/>
    <n v="9877000000"/>
    <n v="6354000000"/>
    <n v="5487000000"/>
    <n v="32293000000"/>
    <n v="64.08382123334556"/>
    <n v="0.20917141258188762"/>
    <n v="0.19607596611964001"/>
    <n v="503918140"/>
    <n v="126559040861"/>
    <n v="3.919085896664912"/>
    <n v="10.842108618195255"/>
    <m/>
    <m/>
    <s v=""/>
    <m/>
    <m/>
    <m/>
    <s v="Pay-out ratio : autour de 50%"/>
    <m/>
    <n v="593"/>
    <n v="0"/>
    <s v="FR000012101412018"/>
    <s v="FR0000121014"/>
    <n v="1"/>
    <x v="25"/>
    <m/>
    <m/>
    <m/>
  </r>
  <r>
    <m/>
    <m/>
    <m/>
    <m/>
    <m/>
    <x v="1"/>
    <n v="9.827375926447135E-2"/>
    <n v="0.18242718446601947"/>
    <n v="0.19100446159411555"/>
    <n v="0.18434296365330849"/>
    <m/>
    <m/>
    <m/>
    <m/>
    <m/>
    <m/>
    <m/>
    <m/>
    <m/>
    <m/>
    <m/>
    <s v=""/>
    <m/>
    <m/>
    <m/>
    <m/>
    <m/>
    <n v="594"/>
    <n v="0"/>
    <s v="FR00001210141"/>
    <s v="FR0000121014"/>
    <n v="1"/>
    <x v="25"/>
    <m/>
    <m/>
    <m/>
  </r>
  <r>
    <m/>
    <m/>
    <m/>
    <m/>
    <n v="250"/>
    <x v="7"/>
    <n v="42636000000"/>
    <n v="10300000000"/>
    <n v="8293000000"/>
    <n v="5365000000"/>
    <n v="7153000000"/>
    <n v="30377000000"/>
    <n v="59.910153978463775"/>
    <n v="0.19227323226893164"/>
    <n v="0.16572741806554755"/>
    <n v="507042596"/>
    <n v="126760649000"/>
    <n v="4.1729153306778155"/>
    <n v="13.001325145631068"/>
    <m/>
    <m/>
    <s v=""/>
    <m/>
    <m/>
    <m/>
    <m/>
    <m/>
    <n v="595"/>
    <n v="0"/>
    <s v="FR000012101412017"/>
    <s v="FR0000121014"/>
    <n v="1"/>
    <x v="25"/>
    <m/>
    <m/>
    <m/>
  </r>
  <r>
    <m/>
    <m/>
    <m/>
    <m/>
    <m/>
    <x v="1"/>
    <n v="0.13393617021276594"/>
    <m/>
    <n v="0.18033020210646167"/>
    <n v="0.34765134388344632"/>
    <m/>
    <m/>
    <m/>
    <m/>
    <m/>
    <m/>
    <m/>
    <m/>
    <m/>
    <m/>
    <m/>
    <s v=""/>
    <m/>
    <m/>
    <m/>
    <m/>
    <m/>
    <n v="596"/>
    <n v="0"/>
    <s v="FR00001210141"/>
    <s v="FR0000121014"/>
    <n v="1"/>
    <x v="25"/>
    <m/>
    <m/>
    <m/>
  </r>
  <r>
    <m/>
    <m/>
    <m/>
    <m/>
    <n v="181.4"/>
    <x v="8"/>
    <n v="37600000000"/>
    <m/>
    <n v="7026000000"/>
    <n v="3981000000"/>
    <n v="3265000000"/>
    <n v="27903000000"/>
    <n v="55.03087949636484"/>
    <n v="0.14267283087840016"/>
    <n v="0.16906763347022588"/>
    <n v="507042596"/>
    <n v="91977526914.400009"/>
    <n v="3.2963311082822639"/>
    <m/>
    <m/>
    <m/>
    <s v=""/>
    <m/>
    <m/>
    <m/>
    <m/>
    <m/>
    <n v="597"/>
    <n v="0"/>
    <s v="FR000012101412016"/>
    <s v="FR0000121014"/>
    <n v="1"/>
    <x v="25"/>
    <m/>
    <m/>
    <m/>
  </r>
  <r>
    <m/>
    <m/>
    <m/>
    <m/>
    <m/>
    <x v="1"/>
    <m/>
    <m/>
    <m/>
    <m/>
    <m/>
    <m/>
    <m/>
    <m/>
    <m/>
    <m/>
    <m/>
    <m/>
    <m/>
    <m/>
    <m/>
    <s v=""/>
    <m/>
    <m/>
    <m/>
    <m/>
    <m/>
    <n v="598"/>
    <n v="0"/>
    <s v="FR00001210141"/>
    <s v="FR0000121014"/>
    <n v="1"/>
    <x v="25"/>
    <m/>
    <m/>
    <m/>
  </r>
  <r>
    <m/>
    <m/>
    <m/>
    <m/>
    <n v="146"/>
    <x v="9"/>
    <m/>
    <m/>
    <m/>
    <m/>
    <m/>
    <m/>
    <m/>
    <m/>
    <m/>
    <n v="507042596"/>
    <n v="74028219016"/>
    <m/>
    <m/>
    <m/>
    <m/>
    <s v=""/>
    <m/>
    <m/>
    <m/>
    <m/>
    <m/>
    <n v="599"/>
    <n v="0"/>
    <s v="FR000012101412015"/>
    <s v="FR0000121014"/>
    <n v="1"/>
    <x v="25"/>
    <m/>
    <m/>
    <m/>
  </r>
  <r>
    <m/>
    <m/>
    <m/>
    <m/>
    <m/>
    <x v="1"/>
    <m/>
    <m/>
    <m/>
    <m/>
    <m/>
    <m/>
    <m/>
    <m/>
    <m/>
    <m/>
    <m/>
    <m/>
    <m/>
    <m/>
    <m/>
    <s v=""/>
    <m/>
    <m/>
    <m/>
    <m/>
    <m/>
    <n v="600"/>
    <n v="0"/>
    <s v="FR00001210141"/>
    <s v="FR0000121014"/>
    <n v="1"/>
    <x v="25"/>
    <m/>
    <m/>
    <m/>
  </r>
  <r>
    <m/>
    <m/>
    <m/>
    <m/>
    <n v="131"/>
    <x v="10"/>
    <m/>
    <m/>
    <m/>
    <m/>
    <m/>
    <m/>
    <m/>
    <m/>
    <m/>
    <n v="507042596"/>
    <n v="66422580076"/>
    <m/>
    <m/>
    <m/>
    <m/>
    <s v=""/>
    <m/>
    <m/>
    <m/>
    <m/>
    <m/>
    <n v="601"/>
    <n v="0"/>
    <s v="FR000012101412014"/>
    <s v="FR0000121014"/>
    <n v="1"/>
    <x v="25"/>
    <m/>
    <m/>
    <m/>
  </r>
  <r>
    <m/>
    <m/>
    <m/>
    <m/>
    <m/>
    <x v="1"/>
    <m/>
    <m/>
    <m/>
    <m/>
    <m/>
    <m/>
    <m/>
    <m/>
    <m/>
    <m/>
    <m/>
    <m/>
    <m/>
    <m/>
    <m/>
    <s v=""/>
    <m/>
    <m/>
    <m/>
    <m/>
    <m/>
    <n v="602"/>
    <n v="0"/>
    <s v="FR00001210141"/>
    <s v="FR0000121014"/>
    <n v="1"/>
    <x v="25"/>
    <m/>
    <m/>
    <m/>
  </r>
  <r>
    <m/>
    <m/>
    <m/>
    <m/>
    <n v="131"/>
    <x v="11"/>
    <m/>
    <m/>
    <m/>
    <m/>
    <m/>
    <m/>
    <m/>
    <m/>
    <m/>
    <n v="507042596"/>
    <n v="66422580076"/>
    <m/>
    <m/>
    <m/>
    <m/>
    <s v=""/>
    <m/>
    <m/>
    <m/>
    <m/>
    <m/>
    <n v="603"/>
    <n v="0"/>
    <s v="FR000012101412013"/>
    <s v="FR0000121014"/>
    <n v="1"/>
    <x v="25"/>
    <m/>
    <m/>
    <m/>
  </r>
  <r>
    <m/>
    <m/>
    <m/>
    <m/>
    <m/>
    <x v="1"/>
    <m/>
    <m/>
    <m/>
    <m/>
    <m/>
    <m/>
    <m/>
    <m/>
    <m/>
    <m/>
    <m/>
    <m/>
    <m/>
    <m/>
    <m/>
    <s v=""/>
    <m/>
    <m/>
    <m/>
    <m/>
    <m/>
    <n v="604"/>
    <n v="0"/>
    <s v="FR00001210141"/>
    <s v="FR0000121014"/>
    <n v="1"/>
    <x v="25"/>
    <m/>
    <m/>
    <m/>
  </r>
  <r>
    <m/>
    <m/>
    <m/>
    <m/>
    <n v="46"/>
    <x v="20"/>
    <m/>
    <m/>
    <m/>
    <m/>
    <m/>
    <m/>
    <m/>
    <m/>
    <m/>
    <n v="507042596"/>
    <n v="23323959416"/>
    <m/>
    <m/>
    <m/>
    <m/>
    <s v=""/>
    <m/>
    <m/>
    <m/>
    <m/>
    <m/>
    <n v="605"/>
    <n v="0"/>
    <s v="FR000012101412008"/>
    <s v="FR0000121014"/>
    <n v="1"/>
    <x v="25"/>
    <m/>
    <m/>
    <m/>
  </r>
  <r>
    <m/>
    <m/>
    <m/>
    <m/>
    <m/>
    <x v="1"/>
    <m/>
    <m/>
    <m/>
    <m/>
    <m/>
    <m/>
    <m/>
    <m/>
    <m/>
    <m/>
    <m/>
    <m/>
    <m/>
    <m/>
    <m/>
    <s v=""/>
    <m/>
    <m/>
    <m/>
    <m/>
    <m/>
    <n v="606"/>
    <n v="0"/>
    <s v="FR00001210141"/>
    <s v="FR0000121014"/>
    <n v="1"/>
    <x v="25"/>
    <m/>
    <m/>
    <m/>
  </r>
  <r>
    <m/>
    <m/>
    <m/>
    <m/>
    <m/>
    <x v="1"/>
    <m/>
    <m/>
    <m/>
    <m/>
    <m/>
    <m/>
    <m/>
    <m/>
    <m/>
    <m/>
    <m/>
    <m/>
    <m/>
    <m/>
    <m/>
    <s v=""/>
    <m/>
    <m/>
    <m/>
    <m/>
    <m/>
    <n v="607"/>
    <n v="0"/>
    <s v="FR00001210141"/>
    <s v="FR0000121014"/>
    <n v="1"/>
    <x v="25"/>
    <m/>
    <m/>
    <m/>
  </r>
  <r>
    <m/>
    <m/>
    <m/>
    <m/>
    <m/>
    <x v="1"/>
    <m/>
    <m/>
    <m/>
    <m/>
    <m/>
    <m/>
    <m/>
    <m/>
    <m/>
    <m/>
    <m/>
    <m/>
    <m/>
    <m/>
    <m/>
    <s v=""/>
    <m/>
    <m/>
    <m/>
    <m/>
    <m/>
    <n v="608"/>
    <n v="0"/>
    <s v="FR00001210141"/>
    <s v="FR0000121014"/>
    <n v="1"/>
    <x v="25"/>
    <m/>
    <m/>
    <m/>
  </r>
  <r>
    <s v="Tod's"/>
    <s v="Luxe"/>
    <s v="Italie"/>
    <s v="Euro"/>
    <n v="49.28"/>
    <x v="3"/>
    <m/>
    <m/>
    <m/>
    <m/>
    <m/>
    <m/>
    <m/>
    <m/>
    <m/>
    <n v="33000000"/>
    <n v="1626240000"/>
    <e v="#DIV/0!"/>
    <e v="#DIV/0!"/>
    <m/>
    <m/>
    <s v=""/>
    <m/>
    <m/>
    <m/>
    <s v="Tod's détenu par la famille de Diego Della Valle (fondé en 1978)"/>
    <m/>
    <n v="609"/>
    <n v="0"/>
    <s v="IT000300772812021"/>
    <s v="IT0003007728"/>
    <n v="1"/>
    <x v="26"/>
    <m/>
    <m/>
    <m/>
  </r>
  <r>
    <m/>
    <m/>
    <m/>
    <m/>
    <m/>
    <x v="1"/>
    <m/>
    <m/>
    <m/>
    <m/>
    <m/>
    <m/>
    <m/>
    <m/>
    <m/>
    <m/>
    <m/>
    <m/>
    <m/>
    <m/>
    <m/>
    <s v=""/>
    <m/>
    <m/>
    <m/>
    <s v="4 marques : Tod's (55%) Vivier (16%), Hugan (23%) et Fay (6%)"/>
    <m/>
    <n v="610"/>
    <n v="0"/>
    <s v="IT00030077281"/>
    <s v="IT0003007728"/>
    <n v="1"/>
    <x v="26"/>
    <m/>
    <m/>
    <m/>
  </r>
  <r>
    <m/>
    <m/>
    <m/>
    <m/>
    <n v="28.46"/>
    <x v="5"/>
    <n v="940499000"/>
    <n v="118300000"/>
    <n v="71800000"/>
    <n v="47100000"/>
    <n v="75300000"/>
    <n v="1064700000"/>
    <n v="32.263636363636365"/>
    <n v="4.4237813468582701E-2"/>
    <n v="4.1984105263157892E-2"/>
    <n v="33000000"/>
    <n v="939180000"/>
    <n v="0.88210763595378983"/>
    <n v="8.5754860524091292"/>
    <m/>
    <m/>
    <s v=""/>
    <m/>
    <m/>
    <m/>
    <s v="Chaussures (80%), leather (14%) et Appareil (6%)"/>
    <m/>
    <n v="611"/>
    <n v="0"/>
    <s v="IT000300772812019"/>
    <s v="IT0003007728"/>
    <n v="1"/>
    <x v="26"/>
    <m/>
    <m/>
    <m/>
  </r>
  <r>
    <m/>
    <m/>
    <m/>
    <m/>
    <m/>
    <x v="1"/>
    <m/>
    <m/>
    <m/>
    <m/>
    <m/>
    <m/>
    <m/>
    <m/>
    <m/>
    <m/>
    <m/>
    <m/>
    <m/>
    <m/>
    <m/>
    <s v=""/>
    <m/>
    <m/>
    <m/>
    <s v="Italie (32%), Europe (25%), Chine (20%) Amérique (9,2%) reste du Monde (14%)"/>
    <m/>
    <n v="612"/>
    <n v="0"/>
    <s v="IT00030077281"/>
    <s v="IT0003007728"/>
    <n v="1"/>
    <x v="26"/>
    <m/>
    <m/>
    <m/>
  </r>
  <r>
    <m/>
    <m/>
    <m/>
    <m/>
    <n v="42.56"/>
    <x v="6"/>
    <n v="940499000"/>
    <n v="118335000"/>
    <n v="71760000"/>
    <n v="47146000"/>
    <n v="75300000"/>
    <n v="1065151000"/>
    <n v="32.277303030303031"/>
    <n v="4.4262268917740301E-2"/>
    <n v="4.1944122106079083E-2"/>
    <n v="33000000"/>
    <n v="1404480000"/>
    <n v="1.3185736106899397"/>
    <n v="12.505006971732792"/>
    <m/>
    <m/>
    <s v=""/>
    <m/>
    <m/>
    <m/>
    <s v="2/3 en magasin propre et 1/3 en wholesale"/>
    <m/>
    <n v="613"/>
    <n v="0"/>
    <s v="IT000300772812018"/>
    <s v="IT0003007728"/>
    <n v="1"/>
    <x v="26"/>
    <m/>
    <m/>
    <m/>
  </r>
  <r>
    <m/>
    <m/>
    <m/>
    <m/>
    <m/>
    <x v="1"/>
    <n v="-4.2980936933343372E-2"/>
    <n v="-0.26267352889863671"/>
    <n v="-0.35790980672870432"/>
    <n v="-0.33603729209796218"/>
    <m/>
    <m/>
    <m/>
    <m/>
    <m/>
    <m/>
    <m/>
    <m/>
    <m/>
    <m/>
    <m/>
    <s v=""/>
    <m/>
    <m/>
    <m/>
    <s v="CA Tod's 2017 à -6,6% problème d'approvisionnement"/>
    <m/>
    <n v="614"/>
    <n v="0"/>
    <s v="IT00030077281"/>
    <s v="IT0003007728"/>
    <n v="1"/>
    <x v="26"/>
    <m/>
    <m/>
    <m/>
  </r>
  <r>
    <m/>
    <m/>
    <m/>
    <m/>
    <n v="60.75"/>
    <x v="7"/>
    <n v="982738000"/>
    <n v="160492000"/>
    <n v="111760000"/>
    <n v="71007000"/>
    <n v="-9300000"/>
    <n v="1086272000"/>
    <n v="32.917333333333332"/>
    <n v="6.5367605903493789E-2"/>
    <n v="6.9174700920729595E-2"/>
    <n v="33000000"/>
    <n v="2004750000"/>
    <n v="1.8455322423849643"/>
    <n v="12.433330010218578"/>
    <m/>
    <m/>
    <s v=""/>
    <m/>
    <m/>
    <m/>
    <s v="Peu de minoritaires, pas de dettes"/>
    <m/>
    <n v="615"/>
    <n v="0"/>
    <s v="IT000300772812017"/>
    <s v="IT0003007728"/>
    <n v="1"/>
    <x v="26"/>
    <m/>
    <m/>
    <m/>
  </r>
  <r>
    <m/>
    <m/>
    <m/>
    <m/>
    <m/>
    <x v="1"/>
    <n v="-2.1223110073532392E-2"/>
    <n v="-0.11285294182678485"/>
    <n v="-0.12933055990526721"/>
    <n v="-0.17713113614240017"/>
    <m/>
    <m/>
    <m/>
    <m/>
    <m/>
    <m/>
    <m/>
    <m/>
    <m/>
    <m/>
    <m/>
    <s v=""/>
    <m/>
    <m/>
    <m/>
    <s v="Acquisition de Roger Vivier : 415 M euros en 2016"/>
    <m/>
    <n v="616"/>
    <n v="0"/>
    <s v="IT00030077281"/>
    <s v="IT0003007728"/>
    <n v="1"/>
    <x v="26"/>
    <m/>
    <m/>
    <m/>
  </r>
  <r>
    <m/>
    <m/>
    <m/>
    <m/>
    <n v="61.8"/>
    <x v="8"/>
    <n v="1004047000"/>
    <n v="180908000"/>
    <n v="128361000"/>
    <n v="86292000"/>
    <m/>
    <n v="1087212000"/>
    <n v="32.945818181818183"/>
    <n v="7.9369984878754102E-2"/>
    <n v="7.8701709142283194E-2"/>
    <n v="33000000"/>
    <n v="2039400000"/>
    <n v="1.8758071102967959"/>
    <n v="11.273133305326464"/>
    <m/>
    <m/>
    <s v=""/>
    <m/>
    <m/>
    <m/>
    <s v="4 705 salariés soit 200 K euros par salarié"/>
    <m/>
    <n v="617"/>
    <n v="0"/>
    <s v="IT000300772812016"/>
    <s v="IT0003007728"/>
    <n v="1"/>
    <x v="26"/>
    <m/>
    <m/>
    <m/>
  </r>
  <r>
    <m/>
    <m/>
    <m/>
    <m/>
    <m/>
    <x v="1"/>
    <m/>
    <m/>
    <m/>
    <m/>
    <m/>
    <m/>
    <m/>
    <m/>
    <m/>
    <m/>
    <m/>
    <m/>
    <m/>
    <m/>
    <m/>
    <s v=""/>
    <m/>
    <m/>
    <m/>
    <m/>
    <m/>
    <n v="618"/>
    <n v="0"/>
    <s v="IT00030077281"/>
    <s v="IT0003007728"/>
    <n v="1"/>
    <x v="26"/>
    <m/>
    <m/>
    <m/>
  </r>
  <r>
    <m/>
    <m/>
    <m/>
    <m/>
    <n v="73.05"/>
    <x v="9"/>
    <m/>
    <m/>
    <m/>
    <m/>
    <m/>
    <m/>
    <m/>
    <m/>
    <m/>
    <m/>
    <n v="0"/>
    <m/>
    <m/>
    <m/>
    <m/>
    <s v=""/>
    <m/>
    <m/>
    <m/>
    <m/>
    <m/>
    <n v="619"/>
    <n v="0"/>
    <s v="IT000300772812015"/>
    <s v="IT0003007728"/>
    <n v="1"/>
    <x v="26"/>
    <m/>
    <m/>
    <m/>
  </r>
  <r>
    <m/>
    <m/>
    <m/>
    <m/>
    <m/>
    <x v="1"/>
    <m/>
    <m/>
    <m/>
    <m/>
    <m/>
    <m/>
    <m/>
    <m/>
    <m/>
    <m/>
    <m/>
    <m/>
    <m/>
    <m/>
    <m/>
    <s v=""/>
    <m/>
    <m/>
    <m/>
    <m/>
    <m/>
    <n v="620"/>
    <n v="0"/>
    <s v="IT00030077281"/>
    <s v="IT0003007728"/>
    <n v="1"/>
    <x v="26"/>
    <m/>
    <m/>
    <m/>
  </r>
  <r>
    <m/>
    <m/>
    <m/>
    <m/>
    <n v="72.05"/>
    <x v="10"/>
    <m/>
    <m/>
    <m/>
    <m/>
    <m/>
    <m/>
    <m/>
    <m/>
    <m/>
    <m/>
    <n v="0"/>
    <m/>
    <m/>
    <m/>
    <m/>
    <s v=""/>
    <m/>
    <m/>
    <m/>
    <m/>
    <m/>
    <n v="621"/>
    <n v="0"/>
    <s v="IT000300772812014"/>
    <s v="IT0003007728"/>
    <n v="1"/>
    <x v="26"/>
    <m/>
    <m/>
    <m/>
  </r>
  <r>
    <m/>
    <m/>
    <m/>
    <m/>
    <m/>
    <x v="1"/>
    <m/>
    <m/>
    <m/>
    <m/>
    <m/>
    <m/>
    <m/>
    <m/>
    <m/>
    <m/>
    <m/>
    <m/>
    <m/>
    <m/>
    <m/>
    <s v=""/>
    <m/>
    <m/>
    <m/>
    <m/>
    <m/>
    <n v="622"/>
    <n v="0"/>
    <s v="IT00030077281"/>
    <s v="IT0003007728"/>
    <n v="1"/>
    <x v="26"/>
    <m/>
    <m/>
    <m/>
  </r>
  <r>
    <m/>
    <m/>
    <m/>
    <m/>
    <n v="120"/>
    <x v="11"/>
    <m/>
    <m/>
    <m/>
    <m/>
    <m/>
    <m/>
    <m/>
    <m/>
    <m/>
    <m/>
    <m/>
    <m/>
    <m/>
    <m/>
    <m/>
    <s v=""/>
    <m/>
    <m/>
    <m/>
    <m/>
    <m/>
    <n v="623"/>
    <n v="0"/>
    <s v="IT000300772812013"/>
    <s v="IT0003007728"/>
    <n v="1"/>
    <x v="26"/>
    <m/>
    <m/>
    <m/>
  </r>
  <r>
    <m/>
    <m/>
    <m/>
    <m/>
    <m/>
    <x v="1"/>
    <m/>
    <m/>
    <m/>
    <m/>
    <m/>
    <m/>
    <m/>
    <m/>
    <m/>
    <m/>
    <m/>
    <m/>
    <m/>
    <m/>
    <m/>
    <s v=""/>
    <m/>
    <m/>
    <m/>
    <m/>
    <m/>
    <n v="624"/>
    <n v="0"/>
    <s v="IT00030077281"/>
    <s v="IT0003007728"/>
    <n v="1"/>
    <x v="26"/>
    <m/>
    <m/>
    <m/>
  </r>
  <r>
    <m/>
    <m/>
    <m/>
    <m/>
    <m/>
    <x v="1"/>
    <m/>
    <m/>
    <m/>
    <m/>
    <m/>
    <m/>
    <m/>
    <m/>
    <m/>
    <m/>
    <m/>
    <m/>
    <m/>
    <m/>
    <m/>
    <s v=""/>
    <m/>
    <m/>
    <m/>
    <m/>
    <m/>
    <n v="625"/>
    <n v="0"/>
    <s v="IT00030077281"/>
    <s v="IT0003007728"/>
    <n v="1"/>
    <x v="26"/>
    <m/>
    <m/>
    <m/>
  </r>
  <r>
    <m/>
    <m/>
    <m/>
    <m/>
    <m/>
    <x v="1"/>
    <m/>
    <m/>
    <m/>
    <m/>
    <m/>
    <m/>
    <m/>
    <m/>
    <m/>
    <m/>
    <m/>
    <m/>
    <m/>
    <m/>
    <m/>
    <s v=""/>
    <m/>
    <m/>
    <m/>
    <m/>
    <m/>
    <n v="626"/>
    <n v="0"/>
    <s v="IT00030077281"/>
    <s v="IT0003007728"/>
    <n v="1"/>
    <x v="26"/>
    <m/>
    <m/>
    <m/>
  </r>
  <r>
    <s v="PRADA"/>
    <s v="Luxe"/>
    <s v="Italie"/>
    <s v="Euro"/>
    <n v="49.9"/>
    <x v="3"/>
    <m/>
    <m/>
    <m/>
    <m/>
    <m/>
    <m/>
    <m/>
    <m/>
    <m/>
    <n v="2558824000"/>
    <n v="127685317600"/>
    <m/>
    <m/>
    <m/>
    <m/>
    <s v=""/>
    <m/>
    <m/>
    <m/>
    <s v="Société familiale fondée en 1913 par Prada et toujours détenue à 80% par la famille qui ne souhaite pas vendre. 20% listé à la bourse de Hong Kong en 2011"/>
    <m/>
    <n v="627"/>
    <n v="0"/>
    <s v="IT0003874101 12021"/>
    <s v="IT0003874101 "/>
    <n v="1"/>
    <x v="27"/>
    <m/>
    <m/>
    <m/>
  </r>
  <r>
    <m/>
    <m/>
    <m/>
    <m/>
    <m/>
    <x v="1"/>
    <m/>
    <m/>
    <m/>
    <m/>
    <m/>
    <m/>
    <m/>
    <m/>
    <m/>
    <m/>
    <m/>
    <m/>
    <m/>
    <m/>
    <m/>
    <s v=""/>
    <m/>
    <m/>
    <m/>
    <s v="Lorenzo Bertelli né en 1988, administrateur et en charge du numéro, fils de Bertelli et e Miuccia Prada actionnaire à 80%, pourrait reprendre les rênes à terme"/>
    <m/>
    <n v="628"/>
    <n v="0"/>
    <s v="IT0003874101 1"/>
    <s v="IT0003874101 "/>
    <n v="1"/>
    <x v="27"/>
    <m/>
    <m/>
    <m/>
  </r>
  <r>
    <m/>
    <m/>
    <m/>
    <m/>
    <n v="51.2"/>
    <x v="6"/>
    <n v="3100000000"/>
    <n v="588000000"/>
    <n v="360000000"/>
    <n v="249000000"/>
    <n v="-104000000"/>
    <n v="3086089000"/>
    <n v="1.2060575483112554"/>
    <n v="8.0684646489456391E-2"/>
    <n v="8.047244733473749E-2"/>
    <n v="2558824000"/>
    <n v="131011788800"/>
    <n v="42.452368936864751"/>
    <n v="222.63229387755101"/>
    <m/>
    <m/>
    <s v=""/>
    <m/>
    <m/>
    <m/>
    <s v="Autres marques du groupe : Miu-Miu (1993), les chaussures Church's"/>
    <m/>
    <n v="629"/>
    <n v="0"/>
    <s v="IT0003874101 12018"/>
    <s v="IT0003874101 "/>
    <n v="1"/>
    <x v="27"/>
    <m/>
    <m/>
    <m/>
  </r>
  <r>
    <m/>
    <m/>
    <m/>
    <m/>
    <m/>
    <x v="1"/>
    <m/>
    <m/>
    <m/>
    <m/>
    <m/>
    <m/>
    <m/>
    <m/>
    <m/>
    <m/>
    <m/>
    <m/>
    <m/>
    <m/>
    <m/>
    <s v=""/>
    <m/>
    <m/>
    <m/>
    <s v="625 magasins dans le Monde. 3 Md euros de CA "/>
    <m/>
    <n v="630"/>
    <n v="0"/>
    <s v="IT0003874101 1"/>
    <s v="IT0003874101 "/>
    <n v="1"/>
    <x v="27"/>
    <m/>
    <m/>
    <m/>
  </r>
  <r>
    <m/>
    <m/>
    <m/>
    <m/>
    <n v="3.5534000000000003"/>
    <x v="7"/>
    <n v="3100000000"/>
    <n v="588000000"/>
    <n v="360000000"/>
    <n v="249000000"/>
    <n v="-104000000"/>
    <n v="3086089000"/>
    <n v="1.2038741234254486"/>
    <n v="8.0830981443933483E-2"/>
    <n v="8.0623496977324391E-2"/>
    <n v="2558824000"/>
    <n v="9092525201.6000004"/>
    <n v="2.9462939019581094"/>
    <n v="15.286607485714287"/>
    <m/>
    <m/>
    <s v=""/>
    <m/>
    <m/>
    <m/>
    <s v="Prada : 80 % du CA - Europe : 40% Etats-Unis : 14% - Asie 30% - Japon : 11% "/>
    <m/>
    <n v="631"/>
    <n v="0"/>
    <s v="IT0003874101 12017"/>
    <s v="IT0003874101 "/>
    <n v="1"/>
    <x v="27"/>
    <m/>
    <m/>
    <m/>
  </r>
  <r>
    <m/>
    <m/>
    <m/>
    <m/>
    <m/>
    <x v="1"/>
    <n v="-2.2222362405396101E-2"/>
    <n v="-7.3305038667450417E-2"/>
    <n v="-0.11239539826325362"/>
    <n v="-4.315413288245018E-2"/>
    <m/>
    <m/>
    <m/>
    <m/>
    <m/>
    <m/>
    <m/>
    <m/>
    <m/>
    <m/>
    <m/>
    <s v=""/>
    <m/>
    <m/>
    <m/>
    <s v="Leather goods : 56% - Footwear : 20%"/>
    <m/>
    <n v="632"/>
    <n v="0"/>
    <s v="IT0003874101 1"/>
    <s v="IT0003874101 "/>
    <n v="1"/>
    <x v="27"/>
    <m/>
    <m/>
    <m/>
  </r>
  <r>
    <m/>
    <m/>
    <m/>
    <m/>
    <n v="3.5206999999999997"/>
    <x v="8"/>
    <n v="3170455000"/>
    <n v="634513000"/>
    <n v="405586000"/>
    <n v="260230000"/>
    <m/>
    <n v="3080502000"/>
    <n v="1.1727016004226942"/>
    <n v="8.6722028621635291E-2"/>
    <n v="9.0099074860609238E-2"/>
    <n v="2558824000"/>
    <n v="9008851656.7999992"/>
    <n v="2.9244751851483946"/>
    <n v="14.198056866919982"/>
    <m/>
    <m/>
    <s v=""/>
    <m/>
    <m/>
    <m/>
    <s v="12000 employés soit 250 000 euros par salarié"/>
    <m/>
    <n v="633"/>
    <n v="0"/>
    <s v="IT0003874101 12016"/>
    <s v="IT0003874101 "/>
    <n v="1"/>
    <x v="27"/>
    <m/>
    <m/>
    <m/>
  </r>
  <r>
    <m/>
    <m/>
    <m/>
    <m/>
    <m/>
    <x v="1"/>
    <n v="-0.10635297486788187"/>
    <n v="-0.20958371015922606"/>
    <n v="-0.1934944411634284"/>
    <n v="-0.2135405333526752"/>
    <m/>
    <m/>
    <m/>
    <m/>
    <m/>
    <m/>
    <m/>
    <m/>
    <m/>
    <m/>
    <m/>
    <s v=""/>
    <m/>
    <m/>
    <m/>
    <s v="clôture 31 janvier"/>
    <m/>
    <n v="634"/>
    <n v="0"/>
    <s v="IT0003874101 1"/>
    <s v="IT0003874101 "/>
    <n v="1"/>
    <x v="27"/>
    <m/>
    <m/>
    <m/>
  </r>
  <r>
    <m/>
    <m/>
    <m/>
    <m/>
    <n v="2.6105499999999999"/>
    <x v="9"/>
    <n v="3547771000"/>
    <n v="802758000"/>
    <n v="502893000"/>
    <n v="330888000"/>
    <m/>
    <n v="3080340000"/>
    <n v="1.0503082666099739"/>
    <n v="0.12311864245332373"/>
    <n v="0.1247336700211419"/>
    <n v="2558824000"/>
    <n v="6679937993.1999998"/>
    <n v="2.2260991193830049"/>
    <n v="8.321235033721246"/>
    <m/>
    <m/>
    <s v=""/>
    <m/>
    <m/>
    <m/>
    <m/>
    <m/>
    <n v="635"/>
    <n v="0"/>
    <s v="IT0003874101 12015"/>
    <s v="IT0003874101 "/>
    <n v="1"/>
    <x v="27"/>
    <m/>
    <m/>
    <m/>
  </r>
  <r>
    <m/>
    <m/>
    <m/>
    <m/>
    <m/>
    <x v="1"/>
    <n v="-1.1051058423918736E-3"/>
    <n v="-0.1587541616496323"/>
    <n v="-0.28316971966400162"/>
    <n v="-0.26588423224546842"/>
    <m/>
    <m/>
    <m/>
    <m/>
    <m/>
    <m/>
    <m/>
    <m/>
    <m/>
    <m/>
    <m/>
    <s v=""/>
    <m/>
    <m/>
    <m/>
    <m/>
    <m/>
    <n v="636"/>
    <n v="0"/>
    <s v="IT0003874101 1"/>
    <s v="IT0003874101 "/>
    <n v="1"/>
    <x v="27"/>
    <m/>
    <m/>
    <m/>
  </r>
  <r>
    <m/>
    <m/>
    <m/>
    <m/>
    <n v="4.96495"/>
    <x v="10"/>
    <n v="3551696000"/>
    <n v="954249000"/>
    <n v="701551000"/>
    <n v="450730000"/>
    <m/>
    <n v="3000737000"/>
    <n v="0.9066750976229706"/>
    <n v="0.19427833011928336"/>
    <n v="0.20157304396251413"/>
    <n v="2558824000"/>
    <n v="12704433218.799999"/>
    <n v="4.7271359826816504"/>
    <n v="13.313541034677531"/>
    <m/>
    <m/>
    <s v=""/>
    <m/>
    <m/>
    <m/>
    <m/>
    <m/>
    <n v="637"/>
    <n v="0"/>
    <s v="IT0003874101 12014"/>
    <s v="IT0003874101 "/>
    <n v="1"/>
    <x v="27"/>
    <m/>
    <m/>
    <m/>
  </r>
  <r>
    <m/>
    <m/>
    <m/>
    <m/>
    <m/>
    <x v="1"/>
    <n v="-9.9379848116170066E-3"/>
    <n v="-0.16527231789052699"/>
    <n v="-0.25306285846916166"/>
    <n v="-0.2820312686668206"/>
    <m/>
    <m/>
    <m/>
    <m/>
    <m/>
    <m/>
    <m/>
    <m/>
    <m/>
    <m/>
    <m/>
    <s v=""/>
    <m/>
    <m/>
    <m/>
    <m/>
    <m/>
    <n v="638"/>
    <n v="0"/>
    <s v="IT0003874101 1"/>
    <s v="IT0003874101 "/>
    <n v="1"/>
    <x v="27"/>
    <m/>
    <m/>
    <m/>
  </r>
  <r>
    <m/>
    <m/>
    <m/>
    <m/>
    <n v="6.2075500000000003"/>
    <x v="11"/>
    <n v="3587347000"/>
    <n v="1143186000"/>
    <n v="939237000"/>
    <n v="627785000"/>
    <m/>
    <n v="2687554000"/>
    <n v="0.7123362138232251"/>
    <n v="0.34441772647048979"/>
    <n v="0.34349076320688104"/>
    <n v="2558824000"/>
    <n v="15884027921.200001"/>
    <n v="6.8464988354420777"/>
    <n v="13.894526281112611"/>
    <m/>
    <m/>
    <s v=""/>
    <m/>
    <m/>
    <m/>
    <m/>
    <m/>
    <n v="639"/>
    <n v="0"/>
    <s v="IT0003874101 12013"/>
    <s v="IT0003874101 "/>
    <n v="1"/>
    <x v="27"/>
    <m/>
    <m/>
    <m/>
  </r>
  <r>
    <m/>
    <m/>
    <m/>
    <m/>
    <m/>
    <x v="1"/>
    <n v="8.7991728787199186E-2"/>
    <n v="8.6194462734769495E-2"/>
    <n v="5.5582216298167841E-2"/>
    <n v="3.362735962894936E-3"/>
    <m/>
    <m/>
    <m/>
    <m/>
    <m/>
    <m/>
    <m/>
    <m/>
    <m/>
    <m/>
    <m/>
    <s v=""/>
    <m/>
    <m/>
    <m/>
    <m/>
    <m/>
    <n v="640"/>
    <n v="0"/>
    <s v="IT0003874101 1"/>
    <s v="IT0003874101 "/>
    <n v="1"/>
    <x v="27"/>
    <m/>
    <m/>
    <m/>
  </r>
  <r>
    <m/>
    <m/>
    <m/>
    <m/>
    <n v="7.7608000000000006"/>
    <x v="12"/>
    <n v="3297219000"/>
    <n v="1052469000"/>
    <n v="889781000"/>
    <n v="625681000"/>
    <m/>
    <n v="2320022000"/>
    <n v="0.47066543068221967"/>
    <n v="0.51951758209822729"/>
    <n v="0.49248807622368912"/>
    <n v="2558824000"/>
    <n v="19858521299.200001"/>
    <n v="10.894855335722042"/>
    <n v="18.868509475528494"/>
    <m/>
    <m/>
    <s v=""/>
    <m/>
    <m/>
    <m/>
    <m/>
    <m/>
    <n v="641"/>
    <n v="0"/>
    <s v="IT0003874101 12012"/>
    <s v="IT0003874101 "/>
    <n v="1"/>
    <x v="27"/>
    <m/>
    <m/>
    <m/>
  </r>
  <r>
    <m/>
    <m/>
    <m/>
    <m/>
    <m/>
    <x v="1"/>
    <n v="0.29019066319299602"/>
    <n v="0.3861919362741224"/>
    <n v="0.41474238196315993"/>
    <n v="0.43365068453915345"/>
    <m/>
    <m/>
    <m/>
    <m/>
    <m/>
    <m/>
    <m/>
    <m/>
    <m/>
    <m/>
    <m/>
    <s v=""/>
    <m/>
    <m/>
    <m/>
    <m/>
    <m/>
    <n v="642"/>
    <n v="0"/>
    <s v="IT0003874101 1"/>
    <s v="IT0003874101 "/>
    <n v="1"/>
    <x v="27"/>
    <m/>
    <m/>
    <m/>
  </r>
  <r>
    <m/>
    <m/>
    <m/>
    <m/>
    <n v="4.3327499999999999"/>
    <x v="17"/>
    <n v="2555606000"/>
    <n v="759252000"/>
    <n v="628935000"/>
    <n v="436425000"/>
    <m/>
    <n v="1822743000"/>
    <n v="0"/>
    <e v="#DIV/0!"/>
    <e v="#DIV/0!"/>
    <n v="2558824000"/>
    <n v="11086744686"/>
    <n v="9.2055836642172117"/>
    <n v="14.60219358789967"/>
    <m/>
    <m/>
    <s v=""/>
    <m/>
    <m/>
    <m/>
    <m/>
    <m/>
    <n v="643"/>
    <n v="0"/>
    <s v="IT0003874101 12011"/>
    <s v="IT0003874101 "/>
    <n v="1"/>
    <x v="27"/>
    <m/>
    <m/>
    <m/>
  </r>
  <r>
    <m/>
    <m/>
    <m/>
    <m/>
    <m/>
    <x v="1"/>
    <n v="0.24867698498669299"/>
    <n v="0.41669994215662487"/>
    <n v="0.50323743328545101"/>
    <n v="0.72125134588307671"/>
    <m/>
    <m/>
    <m/>
    <m/>
    <m/>
    <m/>
    <m/>
    <m/>
    <m/>
    <m/>
    <m/>
    <s v=""/>
    <m/>
    <m/>
    <m/>
    <m/>
    <m/>
    <n v="644"/>
    <n v="0"/>
    <s v="IT0003874101 1"/>
    <s v="IT0003874101 "/>
    <n v="1"/>
    <x v="27"/>
    <m/>
    <m/>
    <m/>
  </r>
  <r>
    <m/>
    <m/>
    <m/>
    <m/>
    <m/>
    <x v="18"/>
    <n v="2046651000"/>
    <n v="535930000"/>
    <n v="418387000"/>
    <n v="253551000"/>
    <m/>
    <n v="1204350000"/>
    <n v="0"/>
    <e v="#DIV/0!"/>
    <e v="#DIV/0!"/>
    <n v="2500000000"/>
    <n v="0"/>
    <e v="#DIV/0!"/>
    <n v="0"/>
    <m/>
    <m/>
    <s v=""/>
    <m/>
    <m/>
    <m/>
    <m/>
    <m/>
    <n v="645"/>
    <n v="0"/>
    <s v="IT0003874101 12010"/>
    <s v="IT0003874101 "/>
    <n v="1"/>
    <x v="27"/>
    <m/>
    <m/>
    <m/>
  </r>
  <r>
    <m/>
    <m/>
    <m/>
    <m/>
    <m/>
    <x v="1"/>
    <m/>
    <m/>
    <m/>
    <m/>
    <m/>
    <m/>
    <m/>
    <m/>
    <m/>
    <m/>
    <m/>
    <m/>
    <m/>
    <m/>
    <m/>
    <s v=""/>
    <m/>
    <m/>
    <m/>
    <m/>
    <m/>
    <n v="646"/>
    <n v="0"/>
    <s v="IT0003874101 1"/>
    <s v="IT0003874101 "/>
    <n v="1"/>
    <x v="27"/>
    <m/>
    <m/>
    <m/>
  </r>
  <r>
    <m/>
    <m/>
    <m/>
    <m/>
    <s v="IPO en 2011 à la bourse de Hong Kong"/>
    <x v="1"/>
    <m/>
    <m/>
    <m/>
    <m/>
    <m/>
    <m/>
    <m/>
    <m/>
    <m/>
    <m/>
    <m/>
    <m/>
    <m/>
    <m/>
    <m/>
    <s v=""/>
    <m/>
    <m/>
    <m/>
    <m/>
    <m/>
    <n v="647"/>
    <n v="0"/>
    <s v="IT0003874101 1"/>
    <s v="IT0003874101 "/>
    <n v="1"/>
    <x v="27"/>
    <m/>
    <m/>
    <m/>
  </r>
  <r>
    <m/>
    <m/>
    <m/>
    <m/>
    <m/>
    <x v="1"/>
    <m/>
    <m/>
    <m/>
    <m/>
    <m/>
    <m/>
    <m/>
    <m/>
    <m/>
    <m/>
    <m/>
    <m/>
    <m/>
    <m/>
    <m/>
    <s v=""/>
    <m/>
    <m/>
    <m/>
    <m/>
    <m/>
    <n v="648"/>
    <n v="0"/>
    <s v="IT0003874101 1"/>
    <s v="IT0003874101 "/>
    <n v="1"/>
    <x v="27"/>
    <m/>
    <m/>
    <m/>
  </r>
  <r>
    <m/>
    <m/>
    <m/>
    <m/>
    <m/>
    <x v="1"/>
    <m/>
    <m/>
    <m/>
    <m/>
    <m/>
    <m/>
    <m/>
    <m/>
    <m/>
    <m/>
    <m/>
    <m/>
    <m/>
    <m/>
    <m/>
    <s v=""/>
    <m/>
    <m/>
    <m/>
    <m/>
    <m/>
    <n v="649"/>
    <n v="0"/>
    <s v="IT0003874101 1"/>
    <s v="IT0003874101 "/>
    <n v="1"/>
    <x v="27"/>
    <m/>
    <m/>
    <m/>
  </r>
  <r>
    <m/>
    <m/>
    <m/>
    <m/>
    <m/>
    <x v="1"/>
    <m/>
    <m/>
    <m/>
    <m/>
    <m/>
    <m/>
    <m/>
    <m/>
    <m/>
    <m/>
    <m/>
    <m/>
    <m/>
    <m/>
    <m/>
    <s v=""/>
    <m/>
    <m/>
    <m/>
    <m/>
    <m/>
    <n v="650"/>
    <n v="0"/>
    <s v="IT0003874101 1"/>
    <s v="IT0003874101 "/>
    <n v="1"/>
    <x v="27"/>
    <m/>
    <m/>
    <m/>
  </r>
  <r>
    <s v="Mulberry"/>
    <s v="Luxe"/>
    <s v="Royaume-Uni"/>
    <s v="GBP"/>
    <n v="3.2"/>
    <x v="3"/>
    <m/>
    <m/>
    <m/>
    <m/>
    <m/>
    <m/>
    <m/>
    <m/>
    <m/>
    <n v="59700000"/>
    <n v="191040000"/>
    <m/>
    <m/>
    <m/>
    <m/>
    <s v=""/>
    <m/>
    <m/>
    <m/>
    <s v="Fondé en 1971 et détenue par la famille Ong Beng Seng à 56,19%"/>
    <m/>
    <n v="651"/>
    <n v="0"/>
    <s v="GB0006094303 12021"/>
    <s v="GB0006094303 "/>
    <n v="1"/>
    <x v="28"/>
    <m/>
    <m/>
    <m/>
  </r>
  <r>
    <m/>
    <m/>
    <m/>
    <m/>
    <m/>
    <x v="1"/>
    <m/>
    <m/>
    <m/>
    <m/>
    <m/>
    <m/>
    <m/>
    <m/>
    <m/>
    <m/>
    <m/>
    <m/>
    <m/>
    <m/>
    <m/>
    <s v=""/>
    <m/>
    <m/>
    <m/>
    <s v="Bonne réputation auprès de la clientèle féminine, un peu old school"/>
    <m/>
    <n v="652"/>
    <n v="0"/>
    <s v="GB0006094303 1"/>
    <s v="GB0006094303 "/>
    <n v="1"/>
    <x v="28"/>
    <m/>
    <m/>
    <m/>
  </r>
  <r>
    <m/>
    <m/>
    <m/>
    <m/>
    <n v="2.2799999999999998"/>
    <x v="4"/>
    <n v="149300000"/>
    <m/>
    <n v="-43000000"/>
    <n v="-46868000"/>
    <n v="-7200000"/>
    <n v="13521000"/>
    <n v="0.22648241206030151"/>
    <n v="-3.4663116633385105"/>
    <n v="-4.5346938775510202"/>
    <n v="59700000"/>
    <n v="136116000"/>
    <n v="10.067006878189483"/>
    <n v="-2.9980465116279071"/>
    <s v="Non noté"/>
    <m/>
    <s v=""/>
    <m/>
    <m/>
    <m/>
    <s v="65 magasins, le digital représente 17% et UK stable en chiffre d'affaires (50% du parc de magasins), Asie (33%), Europe hors UK (6%) et Amérique du Nord (7%)"/>
    <m/>
    <n v="653"/>
    <n v="0"/>
    <s v="GB0006094303 12020"/>
    <s v="GB0006094303 "/>
    <n v="1"/>
    <x v="28"/>
    <m/>
    <m/>
    <m/>
  </r>
  <r>
    <m/>
    <m/>
    <m/>
    <m/>
    <m/>
    <x v="1"/>
    <m/>
    <m/>
    <m/>
    <m/>
    <m/>
    <m/>
    <m/>
    <m/>
    <m/>
    <m/>
    <m/>
    <m/>
    <m/>
    <m/>
    <m/>
    <s v=""/>
    <m/>
    <m/>
    <m/>
    <s v="Le CA a doublé entre 2009 et 2012 de 60 M£ à 180 M£ depuis stable. RN à 5 M£ et Cash Flow à 15 M£"/>
    <m/>
    <n v="654"/>
    <n v="0"/>
    <s v="GB0006094303 1"/>
    <s v="GB0006094303 "/>
    <n v="1"/>
    <x v="28"/>
    <m/>
    <m/>
    <m/>
  </r>
  <r>
    <m/>
    <m/>
    <m/>
    <m/>
    <n v="2.76"/>
    <x v="5"/>
    <n v="166300000"/>
    <n v="8400000"/>
    <n v="-4980000"/>
    <n v="-4851000"/>
    <n v="-11100000"/>
    <n v="82126000"/>
    <n v="1.3756448911222781"/>
    <n v="-5.9067773908384677E-2"/>
    <n v="-4.6738771717399263E-2"/>
    <n v="59700000"/>
    <n v="164772000"/>
    <n v="2.0063317341645766"/>
    <n v="-30.857831325301206"/>
    <m/>
    <m/>
    <s v=""/>
    <m/>
    <m/>
    <m/>
    <s v="Restructure en fermant les magasins mal placés, développe Digital et Asie"/>
    <m/>
    <n v="655"/>
    <n v="0"/>
    <s v="GB0006094303 12019"/>
    <s v="GB0006094303 "/>
    <n v="1"/>
    <x v="28"/>
    <m/>
    <m/>
    <m/>
  </r>
  <r>
    <m/>
    <m/>
    <m/>
    <m/>
    <m/>
    <x v="1"/>
    <n v="-2.0139289880861222E-2"/>
    <n v="-0.45454545454545459"/>
    <n v="-1.7393111638954868"/>
    <n v="-1.9887892376681613"/>
    <m/>
    <m/>
    <m/>
    <m/>
    <m/>
    <m/>
    <m/>
    <m/>
    <m/>
    <m/>
    <m/>
    <s v=""/>
    <m/>
    <m/>
    <m/>
    <s v="Thierry Andretta, 61 ans, CEO depuis 2015. 1 400 salariés soit 121 K£ par salarié"/>
    <m/>
    <n v="656"/>
    <n v="0"/>
    <s v="GB0006094303 1"/>
    <s v="GB0006094303 "/>
    <n v="1"/>
    <x v="28"/>
    <m/>
    <m/>
    <m/>
  </r>
  <r>
    <m/>
    <m/>
    <m/>
    <m/>
    <n v="2.85"/>
    <x v="6"/>
    <n v="169718000"/>
    <n v="15400000"/>
    <n v="6736000"/>
    <n v="4906000"/>
    <n v="-25071000"/>
    <n v="87496000"/>
    <n v="1.4680536912751678"/>
    <n v="5.6071134680442537E-2"/>
    <n v="7.1929797356828182E-2"/>
    <n v="59600000"/>
    <n v="169860000"/>
    <n v="1.9413458900978331"/>
    <n v="21.494804038004752"/>
    <m/>
    <m/>
    <s v=""/>
    <m/>
    <m/>
    <m/>
    <s v="Flottant faible à 10% car il y a également une banque (Haviland) et un fonds au capital"/>
    <m/>
    <n v="657"/>
    <n v="0"/>
    <s v="GB0006094303 12018"/>
    <s v="GB0006094303 "/>
    <n v="1"/>
    <x v="28"/>
    <m/>
    <m/>
    <m/>
  </r>
  <r>
    <m/>
    <m/>
    <m/>
    <m/>
    <m/>
    <x v="1"/>
    <n v="9.4991107595125968E-3"/>
    <e v="#DIV/0!"/>
    <n v="-5.220205431264946E-2"/>
    <n v="-1.6833667334669289E-2"/>
    <m/>
    <m/>
    <m/>
    <m/>
    <m/>
    <m/>
    <m/>
    <m/>
    <m/>
    <m/>
    <m/>
    <s v=""/>
    <m/>
    <m/>
    <m/>
    <s v="Risque de rester petit longtemps car la croissance est capté par les marques à 1 Md"/>
    <m/>
    <n v="658"/>
    <n v="0"/>
    <s v="GB0006094303 1"/>
    <s v="GB0006094303 "/>
    <n v="1"/>
    <x v="28"/>
    <m/>
    <m/>
    <m/>
  </r>
  <r>
    <m/>
    <m/>
    <m/>
    <m/>
    <n v="10.52"/>
    <x v="7"/>
    <n v="168121000"/>
    <m/>
    <n v="7107000"/>
    <n v="4990000"/>
    <n v="-21093000"/>
    <n v="84669000"/>
    <n v="1.4230084033613446"/>
    <n v="5.8935383670528765E-2"/>
    <n v="7.4517525481313712E-2"/>
    <n v="59500000"/>
    <n v="625940000"/>
    <n v="7.3927883877215983"/>
    <n v="85.105811172083861"/>
    <m/>
    <m/>
    <s v=""/>
    <m/>
    <m/>
    <m/>
    <s v="En 2009, valo à 60 M£ comme le CA et en 2012, valo à 1,5 Md £"/>
    <m/>
    <n v="659"/>
    <n v="0"/>
    <s v="GB0006094303 12017"/>
    <s v="GB0006094303 "/>
    <n v="1"/>
    <x v="28"/>
    <m/>
    <m/>
    <m/>
  </r>
  <r>
    <m/>
    <m/>
    <m/>
    <m/>
    <m/>
    <x v="1"/>
    <n v="7.8389993585631812E-2"/>
    <e v="#DIV/0!"/>
    <n v="0.16508196721311474"/>
    <n v="0.8481481481481481"/>
    <m/>
    <m/>
    <m/>
    <m/>
    <m/>
    <m/>
    <m/>
    <m/>
    <m/>
    <m/>
    <m/>
    <s v=""/>
    <m/>
    <m/>
    <m/>
    <s v="Activité en Corée du Sud détenue à 60% et 40% pour son partenaire puis repris à 100 % en juillet 2019."/>
    <m/>
    <n v="660"/>
    <n v="0"/>
    <s v="GB0006094303 1"/>
    <s v="GB0006094303 "/>
    <n v="1"/>
    <x v="28"/>
    <m/>
    <m/>
    <m/>
  </r>
  <r>
    <m/>
    <m/>
    <m/>
    <m/>
    <n v="10.95"/>
    <x v="8"/>
    <n v="155900000"/>
    <m/>
    <n v="6100000"/>
    <n v="2700000"/>
    <m/>
    <m/>
    <m/>
    <m/>
    <m/>
    <n v="59500000"/>
    <n v="651525000"/>
    <m/>
    <m/>
    <m/>
    <m/>
    <s v=""/>
    <m/>
    <m/>
    <m/>
    <s v="CAC : Deloitte"/>
    <m/>
    <n v="661"/>
    <n v="0"/>
    <s v="GB0006094303 12016"/>
    <s v="GB0006094303 "/>
    <n v="1"/>
    <x v="28"/>
    <m/>
    <m/>
    <m/>
  </r>
  <r>
    <m/>
    <m/>
    <m/>
    <m/>
    <m/>
    <x v="1"/>
    <n v="4.8419636852723658E-2"/>
    <e v="#DIV/0!"/>
    <n v="2.5882352941176472"/>
    <n v="-2.9285714285714288"/>
    <m/>
    <m/>
    <m/>
    <m/>
    <m/>
    <m/>
    <m/>
    <m/>
    <m/>
    <m/>
    <m/>
    <s v=""/>
    <m/>
    <m/>
    <m/>
    <s v="Peu de minoritaires"/>
    <m/>
    <n v="662"/>
    <n v="0"/>
    <s v="GB0006094303 1"/>
    <s v="GB0006094303 "/>
    <n v="1"/>
    <x v="28"/>
    <m/>
    <m/>
    <m/>
  </r>
  <r>
    <m/>
    <m/>
    <m/>
    <m/>
    <n v="9.4499999999999993"/>
    <x v="9"/>
    <n v="148700000"/>
    <m/>
    <n v="1700000"/>
    <n v="-1400000"/>
    <m/>
    <m/>
    <m/>
    <m/>
    <m/>
    <n v="59500000"/>
    <n v="562275000"/>
    <m/>
    <m/>
    <m/>
    <m/>
    <s v=""/>
    <m/>
    <m/>
    <m/>
    <s v="Pay-out Ratio : plus de 50% sur les cinq dernières années mais pas de dividendes en 2020 suite au Covid-19"/>
    <m/>
    <n v="663"/>
    <n v="0"/>
    <s v="GB0006094303 12015"/>
    <s v="GB0006094303 "/>
    <n v="1"/>
    <x v="28"/>
    <m/>
    <m/>
    <m/>
  </r>
  <r>
    <m/>
    <m/>
    <m/>
    <m/>
    <m/>
    <x v="1"/>
    <n v="-9.0519877675841021E-2"/>
    <e v="#DIV/0!"/>
    <n v="-0.87591240875912413"/>
    <n v="-1.1627906976744187"/>
    <m/>
    <m/>
    <m/>
    <m/>
    <m/>
    <m/>
    <m/>
    <m/>
    <m/>
    <m/>
    <m/>
    <s v=""/>
    <m/>
    <m/>
    <m/>
    <m/>
    <m/>
    <n v="664"/>
    <n v="0"/>
    <s v="GB0006094303 1"/>
    <s v="GB0006094303 "/>
    <n v="1"/>
    <x v="28"/>
    <m/>
    <m/>
    <m/>
  </r>
  <r>
    <m/>
    <m/>
    <m/>
    <m/>
    <n v="8.4499999999999993"/>
    <x v="10"/>
    <n v="163500000"/>
    <m/>
    <n v="13700000"/>
    <n v="8600000"/>
    <m/>
    <m/>
    <m/>
    <m/>
    <m/>
    <n v="59500000"/>
    <n v="502774999.99999994"/>
    <m/>
    <m/>
    <m/>
    <m/>
    <s v=""/>
    <m/>
    <m/>
    <m/>
    <m/>
    <m/>
    <n v="665"/>
    <n v="0"/>
    <s v="GB0006094303 12014"/>
    <s v="GB0006094303 "/>
    <n v="1"/>
    <x v="28"/>
    <m/>
    <m/>
    <m/>
  </r>
  <r>
    <m/>
    <m/>
    <m/>
    <m/>
    <m/>
    <x v="1"/>
    <n v="-9.691096305269542E-3"/>
    <e v="#DIV/0!"/>
    <n v="-0.46274509803921571"/>
    <n v="-0.54010695187165769"/>
    <m/>
    <m/>
    <m/>
    <m/>
    <m/>
    <m/>
    <m/>
    <m/>
    <m/>
    <m/>
    <m/>
    <s v=""/>
    <m/>
    <m/>
    <m/>
    <m/>
    <m/>
    <n v="666"/>
    <n v="0"/>
    <s v="GB0006094303 1"/>
    <s v="GB0006094303 "/>
    <n v="1"/>
    <x v="28"/>
    <m/>
    <m/>
    <m/>
  </r>
  <r>
    <m/>
    <m/>
    <m/>
    <m/>
    <n v="9.5950000000000006"/>
    <x v="11"/>
    <n v="165100000"/>
    <m/>
    <n v="25500000"/>
    <n v="18700000"/>
    <m/>
    <m/>
    <m/>
    <m/>
    <m/>
    <n v="59500000"/>
    <n v="570902500"/>
    <m/>
    <m/>
    <m/>
    <m/>
    <s v=""/>
    <m/>
    <m/>
    <m/>
    <m/>
    <m/>
    <n v="667"/>
    <n v="0"/>
    <s v="GB0006094303 12013"/>
    <s v="GB0006094303 "/>
    <n v="1"/>
    <x v="28"/>
    <m/>
    <m/>
    <m/>
  </r>
  <r>
    <m/>
    <m/>
    <m/>
    <m/>
    <m/>
    <x v="1"/>
    <m/>
    <m/>
    <m/>
    <m/>
    <m/>
    <m/>
    <m/>
    <m/>
    <m/>
    <m/>
    <m/>
    <m/>
    <m/>
    <m/>
    <m/>
    <s v=""/>
    <m/>
    <m/>
    <m/>
    <m/>
    <m/>
    <n v="668"/>
    <n v="0"/>
    <s v="GB0006094303 1"/>
    <s v="GB0006094303 "/>
    <n v="1"/>
    <x v="28"/>
    <m/>
    <m/>
    <m/>
  </r>
  <r>
    <m/>
    <m/>
    <m/>
    <m/>
    <m/>
    <x v="1"/>
    <m/>
    <m/>
    <m/>
    <m/>
    <m/>
    <m/>
    <m/>
    <m/>
    <m/>
    <m/>
    <m/>
    <m/>
    <m/>
    <m/>
    <m/>
    <s v=""/>
    <m/>
    <m/>
    <m/>
    <m/>
    <m/>
    <n v="669"/>
    <n v="0"/>
    <s v="GB0006094303 1"/>
    <s v="GB0006094303 "/>
    <n v="1"/>
    <x v="28"/>
    <m/>
    <m/>
    <m/>
  </r>
  <r>
    <m/>
    <m/>
    <m/>
    <m/>
    <m/>
    <x v="1"/>
    <m/>
    <m/>
    <m/>
    <m/>
    <m/>
    <m/>
    <m/>
    <m/>
    <m/>
    <m/>
    <m/>
    <m/>
    <m/>
    <m/>
    <m/>
    <s v=""/>
    <m/>
    <m/>
    <m/>
    <m/>
    <m/>
    <n v="670"/>
    <n v="0"/>
    <s v="GB0006094303 1"/>
    <s v="GB0006094303 "/>
    <n v="1"/>
    <x v="28"/>
    <m/>
    <m/>
    <m/>
  </r>
  <r>
    <s v="Ralph Lauren"/>
    <s v="Luxe"/>
    <s v="États-Unis"/>
    <s v="Dollar"/>
    <n v="118.86"/>
    <x v="3"/>
    <m/>
    <m/>
    <m/>
    <m/>
    <m/>
    <m/>
    <m/>
    <m/>
    <m/>
    <m/>
    <m/>
    <m/>
    <m/>
    <m/>
    <m/>
    <s v=""/>
    <m/>
    <m/>
    <m/>
    <s v="Fondé par Ralph Lauren en 1967"/>
    <m/>
    <n v="671"/>
    <n v="0"/>
    <s v="US751212101012021"/>
    <s v="US7512121010"/>
    <n v="1"/>
    <x v="29"/>
    <m/>
    <m/>
    <m/>
  </r>
  <r>
    <m/>
    <m/>
    <m/>
    <m/>
    <m/>
    <x v="1"/>
    <m/>
    <m/>
    <m/>
    <m/>
    <m/>
    <m/>
    <m/>
    <m/>
    <m/>
    <m/>
    <m/>
    <m/>
    <m/>
    <m/>
    <m/>
    <s v=""/>
    <m/>
    <m/>
    <m/>
    <m/>
    <m/>
    <n v="672"/>
    <n v="0"/>
    <s v="US75121210101"/>
    <s v="US7512121010"/>
    <n v="1"/>
    <x v="29"/>
    <m/>
    <m/>
    <m/>
  </r>
  <r>
    <m/>
    <m/>
    <m/>
    <m/>
    <n v="103.74"/>
    <x v="5"/>
    <n v="6313000000"/>
    <n v="1006000000"/>
    <n v="725000000"/>
    <n v="450000000"/>
    <n v="919000000"/>
    <n v="3270000000"/>
    <n v="42.314266895620925"/>
    <n v="0.13761467889908258"/>
    <n v="0.11537001671043208"/>
    <n v="77278900"/>
    <n v="8016913086"/>
    <n v="2.4516553779816515"/>
    <n v="12.32539736"/>
    <m/>
    <m/>
    <s v=""/>
    <m/>
    <m/>
    <m/>
    <m/>
    <m/>
    <n v="673"/>
    <n v="0"/>
    <s v="US751212101012019"/>
    <s v="US7512121010"/>
    <n v="1"/>
    <x v="29"/>
    <m/>
    <m/>
    <m/>
  </r>
  <r>
    <m/>
    <m/>
    <m/>
    <m/>
    <m/>
    <x v="1"/>
    <m/>
    <m/>
    <m/>
    <m/>
    <m/>
    <m/>
    <m/>
    <m/>
    <m/>
    <m/>
    <m/>
    <m/>
    <m/>
    <m/>
    <m/>
    <s v=""/>
    <m/>
    <m/>
    <m/>
    <m/>
    <m/>
    <n v="674"/>
    <n v="0"/>
    <s v="US75121210101"/>
    <s v="US7512121010"/>
    <n v="1"/>
    <x v="29"/>
    <m/>
    <m/>
    <m/>
  </r>
  <r>
    <m/>
    <m/>
    <m/>
    <m/>
    <n v="105"/>
    <x v="6"/>
    <n v="6313000000"/>
    <n v="1006000000"/>
    <n v="725000000"/>
    <n v="450000000"/>
    <n v="919000000"/>
    <n v="3270000000"/>
    <n v="42.314266895620925"/>
    <n v="0.13761467889908258"/>
    <n v="0.11537001671043208"/>
    <n v="77278900"/>
    <n v="8114284500"/>
    <n v="2.4814325688073393"/>
    <n v="12.45970275862069"/>
    <m/>
    <m/>
    <s v=""/>
    <m/>
    <m/>
    <m/>
    <m/>
    <m/>
    <n v="675"/>
    <n v="0"/>
    <s v="US751212101012018"/>
    <s v="US7512121010"/>
    <n v="1"/>
    <x v="29"/>
    <m/>
    <m/>
    <m/>
  </r>
  <r>
    <m/>
    <m/>
    <m/>
    <m/>
    <m/>
    <x v="1"/>
    <m/>
    <m/>
    <m/>
    <m/>
    <m/>
    <m/>
    <m/>
    <m/>
    <m/>
    <m/>
    <m/>
    <m/>
    <m/>
    <m/>
    <m/>
    <s v=""/>
    <m/>
    <m/>
    <m/>
    <m/>
    <m/>
    <n v="676"/>
    <n v="0"/>
    <s v="US75121210101"/>
    <s v="US7512121010"/>
    <n v="1"/>
    <x v="29"/>
    <m/>
    <m/>
    <m/>
  </r>
  <r>
    <m/>
    <m/>
    <m/>
    <m/>
    <m/>
    <x v="1"/>
    <m/>
    <m/>
    <m/>
    <m/>
    <m/>
    <m/>
    <m/>
    <m/>
    <m/>
    <m/>
    <m/>
    <m/>
    <m/>
    <m/>
    <m/>
    <s v=""/>
    <m/>
    <m/>
    <m/>
    <m/>
    <m/>
    <n v="677"/>
    <n v="0"/>
    <s v="US75121210101"/>
    <s v="US7512121010"/>
    <n v="1"/>
    <x v="29"/>
    <m/>
    <m/>
    <m/>
  </r>
  <r>
    <m/>
    <m/>
    <m/>
    <m/>
    <m/>
    <x v="1"/>
    <m/>
    <m/>
    <m/>
    <m/>
    <m/>
    <m/>
    <m/>
    <m/>
    <m/>
    <m/>
    <m/>
    <m/>
    <m/>
    <m/>
    <m/>
    <s v=""/>
    <m/>
    <m/>
    <m/>
    <m/>
    <m/>
    <n v="678"/>
    <n v="0"/>
    <s v="US75121210101"/>
    <s v="US7512121010"/>
    <n v="1"/>
    <x v="29"/>
    <m/>
    <m/>
    <m/>
  </r>
  <r>
    <s v="Visa"/>
    <s v="Moyens de paiment"/>
    <s v="États-Unis"/>
    <s v="Dollar"/>
    <n v="216.71"/>
    <x v="3"/>
    <m/>
    <m/>
    <m/>
    <m/>
    <m/>
    <m/>
    <m/>
    <m/>
    <m/>
    <m/>
    <m/>
    <m/>
    <m/>
    <m/>
    <m/>
    <s v=""/>
    <m/>
    <m/>
    <m/>
    <s v="VISA est fondé en 1958"/>
    <m/>
    <n v="679"/>
    <n v="0"/>
    <s v="US92826C839412021"/>
    <s v="US92826C8394"/>
    <n v="1"/>
    <x v="30"/>
    <m/>
    <m/>
    <m/>
  </r>
  <r>
    <m/>
    <m/>
    <m/>
    <m/>
    <m/>
    <x v="1"/>
    <m/>
    <m/>
    <m/>
    <m/>
    <m/>
    <m/>
    <m/>
    <m/>
    <m/>
    <m/>
    <m/>
    <m/>
    <m/>
    <m/>
    <m/>
    <s v=""/>
    <m/>
    <m/>
    <m/>
    <s v="CEO : Alfred Kelly (né en 1959) a rejoint VISA en 2016"/>
    <m/>
    <n v="680"/>
    <n v="0"/>
    <s v="US92826C83941"/>
    <s v="US92826C8394"/>
    <n v="1"/>
    <x v="30"/>
    <m/>
    <m/>
    <m/>
  </r>
  <r>
    <m/>
    <m/>
    <m/>
    <m/>
    <n v="218.73"/>
    <x v="4"/>
    <m/>
    <m/>
    <m/>
    <m/>
    <m/>
    <m/>
    <e v="#DIV/0!"/>
    <e v="#DIV/0!"/>
    <e v="#DIV/0!"/>
    <m/>
    <n v="0"/>
    <e v="#DIV/0!"/>
    <e v="#DIV/0!"/>
    <s v="AA-"/>
    <m/>
    <s v=""/>
    <m/>
    <m/>
    <m/>
    <s v="Les acquisitions de 2019 s'élève à 987 M de dollars"/>
    <m/>
    <n v="681"/>
    <n v="0"/>
    <s v="US92826C839412020"/>
    <s v="US92826C8394"/>
    <n v="1"/>
    <x v="30"/>
    <m/>
    <m/>
    <m/>
  </r>
  <r>
    <m/>
    <m/>
    <m/>
    <m/>
    <m/>
    <x v="1"/>
    <m/>
    <m/>
    <m/>
    <m/>
    <m/>
    <m/>
    <m/>
    <m/>
    <m/>
    <m/>
    <m/>
    <m/>
    <m/>
    <m/>
    <m/>
    <s v=""/>
    <m/>
    <m/>
    <m/>
    <s v="De nombreux litiges, 1Md euros en 2019"/>
    <m/>
    <n v="682"/>
    <n v="0"/>
    <s v="US92826C83941"/>
    <s v="US92826C8394"/>
    <n v="1"/>
    <x v="30"/>
    <m/>
    <m/>
    <m/>
  </r>
  <r>
    <m/>
    <m/>
    <m/>
    <m/>
    <n v="191.1"/>
    <x v="5"/>
    <n v="22997000000"/>
    <n v="15657000000"/>
    <n v="15001000000"/>
    <n v="12080000000"/>
    <n v="8891000000"/>
    <n v="34684000000"/>
    <n v="15.504693786320965"/>
    <n v="0.34828739476415638"/>
    <n v="0.22948173493975904"/>
    <n v="2237000000"/>
    <n v="427490700000"/>
    <n v="12.325299850074963"/>
    <n v="29.090173988400775"/>
    <m/>
    <m/>
    <s v=""/>
    <m/>
    <m/>
    <m/>
    <s v="19 500 employés soit 1 1793 K dollars par employé"/>
    <m/>
    <n v="683"/>
    <n v="0"/>
    <s v="US92826C839412019"/>
    <s v="US92826C8394"/>
    <n v="1"/>
    <x v="30"/>
    <m/>
    <m/>
    <m/>
  </r>
  <r>
    <m/>
    <m/>
    <m/>
    <m/>
    <m/>
    <x v="1"/>
    <n v="0.11587170653597934"/>
    <n v="0.15405026903515884"/>
    <n v="0.15802068859039675"/>
    <n v="0.17270167944859716"/>
    <m/>
    <m/>
    <m/>
    <m/>
    <m/>
    <m/>
    <m/>
    <m/>
    <m/>
    <m/>
    <m/>
    <s v=""/>
    <m/>
    <m/>
    <m/>
    <s v="CAC : KPMG"/>
    <m/>
    <n v="684"/>
    <n v="0"/>
    <s v="US92826C83941"/>
    <s v="US92826C8394"/>
    <n v="1"/>
    <x v="30"/>
    <m/>
    <m/>
    <m/>
  </r>
  <r>
    <m/>
    <m/>
    <m/>
    <m/>
    <n v="132.9"/>
    <x v="6"/>
    <n v="20609000000"/>
    <n v="13567000000"/>
    <n v="12954000000"/>
    <n v="10301000000"/>
    <n v="8468000000"/>
    <n v="34006000000"/>
    <n v="14.843299869052816"/>
    <n v="0.30291713227077577"/>
    <n v="0.20330405424494985"/>
    <n v="2291000000"/>
    <n v="304473900000"/>
    <n v="8.9535346703522904"/>
    <n v="24.157935772734291"/>
    <m/>
    <m/>
    <s v=""/>
    <m/>
    <m/>
    <m/>
    <s v="Pay out ratio : 17% (2019)"/>
    <m/>
    <n v="685"/>
    <n v="0"/>
    <s v="US92826C839412018"/>
    <s v="US92826C8394"/>
    <n v="1"/>
    <x v="30"/>
    <m/>
    <m/>
    <m/>
  </r>
  <r>
    <m/>
    <m/>
    <m/>
    <m/>
    <m/>
    <x v="1"/>
    <n v="0.12261684279333251"/>
    <n v="6.8267716535433065E-2"/>
    <n v="6.6699604743083007E-2"/>
    <n v="0.53769219286460657"/>
    <m/>
    <m/>
    <m/>
    <m/>
    <m/>
    <m/>
    <m/>
    <m/>
    <m/>
    <m/>
    <m/>
    <s v=""/>
    <m/>
    <m/>
    <m/>
    <m/>
    <m/>
    <n v="686"/>
    <n v="0"/>
    <s v="US92826C83941"/>
    <s v="US92826C8394"/>
    <n v="1"/>
    <x v="30"/>
    <m/>
    <m/>
    <m/>
  </r>
  <r>
    <m/>
    <m/>
    <m/>
    <m/>
    <n v="114.6"/>
    <x v="7"/>
    <n v="18358000000"/>
    <n v="12700000000"/>
    <n v="12144000000"/>
    <n v="6699000000"/>
    <n v="6744000000"/>
    <n v="32760000000"/>
    <n v="13.940425531914894"/>
    <n v="0.20448717948717948"/>
    <n v="0.20492077764277036"/>
    <n v="2350000000"/>
    <n v="269310000000"/>
    <n v="8.2206959706959708"/>
    <n v="22.731719367588934"/>
    <m/>
    <m/>
    <s v=""/>
    <m/>
    <m/>
    <m/>
    <m/>
    <m/>
    <n v="687"/>
    <n v="0"/>
    <s v="US92826C839412017"/>
    <s v="US92826C8394"/>
    <n v="1"/>
    <x v="30"/>
    <m/>
    <m/>
    <m/>
  </r>
  <r>
    <m/>
    <m/>
    <m/>
    <m/>
    <m/>
    <x v="1"/>
    <n v="0.21721257127701898"/>
    <n v="0.51460942158616585"/>
    <n v="0.54053025497906892"/>
    <n v="0.11817726589884825"/>
    <m/>
    <m/>
    <m/>
    <m/>
    <m/>
    <m/>
    <m/>
    <m/>
    <m/>
    <m/>
    <m/>
    <s v=""/>
    <m/>
    <m/>
    <m/>
    <m/>
    <m/>
    <n v="688"/>
    <n v="0"/>
    <s v="US92826C83941"/>
    <s v="US92826C8394"/>
    <n v="1"/>
    <x v="30"/>
    <m/>
    <m/>
    <m/>
  </r>
  <r>
    <m/>
    <m/>
    <m/>
    <m/>
    <n v="78.2"/>
    <x v="8"/>
    <n v="15082000000"/>
    <n v="8385000000"/>
    <n v="7883000000"/>
    <n v="5991000000"/>
    <n v="10263000000"/>
    <n v="32912000000"/>
    <n v="13.588769611890999"/>
    <n v="0.18203087019931941"/>
    <n v="0.12170950318471338"/>
    <n v="2422000000"/>
    <n v="189400400000"/>
    <n v="5.7547520661157021"/>
    <n v="25.328352150196626"/>
    <m/>
    <m/>
    <s v=""/>
    <m/>
    <m/>
    <m/>
    <m/>
    <m/>
    <n v="689"/>
    <n v="0"/>
    <s v="US92826C839412016"/>
    <s v="US92826C8394"/>
    <n v="1"/>
    <x v="30"/>
    <m/>
    <m/>
    <m/>
  </r>
  <r>
    <m/>
    <m/>
    <m/>
    <m/>
    <m/>
    <x v="1"/>
    <n v="8.6599423631123829E-2"/>
    <n v="-0.12272441933458877"/>
    <n v="-0.13029567519858787"/>
    <n v="-5.3255372945638424E-2"/>
    <m/>
    <m/>
    <m/>
    <m/>
    <m/>
    <m/>
    <m/>
    <m/>
    <m/>
    <m/>
    <m/>
    <s v=""/>
    <m/>
    <m/>
    <m/>
    <m/>
    <m/>
    <n v="690"/>
    <n v="0"/>
    <s v="US92826C83941"/>
    <s v="US92826C8394"/>
    <n v="1"/>
    <x v="30"/>
    <m/>
    <m/>
    <m/>
  </r>
  <r>
    <m/>
    <m/>
    <m/>
    <m/>
    <n v="78.400000000000006"/>
    <x v="9"/>
    <n v="13880000000"/>
    <n v="9558000000"/>
    <n v="9064000000"/>
    <n v="6328000000"/>
    <m/>
    <n v="29842000000"/>
    <n v="12.260476581758422"/>
    <n v="0.21205013068829168"/>
    <n v="0.20246841364519805"/>
    <n v="2434000000"/>
    <n v="190825600000"/>
    <n v="6.3945311976409087"/>
    <n v="21.053133274492499"/>
    <m/>
    <m/>
    <s v=""/>
    <m/>
    <m/>
    <m/>
    <m/>
    <m/>
    <n v="691"/>
    <n v="0"/>
    <s v="US92826C839412015"/>
    <s v="US92826C8394"/>
    <n v="1"/>
    <x v="30"/>
    <m/>
    <m/>
    <m/>
  </r>
  <r>
    <m/>
    <m/>
    <m/>
    <m/>
    <m/>
    <x v="1"/>
    <m/>
    <m/>
    <m/>
    <m/>
    <m/>
    <m/>
    <m/>
    <m/>
    <m/>
    <m/>
    <m/>
    <m/>
    <m/>
    <m/>
    <m/>
    <s v=""/>
    <m/>
    <m/>
    <m/>
    <m/>
    <m/>
    <n v="692"/>
    <n v="0"/>
    <s v="US92826C83941"/>
    <s v="US92826C8394"/>
    <n v="1"/>
    <x v="30"/>
    <m/>
    <m/>
    <m/>
  </r>
  <r>
    <m/>
    <m/>
    <m/>
    <m/>
    <m/>
    <x v="1"/>
    <m/>
    <m/>
    <m/>
    <m/>
    <m/>
    <m/>
    <m/>
    <m/>
    <m/>
    <m/>
    <m/>
    <m/>
    <m/>
    <m/>
    <m/>
    <s v=""/>
    <m/>
    <m/>
    <m/>
    <m/>
    <m/>
    <n v="693"/>
    <n v="0"/>
    <s v="US92826C83941"/>
    <s v="US92826C8394"/>
    <n v="1"/>
    <x v="30"/>
    <m/>
    <m/>
    <m/>
  </r>
  <r>
    <m/>
    <m/>
    <m/>
    <m/>
    <m/>
    <x v="1"/>
    <m/>
    <m/>
    <m/>
    <m/>
    <m/>
    <m/>
    <m/>
    <m/>
    <m/>
    <m/>
    <m/>
    <m/>
    <m/>
    <m/>
    <m/>
    <s v=""/>
    <m/>
    <m/>
    <m/>
    <m/>
    <m/>
    <n v="694"/>
    <n v="0"/>
    <s v="US92826C83941"/>
    <s v="US92826C8394"/>
    <n v="1"/>
    <x v="30"/>
    <m/>
    <m/>
    <m/>
  </r>
  <r>
    <s v="Worldline "/>
    <s v="Moyens de paiement"/>
    <s v="France"/>
    <s v="Euro"/>
    <m/>
    <x v="0"/>
    <m/>
    <m/>
    <m/>
    <m/>
    <m/>
    <m/>
    <m/>
    <m/>
    <m/>
    <m/>
    <m/>
    <m/>
    <m/>
    <m/>
    <m/>
    <s v=""/>
    <m/>
    <m/>
    <m/>
    <m/>
    <m/>
    <n v="695"/>
    <n v="0"/>
    <s v="FR001198196812023"/>
    <s v="FR0011981968"/>
    <n v="1"/>
    <x v="31"/>
    <m/>
    <m/>
    <m/>
  </r>
  <r>
    <m/>
    <m/>
    <m/>
    <m/>
    <m/>
    <x v="1"/>
    <m/>
    <m/>
    <m/>
    <m/>
    <m/>
    <m/>
    <m/>
    <m/>
    <m/>
    <m/>
    <m/>
    <m/>
    <m/>
    <m/>
    <m/>
    <s v=""/>
    <m/>
    <m/>
    <m/>
    <m/>
    <m/>
    <n v="696"/>
    <n v="0"/>
    <s v="FR00119819681"/>
    <s v="FR0011981968"/>
    <n v="1"/>
    <x v="31"/>
    <m/>
    <m/>
    <m/>
  </r>
  <r>
    <m/>
    <m/>
    <m/>
    <m/>
    <n v="36.53"/>
    <x v="2"/>
    <n v="4050000000"/>
    <n v="920000000"/>
    <n v="250000000"/>
    <n v="211000000"/>
    <n v="2000000000"/>
    <n v="9000000000"/>
    <n v="32.087300274382073"/>
    <n v="2.3444444444444445E-2"/>
    <n v="1.515E-2"/>
    <n v="280484800"/>
    <n v="10246109744"/>
    <n v="1.1384566382222223"/>
    <n v="13.310988852173914"/>
    <s v="BBB (30/06/2020)"/>
    <n v="20709"/>
    <n v="195567.14471968709"/>
    <n v="450000000"/>
    <s v="E"/>
    <m/>
    <s v="Opérateur européen présent dans 30 pays sur le physique (commerçant, distribution…) et le on line. Présent en Asie et aux Amériques"/>
    <m/>
    <n v="697"/>
    <n v="0"/>
    <s v="FR001198196812022"/>
    <s v="FR0011981968"/>
    <n v="1"/>
    <x v="31"/>
    <m/>
    <m/>
    <m/>
  </r>
  <r>
    <m/>
    <m/>
    <m/>
    <m/>
    <m/>
    <x v="1"/>
    <n v="9.4594594594594517E-2"/>
    <n v="-5.4054054054053502E-3"/>
    <n v="-0.58333333333333326"/>
    <n v="-1.2808091562416821"/>
    <m/>
    <m/>
    <m/>
    <m/>
    <m/>
    <m/>
    <m/>
    <m/>
    <m/>
    <m/>
    <m/>
    <s v=""/>
    <m/>
    <s v="S"/>
    <m/>
    <s v="4 ème acteur mondial du paiement en ligne suite à l'acquisition d'Ingenico en novembre 2020"/>
    <m/>
    <n v="698"/>
    <n v="0"/>
    <s v="FR00119819681"/>
    <s v="FR0011981968"/>
    <n v="1"/>
    <x v="31"/>
    <m/>
    <m/>
    <m/>
  </r>
  <r>
    <m/>
    <m/>
    <m/>
    <m/>
    <n v="49"/>
    <x v="3"/>
    <n v="3700000000"/>
    <n v="925000000"/>
    <n v="600000000"/>
    <n v="-751400000"/>
    <n v="2900000000"/>
    <n v="9044000000"/>
    <n v="32.244171520167939"/>
    <n v="-8.30827067669173E-2"/>
    <n v="3.3486269256530476E-2"/>
    <n v="280484800"/>
    <n v="13743755200"/>
    <n v="1.5196544891640866"/>
    <n v="17.993248864864864"/>
    <m/>
    <m/>
    <m/>
    <m/>
    <s v="G = 2"/>
    <m/>
    <s v="Ancienne filiale d'Atos, indépendante depuis début 2020 avec la sortie d'Atos suite à la fusion avec Ingenico"/>
    <m/>
    <n v="699"/>
    <n v="0"/>
    <s v="FR001198196812021"/>
    <s v="FR0011981968"/>
    <n v="1"/>
    <x v="31"/>
    <m/>
    <m/>
    <m/>
  </r>
  <r>
    <m/>
    <m/>
    <m/>
    <m/>
    <m/>
    <x v="1"/>
    <n v="0.34643377001455611"/>
    <n v="0.3214285714285714"/>
    <n v="1.4499795835034708"/>
    <n v="-5.5901038485033601"/>
    <m/>
    <m/>
    <m/>
    <m/>
    <m/>
    <m/>
    <m/>
    <m/>
    <m/>
    <m/>
    <m/>
    <s v=""/>
    <m/>
    <m/>
    <m/>
    <s v="Actionnaires : Six Group AG : 10,6% - Bpi France : 4,4% - Salariés : 0,6% - Flottant : 85%"/>
    <m/>
    <n v="700"/>
    <n v="0"/>
    <s v="FR00119819681"/>
    <s v="FR0011981968"/>
    <n v="1"/>
    <x v="31"/>
    <m/>
    <m/>
    <m/>
  </r>
  <r>
    <m/>
    <m/>
    <m/>
    <m/>
    <n v="79.099999999999994"/>
    <x v="4"/>
    <n v="2748000000"/>
    <n v="700000000"/>
    <n v="244900000"/>
    <n v="163700000"/>
    <n v="3165000000"/>
    <n v="9480600000"/>
    <n v="33.964150027495606"/>
    <n v="1.726683965149885E-2"/>
    <n v="1.2394508761940912E-2"/>
    <n v="279135500"/>
    <n v="22079618050"/>
    <n v="2.3289262335717149"/>
    <n v="36.063740071428569"/>
    <m/>
    <m/>
    <s v=""/>
    <m/>
    <m/>
    <m/>
    <s v="Dirigé par Gilles Grapinet (né en 1964), CEO depuis 2014 et Bourrigeaud Chairman depuis octobre 2021. Possède 110 000 actions (8 M euros)"/>
    <m/>
    <n v="701"/>
    <n v="0"/>
    <s v="FR001198196812020"/>
    <s v="FR0011981968"/>
    <n v="1"/>
    <x v="31"/>
    <m/>
    <m/>
    <m/>
  </r>
  <r>
    <m/>
    <m/>
    <m/>
    <m/>
    <m/>
    <x v="1"/>
    <n v="0.15384615384615374"/>
    <n v="0.16259757515362905"/>
    <n v="-0.16785592932381921"/>
    <n v="-0.45524126455906821"/>
    <m/>
    <m/>
    <m/>
    <m/>
    <m/>
    <m/>
    <m/>
    <m/>
    <m/>
    <m/>
    <m/>
    <s v=""/>
    <m/>
    <m/>
    <m/>
    <s v="Potentiel élevé des moyens de paiement, ils touchent une commission sur les moyens de paiement qui pourraient doubler d'ici 2030 mais disruption du secteur avec Adyen (paiement en ligne..)"/>
    <m/>
    <n v="702"/>
    <n v="0"/>
    <s v="FR00119819681"/>
    <s v="FR0011981968"/>
    <n v="1"/>
    <x v="31"/>
    <m/>
    <m/>
    <m/>
  </r>
  <r>
    <m/>
    <m/>
    <m/>
    <m/>
    <n v="64"/>
    <x v="5"/>
    <n v="2381600000"/>
    <n v="602100000"/>
    <n v="294300000"/>
    <n v="300500000"/>
    <n v="641300000"/>
    <n v="3221100000"/>
    <n v="17.627506795395387"/>
    <n v="9.3291111732017012E-2"/>
    <n v="4.8765534382767192E-2"/>
    <n v="182731457"/>
    <n v="11694813248"/>
    <n v="3.6306892825432304"/>
    <n v="20.48847906992194"/>
    <m/>
    <m/>
    <s v=""/>
    <m/>
    <m/>
    <m/>
    <s v="FCF de 287 M e proche du résultat net"/>
    <m/>
    <n v="703"/>
    <n v="0"/>
    <s v="FR001198196812019"/>
    <s v="FR0011981968"/>
    <n v="1"/>
    <x v="31"/>
    <m/>
    <m/>
    <m/>
  </r>
  <r>
    <m/>
    <m/>
    <m/>
    <m/>
    <m/>
    <x v="1"/>
    <n v="6.8892778600601501E-2"/>
    <n v="0.27590591226954864"/>
    <n v="0.42933462846041759"/>
    <n v="0.94876783398184172"/>
    <m/>
    <m/>
    <m/>
    <m/>
    <m/>
    <m/>
    <m/>
    <m/>
    <m/>
    <m/>
    <m/>
    <s v=""/>
    <m/>
    <m/>
    <m/>
    <s v="En 2018, transaction avec Six "/>
    <m/>
    <n v="704"/>
    <n v="0"/>
    <s v="FR00119819681"/>
    <s v="FR0011981968"/>
    <n v="1"/>
    <x v="31"/>
    <m/>
    <m/>
    <m/>
  </r>
  <r>
    <m/>
    <m/>
    <m/>
    <m/>
    <n v="42"/>
    <x v="6"/>
    <n v="2228100000"/>
    <n v="471900000"/>
    <n v="205900000"/>
    <n v="154200000"/>
    <n v="35000000"/>
    <n v="3599200000"/>
    <n v="19.715702117170167"/>
    <n v="4.2842853967548347E-2"/>
    <n v="3.6259974684937538E-2"/>
    <n v="182555000"/>
    <n v="7667310000"/>
    <n v="2.1302817292731717"/>
    <n v="16.321911421911423"/>
    <m/>
    <m/>
    <s v=""/>
    <m/>
    <m/>
    <m/>
    <s v="En juillet 2019, rachat des minoritaires d' equensWorldlinec pour 1,07 Md euros en juillet 2019"/>
    <m/>
    <n v="705"/>
    <n v="0"/>
    <s v="FR001198196812018"/>
    <s v="FR0011981968"/>
    <n v="1"/>
    <x v="31"/>
    <m/>
    <m/>
    <m/>
  </r>
  <r>
    <m/>
    <m/>
    <m/>
    <m/>
    <m/>
    <x v="1"/>
    <n v="0.43526153053336758"/>
    <n v="0.40865671641791046"/>
    <n v="0.10997304582210243"/>
    <n v="0.15592203898050983"/>
    <m/>
    <m/>
    <m/>
    <m/>
    <m/>
    <m/>
    <m/>
    <m/>
    <m/>
    <m/>
    <m/>
    <s v=""/>
    <m/>
    <m/>
    <m/>
    <s v="En février 2020, Worldline rachète Ingenico (8 Md euros) en février 2020 : 81 % en titres et 19% en cash. 65% des actionnaires de Wordline détiendront le nouvel ensemble et 35 % sera détenu par les anciens d'Ingenico"/>
    <m/>
    <n v="706"/>
    <n v="0"/>
    <s v="FR00119819681"/>
    <s v="FR0011981968"/>
    <n v="1"/>
    <x v="31"/>
    <m/>
    <m/>
    <m/>
  </r>
  <r>
    <m/>
    <m/>
    <m/>
    <m/>
    <n v="42.4"/>
    <x v="7"/>
    <n v="1552400000"/>
    <n v="335000000"/>
    <n v="185500000"/>
    <n v="133400000"/>
    <n v="-309100000"/>
    <n v="1251400000"/>
    <n v="9.4161731841473593"/>
    <n v="0.10660060731980182"/>
    <n v="0.12598959991510134"/>
    <n v="132899000"/>
    <n v="5634917600"/>
    <n v="4.5028908422566722"/>
    <n v="15.897962985074626"/>
    <m/>
    <m/>
    <s v=""/>
    <m/>
    <m/>
    <m/>
    <s v="Fin 2020, acquisition de 51% (300M euros) des activités de services aux marchands d'ANZ par l'intermédiaire d'une nouvelle structure. "/>
    <m/>
    <n v="707"/>
    <n v="0"/>
    <s v="FR001198196812017"/>
    <s v="FR0011981968"/>
    <n v="1"/>
    <x v="31"/>
    <m/>
    <m/>
    <m/>
  </r>
  <r>
    <m/>
    <m/>
    <m/>
    <m/>
    <m/>
    <x v="1"/>
    <n v="0.1859434682964094"/>
    <n v="0.29343629343629352"/>
    <m/>
    <m/>
    <m/>
    <m/>
    <m/>
    <m/>
    <m/>
    <m/>
    <m/>
    <m/>
    <m/>
    <m/>
    <m/>
    <s v=""/>
    <m/>
    <m/>
    <m/>
    <s v="En 2021, acquisition d'Handelsbanken (Pays nordique) à 100% qui réalise 35 M euros de CA ( et 35% de marge EBO), Cardlink en Grèce (pour 130 M euros) et Axepta en Italie. Acquisition d'une activité commerçant en Grèce auprès de Eurobank pour 256 M euros (80% de la société"/>
    <m/>
    <n v="708"/>
    <n v="0"/>
    <s v="FR00119819681"/>
    <s v="FR0011981968"/>
    <n v="1"/>
    <x v="31"/>
    <m/>
    <m/>
    <m/>
  </r>
  <r>
    <m/>
    <m/>
    <m/>
    <m/>
    <n v="25.8"/>
    <x v="8"/>
    <n v="1309000000"/>
    <n v="259000000"/>
    <m/>
    <m/>
    <m/>
    <n v="1131100000"/>
    <n v="8.5464725305447047"/>
    <n v="0"/>
    <n v="0"/>
    <n v="132347000"/>
    <n v="3414552600"/>
    <n v="3.0187893201308462"/>
    <n v="13.183600772200773"/>
    <m/>
    <m/>
    <s v=""/>
    <m/>
    <m/>
    <m/>
    <s v="Fabrication de boitier probablement vendu en 2021, sortie à venir et retirer des chiffres 2021. Vente de cette branche autour de 2,5 Md euros finalement 1,7 Md euros"/>
    <m/>
    <n v="709"/>
    <n v="0"/>
    <s v="FR001198196812016"/>
    <s v="FR0011981968"/>
    <n v="1"/>
    <x v="31"/>
    <m/>
    <m/>
    <m/>
  </r>
  <r>
    <m/>
    <m/>
    <m/>
    <m/>
    <m/>
    <x v="1"/>
    <m/>
    <m/>
    <m/>
    <m/>
    <m/>
    <m/>
    <m/>
    <m/>
    <m/>
    <m/>
    <m/>
    <m/>
    <m/>
    <m/>
    <m/>
    <s v=""/>
    <m/>
    <m/>
    <m/>
    <s v="Le niveau de dettes de l'ensemble pourrait passer à 3,5 Md euros et nombre de titres à 263 M de titres finalement 280 Millions de titres"/>
    <m/>
    <n v="710"/>
    <n v="0"/>
    <s v="FR00119819681"/>
    <s v="FR0011981968"/>
    <n v="1"/>
    <x v="31"/>
    <m/>
    <m/>
    <m/>
  </r>
  <r>
    <m/>
    <m/>
    <m/>
    <m/>
    <n v="23.96"/>
    <x v="9"/>
    <n v="1227000000"/>
    <n v="235000000"/>
    <m/>
    <m/>
    <m/>
    <m/>
    <m/>
    <m/>
    <m/>
    <m/>
    <m/>
    <m/>
    <m/>
    <m/>
    <m/>
    <s v=""/>
    <m/>
    <m/>
    <m/>
    <s v="En 2022, acquisition de 80% d'Axepta Italie qui a un partenariat avec BNL. Croissance à venir du paiement par carte dans ce pays"/>
    <m/>
    <n v="711"/>
    <n v="0"/>
    <s v="FR001198196812015"/>
    <s v="FR0011981968"/>
    <n v="1"/>
    <x v="31"/>
    <m/>
    <m/>
    <m/>
  </r>
  <r>
    <m/>
    <m/>
    <m/>
    <m/>
    <m/>
    <x v="1"/>
    <m/>
    <m/>
    <m/>
    <m/>
    <m/>
    <m/>
    <m/>
    <m/>
    <m/>
    <m/>
    <m/>
    <m/>
    <m/>
    <m/>
    <m/>
    <s v=""/>
    <m/>
    <m/>
    <m/>
    <s v="Cession des terminaux de paiement issus du rachat d'Ingenico à Apollo pour 1,7 Md euros plus 0,9 Md euros d'actions de préférence soit 1,4 Md euros net pour Worldline et l'intéressement à la création de valeur futur via les actions de préférence"/>
    <m/>
    <n v="712"/>
    <n v="0"/>
    <s v="FR00119819681"/>
    <s v="FR0011981968"/>
    <n v="1"/>
    <x v="31"/>
    <m/>
    <m/>
    <m/>
  </r>
  <r>
    <m/>
    <m/>
    <m/>
    <m/>
    <n v="16"/>
    <x v="10"/>
    <n v="1149000000"/>
    <n v="215000000"/>
    <m/>
    <m/>
    <m/>
    <m/>
    <m/>
    <m/>
    <m/>
    <m/>
    <m/>
    <m/>
    <m/>
    <m/>
    <m/>
    <s v=""/>
    <m/>
    <m/>
    <m/>
    <s v="Objectif 2024 : progression du CA de 10% par an soit 5,32 Md euros en 2024 et EBO à 30% soit 1,6 Md euros (FCF à 750 M euros proche du RN) et dettes à 1,5 Md euros ou moins ou plus si acquisition"/>
    <m/>
    <n v="713"/>
    <n v="0"/>
    <s v="FR001198196812014"/>
    <s v="FR0011981968"/>
    <n v="1"/>
    <x v="31"/>
    <m/>
    <m/>
    <m/>
  </r>
  <r>
    <m/>
    <m/>
    <m/>
    <m/>
    <m/>
    <x v="1"/>
    <m/>
    <m/>
    <m/>
    <m/>
    <m/>
    <m/>
    <m/>
    <m/>
    <m/>
    <m/>
    <m/>
    <m/>
    <m/>
    <m/>
    <m/>
    <s v=""/>
    <m/>
    <m/>
    <m/>
    <s v="Minoritaires : 10% (issue du rachat d'Ingenico)"/>
    <m/>
    <n v="714"/>
    <n v="0"/>
    <s v="FR00119819681"/>
    <s v="FR0011981968"/>
    <n v="1"/>
    <x v="31"/>
    <m/>
    <m/>
    <m/>
  </r>
  <r>
    <m/>
    <m/>
    <m/>
    <m/>
    <s v="IPO le 26 juin 2014 à 16,4 euros"/>
    <x v="1"/>
    <m/>
    <m/>
    <m/>
    <m/>
    <m/>
    <m/>
    <m/>
    <m/>
    <m/>
    <m/>
    <m/>
    <m/>
    <m/>
    <m/>
    <m/>
    <s v=""/>
    <m/>
    <m/>
    <m/>
    <s v="CAC : Deloitte et Grant Thornton"/>
    <m/>
    <n v="715"/>
    <n v="0"/>
    <s v="FR00119819681"/>
    <s v="FR0011981968"/>
    <n v="1"/>
    <x v="31"/>
    <m/>
    <m/>
    <m/>
  </r>
  <r>
    <m/>
    <m/>
    <m/>
    <m/>
    <m/>
    <x v="1"/>
    <m/>
    <m/>
    <m/>
    <m/>
    <m/>
    <m/>
    <m/>
    <m/>
    <m/>
    <m/>
    <m/>
    <m/>
    <m/>
    <m/>
    <m/>
    <s v=""/>
    <m/>
    <m/>
    <m/>
    <s v="Pay-out ratio : pas de dividendes en 2019, 2020 et 2021 (transformation) cible 25%"/>
    <m/>
    <n v="716"/>
    <n v="0"/>
    <s v="FR00119819681"/>
    <s v="FR0011981968"/>
    <n v="1"/>
    <x v="31"/>
    <m/>
    <m/>
    <m/>
  </r>
  <r>
    <m/>
    <m/>
    <m/>
    <m/>
    <m/>
    <x v="1"/>
    <m/>
    <m/>
    <m/>
    <m/>
    <m/>
    <m/>
    <m/>
    <m/>
    <m/>
    <m/>
    <m/>
    <m/>
    <m/>
    <m/>
    <m/>
    <s v=""/>
    <m/>
    <m/>
    <m/>
    <m/>
    <m/>
    <n v="717"/>
    <n v="0"/>
    <s v="FR00119819681"/>
    <s v="FR0011981968"/>
    <n v="1"/>
    <x v="31"/>
    <m/>
    <m/>
    <m/>
  </r>
  <r>
    <m/>
    <m/>
    <m/>
    <m/>
    <m/>
    <x v="1"/>
    <m/>
    <m/>
    <m/>
    <m/>
    <m/>
    <m/>
    <m/>
    <m/>
    <m/>
    <m/>
    <m/>
    <m/>
    <m/>
    <m/>
    <m/>
    <s v=""/>
    <m/>
    <m/>
    <m/>
    <m/>
    <m/>
    <n v="718"/>
    <n v="0"/>
    <s v="FR00119819681"/>
    <s v="FR0011981968"/>
    <n v="1"/>
    <x v="31"/>
    <m/>
    <m/>
    <m/>
  </r>
  <r>
    <m/>
    <m/>
    <m/>
    <m/>
    <m/>
    <x v="1"/>
    <m/>
    <m/>
    <m/>
    <m/>
    <m/>
    <m/>
    <m/>
    <m/>
    <m/>
    <m/>
    <m/>
    <m/>
    <m/>
    <m/>
    <m/>
    <s v=""/>
    <m/>
    <m/>
    <m/>
    <m/>
    <m/>
    <n v="719"/>
    <n v="0"/>
    <s v="FR00119819681"/>
    <s v="FR0011981968"/>
    <n v="1"/>
    <x v="31"/>
    <m/>
    <m/>
    <m/>
  </r>
  <r>
    <m/>
    <m/>
    <m/>
    <m/>
    <m/>
    <x v="1"/>
    <m/>
    <m/>
    <m/>
    <m/>
    <m/>
    <m/>
    <m/>
    <m/>
    <m/>
    <m/>
    <m/>
    <m/>
    <m/>
    <m/>
    <m/>
    <s v=""/>
    <m/>
    <m/>
    <m/>
    <m/>
    <m/>
    <n v="720"/>
    <n v="0"/>
    <s v="FR00119819681"/>
    <s v="FR0011981968"/>
    <n v="1"/>
    <x v="31"/>
    <m/>
    <m/>
    <m/>
  </r>
  <r>
    <m/>
    <m/>
    <m/>
    <m/>
    <m/>
    <x v="1"/>
    <m/>
    <m/>
    <m/>
    <m/>
    <m/>
    <m/>
    <m/>
    <m/>
    <m/>
    <m/>
    <m/>
    <m/>
    <m/>
    <m/>
    <m/>
    <s v=""/>
    <m/>
    <m/>
    <m/>
    <m/>
    <m/>
    <n v="721"/>
    <n v="0"/>
    <s v="FR00119819681"/>
    <s v="FR0011981968"/>
    <n v="1"/>
    <x v="31"/>
    <m/>
    <m/>
    <m/>
  </r>
  <r>
    <m/>
    <m/>
    <m/>
    <m/>
    <m/>
    <x v="1"/>
    <m/>
    <m/>
    <m/>
    <m/>
    <m/>
    <m/>
    <m/>
    <m/>
    <m/>
    <m/>
    <m/>
    <m/>
    <m/>
    <m/>
    <m/>
    <s v=""/>
    <m/>
    <m/>
    <m/>
    <m/>
    <m/>
    <n v="722"/>
    <n v="0"/>
    <s v="NL00129691821"/>
    <s v="NL0012969182"/>
    <n v="1"/>
    <x v="32"/>
    <m/>
    <m/>
    <m/>
  </r>
  <r>
    <m/>
    <m/>
    <m/>
    <m/>
    <m/>
    <x v="1"/>
    <m/>
    <m/>
    <m/>
    <m/>
    <m/>
    <m/>
    <m/>
    <m/>
    <m/>
    <m/>
    <m/>
    <m/>
    <m/>
    <m/>
    <m/>
    <s v=""/>
    <m/>
    <m/>
    <m/>
    <m/>
    <m/>
    <n v="723"/>
    <n v="0"/>
    <s v="NL00129691821"/>
    <s v="NL0012969182"/>
    <n v="1"/>
    <x v="32"/>
    <m/>
    <m/>
    <m/>
  </r>
  <r>
    <m/>
    <m/>
    <m/>
    <m/>
    <m/>
    <x v="1"/>
    <m/>
    <m/>
    <m/>
    <m/>
    <m/>
    <m/>
    <m/>
    <m/>
    <m/>
    <m/>
    <m/>
    <m/>
    <m/>
    <m/>
    <m/>
    <s v=""/>
    <m/>
    <m/>
    <s v="Volume transactions"/>
    <m/>
    <m/>
    <n v="724"/>
    <n v="0"/>
    <s v="NL00129691821"/>
    <s v="NL0012969182"/>
    <n v="1"/>
    <x v="32"/>
    <m/>
    <m/>
    <m/>
  </r>
  <r>
    <s v="Adyen"/>
    <s v="Moyens de paiement"/>
    <s v="Pays-Bas"/>
    <s v="Euro"/>
    <n v="1365.4"/>
    <x v="0"/>
    <n v="1729260000"/>
    <m/>
    <m/>
    <n v="700000000"/>
    <m/>
    <m/>
    <m/>
    <m/>
    <m/>
    <n v="30982000"/>
    <n v="42302822800"/>
    <e v="#DIV/0!"/>
    <e v="#DIV/0!"/>
    <m/>
    <m/>
    <s v=""/>
    <m/>
    <m/>
    <m/>
    <s v="Création en 2006 par Pieter van der Does (age 53 ans) et Arnout Schuijff "/>
    <m/>
    <n v="725"/>
    <n v="0"/>
    <s v="NL001296918212023"/>
    <s v="NL0012969182"/>
    <n v="1"/>
    <x v="32"/>
    <m/>
    <m/>
    <m/>
  </r>
  <r>
    <m/>
    <m/>
    <m/>
    <m/>
    <m/>
    <x v="1"/>
    <m/>
    <m/>
    <m/>
    <m/>
    <m/>
    <m/>
    <m/>
    <m/>
    <m/>
    <m/>
    <m/>
    <m/>
    <m/>
    <m/>
    <m/>
    <s v=""/>
    <m/>
    <m/>
    <m/>
    <s v="IPO : 13 juin 2018 à 240 € par action"/>
    <m/>
    <n v="726"/>
    <n v="0"/>
    <s v="NL00129691821"/>
    <s v="NL0012969182"/>
    <n v="1"/>
    <x v="32"/>
    <m/>
    <m/>
    <m/>
  </r>
  <r>
    <m/>
    <m/>
    <m/>
    <m/>
    <n v="1288.4000000000001"/>
    <x v="2"/>
    <n v="1330200000"/>
    <n v="728300000"/>
    <m/>
    <n v="600000000"/>
    <m/>
    <n v="1800000000"/>
    <n v="58.098250597120909"/>
    <n v="0.33141590818453681"/>
    <n v="0"/>
    <n v="30982000"/>
    <n v="39917208800"/>
    <n v="22.17622711111111"/>
    <n v="54.808744748043388"/>
    <m/>
    <m/>
    <s v=""/>
    <m/>
    <m/>
    <n v="767500000"/>
    <s v="Répartition par activité : Transactions numériques (61 %), Commerce unifié, plateforme + physique (25%) Plateforme (14%)"/>
    <m/>
    <n v="727"/>
    <n v="0"/>
    <s v="NL001296918212022"/>
    <s v="NL0012969182"/>
    <n v="1"/>
    <x v="32"/>
    <m/>
    <m/>
    <m/>
  </r>
  <r>
    <m/>
    <m/>
    <m/>
    <m/>
    <m/>
    <x v="1"/>
    <n v="0.32818514313785996"/>
    <n v="0.15604642598636165"/>
    <m/>
    <n v="0.27736488140731552"/>
    <m/>
    <m/>
    <m/>
    <m/>
    <m/>
    <m/>
    <m/>
    <m/>
    <m/>
    <m/>
    <m/>
    <s v=""/>
    <m/>
    <m/>
    <m/>
    <s v="Répartition de l'actionnariat : 84 % flottant, Restant fonds institutionnels"/>
    <m/>
    <n v="728"/>
    <n v="0"/>
    <s v="NL00129691821"/>
    <s v="NL0012969182"/>
    <n v="1"/>
    <x v="32"/>
    <m/>
    <m/>
    <m/>
  </r>
  <r>
    <m/>
    <m/>
    <m/>
    <m/>
    <n v="2311.5"/>
    <x v="3"/>
    <n v="1001517000"/>
    <n v="629992000"/>
    <n v="594981000"/>
    <n v="469717000"/>
    <m/>
    <n v="1810414000"/>
    <n v="58.508030895517564"/>
    <n v="0.38560371847432218"/>
    <n v="0.39563349352370103"/>
    <n v="30943000"/>
    <n v="71524744500"/>
    <n v="39.507396926890756"/>
    <n v="113.53278216231317"/>
    <m/>
    <n v="2180"/>
    <n v="459411.46788990824"/>
    <n v="566601000"/>
    <m/>
    <n v="516000000"/>
    <s v="Modèle de rémunération : 0,17 % des volumes gérés + 1 forme d'abonnement"/>
    <m/>
    <n v="729"/>
    <n v="0"/>
    <s v="NL001296918212021"/>
    <s v="NL0012969182"/>
    <n v="1"/>
    <x v="32"/>
    <m/>
    <m/>
    <m/>
  </r>
  <r>
    <m/>
    <m/>
    <m/>
    <m/>
    <m/>
    <x v="1"/>
    <n v="0.46377813504823151"/>
    <n v="0.56527529318226999"/>
    <n v="0.5912284408405164"/>
    <n v="0.79955099054091838"/>
    <m/>
    <m/>
    <m/>
    <m/>
    <m/>
    <m/>
    <m/>
    <m/>
    <m/>
    <m/>
    <m/>
    <s v=""/>
    <m/>
    <m/>
    <m/>
    <s v="Concurent : Ingenico, Wordline, ANT Financial, Square, Stripe"/>
    <m/>
    <n v="730"/>
    <n v="0"/>
    <s v="NL00129691821"/>
    <s v="NL0012969182"/>
    <n v="1"/>
    <x v="32"/>
    <m/>
    <m/>
    <m/>
  </r>
  <r>
    <m/>
    <m/>
    <m/>
    <m/>
    <n v="1905"/>
    <x v="4"/>
    <n v="684200000"/>
    <n v="402480000"/>
    <n v="373913000"/>
    <n v="261019000"/>
    <m/>
    <n v="1218134000"/>
    <n v="40.191830539791475"/>
    <n v="0.30060196632351399"/>
    <n v="0.3487990386043871"/>
    <n v="30308000"/>
    <n v="57736740000"/>
    <n v="47.397691879546912"/>
    <n v="143.45244484197971"/>
    <m/>
    <n v="1747"/>
    <n v="391642.8162564396"/>
    <n v="371149000"/>
    <m/>
    <n v="303600000"/>
    <s v="En 2013, a décidé d'entrer sur le marché des paiement en magasin."/>
    <m/>
    <n v="731"/>
    <n v="0"/>
    <s v="NL001296918212020"/>
    <s v="NL0012969182"/>
    <n v="1"/>
    <x v="32"/>
    <m/>
    <m/>
    <m/>
  </r>
  <r>
    <m/>
    <m/>
    <m/>
    <m/>
    <m/>
    <x v="1"/>
    <n v="0.37754413798796405"/>
    <n v="0.44103114930182596"/>
    <n v="0.4549313805219517"/>
    <n v="0.27926033748450041"/>
    <m/>
    <m/>
    <m/>
    <m/>
    <m/>
    <m/>
    <m/>
    <m/>
    <m/>
    <m/>
    <m/>
    <s v=""/>
    <m/>
    <m/>
    <m/>
    <s v="En 2021, obtention de la licence succursale au Etats-Unis."/>
    <m/>
    <n v="732"/>
    <n v="0"/>
    <s v="NL00129691821"/>
    <s v="NL0012969182"/>
    <n v="1"/>
    <x v="32"/>
    <m/>
    <m/>
    <m/>
  </r>
  <r>
    <m/>
    <m/>
    <m/>
    <m/>
    <n v="731"/>
    <x v="5"/>
    <n v="496681000"/>
    <n v="279300000"/>
    <n v="256997000"/>
    <n v="204039000"/>
    <m/>
    <n v="868321000"/>
    <n v="29.04472170189992"/>
    <n v="0.35033928338404269"/>
    <n v="0.35742812549364361"/>
    <n v="29896000"/>
    <n v="21853976000"/>
    <n v="25.168084153210621"/>
    <n v="78.245528105979233"/>
    <m/>
    <m/>
    <s v=""/>
    <n v="259364000"/>
    <m/>
    <n v="239600000"/>
    <s v="En 2022, + 45% de CA aux Etats-Unis (190,7 M d'€), Taux de désabonnement à ses services de moins de 1%"/>
    <m/>
    <n v="733"/>
    <n v="0"/>
    <s v="NL001296918212019"/>
    <s v="NL0012969182"/>
    <n v="1"/>
    <x v="32"/>
    <m/>
    <m/>
    <m/>
  </r>
  <r>
    <m/>
    <m/>
    <m/>
    <m/>
    <m/>
    <x v="1"/>
    <n v="0.42350958548406048"/>
    <n v="0.53545904343045625"/>
    <n v="0.48373073148201606"/>
    <n v="0.55581565583395598"/>
    <m/>
    <m/>
    <m/>
    <m/>
    <m/>
    <m/>
    <m/>
    <m/>
    <m/>
    <m/>
    <m/>
    <s v=""/>
    <m/>
    <m/>
    <m/>
    <m/>
    <m/>
    <n v="734"/>
    <n v="0"/>
    <s v="NL00129691821"/>
    <s v="NL0012969182"/>
    <n v="1"/>
    <x v="32"/>
    <m/>
    <m/>
    <m/>
  </r>
  <r>
    <m/>
    <m/>
    <m/>
    <m/>
    <n v="475"/>
    <x v="6"/>
    <n v="348913000"/>
    <n v="181900000"/>
    <n v="173210000"/>
    <n v="131146000"/>
    <m/>
    <n v="582404000"/>
    <n v="19.48100080278298"/>
    <n v="0.22518045892541946"/>
    <n v="0.24089824245712599"/>
    <n v="29896000"/>
    <n v="14200600000"/>
    <n v="24.382730887837308"/>
    <n v="78.068169323804284"/>
    <m/>
    <m/>
    <s v=""/>
    <n v="168136000"/>
    <m/>
    <n v="159000000"/>
    <s v="En 2024, prévoit la fin des recrutements et donc une stabilité dans le nombre d'employés, (Marge projetée de 65 %)"/>
    <m/>
    <n v="735"/>
    <n v="0"/>
    <s v="NL001296918212018"/>
    <s v="NL0012969182"/>
    <n v="1"/>
    <x v="32"/>
    <m/>
    <m/>
    <m/>
  </r>
  <r>
    <m/>
    <m/>
    <m/>
    <m/>
    <m/>
    <x v="1"/>
    <m/>
    <m/>
    <m/>
    <m/>
    <m/>
    <m/>
    <m/>
    <m/>
    <m/>
    <m/>
    <m/>
    <m/>
    <m/>
    <m/>
    <m/>
    <s v=""/>
    <m/>
    <m/>
    <m/>
    <s v="Taux d'IS : 19 %"/>
    <m/>
    <n v="736"/>
    <n v="0"/>
    <s v="NL00129691821"/>
    <s v="NL0012969182"/>
    <n v="1"/>
    <x v="32"/>
    <m/>
    <m/>
    <m/>
  </r>
  <r>
    <m/>
    <m/>
    <m/>
    <m/>
    <m/>
    <x v="1"/>
    <m/>
    <m/>
    <m/>
    <m/>
    <m/>
    <m/>
    <m/>
    <m/>
    <m/>
    <m/>
    <m/>
    <m/>
    <m/>
    <m/>
    <m/>
    <s v=""/>
    <m/>
    <m/>
    <m/>
    <s v="Minoritaires : aucun"/>
    <m/>
    <n v="737"/>
    <n v="0"/>
    <s v="NL00129691821"/>
    <s v="NL0012969182"/>
    <n v="1"/>
    <x v="32"/>
    <m/>
    <m/>
    <m/>
  </r>
  <r>
    <m/>
    <m/>
    <m/>
    <m/>
    <m/>
    <x v="1"/>
    <m/>
    <m/>
    <m/>
    <m/>
    <m/>
    <m/>
    <m/>
    <m/>
    <m/>
    <m/>
    <m/>
    <m/>
    <m/>
    <m/>
    <m/>
    <s v=""/>
    <m/>
    <m/>
    <m/>
    <s v="Pay out ratio : 0%"/>
    <m/>
    <n v="738"/>
    <n v="0"/>
    <s v="NL00129691821"/>
    <s v="NL0012969182"/>
    <n v="1"/>
    <x v="32"/>
    <m/>
    <m/>
    <m/>
  </r>
  <r>
    <m/>
    <m/>
    <m/>
    <m/>
    <m/>
    <x v="1"/>
    <m/>
    <m/>
    <m/>
    <m/>
    <m/>
    <m/>
    <m/>
    <m/>
    <m/>
    <m/>
    <m/>
    <m/>
    <m/>
    <m/>
    <m/>
    <s v=""/>
    <m/>
    <m/>
    <m/>
    <s v="CAC : PWC"/>
    <m/>
    <n v="739"/>
    <n v="0"/>
    <s v="NL00129691821"/>
    <s v="NL0012969182"/>
    <n v="1"/>
    <x v="32"/>
    <m/>
    <m/>
    <m/>
  </r>
  <r>
    <m/>
    <m/>
    <m/>
    <m/>
    <m/>
    <x v="1"/>
    <m/>
    <m/>
    <m/>
    <m/>
    <m/>
    <m/>
    <m/>
    <m/>
    <m/>
    <m/>
    <m/>
    <m/>
    <m/>
    <m/>
    <m/>
    <s v=""/>
    <m/>
    <m/>
    <m/>
    <m/>
    <m/>
    <n v="740"/>
    <n v="0"/>
    <s v="NL00129691821"/>
    <s v="NL0012969182"/>
    <n v="1"/>
    <x v="32"/>
    <m/>
    <m/>
    <m/>
  </r>
  <r>
    <m/>
    <m/>
    <m/>
    <m/>
    <m/>
    <x v="1"/>
    <m/>
    <m/>
    <m/>
    <m/>
    <m/>
    <m/>
    <m/>
    <m/>
    <m/>
    <m/>
    <m/>
    <m/>
    <m/>
    <m/>
    <m/>
    <s v=""/>
    <m/>
    <m/>
    <m/>
    <m/>
    <m/>
    <n v="741"/>
    <n v="0"/>
    <s v="NL00129691821"/>
    <s v="NL0012969182"/>
    <n v="1"/>
    <x v="32"/>
    <m/>
    <m/>
    <m/>
  </r>
  <r>
    <m/>
    <m/>
    <m/>
    <m/>
    <s v="Sortie de la cote à 123,10 euros le 19 novembre 2020 par Worldline"/>
    <x v="1"/>
    <m/>
    <m/>
    <m/>
    <m/>
    <m/>
    <m/>
    <m/>
    <m/>
    <m/>
    <m/>
    <m/>
    <m/>
    <m/>
    <m/>
    <m/>
    <s v=""/>
    <m/>
    <m/>
    <m/>
    <m/>
    <m/>
    <n v="742"/>
    <n v="0"/>
    <s v="NL00129691821"/>
    <s v="NL0012969182"/>
    <n v="1"/>
    <x v="32"/>
    <m/>
    <m/>
    <m/>
  </r>
  <r>
    <s v="Ingenico"/>
    <s v="Moyens de paiement"/>
    <s v="France"/>
    <s v="Euro"/>
    <n v="126.8"/>
    <x v="5"/>
    <n v="3370100000"/>
    <n v="606000000"/>
    <n v="311200000"/>
    <n v="208000000"/>
    <n v="1307400000"/>
    <n v="2238300000"/>
    <n v="35.891408501506191"/>
    <n v="9.2927668319706919E-2"/>
    <n v="5.6171700933525116E-2"/>
    <n v="62363114"/>
    <n v="7907642855.1999998"/>
    <n v="3.5328789059554127"/>
    <n v="15.206341345214522"/>
    <m/>
    <m/>
    <s v=""/>
    <m/>
    <m/>
    <m/>
    <s v="Suivre en 2017 et poursuivre les investissements"/>
    <m/>
    <n v="743"/>
    <e v="#N/A"/>
    <s v="Ingenico12019"/>
    <s v="Ingenico"/>
    <n v="1"/>
    <x v="33"/>
    <m/>
    <m/>
    <m/>
  </r>
  <r>
    <m/>
    <m/>
    <m/>
    <m/>
    <m/>
    <x v="1"/>
    <n v="0.27491109934175673"/>
    <n v="0.24180327868852469"/>
    <n v="0.11781609195402298"/>
    <n v="0.10169491525423724"/>
    <m/>
    <m/>
    <m/>
    <m/>
    <m/>
    <m/>
    <m/>
    <m/>
    <m/>
    <m/>
    <m/>
    <s v=""/>
    <m/>
    <m/>
    <m/>
    <s v="Objectif 2017 : CA +7 % et marge EBITDA&gt; 2016 (20,6%) : "/>
    <m/>
    <n v="744"/>
    <e v="#N/A"/>
    <s v="1"/>
    <m/>
    <n v="1"/>
    <x v="33"/>
    <m/>
    <m/>
    <m/>
  </r>
  <r>
    <m/>
    <m/>
    <m/>
    <m/>
    <n v="64"/>
    <x v="6"/>
    <n v="2643400000"/>
    <n v="488000000"/>
    <n v="278400000"/>
    <n v="188800000"/>
    <n v="1517800000"/>
    <n v="1844600000"/>
    <n v="29.578381862073147"/>
    <n v="0.10235281361812859"/>
    <n v="5.2990720913633119E-2"/>
    <n v="62363114"/>
    <n v="3991239296"/>
    <n v="2.163742435216307"/>
    <n v="11.289014950819672"/>
    <m/>
    <m/>
    <s v=""/>
    <m/>
    <m/>
    <m/>
    <s v="Risque sur le TPE (70% de l'activité) Objectif d'Ingénico, ramener à 50%. Acquistion d'une société nordique pour 1,5 Md euros pour 250 m euros de CA en juilllet 2017. Payé cash"/>
    <m/>
    <n v="745"/>
    <e v="#N/A"/>
    <s v="12018"/>
    <m/>
    <n v="1"/>
    <x v="33"/>
    <m/>
    <m/>
    <m/>
  </r>
  <r>
    <m/>
    <m/>
    <m/>
    <m/>
    <m/>
    <x v="1"/>
    <n v="5.3147410358565628E-2"/>
    <n v="-7.2243346007604514E-2"/>
    <n v="-0.24959568733153636"/>
    <n v="-0.26249999999999996"/>
    <m/>
    <m/>
    <m/>
    <m/>
    <m/>
    <m/>
    <m/>
    <m/>
    <m/>
    <m/>
    <m/>
    <s v=""/>
    <m/>
    <m/>
    <m/>
    <s v="Ligne vendue en juillet 2017 à 83 euros. Bonne boîte mais risque TPE et modèle en transformation"/>
    <m/>
    <n v="746"/>
    <e v="#N/A"/>
    <s v="1"/>
    <m/>
    <n v="1"/>
    <x v="33"/>
    <m/>
    <m/>
    <m/>
  </r>
  <r>
    <m/>
    <m/>
    <m/>
    <m/>
    <n v="91.8"/>
    <x v="7"/>
    <n v="2510000000"/>
    <n v="526000000"/>
    <n v="371000000"/>
    <n v="256000000"/>
    <n v="1471000000"/>
    <n v="1831600000"/>
    <n v="29.369925305525957"/>
    <n v="0.13976850840794933"/>
    <n v="7.1894870707927092E-2"/>
    <n v="62363114"/>
    <n v="5724933865.1999998"/>
    <n v="3.1256463557545313"/>
    <n v="13.680482633460075"/>
    <m/>
    <m/>
    <s v=""/>
    <m/>
    <m/>
    <m/>
    <s v="Mais 50% du CA en paiement digital, le PDG considère la transition faite et veut faire passer le CA digital à 70%"/>
    <m/>
    <n v="747"/>
    <e v="#N/A"/>
    <s v="12017"/>
    <m/>
    <n v="1"/>
    <x v="33"/>
    <m/>
    <m/>
    <m/>
  </r>
  <r>
    <m/>
    <m/>
    <m/>
    <m/>
    <m/>
    <x v="1"/>
    <n v="8.5640138408304534E-2"/>
    <n v="0.10504201680672276"/>
    <n v="3.9215686274509887E-2"/>
    <n v="4.9180327868852514E-2"/>
    <m/>
    <m/>
    <m/>
    <m/>
    <m/>
    <m/>
    <m/>
    <m/>
    <m/>
    <m/>
    <m/>
    <s v=""/>
    <m/>
    <m/>
    <m/>
    <s v="Philippe Lazare (PDG) né en 1957 - 100 000 actions Ingenico. Il a été poussé à la démission remplacé par Nicolas Duss en 2018."/>
    <m/>
    <n v="748"/>
    <e v="#N/A"/>
    <s v="1"/>
    <m/>
    <n v="1"/>
    <x v="33"/>
    <m/>
    <m/>
    <m/>
  </r>
  <r>
    <m/>
    <m/>
    <m/>
    <m/>
    <n v="75.87"/>
    <x v="8"/>
    <n v="2312000000"/>
    <n v="476000000"/>
    <n v="357000000"/>
    <n v="244000000"/>
    <n v="126000000"/>
    <n v="1703000000"/>
    <n v="27.30780890768219"/>
    <n v="0.14327657075748679"/>
    <n v="0.1249207217058502"/>
    <n v="62363114"/>
    <n v="4731489459.1800003"/>
    <n v="2.778326165108632"/>
    <n v="10.204809788193279"/>
    <m/>
    <m/>
    <s v=""/>
    <m/>
    <m/>
    <m/>
    <s v="Redressement de l'activité"/>
    <m/>
    <n v="749"/>
    <e v="#N/A"/>
    <s v="12016"/>
    <m/>
    <n v="1"/>
    <x v="33"/>
    <m/>
    <m/>
    <m/>
  </r>
  <r>
    <m/>
    <m/>
    <m/>
    <m/>
    <m/>
    <x v="1"/>
    <m/>
    <m/>
    <m/>
    <m/>
    <m/>
    <m/>
    <m/>
    <m/>
    <m/>
    <m/>
    <m/>
    <m/>
    <m/>
    <m/>
    <m/>
    <s v=""/>
    <m/>
    <m/>
    <m/>
    <m/>
    <m/>
    <n v="750"/>
    <e v="#N/A"/>
    <s v="1"/>
    <m/>
    <n v="1"/>
    <x v="33"/>
    <m/>
    <m/>
    <m/>
  </r>
  <r>
    <m/>
    <m/>
    <m/>
    <m/>
    <n v="117.55"/>
    <x v="9"/>
    <m/>
    <m/>
    <m/>
    <m/>
    <m/>
    <m/>
    <m/>
    <m/>
    <m/>
    <n v="62363114"/>
    <n v="7330784050.6999998"/>
    <m/>
    <m/>
    <m/>
    <m/>
    <s v=""/>
    <m/>
    <m/>
    <m/>
    <m/>
    <m/>
    <n v="751"/>
    <e v="#N/A"/>
    <s v="12015"/>
    <m/>
    <n v="1"/>
    <x v="33"/>
    <m/>
    <m/>
    <m/>
  </r>
  <r>
    <m/>
    <m/>
    <m/>
    <m/>
    <m/>
    <x v="1"/>
    <m/>
    <m/>
    <m/>
    <m/>
    <m/>
    <m/>
    <m/>
    <m/>
    <m/>
    <m/>
    <m/>
    <m/>
    <m/>
    <m/>
    <m/>
    <s v=""/>
    <m/>
    <m/>
    <m/>
    <m/>
    <m/>
    <n v="752"/>
    <e v="#N/A"/>
    <s v="1"/>
    <m/>
    <n v="1"/>
    <x v="33"/>
    <m/>
    <m/>
    <m/>
  </r>
  <r>
    <m/>
    <m/>
    <m/>
    <m/>
    <n v="87.44"/>
    <x v="10"/>
    <m/>
    <m/>
    <m/>
    <m/>
    <m/>
    <m/>
    <m/>
    <m/>
    <m/>
    <n v="62363114"/>
    <n v="5453030688.1599998"/>
    <m/>
    <m/>
    <m/>
    <m/>
    <s v=""/>
    <m/>
    <m/>
    <m/>
    <m/>
    <m/>
    <n v="753"/>
    <e v="#N/A"/>
    <s v="12014"/>
    <m/>
    <n v="1"/>
    <x v="33"/>
    <m/>
    <m/>
    <m/>
  </r>
  <r>
    <m/>
    <m/>
    <m/>
    <m/>
    <m/>
    <x v="1"/>
    <m/>
    <m/>
    <m/>
    <m/>
    <m/>
    <m/>
    <m/>
    <m/>
    <m/>
    <m/>
    <m/>
    <m/>
    <m/>
    <m/>
    <m/>
    <s v=""/>
    <m/>
    <m/>
    <m/>
    <m/>
    <m/>
    <n v="754"/>
    <e v="#N/A"/>
    <s v="1"/>
    <m/>
    <n v="1"/>
    <x v="33"/>
    <m/>
    <m/>
    <m/>
  </r>
  <r>
    <m/>
    <m/>
    <m/>
    <m/>
    <m/>
    <x v="1"/>
    <m/>
    <m/>
    <m/>
    <m/>
    <m/>
    <m/>
    <m/>
    <m/>
    <m/>
    <m/>
    <m/>
    <m/>
    <m/>
    <m/>
    <m/>
    <s v=""/>
    <m/>
    <m/>
    <m/>
    <m/>
    <m/>
    <n v="755"/>
    <e v="#N/A"/>
    <s v="1"/>
    <m/>
    <n v="1"/>
    <x v="33"/>
    <m/>
    <m/>
    <m/>
  </r>
  <r>
    <m/>
    <m/>
    <m/>
    <m/>
    <m/>
    <x v="1"/>
    <m/>
    <m/>
    <m/>
    <m/>
    <m/>
    <m/>
    <m/>
    <m/>
    <m/>
    <m/>
    <m/>
    <m/>
    <m/>
    <m/>
    <m/>
    <s v=""/>
    <m/>
    <m/>
    <m/>
    <m/>
    <m/>
    <n v="756"/>
    <e v="#N/A"/>
    <s v="1"/>
    <m/>
    <n v="1"/>
    <x v="33"/>
    <m/>
    <m/>
    <m/>
  </r>
  <r>
    <s v="Dassault Systemes"/>
    <s v="Editeur de Logiciels"/>
    <s v="France"/>
    <s v="Euro"/>
    <n v="40"/>
    <x v="0"/>
    <n v="5766600000"/>
    <m/>
    <n v="1115600000"/>
    <n v="955000000"/>
    <m/>
    <n v="7450000000"/>
    <m/>
    <m/>
    <m/>
    <n v="1333925960"/>
    <n v="53357038400"/>
    <m/>
    <m/>
    <m/>
    <m/>
    <s v=""/>
    <m/>
    <m/>
    <m/>
    <m/>
    <m/>
    <n v="757"/>
    <n v="0"/>
    <s v="FR0014003TT812023"/>
    <s v="FR0014003TT8"/>
    <n v="1"/>
    <x v="34"/>
    <m/>
    <m/>
    <m/>
  </r>
  <r>
    <m/>
    <m/>
    <m/>
    <m/>
    <m/>
    <x v="1"/>
    <m/>
    <m/>
    <m/>
    <m/>
    <m/>
    <m/>
    <m/>
    <m/>
    <m/>
    <m/>
    <m/>
    <m/>
    <m/>
    <m/>
    <m/>
    <s v=""/>
    <m/>
    <m/>
    <m/>
    <m/>
    <m/>
    <n v="758"/>
    <n v="0"/>
    <s v="FR0014003TT81"/>
    <s v="FR0014003TT8"/>
    <n v="1"/>
    <x v="34"/>
    <m/>
    <m/>
    <m/>
  </r>
  <r>
    <m/>
    <m/>
    <m/>
    <m/>
    <n v="33.5"/>
    <x v="2"/>
    <n v="5300000000"/>
    <n v="2000000000"/>
    <n v="1300000000"/>
    <n v="1000000000"/>
    <n v="0"/>
    <n v="6800000000"/>
    <n v="5.0977342100756475"/>
    <n v="0.10199999999999999"/>
    <n v="7.3999999999999996E-2"/>
    <n v="1333925960"/>
    <n v="44686519660"/>
    <n v="6.5715470088235293"/>
    <n v="22.343259830000001"/>
    <s v="A- / Stable"/>
    <n v="22306"/>
    <n v="237604.23204518962"/>
    <m/>
    <m/>
    <m/>
    <s v="Dassault Systèmes est un éditeur de logiciels spécialisé dans la conception 3D, le maquettisme numérique 3D et les solutions pour la gestion du cycle de vie d’un produit"/>
    <m/>
    <n v="759"/>
    <n v="0"/>
    <s v="FR0014003TT812022"/>
    <s v="FR0014003TT8"/>
    <n v="1"/>
    <x v="34"/>
    <m/>
    <m/>
    <m/>
  </r>
  <r>
    <m/>
    <m/>
    <m/>
    <m/>
    <m/>
    <x v="1"/>
    <n v="9.0310635671672523E-2"/>
    <n v="0.48170099273966516"/>
    <n v="0.27525995683735527"/>
    <n v="0.29232359782889628"/>
    <m/>
    <m/>
    <m/>
    <m/>
    <m/>
    <m/>
    <m/>
    <m/>
    <m/>
    <m/>
    <m/>
    <s v=""/>
    <m/>
    <m/>
    <m/>
    <s v="Présent dans 130 pays et 300 000 clients"/>
    <m/>
    <n v="760"/>
    <n v="0"/>
    <s v="FR0014003TT81"/>
    <s v="FR0014003TT8"/>
    <n v="1"/>
    <x v="34"/>
    <m/>
    <m/>
    <m/>
  </r>
  <r>
    <m/>
    <m/>
    <m/>
    <m/>
    <n v="52.7"/>
    <x v="3"/>
    <n v="4861000000"/>
    <n v="1666200000"/>
    <n v="1019400000"/>
    <n v="773800000"/>
    <n v="889000000"/>
    <n v="6197300000"/>
    <n v="4.6459100323679134"/>
    <n v="0.10199999999999999"/>
    <n v="7.3999999999999996E-2"/>
    <n v="1333925960"/>
    <s v="44 098 000 000"/>
    <n v="8.32"/>
    <n v="38.08"/>
    <m/>
    <n v="22306"/>
    <n v="217923.42867389941"/>
    <m/>
    <m/>
    <m/>
    <s v="Actionnariat : Flottant 49.64 %, Groupe Industriel Marcel Dassault : 40.70 %, Mr Edelstenne Charles 6.01 %, Mr Charlès Bernard 1.46 %, Autodétention 1.38 %, Dirigeants et Administrateurs 0.62 %, Autocontrôle 0.19 %"/>
    <m/>
    <n v="761"/>
    <n v="0"/>
    <s v="FR0014003TT812021"/>
    <s v="FR0014003TT8"/>
    <n v="1"/>
    <x v="34"/>
    <m/>
    <m/>
    <m/>
  </r>
  <r>
    <m/>
    <m/>
    <m/>
    <s v="Division du nomial par 5"/>
    <m/>
    <x v="1"/>
    <n v="9.1819774493508755E-2"/>
    <n v="0.2344050970514151"/>
    <n v="0.52217410780946683"/>
    <n v="0.59382080329557163"/>
    <m/>
    <m/>
    <m/>
    <m/>
    <m/>
    <m/>
    <m/>
    <m/>
    <m/>
    <m/>
    <m/>
    <s v=""/>
    <m/>
    <m/>
    <m/>
    <s v="La répartition géographique du CA est la suivante : Europe (41,6%), Amériques (32,3%) et Asie (26,1%)."/>
    <m/>
    <n v="762"/>
    <n v="0"/>
    <s v="FR0014003TT81"/>
    <s v="FR0014003TT8"/>
    <n v="1"/>
    <x v="34"/>
    <m/>
    <m/>
    <m/>
  </r>
  <r>
    <m/>
    <m/>
    <m/>
    <m/>
    <n v="166.15"/>
    <x v="4"/>
    <n v="4452200000"/>
    <n v="1349800000"/>
    <n v="669700000"/>
    <n v="485500000"/>
    <n v="2040000000"/>
    <n v="5061300000"/>
    <n v="19.510000000000002"/>
    <n v="9.3200000000000005E-2"/>
    <n v="6.6014673369664711E-2"/>
    <s v="  259 400 000   "/>
    <s v="43 060 400 000"/>
    <n v="8.5"/>
    <n v="39.72"/>
    <m/>
    <n v="21497"/>
    <n v="207107.96855375168"/>
    <m/>
    <m/>
    <m/>
    <s v="Le CA est constitué majoritairement des logiciels (88,1%) : logiciels d'optimisation des processus de production et logiciels de conception en 3D destinés aux marchés de la mécanique générale, de l'automobile, de l'aéronautique, des biens de consommation, de l'électricité et de l'électronique, et de la conception d'usines et de la construction navale ;"/>
    <m/>
    <n v="763"/>
    <n v="0"/>
    <s v="FR0014003TT812020"/>
    <s v="FR0014003TT8"/>
    <n v="1"/>
    <x v="34"/>
    <m/>
    <m/>
    <m/>
  </r>
  <r>
    <m/>
    <m/>
    <m/>
    <m/>
    <m/>
    <x v="1"/>
    <m/>
    <m/>
    <m/>
    <m/>
    <m/>
    <m/>
    <m/>
    <m/>
    <m/>
    <m/>
    <m/>
    <m/>
    <m/>
    <m/>
    <m/>
    <s v=""/>
    <m/>
    <m/>
    <m/>
    <s v="Ainsi que d’autres services (11,9%) : services de conseil technologique, d'assistance, de maintenance et de formation, et revente de matériel informatique."/>
    <m/>
    <n v="764"/>
    <n v="0"/>
    <s v="FR0014003TT81"/>
    <s v="FR0014003TT8"/>
    <n v="1"/>
    <x v="34"/>
    <m/>
    <m/>
    <m/>
  </r>
  <r>
    <m/>
    <m/>
    <m/>
    <m/>
    <n v="146.55000000000001"/>
    <x v="5"/>
    <s v="4 018 200 000   "/>
    <s v="  1 062 800 000   "/>
    <s v="  812 800 000   "/>
    <s v="  606 300 000   "/>
    <n v="2660000000"/>
    <s v="  5 208 700 000   "/>
    <s v="  20,08   "/>
    <s v="11,64 %"/>
    <s v="11,68 %"/>
    <s v="  259 400 000   "/>
    <s v="  38 015 070 000   "/>
    <s v="502 %"/>
    <n v="30.01"/>
    <m/>
    <m/>
    <s v=""/>
    <m/>
    <m/>
    <m/>
    <s v="12 Juin 2019 rachat de la société américaine  Medidata Solutions, pour 5,8 milliards de dollars. Acquisition fructueuse"/>
    <m/>
    <n v="765"/>
    <n v="0"/>
    <s v="FR0014003TT812019"/>
    <s v="FR0014003TT8"/>
    <n v="1"/>
    <x v="34"/>
    <m/>
    <m/>
    <m/>
  </r>
  <r>
    <m/>
    <m/>
    <m/>
    <m/>
    <m/>
    <x v="1"/>
    <s v="15,55 %"/>
    <s v="13,09 %"/>
    <s v="5,81 %"/>
    <s v="7,61 %"/>
    <m/>
    <m/>
    <m/>
    <m/>
    <m/>
    <m/>
    <m/>
    <m/>
    <m/>
    <m/>
    <m/>
    <s v=""/>
    <m/>
    <m/>
    <m/>
    <s v="Flux de trésorerie annuel opérationnel de 1,24 Md euros soit 25% du CA et 17,7% des capitaux employés. Création de valeur de 10% soit 700 M euros par an environ"/>
    <m/>
    <n v="766"/>
    <n v="0"/>
    <s v="FR0014003TT81"/>
    <s v="FR0014003TT8"/>
    <n v="1"/>
    <x v="34"/>
    <m/>
    <m/>
    <m/>
  </r>
  <r>
    <m/>
    <m/>
    <m/>
    <m/>
    <n v="88.59"/>
    <x v="6"/>
    <s v="3 477 400 000   "/>
    <s v="  939 800 000   "/>
    <s v="  768 200 000   "/>
    <s v="  563 400 000   "/>
    <s v="161 700 000"/>
    <s v="  4 561 900 000   "/>
    <s v="  17,65   "/>
    <s v="12,35 %"/>
    <s v="12,69 %"/>
    <s v="  258 400 000   "/>
    <s v="  22 891 656 000   "/>
    <s v="502 %"/>
    <n v="30.01"/>
    <m/>
    <m/>
    <s v=""/>
    <m/>
    <m/>
    <m/>
    <s v="2021 : nouvelle année de progression de l'activité et de la marge. Croissance annuelle de 10,6% de 2010 à 2022"/>
    <m/>
    <n v="767"/>
    <n v="0"/>
    <s v="FR0014003TT812018"/>
    <s v="FR0014003TT8"/>
    <n v="1"/>
    <x v="34"/>
    <m/>
    <m/>
    <m/>
  </r>
  <r>
    <m/>
    <m/>
    <m/>
    <m/>
    <m/>
    <x v="1"/>
    <s v="7,73 %"/>
    <s v="5,68 %"/>
    <s v="5,38 %"/>
    <s v="8,32 %"/>
    <m/>
    <m/>
    <m/>
    <m/>
    <m/>
    <m/>
    <m/>
    <m/>
    <m/>
    <m/>
    <m/>
    <s v=""/>
    <m/>
    <m/>
    <m/>
    <s v="2022, nouvelle année de progression"/>
    <m/>
    <n v="768"/>
    <n v="0"/>
    <s v="FR0014003TT81"/>
    <s v="FR0014003TT8"/>
    <n v="1"/>
    <x v="34"/>
    <m/>
    <m/>
    <m/>
  </r>
  <r>
    <m/>
    <m/>
    <m/>
    <m/>
    <n v="72.39"/>
    <x v="7"/>
    <s v="  3 228 008 000   "/>
    <s v="  889 305 000   "/>
    <s v="  729 005 000   "/>
    <s v="  520 144 000   "/>
    <s v="149 314 000"/>
    <s v="  3 996 047 000   "/>
    <s v="  15,47   "/>
    <s v="13,02 %"/>
    <s v="13,72 %"/>
    <s v="  258 300 000   "/>
    <s v="  18 698 337 000   "/>
    <s v="468 %"/>
    <n v="25.85"/>
    <m/>
    <m/>
    <s v=""/>
    <m/>
    <m/>
    <m/>
    <s v="Peu de minoritaires"/>
    <m/>
    <n v="769"/>
    <n v="0"/>
    <s v="FR0014003TT812017"/>
    <s v="FR0014003TT8"/>
    <n v="1"/>
    <x v="34"/>
    <m/>
    <m/>
    <m/>
  </r>
  <r>
    <m/>
    <m/>
    <m/>
    <m/>
    <m/>
    <x v="1"/>
    <s v="5,64 %"/>
    <s v="7,43 %"/>
    <s v="8,48 %"/>
    <s v="15,02 %"/>
    <m/>
    <m/>
    <m/>
    <m/>
    <m/>
    <m/>
    <m/>
    <m/>
    <m/>
    <m/>
    <m/>
    <s v=""/>
    <m/>
    <m/>
    <m/>
    <s v="CAC :"/>
    <m/>
    <n v="770"/>
    <n v="0"/>
    <s v="FR0014003TT81"/>
    <s v="FR0014003TT8"/>
    <n v="1"/>
    <x v="34"/>
    <m/>
    <m/>
    <m/>
  </r>
  <r>
    <m/>
    <m/>
    <m/>
    <m/>
    <n v="73.77"/>
    <x v="8"/>
    <s v="  3 055 586 000   "/>
    <s v="  827 834 000   "/>
    <s v="  672 034 000   "/>
    <s v="  452 207 000   "/>
    <s v="144 860 000"/>
    <s v="  3 882 831 000   "/>
    <s v="  15,08   "/>
    <s v="11,65 %"/>
    <s v="13,01 %"/>
    <s v="  257 400 000   "/>
    <s v="  18 988 398 000   "/>
    <s v="502 %"/>
    <n v="30.01"/>
    <m/>
    <m/>
    <s v=""/>
    <m/>
    <m/>
    <m/>
    <s v="Pay out ratio : "/>
    <m/>
    <n v="771"/>
    <n v="0"/>
    <s v="FR0014003TT812016"/>
    <s v="FR0014003TT8"/>
    <n v="1"/>
    <x v="34"/>
    <m/>
    <m/>
    <m/>
  </r>
  <r>
    <m/>
    <m/>
    <m/>
    <m/>
    <m/>
    <x v="1"/>
    <s v="7,61 %"/>
    <s v="4,42 %"/>
    <s v="6,13 %"/>
    <s v="11,39 %"/>
    <m/>
    <m/>
    <m/>
    <m/>
    <m/>
    <m/>
    <m/>
    <m/>
    <m/>
    <m/>
    <m/>
    <s v=""/>
    <m/>
    <m/>
    <m/>
    <m/>
    <m/>
    <n v="772"/>
    <n v="0"/>
    <s v="FR0014003TT81"/>
    <s v="FR0014003TT8"/>
    <n v="1"/>
    <x v="34"/>
    <m/>
    <m/>
    <m/>
  </r>
  <r>
    <m/>
    <m/>
    <m/>
    <m/>
    <n v="73.27"/>
    <x v="9"/>
    <s v="  2 839 455 000   "/>
    <s v="792 807 000"/>
    <s v="  633 207 000   "/>
    <s v="  405 951 000   "/>
    <s v="119 802 000"/>
    <s v="  3 487 698 000   "/>
    <s v="  13,59   "/>
    <s v="11,64 %"/>
    <s v="13,69 %"/>
    <s v="  256 600 000   "/>
    <s v="  18 801 082 000   "/>
    <s v="539 %"/>
    <n v="29.88"/>
    <m/>
    <m/>
    <s v=""/>
    <m/>
    <m/>
    <m/>
    <m/>
    <m/>
    <n v="773"/>
    <n v="0"/>
    <s v="FR0014003TT812015"/>
    <s v="FR0014003TT8"/>
    <n v="1"/>
    <x v="34"/>
    <m/>
    <m/>
    <m/>
  </r>
  <r>
    <m/>
    <m/>
    <m/>
    <m/>
    <m/>
    <x v="1"/>
    <s v="23,76 %"/>
    <s v="40,51 %"/>
    <s v="46,98 %"/>
    <s v="38,81 %"/>
    <m/>
    <m/>
    <m/>
    <m/>
    <m/>
    <m/>
    <m/>
    <m/>
    <m/>
    <m/>
    <m/>
    <s v=""/>
    <m/>
    <m/>
    <m/>
    <m/>
    <m/>
    <n v="774"/>
    <n v="0"/>
    <s v="FR0014003TT81"/>
    <s v="FR0014003TT8"/>
    <n v="1"/>
    <x v="34"/>
    <m/>
    <m/>
    <m/>
  </r>
  <r>
    <m/>
    <m/>
    <m/>
    <m/>
    <n v="50.52"/>
    <x v="10"/>
    <s v="  2 294 280 000   "/>
    <s v="564 216 000"/>
    <s v="  430 816 000   "/>
    <s v="  292 450 000   "/>
    <s v="130 327 000"/>
    <s v="  2 959 504 000   "/>
    <s v="  11,59   "/>
    <s v="9,88 %"/>
    <s v="10,88 %"/>
    <s v="  255 300 000   "/>
    <s v="  12 897 756 000   "/>
    <s v="436 %"/>
    <n v="30.24"/>
    <m/>
    <m/>
    <s v=""/>
    <m/>
    <m/>
    <m/>
    <m/>
    <m/>
    <n v="775"/>
    <n v="0"/>
    <s v="FR0014003TT812014"/>
    <s v="FR0014003TT8"/>
    <n v="1"/>
    <x v="34"/>
    <m/>
    <m/>
    <m/>
  </r>
  <r>
    <m/>
    <m/>
    <m/>
    <m/>
    <m/>
    <x v="1"/>
    <s v="10,83 %"/>
    <m/>
    <m/>
    <m/>
    <m/>
    <m/>
    <m/>
    <m/>
    <m/>
    <m/>
    <m/>
    <m/>
    <m/>
    <m/>
    <m/>
    <s v=""/>
    <m/>
    <m/>
    <m/>
    <m/>
    <m/>
    <n v="776"/>
    <n v="0"/>
    <s v="FR0014003TT81"/>
    <s v="FR0014003TT8"/>
    <n v="1"/>
    <x v="34"/>
    <m/>
    <m/>
    <m/>
  </r>
  <r>
    <m/>
    <m/>
    <m/>
    <m/>
    <n v="44.29"/>
    <x v="11"/>
    <s v="  2 070 000 000   "/>
    <m/>
    <m/>
    <m/>
    <m/>
    <m/>
    <m/>
    <m/>
    <m/>
    <m/>
    <s v="  11 400 000 000   "/>
    <m/>
    <m/>
    <m/>
    <m/>
    <s v=""/>
    <m/>
    <m/>
    <m/>
    <m/>
    <m/>
    <n v="777"/>
    <n v="0"/>
    <s v="FR0014003TT812013"/>
    <s v="FR0014003TT8"/>
    <n v="1"/>
    <x v="34"/>
    <m/>
    <m/>
    <m/>
  </r>
  <r>
    <m/>
    <m/>
    <m/>
    <m/>
    <m/>
    <x v="1"/>
    <s v="1,52 %"/>
    <m/>
    <m/>
    <m/>
    <m/>
    <m/>
    <m/>
    <m/>
    <m/>
    <m/>
    <m/>
    <m/>
    <m/>
    <m/>
    <m/>
    <s v=""/>
    <m/>
    <m/>
    <m/>
    <m/>
    <m/>
    <n v="778"/>
    <n v="0"/>
    <s v="FR0014003TT81"/>
    <s v="FR0014003TT8"/>
    <n v="1"/>
    <x v="34"/>
    <m/>
    <m/>
    <m/>
  </r>
  <r>
    <m/>
    <m/>
    <m/>
    <m/>
    <n v="42.22"/>
    <x v="12"/>
    <s v="  2 039 000 000   "/>
    <m/>
    <m/>
    <m/>
    <m/>
    <m/>
    <m/>
    <m/>
    <m/>
    <m/>
    <s v="  10 500 000 000   "/>
    <m/>
    <m/>
    <m/>
    <m/>
    <s v=""/>
    <m/>
    <m/>
    <m/>
    <m/>
    <m/>
    <n v="779"/>
    <n v="0"/>
    <s v="FR0014003TT812012"/>
    <s v="FR0014003TT8"/>
    <n v="1"/>
    <x v="34"/>
    <m/>
    <m/>
    <m/>
  </r>
  <r>
    <m/>
    <m/>
    <m/>
    <m/>
    <m/>
    <x v="1"/>
    <s v="13,66 %"/>
    <m/>
    <m/>
    <m/>
    <m/>
    <m/>
    <m/>
    <m/>
    <m/>
    <m/>
    <m/>
    <m/>
    <m/>
    <m/>
    <m/>
    <s v=""/>
    <m/>
    <m/>
    <m/>
    <m/>
    <m/>
    <n v="780"/>
    <n v="0"/>
    <s v="FR0014003TT81"/>
    <s v="FR0014003TT8"/>
    <n v="1"/>
    <x v="34"/>
    <m/>
    <m/>
    <m/>
  </r>
  <r>
    <m/>
    <m/>
    <m/>
    <m/>
    <n v="30.97"/>
    <x v="17"/>
    <s v="  1 794 000 000   "/>
    <m/>
    <m/>
    <m/>
    <m/>
    <m/>
    <m/>
    <m/>
    <m/>
    <m/>
    <s v="  7 560 000 000   "/>
    <m/>
    <m/>
    <m/>
    <m/>
    <s v=""/>
    <m/>
    <m/>
    <m/>
    <m/>
    <m/>
    <n v="781"/>
    <n v="0"/>
    <s v="FR0014003TT812011"/>
    <s v="FR0014003TT8"/>
    <n v="1"/>
    <x v="34"/>
    <m/>
    <m/>
    <m/>
  </r>
  <r>
    <m/>
    <m/>
    <m/>
    <m/>
    <m/>
    <x v="1"/>
    <s v="13,54 %"/>
    <m/>
    <m/>
    <m/>
    <m/>
    <m/>
    <m/>
    <m/>
    <m/>
    <m/>
    <m/>
    <m/>
    <m/>
    <m/>
    <m/>
    <s v=""/>
    <m/>
    <m/>
    <m/>
    <m/>
    <m/>
    <n v="782"/>
    <n v="0"/>
    <s v="FR0014003TT81"/>
    <s v="FR0014003TT8"/>
    <n v="1"/>
    <x v="34"/>
    <m/>
    <m/>
    <m/>
  </r>
  <r>
    <m/>
    <m/>
    <m/>
    <m/>
    <n v="28.21"/>
    <x v="18"/>
    <s v="  1 580 000 000   "/>
    <m/>
    <m/>
    <m/>
    <m/>
    <m/>
    <m/>
    <m/>
    <m/>
    <m/>
    <s v="  6 800 000 000   "/>
    <m/>
    <m/>
    <m/>
    <m/>
    <s v=""/>
    <m/>
    <m/>
    <m/>
    <m/>
    <m/>
    <n v="783"/>
    <n v="0"/>
    <s v="FR0014003TT812010"/>
    <s v="FR0014003TT8"/>
    <n v="1"/>
    <x v="34"/>
    <m/>
    <m/>
    <m/>
  </r>
  <r>
    <m/>
    <m/>
    <m/>
    <m/>
    <m/>
    <x v="1"/>
    <m/>
    <m/>
    <m/>
    <m/>
    <m/>
    <m/>
    <m/>
    <m/>
    <m/>
    <m/>
    <m/>
    <m/>
    <m/>
    <m/>
    <m/>
    <s v=""/>
    <m/>
    <m/>
    <m/>
    <m/>
    <m/>
    <n v="784"/>
    <n v="0"/>
    <s v="FR0014003TT81"/>
    <s v="FR0014003TT8"/>
    <n v="1"/>
    <x v="34"/>
    <m/>
    <m/>
    <m/>
  </r>
  <r>
    <m/>
    <m/>
    <m/>
    <m/>
    <m/>
    <x v="1"/>
    <m/>
    <m/>
    <m/>
    <m/>
    <m/>
    <m/>
    <m/>
    <m/>
    <m/>
    <m/>
    <m/>
    <m/>
    <m/>
    <m/>
    <m/>
    <s v=""/>
    <m/>
    <m/>
    <m/>
    <m/>
    <m/>
    <n v="785"/>
    <n v="0"/>
    <s v="FR0014003TT81"/>
    <s v="FR0014003TT8"/>
    <n v="1"/>
    <x v="34"/>
    <m/>
    <m/>
    <m/>
  </r>
  <r>
    <m/>
    <m/>
    <m/>
    <m/>
    <m/>
    <x v="1"/>
    <m/>
    <m/>
    <m/>
    <m/>
    <m/>
    <m/>
    <m/>
    <m/>
    <m/>
    <m/>
    <m/>
    <m/>
    <m/>
    <m/>
    <m/>
    <s v=""/>
    <m/>
    <m/>
    <m/>
    <m/>
    <m/>
    <n v="786"/>
    <n v="0"/>
    <s v="FR0014003TT81"/>
    <s v="FR0014003TT8"/>
    <n v="1"/>
    <x v="34"/>
    <m/>
    <m/>
    <m/>
  </r>
  <r>
    <s v="Adobe System"/>
    <s v="Logiciels"/>
    <s v="États-Unis"/>
    <s v="Dollar"/>
    <m/>
    <x v="0"/>
    <m/>
    <m/>
    <m/>
    <m/>
    <m/>
    <m/>
    <m/>
    <m/>
    <m/>
    <m/>
    <m/>
    <m/>
    <m/>
    <m/>
    <m/>
    <s v=""/>
    <m/>
    <m/>
    <m/>
    <m/>
    <m/>
    <n v="787"/>
    <n v="0"/>
    <s v="US00724F101212023"/>
    <s v="US00724F1012"/>
    <n v="1"/>
    <x v="35"/>
    <m/>
    <m/>
    <m/>
  </r>
  <r>
    <m/>
    <m/>
    <m/>
    <m/>
    <m/>
    <x v="1"/>
    <m/>
    <m/>
    <m/>
    <m/>
    <m/>
    <m/>
    <m/>
    <m/>
    <m/>
    <m/>
    <m/>
    <m/>
    <m/>
    <m/>
    <m/>
    <s v=""/>
    <m/>
    <m/>
    <m/>
    <m/>
    <m/>
    <n v="788"/>
    <n v="0"/>
    <s v="US00724F10121"/>
    <s v="US00724F1012"/>
    <n v="1"/>
    <x v="35"/>
    <m/>
    <m/>
    <m/>
  </r>
  <r>
    <m/>
    <m/>
    <m/>
    <m/>
    <n v="336.53"/>
    <x v="2"/>
    <n v="17900000000"/>
    <m/>
    <n v="6444000000"/>
    <n v="5200000000"/>
    <n v="300000000"/>
    <n v="16000000000"/>
    <n v="33.826638477801268"/>
    <n v="0.32500000000000001"/>
    <n v="0.27673619631901841"/>
    <n v="473000000"/>
    <n v="159178690000"/>
    <n v="9.9486681249999993"/>
    <m/>
    <m/>
    <m/>
    <s v=""/>
    <m/>
    <m/>
    <m/>
    <s v="Fondée en 1982 par John Warnock et Charles Gechke, Adobe est une entreprise informatique éditant des logiciels graphique, de montage vidéo et audio. "/>
    <m/>
    <n v="789"/>
    <n v="0"/>
    <s v="US00724F101212022"/>
    <s v="US00724F1012"/>
    <n v="1"/>
    <x v="35"/>
    <m/>
    <m/>
    <m/>
  </r>
  <r>
    <m/>
    <m/>
    <m/>
    <m/>
    <m/>
    <x v="1"/>
    <n v="0.13398796325625595"/>
    <m/>
    <n v="0.11065149948293684"/>
    <n v="7.839070924927416E-2"/>
    <m/>
    <m/>
    <m/>
    <m/>
    <m/>
    <m/>
    <m/>
    <m/>
    <m/>
    <m/>
    <m/>
    <s v=""/>
    <m/>
    <m/>
    <m/>
    <s v="Actionnaires : The Vanguard group (7.55%) Fidelity Management &amp; Research (5.33%), Black Rock Fund Advisor (5.27%), SSgA Funds management (4%)"/>
    <m/>
    <n v="790"/>
    <n v="0"/>
    <s v="US00724F10121"/>
    <s v="US00724F1012"/>
    <n v="1"/>
    <x v="35"/>
    <m/>
    <m/>
    <m/>
  </r>
  <r>
    <m/>
    <m/>
    <m/>
    <m/>
    <n v="567.05999999999995"/>
    <x v="3"/>
    <n v="15785000000"/>
    <m/>
    <n v="5802000000"/>
    <n v="4822000000"/>
    <n v="279000000"/>
    <n v="14797000000"/>
    <n v="30.762993762993762"/>
    <n v="0.3258768669324863"/>
    <n v="0.26939506500397981"/>
    <n v="481000000"/>
    <n v="272755859999.99997"/>
    <n v="18.433186456714196"/>
    <m/>
    <m/>
    <n v="22516"/>
    <n v="701057.02611476288"/>
    <m/>
    <m/>
    <m/>
    <s v="Direction : John Warnock (Co-fondateur et ancien PDG), Shantanu Narayen (PDG), Frank Calderoni (Lead director)"/>
    <m/>
    <n v="791"/>
    <n v="0"/>
    <s v="US00724F101212021"/>
    <s v="US00724F1012"/>
    <n v="1"/>
    <x v="35"/>
    <m/>
    <m/>
    <m/>
  </r>
  <r>
    <m/>
    <m/>
    <m/>
    <m/>
    <m/>
    <x v="1"/>
    <n v="0.22668635374572577"/>
    <m/>
    <n v="0.38936781609195403"/>
    <n v="-8.326996197718628E-2"/>
    <m/>
    <m/>
    <m/>
    <m/>
    <m/>
    <m/>
    <m/>
    <m/>
    <m/>
    <m/>
    <m/>
    <s v=""/>
    <m/>
    <m/>
    <m/>
    <s v="90% des professionnels de la creation utilisent photoshop, 376 millions de téléchargements des app Adobe, + 1000 milliard de visites analysés sur site commerçant et retail"/>
    <m/>
    <n v="792"/>
    <n v="0"/>
    <s v="US00724F10121"/>
    <s v="US00724F1012"/>
    <n v="1"/>
    <x v="35"/>
    <m/>
    <m/>
    <m/>
  </r>
  <r>
    <m/>
    <m/>
    <m/>
    <m/>
    <n v="500.1"/>
    <x v="4"/>
    <n v="12868000000"/>
    <m/>
    <n v="4176000000"/>
    <n v="5260000000"/>
    <n v="-361000000"/>
    <n v="13264000000"/>
    <n v="27.461697722567287"/>
    <n v="0.39656212303980698"/>
    <n v="0.22655196465938154"/>
    <n v="483000000"/>
    <n v="241548300000"/>
    <n v="18.210818757539204"/>
    <m/>
    <m/>
    <m/>
    <s v=""/>
    <m/>
    <m/>
    <m/>
    <s v="Répartition de l'activité : Abonnement 90%, Produits 4%, Service : 6%"/>
    <m/>
    <n v="793"/>
    <n v="0"/>
    <s v="US00724F101212020"/>
    <s v="US00724F1012"/>
    <n v="1"/>
    <x v="35"/>
    <m/>
    <m/>
    <m/>
  </r>
  <r>
    <m/>
    <m/>
    <m/>
    <m/>
    <m/>
    <x v="1"/>
    <n v="0.151911198639334"/>
    <m/>
    <n v="0.30296411856474248"/>
    <n v="0.78244662826160627"/>
    <m/>
    <m/>
    <m/>
    <m/>
    <m/>
    <m/>
    <m/>
    <m/>
    <m/>
    <m/>
    <m/>
    <s v=""/>
    <m/>
    <m/>
    <m/>
    <s v="Répartition géographique : Amerique 58%, EMEA 26% et APAC 16%"/>
    <m/>
    <n v="794"/>
    <n v="0"/>
    <s v="US00724F10121"/>
    <s v="US00724F1012"/>
    <n v="1"/>
    <x v="35"/>
    <m/>
    <m/>
    <m/>
  </r>
  <r>
    <m/>
    <m/>
    <m/>
    <m/>
    <n v="330.8"/>
    <x v="5"/>
    <n v="11171000000"/>
    <m/>
    <n v="3205000000"/>
    <n v="2951000000"/>
    <m/>
    <n v="10530000000"/>
    <n v="21.666666666666668"/>
    <n v="0.28024691358024689"/>
    <n v="0.21305792972459639"/>
    <n v="486000000"/>
    <n v="160768800000"/>
    <n v="15.267692307692307"/>
    <m/>
    <m/>
    <m/>
    <s v=""/>
    <m/>
    <m/>
    <m/>
    <s v="Concurrence : Microsoft, Autodesk, IBM, Salesforce, SAP, Oracle, Google"/>
    <m/>
    <n v="795"/>
    <n v="0"/>
    <s v="US00724F101212019"/>
    <s v="US00724F1012"/>
    <n v="1"/>
    <x v="35"/>
    <m/>
    <m/>
    <m/>
  </r>
  <r>
    <m/>
    <m/>
    <m/>
    <m/>
    <m/>
    <x v="1"/>
    <n v="0.23709856035437427"/>
    <m/>
    <n v="0.14710093056549756"/>
    <n v="0.13894249324585095"/>
    <m/>
    <m/>
    <m/>
    <m/>
    <m/>
    <m/>
    <m/>
    <m/>
    <m/>
    <m/>
    <m/>
    <s v=""/>
    <m/>
    <m/>
    <m/>
    <s v="2021, excellente année avec une croissance de 20% de l'activité et rentabilité à l'avenant. Rachat de 7 millions de titres soit 3,5 Md $"/>
    <m/>
    <n v="796"/>
    <n v="0"/>
    <s v="US00724F10121"/>
    <s v="US00724F1012"/>
    <n v="1"/>
    <x v="35"/>
    <m/>
    <m/>
    <m/>
  </r>
  <r>
    <m/>
    <m/>
    <m/>
    <m/>
    <n v="223.1"/>
    <x v="6"/>
    <n v="9030000000"/>
    <m/>
    <n v="2794000000"/>
    <n v="2591000000"/>
    <m/>
    <n v="9362100000"/>
    <n v="18.913333333333334"/>
    <n v="0.27675414703965989"/>
    <n v="0.20890612148983664"/>
    <n v="495000000"/>
    <n v="110434500000"/>
    <n v="11.795911173775115"/>
    <m/>
    <m/>
    <m/>
    <s v=""/>
    <m/>
    <m/>
    <m/>
    <s v="2022, croissance de 19% du CA. EPS à 10,25$. Impact de la guerre en Ukraine, fin des activités en Russie et Bélarus pert de CA : 75 M $ et dépréciatin d'actifs : 87 M $"/>
    <m/>
    <n v="797"/>
    <n v="0"/>
    <s v="US00724F101212018"/>
    <s v="US00724F1012"/>
    <n v="1"/>
    <x v="35"/>
    <m/>
    <m/>
    <m/>
  </r>
  <r>
    <m/>
    <m/>
    <m/>
    <m/>
    <m/>
    <x v="1"/>
    <n v="0.23664749383730488"/>
    <m/>
    <n v="0.3068288119738074"/>
    <n v="0.55709134615384626"/>
    <m/>
    <m/>
    <m/>
    <m/>
    <m/>
    <m/>
    <m/>
    <m/>
    <m/>
    <m/>
    <m/>
    <s v=""/>
    <m/>
    <m/>
    <m/>
    <s v="La croissance sera peut-être un peu plus faible"/>
    <m/>
    <n v="798"/>
    <n v="0"/>
    <s v="US00724F10121"/>
    <s v="US00724F1012"/>
    <n v="1"/>
    <x v="35"/>
    <m/>
    <m/>
    <m/>
  </r>
  <r>
    <m/>
    <m/>
    <m/>
    <m/>
    <n v="175.2"/>
    <x v="7"/>
    <n v="7302000000"/>
    <m/>
    <n v="2138000000"/>
    <n v="1664000000"/>
    <m/>
    <n v="8459900000"/>
    <n v="17.16004056795132"/>
    <n v="0.1966926323006182"/>
    <n v="0.17690516436364495"/>
    <n v="493000000"/>
    <n v="86373600000"/>
    <n v="10.209766072885023"/>
    <m/>
    <m/>
    <m/>
    <s v=""/>
    <m/>
    <m/>
    <m/>
    <s v="Création de valeur à 33% des capitaux engagés (5Md $ par an sur 15 Md $ de Fonds Propres) soit 257 Md $ de création de valeur ajoutées aux fonds propres soit 50 années de création de valeur"/>
    <m/>
    <n v="799"/>
    <n v="0"/>
    <s v="US00724F101212017"/>
    <s v="US00724F1012"/>
    <n v="1"/>
    <x v="35"/>
    <m/>
    <m/>
    <m/>
  </r>
  <r>
    <m/>
    <m/>
    <m/>
    <m/>
    <m/>
    <x v="1"/>
    <n v="0.245225102319236"/>
    <m/>
    <n v="0.48989547038327519"/>
    <n v="0.42343883661248927"/>
    <m/>
    <m/>
    <m/>
    <m/>
    <m/>
    <m/>
    <m/>
    <m/>
    <m/>
    <m/>
    <m/>
    <s v=""/>
    <m/>
    <m/>
    <m/>
    <s v="Taux IS : 17,5%"/>
    <m/>
    <n v="800"/>
    <n v="0"/>
    <s v="US00724F10121"/>
    <s v="US00724F1012"/>
    <n v="1"/>
    <x v="35"/>
    <m/>
    <m/>
    <m/>
  </r>
  <r>
    <m/>
    <m/>
    <m/>
    <m/>
    <n v="102.9"/>
    <x v="8"/>
    <n v="5864000000"/>
    <m/>
    <n v="1435000000"/>
    <n v="1169000000"/>
    <m/>
    <n v="7424835000"/>
    <n v="14.93930583501006"/>
    <n v="0.15744457620943766"/>
    <n v="0.13528920171290001"/>
    <n v="497000000"/>
    <n v="51141300000"/>
    <n v="6.8878702355001824"/>
    <m/>
    <m/>
    <m/>
    <s v=""/>
    <m/>
    <m/>
    <m/>
    <s v="CA par salarié : 571 K (env. 400 K en 2006)"/>
    <m/>
    <n v="801"/>
    <n v="0"/>
    <s v="US00724F101212016"/>
    <s v="US00724F1012"/>
    <n v="1"/>
    <x v="35"/>
    <m/>
    <m/>
    <m/>
  </r>
  <r>
    <m/>
    <m/>
    <m/>
    <m/>
    <m/>
    <x v="1"/>
    <m/>
    <m/>
    <m/>
    <m/>
    <m/>
    <m/>
    <m/>
    <m/>
    <m/>
    <m/>
    <m/>
    <m/>
    <m/>
    <m/>
    <m/>
    <s v=""/>
    <m/>
    <m/>
    <m/>
    <s v="Minoritaire : "/>
    <m/>
    <n v="802"/>
    <n v="0"/>
    <s v="US00724F10121"/>
    <s v="US00724F1012"/>
    <n v="1"/>
    <x v="35"/>
    <m/>
    <m/>
    <m/>
  </r>
  <r>
    <m/>
    <m/>
    <m/>
    <m/>
    <n v="30.78"/>
    <x v="18"/>
    <n v="3800000000"/>
    <m/>
    <n v="943151000"/>
    <n v="774680000"/>
    <m/>
    <n v="5192387000"/>
    <n v="10.004599229287091"/>
    <n v="0.14919535080878987"/>
    <n v="0.12714878532744189"/>
    <n v="519000000"/>
    <n v="15974820000"/>
    <n v="3.0765850080126924"/>
    <m/>
    <m/>
    <m/>
    <s v=""/>
    <m/>
    <m/>
    <m/>
    <s v="CAC : KPMG"/>
    <m/>
    <n v="803"/>
    <n v="0"/>
    <s v="US00724F101212010"/>
    <s v="US00724F1012"/>
    <n v="1"/>
    <x v="35"/>
    <m/>
    <m/>
    <m/>
  </r>
  <r>
    <m/>
    <m/>
    <m/>
    <m/>
    <m/>
    <x v="1"/>
    <m/>
    <m/>
    <m/>
    <m/>
    <m/>
    <m/>
    <m/>
    <m/>
    <m/>
    <m/>
    <m/>
    <m/>
    <m/>
    <m/>
    <m/>
    <s v=""/>
    <m/>
    <m/>
    <m/>
    <s v="Pay-out ratio : 0 %. Pas de versement de dividendes mais rachat d'actions importants"/>
    <m/>
    <n v="804"/>
    <n v="0"/>
    <s v="US00724F10121"/>
    <s v="US00724F1012"/>
    <n v="1"/>
    <x v="35"/>
    <m/>
    <m/>
    <m/>
  </r>
  <r>
    <m/>
    <m/>
    <m/>
    <m/>
    <m/>
    <x v="1"/>
    <m/>
    <m/>
    <m/>
    <m/>
    <m/>
    <m/>
    <m/>
    <m/>
    <m/>
    <m/>
    <m/>
    <m/>
    <m/>
    <m/>
    <m/>
    <s v=""/>
    <m/>
    <m/>
    <m/>
    <m/>
    <m/>
    <n v="805"/>
    <n v="0"/>
    <s v="US00724F10121"/>
    <s v="US00724F1012"/>
    <n v="1"/>
    <x v="35"/>
    <m/>
    <m/>
    <m/>
  </r>
  <r>
    <m/>
    <m/>
    <m/>
    <m/>
    <m/>
    <x v="1"/>
    <m/>
    <m/>
    <m/>
    <m/>
    <m/>
    <m/>
    <m/>
    <m/>
    <m/>
    <m/>
    <m/>
    <m/>
    <m/>
    <m/>
    <m/>
    <s v=""/>
    <m/>
    <m/>
    <m/>
    <m/>
    <m/>
    <n v="806"/>
    <n v="0"/>
    <s v="US00724F10121"/>
    <s v="US00724F1012"/>
    <n v="1"/>
    <x v="35"/>
    <m/>
    <m/>
    <m/>
  </r>
  <r>
    <m/>
    <m/>
    <m/>
    <m/>
    <m/>
    <x v="1"/>
    <m/>
    <m/>
    <m/>
    <m/>
    <m/>
    <m/>
    <m/>
    <m/>
    <m/>
    <m/>
    <m/>
    <m/>
    <m/>
    <m/>
    <m/>
    <s v=""/>
    <m/>
    <m/>
    <m/>
    <m/>
    <m/>
    <n v="807"/>
    <n v="0"/>
    <s v="US00724F10121"/>
    <s v="US00724F1012"/>
    <n v="1"/>
    <x v="35"/>
    <m/>
    <m/>
    <m/>
  </r>
  <r>
    <s v="Amadeus"/>
    <s v="Logiciels de réservation"/>
    <s v="Espagne"/>
    <s v="Euro"/>
    <n v="70"/>
    <x v="0"/>
    <n v="5607375000"/>
    <n v="2300000000"/>
    <n v="1350000000"/>
    <n v="1100000000"/>
    <n v="1800000000"/>
    <n v="5250000000"/>
    <n v="11.653738656431146"/>
    <n v="0.25"/>
    <n v="0.14318181818181816"/>
    <n v="450499205"/>
    <n v="31534944350"/>
    <n v="6.0066560666666664"/>
    <n v="14.49345406521739"/>
    <s v="BBB- / Stable (05/2022)"/>
    <n v="15936"/>
    <n v="351868.41114457831"/>
    <n v="1050000000"/>
    <m/>
    <m/>
    <s v="Création en 1987"/>
    <m/>
    <n v="808"/>
    <s v="p"/>
    <s v="ES0109067019 12023"/>
    <s v="ES0109067019 "/>
    <n v="1"/>
    <x v="36"/>
    <m/>
    <m/>
    <m/>
  </r>
  <r>
    <m/>
    <m/>
    <m/>
    <m/>
    <m/>
    <x v="1"/>
    <n v="0.25"/>
    <n v="0.40218252758641704"/>
    <n v="0.40230601433468371"/>
    <n v="0.65587836820713541"/>
    <m/>
    <m/>
    <m/>
    <m/>
    <m/>
    <m/>
    <m/>
    <m/>
    <m/>
    <m/>
    <m/>
    <s v=""/>
    <m/>
    <m/>
    <m/>
    <s v="CEO Luis Maroto 57 ans, espagnol, préside depuis 2011, CFO en 2003 (depuis 2000)Président depuis juin 2021 William Connelly (64 ans) en remplacement de José Antonio Tazon (205 000 actions au 31-12-2020) //"/>
    <m/>
    <n v="809"/>
    <s v="p"/>
    <s v="ES0109067019 1"/>
    <s v="ES0109067019 "/>
    <n v="1"/>
    <x v="36"/>
    <m/>
    <m/>
    <m/>
  </r>
  <r>
    <m/>
    <m/>
    <m/>
    <m/>
    <n v="48.55"/>
    <x v="2"/>
    <n v="4485900000"/>
    <n v="1640300000"/>
    <n v="962700000"/>
    <n v="664300000"/>
    <n v="2200000000"/>
    <n v="4400000000"/>
    <n v="9.7669428739613426"/>
    <n v="0.17736896910794864"/>
    <n v="9.9188990285546064E-2"/>
    <n v="450499205"/>
    <n v="21871736402.75"/>
    <n v="4.9708491824431817"/>
    <n v="14.675203562000853"/>
    <m/>
    <n v="15936"/>
    <n v="281494.72891566268"/>
    <n v="800000000"/>
    <m/>
    <m/>
    <s v="Actionnaires : 99,88 % Flottant"/>
    <m/>
    <n v="810"/>
    <s v="p"/>
    <s v="ES0109067019 12022"/>
    <s v="ES0109067019 "/>
    <n v="1"/>
    <x v="36"/>
    <m/>
    <m/>
    <m/>
  </r>
  <r>
    <m/>
    <m/>
    <m/>
    <m/>
    <m/>
    <x v="1"/>
    <n v="0.68011235955056182"/>
    <n v="1.7388545667056268"/>
    <n v="-12.598795180722892"/>
    <n v="-5.6650280898876408"/>
    <m/>
    <m/>
    <m/>
    <m/>
    <m/>
    <m/>
    <m/>
    <m/>
    <m/>
    <m/>
    <m/>
    <s v=""/>
    <m/>
    <m/>
    <m/>
    <s v="En 1999, première IPO"/>
    <m/>
    <n v="811"/>
    <s v="p"/>
    <s v="ES0109067019 1"/>
    <s v="ES0109067019 "/>
    <n v="1"/>
    <x v="36"/>
    <m/>
    <m/>
    <m/>
  </r>
  <r>
    <m/>
    <m/>
    <m/>
    <m/>
    <n v="60.54"/>
    <x v="3"/>
    <n v="2670000000"/>
    <n v="598900000"/>
    <n v="-83000000"/>
    <n v="-142400000"/>
    <n v="3048700000"/>
    <n v="3745300000"/>
    <n v="8.3222833410590304"/>
    <n v="-3.8026062807092503E-2"/>
    <n v="-8.5206857612154813E-3"/>
    <n v="450032743"/>
    <n v="27244982261.220001"/>
    <n v="7.2744459085306925"/>
    <n v="50.582204476907663"/>
    <m/>
    <n v="15936"/>
    <n v="167545.18072289156"/>
    <n v="99200000"/>
    <m/>
    <m/>
    <s v="Rachat en 2005 par Cinven et un autre fonds"/>
    <m/>
    <n v="812"/>
    <s v="p"/>
    <s v="ES0109067019 12021"/>
    <s v="ES0109067019 "/>
    <n v="1"/>
    <x v="36"/>
    <m/>
    <m/>
    <m/>
  </r>
  <r>
    <m/>
    <m/>
    <m/>
    <m/>
    <m/>
    <x v="1"/>
    <n v="0.2281508739650413"/>
    <n v="9.2201365187713318"/>
    <n v="-0.89231966787752981"/>
    <n v="-0.77263292351908031"/>
    <m/>
    <m/>
    <m/>
    <m/>
    <m/>
    <m/>
    <m/>
    <m/>
    <m/>
    <m/>
    <m/>
    <s v=""/>
    <m/>
    <m/>
    <m/>
    <s v="En 2007 124 millions de passagers (le Métier Distribution représentait 85 % du CA)"/>
    <m/>
    <n v="813"/>
    <s v="p"/>
    <s v="ES0109067019 1"/>
    <s v="ES0109067019 "/>
    <n v="1"/>
    <x v="36"/>
    <m/>
    <m/>
    <m/>
  </r>
  <r>
    <m/>
    <m/>
    <m/>
    <m/>
    <n v="52.54"/>
    <x v="4"/>
    <n v="2174000000"/>
    <n v="58600000"/>
    <n v="-770800000"/>
    <n v="-626300000"/>
    <n v="3073900000"/>
    <n v="3744800000"/>
    <n v="8.4113681950193957"/>
    <n v="-0.16557832121612689"/>
    <n v="-7.9438179087777158E-2"/>
    <n v="445207000"/>
    <n v="23391175780"/>
    <n v="6.2463084223456526"/>
    <n v="451.62245358361776"/>
    <m/>
    <n v="16550"/>
    <n v="131359.51661631421"/>
    <n v="-541900000"/>
    <m/>
    <m/>
    <s v="En 2007, 2008, 2009 fonds propres négatifs, et l'EBE est stable sur cette période. REX : 281 millions"/>
    <m/>
    <n v="814"/>
    <s v="p"/>
    <s v="ES0109067019 12020"/>
    <s v="ES0109067019 "/>
    <n v="1"/>
    <x v="36"/>
    <m/>
    <m/>
    <m/>
  </r>
  <r>
    <m/>
    <m/>
    <m/>
    <m/>
    <m/>
    <x v="1"/>
    <n v="-0.6097018006858046"/>
    <n v="-0.97393934003379878"/>
    <n v="-1.5224345940084045"/>
    <n v="-1.5626122888968739"/>
    <m/>
    <m/>
    <m/>
    <m/>
    <m/>
    <m/>
    <m/>
    <m/>
    <m/>
    <m/>
    <m/>
    <s v=""/>
    <m/>
    <m/>
    <m/>
    <s v="En 2010 deuxième IPO"/>
    <m/>
    <n v="815"/>
    <s v="p"/>
    <s v="ES0109067019 1"/>
    <s v="ES0109067019 "/>
    <n v="1"/>
    <x v="36"/>
    <m/>
    <m/>
    <m/>
  </r>
  <r>
    <m/>
    <m/>
    <m/>
    <m/>
    <n v="70.819999999999993"/>
    <x v="5"/>
    <n v="5570100000"/>
    <n v="2248600000"/>
    <n v="1475400000"/>
    <n v="1113200000"/>
    <n v="3009700000"/>
    <n v="3782500000"/>
    <n v="8.7756189608197168"/>
    <n v="0.35053688950467615"/>
    <n v="0.1589356888936766"/>
    <n v="431023728"/>
    <n v="30525100416.959995"/>
    <n v="8.0700860322432248"/>
    <n v="14.913635336191406"/>
    <m/>
    <n v="19402"/>
    <n v="287088.95990104112"/>
    <n v="1044800000"/>
    <m/>
    <m/>
    <s v="En 2011, 439 millions de passagers 138 Million de réservations et  40 % de part de marché mondiale en agence de voyages"/>
    <m/>
    <n v="816"/>
    <s v="p"/>
    <s v="ES0109067019 12019"/>
    <s v="ES0109067019 "/>
    <n v="1"/>
    <x v="36"/>
    <m/>
    <m/>
    <m/>
  </r>
  <r>
    <m/>
    <m/>
    <m/>
    <m/>
    <m/>
    <x v="1"/>
    <n v="0.12853293352513329"/>
    <n v="0.10861312429127845"/>
    <n v="5.9304997128087233E-2"/>
    <n v="0.11042394014962587"/>
    <m/>
    <m/>
    <m/>
    <m/>
    <m/>
    <m/>
    <m/>
    <m/>
    <m/>
    <m/>
    <m/>
    <s v=""/>
    <m/>
    <m/>
    <m/>
    <s v="En 2014, 40 % de part de marché"/>
    <m/>
    <n v="817"/>
    <s v="p"/>
    <s v="ES0109067019 1"/>
    <s v="ES0109067019 "/>
    <n v="1"/>
    <x v="36"/>
    <m/>
    <m/>
    <m/>
  </r>
  <r>
    <m/>
    <m/>
    <m/>
    <m/>
    <n v="63.48"/>
    <x v="6"/>
    <n v="4935700000"/>
    <n v="2028300000"/>
    <n v="1392800000"/>
    <n v="1002500000"/>
    <n v="3322400000"/>
    <n v="3175700000"/>
    <n v="7.3749173253700357"/>
    <n v="0.38031107738998482"/>
    <n v="0.23170853435368488"/>
    <n v="430608217"/>
    <n v="27335009615.16"/>
    <n v="8.6075541188273448"/>
    <n v="15.114829963595129"/>
    <m/>
    <n v="17598"/>
    <n v="280469.37151949084"/>
    <n v="988900000"/>
    <m/>
    <m/>
    <s v="En 2018, acquisition de Travelclick à hauteur 100 %. Investissement : 1,520 Mds de $  valorisé 17,6x l'EBITDA"/>
    <m/>
    <n v="818"/>
    <s v="p"/>
    <s v="ES0109067019 12018"/>
    <s v="ES0109067019 "/>
    <n v="1"/>
    <x v="36"/>
    <m/>
    <m/>
    <m/>
  </r>
  <r>
    <m/>
    <m/>
    <m/>
    <m/>
    <m/>
    <x v="1"/>
    <n v="1.7103880314051967E-2"/>
    <n v="7.9055168377932583E-2"/>
    <n v="5.259975816203144E-2"/>
    <n v="-3.9884335427264883E-4"/>
    <m/>
    <m/>
    <m/>
    <m/>
    <m/>
    <m/>
    <m/>
    <m/>
    <m/>
    <m/>
    <m/>
    <s v=""/>
    <m/>
    <m/>
    <m/>
    <s v="En 2018 : 1854 million de passagers"/>
    <m/>
    <n v="819"/>
    <s v="p"/>
    <s v="ES0109067019 1"/>
    <s v="ES0109067019 "/>
    <n v="1"/>
    <x v="36"/>
    <m/>
    <m/>
    <m/>
  </r>
  <r>
    <m/>
    <m/>
    <m/>
    <m/>
    <n v="62.48"/>
    <x v="7"/>
    <n v="4852700000"/>
    <n v="1879700000"/>
    <n v="1323200000"/>
    <n v="1002900000"/>
    <n v="1571700000"/>
    <n v="2636000000"/>
    <n v="6.021657122850308"/>
    <n v="0.36658381460633088"/>
    <n v="0.19800337758395861"/>
    <n v="437753254"/>
    <n v="27350823309.919998"/>
    <n v="10.375881377056144"/>
    <n v="15.38677624616694"/>
    <m/>
    <n v="14963"/>
    <n v="324313.30615518277"/>
    <n v="917600000"/>
    <m/>
    <m/>
    <s v="En 2019:  1993 million de passagers"/>
    <m/>
    <n v="820"/>
    <s v="p"/>
    <s v="ES0109067019 12017"/>
    <s v="ES0109067019 "/>
    <n v="1"/>
    <x v="36"/>
    <m/>
    <m/>
    <m/>
  </r>
  <r>
    <m/>
    <m/>
    <m/>
    <m/>
    <m/>
    <x v="1"/>
    <n v="8.4911355049296811E-2"/>
    <n v="9.8340539908846614E-2"/>
    <n v="9.147900684649013E-2"/>
    <n v="0.21490006056935185"/>
    <m/>
    <m/>
    <m/>
    <m/>
    <m/>
    <m/>
    <m/>
    <m/>
    <m/>
    <m/>
    <m/>
    <s v=""/>
    <m/>
    <m/>
    <m/>
    <s v="En 2020, frappée par la crise du Covid-19, l'activité s'effondre mais le flux de trésorerie de la société reste légèrement positif"/>
    <m/>
    <n v="821"/>
    <s v="p"/>
    <s v="ES0109067019 1"/>
    <s v="ES0109067019 "/>
    <n v="1"/>
    <x v="36"/>
    <m/>
    <m/>
    <m/>
  </r>
  <r>
    <m/>
    <m/>
    <m/>
    <m/>
    <n v="42.74"/>
    <x v="8"/>
    <n v="4472900000"/>
    <n v="1711400000"/>
    <n v="1212300000"/>
    <n v="825500000"/>
    <n v="1942100000"/>
    <n v="2735800000"/>
    <n v="6.2560994425551959"/>
    <n v="0.363516585912114"/>
    <n v="0.21859622486759062"/>
    <n v="437301233"/>
    <n v="18690254698.420002"/>
    <n v="6.8317328380802698"/>
    <n v="12.055834228362745"/>
    <m/>
    <n v="13881"/>
    <n v="322231.82767812116"/>
    <n v="811000000"/>
    <m/>
    <m/>
    <s v="En décembre 2021, 80 % de l'activité de 2019 en amérique"/>
    <m/>
    <n v="822"/>
    <s v="p"/>
    <s v="ES0109067019 12016"/>
    <s v="ES0109067019 "/>
    <n v="1"/>
    <x v="36"/>
    <m/>
    <m/>
    <m/>
  </r>
  <r>
    <m/>
    <m/>
    <m/>
    <m/>
    <m/>
    <x v="1"/>
    <n v="0.14317420544677306"/>
    <n v="0.15977818242685982"/>
    <n v="0.15128751798441598"/>
    <n v="0.20351592854424871"/>
    <m/>
    <m/>
    <m/>
    <m/>
    <m/>
    <m/>
    <m/>
    <m/>
    <m/>
    <m/>
    <m/>
    <s v=""/>
    <m/>
    <m/>
    <m/>
    <s v="Répartition CA : Air Distribution : 50 %. IT Solutions :  35% Hospitality : 15%"/>
    <m/>
    <n v="823"/>
    <s v="p"/>
    <s v="ES0109067019 1"/>
    <s v="ES0109067019 "/>
    <n v="1"/>
    <x v="36"/>
    <m/>
    <m/>
    <m/>
  </r>
  <r>
    <m/>
    <m/>
    <m/>
    <m/>
    <n v="37.520000000000003"/>
    <x v="9"/>
    <n v="3912702000"/>
    <n v="1475627000"/>
    <n v="1052995000"/>
    <n v="685907000"/>
    <n v="1611216000"/>
    <n v="2270873000"/>
    <n v="5.2011761866072916"/>
    <n v="0.37236573879290452"/>
    <n v="0.22386185553233878"/>
    <n v="436607590"/>
    <n v="16381516776.800001"/>
    <n v="7.2137529385394963"/>
    <n v="12.193279722314651"/>
    <m/>
    <n v="12807"/>
    <n v="305512.76645584445"/>
    <n v="659200000"/>
    <m/>
    <m/>
    <s v="Répartition CA  : 40 % Europe, Espagne 5 %, Etat-Unis 30 %, Asie Pacifique 17 %"/>
    <m/>
    <n v="824"/>
    <s v="p"/>
    <s v="ES0109067019 12015"/>
    <s v="ES0109067019 "/>
    <n v="1"/>
    <x v="36"/>
    <m/>
    <m/>
    <m/>
  </r>
  <r>
    <m/>
    <m/>
    <m/>
    <m/>
    <m/>
    <x v="1"/>
    <n v="0.14483918509799176"/>
    <n v="0.12359980903112233"/>
    <n v="0.10184531190322965"/>
    <n v="8.5022913539157141E-2"/>
    <m/>
    <m/>
    <m/>
    <m/>
    <m/>
    <m/>
    <m/>
    <m/>
    <m/>
    <m/>
    <m/>
    <s v=""/>
    <m/>
    <m/>
    <m/>
    <s v="En 2021, Amadeus a sélectionné Microsoft pour son fournisseur principal dans le Cloud. Meilleur flexibilité dans l'ajout ou le retrait d'espace de stockage, selon les besoins opérationnels"/>
    <m/>
    <n v="825"/>
    <s v="p"/>
    <s v="ES0109067019 1"/>
    <s v="ES0109067019 "/>
    <n v="1"/>
    <x v="36"/>
    <m/>
    <m/>
    <m/>
  </r>
  <r>
    <m/>
    <m/>
    <m/>
    <m/>
    <n v="35.590000000000003"/>
    <x v="10"/>
    <n v="3417687000"/>
    <n v="1313303000"/>
    <n v="955665000"/>
    <n v="632159000"/>
    <n v="1450615000"/>
    <n v="1842025000"/>
    <n v="4.1489248012472952"/>
    <n v="0.34406000813127158"/>
    <n v="0.21971626565559127"/>
    <n v="443976473"/>
    <n v="15801122674.070002"/>
    <n v="8.578126069988194"/>
    <n v="13.136144266837126"/>
    <m/>
    <n v="11951"/>
    <n v="285974.98117312358"/>
    <n v="596300000"/>
    <m/>
    <m/>
    <s v="En 2022, au 1T, les États-Unis à 97% de 2019, l'Europe à 44% et l'Asie à 27%. L'amélioration se poursuit avec des gains de parts de marché (Revenue : 65% de 2019)"/>
    <m/>
    <n v="826"/>
    <s v="p"/>
    <s v="ES0109067019 12014"/>
    <s v="ES0109067019 "/>
    <n v="1"/>
    <x v="36"/>
    <m/>
    <m/>
    <m/>
  </r>
  <r>
    <m/>
    <m/>
    <m/>
    <m/>
    <m/>
    <x v="1"/>
    <n v="0.1011643188797382"/>
    <n v="9.9930736264297604E-2"/>
    <n v="7.6190840837966345E-2"/>
    <n v="0.1235465994604068"/>
    <m/>
    <m/>
    <m/>
    <m/>
    <m/>
    <m/>
    <m/>
    <m/>
    <m/>
    <m/>
    <m/>
    <s v=""/>
    <m/>
    <m/>
    <m/>
    <s v="En 2022, au 1T, les recherches concernant les voyages sont à 3 % du niveau de 2019. Au 2T, poursuite du redressement, Asie plus lent, Europe proche 2019 et États-Unis au-dessus"/>
    <m/>
    <n v="827"/>
    <s v="p"/>
    <s v="ES0109067019 1"/>
    <s v="ES0109067019 "/>
    <n v="1"/>
    <x v="36"/>
    <m/>
    <m/>
    <m/>
  </r>
  <r>
    <m/>
    <m/>
    <m/>
    <m/>
    <n v="29.36"/>
    <x v="11"/>
    <n v="3103703000"/>
    <n v="1193987000"/>
    <n v="888007000"/>
    <n v="562646000"/>
    <n v="1207328000"/>
    <n v="1837351000"/>
    <n v="4.1324184906508181"/>
    <n v="0.36801091515118217"/>
    <n v="0.20558715738637812"/>
    <n v="444618812"/>
    <n v="13054008320.32"/>
    <n v="7.1047983321205361"/>
    <n v="11.944297819255988"/>
    <m/>
    <n v="10502"/>
    <n v="295534.46962483338"/>
    <n v="541598000"/>
    <m/>
    <m/>
    <s v="Le poids des États-Unis devient plus important compte tenu de la reprise plus rapide (36%)"/>
    <m/>
    <n v="828"/>
    <s v="p"/>
    <s v="ES0109067019 12013"/>
    <s v="ES0109067019 "/>
    <n v="1"/>
    <x v="36"/>
    <m/>
    <m/>
    <m/>
  </r>
  <r>
    <m/>
    <m/>
    <m/>
    <m/>
    <m/>
    <x v="1"/>
    <n v="6.6445133637949905E-2"/>
    <n v="7.9567914964565611E-2"/>
    <n v="6.6658418547217879E-2"/>
    <n v="0.13270669804540525"/>
    <m/>
    <m/>
    <m/>
    <m/>
    <m/>
    <m/>
    <m/>
    <m/>
    <m/>
    <m/>
    <m/>
    <s v=""/>
    <m/>
    <m/>
    <m/>
    <s v="Dilution possible avec 15 Millions de titres en plus (750 M euros de convertible). Bilan très solide avec FP 40 % du total bilan"/>
    <m/>
    <n v="829"/>
    <s v="p"/>
    <s v="ES0109067019 1"/>
    <s v="ES0109067019 "/>
    <n v="1"/>
    <x v="36"/>
    <m/>
    <m/>
    <m/>
  </r>
  <r>
    <m/>
    <m/>
    <m/>
    <m/>
    <n v="18.48"/>
    <x v="12"/>
    <n v="2910326000"/>
    <n v="1105986000"/>
    <n v="832513000"/>
    <n v="496727000"/>
    <n v="1494675000"/>
    <n v="1528884000"/>
    <n v="3.4433537936768741"/>
    <n v="0.39235939968404421"/>
    <n v="0.18690157152020526"/>
    <n v="444010140"/>
    <n v="8205307387.1999998"/>
    <n v="5.366860656007912"/>
    <n v="8.7704386739072646"/>
    <m/>
    <n v="9163"/>
    <n v="317617.15595329041"/>
    <n v="668000000"/>
    <m/>
    <m/>
    <s v="Redressement post Covid-19 en bonne voie, au-dessus aux États-Unis, égale en Europe et en retrait en Asie"/>
    <m/>
    <n v="830"/>
    <s v="p"/>
    <s v="ES0109067019 12012"/>
    <s v="ES0109067019 "/>
    <n v="1"/>
    <x v="36"/>
    <m/>
    <m/>
    <m/>
  </r>
  <r>
    <m/>
    <m/>
    <m/>
    <m/>
    <m/>
    <x v="1"/>
    <n v="7.5111193202807458E-2"/>
    <n v="6.1406909788867647E-2"/>
    <n v="4.0641249999999962E-2"/>
    <n v="6.1382478632478588E-2"/>
    <m/>
    <m/>
    <m/>
    <m/>
    <m/>
    <m/>
    <m/>
    <m/>
    <m/>
    <m/>
    <m/>
    <s v=""/>
    <m/>
    <m/>
    <m/>
    <s v="La société connecte 1,6 Md de personnes dans 190 pays"/>
    <m/>
    <n v="831"/>
    <s v="p"/>
    <s v="ES0109067019 1"/>
    <s v="ES0109067019 "/>
    <n v="1"/>
    <x v="36"/>
    <m/>
    <m/>
    <m/>
  </r>
  <r>
    <m/>
    <m/>
    <m/>
    <m/>
    <n v="13.1"/>
    <x v="17"/>
    <n v="2707000000"/>
    <n v="1042000000"/>
    <n v="800000000"/>
    <n v="468000000"/>
    <n v="1852000000"/>
    <n v="1266000000"/>
    <n v="2.8285322944770224"/>
    <n v="0.61016949152542377"/>
    <n v="0.1677651288196525"/>
    <n v="447581950"/>
    <n v="5863323545"/>
    <n v="4.6313772077409165"/>
    <n v="7.4043412140115166"/>
    <m/>
    <n v="10222"/>
    <n v="264820.97436900804"/>
    <n v="810500000"/>
    <m/>
    <m/>
    <s v="Taux d'IS : 25-30 % suivant les années"/>
    <m/>
    <n v="832"/>
    <s v="p"/>
    <s v="ES0109067019 12011"/>
    <s v="ES0109067019 "/>
    <n v="1"/>
    <x v="36"/>
    <m/>
    <m/>
    <m/>
  </r>
  <r>
    <m/>
    <m/>
    <m/>
    <m/>
    <m/>
    <x v="1"/>
    <n v="4.356206630686188E-2"/>
    <n v="6.4351378958120486E-2"/>
    <n v="0.25588697017268447"/>
    <n v="0.56521739130434789"/>
    <m/>
    <m/>
    <m/>
    <m/>
    <m/>
    <m/>
    <m/>
    <m/>
    <m/>
    <m/>
    <m/>
    <s v=""/>
    <m/>
    <m/>
    <m/>
    <s v="Pas de minoritaires"/>
    <m/>
    <n v="833"/>
    <s v="p"/>
    <s v="ES0109067019 1"/>
    <s v="ES0109067019 "/>
    <n v="1"/>
    <x v="36"/>
    <m/>
    <m/>
    <m/>
  </r>
  <r>
    <m/>
    <m/>
    <m/>
    <m/>
    <n v="15.32"/>
    <x v="18"/>
    <n v="2594000000"/>
    <n v="979000000"/>
    <n v="637000000"/>
    <n v="299000000"/>
    <n v="2571000000"/>
    <n v="767000000"/>
    <n v="1.7136526618198076"/>
    <n v="0.38983050847457629"/>
    <n v="0.1335829838226483"/>
    <n v="447581950"/>
    <n v="6856955474"/>
    <n v="8.9399680234680581"/>
    <n v="9.6301894525025542"/>
    <m/>
    <n v="10270"/>
    <n v="252580.33106134372"/>
    <n v="829400000"/>
    <m/>
    <m/>
    <s v="CAC : Deloitte et E&amp;Y"/>
    <m/>
    <n v="834"/>
    <s v="p"/>
    <s v="ES0109067019 12010"/>
    <s v="ES0109067019 "/>
    <n v="1"/>
    <x v="36"/>
    <m/>
    <m/>
    <m/>
  </r>
  <r>
    <m/>
    <m/>
    <m/>
    <m/>
    <m/>
    <x v="1"/>
    <m/>
    <m/>
    <m/>
    <m/>
    <m/>
    <m/>
    <m/>
    <m/>
    <m/>
    <m/>
    <m/>
    <m/>
    <m/>
    <m/>
    <m/>
    <s v=""/>
    <m/>
    <m/>
    <m/>
    <s v="Pay out ratio 50 %"/>
    <m/>
    <n v="835"/>
    <s v="p"/>
    <s v="ES0109067019 1"/>
    <s v="ES0109067019 "/>
    <n v="1"/>
    <x v="36"/>
    <m/>
    <m/>
    <m/>
  </r>
  <r>
    <m/>
    <m/>
    <m/>
    <m/>
    <m/>
    <x v="21"/>
    <m/>
    <m/>
    <m/>
    <m/>
    <m/>
    <m/>
    <m/>
    <m/>
    <m/>
    <m/>
    <m/>
    <m/>
    <m/>
    <m/>
    <m/>
    <s v=""/>
    <m/>
    <m/>
    <m/>
    <m/>
    <m/>
    <n v="836"/>
    <s v="p"/>
    <s v="ES0109067019 1IPO le 30 avril 2010 à 12,35 "/>
    <s v="ES0109067019 "/>
    <n v="1"/>
    <x v="36"/>
    <m/>
    <m/>
    <m/>
  </r>
  <r>
    <m/>
    <m/>
    <m/>
    <m/>
    <m/>
    <x v="1"/>
    <m/>
    <m/>
    <m/>
    <m/>
    <m/>
    <m/>
    <m/>
    <m/>
    <m/>
    <m/>
    <m/>
    <m/>
    <m/>
    <m/>
    <m/>
    <s v=""/>
    <m/>
    <m/>
    <m/>
    <m/>
    <m/>
    <n v="837"/>
    <s v="p"/>
    <s v="ES0109067019 1"/>
    <s v="ES0109067019 "/>
    <n v="1"/>
    <x v="36"/>
    <m/>
    <m/>
    <m/>
  </r>
  <r>
    <m/>
    <m/>
    <m/>
    <m/>
    <m/>
    <x v="22"/>
    <m/>
    <m/>
    <m/>
    <m/>
    <m/>
    <m/>
    <m/>
    <m/>
    <m/>
    <m/>
    <m/>
    <m/>
    <m/>
    <m/>
    <m/>
    <s v=""/>
    <m/>
    <m/>
    <m/>
    <m/>
    <m/>
    <n v="838"/>
    <s v="p"/>
    <s v="ES0109067019 1…"/>
    <s v="ES0109067019 "/>
    <n v="1"/>
    <x v="36"/>
    <m/>
    <m/>
    <m/>
  </r>
  <r>
    <m/>
    <m/>
    <m/>
    <m/>
    <m/>
    <x v="1"/>
    <m/>
    <m/>
    <m/>
    <m/>
    <m/>
    <m/>
    <m/>
    <m/>
    <m/>
    <m/>
    <m/>
    <m/>
    <m/>
    <m/>
    <m/>
    <s v=""/>
    <m/>
    <m/>
    <m/>
    <m/>
    <m/>
    <n v="839"/>
    <s v="p"/>
    <s v="ES0109067019 1"/>
    <s v="ES0109067019 "/>
    <n v="1"/>
    <x v="36"/>
    <m/>
    <m/>
    <m/>
  </r>
  <r>
    <m/>
    <m/>
    <m/>
    <m/>
    <m/>
    <x v="15"/>
    <n v="2393000000"/>
    <n v="865000000"/>
    <n v="281000000"/>
    <m/>
    <n v="3916000000"/>
    <m/>
    <m/>
    <m/>
    <m/>
    <m/>
    <m/>
    <m/>
    <m/>
    <m/>
    <m/>
    <s v=""/>
    <m/>
    <m/>
    <m/>
    <m/>
    <m/>
    <n v="840"/>
    <s v="p"/>
    <s v="ES0109067019 12007"/>
    <s v="ES0109067019 "/>
    <n v="1"/>
    <x v="36"/>
    <m/>
    <m/>
    <m/>
  </r>
  <r>
    <m/>
    <m/>
    <m/>
    <m/>
    <m/>
    <x v="1"/>
    <m/>
    <m/>
    <m/>
    <m/>
    <m/>
    <m/>
    <m/>
    <m/>
    <m/>
    <m/>
    <n v="0"/>
    <m/>
    <m/>
    <m/>
    <m/>
    <s v=""/>
    <m/>
    <m/>
    <m/>
    <m/>
    <m/>
    <n v="841"/>
    <s v="p"/>
    <s v="ES0109067019 1"/>
    <s v="ES0109067019 "/>
    <n v="1"/>
    <x v="36"/>
    <m/>
    <m/>
    <m/>
  </r>
  <r>
    <m/>
    <m/>
    <m/>
    <m/>
    <m/>
    <x v="1"/>
    <m/>
    <m/>
    <m/>
    <m/>
    <m/>
    <m/>
    <m/>
    <m/>
    <m/>
    <m/>
    <m/>
    <m/>
    <m/>
    <m/>
    <m/>
    <s v=""/>
    <m/>
    <m/>
    <m/>
    <m/>
    <m/>
    <n v="842"/>
    <s v="p"/>
    <s v="ES0109067019 1"/>
    <s v="ES0109067019 "/>
    <n v="1"/>
    <x v="36"/>
    <m/>
    <m/>
    <m/>
  </r>
  <r>
    <m/>
    <m/>
    <m/>
    <m/>
    <m/>
    <x v="1"/>
    <m/>
    <m/>
    <m/>
    <m/>
    <m/>
    <m/>
    <m/>
    <m/>
    <m/>
    <m/>
    <m/>
    <m/>
    <m/>
    <m/>
    <m/>
    <s v=""/>
    <m/>
    <m/>
    <m/>
    <m/>
    <m/>
    <n v="843"/>
    <s v="p"/>
    <s v="ES0109067019 1"/>
    <s v="ES0109067019 "/>
    <n v="1"/>
    <x v="36"/>
    <m/>
    <m/>
    <m/>
  </r>
  <r>
    <m/>
    <m/>
    <m/>
    <m/>
    <m/>
    <x v="1"/>
    <m/>
    <m/>
    <m/>
    <m/>
    <m/>
    <m/>
    <m/>
    <m/>
    <m/>
    <m/>
    <m/>
    <m/>
    <m/>
    <m/>
    <m/>
    <s v=""/>
    <m/>
    <m/>
    <m/>
    <m/>
    <m/>
    <n v="844"/>
    <s v="p"/>
    <s v="ES0109067019 1"/>
    <s v="ES0109067019 "/>
    <n v="1"/>
    <x v="36"/>
    <m/>
    <m/>
    <m/>
  </r>
  <r>
    <m/>
    <m/>
    <m/>
    <m/>
    <m/>
    <x v="1"/>
    <m/>
    <m/>
    <m/>
    <m/>
    <m/>
    <m/>
    <m/>
    <m/>
    <m/>
    <m/>
    <m/>
    <m/>
    <m/>
    <m/>
    <m/>
    <s v=""/>
    <m/>
    <m/>
    <m/>
    <m/>
    <m/>
    <n v="845"/>
    <s v="p"/>
    <s v="ES0109067019 1"/>
    <s v="ES0109067019 "/>
    <n v="1"/>
    <x v="36"/>
    <m/>
    <m/>
    <m/>
  </r>
  <r>
    <m/>
    <m/>
    <m/>
    <m/>
    <m/>
    <x v="1"/>
    <m/>
    <m/>
    <m/>
    <m/>
    <m/>
    <m/>
    <m/>
    <m/>
    <m/>
    <m/>
    <m/>
    <m/>
    <m/>
    <m/>
    <m/>
    <s v=""/>
    <m/>
    <m/>
    <m/>
    <m/>
    <m/>
    <n v="846"/>
    <s v="p"/>
    <s v="ES0109067019 1"/>
    <s v="ES0109067019 "/>
    <n v="1"/>
    <x v="36"/>
    <m/>
    <m/>
    <m/>
  </r>
  <r>
    <m/>
    <m/>
    <m/>
    <m/>
    <m/>
    <x v="1"/>
    <m/>
    <m/>
    <m/>
    <m/>
    <m/>
    <m/>
    <m/>
    <m/>
    <m/>
    <m/>
    <m/>
    <m/>
    <m/>
    <m/>
    <m/>
    <s v=""/>
    <m/>
    <m/>
    <m/>
    <m/>
    <m/>
    <n v="847"/>
    <s v="p"/>
    <s v="ES0109067019 1"/>
    <s v="ES0109067019 "/>
    <n v="1"/>
    <x v="36"/>
    <m/>
    <m/>
    <m/>
  </r>
  <r>
    <m/>
    <m/>
    <m/>
    <m/>
    <m/>
    <x v="1"/>
    <m/>
    <m/>
    <m/>
    <m/>
    <m/>
    <m/>
    <m/>
    <m/>
    <m/>
    <m/>
    <m/>
    <m/>
    <m/>
    <m/>
    <m/>
    <s v=""/>
    <m/>
    <m/>
    <m/>
    <m/>
    <m/>
    <n v="848"/>
    <s v="p"/>
    <s v="ES0109067019 1"/>
    <s v="ES0109067019 "/>
    <n v="1"/>
    <x v="36"/>
    <m/>
    <m/>
    <m/>
  </r>
  <r>
    <m/>
    <m/>
    <m/>
    <m/>
    <m/>
    <x v="1"/>
    <m/>
    <m/>
    <m/>
    <m/>
    <m/>
    <m/>
    <m/>
    <m/>
    <m/>
    <m/>
    <m/>
    <m/>
    <m/>
    <m/>
    <m/>
    <s v=""/>
    <m/>
    <m/>
    <m/>
    <m/>
    <m/>
    <n v="849"/>
    <s v="p"/>
    <s v="ES0109067019 1"/>
    <s v="ES0109067019 "/>
    <n v="1"/>
    <x v="36"/>
    <m/>
    <m/>
    <m/>
  </r>
  <r>
    <m/>
    <m/>
    <m/>
    <m/>
    <m/>
    <x v="1"/>
    <m/>
    <m/>
    <m/>
    <m/>
    <m/>
    <m/>
    <m/>
    <m/>
    <m/>
    <m/>
    <m/>
    <m/>
    <m/>
    <m/>
    <m/>
    <s v=""/>
    <m/>
    <m/>
    <m/>
    <m/>
    <m/>
    <n v="850"/>
    <s v="p"/>
    <s v="ES0109067019 1"/>
    <s v="ES0109067019 "/>
    <n v="1"/>
    <x v="36"/>
    <m/>
    <m/>
    <m/>
  </r>
  <r>
    <m/>
    <m/>
    <m/>
    <m/>
    <m/>
    <x v="1"/>
    <m/>
    <m/>
    <m/>
    <m/>
    <m/>
    <m/>
    <m/>
    <m/>
    <m/>
    <m/>
    <m/>
    <m/>
    <m/>
    <m/>
    <m/>
    <s v=""/>
    <m/>
    <m/>
    <m/>
    <m/>
    <m/>
    <n v="851"/>
    <s v="p"/>
    <s v="ES0109067019 1"/>
    <s v="ES0109067019 "/>
    <n v="1"/>
    <x v="36"/>
    <m/>
    <m/>
    <m/>
  </r>
  <r>
    <s v="DataDog"/>
    <s v="Informatique Software"/>
    <s v="France"/>
    <s v="Dollar"/>
    <m/>
    <x v="0"/>
    <m/>
    <m/>
    <m/>
    <m/>
    <m/>
    <m/>
    <m/>
    <m/>
    <m/>
    <m/>
    <m/>
    <m/>
    <m/>
    <m/>
    <m/>
    <s v=""/>
    <m/>
    <m/>
    <m/>
    <m/>
    <m/>
    <n v="852"/>
    <n v="0"/>
    <s v="US23804L1035 12023"/>
    <s v="US23804L1035 "/>
    <n v="1"/>
    <x v="37"/>
    <m/>
    <m/>
    <m/>
  </r>
  <r>
    <m/>
    <m/>
    <m/>
    <m/>
    <m/>
    <x v="1"/>
    <m/>
    <m/>
    <m/>
    <m/>
    <m/>
    <m/>
    <m/>
    <m/>
    <m/>
    <m/>
    <m/>
    <m/>
    <m/>
    <m/>
    <m/>
    <s v=""/>
    <m/>
    <m/>
    <m/>
    <m/>
    <m/>
    <n v="853"/>
    <n v="0"/>
    <s v="US23804L1035 1"/>
    <s v="US23804L1035 "/>
    <n v="1"/>
    <x v="37"/>
    <m/>
    <m/>
    <m/>
  </r>
  <r>
    <m/>
    <m/>
    <m/>
    <m/>
    <n v="73.5"/>
    <x v="2"/>
    <n v="1500000000"/>
    <m/>
    <m/>
    <m/>
    <m/>
    <m/>
    <m/>
    <m/>
    <m/>
    <n v="350000000"/>
    <n v="25725000000"/>
    <e v="#DIV/0!"/>
    <m/>
    <m/>
    <m/>
    <s v=""/>
    <m/>
    <m/>
    <m/>
    <s v="Fondée en 2010 par Olivier Pomel et Alexis Lê-Quôc. Entreprise de service de surveillance des applications, des serveurs, des bases de données, des outils et des services, grâce à une plateforme d'analyse de données via le Cloud"/>
    <m/>
    <n v="854"/>
    <n v="0"/>
    <s v="US23804L1035 12022"/>
    <s v="US23804L1035 "/>
    <n v="1"/>
    <x v="37"/>
    <m/>
    <m/>
    <m/>
  </r>
  <r>
    <m/>
    <m/>
    <m/>
    <m/>
    <m/>
    <x v="1"/>
    <n v="0.45803200671861144"/>
    <m/>
    <n v="-1"/>
    <n v="-1"/>
    <m/>
    <m/>
    <m/>
    <m/>
    <m/>
    <m/>
    <m/>
    <m/>
    <m/>
    <m/>
    <m/>
    <s v=""/>
    <m/>
    <m/>
    <m/>
    <s v="Direction : Olivier Pomel (CEO), Alexis Lê-Quôc (CTO)"/>
    <m/>
    <n v="855"/>
    <n v="0"/>
    <s v="US23804L1035 1"/>
    <s v="US23804L1035 "/>
    <n v="1"/>
    <x v="37"/>
    <m/>
    <m/>
    <m/>
  </r>
  <r>
    <m/>
    <m/>
    <m/>
    <m/>
    <n v="178.11"/>
    <x v="3"/>
    <n v="1028784000"/>
    <m/>
    <n v="-19156000"/>
    <n v="-20745000"/>
    <m/>
    <n v="1041203000"/>
    <n v="3.3690656467603737"/>
    <n v="-1.9924068601415861E-2"/>
    <n v="-1.2878564506633192E-2"/>
    <n v="309048000"/>
    <n v="55044539280.000008"/>
    <n v="52.86628955160522"/>
    <m/>
    <m/>
    <m/>
    <s v=""/>
    <m/>
    <m/>
    <m/>
    <s v="Olivier Pomel et Alexis Lê-Quôc détennait en 2019 plus de 63M d'actions "/>
    <m/>
    <n v="856"/>
    <n v="0"/>
    <s v="US23804L1035 12021"/>
    <s v="US23804L1035 "/>
    <n v="1"/>
    <x v="37"/>
    <m/>
    <m/>
    <m/>
  </r>
  <r>
    <m/>
    <m/>
    <m/>
    <m/>
    <m/>
    <x v="1"/>
    <n v="0.70479198496684159"/>
    <m/>
    <n v="0.39083714513904022"/>
    <n v="-0.15488654418055159"/>
    <m/>
    <m/>
    <m/>
    <m/>
    <m/>
    <m/>
    <m/>
    <m/>
    <m/>
    <m/>
    <m/>
    <s v=""/>
    <m/>
    <m/>
    <m/>
    <s v="Actionnaires : 66,6% actions flottantes dont : T. Rowe Price Associates, Inc. 9,6% ; Enfield Investments Holdings Corp. 8,4% ; The Vanguard Group, Inc. 7,1% "/>
    <m/>
    <n v="857"/>
    <n v="0"/>
    <s v="US23804L1035 1"/>
    <s v="US23804L1035 "/>
    <n v="1"/>
    <x v="37"/>
    <m/>
    <m/>
    <m/>
  </r>
  <r>
    <m/>
    <m/>
    <m/>
    <m/>
    <n v="98.4"/>
    <x v="4"/>
    <n v="603466000"/>
    <n v="-14716000"/>
    <n v="-13773000"/>
    <n v="-24547000"/>
    <m/>
    <n v="957432000"/>
    <n v="3.187720992175795"/>
    <n v="-2.5638374317967227E-2"/>
    <n v="-1.0069749078785752E-2"/>
    <n v="300350000"/>
    <n v="29554440000"/>
    <n v="30.868448098663926"/>
    <m/>
    <m/>
    <m/>
    <s v=""/>
    <m/>
    <m/>
    <m/>
    <s v="IPO le 19 sept 2019, ils ont levé 648M$ contre 100M$ initiallement prévu et a été valorié à plus de 10Mds$"/>
    <m/>
    <n v="858"/>
    <n v="0"/>
    <s v="US23804L1035 12020"/>
    <s v="US23804L1035 "/>
    <n v="1"/>
    <x v="37"/>
    <m/>
    <m/>
    <m/>
  </r>
  <r>
    <m/>
    <m/>
    <m/>
    <m/>
    <m/>
    <x v="1"/>
    <n v="0.66344892221180873"/>
    <n v="-0.2956155466207161"/>
    <n v="-0.31613704071499504"/>
    <n v="0.46900059844404551"/>
    <m/>
    <m/>
    <m/>
    <m/>
    <m/>
    <m/>
    <m/>
    <m/>
    <m/>
    <m/>
    <m/>
    <s v=""/>
    <m/>
    <m/>
    <m/>
    <s v="≠ Criteo"/>
    <m/>
    <n v="859"/>
    <n v="0"/>
    <s v="US23804L1035 1"/>
    <s v="US23804L1035 "/>
    <n v="1"/>
    <x v="37"/>
    <m/>
    <m/>
    <m/>
  </r>
  <r>
    <m/>
    <m/>
    <m/>
    <m/>
    <n v="36.1"/>
    <x v="5"/>
    <n v="362780000"/>
    <n v="-20892000"/>
    <n v="-20140000"/>
    <n v="-16710000"/>
    <m/>
    <n v="1038041000"/>
    <n v="7.4213107604755741"/>
    <n v="-1.6097630055074894E-2"/>
    <n v="-1.3581351796316331E-2"/>
    <n v="139873000"/>
    <n v="5049415300"/>
    <n v="4.8643698081289664"/>
    <m/>
    <m/>
    <m/>
    <s v=""/>
    <m/>
    <m/>
    <m/>
    <s v="Répartition géographique : 70% Amérique du nord et 30% reste du monde (des revenus). "/>
    <m/>
    <n v="860"/>
    <n v="0"/>
    <s v="US23804L1035 12019"/>
    <s v="US23804L1035 "/>
    <n v="1"/>
    <x v="37"/>
    <m/>
    <m/>
    <m/>
  </r>
  <r>
    <m/>
    <m/>
    <m/>
    <m/>
    <m/>
    <x v="1"/>
    <n v="0.83150996834564328"/>
    <n v="0.80977130977130973"/>
    <n v="0.82543279253149637"/>
    <n v="0.55268537446571275"/>
    <m/>
    <m/>
    <m/>
    <m/>
    <m/>
    <m/>
    <m/>
    <m/>
    <m/>
    <m/>
    <m/>
    <s v=""/>
    <m/>
    <m/>
    <m/>
    <s v="Concurrence : Dynatrace, LogicMonitor, Sumo Logic, New Relic One."/>
    <m/>
    <n v="861"/>
    <n v="0"/>
    <s v="US23804L1035 1"/>
    <s v="US23804L1035 "/>
    <n v="1"/>
    <x v="37"/>
    <m/>
    <m/>
    <m/>
  </r>
  <r>
    <m/>
    <m/>
    <m/>
    <m/>
    <s v="-"/>
    <x v="6"/>
    <n v="198077000"/>
    <n v="-11544000"/>
    <n v="-11033000"/>
    <n v="-10762000"/>
    <m/>
    <n v="179805000"/>
    <m/>
    <n v="-5.9853730430188261E-2"/>
    <n v="-4.2952643141180719E-2"/>
    <s v="-"/>
    <m/>
    <m/>
    <m/>
    <m/>
    <m/>
    <s v=""/>
    <m/>
    <m/>
    <m/>
    <s v="En 2021, poursuite de la croissance et passage des 1 Md $ de chiffre d'affaires"/>
    <m/>
    <n v="862"/>
    <n v="0"/>
    <s v="US23804L1035 12018"/>
    <s v="US23804L1035 "/>
    <n v="1"/>
    <x v="37"/>
    <m/>
    <m/>
    <m/>
  </r>
  <r>
    <m/>
    <m/>
    <m/>
    <m/>
    <m/>
    <x v="1"/>
    <n v="0.96581018449598566"/>
    <n v="2.3558139534883722"/>
    <n v="2.7324086603518269"/>
    <n v="3.1875486381322959"/>
    <m/>
    <m/>
    <m/>
    <m/>
    <m/>
    <m/>
    <m/>
    <m/>
    <m/>
    <m/>
    <m/>
    <s v=""/>
    <m/>
    <m/>
    <m/>
    <s v="En 2022, croissance de 50% attendu. Distingue une rentabilité GAAP et non GAAP"/>
    <m/>
    <n v="863"/>
    <n v="0"/>
    <s v="US23804L1035 1"/>
    <s v="US23804L1035 "/>
    <n v="1"/>
    <x v="37"/>
    <m/>
    <m/>
    <m/>
  </r>
  <r>
    <m/>
    <m/>
    <m/>
    <m/>
    <s v="-"/>
    <x v="7"/>
    <n v="100761000"/>
    <n v="-3440000"/>
    <n v="-2956000"/>
    <n v="-2570000"/>
    <m/>
    <n v="127062000"/>
    <m/>
    <n v="-2.0226346193197024E-2"/>
    <n v="-1.6284963246289211E-2"/>
    <s v="-"/>
    <m/>
    <m/>
    <m/>
    <m/>
    <m/>
    <s v=""/>
    <m/>
    <m/>
    <m/>
    <s v="Effectif : 2200"/>
    <m/>
    <n v="864"/>
    <n v="0"/>
    <s v="US23804L1035 12017"/>
    <s v="US23804L1035 "/>
    <n v="1"/>
    <x v="37"/>
    <m/>
    <m/>
    <m/>
  </r>
  <r>
    <m/>
    <m/>
    <m/>
    <m/>
    <m/>
    <x v="1"/>
    <m/>
    <m/>
    <m/>
    <m/>
    <m/>
    <m/>
    <m/>
    <m/>
    <m/>
    <m/>
    <m/>
    <m/>
    <m/>
    <m/>
    <m/>
    <s v=""/>
    <m/>
    <m/>
    <m/>
    <s v="CA par salarié : 274,3K"/>
    <m/>
    <n v="865"/>
    <n v="0"/>
    <s v="US23804L1035 1"/>
    <s v="US23804L1035 "/>
    <n v="1"/>
    <x v="37"/>
    <m/>
    <m/>
    <m/>
  </r>
  <r>
    <m/>
    <m/>
    <m/>
    <m/>
    <s v="IPO le 19 septembre 2019 à 37,5 dollars"/>
    <x v="1"/>
    <m/>
    <m/>
    <m/>
    <m/>
    <m/>
    <m/>
    <m/>
    <m/>
    <m/>
    <m/>
    <m/>
    <m/>
    <m/>
    <m/>
    <m/>
    <s v=""/>
    <m/>
    <m/>
    <m/>
    <s v="Minoritaire : "/>
    <m/>
    <n v="866"/>
    <n v="0"/>
    <s v="US23804L1035 1"/>
    <s v="US23804L1035 "/>
    <n v="1"/>
    <x v="37"/>
    <m/>
    <m/>
    <m/>
  </r>
  <r>
    <m/>
    <m/>
    <m/>
    <m/>
    <m/>
    <x v="1"/>
    <m/>
    <m/>
    <m/>
    <m/>
    <m/>
    <m/>
    <m/>
    <m/>
    <m/>
    <m/>
    <m/>
    <m/>
    <m/>
    <m/>
    <m/>
    <s v=""/>
    <m/>
    <m/>
    <m/>
    <s v="CAC : Deloitte &amp; Touche LLP"/>
    <m/>
    <n v="867"/>
    <n v="0"/>
    <s v="US23804L1035 1"/>
    <s v="US23804L1035 "/>
    <n v="1"/>
    <x v="37"/>
    <m/>
    <m/>
    <m/>
  </r>
  <r>
    <m/>
    <m/>
    <m/>
    <m/>
    <m/>
    <x v="1"/>
    <m/>
    <m/>
    <m/>
    <m/>
    <m/>
    <m/>
    <m/>
    <m/>
    <m/>
    <m/>
    <m/>
    <m/>
    <m/>
    <m/>
    <m/>
    <s v=""/>
    <m/>
    <m/>
    <m/>
    <s v="Dividendes : non"/>
    <m/>
    <n v="868"/>
    <n v="0"/>
    <s v="US23804L1035 1"/>
    <s v="US23804L1035 "/>
    <n v="1"/>
    <x v="37"/>
    <m/>
    <m/>
    <m/>
  </r>
  <r>
    <m/>
    <m/>
    <m/>
    <m/>
    <m/>
    <x v="1"/>
    <m/>
    <m/>
    <m/>
    <m/>
    <m/>
    <m/>
    <m/>
    <m/>
    <m/>
    <m/>
    <m/>
    <m/>
    <m/>
    <m/>
    <m/>
    <s v=""/>
    <m/>
    <m/>
    <m/>
    <m/>
    <m/>
    <n v="869"/>
    <n v="0"/>
    <s v="US23804L1035 1"/>
    <s v="US23804L1035 "/>
    <n v="1"/>
    <x v="37"/>
    <m/>
    <m/>
    <m/>
  </r>
  <r>
    <m/>
    <m/>
    <m/>
    <m/>
    <m/>
    <x v="1"/>
    <m/>
    <m/>
    <m/>
    <m/>
    <m/>
    <m/>
    <m/>
    <m/>
    <m/>
    <m/>
    <m/>
    <m/>
    <m/>
    <m/>
    <m/>
    <s v=""/>
    <m/>
    <m/>
    <m/>
    <m/>
    <m/>
    <n v="870"/>
    <n v="0"/>
    <s v="US23804L1035 1"/>
    <s v="US23804L1035 "/>
    <n v="1"/>
    <x v="37"/>
    <m/>
    <m/>
    <m/>
  </r>
  <r>
    <m/>
    <m/>
    <m/>
    <m/>
    <m/>
    <x v="1"/>
    <m/>
    <m/>
    <m/>
    <m/>
    <m/>
    <m/>
    <m/>
    <m/>
    <m/>
    <m/>
    <m/>
    <m/>
    <m/>
    <m/>
    <m/>
    <s v=""/>
    <m/>
    <m/>
    <m/>
    <m/>
    <m/>
    <n v="871"/>
    <n v="0"/>
    <s v="US23804L1035 1"/>
    <s v="US23804L1035 "/>
    <n v="1"/>
    <x v="37"/>
    <m/>
    <m/>
    <m/>
  </r>
  <r>
    <m/>
    <m/>
    <m/>
    <m/>
    <m/>
    <x v="1"/>
    <m/>
    <m/>
    <m/>
    <m/>
    <m/>
    <m/>
    <m/>
    <m/>
    <m/>
    <m/>
    <m/>
    <m/>
    <m/>
    <m/>
    <m/>
    <s v=""/>
    <m/>
    <m/>
    <m/>
    <m/>
    <m/>
    <n v="872"/>
    <n v="0"/>
    <s v="US23804L1035 1"/>
    <s v="US23804L1035 "/>
    <n v="1"/>
    <x v="37"/>
    <m/>
    <m/>
    <m/>
  </r>
  <r>
    <s v="SAP"/>
    <s v="Editeur de Logiciels &amp; Cloud"/>
    <s v="Allemagne"/>
    <s v="Euro"/>
    <n v="107.2"/>
    <x v="0"/>
    <m/>
    <m/>
    <m/>
    <m/>
    <m/>
    <m/>
    <m/>
    <m/>
    <m/>
    <n v="1228504232"/>
    <n v="131695653670.40001"/>
    <m/>
    <m/>
    <s v="A / Stable"/>
    <m/>
    <s v=""/>
    <m/>
    <s v="Gouvernance : 2"/>
    <m/>
    <s v="Fondé le 1er avril 1972"/>
    <m/>
    <n v="873"/>
    <n v="0"/>
    <s v="DE000716460012023"/>
    <s v="DE0007164600"/>
    <n v="1"/>
    <x v="38"/>
    <m/>
    <m/>
    <m/>
  </r>
  <r>
    <m/>
    <m/>
    <m/>
    <m/>
    <m/>
    <x v="1"/>
    <m/>
    <m/>
    <m/>
    <m/>
    <m/>
    <m/>
    <m/>
    <m/>
    <m/>
    <m/>
    <m/>
    <m/>
    <m/>
    <m/>
    <m/>
    <s v=""/>
    <m/>
    <s v="Social : 1"/>
    <m/>
    <s v="Entrée en bourse en novembre 1988. Depuis la valeur de SAP a été multiplié par plus de 120."/>
    <m/>
    <n v="874"/>
    <n v="0"/>
    <s v="DE00071646001"/>
    <s v="DE0007164600"/>
    <n v="1"/>
    <x v="38"/>
    <m/>
    <m/>
    <m/>
  </r>
  <r>
    <m/>
    <m/>
    <m/>
    <m/>
    <n v="96.39"/>
    <x v="2"/>
    <n v="27842000000"/>
    <n v="8454000000"/>
    <n v="6000000000"/>
    <n v="5383000000"/>
    <n v="-3000000000"/>
    <n v="42000000000"/>
    <n v="34.187916415740929"/>
    <n v="0.12816666666666668"/>
    <n v="0.11105078722669168"/>
    <n v="1228504232"/>
    <n v="118415522922.48"/>
    <n v="2.8194172124399999"/>
    <n v="13.652179195940382"/>
    <m/>
    <n v="109798"/>
    <n v="253574.74635239257"/>
    <n v="4500000000"/>
    <s v="Environnement : 1"/>
    <m/>
    <s v="Fondateurs : 11% du capital, auto-détention : 3% du capital et flottant 86%"/>
    <m/>
    <n v="875"/>
    <n v="0"/>
    <s v="DE000716460012022"/>
    <s v="DE0007164600"/>
    <n v="1"/>
    <x v="38"/>
    <m/>
    <m/>
    <m/>
  </r>
  <r>
    <m/>
    <m/>
    <m/>
    <m/>
    <m/>
    <x v="1"/>
    <n v="0"/>
    <n v="0"/>
    <n v="0.28783000643915013"/>
    <n v="0"/>
    <m/>
    <m/>
    <m/>
    <m/>
    <m/>
    <m/>
    <m/>
    <m/>
    <m/>
    <m/>
    <m/>
    <s v=""/>
    <m/>
    <m/>
    <m/>
    <s v="Aujourd'hui, 85% des 500 plus grandes entreprises utilisent SAP et 70% des transactions commerciales dans le monde passe par un logiciel SAP."/>
    <m/>
    <n v="876"/>
    <n v="0"/>
    <s v="DE00071646001"/>
    <s v="DE0007164600"/>
    <n v="1"/>
    <x v="38"/>
    <m/>
    <m/>
    <m/>
  </r>
  <r>
    <m/>
    <m/>
    <m/>
    <m/>
    <n v="124.9"/>
    <x v="3"/>
    <n v="27842000000"/>
    <n v="8454000000"/>
    <n v="4659000000"/>
    <n v="5383000000"/>
    <n v="1563000000"/>
    <n v="38959000000"/>
    <n v="31.712548467639305"/>
    <n v="0.13817089761030826"/>
    <n v="9.6475606725751673E-2"/>
    <n v="1228504232"/>
    <n v="153440178576.80002"/>
    <n v="3.9385040318488671"/>
    <n v="18.334892190300451"/>
    <m/>
    <n v="107415"/>
    <n v="259200.29790997534"/>
    <n v="5000000000"/>
    <m/>
    <m/>
    <s v="CEO : Christian Klein (né en 1980), il possède 33 000 actions (soit 3 M euros). Mandat de 2018 à 2025. Il a commencé chez SAP en 1999"/>
    <m/>
    <n v="877"/>
    <n v="0"/>
    <s v="DE000716460012021"/>
    <s v="DE0007164600"/>
    <n v="1"/>
    <x v="38"/>
    <m/>
    <m/>
    <m/>
  </r>
  <r>
    <m/>
    <m/>
    <m/>
    <m/>
    <m/>
    <x v="1"/>
    <n v="1.8435876801521589E-2"/>
    <n v="0"/>
    <n v="-0.2965423524082742"/>
    <n v="1.8928639030853622E-2"/>
    <m/>
    <m/>
    <m/>
    <m/>
    <m/>
    <m/>
    <m/>
    <m/>
    <m/>
    <m/>
    <m/>
    <s v=""/>
    <m/>
    <m/>
    <m/>
    <s v="Répartition géographique : 44% Europe, 41% en Amérique et 15% en Asie. Près de 80 % du business prévisible (contrats pluri-annuel)"/>
    <m/>
    <n v="878"/>
    <n v="0"/>
    <s v="DE00071646001"/>
    <s v="DE0007164600"/>
    <n v="1"/>
    <x v="38"/>
    <m/>
    <m/>
    <m/>
  </r>
  <r>
    <m/>
    <m/>
    <m/>
    <m/>
    <n v="107.22"/>
    <x v="4"/>
    <n v="27338000000"/>
    <n v="8454000000"/>
    <n v="6623000000"/>
    <n v="5283000000"/>
    <n v="6503000000"/>
    <n v="29716000000"/>
    <n v="24.188764862146606"/>
    <n v="0.17778301251850856"/>
    <n v="0.12726096536175446"/>
    <n v="1228504232"/>
    <n v="131720223755.03999"/>
    <n v="4.4326364165782737"/>
    <n v="16.350038296077592"/>
    <m/>
    <n v="102430"/>
    <n v="266894.46451234992"/>
    <n v="6000000000"/>
    <m/>
    <m/>
    <s v="Dépréciation 1,872 Md d'euros en 2019. Regroupement d'entreprise différence dette 2018-&gt;2019"/>
    <m/>
    <n v="879"/>
    <n v="0"/>
    <s v="DE000716460012020"/>
    <s v="DE0007164600"/>
    <n v="1"/>
    <x v="38"/>
    <m/>
    <m/>
    <m/>
  </r>
  <r>
    <m/>
    <m/>
    <m/>
    <m/>
    <m/>
    <x v="1"/>
    <n v="-7.8031430334264407E-3"/>
    <n v="0.33238770685579189"/>
    <n v="0.48066174826738206"/>
    <n v="0.56765578635014835"/>
    <m/>
    <m/>
    <m/>
    <m/>
    <m/>
    <m/>
    <m/>
    <m/>
    <m/>
    <m/>
    <m/>
    <s v=""/>
    <m/>
    <m/>
    <m/>
    <s v="Basculement des logiciels sur le cloud, activité software en baisse de 20% (au 4T20) alors que le cloud progresse de 17% avec une meilleure marge "/>
    <m/>
    <n v="880"/>
    <n v="0"/>
    <s v="DE00071646001"/>
    <s v="DE0007164600"/>
    <n v="1"/>
    <x v="38"/>
    <m/>
    <m/>
    <m/>
  </r>
  <r>
    <m/>
    <m/>
    <m/>
    <m/>
    <n v="122.1"/>
    <x v="5"/>
    <n v="27553000000"/>
    <n v="6345000000"/>
    <n v="4473000000"/>
    <n v="3370000000"/>
    <n v="8286000000"/>
    <n v="30746000000"/>
    <n v="25.027269027269028"/>
    <n v="0.10960775385415988"/>
    <n v="0.10709497206703911"/>
    <n v="1228500000"/>
    <n v="149999850000"/>
    <n v="4.8786785272881028"/>
    <n v="24.946548463356972"/>
    <m/>
    <n v="100330"/>
    <n v="274623.74165254663"/>
    <m/>
    <m/>
    <m/>
    <s v="75% du CA est prévisible via de contrats en 2021 (contre 72% en 2020) mais prévision 2021 plus faible à 6 Md euros de profits et 4,5 Md euros de free cash flow : incertitudes, taxes plus élevées et baisse de devises. Politique ESG intéressante : loyauté client, rétention des salariés et émission de C02"/>
    <m/>
    <n v="881"/>
    <n v="0"/>
    <s v="DE000716460012019"/>
    <s v="DE0007164600"/>
    <n v="1"/>
    <x v="38"/>
    <m/>
    <m/>
    <m/>
  </r>
  <r>
    <m/>
    <m/>
    <m/>
    <m/>
    <m/>
    <x v="1"/>
    <n v="0.11514489234256109"/>
    <n v="0.13303571428571437"/>
    <n v="-0.2156759600210415"/>
    <n v="-0.17563600782778865"/>
    <m/>
    <m/>
    <m/>
    <m/>
    <m/>
    <m/>
    <m/>
    <m/>
    <m/>
    <m/>
    <m/>
    <s v=""/>
    <m/>
    <m/>
    <m/>
    <s v="En 2016, acquisition de Abakus spécialisé en analyse marketing"/>
    <m/>
    <n v="882"/>
    <n v="0"/>
    <s v="DE00071646001"/>
    <s v="DE0007164600"/>
    <n v="1"/>
    <x v="38"/>
    <m/>
    <m/>
    <m/>
  </r>
  <r>
    <m/>
    <m/>
    <m/>
    <m/>
    <n v="84.3"/>
    <x v="6"/>
    <n v="24708000000"/>
    <n v="5600000000"/>
    <n v="5703000000"/>
    <n v="4088000000"/>
    <n v="2493000000"/>
    <n v="28832000000"/>
    <n v="23.469271469271469"/>
    <n v="0.14178690344062153"/>
    <n v="0.15848710538016897"/>
    <n v="1228500000"/>
    <n v="103562550000"/>
    <n v="3.5919308407325192"/>
    <n v="18.938491071428572"/>
    <m/>
    <m/>
    <s v=""/>
    <m/>
    <m/>
    <m/>
    <s v="En 2017, acquisition de Gigya spécialisé en logiciel de CRM"/>
    <m/>
    <n v="883"/>
    <n v="0"/>
    <s v="DE000716460012018"/>
    <s v="DE0007164600"/>
    <n v="1"/>
    <x v="38"/>
    <m/>
    <m/>
    <m/>
  </r>
  <r>
    <m/>
    <m/>
    <m/>
    <m/>
    <m/>
    <x v="1"/>
    <n v="5.3152039555006247E-2"/>
    <n v="0.11420612813370479"/>
    <n v="0.16936641377896255"/>
    <n v="7.8895463510848529E-3"/>
    <m/>
    <m/>
    <m/>
    <m/>
    <m/>
    <m/>
    <m/>
    <m/>
    <m/>
    <m/>
    <m/>
    <s v=""/>
    <m/>
    <m/>
    <m/>
    <s v="En 2018, acquisition de Contextor leader dans le domaine de Robotic Process Automation (interaction augmenté en temps réel) "/>
    <m/>
    <n v="884"/>
    <n v="0"/>
    <s v="DE00071646001"/>
    <s v="DE0007164600"/>
    <n v="1"/>
    <x v="38"/>
    <m/>
    <m/>
    <m/>
  </r>
  <r>
    <m/>
    <m/>
    <m/>
    <m/>
    <n v="93.4"/>
    <x v="7"/>
    <n v="23461000000"/>
    <n v="5026000000"/>
    <n v="4877000000"/>
    <n v="4056000000"/>
    <n v="1479000000"/>
    <n v="25509000000"/>
    <n v="20.764346764346765"/>
    <n v="0.15900270492767257"/>
    <n v="0.12386975515594839"/>
    <n v="1228500000"/>
    <n v="114741900000"/>
    <n v="4.4980947900740915"/>
    <n v="23.123935535216873"/>
    <m/>
    <m/>
    <s v=""/>
    <m/>
    <m/>
    <m/>
    <s v="Coresystems spécialisé en logiciel de CRM (customer relationship management) "/>
    <m/>
    <n v="885"/>
    <n v="0"/>
    <s v="DE000716460012017"/>
    <s v="DE0007164600"/>
    <n v="1"/>
    <x v="38"/>
    <m/>
    <m/>
    <m/>
  </r>
  <r>
    <m/>
    <m/>
    <m/>
    <m/>
    <m/>
    <x v="1"/>
    <n v="6.3412201976248861E-2"/>
    <n v="3.3518404277195213E-2"/>
    <n v="-5.0243427458617318E-2"/>
    <n v="0.11612548156301594"/>
    <m/>
    <m/>
    <m/>
    <m/>
    <m/>
    <m/>
    <m/>
    <m/>
    <m/>
    <m/>
    <m/>
    <s v=""/>
    <m/>
    <m/>
    <m/>
    <s v="Callidus Software (Calliduscloud) spécialisé en logiciel de CRM, acheté pour 2,4 Milliards de dollars"/>
    <m/>
    <n v="886"/>
    <n v="0"/>
    <s v="DE00071646001"/>
    <s v="DE0007164600"/>
    <n v="1"/>
    <x v="38"/>
    <m/>
    <m/>
    <m/>
  </r>
  <r>
    <m/>
    <m/>
    <m/>
    <m/>
    <n v="83.5"/>
    <x v="8"/>
    <n v="22062000000"/>
    <n v="4863000000"/>
    <n v="5135000000"/>
    <n v="3634000000"/>
    <n v="3153000000"/>
    <n v="26376000000"/>
    <n v="21.470085470085468"/>
    <n v="0.13777676675765849"/>
    <n v="0.13334429748632365"/>
    <n v="1228500000"/>
    <n v="102579750000"/>
    <n v="3.8891321656050954"/>
    <n v="21.742288710672426"/>
    <m/>
    <m/>
    <s v=""/>
    <m/>
    <m/>
    <m/>
    <s v="Recast A.I spécialisé en chat bot "/>
    <m/>
    <n v="887"/>
    <n v="0"/>
    <s v="DE000716460012016"/>
    <s v="DE0007164600"/>
    <n v="1"/>
    <x v="38"/>
    <m/>
    <m/>
    <m/>
  </r>
  <r>
    <m/>
    <m/>
    <m/>
    <m/>
    <m/>
    <x v="1"/>
    <n v="6.1030154378877599E-2"/>
    <n v="0.21849160611375584"/>
    <n v="0.20766698024459074"/>
    <n v="0.18913612565445037"/>
    <m/>
    <m/>
    <m/>
    <m/>
    <m/>
    <m/>
    <m/>
    <m/>
    <m/>
    <m/>
    <m/>
    <s v=""/>
    <m/>
    <m/>
    <m/>
    <s v="En 2020, acquisition de Emarsys, logiciel d'engagement client omnicanal"/>
    <m/>
    <n v="888"/>
    <n v="0"/>
    <s v="DE00071646001"/>
    <s v="DE0007164600"/>
    <n v="1"/>
    <x v="38"/>
    <m/>
    <m/>
    <m/>
  </r>
  <r>
    <m/>
    <m/>
    <m/>
    <m/>
    <n v="73.400000000000006"/>
    <x v="9"/>
    <n v="20793000000"/>
    <n v="3991000000"/>
    <n v="4252000000"/>
    <n v="3056000000"/>
    <n v="5615000000"/>
    <n v="23267000000"/>
    <n v="18.939356939356941"/>
    <n v="0.13134482314006962"/>
    <n v="0.11735482446456172"/>
    <n v="1228500000"/>
    <n v="90171900000"/>
    <n v="3.8755275712382344"/>
    <n v="24.00072663492859"/>
    <m/>
    <m/>
    <s v=""/>
    <m/>
    <m/>
    <m/>
    <s v="En 2021, acquisition de Signavio pour 1 Md de dollars, logiciel pour améliorer l'efficacité opérationnelle des clients"/>
    <m/>
    <n v="889"/>
    <n v="0"/>
    <s v="DE000716460012015"/>
    <s v="DE0007164600"/>
    <n v="1"/>
    <x v="38"/>
    <m/>
    <m/>
    <m/>
  </r>
  <r>
    <m/>
    <m/>
    <m/>
    <m/>
    <m/>
    <x v="1"/>
    <n v="0.18411161731207293"/>
    <n v="-8.3582089552238781E-2"/>
    <n v="-1.824059108750864E-2"/>
    <n v="-6.8292682926829218E-2"/>
    <m/>
    <m/>
    <m/>
    <m/>
    <m/>
    <m/>
    <m/>
    <m/>
    <m/>
    <m/>
    <m/>
    <s v=""/>
    <m/>
    <m/>
    <m/>
    <s v="Qualtrics spécialisé en expérience management acheté pour 8 Milliards de dollars en 2018 (CA 2019 : 508 millions d'euros, profits : 8 millions d'euros) est introduit en bourse (16% du capital) le 28 janvier 2021 à 46 euros (valeur 27 Md euros) 26 euros en janvier 2022 (16 Md euros) et 1 Md de CA en 2021 et marge à 90%. SAP a 74% de Qualtrics"/>
    <m/>
    <n v="890"/>
    <n v="0"/>
    <s v="DE00071646001"/>
    <s v="DE0007164600"/>
    <n v="1"/>
    <x v="38"/>
    <m/>
    <m/>
    <m/>
  </r>
  <r>
    <m/>
    <m/>
    <m/>
    <m/>
    <n v="58.2"/>
    <x v="10"/>
    <n v="17560000000"/>
    <n v="4355000000"/>
    <n v="4331000000"/>
    <n v="3280000000"/>
    <n v="7670000000"/>
    <n v="19504000000"/>
    <n v="15.876271876271876"/>
    <n v="0.16817063166529941"/>
    <n v="0.18554006968641115"/>
    <n v="1228500000"/>
    <n v="71498700000"/>
    <n v="3.6658480311730925"/>
    <n v="18.178805970149252"/>
    <m/>
    <m/>
    <s v=""/>
    <m/>
    <m/>
    <m/>
    <s v="Hipmunk a lancé une IA qui compare des biens/services a travers de multiple facteurs"/>
    <m/>
    <n v="891"/>
    <n v="0"/>
    <s v="DE000716460012014"/>
    <s v="DE0007164600"/>
    <n v="1"/>
    <x v="38"/>
    <m/>
    <m/>
    <m/>
  </r>
  <r>
    <m/>
    <m/>
    <m/>
    <m/>
    <m/>
    <x v="1"/>
    <n v="4.4305679452869562E-2"/>
    <n v="-9.3266606005459884E-3"/>
    <n v="-3.304308997544092E-2"/>
    <n v="-1.3533834586466176E-2"/>
    <m/>
    <m/>
    <m/>
    <m/>
    <m/>
    <m/>
    <m/>
    <m/>
    <m/>
    <m/>
    <m/>
    <s v=""/>
    <m/>
    <m/>
    <m/>
    <s v="En 2021, l'offre Cloud SAP S/4HANA a séduit 18 000 clients dont 1300 cette année (IBM, Adobe, Allianz, Europcar, Standard Chatered…) 1 Md euros de revenus (+46%) et Cloud à 9,4 Md euros (+17% et 1/3 du CA) déclin sur le software (-17% au 4T)"/>
    <m/>
    <n v="892"/>
    <n v="0"/>
    <s v="DE00071646001"/>
    <s v="DE0007164600"/>
    <n v="1"/>
    <x v="38"/>
    <m/>
    <m/>
    <m/>
  </r>
  <r>
    <m/>
    <m/>
    <m/>
    <m/>
    <n v="61.7"/>
    <x v="11"/>
    <n v="16815000000"/>
    <n v="4396000000"/>
    <n v="4479000000"/>
    <n v="3325000000"/>
    <n v="1467000000"/>
    <n v="16040000000"/>
    <n v="13.056573056573056"/>
    <n v="0.20729426433915213"/>
    <n v="0.20203584531184218"/>
    <n v="1228500000"/>
    <n v="75798450000"/>
    <n v="4.7255891521197011"/>
    <n v="17.576308007279344"/>
    <m/>
    <m/>
    <s v=""/>
    <m/>
    <m/>
    <m/>
    <s v="En 2021, le Cloud de SAP croît aux États-Unis de 1% malgré la concurrence de Microsoft, Apple et Amazon. L'excédent de flux de trésorerie d'exploitation est à 5 Md euros (le flux d'exploitation est 6,2 Md euros soit 25% du CA contre 7,2 Md euros en 2020)"/>
    <m/>
    <n v="893"/>
    <n v="0"/>
    <s v="DE000716460012013"/>
    <s v="DE0007164600"/>
    <n v="1"/>
    <x v="38"/>
    <m/>
    <m/>
    <m/>
  </r>
  <r>
    <m/>
    <m/>
    <m/>
    <m/>
    <m/>
    <x v="1"/>
    <n v="3.6491401097207721E-2"/>
    <n v="0.15806111696522662"/>
    <n v="0.10838901262063838"/>
    <n v="0.18622904031394927"/>
    <m/>
    <m/>
    <m/>
    <m/>
    <m/>
    <m/>
    <m/>
    <m/>
    <m/>
    <m/>
    <m/>
    <s v=""/>
    <m/>
    <m/>
    <m/>
    <s v="En 2022, Cloud à 11,5-11,8 Md euros +25%. Marge du cloud autour de 70% contre 85% et plus pour le software. Départ du CFO en mars 2023 (51 ans pourtant) à suivre"/>
    <m/>
    <n v="894"/>
    <n v="0"/>
    <s v="DE00071646001"/>
    <s v="DE0007164600"/>
    <n v="1"/>
    <x v="38"/>
    <m/>
    <m/>
    <m/>
  </r>
  <r>
    <m/>
    <m/>
    <m/>
    <m/>
    <n v="62.1"/>
    <x v="12"/>
    <n v="16223000000"/>
    <n v="3796000000"/>
    <n v="4041000000"/>
    <n v="2803000000"/>
    <n v="2502000000"/>
    <n v="14125000000"/>
    <n v="11.497761497761498"/>
    <n v="0.19844247787610619"/>
    <n v="0.18227882360016839"/>
    <n v="1228500000"/>
    <n v="76289850000"/>
    <n v="5.4010513274336285"/>
    <n v="20.75654636459431"/>
    <m/>
    <m/>
    <s v=""/>
    <m/>
    <m/>
    <m/>
    <s v="En 2023, cession des 74% Qualtrics à Silver Lake (Etats-Unis) à 18,15 dollars soit 7,7 Md $ pour SAP (valeur totale de la transaction 12,5 Md$). Partenariat commercial maintenu avec Qualtrics, SAP a probablement revendu 16 Md $ Qualtrics acheté 8 Md$ en 2019"/>
    <m/>
    <n v="895"/>
    <n v="0"/>
    <s v="DE000716460012012"/>
    <s v="DE0007164600"/>
    <n v="1"/>
    <x v="38"/>
    <m/>
    <m/>
    <m/>
  </r>
  <r>
    <m/>
    <m/>
    <m/>
    <m/>
    <m/>
    <x v="1"/>
    <m/>
    <m/>
    <m/>
    <m/>
    <m/>
    <m/>
    <m/>
    <m/>
    <m/>
    <m/>
    <m/>
    <m/>
    <m/>
    <m/>
    <m/>
    <s v=""/>
    <m/>
    <m/>
    <m/>
    <s v="Objectif 2025 : 36 Md euros de CA (10% par an), 22 Md euros dans le Cloud (multiplié par deux en 3 ans) passage de 40% à 66% du CA. 8 Md euros d'excédent de flux. Taux d'IS à 25%. "/>
    <m/>
    <n v="896"/>
    <n v="0"/>
    <s v="DE00071646001"/>
    <s v="DE0007164600"/>
    <n v="1"/>
    <x v="38"/>
    <m/>
    <m/>
    <m/>
  </r>
  <r>
    <m/>
    <m/>
    <m/>
    <m/>
    <m/>
    <x v="1"/>
    <m/>
    <m/>
    <m/>
    <m/>
    <m/>
    <m/>
    <m/>
    <m/>
    <m/>
    <m/>
    <m/>
    <m/>
    <m/>
    <m/>
    <m/>
    <s v=""/>
    <m/>
    <m/>
    <m/>
    <s v="Création de valeur 2025 : 9 Md euros de rex soit 6,75 Md pour 37 Md de capitaux soit 18% soit création de valeur de 4-5 Md euros par an soit 100 Md euros à ajouter aux Fonds propes soit 150 Md euros de capitalisation boursière"/>
    <m/>
    <n v="897"/>
    <n v="0"/>
    <s v="DE00071646001"/>
    <s v="DE0007164600"/>
    <n v="1"/>
    <x v="38"/>
    <m/>
    <m/>
    <m/>
  </r>
  <r>
    <m/>
    <m/>
    <m/>
    <m/>
    <m/>
    <x v="1"/>
    <m/>
    <m/>
    <m/>
    <m/>
    <m/>
    <m/>
    <m/>
    <m/>
    <m/>
    <m/>
    <m/>
    <m/>
    <m/>
    <m/>
    <m/>
    <s v=""/>
    <m/>
    <m/>
    <m/>
    <s v="Engagement social et environnemental élevé et en bonne voie"/>
    <m/>
    <n v="898"/>
    <n v="0"/>
    <s v="DE00071646001"/>
    <s v="DE0007164600"/>
    <n v="1"/>
    <x v="38"/>
    <m/>
    <m/>
    <m/>
  </r>
  <r>
    <m/>
    <m/>
    <m/>
    <m/>
    <m/>
    <x v="1"/>
    <m/>
    <m/>
    <m/>
    <m/>
    <m/>
    <m/>
    <m/>
    <m/>
    <m/>
    <m/>
    <m/>
    <m/>
    <m/>
    <m/>
    <m/>
    <s v=""/>
    <m/>
    <m/>
    <m/>
    <s v="CAC : KPMG (un seul CAC en Allemagne)"/>
    <m/>
    <n v="899"/>
    <n v="0"/>
    <s v="DE00071646001"/>
    <s v="DE0007164600"/>
    <n v="1"/>
    <x v="38"/>
    <m/>
    <m/>
    <m/>
  </r>
  <r>
    <m/>
    <m/>
    <m/>
    <m/>
    <m/>
    <x v="1"/>
    <m/>
    <m/>
    <m/>
    <m/>
    <m/>
    <m/>
    <m/>
    <m/>
    <m/>
    <m/>
    <m/>
    <m/>
    <m/>
    <m/>
    <m/>
    <s v=""/>
    <m/>
    <m/>
    <m/>
    <s v="Minoritaire : faible (Qualtrics détenue à 74%)"/>
    <m/>
    <n v="900"/>
    <n v="0"/>
    <s v="DE00071646001"/>
    <s v="DE0007164600"/>
    <n v="1"/>
    <x v="38"/>
    <m/>
    <m/>
    <m/>
  </r>
  <r>
    <m/>
    <m/>
    <m/>
    <m/>
    <m/>
    <x v="1"/>
    <m/>
    <m/>
    <m/>
    <m/>
    <m/>
    <m/>
    <m/>
    <m/>
    <m/>
    <m/>
    <m/>
    <m/>
    <m/>
    <m/>
    <m/>
    <s v=""/>
    <m/>
    <m/>
    <m/>
    <s v="Pay out ratio : autour de 40% "/>
    <m/>
    <n v="901"/>
    <n v="0"/>
    <s v="DE00071646001"/>
    <s v="DE0007164600"/>
    <n v="1"/>
    <x v="38"/>
    <m/>
    <m/>
    <m/>
  </r>
  <r>
    <m/>
    <m/>
    <m/>
    <m/>
    <m/>
    <x v="1"/>
    <m/>
    <m/>
    <m/>
    <m/>
    <m/>
    <m/>
    <m/>
    <m/>
    <m/>
    <m/>
    <m/>
    <m/>
    <m/>
    <m/>
    <m/>
    <s v=""/>
    <m/>
    <m/>
    <m/>
    <m/>
    <m/>
    <n v="902"/>
    <n v="0"/>
    <s v="DE00071646001"/>
    <s v="DE0007164600"/>
    <n v="1"/>
    <x v="38"/>
    <m/>
    <m/>
    <m/>
  </r>
  <r>
    <m/>
    <m/>
    <m/>
    <m/>
    <m/>
    <x v="1"/>
    <m/>
    <m/>
    <m/>
    <m/>
    <m/>
    <m/>
    <m/>
    <m/>
    <m/>
    <m/>
    <m/>
    <m/>
    <m/>
    <m/>
    <m/>
    <s v=""/>
    <m/>
    <m/>
    <m/>
    <m/>
    <m/>
    <n v="903"/>
    <n v="0"/>
    <s v="DE00071646001"/>
    <s v="DE0007164600"/>
    <n v="1"/>
    <x v="38"/>
    <m/>
    <m/>
    <m/>
  </r>
  <r>
    <m/>
    <m/>
    <m/>
    <m/>
    <m/>
    <x v="1"/>
    <m/>
    <m/>
    <m/>
    <m/>
    <m/>
    <m/>
    <m/>
    <m/>
    <m/>
    <m/>
    <m/>
    <m/>
    <m/>
    <m/>
    <m/>
    <s v=""/>
    <m/>
    <m/>
    <m/>
    <m/>
    <m/>
    <n v="904"/>
    <n v="0"/>
    <s v="DE00071646001"/>
    <s v="DE0007164600"/>
    <n v="1"/>
    <x v="38"/>
    <m/>
    <m/>
    <m/>
  </r>
  <r>
    <m/>
    <m/>
    <m/>
    <m/>
    <m/>
    <x v="1"/>
    <m/>
    <m/>
    <m/>
    <m/>
    <m/>
    <m/>
    <m/>
    <m/>
    <m/>
    <m/>
    <m/>
    <m/>
    <m/>
    <m/>
    <m/>
    <s v=""/>
    <m/>
    <m/>
    <m/>
    <m/>
    <m/>
    <n v="905"/>
    <n v="0"/>
    <s v="DE00071646001"/>
    <s v="DE0007164600"/>
    <n v="1"/>
    <x v="38"/>
    <m/>
    <m/>
    <m/>
  </r>
  <r>
    <m/>
    <m/>
    <m/>
    <m/>
    <m/>
    <x v="1"/>
    <m/>
    <m/>
    <m/>
    <m/>
    <m/>
    <m/>
    <m/>
    <m/>
    <m/>
    <m/>
    <m/>
    <m/>
    <m/>
    <m/>
    <m/>
    <s v=""/>
    <m/>
    <m/>
    <m/>
    <m/>
    <m/>
    <n v="906"/>
    <n v="0"/>
    <s v="DE00071646001"/>
    <s v="DE0007164600"/>
    <n v="1"/>
    <x v="38"/>
    <m/>
    <m/>
    <m/>
  </r>
  <r>
    <s v="OVHcloud"/>
    <s v="Cloud"/>
    <s v="France"/>
    <s v="Euro"/>
    <n v="15"/>
    <x v="0"/>
    <n v="914079999.99999988"/>
    <n v="356491199.99999994"/>
    <n v="60000000"/>
    <n v="25000000"/>
    <n v="600000000"/>
    <n v="490000000"/>
    <n v="2.5990184112130437"/>
    <n v="5.1020408163265307E-2"/>
    <n v="3.8532110091743121E-2"/>
    <n v="188532716"/>
    <n v="2827990740"/>
    <n v="5.771409673469388"/>
    <n v="9.6159196636550934"/>
    <m/>
    <n v="2800"/>
    <n v="326457.14285714284"/>
    <m/>
    <m/>
    <m/>
    <s v="Fondée en 1999 par Octave Klaba (né en 1975) spécialisée dans l'hébergement de site puis les serveurs et le Cloud"/>
    <m/>
    <n v="907"/>
    <n v="0"/>
    <s v="FR0014005HJ912023"/>
    <s v="FR0014005HJ9"/>
    <n v="1"/>
    <x v="39"/>
    <m/>
    <m/>
    <m/>
  </r>
  <r>
    <m/>
    <m/>
    <m/>
    <m/>
    <m/>
    <x v="1"/>
    <n v="0.15999999999999992"/>
    <n v="0.15743896103896082"/>
    <n v="-3.9291154071470418"/>
    <n v="-1.8755340757862295"/>
    <m/>
    <m/>
    <m/>
    <m/>
    <m/>
    <m/>
    <m/>
    <m/>
    <m/>
    <m/>
    <m/>
    <s v=""/>
    <m/>
    <m/>
    <m/>
    <s v="Actionnaire : famille Klaba à 77%. Flottant entre 11,5% et 13,2%"/>
    <m/>
    <n v="908"/>
    <n v="0"/>
    <s v="FR0014005HJ91"/>
    <s v="FR0014005HJ9"/>
    <n v="1"/>
    <x v="39"/>
    <m/>
    <m/>
    <m/>
  </r>
  <r>
    <m/>
    <m/>
    <m/>
    <m/>
    <n v="15.98"/>
    <x v="2"/>
    <n v="788000000"/>
    <n v="308000000"/>
    <n v="-20484000"/>
    <n v="-28554000"/>
    <n v="525000000"/>
    <n v="468349000"/>
    <n v="2.484178926271873"/>
    <n v="-6.0967355540419647E-2"/>
    <n v="-1.4434805894001E-2"/>
    <n v="188532716"/>
    <n v="3012752801.6800003"/>
    <n v="6.432708944996147"/>
    <n v="11.486210395064935"/>
    <m/>
    <n v="2800"/>
    <n v="281428.57142857142"/>
    <n v="-195000000"/>
    <m/>
    <m/>
    <s v="1,6 Millions de clients : France (52%), Europe (80%), États-Unis (6%) deuxième pays. Top 10 mondial. Projet en Inde, Singapour, Canada et États-Unis "/>
    <m/>
    <n v="909"/>
    <n v="0"/>
    <s v="FR0014005HJ912022"/>
    <s v="FR0014005HJ9"/>
    <n v="1"/>
    <x v="39"/>
    <m/>
    <m/>
    <m/>
  </r>
  <r>
    <m/>
    <m/>
    <m/>
    <m/>
    <m/>
    <x v="1"/>
    <n v="0.18746232670283303"/>
    <n v="0.28317293671624388"/>
    <n v="-4.1465437788018438"/>
    <n v="-0.11717783823893146"/>
    <m/>
    <m/>
    <m/>
    <m/>
    <m/>
    <m/>
    <m/>
    <m/>
    <m/>
    <m/>
    <m/>
    <s v=""/>
    <m/>
    <m/>
    <m/>
    <s v="33 data centers et 450 000 serveurs"/>
    <m/>
    <n v="910"/>
    <n v="0"/>
    <s v="FR0014005HJ91"/>
    <s v="FR0014005HJ9"/>
    <n v="1"/>
    <x v="39"/>
    <m/>
    <m/>
    <m/>
  </r>
  <r>
    <m/>
    <m/>
    <m/>
    <m/>
    <n v="25.4"/>
    <x v="3"/>
    <n v="663600000"/>
    <n v="240030000"/>
    <n v="6510000"/>
    <n v="-32344000"/>
    <n v="708631000"/>
    <n v="108798000"/>
    <n v="0.57707756143501376"/>
    <n v="-0.29728487656023089"/>
    <n v="5.5747960984990743E-3"/>
    <n v="188532716"/>
    <n v="4788730986.3999996"/>
    <n v="44.014880663247482"/>
    <n v="22.902812091821854"/>
    <m/>
    <n v="2400"/>
    <n v="276500"/>
    <n v="-86000000"/>
    <m/>
    <m/>
    <s v="Cloud public : 13% du CA - Cloud privé : 62% du CA et hébergement de site : 25% du CA. Marge assez proche entre ces 3 segments de produits comme au niveau géographique"/>
    <m/>
    <n v="911"/>
    <n v="0"/>
    <s v="FR0014005HJ912021"/>
    <s v="FR0014005HJ9"/>
    <n v="1"/>
    <x v="39"/>
    <m/>
    <m/>
    <m/>
  </r>
  <r>
    <m/>
    <m/>
    <m/>
    <m/>
    <m/>
    <x v="1"/>
    <n v="5.0000000000000044E-2"/>
    <n v="-5.8572975008236439E-2"/>
    <n v="-0.78725490196078429"/>
    <n v="1.8607818857243941"/>
    <m/>
    <m/>
    <m/>
    <m/>
    <m/>
    <m/>
    <m/>
    <m/>
    <m/>
    <m/>
    <m/>
    <s v=""/>
    <m/>
    <m/>
    <m/>
    <s v="Construction de Data Centers, développement de nouveaux produits et petites acquisitions soit autour de 300 M euros par an proche du flux opérationnel de chaque année aidée par un BFR négatif"/>
    <m/>
    <n v="912"/>
    <n v="0"/>
    <s v="FR0014005HJ91"/>
    <s v="FR0014005HJ9"/>
    <n v="1"/>
    <x v="39"/>
    <m/>
    <m/>
    <m/>
  </r>
  <r>
    <m/>
    <m/>
    <m/>
    <m/>
    <m/>
    <x v="4"/>
    <n v="632000000"/>
    <n v="254964000"/>
    <n v="30600000"/>
    <n v="-11306000"/>
    <n v="575559000"/>
    <n v="120379000"/>
    <m/>
    <n v="-9.3920035886657968E-2"/>
    <n v="3.0778603841146768E-2"/>
    <m/>
    <m/>
    <m/>
    <m/>
    <m/>
    <m/>
    <s v=""/>
    <m/>
    <m/>
    <m/>
    <s v="Croissance par de nouveaux pays et de nouvelles technologies."/>
    <m/>
    <n v="913"/>
    <n v="0"/>
    <s v="FR0014005HJ912020"/>
    <s v="FR0014005HJ9"/>
    <n v="1"/>
    <x v="39"/>
    <m/>
    <m/>
    <m/>
  </r>
  <r>
    <m/>
    <m/>
    <m/>
    <m/>
    <m/>
    <x v="1"/>
    <n v="8.8904203997243192E-2"/>
    <n v="0.19645236977944625"/>
    <n v="-3.125"/>
    <n v="-0.72356968215158923"/>
    <m/>
    <m/>
    <m/>
    <m/>
    <m/>
    <m/>
    <m/>
    <m/>
    <m/>
    <m/>
    <m/>
    <s v=""/>
    <m/>
    <m/>
    <m/>
    <s v="Suite à l'incendie de Strasbourg, la société a reçu 58 M euros de dédommagement"/>
    <m/>
    <n v="914"/>
    <n v="0"/>
    <s v="FR0014005HJ91"/>
    <s v="FR0014005HJ9"/>
    <n v="1"/>
    <x v="39"/>
    <m/>
    <m/>
    <m/>
  </r>
  <r>
    <m/>
    <m/>
    <m/>
    <m/>
    <m/>
    <x v="5"/>
    <n v="580400000"/>
    <n v="213100000"/>
    <n v="-14400000"/>
    <n v="-40900000"/>
    <n v="365100000"/>
    <n v="284200000"/>
    <m/>
    <n v="-0.14391273750879663"/>
    <n v="-1.5524410904050516E-2"/>
    <m/>
    <m/>
    <m/>
    <m/>
    <m/>
    <m/>
    <s v=""/>
    <m/>
    <m/>
    <m/>
    <s v="IPO le 15 octobre à 18,5 euros soit 3,5 Md euros et une augmentation de capital de 350 M euros. Sortie des fonds d'investissement KKR, Towwer Brook capital et certains membres de la famille Klaba et salariés"/>
    <m/>
    <n v="915"/>
    <n v="0"/>
    <s v="FR0014005HJ912019"/>
    <s v="FR0014005HJ9"/>
    <n v="1"/>
    <x v="39"/>
    <m/>
    <m/>
    <m/>
  </r>
  <r>
    <m/>
    <m/>
    <m/>
    <m/>
    <m/>
    <x v="1"/>
    <n v="0.13425835450459256"/>
    <n v="0.37129987129987141"/>
    <n v="-0.36563876651982374"/>
    <n v="0.46594982078853042"/>
    <m/>
    <m/>
    <m/>
    <m/>
    <m/>
    <m/>
    <m/>
    <m/>
    <m/>
    <m/>
    <m/>
    <s v=""/>
    <m/>
    <m/>
    <m/>
    <s v="Clôture de l'exercice fiscal le 31 août"/>
    <m/>
    <n v="916"/>
    <n v="0"/>
    <s v="FR0014005HJ91"/>
    <s v="FR0014005HJ9"/>
    <n v="1"/>
    <x v="39"/>
    <m/>
    <m/>
    <m/>
  </r>
  <r>
    <m/>
    <m/>
    <m/>
    <m/>
    <m/>
    <x v="6"/>
    <n v="511700000"/>
    <n v="155400000"/>
    <n v="-22700000"/>
    <n v="-27900000"/>
    <n v="293800000"/>
    <n v="318100000"/>
    <m/>
    <n v="-8.7708267840301793E-2"/>
    <n v="-2.5968295473116521E-2"/>
    <m/>
    <m/>
    <m/>
    <m/>
    <m/>
    <m/>
    <s v=""/>
    <m/>
    <m/>
    <m/>
    <s v="En 2021, chiffre d'affaires en ligne avec les attentes, développement avec les partenaires Atos, Cap et Sopra. Premiers clients : LVMH, Auchan, Société Générale"/>
    <m/>
    <n v="917"/>
    <n v="0"/>
    <s v="FR0014005HJ912018"/>
    <s v="FR0014005HJ9"/>
    <n v="1"/>
    <x v="39"/>
    <m/>
    <m/>
    <m/>
  </r>
  <r>
    <m/>
    <m/>
    <m/>
    <m/>
    <m/>
    <x v="1"/>
    <m/>
    <m/>
    <m/>
    <m/>
    <m/>
    <m/>
    <m/>
    <m/>
    <m/>
    <m/>
    <m/>
    <m/>
    <m/>
    <m/>
    <m/>
    <s v=""/>
    <m/>
    <m/>
    <m/>
    <s v="En 2022, croissance revu entre 15% et 17% expansion en France (+7% au 1S) aux États-Unis (+80%) et Asie (+34%) quelques coûts liés à l'IPO, l'incendie de Strasbourg et acquisition. Valeur ajoutée des solutions ?"/>
    <m/>
    <n v="918"/>
    <n v="0"/>
    <s v="FR0014005HJ91"/>
    <s v="FR0014005HJ9"/>
    <n v="1"/>
    <x v="39"/>
    <m/>
    <m/>
    <m/>
  </r>
  <r>
    <m/>
    <m/>
    <m/>
    <m/>
    <m/>
    <x v="23"/>
    <m/>
    <m/>
    <m/>
    <m/>
    <m/>
    <m/>
    <m/>
    <m/>
    <m/>
    <m/>
    <m/>
    <m/>
    <m/>
    <m/>
    <m/>
    <s v=""/>
    <m/>
    <m/>
    <m/>
    <s v="Couverture de taux ramenant le coût des crédits à 2,3% et l'électricité représente 5 à 10% du CA"/>
    <m/>
    <n v="919"/>
    <n v="0"/>
    <s v="FR0014005HJ91IPO à 18,5 euros le 15 octobre 2021"/>
    <s v="FR0014005HJ9"/>
    <n v="1"/>
    <x v="39"/>
    <m/>
    <m/>
    <m/>
  </r>
  <r>
    <m/>
    <m/>
    <m/>
    <m/>
    <m/>
    <x v="1"/>
    <m/>
    <m/>
    <m/>
    <m/>
    <m/>
    <m/>
    <m/>
    <m/>
    <m/>
    <m/>
    <m/>
    <m/>
    <m/>
    <m/>
    <m/>
    <s v=""/>
    <m/>
    <m/>
    <m/>
    <s v="Lourd investissement annuel pour financer la croissance : 450 M euros en 2022 soit 57% du CA et forcément free cash flow négatif"/>
    <m/>
    <n v="920"/>
    <n v="0"/>
    <s v="FR0014005HJ91"/>
    <s v="FR0014005HJ9"/>
    <n v="1"/>
    <x v="39"/>
    <m/>
    <m/>
    <m/>
  </r>
  <r>
    <m/>
    <m/>
    <m/>
    <m/>
    <m/>
    <x v="1"/>
    <m/>
    <m/>
    <m/>
    <m/>
    <m/>
    <m/>
    <m/>
    <m/>
    <m/>
    <m/>
    <m/>
    <m/>
    <m/>
    <m/>
    <m/>
    <s v=""/>
    <m/>
    <m/>
    <m/>
    <s v="Objectif : 25% de croissance par an du chiffre d'affaires soit un chiffre d'affaires 2025 à 1,6 Md e (peut-être 1,5 Md e) et EBE : 40% (peut-être 38% revu à 42% ) soit 640 M euros. Valorisation à 3-4 Md euros soit 15-20 euros et2 fois le CA, 4 fois l'actif net, VE/EBE = 7 fois et 30 fois le RN"/>
    <m/>
    <n v="921"/>
    <n v="0"/>
    <s v="FR0014005HJ91"/>
    <s v="FR0014005HJ9"/>
    <n v="1"/>
    <x v="39"/>
    <m/>
    <m/>
    <m/>
  </r>
  <r>
    <m/>
    <m/>
    <m/>
    <m/>
    <m/>
    <x v="1"/>
    <m/>
    <m/>
    <m/>
    <m/>
    <m/>
    <m/>
    <m/>
    <m/>
    <m/>
    <m/>
    <m/>
    <m/>
    <m/>
    <m/>
    <m/>
    <s v=""/>
    <m/>
    <m/>
    <m/>
    <s v="Part de marché mondial du Cloud : Amazon : 41%, Microsoft : 20%, Google : 6% (perd de l'argent pour l'instant), Apple, SAP et OVH. L'activité devrait doubler en 3 ans selon SAP : 25,96% par an et marge à 70% (effet d'échelle)"/>
    <m/>
    <n v="922"/>
    <n v="0"/>
    <s v="FR0014005HJ91"/>
    <s v="FR0014005HJ9"/>
    <n v="1"/>
    <x v="39"/>
    <m/>
    <m/>
    <m/>
  </r>
  <r>
    <m/>
    <m/>
    <m/>
    <m/>
    <m/>
    <x v="1"/>
    <m/>
    <m/>
    <m/>
    <m/>
    <m/>
    <m/>
    <m/>
    <m/>
    <m/>
    <m/>
    <m/>
    <m/>
    <m/>
    <m/>
    <m/>
    <s v=""/>
    <m/>
    <m/>
    <m/>
    <s v="Minoritaires : peu"/>
    <m/>
    <n v="923"/>
    <n v="0"/>
    <s v="FR0014005HJ91"/>
    <s v="FR0014005HJ9"/>
    <n v="1"/>
    <x v="39"/>
    <m/>
    <m/>
    <m/>
  </r>
  <r>
    <m/>
    <m/>
    <m/>
    <m/>
    <m/>
    <x v="1"/>
    <m/>
    <m/>
    <m/>
    <m/>
    <m/>
    <m/>
    <m/>
    <m/>
    <m/>
    <m/>
    <m/>
    <m/>
    <m/>
    <m/>
    <m/>
    <s v=""/>
    <m/>
    <m/>
    <m/>
    <s v="CAC : Grant Thorton &amp; KPMG"/>
    <m/>
    <n v="924"/>
    <n v="0"/>
    <s v="FR0014005HJ91"/>
    <s v="FR0014005HJ9"/>
    <n v="1"/>
    <x v="39"/>
    <m/>
    <m/>
    <m/>
  </r>
  <r>
    <m/>
    <m/>
    <m/>
    <m/>
    <m/>
    <x v="1"/>
    <m/>
    <m/>
    <m/>
    <m/>
    <m/>
    <m/>
    <m/>
    <m/>
    <m/>
    <m/>
    <m/>
    <m/>
    <m/>
    <m/>
    <m/>
    <s v=""/>
    <m/>
    <m/>
    <m/>
    <s v="Taux de distribution : 0% - financement de la croissance"/>
    <m/>
    <n v="925"/>
    <n v="0"/>
    <s v="FR0014005HJ91"/>
    <s v="FR0014005HJ9"/>
    <n v="1"/>
    <x v="39"/>
    <m/>
    <m/>
    <m/>
  </r>
  <r>
    <m/>
    <m/>
    <m/>
    <m/>
    <m/>
    <x v="1"/>
    <m/>
    <m/>
    <m/>
    <m/>
    <m/>
    <m/>
    <m/>
    <m/>
    <m/>
    <m/>
    <m/>
    <m/>
    <m/>
    <m/>
    <m/>
    <s v=""/>
    <m/>
    <m/>
    <m/>
    <m/>
    <m/>
    <n v="926"/>
    <n v="0"/>
    <s v="FR0014005HJ91"/>
    <s v="FR0014005HJ9"/>
    <n v="1"/>
    <x v="39"/>
    <m/>
    <m/>
    <m/>
  </r>
  <r>
    <m/>
    <m/>
    <m/>
    <m/>
    <m/>
    <x v="1"/>
    <m/>
    <m/>
    <m/>
    <m/>
    <m/>
    <m/>
    <m/>
    <m/>
    <m/>
    <m/>
    <m/>
    <m/>
    <m/>
    <m/>
    <m/>
    <s v=""/>
    <m/>
    <m/>
    <m/>
    <m/>
    <m/>
    <n v="927"/>
    <n v="0"/>
    <s v="FR0014005HJ91"/>
    <s v="FR0014005HJ9"/>
    <n v="1"/>
    <x v="39"/>
    <m/>
    <m/>
    <m/>
  </r>
  <r>
    <m/>
    <m/>
    <m/>
    <m/>
    <m/>
    <x v="1"/>
    <m/>
    <m/>
    <m/>
    <m/>
    <m/>
    <m/>
    <m/>
    <m/>
    <m/>
    <m/>
    <m/>
    <m/>
    <m/>
    <m/>
    <m/>
    <s v=""/>
    <m/>
    <m/>
    <m/>
    <m/>
    <m/>
    <n v="928"/>
    <n v="0"/>
    <s v="FR0014005HJ91"/>
    <s v="FR0014005HJ9"/>
    <n v="1"/>
    <x v="39"/>
    <m/>
    <m/>
    <m/>
  </r>
  <r>
    <m/>
    <m/>
    <m/>
    <m/>
    <m/>
    <x v="1"/>
    <m/>
    <m/>
    <m/>
    <m/>
    <m/>
    <m/>
    <m/>
    <m/>
    <m/>
    <m/>
    <m/>
    <m/>
    <m/>
    <m/>
    <m/>
    <s v=""/>
    <m/>
    <m/>
    <m/>
    <m/>
    <m/>
    <n v="929"/>
    <n v="0"/>
    <s v="FR0014005HJ91"/>
    <s v="FR0014005HJ9"/>
    <n v="1"/>
    <x v="39"/>
    <m/>
    <m/>
    <m/>
  </r>
  <r>
    <s v="Blackline"/>
    <s v="Editeur de Logiciels"/>
    <s v="États-Unis"/>
    <s v="Dollar"/>
    <n v="103.5"/>
    <x v="3"/>
    <n v="415000000"/>
    <n v="55000000"/>
    <n v="50000000"/>
    <n v="26000000"/>
    <n v="-135587000"/>
    <n v="450000000"/>
    <n v="7.1770334928229662"/>
    <n v="5.7777777777777775E-2"/>
    <n v="0.11131855234993464"/>
    <n v="62700000"/>
    <n v="6489450000"/>
    <n v="14.420999999999999"/>
    <n v="115.52478181818182"/>
    <m/>
    <m/>
    <s v=""/>
    <m/>
    <m/>
    <m/>
    <s v="Fondé en 2001 par Therese Tucker (née en 1961) (executive chair), CEO Marc Huffman (depuis 2021)"/>
    <m/>
    <n v="930"/>
    <n v="0"/>
    <s v="US09239B1098 12021"/>
    <s v="US09239B1098 "/>
    <n v="1"/>
    <x v="40"/>
    <m/>
    <m/>
    <m/>
  </r>
  <r>
    <m/>
    <m/>
    <m/>
    <m/>
    <m/>
    <x v="1"/>
    <n v="0.17985881496686451"/>
    <n v="-3.7650696294806698"/>
    <n v="-2.2919896640826876"/>
    <n v="-1.5542410095713159"/>
    <m/>
    <m/>
    <m/>
    <m/>
    <m/>
    <m/>
    <m/>
    <m/>
    <m/>
    <m/>
    <m/>
    <s v=""/>
    <m/>
    <m/>
    <m/>
    <s v="Société éditrice de logiciel comptable dans le cloud présent aux États-Unis principalement "/>
    <m/>
    <n v="931"/>
    <n v="0"/>
    <s v="US09239B1098 1"/>
    <s v="US09239B1098 "/>
    <n v="1"/>
    <x v="40"/>
    <m/>
    <m/>
    <m/>
  </r>
  <r>
    <m/>
    <m/>
    <m/>
    <m/>
    <n v="133.38"/>
    <x v="4"/>
    <n v="351737000"/>
    <n v="-19891000"/>
    <n v="-38700000"/>
    <n v="-46911000"/>
    <n v="-135587000"/>
    <n v="422070000"/>
    <n v="7.4967992466504505"/>
    <n v="-0.11114507072286588"/>
    <n v="-9.4560584746738896E-2"/>
    <n v="56300027"/>
    <n v="7509297601.2599993"/>
    <n v="17.791592866728266"/>
    <n v="-370.70587709315765"/>
    <m/>
    <m/>
    <s v=""/>
    <m/>
    <m/>
    <m/>
    <s v="Entrée en bourse en octobre 2016 à 23,7 dollars"/>
    <m/>
    <n v="932"/>
    <n v="0"/>
    <s v="US09239B1098 12020"/>
    <s v="US09239B1098 "/>
    <n v="1"/>
    <x v="40"/>
    <m/>
    <m/>
    <m/>
  </r>
  <r>
    <m/>
    <m/>
    <m/>
    <m/>
    <m/>
    <x v="1"/>
    <n v="0.21718412601738546"/>
    <n v="-0.28703537761210074"/>
    <n v="0.27214752966700639"/>
    <n v="0.44186260949746425"/>
    <m/>
    <m/>
    <m/>
    <m/>
    <m/>
    <m/>
    <m/>
    <m/>
    <m/>
    <m/>
    <m/>
    <s v=""/>
    <m/>
    <m/>
    <m/>
    <s v="291 873 (+9%) utilisateurs en 2020 pour 3 433 (+6%) clients"/>
    <m/>
    <n v="933"/>
    <n v="0"/>
    <s v="US09239B1098 1"/>
    <s v="US09239B1098 "/>
    <n v="1"/>
    <x v="40"/>
    <m/>
    <m/>
    <m/>
  </r>
  <r>
    <m/>
    <m/>
    <m/>
    <m/>
    <n v="51.56"/>
    <x v="5"/>
    <n v="288976000"/>
    <n v="-27899000"/>
    <n v="-30421000"/>
    <n v="-32535000"/>
    <n v="-223403000"/>
    <n v="398613000"/>
    <n v="7.1268713729636204"/>
    <n v="-8.1620519150153156E-2"/>
    <n v="-0.12153815421494207"/>
    <n v="55930994"/>
    <n v="2883802050.6400003"/>
    <n v="7.2345910711391763"/>
    <n v="-95.358222539875996"/>
    <m/>
    <m/>
    <s v=""/>
    <m/>
    <m/>
    <m/>
    <s v="Il y a 6M d'entreprise aux États-Unis"/>
    <m/>
    <n v="934"/>
    <n v="0"/>
    <s v="US09239B1098 12019"/>
    <s v="US09239B1098 "/>
    <n v="1"/>
    <x v="40"/>
    <m/>
    <m/>
    <m/>
  </r>
  <r>
    <m/>
    <m/>
    <m/>
    <m/>
    <m/>
    <x v="1"/>
    <n v="0.26861818884225674"/>
    <n v="-6.4921571256200572E-2"/>
    <n v="9.8072480508229809E-2"/>
    <n v="0.13307097583060523"/>
    <m/>
    <m/>
    <m/>
    <m/>
    <m/>
    <m/>
    <m/>
    <m/>
    <m/>
    <m/>
    <m/>
    <s v=""/>
    <m/>
    <m/>
    <m/>
    <s v="License entre 1 000 et 1 200 dollars par an"/>
    <m/>
    <n v="935"/>
    <n v="0"/>
    <s v="US09239B1098 1"/>
    <s v="US09239B1098 "/>
    <n v="1"/>
    <x v="40"/>
    <m/>
    <m/>
    <m/>
  </r>
  <r>
    <m/>
    <m/>
    <m/>
    <m/>
    <n v="40.950000000000003"/>
    <x v="6"/>
    <n v="227788000"/>
    <n v="-29836000"/>
    <n v="-27704000"/>
    <n v="-28714000"/>
    <n v="-132577000"/>
    <n v="319267000"/>
    <n v="5.8385432585222148"/>
    <n v="-8.9937262542010288E-2"/>
    <n v="-0.10387701537307836"/>
    <n v="54682647"/>
    <n v="2239254394.6500001"/>
    <n v="7.0137358218982859"/>
    <n v="-70.608573356012869"/>
    <m/>
    <m/>
    <s v=""/>
    <m/>
    <m/>
    <m/>
    <s v="77% du CA réalisé aux États-Unis 23% dans le reste du monde"/>
    <m/>
    <n v="936"/>
    <n v="0"/>
    <s v="US09239B1098 12018"/>
    <s v="US09239B1098 "/>
    <n v="1"/>
    <x v="40"/>
    <m/>
    <m/>
    <m/>
  </r>
  <r>
    <m/>
    <m/>
    <m/>
    <m/>
    <m/>
    <x v="1"/>
    <n v="0.29717601635507362"/>
    <n v="-1.8843105659508752E-2"/>
    <n v="-0.15647169868769606"/>
    <n v="-0.1405052681992337"/>
    <m/>
    <m/>
    <m/>
    <m/>
    <m/>
    <m/>
    <m/>
    <m/>
    <m/>
    <m/>
    <m/>
    <s v=""/>
    <m/>
    <m/>
    <m/>
    <s v="Trésorie d'exploitation positive de 50M euros par an"/>
    <m/>
    <n v="937"/>
    <n v="0"/>
    <s v="US09239B1098 1"/>
    <s v="US09239B1098 "/>
    <n v="1"/>
    <x v="40"/>
    <m/>
    <m/>
    <m/>
  </r>
  <r>
    <m/>
    <m/>
    <m/>
    <m/>
    <n v="33.409999999999997"/>
    <x v="7"/>
    <n v="175603000"/>
    <n v="-30409000"/>
    <n v="-32843000"/>
    <n v="-33408000"/>
    <n v="-112580000"/>
    <n v="315913000"/>
    <n v="5.9625351527848558"/>
    <n v="-0.10575063387704843"/>
    <n v="-0.11306625092828021"/>
    <n v="52983000"/>
    <n v="1770162029.9999998"/>
    <n v="5.6033212624994846"/>
    <n v="-54.509586964385534"/>
    <m/>
    <m/>
    <s v=""/>
    <m/>
    <m/>
    <m/>
    <s v="1 055 salariés soit un CA de 273 910 dollars par employé"/>
    <m/>
    <n v="938"/>
    <n v="0"/>
    <s v="US09239B1098 12017"/>
    <s v="US09239B1098 "/>
    <n v="1"/>
    <x v="40"/>
    <m/>
    <m/>
    <m/>
  </r>
  <r>
    <m/>
    <m/>
    <m/>
    <m/>
    <m/>
    <x v="1"/>
    <n v="0.37153412374837935"/>
    <n v="0.31169391364361809"/>
    <n v="-6.1494499214173493E-2"/>
    <n v="0.24022719679251581"/>
    <m/>
    <m/>
    <m/>
    <m/>
    <m/>
    <m/>
    <m/>
    <m/>
    <m/>
    <m/>
    <m/>
    <s v=""/>
    <m/>
    <m/>
    <m/>
    <s v="Clients : Saint Gobain, Veolia, Coca-Cola…"/>
    <m/>
    <n v="939"/>
    <n v="0"/>
    <s v="US09239B1098 1"/>
    <s v="US09239B1098 "/>
    <n v="1"/>
    <x v="40"/>
    <m/>
    <m/>
    <m/>
  </r>
  <r>
    <m/>
    <m/>
    <m/>
    <m/>
    <n v="27.63"/>
    <x v="8"/>
    <n v="128034000"/>
    <n v="-23183000"/>
    <n v="-34995000"/>
    <n v="-26937000"/>
    <n v="-105248000"/>
    <n v="308042000"/>
    <n v="6.0072935761925192"/>
    <n v="-8.7445867771277941E-2"/>
    <n v="-0.1207949939347318"/>
    <n v="51278000"/>
    <n v="1416811140"/>
    <n v="4.5994089766979824"/>
    <n v="-56.574349307682354"/>
    <m/>
    <m/>
    <s v=""/>
    <m/>
    <m/>
    <m/>
    <s v="Financement par des obligations convertibles"/>
    <m/>
    <n v="940"/>
    <n v="0"/>
    <s v="US09239B1098 12016"/>
    <s v="US09239B1098 "/>
    <n v="1"/>
    <x v="40"/>
    <m/>
    <m/>
    <m/>
  </r>
  <r>
    <m/>
    <m/>
    <m/>
    <m/>
    <m/>
    <x v="1"/>
    <m/>
    <m/>
    <m/>
    <m/>
    <m/>
    <m/>
    <m/>
    <m/>
    <m/>
    <m/>
    <m/>
    <m/>
    <m/>
    <m/>
    <m/>
    <s v=""/>
    <m/>
    <m/>
    <m/>
    <s v="Pay out ratio : 0%"/>
    <m/>
    <n v="941"/>
    <n v="0"/>
    <s v="US09239B1098 1"/>
    <s v="US09239B1098 "/>
    <n v="1"/>
    <x v="40"/>
    <m/>
    <m/>
    <m/>
  </r>
  <r>
    <m/>
    <m/>
    <m/>
    <m/>
    <s v="IPO 2016 à 23,7 dollars"/>
    <x v="1"/>
    <m/>
    <m/>
    <m/>
    <m/>
    <m/>
    <m/>
    <m/>
    <m/>
    <m/>
    <m/>
    <m/>
    <m/>
    <m/>
    <m/>
    <m/>
    <s v=""/>
    <m/>
    <m/>
    <m/>
    <s v="4% de minoritaire"/>
    <m/>
    <n v="942"/>
    <n v="0"/>
    <s v="US09239B1098 1"/>
    <s v="US09239B1098 "/>
    <n v="1"/>
    <x v="40"/>
    <m/>
    <m/>
    <m/>
  </r>
  <r>
    <m/>
    <m/>
    <m/>
    <m/>
    <m/>
    <x v="1"/>
    <m/>
    <m/>
    <m/>
    <m/>
    <m/>
    <m/>
    <m/>
    <m/>
    <m/>
    <m/>
    <m/>
    <m/>
    <m/>
    <m/>
    <m/>
    <s v=""/>
    <m/>
    <m/>
    <m/>
    <s v="CAC : PricewaterhouseCoopers LLP"/>
    <m/>
    <n v="943"/>
    <n v="0"/>
    <s v="US09239B1098 1"/>
    <s v="US09239B1098 "/>
    <n v="1"/>
    <x v="40"/>
    <m/>
    <m/>
    <m/>
  </r>
  <r>
    <m/>
    <m/>
    <m/>
    <m/>
    <m/>
    <x v="1"/>
    <m/>
    <m/>
    <m/>
    <m/>
    <m/>
    <m/>
    <m/>
    <m/>
    <m/>
    <m/>
    <m/>
    <m/>
    <m/>
    <m/>
    <m/>
    <s v=""/>
    <m/>
    <m/>
    <m/>
    <m/>
    <m/>
    <n v="944"/>
    <n v="0"/>
    <s v="US09239B1098 1"/>
    <s v="US09239B1098 "/>
    <n v="1"/>
    <x v="40"/>
    <m/>
    <m/>
    <m/>
  </r>
  <r>
    <m/>
    <m/>
    <m/>
    <m/>
    <m/>
    <x v="1"/>
    <m/>
    <m/>
    <m/>
    <m/>
    <m/>
    <m/>
    <m/>
    <m/>
    <m/>
    <m/>
    <m/>
    <m/>
    <m/>
    <m/>
    <m/>
    <s v=""/>
    <m/>
    <m/>
    <m/>
    <m/>
    <m/>
    <n v="945"/>
    <n v="0"/>
    <s v="US09239B1098 1"/>
    <s v="US09239B1098 "/>
    <n v="1"/>
    <x v="40"/>
    <m/>
    <m/>
    <m/>
  </r>
  <r>
    <m/>
    <m/>
    <m/>
    <m/>
    <m/>
    <x v="1"/>
    <m/>
    <m/>
    <m/>
    <m/>
    <m/>
    <m/>
    <m/>
    <m/>
    <m/>
    <m/>
    <m/>
    <m/>
    <m/>
    <m/>
    <m/>
    <s v=""/>
    <m/>
    <m/>
    <m/>
    <m/>
    <m/>
    <n v="946"/>
    <n v="0"/>
    <s v="US09239B1098 1"/>
    <s v="US09239B1098 "/>
    <n v="1"/>
    <x v="40"/>
    <m/>
    <m/>
    <m/>
  </r>
  <r>
    <s v="Atos"/>
    <s v="Services Informatiques"/>
    <s v="France"/>
    <s v="Euro"/>
    <n v="14.5"/>
    <x v="0"/>
    <n v="11681230000"/>
    <n v="1150000000"/>
    <n v="584061500"/>
    <n v="0"/>
    <n v="2500000000"/>
    <n v="3400000000"/>
    <n v="31.02706285366574"/>
    <n v="0"/>
    <n v="6.5989050152542375E-2"/>
    <n v="109581755"/>
    <n v="1588935447.5"/>
    <n v="0.46733395514705883"/>
    <n v="3.5555960413043479"/>
    <s v="BB "/>
    <n v="110797"/>
    <n v="105429.11811691652"/>
    <n v="0"/>
    <m/>
    <m/>
    <s v="Acteur de l'informatique : infogérance, cloud, data, supercalculateur et cybersécurité"/>
    <m/>
    <n v="947"/>
    <n v="0"/>
    <s v="FR000005173212023"/>
    <s v="FR0000051732"/>
    <n v="1"/>
    <x v="41"/>
    <m/>
    <m/>
    <m/>
  </r>
  <r>
    <m/>
    <m/>
    <m/>
    <m/>
    <m/>
    <x v="1"/>
    <n v="3.0000000000000027E-2"/>
    <n v="0.12745098039215685"/>
    <n v="0.64062219101123596"/>
    <n v="-1"/>
    <m/>
    <m/>
    <m/>
    <m/>
    <m/>
    <m/>
    <m/>
    <m/>
    <m/>
    <d v="2022-07-01T00:00:00"/>
    <m/>
    <s v=""/>
    <m/>
    <m/>
    <m/>
    <s v="Actionnaires : Siemens (11,7%) et institutionnels"/>
    <m/>
    <n v="948"/>
    <n v="0"/>
    <s v="FR00000517321"/>
    <s v="FR0000051732"/>
    <n v="1"/>
    <x v="41"/>
    <m/>
    <m/>
    <m/>
  </r>
  <r>
    <m/>
    <m/>
    <m/>
    <m/>
    <n v="9.01"/>
    <x v="2"/>
    <n v="11341000000"/>
    <n v="1020000000"/>
    <n v="356000000"/>
    <n v="-1012000000"/>
    <n v="1450000000"/>
    <n v="3425000000"/>
    <n v="31.255203021707398"/>
    <n v="-0.29547445255474453"/>
    <n v="4.8678892307692311E-2"/>
    <n v="109581755"/>
    <n v="987331612.54999995"/>
    <n v="0.28827200366423356"/>
    <n v="2.3895407966176472"/>
    <m/>
    <n v="110797"/>
    <n v="102358.36710380245"/>
    <n v="-187000000"/>
    <m/>
    <m/>
    <s v="Cloud, data et cybersécurité en croissance (1 Md euros de CA sur 13 Md euros mais croissance 15-20%). Conseil et infogérance mature. Présent dans 71 pays"/>
    <m/>
    <n v="949"/>
    <n v="0"/>
    <s v="FR000005173212022"/>
    <s v="FR0000051732"/>
    <n v="1"/>
    <x v="41"/>
    <m/>
    <m/>
    <m/>
  </r>
  <r>
    <m/>
    <m/>
    <m/>
    <m/>
    <m/>
    <x v="1"/>
    <n v="4.6314235630593226E-2"/>
    <n v="-6.8493150684931559E-2"/>
    <n v="-7.0496083550913857E-2"/>
    <n v="-0.65833896016205262"/>
    <m/>
    <m/>
    <m/>
    <m/>
    <m/>
    <m/>
    <m/>
    <m/>
    <m/>
    <m/>
    <m/>
    <s v=""/>
    <m/>
    <m/>
    <m/>
    <s v="En 2017, chiffres de qualité +10% en CA dont 2-3% en croissance.  EBIT margin se rapproche des 10%. EBE possible à 1,4 MD"/>
    <m/>
    <n v="950"/>
    <n v="0"/>
    <s v="FR00000517321"/>
    <s v="FR0000051732"/>
    <n v="1"/>
    <x v="41"/>
    <m/>
    <m/>
    <m/>
  </r>
  <r>
    <m/>
    <m/>
    <m/>
    <m/>
    <n v="37.4"/>
    <x v="3"/>
    <n v="10839000000"/>
    <n v="1095000000"/>
    <n v="383000000"/>
    <n v="-2962000000"/>
    <n v="1226000000"/>
    <n v="4437000000"/>
    <n v="40.490317024033793"/>
    <n v="-0.6675681766959658"/>
    <n v="4.5083489316616633E-2"/>
    <n v="109581755"/>
    <n v="4098357637"/>
    <n v="0.92367762835249045"/>
    <n v="4.8624270657534243"/>
    <m/>
    <n v="109135"/>
    <n v="99317.359233976269"/>
    <n v="-419000000"/>
    <m/>
    <m/>
    <s v="Free Cash Flow 2017 : 714 Me (55% d'EBE) cherche à l'améliorer en permanence"/>
    <m/>
    <n v="951"/>
    <n v="0"/>
    <s v="FR000005173212021"/>
    <s v="FR0000051732"/>
    <n v="1"/>
    <x v="41"/>
    <m/>
    <m/>
    <m/>
  </r>
  <r>
    <m/>
    <m/>
    <m/>
    <m/>
    <m/>
    <x v="1"/>
    <n v="-3.0587603971022226E-2"/>
    <n v="-0.34075857916917518"/>
    <n v="-0.61776447105788423"/>
    <n v="-6.3854545454545457"/>
    <m/>
    <m/>
    <m/>
    <m/>
    <m/>
    <m/>
    <m/>
    <m/>
    <m/>
    <m/>
    <m/>
    <s v=""/>
    <m/>
    <m/>
    <m/>
    <s v="En juillet 2018, acquisition de Syntel (23 000 salariés pour 1 Md dollar de CA) aux Etats-Unis (90% de l'activité) dans le domaine du digital : cloud, réseau sociaux, internet des objets et automatisation (pour 3,4 Md dollars payé comptant)"/>
    <m/>
    <n v="952"/>
    <n v="0"/>
    <s v="FR00000517321"/>
    <s v="FR0000051732"/>
    <n v="1"/>
    <x v="41"/>
    <m/>
    <m/>
    <m/>
  </r>
  <r>
    <m/>
    <m/>
    <m/>
    <m/>
    <n v="74.78"/>
    <x v="4"/>
    <n v="11181000000"/>
    <n v="1661000000"/>
    <n v="1002000000"/>
    <n v="550000000"/>
    <n v="467000000"/>
    <n v="6861000000"/>
    <n v="62.821090533477872"/>
    <n v="8.0163241509983968E-2"/>
    <n v="9.1148089519650657E-2"/>
    <n v="109214914"/>
    <n v="8167091268.9200001"/>
    <n v="1.1903645633173008"/>
    <n v="5.1981283979048767"/>
    <m/>
    <n v="104430"/>
    <n v="107066.93478885377"/>
    <n v="500000000"/>
    <m/>
    <m/>
    <s v="Croissance 2018 autour de 2%"/>
    <m/>
    <n v="953"/>
    <n v="0"/>
    <s v="FR000005173212020"/>
    <s v="FR0000051732"/>
    <n v="1"/>
    <x v="41"/>
    <m/>
    <m/>
    <m/>
  </r>
  <r>
    <m/>
    <m/>
    <m/>
    <m/>
    <m/>
    <x v="1"/>
    <n v="-3.5122540559199167E-2"/>
    <n v="-7.8246392896781369E-2"/>
    <n v="-0.15798319327731092"/>
    <n v="-0.34052757793764987"/>
    <m/>
    <m/>
    <m/>
    <m/>
    <m/>
    <m/>
    <m/>
    <m/>
    <m/>
    <m/>
    <m/>
    <s v=""/>
    <m/>
    <m/>
    <m/>
    <s v="En mai 2019, déconsolidation de Worldline. Atos détient encore 25% du capital. Nouvelle cession d'actions Worldline en octobre 2019, Atos détient après cession encore 13% (soit 1,3 Md euros)"/>
    <m/>
    <n v="954"/>
    <n v="0"/>
    <s v="FR00000517321"/>
    <s v="FR0000051732"/>
    <n v="1"/>
    <x v="41"/>
    <m/>
    <m/>
    <m/>
  </r>
  <r>
    <m/>
    <m/>
    <m/>
    <m/>
    <n v="70"/>
    <x v="5"/>
    <n v="11588000000"/>
    <n v="1802000000"/>
    <n v="1190000000"/>
    <n v="834000000"/>
    <n v="1736000000"/>
    <n v="7075000000"/>
    <n v="66.191882042342613"/>
    <n v="0.11787985865724382"/>
    <n v="9.0029962546816486E-2"/>
    <n v="106886219"/>
    <n v="7482035330"/>
    <n v="1.0575314954063604"/>
    <n v="5.1154469089900108"/>
    <m/>
    <m/>
    <s v=""/>
    <m/>
    <m/>
    <m/>
    <s v="En février 2020, suite à l'acquisition en titres de Ingenico par Worldline, la participation baissera. Sortie à venir. Sortie le lendemain (février 2020). Il reste au 25 juillet 2020, 3,8 % d'actions Worldline (280 M euros) détenue par Atos vendu sous forme de convertible. Dettes à 779 M euros après la cession 279 M euros"/>
    <m/>
    <n v="955"/>
    <n v="0"/>
    <s v="FR000005173212019"/>
    <s v="FR0000051732"/>
    <n v="1"/>
    <x v="41"/>
    <m/>
    <m/>
    <m/>
  </r>
  <r>
    <m/>
    <m/>
    <m/>
    <m/>
    <m/>
    <x v="1"/>
    <n v="-9.5952460268483697E-2"/>
    <n v="0.12064676616915415"/>
    <n v="-0.11582049387666682"/>
    <n v="0.283076923076923"/>
    <m/>
    <m/>
    <m/>
    <m/>
    <m/>
    <m/>
    <m/>
    <m/>
    <m/>
    <m/>
    <m/>
    <s v=""/>
    <m/>
    <m/>
    <m/>
    <s v="Croissance organique 2020 : +2% / revue à -2% / - 4% en juin et marge à 9%-9,5%. Perspective long terme favorable : +5% à +7% de croissance, 12% de marge d'exploitation et 60% de FCF. Valeur boursière 14 Md euros soit 130 euros"/>
    <m/>
    <n v="956"/>
    <n v="0"/>
    <s v="FR00000517321"/>
    <s v="FR0000051732"/>
    <n v="1"/>
    <x v="41"/>
    <m/>
    <m/>
    <m/>
  </r>
  <r>
    <m/>
    <m/>
    <m/>
    <m/>
    <n v="66"/>
    <x v="6"/>
    <n v="12817910000"/>
    <n v="1608000000"/>
    <n v="1345880550"/>
    <n v="650000000"/>
    <n v="2837000000"/>
    <n v="6074000000"/>
    <n v="56.826783254443683"/>
    <n v="0.10701350016463615"/>
    <n v="0.10068050439120188"/>
    <n v="106886219"/>
    <n v="7054490454"/>
    <n v="1.161424177477774"/>
    <n v="6.1514244116915426"/>
    <m/>
    <m/>
    <s v=""/>
    <m/>
    <m/>
    <m/>
    <s v="En 2020, Cloud, Data, Cybersécurité et décarbonation représente 46% du CA et 10 acquisitions dans ces 4 domaines en 2020. 51% de l'activité au 1T21"/>
    <m/>
    <n v="957"/>
    <n v="0"/>
    <s v="FR000005173212018"/>
    <s v="FR0000051732"/>
    <n v="1"/>
    <x v="41"/>
    <m/>
    <m/>
    <m/>
  </r>
  <r>
    <m/>
    <m/>
    <m/>
    <m/>
    <m/>
    <x v="1"/>
    <n v="1.0000000000000009E-2"/>
    <n v="0"/>
    <n v="0.53814920000000011"/>
    <n v="8.1530782029950011E-2"/>
    <m/>
    <m/>
    <m/>
    <m/>
    <m/>
    <m/>
    <m/>
    <m/>
    <m/>
    <m/>
    <m/>
    <s v=""/>
    <m/>
    <m/>
    <m/>
    <s v="En 2021, croissance entre 3,5% et 4%. L'acquisition de Syntel a été légèrement dépréciée en 2020 (135 M euros). Dettes de 500 Me (convertible remboursable en actions Worldline, 3,8% du capital soit 500 M euros)"/>
    <m/>
    <n v="958"/>
    <n v="0"/>
    <s v="FR00000517321"/>
    <s v="FR0000051732"/>
    <n v="1"/>
    <x v="41"/>
    <m/>
    <m/>
    <m/>
  </r>
  <r>
    <m/>
    <m/>
    <m/>
    <m/>
    <n v="122"/>
    <x v="7"/>
    <n v="12691000000"/>
    <n v="1608000000"/>
    <n v="875000000"/>
    <n v="601000000"/>
    <n v="-307400000"/>
    <n v="4661900000"/>
    <n v="44.21152800205536"/>
    <n v="0.12891739419549969"/>
    <n v="0.13394764037202894"/>
    <n v="105445349"/>
    <n v="12864332578"/>
    <n v="2.7594612878869129"/>
    <n v="7.8090376728855722"/>
    <m/>
    <m/>
    <s v=""/>
    <m/>
    <m/>
    <m/>
    <s v="Acquisition de DXC Technolgies finalement abandonné, problème comptable aux États-Unis sans suite, et transformation vers le Cloud des clients en infrastructure, coût 1 Md euros probablement"/>
    <m/>
    <n v="959"/>
    <n v="0"/>
    <s v="FR000005173212017"/>
    <s v="FR0000051732"/>
    <n v="1"/>
    <x v="41"/>
    <m/>
    <m/>
    <m/>
  </r>
  <r>
    <m/>
    <m/>
    <m/>
    <m/>
    <m/>
    <x v="1"/>
    <n v="8.3127080310659629E-2"/>
    <n v="0.17030567685589526"/>
    <n v="5.8041112454655375E-2"/>
    <n v="3.8355217691776078E-2"/>
    <m/>
    <m/>
    <m/>
    <m/>
    <m/>
    <m/>
    <m/>
    <m/>
    <m/>
    <m/>
    <m/>
    <s v=""/>
    <m/>
    <m/>
    <m/>
    <s v="Cloud, data et cybersécurité et décarbonation 53% du CA, vise 75% en 2025"/>
    <m/>
    <n v="960"/>
    <n v="0"/>
    <s v="FR00000517321"/>
    <s v="FR0000051732"/>
    <n v="1"/>
    <x v="41"/>
    <m/>
    <m/>
    <m/>
  </r>
  <r>
    <m/>
    <m/>
    <m/>
    <m/>
    <n v="100.7"/>
    <x v="8"/>
    <n v="11717000000"/>
    <n v="1374000000"/>
    <n v="827000000"/>
    <n v="578800000"/>
    <n v="-328700000"/>
    <n v="4315800000"/>
    <n v="41.389583680899833"/>
    <n v="0.1341118680198341"/>
    <n v="0.13826545609590932"/>
    <n v="104272612"/>
    <n v="10500252028.4"/>
    <n v="2.4329792919968485"/>
    <n v="7.4028762943231436"/>
    <m/>
    <m/>
    <s v=""/>
    <m/>
    <m/>
    <m/>
    <s v="Départ d'Elie Girard le 20 octobre remplacé par Rodolphe Belmer d'Eutelsat. CA au 3T21 stable et coût de la réorganisation : 450 M euros au 1 S 21. Covenant à 2,5 fois le ratio Dettes/EBO soit 3,125 Md euros (marge de sécurité conséquente)"/>
    <m/>
    <n v="961"/>
    <n v="0"/>
    <s v="FR000005173212016"/>
    <s v="FR0000051732"/>
    <n v="1"/>
    <x v="41"/>
    <m/>
    <m/>
    <m/>
  </r>
  <r>
    <m/>
    <m/>
    <m/>
    <m/>
    <m/>
    <x v="1"/>
    <n v="1.7542336083369525E-2"/>
    <n v="0.51488423373759651"/>
    <n v="0.40335991854742925"/>
    <n v="0.42491383554899054"/>
    <m/>
    <m/>
    <m/>
    <m/>
    <m/>
    <m/>
    <m/>
    <m/>
    <m/>
    <m/>
    <m/>
    <s v=""/>
    <m/>
    <m/>
    <m/>
    <s v="Litige aux États-Unis, la filiale Syntel acheté en 2018 a été condamné à 285 M$ (en baisse par rapport au 855 M$ du premier verdict) à verser à Trizetto pour détournement de secrets commerciaux. Provisionner par Atos à 10 M$. Appel en cours"/>
    <m/>
    <n v="962"/>
    <n v="0"/>
    <s v="FR00000517321"/>
    <s v="FR0000051732"/>
    <n v="1"/>
    <x v="41"/>
    <m/>
    <m/>
    <m/>
  </r>
  <r>
    <m/>
    <m/>
    <m/>
    <m/>
    <n v="77.5"/>
    <x v="9"/>
    <n v="11515000000"/>
    <n v="907000000"/>
    <n v="589300000"/>
    <n v="406200000"/>
    <n v="-593000000"/>
    <n v="3842700000"/>
    <n v="37.679219712749564"/>
    <n v="0.10570692481848701"/>
    <n v="0.12088112133427702"/>
    <n v="101984596"/>
    <n v="7903806190"/>
    <n v="2.0568366487105423"/>
    <n v="8.0604257883131201"/>
    <m/>
    <m/>
    <s v=""/>
    <m/>
    <m/>
    <m/>
    <s v="Résultats 2021 catastrophiques et dépréciation d'actifs. Transformation du modèle économique avec le basculement des clients sur le Cloud. Espoir dans les divisions : Cloud, cybersécurité, sur calculateur et décarbonation 55% de l'activité et dettes faibles"/>
    <m/>
    <n v="963"/>
    <n v="0"/>
    <s v="FR000005173212015"/>
    <s v="FR0000051732"/>
    <n v="1"/>
    <x v="41"/>
    <m/>
    <m/>
    <m/>
  </r>
  <r>
    <m/>
    <m/>
    <m/>
    <m/>
    <m/>
    <x v="1"/>
    <m/>
    <m/>
    <m/>
    <m/>
    <m/>
    <m/>
    <m/>
    <m/>
    <m/>
    <m/>
    <m/>
    <m/>
    <m/>
    <m/>
    <m/>
    <s v=""/>
    <m/>
    <m/>
    <m/>
    <s v="2022 : effondrement de la rentabilité, restructuration à venir avec la partie infrastructure (4 Md euros de CA) et BDS (5,5 Md euros de CA) scindées fin 2023 avec refinancement de 1,5 Md euros de coûts. "/>
    <m/>
    <n v="964"/>
    <n v="0"/>
    <s v="FR00000517321"/>
    <s v="FR0000051732"/>
    <n v="1"/>
    <x v="41"/>
    <m/>
    <m/>
    <m/>
  </r>
  <r>
    <m/>
    <m/>
    <m/>
    <m/>
    <m/>
    <x v="10"/>
    <m/>
    <m/>
    <m/>
    <m/>
    <m/>
    <m/>
    <m/>
    <m/>
    <m/>
    <n v="102882167"/>
    <m/>
    <m/>
    <m/>
    <m/>
    <m/>
    <s v=""/>
    <m/>
    <m/>
    <m/>
    <s v="Départ de Belmer en juin 2022 6 mois après son arrivée"/>
    <m/>
    <n v="965"/>
    <n v="0"/>
    <s v="FR000005173212014"/>
    <s v="FR0000051732"/>
    <n v="1"/>
    <x v="41"/>
    <m/>
    <m/>
    <m/>
  </r>
  <r>
    <m/>
    <m/>
    <m/>
    <m/>
    <m/>
    <x v="1"/>
    <m/>
    <m/>
    <m/>
    <m/>
    <m/>
    <m/>
    <m/>
    <m/>
    <m/>
    <m/>
    <m/>
    <m/>
    <m/>
    <m/>
    <m/>
    <s v=""/>
    <m/>
    <m/>
    <m/>
    <s v="2023 : Le plan de scission se rapproche, juin 2023, avec la mise en bourse d'Évidian à 70%. Airbus pourrait prendre 30%. Cession de Unify (550 Me et 3000 salariés, partie communication à Unitel)"/>
    <m/>
    <n v="966"/>
    <n v="0"/>
    <s v="FR00000517321"/>
    <s v="FR0000051732"/>
    <n v="1"/>
    <x v="41"/>
    <m/>
    <m/>
    <m/>
  </r>
  <r>
    <m/>
    <m/>
    <m/>
    <m/>
    <m/>
    <x v="1"/>
    <m/>
    <m/>
    <m/>
    <m/>
    <m/>
    <m/>
    <m/>
    <m/>
    <m/>
    <m/>
    <m/>
    <m/>
    <m/>
    <m/>
    <m/>
    <s v=""/>
    <m/>
    <m/>
    <m/>
    <s v="Minoritaires : moins de 1% (peu suite à la cession de Wordline)"/>
    <m/>
    <n v="967"/>
    <n v="0"/>
    <s v="FR00000517321"/>
    <s v="FR0000051732"/>
    <n v="1"/>
    <x v="41"/>
    <m/>
    <m/>
    <m/>
  </r>
  <r>
    <m/>
    <m/>
    <m/>
    <m/>
    <m/>
    <x v="1"/>
    <m/>
    <m/>
    <m/>
    <m/>
    <m/>
    <m/>
    <m/>
    <m/>
    <m/>
    <m/>
    <m/>
    <m/>
    <m/>
    <m/>
    <m/>
    <s v=""/>
    <m/>
    <m/>
    <m/>
    <s v="CAC : Deloitte et Grant Thorton"/>
    <m/>
    <n v="968"/>
    <n v="0"/>
    <s v="FR00000517321"/>
    <s v="FR0000051732"/>
    <n v="1"/>
    <x v="41"/>
    <m/>
    <m/>
    <m/>
  </r>
  <r>
    <m/>
    <m/>
    <m/>
    <m/>
    <m/>
    <x v="1"/>
    <m/>
    <m/>
    <m/>
    <m/>
    <m/>
    <m/>
    <m/>
    <m/>
    <m/>
    <m/>
    <m/>
    <m/>
    <m/>
    <m/>
    <m/>
    <s v=""/>
    <m/>
    <m/>
    <m/>
    <s v="Pay out ratio : Pas de dividendes. 25% - 30% - Dividendes non payés en 2020 suite à la crise. Reprise en 201 avec un taux de 29%"/>
    <m/>
    <n v="969"/>
    <n v="0"/>
    <s v="FR00000517321"/>
    <s v="FR0000051732"/>
    <n v="1"/>
    <x v="41"/>
    <m/>
    <m/>
    <m/>
  </r>
  <r>
    <m/>
    <m/>
    <m/>
    <m/>
    <m/>
    <x v="1"/>
    <m/>
    <m/>
    <m/>
    <m/>
    <m/>
    <m/>
    <m/>
    <m/>
    <m/>
    <m/>
    <m/>
    <m/>
    <m/>
    <m/>
    <m/>
    <s v=""/>
    <m/>
    <m/>
    <m/>
    <m/>
    <m/>
    <n v="970"/>
    <n v="0"/>
    <s v="FR00000517321"/>
    <s v="FR0000051732"/>
    <n v="1"/>
    <x v="41"/>
    <m/>
    <m/>
    <m/>
  </r>
  <r>
    <m/>
    <m/>
    <m/>
    <m/>
    <m/>
    <x v="1"/>
    <m/>
    <m/>
    <m/>
    <m/>
    <m/>
    <m/>
    <m/>
    <m/>
    <m/>
    <m/>
    <m/>
    <m/>
    <m/>
    <m/>
    <m/>
    <s v=""/>
    <m/>
    <m/>
    <m/>
    <m/>
    <m/>
    <n v="971"/>
    <n v="0"/>
    <s v="FR00000517321"/>
    <s v="FR0000051732"/>
    <n v="1"/>
    <x v="41"/>
    <m/>
    <m/>
    <m/>
  </r>
  <r>
    <m/>
    <m/>
    <m/>
    <m/>
    <m/>
    <x v="1"/>
    <m/>
    <m/>
    <m/>
    <m/>
    <m/>
    <m/>
    <m/>
    <m/>
    <m/>
    <m/>
    <m/>
    <m/>
    <m/>
    <m/>
    <m/>
    <s v=""/>
    <m/>
    <m/>
    <m/>
    <m/>
    <m/>
    <n v="972"/>
    <n v="0"/>
    <s v="FR00000517321"/>
    <s v="FR0000051732"/>
    <n v="1"/>
    <x v="41"/>
    <m/>
    <m/>
    <m/>
  </r>
  <r>
    <m/>
    <m/>
    <m/>
    <m/>
    <m/>
    <x v="1"/>
    <m/>
    <m/>
    <m/>
    <m/>
    <m/>
    <m/>
    <m/>
    <m/>
    <m/>
    <m/>
    <m/>
    <m/>
    <m/>
    <m/>
    <m/>
    <s v=""/>
    <m/>
    <m/>
    <m/>
    <m/>
    <m/>
    <n v="973"/>
    <n v="0"/>
    <s v="FR00000517321"/>
    <s v="FR0000051732"/>
    <n v="1"/>
    <x v="41"/>
    <m/>
    <m/>
    <m/>
  </r>
  <r>
    <m/>
    <m/>
    <m/>
    <m/>
    <m/>
    <x v="1"/>
    <m/>
    <m/>
    <m/>
    <m/>
    <m/>
    <m/>
    <m/>
    <m/>
    <m/>
    <m/>
    <m/>
    <m/>
    <m/>
    <m/>
    <m/>
    <s v=""/>
    <m/>
    <m/>
    <m/>
    <m/>
    <m/>
    <n v="974"/>
    <n v="0"/>
    <s v="FR00000517321"/>
    <s v="FR0000051732"/>
    <n v="1"/>
    <x v="41"/>
    <m/>
    <m/>
    <m/>
  </r>
  <r>
    <s v="SOPRA STERIA"/>
    <s v="Services Informatiques"/>
    <s v="France"/>
    <s v="Euro"/>
    <n v="141.19999999999999"/>
    <x v="2"/>
    <n v="5101200000"/>
    <n v="549080000"/>
    <n v="361300000"/>
    <n v="247800000"/>
    <n v="152000000"/>
    <n v="1850000000"/>
    <n v="90.034403362205822"/>
    <n v="0.13394594594594594"/>
    <n v="0.12030098901098901"/>
    <n v="20547701"/>
    <n v="2901335381.1999998"/>
    <n v="1.5682893952432431"/>
    <n v="8.4509697791309151"/>
    <m/>
    <n v="47437"/>
    <n v="107536.31131816936"/>
    <m/>
    <m/>
    <m/>
    <s v="Société informatique fondée par Pierre Pasquier (80 ans) a fusionné avec Steria en 2014. Rachat de Stéria à 20 euros (4 actions Steria à 20 euros pour 1 action Sopra à 80 euros annoncée en avril-mai 2014 et finalisée en août 2014)"/>
    <m/>
    <n v="975"/>
    <n v="0"/>
    <s v="FR000005080912022"/>
    <s v="FR0000050809"/>
    <n v="1"/>
    <x v="42"/>
    <m/>
    <m/>
    <m/>
  </r>
  <r>
    <m/>
    <m/>
    <m/>
    <m/>
    <m/>
    <x v="1"/>
    <n v="0.11428571428571432"/>
    <n v="6.0000000000000053E-2"/>
    <n v="1.7746478873239546E-2"/>
    <n v="0.2390000000000001"/>
    <m/>
    <m/>
    <m/>
    <m/>
    <m/>
    <m/>
    <m/>
    <m/>
    <m/>
    <m/>
    <m/>
    <s v=""/>
    <m/>
    <m/>
    <m/>
    <s v="La fusion s'est bien passée et les objectifs d'intégration, synergies et développement annoncés en 2014, ont été atteints en 2017 (CA : 4 Md euros, EBE : 400 M euros, Dettes : 370 M euros)"/>
    <m/>
    <n v="976"/>
    <n v="0"/>
    <s v="FR00000508091"/>
    <s v="FR0000050809"/>
    <n v="1"/>
    <x v="42"/>
    <m/>
    <m/>
    <m/>
  </r>
  <r>
    <m/>
    <m/>
    <m/>
    <m/>
    <n v="157.5"/>
    <x v="3"/>
    <n v="4578000000"/>
    <n v="518000000"/>
    <n v="355000000"/>
    <n v="200000000"/>
    <n v="425600000"/>
    <n v="1545400000"/>
    <n v="75.210360516731285"/>
    <n v="0.12941633234114144"/>
    <n v="0.12006240487062404"/>
    <n v="20547701"/>
    <n v="3236262907.5"/>
    <n v="2.0941263799016436"/>
    <n v="10.31510678169014"/>
    <m/>
    <n v="47437"/>
    <n v="96506.946054767381"/>
    <m/>
    <m/>
    <m/>
    <s v="Même métier qu'Atos et Cap Gémini mais plus petit donc croissance plus rapide. Croissance 2018 autour de 3-5%"/>
    <m/>
    <n v="977"/>
    <n v="0"/>
    <s v="FR000005080912021"/>
    <s v="FR0000050809"/>
    <n v="1"/>
    <x v="42"/>
    <m/>
    <m/>
    <m/>
  </r>
  <r>
    <m/>
    <m/>
    <m/>
    <m/>
    <m/>
    <x v="1"/>
    <n v="7.3916817190175621E-2"/>
    <n v="6.2346185397867071E-2"/>
    <n v="0.75481957488877893"/>
    <n v="0.87265917602996246"/>
    <m/>
    <m/>
    <m/>
    <m/>
    <m/>
    <m/>
    <m/>
    <m/>
    <m/>
    <m/>
    <m/>
    <s v=""/>
    <m/>
    <m/>
    <m/>
    <s v="Actionnariat : Flottant 71,5 %, Famille Pasquier 13,88 % (direct et via Sopra GMT), Famille Odin 6,55 % (direct et via Sopra GMT), Réseau salarié 6 %, Dirigeant et autodétention env 2 %"/>
    <m/>
    <n v="978"/>
    <n v="0"/>
    <s v="FR00000508091"/>
    <s v="FR0000050809"/>
    <n v="1"/>
    <x v="42"/>
    <m/>
    <m/>
    <m/>
  </r>
  <r>
    <m/>
    <m/>
    <m/>
    <m/>
    <n v="133.80000000000001"/>
    <x v="4"/>
    <n v="4262900000"/>
    <n v="487600000"/>
    <n v="202300000"/>
    <n v="106800000"/>
    <n v="425600000"/>
    <n v="1445400000"/>
    <n v="70.343636010666103"/>
    <n v="7.3889580738895802E-2"/>
    <n v="7.2075456974879742E-2"/>
    <n v="20547701"/>
    <n v="2749282393.8000002"/>
    <n v="1.9020910431714406"/>
    <n v="15.693931753830945"/>
    <m/>
    <m/>
    <s v=""/>
    <m/>
    <m/>
    <m/>
    <s v="CEO : Cyril Malargé (48 ans) entrée chez Sopra Steria en 2002 (depuis 19 ans), prise de poste en mars 2022.  Il a été directeur des différents Business Unit (Industrie, Services &amp; Utilites, Transport et Aerolines) puis CEO France. En remplacement de Vincent Paris"/>
    <m/>
    <n v="979"/>
    <n v="0"/>
    <s v="FR000005080912020"/>
    <s v="FR0000050809"/>
    <n v="1"/>
    <x v="42"/>
    <m/>
    <m/>
    <m/>
  </r>
  <r>
    <m/>
    <m/>
    <m/>
    <m/>
    <m/>
    <x v="1"/>
    <n v="-3.8588182228236345E-2"/>
    <n v="-5.0623052959501535E-2"/>
    <n v="-0.2856638418079096"/>
    <n v="-0.33374922021210229"/>
    <m/>
    <m/>
    <m/>
    <m/>
    <m/>
    <m/>
    <m/>
    <m/>
    <m/>
    <m/>
    <m/>
    <s v=""/>
    <m/>
    <m/>
    <m/>
    <s v="Croissance organique 2020 : +3% et +5%"/>
    <m/>
    <n v="980"/>
    <n v="0"/>
    <s v="FR00000508091"/>
    <s v="FR0000050809"/>
    <n v="1"/>
    <x v="42"/>
    <m/>
    <m/>
    <m/>
  </r>
  <r>
    <m/>
    <m/>
    <m/>
    <m/>
    <n v="100"/>
    <x v="5"/>
    <n v="4434000000"/>
    <n v="513600000"/>
    <n v="283200000"/>
    <n v="160300000"/>
    <n v="513900000"/>
    <n v="1372700000"/>
    <n v="66.805527294756729"/>
    <n v="0.11677715451300356"/>
    <n v="0.10006420014841513"/>
    <n v="20547701"/>
    <n v="2054770100"/>
    <n v="1.4968821301085451"/>
    <n v="9.070162782485875"/>
    <m/>
    <n v="46245"/>
    <n v="95880.635744404804"/>
    <m/>
    <m/>
    <m/>
    <s v="Croissance organique S1 2022 : + 7,3 % du CA, Confirmation des objectifs pour 2022"/>
    <m/>
    <n v="981"/>
    <n v="0"/>
    <s v="FR000005080912019"/>
    <s v="FR0000050809"/>
    <n v="1"/>
    <x v="42"/>
    <m/>
    <m/>
    <m/>
  </r>
  <r>
    <m/>
    <m/>
    <m/>
    <m/>
    <m/>
    <x v="1"/>
    <n v="8.2704563768222217E-2"/>
    <n v="0.41215287324718175"/>
    <n v="0.24977934686672554"/>
    <n v="0.28137490007993615"/>
    <m/>
    <m/>
    <m/>
    <m/>
    <m/>
    <m/>
    <m/>
    <m/>
    <m/>
    <m/>
    <m/>
    <s v=""/>
    <m/>
    <m/>
    <m/>
    <s v="Croissance organique T3 2022 : +7,7 %"/>
    <m/>
    <n v="982"/>
    <n v="0"/>
    <s v="FR00000508091"/>
    <s v="FR0000050809"/>
    <n v="1"/>
    <x v="42"/>
    <m/>
    <m/>
    <m/>
  </r>
  <r>
    <m/>
    <m/>
    <m/>
    <m/>
    <n v="90"/>
    <x v="6"/>
    <n v="4095300000"/>
    <n v="363700000"/>
    <n v="226600000"/>
    <n v="125100000"/>
    <n v="620900000"/>
    <n v="1296200000"/>
    <n v="63.082483047616861"/>
    <n v="9.6512883814226194E-2"/>
    <n v="7.8791695790516925E-2"/>
    <n v="20547701"/>
    <n v="1849293090"/>
    <n v="1.4267035102607621"/>
    <n v="13.881258120035305"/>
    <m/>
    <m/>
    <s v=""/>
    <m/>
    <m/>
    <m/>
    <s v="Dépôt d'une opération de croissance externe avec comme projet l'acquisition de la société CS Group, réalisé au T1 2023"/>
    <m/>
    <n v="983"/>
    <n v="0"/>
    <s v="FR000005080912018"/>
    <s v="FR0000050809"/>
    <n v="1"/>
    <x v="42"/>
    <m/>
    <m/>
    <m/>
  </r>
  <r>
    <m/>
    <m/>
    <m/>
    <m/>
    <m/>
    <x v="1"/>
    <n v="6.8961916942914536E-2"/>
    <n v="2.1916268614779355E-2"/>
    <n v="-0.13412304165074518"/>
    <n v="-0.27012835472578767"/>
    <m/>
    <m/>
    <m/>
    <m/>
    <m/>
    <m/>
    <m/>
    <m/>
    <m/>
    <m/>
    <m/>
    <s v=""/>
    <m/>
    <m/>
    <m/>
    <m/>
    <m/>
    <n v="984"/>
    <n v="0"/>
    <s v="FR00000508091"/>
    <s v="FR0000050809"/>
    <n v="1"/>
    <x v="42"/>
    <m/>
    <m/>
    <m/>
  </r>
  <r>
    <m/>
    <m/>
    <m/>
    <m/>
    <n v="163.6"/>
    <x v="7"/>
    <n v="3831100000"/>
    <n v="355900000"/>
    <n v="261700000"/>
    <n v="171400000"/>
    <n v="510100000"/>
    <n v="1208200000"/>
    <n v="58.828378455296885"/>
    <n v="0.14186392981294488"/>
    <n v="0.13806840481871618"/>
    <n v="20537707"/>
    <n v="3359968865.1999998"/>
    <n v="2.7809707541797715"/>
    <n v="14.788188250668703"/>
    <m/>
    <m/>
    <s v=""/>
    <m/>
    <m/>
    <m/>
    <s v="Minoritaires : 12%"/>
    <m/>
    <n v="985"/>
    <n v="0"/>
    <s v="FR000005080912017"/>
    <s v="FR0000050809"/>
    <n v="1"/>
    <x v="42"/>
    <m/>
    <m/>
    <m/>
  </r>
  <r>
    <m/>
    <m/>
    <m/>
    <m/>
    <m/>
    <x v="1"/>
    <n v="2.4002352123593473E-2"/>
    <n v="3.4593023255814037E-2"/>
    <n v="8.9508742714404566E-2"/>
    <n v="0.1396276595744681"/>
    <m/>
    <m/>
    <m/>
    <m/>
    <m/>
    <m/>
    <m/>
    <m/>
    <m/>
    <m/>
    <m/>
    <s v=""/>
    <m/>
    <m/>
    <m/>
    <s v="CAC : KPMG &amp; Grant Thornton"/>
    <m/>
    <n v="986"/>
    <n v="0"/>
    <s v="FR00000508091"/>
    <s v="FR0000050809"/>
    <n v="1"/>
    <x v="42"/>
    <m/>
    <m/>
    <m/>
  </r>
  <r>
    <m/>
    <m/>
    <m/>
    <m/>
    <n v="107.85"/>
    <x v="8"/>
    <n v="3741300000"/>
    <n v="344000000"/>
    <n v="240200000"/>
    <n v="150400000"/>
    <n v="506000000"/>
    <n v="1070600000"/>
    <n v="52.143516920951143"/>
    <n v="0.14048197272557444"/>
    <n v="0.10155861981479132"/>
    <n v="20531795"/>
    <n v="2214354090.75"/>
    <n v="2.0683299932280965"/>
    <n v="11.325370902373022"/>
    <m/>
    <m/>
    <s v=""/>
    <m/>
    <m/>
    <m/>
    <s v="Pay out ratio : 30%"/>
    <m/>
    <n v="987"/>
    <n v="0"/>
    <s v="FR000005080912016"/>
    <s v="FR0000050809"/>
    <n v="1"/>
    <x v="42"/>
    <m/>
    <m/>
    <m/>
  </r>
  <r>
    <m/>
    <m/>
    <m/>
    <m/>
    <m/>
    <x v="1"/>
    <n v="4.3773016404419218E-2"/>
    <n v="0.40122199592668029"/>
    <n v="0.1603864734299516"/>
    <n v="0.78199052132701419"/>
    <m/>
    <m/>
    <m/>
    <m/>
    <m/>
    <m/>
    <m/>
    <m/>
    <m/>
    <m/>
    <m/>
    <s v=""/>
    <m/>
    <m/>
    <m/>
    <m/>
    <m/>
    <n v="988"/>
    <n v="0"/>
    <s v="FR00000508091"/>
    <s v="FR0000050809"/>
    <n v="1"/>
    <x v="42"/>
    <m/>
    <m/>
    <m/>
  </r>
  <r>
    <m/>
    <m/>
    <m/>
    <m/>
    <n v="104.25"/>
    <x v="9"/>
    <n v="3584400000"/>
    <n v="245500000"/>
    <n v="207000000"/>
    <n v="84400000"/>
    <m/>
    <m/>
    <n v="0"/>
    <e v="#DIV/0!"/>
    <e v="#DIV/0!"/>
    <n v="20446723"/>
    <n v="2131570872.75"/>
    <m/>
    <n v="10.297443829710145"/>
    <m/>
    <m/>
    <s v=""/>
    <m/>
    <m/>
    <m/>
    <m/>
    <m/>
    <n v="989"/>
    <n v="0"/>
    <s v="FR000005080912015"/>
    <s v="FR0000050809"/>
    <n v="1"/>
    <x v="42"/>
    <m/>
    <m/>
    <m/>
  </r>
  <r>
    <m/>
    <m/>
    <m/>
    <m/>
    <m/>
    <x v="1"/>
    <n v="6.3588617548440807E-2"/>
    <n v="6.1851211072664336E-2"/>
    <n v="0.31847133757961776"/>
    <n v="-9.0517241379310387E-2"/>
    <m/>
    <m/>
    <m/>
    <m/>
    <m/>
    <m/>
    <m/>
    <m/>
    <m/>
    <m/>
    <m/>
    <s v=""/>
    <m/>
    <m/>
    <m/>
    <m/>
    <m/>
    <n v="990"/>
    <n v="0"/>
    <s v="FR00000508091"/>
    <s v="FR0000050809"/>
    <n v="1"/>
    <x v="42"/>
    <m/>
    <m/>
    <m/>
  </r>
  <r>
    <s v="STERIA"/>
    <s v="Services Informatiques"/>
    <s v="France"/>
    <s v="Euro"/>
    <n v="63.5"/>
    <x v="10"/>
    <n v="3370100000"/>
    <n v="231200000"/>
    <n v="157000000"/>
    <n v="92800000"/>
    <m/>
    <m/>
    <n v="0"/>
    <e v="#DIV/0!"/>
    <e v="#DIV/0!"/>
    <n v="20361201"/>
    <n v="1292936263.5"/>
    <m/>
    <n v="8.2352628248407651"/>
    <m/>
    <m/>
    <s v=""/>
    <m/>
    <m/>
    <m/>
    <m/>
    <m/>
    <n v="991"/>
    <e v="#N/A"/>
    <s v="STERIA12014"/>
    <s v="STERIA"/>
    <n v="1"/>
    <x v="43"/>
    <m/>
    <m/>
    <m/>
  </r>
  <r>
    <m/>
    <m/>
    <m/>
    <m/>
    <m/>
    <x v="1"/>
    <m/>
    <m/>
    <m/>
    <m/>
    <m/>
    <m/>
    <m/>
    <m/>
    <m/>
    <m/>
    <m/>
    <m/>
    <m/>
    <m/>
    <m/>
    <s v=""/>
    <m/>
    <m/>
    <m/>
    <m/>
    <m/>
    <n v="992"/>
    <e v="#N/A"/>
    <s v="1"/>
    <m/>
    <n v="1"/>
    <x v="43"/>
    <m/>
    <m/>
    <m/>
  </r>
  <r>
    <m/>
    <m/>
    <m/>
    <m/>
    <n v="14.3"/>
    <x v="11"/>
    <m/>
    <m/>
    <n v="65000000"/>
    <m/>
    <m/>
    <m/>
    <n v="0"/>
    <e v="#DIV/0!"/>
    <e v="#DIV/0!"/>
    <n v="33156692"/>
    <n v="474140695.60000002"/>
    <m/>
    <n v="7.2944722400000002"/>
    <m/>
    <m/>
    <s v=""/>
    <m/>
    <m/>
    <m/>
    <m/>
    <m/>
    <n v="993"/>
    <e v="#N/A"/>
    <s v="12013"/>
    <m/>
    <n v="1"/>
    <x v="43"/>
    <m/>
    <m/>
    <m/>
  </r>
  <r>
    <m/>
    <m/>
    <m/>
    <m/>
    <m/>
    <x v="1"/>
    <m/>
    <m/>
    <m/>
    <m/>
    <m/>
    <m/>
    <m/>
    <m/>
    <m/>
    <m/>
    <m/>
    <m/>
    <m/>
    <m/>
    <m/>
    <s v=""/>
    <m/>
    <m/>
    <m/>
    <m/>
    <m/>
    <n v="994"/>
    <e v="#N/A"/>
    <s v="1"/>
    <m/>
    <n v="1"/>
    <x v="43"/>
    <m/>
    <m/>
    <m/>
  </r>
  <r>
    <m/>
    <m/>
    <m/>
    <m/>
    <n v="14.2"/>
    <x v="12"/>
    <m/>
    <m/>
    <n v="75000000"/>
    <m/>
    <m/>
    <m/>
    <n v="0"/>
    <e v="#DIV/0!"/>
    <e v="#DIV/0!"/>
    <n v="30829031"/>
    <n v="437772240.19999999"/>
    <m/>
    <n v="5.8369632026666665"/>
    <m/>
    <m/>
    <s v=""/>
    <m/>
    <m/>
    <m/>
    <m/>
    <m/>
    <n v="995"/>
    <e v="#N/A"/>
    <s v="12012"/>
    <m/>
    <n v="1"/>
    <x v="43"/>
    <m/>
    <m/>
    <m/>
  </r>
  <r>
    <m/>
    <m/>
    <m/>
    <m/>
    <m/>
    <x v="1"/>
    <m/>
    <m/>
    <m/>
    <m/>
    <m/>
    <m/>
    <m/>
    <m/>
    <m/>
    <m/>
    <m/>
    <m/>
    <m/>
    <m/>
    <m/>
    <s v=""/>
    <m/>
    <m/>
    <m/>
    <m/>
    <m/>
    <n v="996"/>
    <e v="#N/A"/>
    <s v="1"/>
    <m/>
    <n v="1"/>
    <x v="43"/>
    <m/>
    <m/>
    <m/>
  </r>
  <r>
    <m/>
    <m/>
    <m/>
    <m/>
    <n v="13.16"/>
    <x v="17"/>
    <m/>
    <m/>
    <n v="90000000"/>
    <m/>
    <m/>
    <m/>
    <n v="0"/>
    <e v="#DIV/0!"/>
    <e v="#DIV/0!"/>
    <n v="30829031"/>
    <n v="405710047.95999998"/>
    <m/>
    <n v="4.5078894217777776"/>
    <m/>
    <m/>
    <s v=""/>
    <m/>
    <m/>
    <m/>
    <m/>
    <m/>
    <n v="997"/>
    <e v="#N/A"/>
    <s v="12011"/>
    <m/>
    <n v="1"/>
    <x v="43"/>
    <m/>
    <m/>
    <m/>
  </r>
  <r>
    <m/>
    <m/>
    <m/>
    <m/>
    <m/>
    <x v="1"/>
    <m/>
    <m/>
    <m/>
    <m/>
    <m/>
    <m/>
    <m/>
    <m/>
    <m/>
    <m/>
    <m/>
    <m/>
    <m/>
    <m/>
    <m/>
    <s v=""/>
    <m/>
    <m/>
    <m/>
    <m/>
    <m/>
    <n v="998"/>
    <e v="#N/A"/>
    <s v="1"/>
    <m/>
    <n v="1"/>
    <x v="43"/>
    <m/>
    <m/>
    <m/>
  </r>
  <r>
    <m/>
    <m/>
    <m/>
    <m/>
    <n v="19.399999999999999"/>
    <x v="18"/>
    <m/>
    <m/>
    <n v="90000000"/>
    <m/>
    <m/>
    <m/>
    <n v="0"/>
    <e v="#DIV/0!"/>
    <e v="#DIV/0!"/>
    <n v="30829031"/>
    <n v="598083201.39999998"/>
    <m/>
    <n v="6.6453689044444442"/>
    <m/>
    <m/>
    <s v=""/>
    <m/>
    <m/>
    <m/>
    <m/>
    <m/>
    <n v="999"/>
    <e v="#N/A"/>
    <s v="12010"/>
    <m/>
    <n v="1"/>
    <x v="43"/>
    <m/>
    <m/>
    <m/>
  </r>
  <r>
    <m/>
    <m/>
    <m/>
    <m/>
    <m/>
    <x v="1"/>
    <m/>
    <m/>
    <m/>
    <m/>
    <m/>
    <m/>
    <m/>
    <m/>
    <m/>
    <m/>
    <m/>
    <m/>
    <m/>
    <m/>
    <m/>
    <s v=""/>
    <m/>
    <m/>
    <m/>
    <m/>
    <m/>
    <n v="1000"/>
    <e v="#N/A"/>
    <s v="1"/>
    <m/>
    <n v="1"/>
    <x v="43"/>
    <m/>
    <m/>
    <m/>
  </r>
  <r>
    <m/>
    <m/>
    <m/>
    <m/>
    <m/>
    <x v="1"/>
    <m/>
    <m/>
    <m/>
    <m/>
    <m/>
    <m/>
    <m/>
    <m/>
    <m/>
    <m/>
    <m/>
    <m/>
    <m/>
    <m/>
    <m/>
    <s v=""/>
    <m/>
    <m/>
    <m/>
    <m/>
    <m/>
    <n v="1001"/>
    <e v="#N/A"/>
    <s v="1"/>
    <m/>
    <n v="1"/>
    <x v="43"/>
    <m/>
    <m/>
    <m/>
  </r>
  <r>
    <m/>
    <m/>
    <m/>
    <m/>
    <m/>
    <x v="1"/>
    <m/>
    <m/>
    <m/>
    <m/>
    <m/>
    <m/>
    <m/>
    <m/>
    <m/>
    <m/>
    <m/>
    <m/>
    <m/>
    <m/>
    <m/>
    <s v=""/>
    <m/>
    <m/>
    <m/>
    <m/>
    <m/>
    <n v="1002"/>
    <e v="#N/A"/>
    <s v="1"/>
    <m/>
    <n v="1"/>
    <x v="43"/>
    <m/>
    <m/>
    <m/>
  </r>
  <r>
    <s v="Cap gémini"/>
    <s v="Services Informatiques"/>
    <s v="France"/>
    <s v="Euro"/>
    <n v="215.5"/>
    <x v="3"/>
    <n v="18356849999.999996"/>
    <n v="2726000000"/>
    <n v="1900000000"/>
    <n v="1300000000"/>
    <n v="5000000000"/>
    <n v="8424000000"/>
    <n v="49.744457630964256"/>
    <n v="0.15432098765432098"/>
    <n v="9.4348927294398088E-2"/>
    <n v="169345499"/>
    <n v="36493955034.5"/>
    <n v="4.3321409110280156"/>
    <n v="21.838923702368422"/>
    <s v="BBB / Stable"/>
    <m/>
    <s v=""/>
    <m/>
    <m/>
    <m/>
    <s v="Même modèle économique que Sopra et Atos mais plus gros avec une présence forte aux Etats-Unis (35% du CA environ)"/>
    <m/>
    <n v="1003"/>
    <n v="0"/>
    <s v="FR000012533812021"/>
    <s v="FR0000125338"/>
    <n v="1"/>
    <x v="44"/>
    <m/>
    <m/>
    <m/>
  </r>
  <r>
    <m/>
    <m/>
    <m/>
    <m/>
    <m/>
    <x v="1"/>
    <n v="0.1399999999999999"/>
    <n v="0.51444444444444448"/>
    <n v="0.52"/>
    <n v="0.85714285714285721"/>
    <m/>
    <m/>
    <m/>
    <m/>
    <m/>
    <m/>
    <m/>
    <m/>
    <m/>
    <m/>
    <m/>
    <s v=""/>
    <m/>
    <m/>
    <m/>
    <s v="Détenue par la famille Kampf et dirigée par Hermelin"/>
    <m/>
    <n v="1004"/>
    <n v="0"/>
    <s v="FR00001253381"/>
    <s v="FR0000125338"/>
    <n v="1"/>
    <x v="44"/>
    <m/>
    <m/>
    <m/>
  </r>
  <r>
    <m/>
    <m/>
    <m/>
    <m/>
    <n v="126.8"/>
    <x v="4"/>
    <n v="16102499999.999998"/>
    <n v="1800000000"/>
    <n v="1250000000"/>
    <n v="700000000"/>
    <n v="5000000000"/>
    <n v="8424000000"/>
    <n v="49.744457630964256"/>
    <n v="8.3095916429249767E-2"/>
    <n v="6.2071662693682958E-2"/>
    <n v="169345499"/>
    <n v="21473009273.200001"/>
    <n v="2.5490276915004748"/>
    <n v="21.178407418559999"/>
    <m/>
    <m/>
    <s v=""/>
    <m/>
    <m/>
    <m/>
    <s v="200 000 collaborateurs pour 13 Md euros soit 65 000 euros par salarié pas si élevé"/>
    <m/>
    <n v="1005"/>
    <n v="0"/>
    <s v="FR000012533812020"/>
    <s v="FR0000125338"/>
    <n v="1"/>
    <x v="44"/>
    <m/>
    <m/>
    <m/>
  </r>
  <r>
    <m/>
    <m/>
    <m/>
    <m/>
    <m/>
    <x v="1"/>
    <n v="0.1399999999999999"/>
    <n v="3.3888569787478451E-2"/>
    <n v="-0.12770411723656661"/>
    <n v="-0.18224299065420557"/>
    <m/>
    <m/>
    <m/>
    <m/>
    <m/>
    <m/>
    <m/>
    <m/>
    <m/>
    <m/>
    <m/>
    <s v=""/>
    <m/>
    <m/>
    <m/>
    <s v="En 2022 au T3 : Croissance organique de + de 14 %, CA sur 9 mois de 18 160 M d'€, REX de 1 839 M d'€."/>
    <m/>
    <n v="1006"/>
    <n v="0"/>
    <s v="FR00001253381"/>
    <s v="FR0000125338"/>
    <n v="1"/>
    <x v="44"/>
    <m/>
    <m/>
    <m/>
  </r>
  <r>
    <m/>
    <m/>
    <m/>
    <m/>
    <n v="108.9"/>
    <x v="5"/>
    <n v="14125000000"/>
    <n v="1741000000"/>
    <n v="1433000000"/>
    <n v="856000000"/>
    <n v="600000000"/>
    <n v="8424000000"/>
    <n v="49.744457630964256"/>
    <n v="0.10161443494776828"/>
    <n v="0.10585525265957446"/>
    <n v="169345499"/>
    <n v="18441724841.100002"/>
    <n v="2.1891886088675214"/>
    <n v="13.288014543684579"/>
    <m/>
    <m/>
    <s v=""/>
    <m/>
    <m/>
    <m/>
    <m/>
    <m/>
    <n v="1007"/>
    <n v="0"/>
    <s v="FR000012533812019"/>
    <s v="FR0000125338"/>
    <n v="1"/>
    <x v="44"/>
    <m/>
    <m/>
    <m/>
  </r>
  <r>
    <m/>
    <m/>
    <m/>
    <m/>
    <m/>
    <x v="1"/>
    <n v="7.0319011896643246E-2"/>
    <n v="9.0169067000626102E-2"/>
    <n v="0.1454836131095123"/>
    <n v="0.17260273972602747"/>
    <m/>
    <m/>
    <m/>
    <m/>
    <m/>
    <m/>
    <m/>
    <m/>
    <m/>
    <m/>
    <m/>
    <s v=""/>
    <m/>
    <m/>
    <m/>
    <m/>
    <m/>
    <n v="1008"/>
    <n v="0"/>
    <s v="FR00001253381"/>
    <s v="FR0000125338"/>
    <n v="1"/>
    <x v="44"/>
    <m/>
    <m/>
    <m/>
  </r>
  <r>
    <m/>
    <m/>
    <m/>
    <m/>
    <n v="126.8"/>
    <x v="6"/>
    <n v="13197000000"/>
    <n v="1597000000"/>
    <n v="1251000000"/>
    <n v="730000000"/>
    <n v="1184000000"/>
    <n v="7480000000"/>
    <n v="44.308325215027324"/>
    <n v="9.7593582887700536E-2"/>
    <n v="9.6250761772853188E-2"/>
    <n v="168817033"/>
    <n v="21405999784.399998"/>
    <n v="2.8617646770588232"/>
    <n v="18.057553784492406"/>
    <m/>
    <m/>
    <s v=""/>
    <m/>
    <m/>
    <m/>
    <m/>
    <m/>
    <n v="1009"/>
    <n v="0"/>
    <s v="FR000012533812018"/>
    <s v="FR0000125338"/>
    <n v="1"/>
    <x v="44"/>
    <m/>
    <m/>
    <m/>
  </r>
  <r>
    <m/>
    <m/>
    <m/>
    <m/>
    <m/>
    <x v="1"/>
    <n v="3.1660412757973821E-2"/>
    <n v="6.9658405894172715E-2"/>
    <n v="5.7480980557903738E-2"/>
    <n v="-0.1097560975609756"/>
    <m/>
    <m/>
    <m/>
    <m/>
    <m/>
    <m/>
    <m/>
    <m/>
    <m/>
    <m/>
    <m/>
    <s v=""/>
    <m/>
    <m/>
    <m/>
    <m/>
    <m/>
    <n v="1010"/>
    <n v="0"/>
    <s v="FR00001253381"/>
    <s v="FR0000125338"/>
    <n v="1"/>
    <x v="44"/>
    <m/>
    <m/>
    <m/>
  </r>
  <r>
    <m/>
    <m/>
    <m/>
    <m/>
    <n v="98.89"/>
    <x v="7"/>
    <n v="12792000000"/>
    <n v="1493000000"/>
    <n v="1183000000"/>
    <n v="820000000"/>
    <n v="1209000000"/>
    <n v="6960000000"/>
    <n v="41.414381825998298"/>
    <n v="0.11781609195402298"/>
    <n v="9.6534190231362463E-2"/>
    <n v="168057561"/>
    <n v="16619212207.290001"/>
    <n v="2.3878178458750003"/>
    <n v="15.07033998925613"/>
    <m/>
    <m/>
    <s v=""/>
    <m/>
    <m/>
    <m/>
    <m/>
    <m/>
    <n v="1011"/>
    <n v="0"/>
    <s v="FR000012533812017"/>
    <s v="FR0000125338"/>
    <n v="1"/>
    <x v="44"/>
    <m/>
    <m/>
    <m/>
  </r>
  <r>
    <m/>
    <m/>
    <m/>
    <m/>
    <m/>
    <x v="1"/>
    <n v="2.0177047611452226E-2"/>
    <n v="3.6805555555555536E-2"/>
    <n v="3.0487804878048808E-2"/>
    <n v="-0.10966340933767649"/>
    <m/>
    <m/>
    <m/>
    <m/>
    <m/>
    <m/>
    <m/>
    <m/>
    <m/>
    <m/>
    <m/>
    <s v=""/>
    <m/>
    <m/>
    <m/>
    <m/>
    <m/>
    <n v="1012"/>
    <n v="0"/>
    <s v="FR00001253381"/>
    <s v="FR0000125338"/>
    <n v="1"/>
    <x v="44"/>
    <m/>
    <m/>
    <m/>
  </r>
  <r>
    <m/>
    <m/>
    <m/>
    <m/>
    <n v="80.150000000000006"/>
    <x v="8"/>
    <n v="12539000000"/>
    <n v="1440000000"/>
    <n v="1148000000"/>
    <n v="921000000"/>
    <n v="1413000000"/>
    <n v="7285000000"/>
    <n v="42.991850120248237"/>
    <n v="0.12642415923129718"/>
    <n v="8.7980777190158663E-2"/>
    <n v="169450721"/>
    <n v="13581475288.150002"/>
    <n v="1.8643068343376803"/>
    <n v="13.061389623824043"/>
    <m/>
    <m/>
    <s v=""/>
    <m/>
    <m/>
    <m/>
    <m/>
    <m/>
    <n v="1013"/>
    <n v="0"/>
    <s v="FR000012533812016"/>
    <s v="FR0000125338"/>
    <n v="1"/>
    <x v="44"/>
    <m/>
    <m/>
    <m/>
  </r>
  <r>
    <m/>
    <m/>
    <m/>
    <m/>
    <m/>
    <x v="1"/>
    <n v="9.3199651264167294E-2"/>
    <n v="7.8651685393258397E-2"/>
    <n v="4.8401826484018251E-2"/>
    <e v="#DIV/0!"/>
    <m/>
    <m/>
    <m/>
    <m/>
    <m/>
    <m/>
    <m/>
    <m/>
    <m/>
    <m/>
    <m/>
    <s v=""/>
    <m/>
    <m/>
    <m/>
    <m/>
    <m/>
    <n v="1014"/>
    <n v="0"/>
    <s v="FR00001253381"/>
    <s v="FR0000125338"/>
    <n v="1"/>
    <x v="44"/>
    <m/>
    <m/>
    <m/>
  </r>
  <r>
    <m/>
    <m/>
    <m/>
    <m/>
    <n v="85.6"/>
    <x v="9"/>
    <n v="11470000000"/>
    <n v="1335000000"/>
    <n v="1095000000"/>
    <m/>
    <m/>
    <m/>
    <m/>
    <m/>
    <m/>
    <n v="169450721"/>
    <n v="14504981717.599998"/>
    <m/>
    <n v="13.246558646210044"/>
    <m/>
    <m/>
    <s v=""/>
    <m/>
    <m/>
    <m/>
    <m/>
    <m/>
    <n v="1015"/>
    <n v="0"/>
    <s v="FR000012533812015"/>
    <s v="FR0000125338"/>
    <n v="1"/>
    <x v="44"/>
    <m/>
    <m/>
    <m/>
  </r>
  <r>
    <m/>
    <m/>
    <m/>
    <m/>
    <m/>
    <x v="1"/>
    <m/>
    <m/>
    <m/>
    <m/>
    <m/>
    <m/>
    <m/>
    <m/>
    <m/>
    <m/>
    <m/>
    <m/>
    <m/>
    <m/>
    <m/>
    <s v=""/>
    <m/>
    <m/>
    <m/>
    <m/>
    <m/>
    <n v="1016"/>
    <n v="0"/>
    <s v="FR00001253381"/>
    <s v="FR0000125338"/>
    <n v="1"/>
    <x v="44"/>
    <m/>
    <m/>
    <m/>
  </r>
  <r>
    <m/>
    <m/>
    <m/>
    <m/>
    <n v="60.28"/>
    <x v="10"/>
    <m/>
    <m/>
    <m/>
    <m/>
    <m/>
    <m/>
    <m/>
    <m/>
    <m/>
    <n v="169450721"/>
    <n v="10214489461.880001"/>
    <m/>
    <e v="#DIV/0!"/>
    <m/>
    <m/>
    <s v=""/>
    <m/>
    <m/>
    <m/>
    <m/>
    <m/>
    <n v="1017"/>
    <n v="0"/>
    <s v="FR000012533812014"/>
    <s v="FR0000125338"/>
    <n v="1"/>
    <x v="44"/>
    <m/>
    <m/>
    <m/>
  </r>
  <r>
    <m/>
    <m/>
    <m/>
    <m/>
    <m/>
    <x v="1"/>
    <m/>
    <m/>
    <m/>
    <m/>
    <m/>
    <m/>
    <m/>
    <m/>
    <m/>
    <m/>
    <m/>
    <m/>
    <m/>
    <m/>
    <m/>
    <s v=""/>
    <m/>
    <m/>
    <m/>
    <m/>
    <m/>
    <n v="1018"/>
    <n v="0"/>
    <s v="FR00001253381"/>
    <s v="FR0000125338"/>
    <n v="1"/>
    <x v="44"/>
    <m/>
    <m/>
    <m/>
  </r>
  <r>
    <m/>
    <m/>
    <m/>
    <m/>
    <m/>
    <x v="1"/>
    <m/>
    <m/>
    <m/>
    <m/>
    <m/>
    <m/>
    <m/>
    <m/>
    <m/>
    <m/>
    <m/>
    <m/>
    <m/>
    <m/>
    <m/>
    <s v=""/>
    <m/>
    <m/>
    <m/>
    <m/>
    <m/>
    <n v="1019"/>
    <n v="0"/>
    <s v="FR00001253381"/>
    <s v="FR0000125338"/>
    <n v="1"/>
    <x v="44"/>
    <m/>
    <m/>
    <m/>
  </r>
  <r>
    <m/>
    <m/>
    <m/>
    <m/>
    <m/>
    <x v="1"/>
    <m/>
    <m/>
    <m/>
    <m/>
    <m/>
    <m/>
    <m/>
    <m/>
    <m/>
    <m/>
    <m/>
    <m/>
    <m/>
    <m/>
    <m/>
    <s v=""/>
    <m/>
    <m/>
    <m/>
    <m/>
    <m/>
    <n v="1020"/>
    <n v="0"/>
    <s v="FR00001253381"/>
    <s v="FR0000125338"/>
    <n v="1"/>
    <x v="44"/>
    <m/>
    <m/>
    <m/>
  </r>
  <r>
    <s v="SPIE"/>
    <s v="Services Multitechniques"/>
    <s v="France"/>
    <s v="Euro"/>
    <n v="26"/>
    <x v="0"/>
    <n v="8600601500"/>
    <n v="756852932"/>
    <n v="400000000"/>
    <n v="230000000"/>
    <n v="1340000000"/>
    <n v="1986000000"/>
    <n v="12.098638186789158"/>
    <n v="0.1219137274857149"/>
    <n v="8.3060762947872083E-2"/>
    <n v="164150706"/>
    <n v="4267918356"/>
    <n v="2.1490021933534744"/>
    <n v="7.4095218752485454"/>
    <s v="BB+ / janvier 2023"/>
    <n v="48000"/>
    <n v="179179.19791666666"/>
    <n v="340000000"/>
    <s v="E = 1"/>
    <m/>
    <s v="Services multitechniques, énergie et télécoms en Europe fondée en 1900. Installation fibre optique, station de recharge éléctrique. "/>
    <m/>
    <n v="1021"/>
    <n v="0"/>
    <s v="FR001275785412023"/>
    <s v="FR0012757854"/>
    <n v="1"/>
    <x v="45"/>
    <m/>
    <m/>
    <m/>
  </r>
  <r>
    <m/>
    <m/>
    <m/>
    <m/>
    <m/>
    <x v="1"/>
    <n v="6.0000000000000053E-2"/>
    <n v="6.1802654320987749E-2"/>
    <n v="0.30107533876749137"/>
    <n v="0.51683022053392413"/>
    <m/>
    <m/>
    <m/>
    <m/>
    <m/>
    <m/>
    <m/>
    <m/>
    <m/>
    <m/>
    <m/>
    <s v=""/>
    <m/>
    <s v="S = 1"/>
    <m/>
    <s v="Avantage c'est du service, pas beaucoup d'investissement mais pas de barrière à l'entrée, pression concurrentielle et donc sur les prix. Spie a une solide réputation"/>
    <m/>
    <n v="1022"/>
    <n v="0"/>
    <s v="FR00127578541"/>
    <s v="FR0012757854"/>
    <n v="1"/>
    <x v="45"/>
    <m/>
    <m/>
    <m/>
  </r>
  <r>
    <m/>
    <m/>
    <m/>
    <m/>
    <n v="24.36"/>
    <x v="2"/>
    <n v="8113775000"/>
    <n v="712800000"/>
    <n v="307438000"/>
    <n v="151632000"/>
    <n v="1323600000"/>
    <n v="1886580000"/>
    <n v="11.492975241909711"/>
    <n v="9.0373768053058953E-2"/>
    <n v="6.9639779233065288E-2"/>
    <n v="164150706"/>
    <n v="3998711198.1599998"/>
    <n v="2.1195555969850206"/>
    <n v="7.466766551851852"/>
    <s v="BB"/>
    <n v="46400"/>
    <n v="174865.84051724139"/>
    <n v="314700000"/>
    <s v="G = 1"/>
    <m/>
    <s v="Actionnaires : 74,4% public, Caisse du Québec : 11,89%, Peugeot Invest : 5,39%, salarié : 5,3% et managers : 3,05% dont 1,54% Gauthier Louette"/>
    <m/>
    <n v="1023"/>
    <n v="0"/>
    <s v="FR001275785412022"/>
    <s v="FR0012757854"/>
    <n v="1"/>
    <x v="45"/>
    <m/>
    <m/>
    <m/>
  </r>
  <r>
    <m/>
    <m/>
    <m/>
    <m/>
    <m/>
    <x v="1"/>
    <n v="0.16007539984321251"/>
    <n v="0.14616497829232999"/>
    <n v="-9.1215976541253796E-2"/>
    <n v="-0.10329451977835469"/>
    <m/>
    <m/>
    <m/>
    <m/>
    <m/>
    <m/>
    <m/>
    <m/>
    <m/>
    <s v="Négative"/>
    <m/>
    <s v=""/>
    <m/>
    <m/>
    <m/>
    <s v="IPO en juin 2015 à 16,5 euros. Vente Clayton (2011-2015), Ardian et caisse du Québec (de 2003 à 2011 - PAI comme actionnaire) désendettement avec l'IPO. Bien géré, croissance faible et un peu cher. Acheter 16 euros le 24/6/16, post Brexit (à VE/EBE : 9,5). Vente totale à 21,9 euros en février 2017. (+37% en 6 mois) suite acquisition de SAG en Allemagne"/>
    <m/>
    <n v="1024"/>
    <n v="0"/>
    <s v="FR00127578541"/>
    <s v="FR0012757854"/>
    <n v="1"/>
    <x v="45"/>
    <m/>
    <m/>
    <m/>
  </r>
  <r>
    <m/>
    <m/>
    <m/>
    <m/>
    <n v="22.72"/>
    <x v="3"/>
    <n v="6994179000"/>
    <n v="621900000"/>
    <n v="338296000"/>
    <n v="169099000"/>
    <n v="1265000000"/>
    <n v="1677832000"/>
    <n v="10.315241363129767"/>
    <n v="0.10993525418858396"/>
    <n v="7.9567631146907611E-2"/>
    <n v="162655622"/>
    <n v="3695535731.8399997"/>
    <n v="2.2025660088971959"/>
    <n v="7.9764202152114487"/>
    <d v="2020-08-17T00:00:00"/>
    <n v="46400"/>
    <n v="150736.61637931035"/>
    <n v="268000000"/>
    <m/>
    <m/>
    <s v="Gauthier Louette, CEO, depuis 2010 et chez SPIE depuis 1986. Fin de son mandat le 31 décembre 2021. 41 M euros en actions"/>
    <m/>
    <n v="1025"/>
    <n v="0"/>
    <s v="FR001275785412021"/>
    <s v="FR0012757854"/>
    <n v="1"/>
    <x v="45"/>
    <m/>
    <m/>
    <m/>
  </r>
  <r>
    <m/>
    <m/>
    <m/>
    <m/>
    <m/>
    <x v="1"/>
    <n v="5.308645507106724E-2"/>
    <n v="0.17383918459796144"/>
    <n v="0.67868839443440976"/>
    <n v="2.1780149974628351"/>
    <m/>
    <m/>
    <m/>
    <m/>
    <m/>
    <m/>
    <m/>
    <m/>
    <m/>
    <m/>
    <m/>
    <s v=""/>
    <m/>
    <m/>
    <m/>
    <s v="10 - 12 000 clients dont Airbus. "/>
    <m/>
    <n v="1026"/>
    <n v="0"/>
    <s v="FR00127578541"/>
    <s v="FR0012757854"/>
    <n v="1"/>
    <x v="45"/>
    <m/>
    <m/>
    <m/>
  </r>
  <r>
    <m/>
    <m/>
    <m/>
    <m/>
    <n v="17.809999999999999"/>
    <x v="4"/>
    <n v="6641600000"/>
    <n v="529800000"/>
    <n v="201524000"/>
    <n v="53209000"/>
    <n v="1296000000"/>
    <n v="1538169000"/>
    <n v="9.6051651777007603"/>
    <n v="3.6693812276693508E-2"/>
    <n v="4.4169375162138515E-2"/>
    <n v="160139776"/>
    <n v="2852089410.5599999"/>
    <n v="1.8542106950276596"/>
    <n v="7.8295383362778406"/>
    <m/>
    <m/>
    <s v=""/>
    <m/>
    <m/>
    <m/>
    <s v="En 2016, SAG acheté 850 M euros en novembre (11 fois l'EBITA 2016 ou 8,8 fois EBITA 2016 après prise en compte des synergies)"/>
    <m/>
    <n v="1027"/>
    <n v="0"/>
    <s v="FR001275785412020"/>
    <s v="FR0012757854"/>
    <n v="1"/>
    <x v="45"/>
    <m/>
    <m/>
    <m/>
  </r>
  <r>
    <m/>
    <m/>
    <m/>
    <m/>
    <m/>
    <x v="1"/>
    <n v="-4.1242619779712109E-2"/>
    <n v="-4.5749279538904952E-2"/>
    <n v="-0.41721708753137687"/>
    <n v="-0.64656455084092779"/>
    <m/>
    <m/>
    <m/>
    <m/>
    <m/>
    <m/>
    <m/>
    <m/>
    <m/>
    <m/>
    <m/>
    <s v=""/>
    <m/>
    <m/>
    <m/>
    <s v="SAG consolidé depuis le 1er avril 2017. Consolidé sur un an, le CA de Spie sera de 6,5 Md euros"/>
    <m/>
    <n v="1028"/>
    <n v="0"/>
    <s v="FR00127578541"/>
    <s v="FR0012757854"/>
    <n v="1"/>
    <x v="45"/>
    <m/>
    <m/>
    <m/>
  </r>
  <r>
    <m/>
    <m/>
    <m/>
    <m/>
    <n v="18.5"/>
    <x v="5"/>
    <n v="6927300000"/>
    <n v="555200000"/>
    <n v="345796000"/>
    <n v="150548000"/>
    <n v="1591300000"/>
    <n v="1450081000"/>
    <n v="9.1952964513388888"/>
    <n v="0.10216645991058365"/>
    <n v="8.1663374353800111E-2"/>
    <n v="157698124"/>
    <n v="2917415294"/>
    <n v="2.0118981587925089"/>
    <n v="8.1208848955331412"/>
    <m/>
    <m/>
    <s v=""/>
    <m/>
    <m/>
    <m/>
    <s v="Refinancement de SAG (600 M euros à 3,125%). Impact de SAG sur l'endettement 460 Me "/>
    <m/>
    <n v="1029"/>
    <n v="0"/>
    <s v="FR001275785412019"/>
    <s v="FR0012757854"/>
    <n v="1"/>
    <x v="45"/>
    <m/>
    <m/>
    <m/>
  </r>
  <r>
    <m/>
    <m/>
    <m/>
    <m/>
    <m/>
    <x v="1"/>
    <n v="3.4899568892687416E-2"/>
    <n v="0.22371611196826091"/>
    <n v="0.23900362604445835"/>
    <n v="0.64695328738650049"/>
    <m/>
    <m/>
    <m/>
    <m/>
    <m/>
    <m/>
    <m/>
    <m/>
    <m/>
    <m/>
    <m/>
    <s v=""/>
    <m/>
    <m/>
    <m/>
    <s v="Cash conversion : 122% en 2016 (cash conversion = cash flow exploitation / EBITA) parce que c'est une société de service et peu d'investissement"/>
    <m/>
    <n v="1030"/>
    <n v="0"/>
    <s v="FR00127578541"/>
    <s v="FR0012757854"/>
    <n v="1"/>
    <x v="45"/>
    <m/>
    <m/>
    <m/>
  </r>
  <r>
    <m/>
    <m/>
    <m/>
    <m/>
    <n v="11"/>
    <x v="6"/>
    <n v="6693693000"/>
    <n v="453700000"/>
    <n v="279092000"/>
    <n v="91410000"/>
    <n v="1349100000"/>
    <n v="1473556000"/>
    <n v="9.4733232387397148"/>
    <n v="6.3505671464270858E-2"/>
    <n v="6.2613263491826304E-2"/>
    <n v="155547949"/>
    <n v="1711027439"/>
    <n v="1.1611553541229516"/>
    <n v="6.7448257416795236"/>
    <m/>
    <m/>
    <s v=""/>
    <m/>
    <m/>
    <m/>
    <s v="En 2017, au premier semestre, croissance molle voire négative (problème au Royaume-Uni maintenant réglé). Risque sur les chiffres 2017 : 380 EBITA et dettes à 1500 M euros "/>
    <m/>
    <n v="1031"/>
    <n v="0"/>
    <s v="FR001275785412018"/>
    <s v="FR0012757854"/>
    <n v="1"/>
    <x v="45"/>
    <m/>
    <m/>
    <m/>
  </r>
  <r>
    <m/>
    <m/>
    <m/>
    <m/>
    <m/>
    <x v="1"/>
    <n v="9.2314074118557299E-2"/>
    <n v="-1.0037093606807823E-2"/>
    <n v="5.8951641972263769E-2"/>
    <n v="-0.17997344624659106"/>
    <m/>
    <m/>
    <m/>
    <m/>
    <m/>
    <m/>
    <m/>
    <m/>
    <m/>
    <m/>
    <m/>
    <s v=""/>
    <m/>
    <m/>
    <m/>
    <s v="Résultats 2017 comme anticipé à 380 M e d'EBITA et dettes à 1500 M e (Dettes notées BB - 2 Md brute et 500 Me de trésorerie - coût 60 Me). Problème au UK, dans l'énergie et tassement des marges (prix plus discuté en France malgré le retour de la croissance)"/>
    <m/>
    <n v="1032"/>
    <n v="0"/>
    <s v="FR00127578541"/>
    <s v="FR0012757854"/>
    <n v="1"/>
    <x v="45"/>
    <m/>
    <m/>
    <m/>
  </r>
  <r>
    <m/>
    <m/>
    <m/>
    <m/>
    <n v="21.7"/>
    <x v="7"/>
    <n v="6127993000"/>
    <n v="458300000"/>
    <n v="263555000"/>
    <n v="111472000"/>
    <n v="1531900000"/>
    <n v="1439399000"/>
    <n v="9.3421268895104053"/>
    <n v="7.8773899573736761E-2"/>
    <n v="7.5580412976965244E-2"/>
    <n v="154076156"/>
    <n v="3343452585.1999998"/>
    <n v="2.3228115242542198"/>
    <n v="10.637906579096661"/>
    <m/>
    <m/>
    <s v=""/>
    <m/>
    <m/>
    <m/>
    <s v="Tassement des marges à 6,8% en 2016-6,3% en 2017 et 6% en 2018. Stabilité annoncé en 2019"/>
    <m/>
    <n v="1033"/>
    <n v="0"/>
    <s v="FR001275785412017"/>
    <s v="FR0012757854"/>
    <n v="1"/>
    <x v="45"/>
    <m/>
    <m/>
    <m/>
  </r>
  <r>
    <m/>
    <m/>
    <m/>
    <m/>
    <m/>
    <x v="1"/>
    <n v="0.19117368062979878"/>
    <n v="0.15498991935483875"/>
    <n v="-0.1048818758575718"/>
    <n v="-0.39427925578160317"/>
    <m/>
    <m/>
    <m/>
    <m/>
    <m/>
    <m/>
    <m/>
    <m/>
    <m/>
    <m/>
    <m/>
    <s v=""/>
    <m/>
    <m/>
    <m/>
    <s v="Résultats nets  2017 et 2018 hors activité abandonnée à 210 M euros d'où ROE à 14%. FP 20% du total du bilan un peu faible et pay out ratio élevé"/>
    <m/>
    <n v="1034"/>
    <n v="0"/>
    <s v="FR00127578541"/>
    <s v="FR0012757854"/>
    <n v="1"/>
    <x v="45"/>
    <m/>
    <m/>
    <m/>
  </r>
  <r>
    <m/>
    <m/>
    <m/>
    <m/>
    <n v="20.010000000000002"/>
    <x v="8"/>
    <n v="5144500000"/>
    <n v="396800000"/>
    <n v="294436000"/>
    <n v="184032000"/>
    <n v="909400000"/>
    <n v="1415088000"/>
    <n v="9.1843412812038228"/>
    <n v="0.13961787769172879"/>
    <n v="8.7538462663774158E-2"/>
    <n v="154076156"/>
    <n v="3083063881.5600004"/>
    <n v="2.1787082369153015"/>
    <n v="10.06165292731855"/>
    <m/>
    <m/>
    <s v=""/>
    <m/>
    <m/>
    <m/>
    <s v="Multiple moyen d'achat des sociétés de taille moyenne dans sa stratégie Bolt-on : 6,9 fois l'EBITA en 2018"/>
    <m/>
    <n v="1035"/>
    <n v="0"/>
    <s v="FR001275785412016"/>
    <s v="FR0012757854"/>
    <n v="1"/>
    <x v="45"/>
    <m/>
    <m/>
    <m/>
  </r>
  <r>
    <m/>
    <m/>
    <m/>
    <m/>
    <m/>
    <x v="1"/>
    <n v="-2.8606495468277982E-2"/>
    <n v="1.6653856008198797E-2"/>
    <n v="9.1923203868732983E-2"/>
    <n v="3.0642211965283455"/>
    <m/>
    <m/>
    <m/>
    <m/>
    <m/>
    <m/>
    <m/>
    <m/>
    <m/>
    <m/>
    <m/>
    <s v=""/>
    <m/>
    <m/>
    <m/>
    <s v="Cash conversion 2018 bien, baisse de la dette, taux de la dette bien. Créances clients à 1,8 Md e soit 25% du CA. Distribution 100% du résultat net en 2018, 60% en 2019. Retour du Pay-out ratio à 40%"/>
    <m/>
    <n v="1036"/>
    <n v="0"/>
    <s v="FR00127578541"/>
    <s v="FR0012757854"/>
    <n v="1"/>
    <x v="45"/>
    <m/>
    <m/>
    <m/>
  </r>
  <r>
    <m/>
    <m/>
    <m/>
    <m/>
    <n v="16.87"/>
    <x v="9"/>
    <n v="5296000000"/>
    <n v="390300000"/>
    <n v="269649000"/>
    <n v="45281000"/>
    <n v="924000000"/>
    <n v="1318112000"/>
    <n v="8.5549382475507763"/>
    <n v="3.4352922968609645E-2"/>
    <n v="8.0169065327691039E-2"/>
    <n v="154076156"/>
    <n v="2599264751.7200003"/>
    <n v="1.9719604644521864"/>
    <n v="9.027068285216501"/>
    <m/>
    <m/>
    <s v=""/>
    <m/>
    <m/>
    <m/>
    <s v="Interrogation sur l'EBITA, le repère Résultat d'exploitation est plus intéressant, achat sur des niveaux de 6,5 fois de l'année en cours. EBE de 555 M e en 2019"/>
    <m/>
    <n v="1037"/>
    <n v="0"/>
    <s v="FR001275785412015"/>
    <s v="FR0012757854"/>
    <n v="1"/>
    <x v="45"/>
    <m/>
    <m/>
    <m/>
  </r>
  <r>
    <m/>
    <m/>
    <m/>
    <m/>
    <m/>
    <x v="1"/>
    <m/>
    <m/>
    <m/>
    <m/>
    <m/>
    <m/>
    <m/>
    <m/>
    <m/>
    <m/>
    <m/>
    <m/>
    <m/>
    <m/>
    <m/>
    <s v=""/>
    <m/>
    <m/>
    <m/>
    <s v="Covenant à 4 et pas de dettes avant 2023. Attention publie une dette hors IFRS 16. Avec IFRS 16 dettes à 1,860 Md euros avec 550 Me d'EBE"/>
    <m/>
    <n v="1038"/>
    <n v="0"/>
    <s v="FR00127578541"/>
    <s v="FR0012757854"/>
    <n v="1"/>
    <x v="45"/>
    <m/>
    <m/>
    <m/>
  </r>
  <r>
    <m/>
    <m/>
    <m/>
    <m/>
    <s v="IPO en juin 2015 à 16,5 euros"/>
    <x v="1"/>
    <m/>
    <m/>
    <m/>
    <m/>
    <m/>
    <m/>
    <m/>
    <m/>
    <m/>
    <m/>
    <m/>
    <m/>
    <m/>
    <m/>
    <m/>
    <s v=""/>
    <m/>
    <m/>
    <m/>
    <s v="À partir de 2019, dettes avec IFRS 16 dans le tableau"/>
    <m/>
    <n v="1039"/>
    <n v="0"/>
    <s v="FR00127578541"/>
    <s v="FR0012757854"/>
    <n v="1"/>
    <x v="45"/>
    <m/>
    <m/>
    <m/>
  </r>
  <r>
    <m/>
    <m/>
    <m/>
    <m/>
    <m/>
    <x v="1"/>
    <m/>
    <m/>
    <m/>
    <m/>
    <m/>
    <m/>
    <m/>
    <m/>
    <m/>
    <m/>
    <m/>
    <m/>
    <m/>
    <m/>
    <m/>
    <s v=""/>
    <m/>
    <m/>
    <m/>
    <s v="En 2020, bon rétablissement au 2S. Part de la production verte à plus de 40%. Perte sur cession des activités UK (45 M euros) et restructuration pour 25 M euros"/>
    <m/>
    <n v="1040"/>
    <n v="0"/>
    <s v="FR00127578541"/>
    <s v="FR0012757854"/>
    <n v="1"/>
    <x v="45"/>
    <m/>
    <m/>
    <m/>
  </r>
  <r>
    <m/>
    <m/>
    <m/>
    <m/>
    <m/>
    <x v="1"/>
    <m/>
    <m/>
    <m/>
    <m/>
    <m/>
    <m/>
    <m/>
    <m/>
    <m/>
    <m/>
    <m/>
    <m/>
    <m/>
    <m/>
    <m/>
    <s v=""/>
    <m/>
    <m/>
    <m/>
    <s v="En 2021 favorable, retour légèrement au-dessus de 2019 et marge d'EBITA à 6,1%. Offre sur Equans (services multitechniques d'Engie) abandonnée en octobre 2021. 8 acquisitions pour 277 M euros de CA"/>
    <m/>
    <n v="1041"/>
    <n v="0"/>
    <s v="FR00127578541"/>
    <s v="FR0012757854"/>
    <n v="1"/>
    <x v="45"/>
    <m/>
    <m/>
    <m/>
  </r>
  <r>
    <m/>
    <m/>
    <m/>
    <m/>
    <m/>
    <x v="1"/>
    <m/>
    <m/>
    <m/>
    <m/>
    <m/>
    <m/>
    <m/>
    <m/>
    <m/>
    <m/>
    <m/>
    <m/>
    <m/>
    <m/>
    <m/>
    <s v=""/>
    <m/>
    <m/>
    <m/>
    <s v="Production verte en lien avec la taxonomie est à 42% "/>
    <m/>
    <n v="1042"/>
    <n v="0"/>
    <s v="FR00127578541"/>
    <s v="FR0012757854"/>
    <n v="1"/>
    <x v="45"/>
    <m/>
    <m/>
    <m/>
  </r>
  <r>
    <m/>
    <m/>
    <m/>
    <m/>
    <m/>
    <x v="1"/>
    <m/>
    <m/>
    <m/>
    <m/>
    <m/>
    <m/>
    <m/>
    <m/>
    <m/>
    <m/>
    <m/>
    <m/>
    <m/>
    <m/>
    <m/>
    <s v=""/>
    <m/>
    <m/>
    <m/>
    <s v="En 2022, acquistion d'une entreprise aux Pays-Bas dans les bâtiments intelligents (400 M euros de CA). Croissance organique à 3% et acquisition pour 250 Me de CA (soit +3,5%) pas d'activité en Ukraine et en Russie"/>
    <m/>
    <n v="1043"/>
    <n v="0"/>
    <s v="FR00127578541"/>
    <s v="FR0012757854"/>
    <n v="1"/>
    <x v="45"/>
    <m/>
    <m/>
    <m/>
  </r>
  <r>
    <m/>
    <m/>
    <m/>
    <m/>
    <m/>
    <x v="1"/>
    <m/>
    <m/>
    <m/>
    <m/>
    <m/>
    <m/>
    <m/>
    <m/>
    <m/>
    <m/>
    <m/>
    <m/>
    <m/>
    <m/>
    <m/>
    <s v=""/>
    <m/>
    <m/>
    <m/>
    <s v="Cession intégrale des activités au Royaume-Uni (perte de 104,9 Me passés fin 2022) pour une activité de 200 M euros"/>
    <m/>
    <n v="1044"/>
    <n v="0"/>
    <s v="FR00127578541"/>
    <s v="FR0012757854"/>
    <n v="1"/>
    <x v="45"/>
    <m/>
    <m/>
    <m/>
  </r>
  <r>
    <m/>
    <m/>
    <m/>
    <m/>
    <m/>
    <x v="1"/>
    <m/>
    <m/>
    <m/>
    <m/>
    <m/>
    <m/>
    <m/>
    <m/>
    <m/>
    <m/>
    <m/>
    <m/>
    <m/>
    <m/>
    <m/>
    <s v=""/>
    <m/>
    <m/>
    <m/>
    <s v="Exercice de qualité bénéficiant de la transition énergétique (part taxonomie : 46%, 50% en 2025), des acquisitions bolt-on et d'une bonne exécution"/>
    <m/>
    <n v="1045"/>
    <n v="0"/>
    <s v="FR00127578541"/>
    <s v="FR0012757854"/>
    <n v="1"/>
    <x v="45"/>
    <m/>
    <m/>
    <m/>
  </r>
  <r>
    <m/>
    <m/>
    <m/>
    <m/>
    <m/>
    <x v="1"/>
    <m/>
    <m/>
    <m/>
    <m/>
    <m/>
    <m/>
    <m/>
    <m/>
    <m/>
    <m/>
    <m/>
    <m/>
    <m/>
    <m/>
    <m/>
    <s v=""/>
    <m/>
    <m/>
    <m/>
    <s v="En 2023, perspectives favorables (+5%) avec les acquisitions complémentaires avec des montants équivalents au FCF, dettes stables (baisse en relatif). ROCE mieux grâce au BFR négatif. Emission d'Ornane début 2023, légère dilution. FP : 21% du bilan"/>
    <m/>
    <n v="1046"/>
    <n v="0"/>
    <s v="FR00127578541"/>
    <s v="FR0012757854"/>
    <n v="1"/>
    <x v="45"/>
    <m/>
    <m/>
    <m/>
  </r>
  <r>
    <m/>
    <m/>
    <m/>
    <m/>
    <m/>
    <x v="1"/>
    <m/>
    <m/>
    <m/>
    <m/>
    <m/>
    <m/>
    <m/>
    <m/>
    <m/>
    <m/>
    <m/>
    <m/>
    <m/>
    <m/>
    <m/>
    <s v=""/>
    <m/>
    <m/>
    <m/>
    <s v="Taux d'impôt : 34%"/>
    <m/>
    <n v="1047"/>
    <n v="0"/>
    <s v="FR00127578541"/>
    <s v="FR0012757854"/>
    <n v="1"/>
    <x v="45"/>
    <m/>
    <m/>
    <m/>
  </r>
  <r>
    <m/>
    <m/>
    <m/>
    <m/>
    <m/>
    <x v="1"/>
    <m/>
    <m/>
    <m/>
    <m/>
    <m/>
    <m/>
    <m/>
    <m/>
    <m/>
    <m/>
    <m/>
    <m/>
    <m/>
    <m/>
    <m/>
    <s v=""/>
    <m/>
    <m/>
    <m/>
    <s v="Pas de minoritaires"/>
    <m/>
    <n v="1048"/>
    <n v="0"/>
    <s v="FR00127578541"/>
    <s v="FR0012757854"/>
    <n v="1"/>
    <x v="45"/>
    <m/>
    <m/>
    <m/>
  </r>
  <r>
    <m/>
    <m/>
    <m/>
    <m/>
    <m/>
    <x v="1"/>
    <m/>
    <m/>
    <m/>
    <m/>
    <m/>
    <m/>
    <m/>
    <m/>
    <m/>
    <m/>
    <m/>
    <m/>
    <m/>
    <m/>
    <m/>
    <s v=""/>
    <m/>
    <m/>
    <m/>
    <s v="CAC : Price et EY"/>
    <m/>
    <n v="1049"/>
    <n v="0"/>
    <s v="FR00127578541"/>
    <s v="FR0012757854"/>
    <n v="1"/>
    <x v="45"/>
    <m/>
    <m/>
    <m/>
  </r>
  <r>
    <m/>
    <m/>
    <m/>
    <m/>
    <m/>
    <x v="1"/>
    <m/>
    <m/>
    <m/>
    <m/>
    <m/>
    <m/>
    <m/>
    <m/>
    <m/>
    <m/>
    <m/>
    <m/>
    <m/>
    <m/>
    <m/>
    <s v=""/>
    <m/>
    <m/>
    <m/>
    <s v="Pay out ratio : proche 100% depuis 2015 (pas en 2020, ce qui compense les pertes du 1S20). Reprise en 2021 avec un taux de distribution de 40%"/>
    <m/>
    <n v="1050"/>
    <n v="0"/>
    <s v="FR00127578541"/>
    <s v="FR0012757854"/>
    <n v="1"/>
    <x v="45"/>
    <m/>
    <m/>
    <m/>
  </r>
  <r>
    <m/>
    <m/>
    <m/>
    <m/>
    <m/>
    <x v="1"/>
    <m/>
    <m/>
    <m/>
    <m/>
    <m/>
    <m/>
    <m/>
    <m/>
    <m/>
    <m/>
    <m/>
    <m/>
    <m/>
    <m/>
    <m/>
    <s v=""/>
    <m/>
    <m/>
    <m/>
    <m/>
    <m/>
    <n v="1051"/>
    <n v="0"/>
    <s v="FR00127578541"/>
    <s v="FR0012757854"/>
    <n v="1"/>
    <x v="45"/>
    <m/>
    <m/>
    <m/>
  </r>
  <r>
    <m/>
    <m/>
    <m/>
    <m/>
    <m/>
    <x v="1"/>
    <m/>
    <m/>
    <m/>
    <m/>
    <m/>
    <m/>
    <m/>
    <m/>
    <m/>
    <m/>
    <m/>
    <m/>
    <m/>
    <m/>
    <m/>
    <s v=""/>
    <m/>
    <m/>
    <m/>
    <m/>
    <m/>
    <n v="1052"/>
    <n v="0"/>
    <s v="FR00127578541"/>
    <s v="FR0012757854"/>
    <n v="1"/>
    <x v="45"/>
    <m/>
    <m/>
    <m/>
  </r>
  <r>
    <m/>
    <m/>
    <m/>
    <m/>
    <m/>
    <x v="1"/>
    <m/>
    <m/>
    <m/>
    <m/>
    <m/>
    <m/>
    <m/>
    <m/>
    <m/>
    <m/>
    <m/>
    <m/>
    <m/>
    <m/>
    <m/>
    <s v=""/>
    <m/>
    <m/>
    <m/>
    <m/>
    <m/>
    <n v="1053"/>
    <n v="0"/>
    <s v="FR00127578541"/>
    <s v="FR0012757854"/>
    <n v="1"/>
    <x v="45"/>
    <m/>
    <m/>
    <m/>
  </r>
  <r>
    <m/>
    <m/>
    <m/>
    <m/>
    <m/>
    <x v="1"/>
    <m/>
    <m/>
    <m/>
    <m/>
    <m/>
    <m/>
    <m/>
    <m/>
    <m/>
    <m/>
    <m/>
    <m/>
    <m/>
    <m/>
    <m/>
    <s v=""/>
    <m/>
    <m/>
    <m/>
    <m/>
    <m/>
    <n v="1054"/>
    <n v="0"/>
    <s v="FR00127578541"/>
    <s v="FR0012757854"/>
    <n v="1"/>
    <x v="45"/>
    <m/>
    <m/>
    <m/>
  </r>
  <r>
    <s v="Carrefour"/>
    <s v="Distribution"/>
    <s v="France"/>
    <s v="Euro"/>
    <n v="16.100000000000001"/>
    <x v="3"/>
    <n v="71000000000"/>
    <n v="4550000000"/>
    <n v="2250000000"/>
    <n v="1150000000"/>
    <n v="2500000000"/>
    <n v="10795000000"/>
    <n v="13.372304336690695"/>
    <n v="0.10653080129689671"/>
    <n v="0.11281308762692742"/>
    <n v="807265504"/>
    <n v="12996974614.400002"/>
    <n v="1.2039809740064846"/>
    <n v="3.4059284866813191"/>
    <s v="BBB+"/>
    <m/>
    <s v=""/>
    <m/>
    <m/>
    <m/>
    <s v="Revu le 13 février 2017, ligne vendue à 22,8 euros. Asie et le Brésil en croissance, trop mature en Europe. Au 4 T16, mieux en magasins de proximité moins bien hyper. Mieux au Brésil moins bien en Chine et fermeture de magasins en Europe (hors France)"/>
    <m/>
    <n v="1055"/>
    <n v="0"/>
    <s v="FR000012017212021"/>
    <s v="FR0000120172"/>
    <n v="1"/>
    <x v="46"/>
    <m/>
    <m/>
    <m/>
  </r>
  <r>
    <m/>
    <m/>
    <m/>
    <m/>
    <m/>
    <x v="1"/>
    <n v="1.4764103077165025E-2"/>
    <n v="1.903695408734607E-2"/>
    <n v="3.5434882650713373E-2"/>
    <n v="0.13748763600395653"/>
    <m/>
    <m/>
    <m/>
    <m/>
    <m/>
    <m/>
    <m/>
    <m/>
    <m/>
    <m/>
    <m/>
    <s v=""/>
    <m/>
    <m/>
    <m/>
    <s v="Revu le 9/3/2017, résultats médiocres en baisse par rapport à 2015, avec la baisse des hypers non compensées par la proximité du coup résultat à -15% en France. Asie en perte. Le titre, pas cher, pourrait souffrir. Ligne vendue en mars 2017"/>
    <m/>
    <n v="1056"/>
    <n v="0"/>
    <s v="FR00001201721"/>
    <s v="FR0000120172"/>
    <n v="1"/>
    <x v="46"/>
    <m/>
    <m/>
    <m/>
  </r>
  <r>
    <m/>
    <m/>
    <m/>
    <m/>
    <n v="15"/>
    <x v="4"/>
    <n v="69967000000"/>
    <n v="4465000000"/>
    <n v="2173000000"/>
    <n v="1011000000"/>
    <n v="2616000000"/>
    <n v="9795000000"/>
    <n v="12.133554513931021"/>
    <n v="0.10321592649310873"/>
    <n v="0.11671273869954073"/>
    <n v="807265504"/>
    <n v="12108982560"/>
    <n v="1.2362412006125574"/>
    <n v="3.2978684344904816"/>
    <m/>
    <m/>
    <s v=""/>
    <m/>
    <m/>
    <m/>
    <s v="Septembre. 1S17 résultat médiocre conncurrence accrue Leclerc et Amazon, chute du titre à 17 euros"/>
    <m/>
    <n v="1057"/>
    <n v="0"/>
    <s v="FR000012017212020"/>
    <s v="FR0000120172"/>
    <n v="1"/>
    <x v="46"/>
    <m/>
    <m/>
    <m/>
  </r>
  <r>
    <m/>
    <m/>
    <m/>
    <m/>
    <m/>
    <x v="1"/>
    <n v="-2.3502812242676252E-2"/>
    <n v="1.0867104369481462E-2"/>
    <n v="4.0708812260536353E-2"/>
    <n v="0.17421602787456436"/>
    <m/>
    <m/>
    <m/>
    <m/>
    <m/>
    <m/>
    <m/>
    <m/>
    <m/>
    <m/>
    <m/>
    <s v=""/>
    <m/>
    <m/>
    <m/>
    <s v="S&amp;P confirme la note BBB+ car marge EBE à 5-5,5% et dette contenu à moins de 2 fois"/>
    <m/>
    <n v="1058"/>
    <n v="0"/>
    <s v="FR00001201721"/>
    <s v="FR0000120172"/>
    <n v="1"/>
    <x v="46"/>
    <m/>
    <m/>
    <m/>
  </r>
  <r>
    <m/>
    <m/>
    <m/>
    <m/>
    <n v="14.03"/>
    <x v="5"/>
    <n v="71651000000"/>
    <n v="4417000000"/>
    <n v="2088000000"/>
    <n v="861000000"/>
    <n v="2615000000"/>
    <n v="9940000000"/>
    <n v="12.313173238231172"/>
    <n v="8.6619718309859151E-2"/>
    <n v="0.11086107526881721"/>
    <n v="807265504"/>
    <n v="11325935021.119999"/>
    <n v="1.1394300826076458"/>
    <n v="3.1561999142223227"/>
    <m/>
    <m/>
    <s v=""/>
    <m/>
    <m/>
    <m/>
    <s v="Amazon : 200 Md $ de CA. Valorisation 700 Md $"/>
    <m/>
    <n v="1059"/>
    <n v="0"/>
    <s v="FR000012017212019"/>
    <s v="FR0000120172"/>
    <n v="1"/>
    <x v="46"/>
    <m/>
    <m/>
    <m/>
  </r>
  <r>
    <m/>
    <m/>
    <m/>
    <m/>
    <m/>
    <x v="1"/>
    <n v="-3.8233740233016844E-3"/>
    <n v="0.26888825050272902"/>
    <n v="7.7955601445534262E-2"/>
    <n v="4.2372881355932313E-2"/>
    <m/>
    <m/>
    <m/>
    <m/>
    <m/>
    <m/>
    <m/>
    <m/>
    <m/>
    <m/>
    <m/>
    <s v=""/>
    <m/>
    <m/>
    <m/>
    <s v="Modèle en transformation et en décroissance : vente BIO et e commerce, et click and carry. Baisse des offres en hypermarché et réduction des surfaces"/>
    <m/>
    <n v="1060"/>
    <n v="0"/>
    <s v="FR00001201721"/>
    <s v="FR0000120172"/>
    <n v="1"/>
    <x v="46"/>
    <m/>
    <m/>
    <m/>
  </r>
  <r>
    <m/>
    <m/>
    <m/>
    <m/>
    <n v="15"/>
    <x v="6"/>
    <n v="71926000000"/>
    <n v="3481000000"/>
    <n v="1937000000"/>
    <n v="826000000"/>
    <n v="3510000000"/>
    <n v="9169000000"/>
    <n v="12.124535538320135"/>
    <n v="9.0086159886574327E-2"/>
    <n v="0.10183801561637353"/>
    <n v="756235154"/>
    <n v="11343527310"/>
    <n v="1.2371607928890829"/>
    <n v="4.2670288164320596"/>
    <m/>
    <m/>
    <s v=""/>
    <m/>
    <m/>
    <m/>
    <s v="Dirigé par Alexandre Bompard (né en 1972) "/>
    <m/>
    <n v="1061"/>
    <n v="0"/>
    <s v="FR000012017212018"/>
    <s v="FR0000120172"/>
    <n v="1"/>
    <x v="46"/>
    <m/>
    <m/>
    <m/>
  </r>
  <r>
    <m/>
    <m/>
    <m/>
    <m/>
    <m/>
    <x v="1"/>
    <n v="-5.2090478798026529E-2"/>
    <n v="-2.3916116119324315E-2"/>
    <n v="1.947368421052631E-2"/>
    <e v="#DIV/0!"/>
    <m/>
    <m/>
    <m/>
    <m/>
    <m/>
    <m/>
    <m/>
    <m/>
    <m/>
    <m/>
    <m/>
    <s v=""/>
    <m/>
    <m/>
    <m/>
    <s v="En 2021, Bompard a cherché à vendre au candien Couche-Tard à 18 euros probablement parce qu'il sera difficile de créer de la valeur au cours des dix prochaines années"/>
    <m/>
    <n v="1062"/>
    <n v="0"/>
    <s v="FR00001201721"/>
    <s v="FR0000120172"/>
    <n v="1"/>
    <x v="46"/>
    <m/>
    <m/>
    <m/>
  </r>
  <r>
    <m/>
    <m/>
    <m/>
    <m/>
    <n v="15.5"/>
    <x v="7"/>
    <n v="75878550000"/>
    <n v="3566291850"/>
    <n v="1900000000"/>
    <n v="0"/>
    <n v="4850000000"/>
    <n v="10059000000"/>
    <n v="13.301418145922373"/>
    <n v="0"/>
    <n v="8.4951371654705218E-2"/>
    <n v="756235154"/>
    <n v="11721644887"/>
    <n v="1.1652892819365741"/>
    <n v="4.6467438964648951"/>
    <m/>
    <m/>
    <s v=""/>
    <m/>
    <m/>
    <m/>
    <s v="Minoritaires : 13,3%"/>
    <m/>
    <n v="1063"/>
    <n v="0"/>
    <s v="FR000012017212017"/>
    <s v="FR0000120172"/>
    <n v="1"/>
    <x v="46"/>
    <m/>
    <m/>
    <m/>
  </r>
  <r>
    <m/>
    <m/>
    <m/>
    <m/>
    <m/>
    <x v="1"/>
    <n v="-1.0000000000000009E-2"/>
    <n v="-6.9400000000000017E-2"/>
    <n v="-0.19183326244151422"/>
    <n v="-1"/>
    <m/>
    <m/>
    <m/>
    <m/>
    <m/>
    <m/>
    <m/>
    <m/>
    <m/>
    <m/>
    <m/>
    <s v=""/>
    <m/>
    <m/>
    <m/>
    <s v="CAC : KPMG"/>
    <m/>
    <n v="1064"/>
    <n v="0"/>
    <s v="FR00001201721"/>
    <s v="FR0000120172"/>
    <n v="1"/>
    <x v="46"/>
    <m/>
    <m/>
    <m/>
  </r>
  <r>
    <m/>
    <m/>
    <m/>
    <m/>
    <n v="22.89"/>
    <x v="8"/>
    <n v="76645000000"/>
    <n v="3832250000"/>
    <n v="2351000000"/>
    <n v="1031000000"/>
    <n v="4531000000"/>
    <n v="10426000000"/>
    <n v="13.786716929057228"/>
    <n v="9.8887396892384419E-2"/>
    <n v="0.10477880591027612"/>
    <n v="756235154"/>
    <n v="17310222675.060001"/>
    <n v="1.6602937536025322"/>
    <n v="5.6993209407162899"/>
    <m/>
    <m/>
    <s v=""/>
    <m/>
    <m/>
    <m/>
    <s v="Pay-out ratio :"/>
    <m/>
    <n v="1065"/>
    <n v="0"/>
    <s v="FR000012017212016"/>
    <s v="FR0000120172"/>
    <n v="1"/>
    <x v="46"/>
    <m/>
    <m/>
    <m/>
  </r>
  <r>
    <m/>
    <m/>
    <m/>
    <m/>
    <m/>
    <x v="1"/>
    <n v="-3.8988888166872071E-3"/>
    <n v="-3.1036662452591623E-2"/>
    <n v="-3.8445807770961182E-2"/>
    <n v="-7.3674752920035891E-2"/>
    <m/>
    <m/>
    <m/>
    <m/>
    <m/>
    <m/>
    <m/>
    <m/>
    <m/>
    <m/>
    <m/>
    <s v=""/>
    <m/>
    <m/>
    <m/>
    <m/>
    <m/>
    <n v="1066"/>
    <n v="0"/>
    <s v="FR00001201721"/>
    <s v="FR0000120172"/>
    <n v="1"/>
    <x v="46"/>
    <m/>
    <m/>
    <m/>
  </r>
  <r>
    <m/>
    <m/>
    <m/>
    <m/>
    <n v="22.745000000000001"/>
    <x v="9"/>
    <n v="76945000000"/>
    <n v="3955000000"/>
    <n v="2445000000"/>
    <n v="1113000000"/>
    <n v="4546000000"/>
    <n v="9633000000"/>
    <n v="13.04452400591485"/>
    <n v="0.11554033011522891"/>
    <n v="0.11494724592707525"/>
    <n v="738470794"/>
    <n v="16796518209.530001"/>
    <n v="1.7436435388279872"/>
    <n v="5.396338358920354"/>
    <m/>
    <m/>
    <s v=""/>
    <m/>
    <m/>
    <m/>
    <m/>
    <m/>
    <n v="1067"/>
    <n v="0"/>
    <s v="FR000012017212015"/>
    <s v="FR0000120172"/>
    <n v="1"/>
    <x v="46"/>
    <m/>
    <m/>
    <m/>
  </r>
  <r>
    <m/>
    <m/>
    <m/>
    <m/>
    <m/>
    <x v="1"/>
    <m/>
    <m/>
    <m/>
    <m/>
    <m/>
    <m/>
    <m/>
    <m/>
    <m/>
    <m/>
    <m/>
    <m/>
    <m/>
    <m/>
    <m/>
    <s v=""/>
    <m/>
    <m/>
    <m/>
    <m/>
    <m/>
    <n v="1068"/>
    <n v="0"/>
    <s v="FR00001201721"/>
    <s v="FR0000120172"/>
    <n v="1"/>
    <x v="46"/>
    <m/>
    <m/>
    <m/>
  </r>
  <r>
    <m/>
    <m/>
    <m/>
    <m/>
    <m/>
    <x v="10"/>
    <m/>
    <m/>
    <m/>
    <m/>
    <m/>
    <m/>
    <m/>
    <m/>
    <m/>
    <m/>
    <m/>
    <m/>
    <m/>
    <m/>
    <m/>
    <s v=""/>
    <m/>
    <m/>
    <m/>
    <m/>
    <m/>
    <n v="1069"/>
    <n v="0"/>
    <s v="FR000012017212014"/>
    <s v="FR0000120172"/>
    <n v="1"/>
    <x v="46"/>
    <m/>
    <m/>
    <m/>
  </r>
  <r>
    <m/>
    <m/>
    <m/>
    <m/>
    <m/>
    <x v="1"/>
    <m/>
    <m/>
    <m/>
    <m/>
    <m/>
    <m/>
    <m/>
    <m/>
    <m/>
    <m/>
    <m/>
    <m/>
    <m/>
    <m/>
    <m/>
    <s v=""/>
    <m/>
    <m/>
    <m/>
    <m/>
    <m/>
    <n v="1070"/>
    <n v="0"/>
    <s v="FR00001201721"/>
    <s v="FR0000120172"/>
    <n v="1"/>
    <x v="46"/>
    <m/>
    <m/>
    <m/>
  </r>
  <r>
    <m/>
    <m/>
    <m/>
    <m/>
    <m/>
    <x v="11"/>
    <m/>
    <m/>
    <m/>
    <m/>
    <m/>
    <m/>
    <m/>
    <m/>
    <m/>
    <m/>
    <m/>
    <m/>
    <m/>
    <m/>
    <m/>
    <s v=""/>
    <m/>
    <m/>
    <m/>
    <m/>
    <m/>
    <n v="1071"/>
    <n v="0"/>
    <s v="FR000012017212013"/>
    <s v="FR0000120172"/>
    <n v="1"/>
    <x v="46"/>
    <m/>
    <m/>
    <m/>
  </r>
  <r>
    <m/>
    <m/>
    <m/>
    <m/>
    <m/>
    <x v="1"/>
    <m/>
    <m/>
    <m/>
    <m/>
    <m/>
    <m/>
    <m/>
    <m/>
    <m/>
    <m/>
    <m/>
    <m/>
    <m/>
    <m/>
    <m/>
    <s v=""/>
    <m/>
    <m/>
    <m/>
    <m/>
    <m/>
    <n v="1072"/>
    <n v="0"/>
    <s v="FR00001201721"/>
    <s v="FR0000120172"/>
    <n v="1"/>
    <x v="46"/>
    <m/>
    <m/>
    <m/>
  </r>
  <r>
    <m/>
    <m/>
    <m/>
    <m/>
    <n v="20.53"/>
    <x v="12"/>
    <n v="76789000000"/>
    <n v="3688000000"/>
    <n v="2140000000"/>
    <n v="1283000000"/>
    <n v="4320000000"/>
    <n v="7487000000"/>
    <n v="10.589816124469589"/>
    <n v="0.17136369707492988"/>
    <n v="0.12082019141187431"/>
    <n v="707000000"/>
    <n v="14514710000"/>
    <n v="1.9386550020034727"/>
    <n v="5.1070254880694144"/>
    <m/>
    <m/>
    <s v=""/>
    <m/>
    <m/>
    <m/>
    <m/>
    <m/>
    <n v="1073"/>
    <n v="0"/>
    <s v="FR000012017212012"/>
    <s v="FR0000120172"/>
    <n v="1"/>
    <x v="46"/>
    <m/>
    <m/>
    <m/>
  </r>
  <r>
    <m/>
    <m/>
    <m/>
    <m/>
    <m/>
    <x v="1"/>
    <n v="-5.514882307342106E-2"/>
    <n v="-5.0218902910120988E-2"/>
    <n v="-5.4490644490644486"/>
    <n v="2.4582210242587603"/>
    <m/>
    <m/>
    <m/>
    <m/>
    <m/>
    <m/>
    <m/>
    <m/>
    <m/>
    <m/>
    <m/>
    <s v=""/>
    <m/>
    <m/>
    <m/>
    <m/>
    <m/>
    <n v="1074"/>
    <n v="0"/>
    <s v="FR00001201721"/>
    <s v="FR0000120172"/>
    <n v="1"/>
    <x v="46"/>
    <m/>
    <m/>
    <m/>
  </r>
  <r>
    <m/>
    <m/>
    <m/>
    <m/>
    <n v="17"/>
    <x v="17"/>
    <n v="81271000000"/>
    <n v="3883000000"/>
    <n v="-481000000"/>
    <n v="371000000"/>
    <n v="6911000000"/>
    <n v="6618000000"/>
    <n v="9.3606789250353604"/>
    <n v="5.6059232396494407E-2"/>
    <n v="-2.3699800428708701E-2"/>
    <n v="707000000"/>
    <n v="12019000000"/>
    <n v="1.8161075853732245"/>
    <n v="4.8750965748132886"/>
    <m/>
    <m/>
    <s v=""/>
    <m/>
    <m/>
    <m/>
    <m/>
    <m/>
    <n v="1075"/>
    <n v="0"/>
    <s v="FR000012017212011"/>
    <s v="FR0000120172"/>
    <n v="1"/>
    <x v="46"/>
    <m/>
    <m/>
    <m/>
  </r>
  <r>
    <m/>
    <m/>
    <m/>
    <m/>
    <m/>
    <x v="1"/>
    <n v="9.4397038913938136E-3"/>
    <n v="-0.11286269134110116"/>
    <n v="-1.178082191780822"/>
    <n v="-0.14318706697459582"/>
    <m/>
    <m/>
    <m/>
    <m/>
    <m/>
    <m/>
    <m/>
    <m/>
    <m/>
    <m/>
    <m/>
    <s v=""/>
    <m/>
    <m/>
    <m/>
    <m/>
    <m/>
    <n v="1076"/>
    <n v="0"/>
    <s v="FR00001201721"/>
    <s v="FR0000120172"/>
    <n v="1"/>
    <x v="46"/>
    <m/>
    <m/>
    <m/>
  </r>
  <r>
    <m/>
    <m/>
    <m/>
    <m/>
    <n v="32"/>
    <x v="18"/>
    <n v="80511000000"/>
    <n v="4377000000"/>
    <n v="2701000000"/>
    <n v="433000000"/>
    <n v="7997000000"/>
    <n v="9584000000"/>
    <n v="13.555869872701557"/>
    <n v="4.5179465776293823E-2"/>
    <n v="0.10241093225641318"/>
    <n v="707000000"/>
    <n v="22624000000"/>
    <n v="2.360601001669449"/>
    <n v="6.9958875942426317"/>
    <m/>
    <m/>
    <s v=""/>
    <m/>
    <m/>
    <m/>
    <m/>
    <m/>
    <n v="1077"/>
    <n v="0"/>
    <s v="FR000012017212010"/>
    <s v="FR0000120172"/>
    <n v="1"/>
    <x v="46"/>
    <m/>
    <m/>
    <m/>
  </r>
  <r>
    <m/>
    <m/>
    <m/>
    <m/>
    <m/>
    <x v="1"/>
    <m/>
    <m/>
    <m/>
    <m/>
    <m/>
    <m/>
    <m/>
    <m/>
    <m/>
    <m/>
    <m/>
    <m/>
    <m/>
    <m/>
    <m/>
    <s v=""/>
    <m/>
    <m/>
    <m/>
    <m/>
    <m/>
    <n v="1078"/>
    <n v="0"/>
    <s v="FR00001201721"/>
    <s v="FR0000120172"/>
    <n v="1"/>
    <x v="46"/>
    <m/>
    <m/>
    <m/>
  </r>
  <r>
    <m/>
    <m/>
    <m/>
    <m/>
    <m/>
    <x v="1"/>
    <m/>
    <m/>
    <m/>
    <m/>
    <m/>
    <m/>
    <m/>
    <m/>
    <m/>
    <m/>
    <m/>
    <m/>
    <m/>
    <m/>
    <m/>
    <s v=""/>
    <m/>
    <m/>
    <m/>
    <m/>
    <m/>
    <n v="1079"/>
    <n v="0"/>
    <s v="FR00001201721"/>
    <s v="FR0000120172"/>
    <n v="1"/>
    <x v="46"/>
    <m/>
    <m/>
    <m/>
  </r>
  <r>
    <m/>
    <m/>
    <m/>
    <m/>
    <m/>
    <x v="1"/>
    <m/>
    <m/>
    <m/>
    <m/>
    <m/>
    <m/>
    <m/>
    <m/>
    <m/>
    <m/>
    <m/>
    <m/>
    <m/>
    <m/>
    <m/>
    <s v=""/>
    <m/>
    <m/>
    <m/>
    <m/>
    <m/>
    <n v="1080"/>
    <n v="0"/>
    <s v="FR00001201721"/>
    <s v="FR0000120172"/>
    <n v="1"/>
    <x v="46"/>
    <m/>
    <m/>
    <m/>
  </r>
  <r>
    <m/>
    <m/>
    <m/>
    <m/>
    <m/>
    <x v="1"/>
    <m/>
    <m/>
    <m/>
    <m/>
    <m/>
    <m/>
    <m/>
    <m/>
    <m/>
    <m/>
    <m/>
    <m/>
    <m/>
    <m/>
    <m/>
    <s v=""/>
    <m/>
    <m/>
    <m/>
    <m/>
    <m/>
    <n v="1081"/>
    <n v="0"/>
    <s v="FR00001201721"/>
    <s v="FR0000120172"/>
    <n v="1"/>
    <x v="46"/>
    <m/>
    <m/>
    <m/>
  </r>
  <r>
    <m/>
    <m/>
    <m/>
    <m/>
    <m/>
    <x v="1"/>
    <m/>
    <m/>
    <m/>
    <m/>
    <m/>
    <m/>
    <m/>
    <m/>
    <m/>
    <m/>
    <m/>
    <m/>
    <m/>
    <m/>
    <m/>
    <s v=""/>
    <m/>
    <m/>
    <m/>
    <m/>
    <m/>
    <n v="1082"/>
    <n v="0"/>
    <s v="FR00001201721"/>
    <s v="FR0000120172"/>
    <n v="1"/>
    <x v="46"/>
    <m/>
    <m/>
    <m/>
  </r>
  <r>
    <s v="Air Liquide"/>
    <s v="Gaz liquide"/>
    <s v="France"/>
    <s v="Euro"/>
    <m/>
    <x v="0"/>
    <m/>
    <m/>
    <m/>
    <m/>
    <m/>
    <m/>
    <m/>
    <m/>
    <m/>
    <m/>
    <m/>
    <m/>
    <m/>
    <s v="A- / positive (7/2020)"/>
    <m/>
    <s v=""/>
    <m/>
    <s v="E : 1"/>
    <m/>
    <s v="Fabrication à partir de l'air libre par un processus de purification (élimine le CO2 et les poussières) et de refroidissement en très basse température de l'oxygène, de l'azote liquide et des gaz nobles"/>
    <m/>
    <n v="1083"/>
    <n v="0"/>
    <s v="FR000012007312023"/>
    <s v="FR0000120073"/>
    <n v="1"/>
    <x v="47"/>
    <m/>
    <m/>
    <m/>
  </r>
  <r>
    <m/>
    <m/>
    <m/>
    <m/>
    <m/>
    <x v="1"/>
    <m/>
    <m/>
    <m/>
    <m/>
    <m/>
    <m/>
    <m/>
    <m/>
    <m/>
    <m/>
    <m/>
    <m/>
    <m/>
    <m/>
    <m/>
    <s v=""/>
    <m/>
    <s v="S : 2"/>
    <m/>
    <s v="Oxygène à destination des acièristes, Azote liquide pour l'industrie agroalimentaire (pour surgeler les aliments), les services de santé et l'industriel spatial"/>
    <m/>
    <n v="1084"/>
    <n v="0"/>
    <s v="FR00001200731"/>
    <s v="FR0000120073"/>
    <n v="1"/>
    <x v="47"/>
    <m/>
    <m/>
    <m/>
  </r>
  <r>
    <m/>
    <m/>
    <m/>
    <m/>
    <n v="132.4"/>
    <x v="2"/>
    <n v="29000000000"/>
    <m/>
    <m/>
    <m/>
    <m/>
    <m/>
    <m/>
    <m/>
    <m/>
    <n v="523422220"/>
    <n v="69301101928"/>
    <m/>
    <m/>
    <m/>
    <m/>
    <s v=""/>
    <m/>
    <s v="G : 2"/>
    <m/>
    <s v="Répartition du CA par zone géographique : Amériques 37 %, Europe 37 %, Asie Pacifique 21 %, Moyen Orient et Afrique 3 %"/>
    <m/>
    <n v="1085"/>
    <n v="0"/>
    <s v="FR000012007312022"/>
    <s v="FR0000120073"/>
    <n v="1"/>
    <x v="47"/>
    <m/>
    <m/>
    <m/>
  </r>
  <r>
    <m/>
    <m/>
    <m/>
    <m/>
    <m/>
    <x v="1"/>
    <m/>
    <m/>
    <m/>
    <m/>
    <m/>
    <m/>
    <m/>
    <m/>
    <m/>
    <m/>
    <m/>
    <m/>
    <m/>
    <m/>
    <m/>
    <s v=""/>
    <m/>
    <m/>
    <m/>
    <s v="Répartition du CA par Métier : Gaz &amp; Services 95 %, Ingénierie et construction 1,6 %, Marché Globaux et technologies 3 %"/>
    <m/>
    <n v="1086"/>
    <n v="0"/>
    <s v="FR00001200731"/>
    <s v="FR0000120073"/>
    <n v="1"/>
    <x v="47"/>
    <m/>
    <m/>
    <m/>
  </r>
  <r>
    <m/>
    <m/>
    <m/>
    <m/>
    <n v="153.5"/>
    <x v="3"/>
    <n v="23335000000"/>
    <n v="6333000000"/>
    <n v="4160000000"/>
    <n v="2572000000"/>
    <n v="10448000000"/>
    <n v="21462000000"/>
    <n v="45.310913302577312"/>
    <n v="0.11983971670860125"/>
    <n v="9.6471325603259162E-2"/>
    <n v="473660724"/>
    <n v="72706921134"/>
    <n v="3.3877048333799271"/>
    <n v="13.130415464077057"/>
    <m/>
    <n v="66400"/>
    <n v="351430.72289156629"/>
    <n v="2219100000"/>
    <m/>
    <m/>
    <s v="Répartition du CA par branche : Santé 11 %, Grande Industrie 19 %, Industriel Marchand 65 %, Electronique 5 %"/>
    <m/>
    <n v="1087"/>
    <n v="0"/>
    <s v="FR000012007312021"/>
    <s v="FR0000120073"/>
    <n v="1"/>
    <x v="47"/>
    <m/>
    <m/>
    <m/>
  </r>
  <r>
    <m/>
    <m/>
    <m/>
    <m/>
    <m/>
    <x v="1"/>
    <n v="0.1391261898950451"/>
    <n v="6.8409953606073381E-2"/>
    <n v="9.7625329815303363E-2"/>
    <n v="9.8675779581375522E-2"/>
    <m/>
    <m/>
    <m/>
    <m/>
    <m/>
    <m/>
    <m/>
    <m/>
    <m/>
    <m/>
    <m/>
    <s v=""/>
    <m/>
    <m/>
    <m/>
    <s v="Marge opérationnelle Gaz &amp; Services : environ 21 %"/>
    <m/>
    <n v="1088"/>
    <n v="0"/>
    <s v="FR00001200731"/>
    <s v="FR0000120073"/>
    <n v="1"/>
    <x v="47"/>
    <m/>
    <m/>
    <m/>
  </r>
  <r>
    <m/>
    <m/>
    <m/>
    <m/>
    <n v="134.25"/>
    <x v="4"/>
    <n v="20485000000"/>
    <n v="5927500000"/>
    <n v="3790000000"/>
    <n v="2341000000"/>
    <n v="10609000000"/>
    <n v="18542300000"/>
    <n v="39.317569986686777"/>
    <n v="0.12625186735194663"/>
    <n v="9.620840236970564E-2"/>
    <n v="471603408"/>
    <n v="63312757524"/>
    <n v="3.4145040002588676"/>
    <n v="12.470983977056095"/>
    <m/>
    <n v="64445"/>
    <n v="317867.9494142292"/>
    <n v="3251100000"/>
    <m/>
    <m/>
    <s v="En 2016, acquisition d'Airgas aux États-Unis, intégration et refinancement bouclé dans l'année. 4 ans de croissance à venir selon le PDG (2020). Potentiel 130 euros à VE/EBE de 12 fois "/>
    <m/>
    <n v="1089"/>
    <n v="0"/>
    <s v="FR000012007312020"/>
    <s v="FR0000120073"/>
    <n v="1"/>
    <x v="47"/>
    <m/>
    <m/>
    <m/>
  </r>
  <r>
    <m/>
    <m/>
    <m/>
    <m/>
    <m/>
    <x v="1"/>
    <n v="-6.546532846715325E-2"/>
    <n v="-6.7436567478718068E-4"/>
    <n v="-1.0016342453477156E-3"/>
    <n v="1.473775465973115E-2"/>
    <m/>
    <m/>
    <m/>
    <m/>
    <m/>
    <m/>
    <m/>
    <m/>
    <m/>
    <m/>
    <m/>
    <s v=""/>
    <m/>
    <m/>
    <m/>
    <s v="Chiffres du tableau un peu optimiste mais bon déroulement de l'intégration d'airgas (déjà derrière eux). Désendettement pas évident et croissance organique +1,8% (+2,8% dans Gaz et Services)"/>
    <m/>
    <n v="1090"/>
    <n v="0"/>
    <s v="FR00001200731"/>
    <s v="FR0000120073"/>
    <n v="1"/>
    <x v="47"/>
    <m/>
    <m/>
    <m/>
  </r>
  <r>
    <m/>
    <m/>
    <m/>
    <m/>
    <n v="120"/>
    <x v="5"/>
    <n v="21920000000"/>
    <n v="5931500000"/>
    <n v="3793800000"/>
    <n v="2307000000"/>
    <n v="12373000000"/>
    <n v="18870400000"/>
    <n v="40.04626627245112"/>
    <n v="0.12225496014922842"/>
    <n v="8.9856161621334432E-2"/>
    <n v="471214966"/>
    <n v="56545795920"/>
    <n v="2.9965340384941497"/>
    <n v="11.646429388856108"/>
    <m/>
    <n v="67200"/>
    <n v="326190.47619047621"/>
    <n v="2127400000"/>
    <m/>
    <m/>
    <s v="Objectif 130 euros avec VE/EBE à 12 fois, risque si croissance faible de multiples inférieurs"/>
    <m/>
    <n v="1091"/>
    <n v="0"/>
    <s v="FR000012007312019"/>
    <s v="FR0000120073"/>
    <n v="1"/>
    <x v="47"/>
    <m/>
    <m/>
    <m/>
  </r>
  <r>
    <m/>
    <m/>
    <m/>
    <m/>
    <m/>
    <x v="1"/>
    <n v="4.3263052686687953E-2"/>
    <n v="0.13743575976068123"/>
    <n v="0.10013049151805142"/>
    <n v="9.1812588736393863E-2"/>
    <m/>
    <m/>
    <m/>
    <m/>
    <m/>
    <m/>
    <m/>
    <m/>
    <m/>
    <m/>
    <m/>
    <s v=""/>
    <m/>
    <m/>
    <m/>
    <s v="En 2017, intégration d'Airgas terminée, synergie un peu supérieur, croissance interne à 4,5% au dernier trimestre 2017 (2,9% en 2017). Cash flow : 4,25 Md euros (20% du CA) =&gt; de la dette"/>
    <m/>
    <n v="1092"/>
    <n v="0"/>
    <s v="FR00001200731"/>
    <s v="FR0000120073"/>
    <n v="1"/>
    <x v="47"/>
    <m/>
    <m/>
    <m/>
  </r>
  <r>
    <m/>
    <m/>
    <m/>
    <m/>
    <n v="108"/>
    <x v="6"/>
    <n v="21011000000"/>
    <n v="5214800000"/>
    <n v="3448500000"/>
    <n v="2113000000"/>
    <n v="12535000000"/>
    <n v="17783100000"/>
    <n v="41.678412262184459"/>
    <n v="0.11882067805950594"/>
    <n v="8.4170512004380221E-2"/>
    <n v="426674123"/>
    <n v="46080805284"/>
    <n v="2.5912695359076876"/>
    <n v="11.209213255350157"/>
    <m/>
    <n v="66000"/>
    <n v="318348.48484848486"/>
    <n v="2446200000"/>
    <m/>
    <m/>
    <s v="En 2021, Air liquide a installé la plus grande station hydrogène du monde."/>
    <m/>
    <n v="1093"/>
    <n v="0"/>
    <s v="FR000012007312018"/>
    <s v="FR0000120073"/>
    <n v="1"/>
    <x v="47"/>
    <m/>
    <m/>
    <m/>
  </r>
  <r>
    <m/>
    <m/>
    <m/>
    <m/>
    <m/>
    <x v="1"/>
    <n v="3.2532311170082151E-2"/>
    <n v="1.4157915208090177E-2"/>
    <n v="2.511890606420919E-2"/>
    <n v="-4.345857854232682E-2"/>
    <m/>
    <m/>
    <m/>
    <m/>
    <m/>
    <m/>
    <m/>
    <m/>
    <m/>
    <m/>
    <m/>
    <s v=""/>
    <m/>
    <m/>
    <m/>
    <s v="En 2022, Après 16 ans, Plan de succession de Benoît Potier à la Direction Générale. Benoît Potier va présider le conseil d'administration. (530 070 actions détenues)"/>
    <m/>
    <n v="1094"/>
    <n v="0"/>
    <s v="FR00001200731"/>
    <s v="FR0000120073"/>
    <n v="1"/>
    <x v="47"/>
    <m/>
    <m/>
    <m/>
  </r>
  <r>
    <m/>
    <m/>
    <m/>
    <m/>
    <n v="110.8"/>
    <x v="7"/>
    <n v="20349000000"/>
    <n v="5142000000"/>
    <n v="3364000000"/>
    <n v="2209000000"/>
    <n v="13371000000"/>
    <n v="16718400000"/>
    <n v="39.025433268701001"/>
    <n v="0.13212986888697484"/>
    <n v="8.2732124934362272E-2"/>
    <n v="428397550"/>
    <n v="47466448540"/>
    <n v="2.8391741159441093"/>
    <n v="11.831475795410347"/>
    <m/>
    <n v="65200"/>
    <n v="312101.22699386504"/>
    <n v="2408300000"/>
    <m/>
    <m/>
    <s v="En 2022, François Jackow (né en 1969) va lui succéder à compter du 1er juin 2022. entrée en 1993 et actuellement DG adjoint"/>
    <m/>
    <n v="1095"/>
    <n v="0"/>
    <s v="FR000012007312017"/>
    <s v="FR0000120073"/>
    <n v="1"/>
    <x v="47"/>
    <m/>
    <m/>
    <m/>
  </r>
  <r>
    <m/>
    <m/>
    <m/>
    <m/>
    <m/>
    <x v="1"/>
    <n v="0.12208436724565752"/>
    <n v="0.11515940143135972"/>
    <n v="0.11243386243386233"/>
    <n v="0.19793926247288507"/>
    <m/>
    <m/>
    <m/>
    <m/>
    <m/>
    <m/>
    <m/>
    <m/>
    <m/>
    <m/>
    <m/>
    <s v=""/>
    <m/>
    <m/>
    <m/>
    <s v="Cercle vertueux bien enclenché, hausse du CA, hausse de la marge et baisse de la dette (entre 1 et 1,5 Md euros par an). Conserver avec objectif 125-130 euros d'ici 2020"/>
    <m/>
    <n v="1096"/>
    <n v="0"/>
    <s v="FR00001200731"/>
    <s v="FR0000120073"/>
    <n v="1"/>
    <x v="47"/>
    <m/>
    <m/>
    <m/>
  </r>
  <r>
    <m/>
    <m/>
    <m/>
    <m/>
    <n v="106"/>
    <x v="8"/>
    <n v="18135000000"/>
    <n v="4611000000"/>
    <n v="3024000000"/>
    <n v="1844000000"/>
    <n v="15368000000"/>
    <n v="17125000000"/>
    <n v="44.037200868377084"/>
    <n v="0.10767883211678832"/>
    <n v="6.8868987166466625E-2"/>
    <n v="388875761"/>
    <n v="41220830666"/>
    <n v="2.4070558053138686"/>
    <n v="12.272572254608544"/>
    <m/>
    <n v="66700"/>
    <n v="271889.05547226389"/>
    <n v="-9897800000"/>
    <m/>
    <m/>
    <s v="CA en hausse de 6% en comparable mais impact des changes plus proche de flat en publiés"/>
    <m/>
    <n v="1097"/>
    <n v="0"/>
    <s v="FR000012007312016"/>
    <s v="FR0000120073"/>
    <n v="1"/>
    <x v="47"/>
    <m/>
    <m/>
    <m/>
  </r>
  <r>
    <m/>
    <m/>
    <m/>
    <m/>
    <m/>
    <x v="1"/>
    <n v="0.14640622036791195"/>
    <n v="8.1886438291881802E-2"/>
    <n v="5.8823529411764719E-2"/>
    <n v="5.0113895216400861E-2"/>
    <m/>
    <m/>
    <m/>
    <m/>
    <m/>
    <m/>
    <m/>
    <m/>
    <m/>
    <m/>
    <m/>
    <s v=""/>
    <m/>
    <m/>
    <m/>
    <s v="Acquisition d'Airgas bien digéré. Croissance plus flat. Beaucoup de projets d'investissement : 3,6 Md euros au 12/02/2020"/>
    <m/>
    <n v="1098"/>
    <n v="0"/>
    <s v="FR00001200731"/>
    <s v="FR0000120073"/>
    <n v="1"/>
    <x v="47"/>
    <m/>
    <m/>
    <m/>
  </r>
  <r>
    <m/>
    <m/>
    <m/>
    <m/>
    <n v="92.72"/>
    <x v="9"/>
    <n v="15819000000"/>
    <n v="4262000000"/>
    <n v="2856000000"/>
    <n v="1756000000"/>
    <n v="7239000000"/>
    <n v="12771000000"/>
    <n v="37.107417017205748"/>
    <n v="0.13749902121995144"/>
    <n v="0.1056191904047976"/>
    <n v="344163001"/>
    <n v="31910793452.720001"/>
    <n v="2.4986918371873776"/>
    <n v="9.1857797871234173"/>
    <m/>
    <n v="51500"/>
    <n v="307165.04854368931"/>
    <n v="551300000"/>
    <m/>
    <m/>
    <s v="Flux de trésorerie après BFR de 4,7 Md euros en 2019. Excédent en hausse"/>
    <m/>
    <n v="1099"/>
    <n v="0"/>
    <s v="FR000012007312015"/>
    <s v="FR0000120073"/>
    <n v="1"/>
    <x v="47"/>
    <m/>
    <m/>
    <m/>
  </r>
  <r>
    <m/>
    <m/>
    <m/>
    <m/>
    <m/>
    <x v="1"/>
    <m/>
    <m/>
    <m/>
    <m/>
    <m/>
    <m/>
    <m/>
    <m/>
    <m/>
    <m/>
    <m/>
    <m/>
    <m/>
    <m/>
    <m/>
    <s v=""/>
    <m/>
    <m/>
    <m/>
    <s v="Un peu de minoritaires : 450 Me au bilan sur 19 Md e et 100 Me de RN sur 2,2 Mde"/>
    <m/>
    <n v="1100"/>
    <n v="0"/>
    <s v="FR00001200731"/>
    <s v="FR0000120073"/>
    <n v="1"/>
    <x v="47"/>
    <m/>
    <m/>
    <m/>
  </r>
  <r>
    <m/>
    <m/>
    <m/>
    <m/>
    <m/>
    <x v="1"/>
    <m/>
    <m/>
    <m/>
    <m/>
    <m/>
    <m/>
    <m/>
    <m/>
    <m/>
    <m/>
    <m/>
    <m/>
    <m/>
    <m/>
    <m/>
    <s v=""/>
    <m/>
    <m/>
    <m/>
    <s v="Pioniers d'utilisation de l'hydrogène et pioniers de la production (nécessite des énergies renouvelable). À partir de 2030, l'hydrogène connaîtra un véritable essort"/>
    <m/>
    <n v="1101"/>
    <n v="0"/>
    <s v="FR00001200731"/>
    <s v="FR0000120073"/>
    <n v="1"/>
    <x v="47"/>
    <m/>
    <m/>
    <m/>
  </r>
  <r>
    <m/>
    <m/>
    <m/>
    <m/>
    <m/>
    <x v="1"/>
    <m/>
    <m/>
    <m/>
    <m/>
    <m/>
    <m/>
    <m/>
    <m/>
    <m/>
    <m/>
    <m/>
    <m/>
    <m/>
    <m/>
    <m/>
    <s v=""/>
    <m/>
    <m/>
    <m/>
    <s v="Dispose d'une centaine de brevet dans l'hydrogène, et maitrise l'ensemble de la chaîne de valeur de la production à l'utilisation. (Création d'un écosystème à hydrogène) Risque : Stockage  car on stock du gaz"/>
    <m/>
    <n v="1102"/>
    <n v="0"/>
    <s v="FR00001200731"/>
    <s v="FR0000120073"/>
    <n v="1"/>
    <x v="47"/>
    <m/>
    <m/>
    <m/>
  </r>
  <r>
    <m/>
    <m/>
    <m/>
    <m/>
    <m/>
    <x v="1"/>
    <m/>
    <m/>
    <m/>
    <m/>
    <m/>
    <m/>
    <m/>
    <m/>
    <m/>
    <m/>
    <m/>
    <m/>
    <m/>
    <m/>
    <m/>
    <s v=""/>
    <m/>
    <m/>
    <m/>
    <s v="La part de l'hydrogène représente 2 Mds de Chiffre d'affaires, soit environ 8,60 %. Environ 14 Mds de M3 alimenterait 10 M de véhicule à hydrogène."/>
    <m/>
    <n v="1103"/>
    <n v="0"/>
    <s v="FR00001200731"/>
    <s v="FR0000120073"/>
    <n v="1"/>
    <x v="47"/>
    <m/>
    <m/>
    <m/>
  </r>
  <r>
    <m/>
    <m/>
    <m/>
    <m/>
    <m/>
    <x v="1"/>
    <m/>
    <m/>
    <m/>
    <m/>
    <m/>
    <m/>
    <m/>
    <m/>
    <m/>
    <m/>
    <m/>
    <m/>
    <m/>
    <m/>
    <m/>
    <s v=""/>
    <m/>
    <m/>
    <m/>
    <s v="Investissement de 8 Mds d'euros d'ici 2035 pour une capacité d'électrolyse de 3 GW."/>
    <m/>
    <n v="1104"/>
    <n v="0"/>
    <s v="FR00001200731"/>
    <s v="FR0000120073"/>
    <n v="1"/>
    <x v="47"/>
    <m/>
    <m/>
    <m/>
  </r>
  <r>
    <m/>
    <m/>
    <m/>
    <m/>
    <m/>
    <x v="1"/>
    <m/>
    <m/>
    <m/>
    <m/>
    <m/>
    <m/>
    <m/>
    <m/>
    <m/>
    <m/>
    <m/>
    <m/>
    <m/>
    <m/>
    <m/>
    <s v=""/>
    <m/>
    <m/>
    <m/>
    <s v="Minoritaires : 4 %"/>
    <m/>
    <n v="1105"/>
    <n v="0"/>
    <s v="FR00001200731"/>
    <s v="FR0000120073"/>
    <n v="1"/>
    <x v="47"/>
    <m/>
    <m/>
    <m/>
  </r>
  <r>
    <m/>
    <m/>
    <m/>
    <m/>
    <m/>
    <x v="1"/>
    <m/>
    <m/>
    <m/>
    <m/>
    <m/>
    <m/>
    <m/>
    <m/>
    <m/>
    <m/>
    <m/>
    <m/>
    <m/>
    <m/>
    <m/>
    <s v=""/>
    <m/>
    <m/>
    <m/>
    <s v="Pay out ratio : 55% (en hausse)"/>
    <m/>
    <n v="1106"/>
    <n v="0"/>
    <s v="FR00001200731"/>
    <s v="FR0000120073"/>
    <n v="1"/>
    <x v="47"/>
    <m/>
    <m/>
    <m/>
  </r>
  <r>
    <m/>
    <m/>
    <m/>
    <m/>
    <m/>
    <x v="1"/>
    <m/>
    <m/>
    <m/>
    <m/>
    <m/>
    <m/>
    <m/>
    <m/>
    <m/>
    <m/>
    <m/>
    <m/>
    <m/>
    <m/>
    <m/>
    <s v=""/>
    <m/>
    <m/>
    <m/>
    <s v="CAC : PriceWaterHouse &amp; Ernst"/>
    <m/>
    <n v="1107"/>
    <n v="0"/>
    <s v="FR00001200731"/>
    <s v="FR0000120073"/>
    <n v="1"/>
    <x v="47"/>
    <m/>
    <m/>
    <m/>
  </r>
  <r>
    <m/>
    <m/>
    <m/>
    <m/>
    <m/>
    <x v="1"/>
    <m/>
    <m/>
    <m/>
    <m/>
    <m/>
    <m/>
    <m/>
    <m/>
    <m/>
    <m/>
    <m/>
    <m/>
    <m/>
    <m/>
    <m/>
    <s v=""/>
    <m/>
    <m/>
    <m/>
    <m/>
    <m/>
    <n v="1108"/>
    <n v="0"/>
    <s v="FR00001200731"/>
    <s v="FR0000120073"/>
    <n v="1"/>
    <x v="47"/>
    <m/>
    <m/>
    <m/>
  </r>
  <r>
    <m/>
    <m/>
    <m/>
    <m/>
    <m/>
    <x v="1"/>
    <m/>
    <m/>
    <m/>
    <m/>
    <m/>
    <m/>
    <m/>
    <m/>
    <m/>
    <m/>
    <m/>
    <m/>
    <m/>
    <m/>
    <m/>
    <s v=""/>
    <m/>
    <m/>
    <m/>
    <m/>
    <m/>
    <n v="1109"/>
    <n v="0"/>
    <s v="FR00001200731"/>
    <s v="FR0000120073"/>
    <n v="1"/>
    <x v="47"/>
    <m/>
    <m/>
    <m/>
  </r>
  <r>
    <m/>
    <m/>
    <m/>
    <m/>
    <m/>
    <x v="1"/>
    <m/>
    <m/>
    <m/>
    <m/>
    <m/>
    <m/>
    <m/>
    <m/>
    <m/>
    <m/>
    <m/>
    <m/>
    <m/>
    <m/>
    <m/>
    <s v=""/>
    <m/>
    <m/>
    <m/>
    <m/>
    <m/>
    <n v="1110"/>
    <n v="0"/>
    <s v="FR00001200731"/>
    <s v="FR0000120073"/>
    <n v="1"/>
    <x v="47"/>
    <m/>
    <m/>
    <m/>
  </r>
  <r>
    <s v="Eurazeo"/>
    <s v="Holdings"/>
    <s v="France"/>
    <s v="Euro"/>
    <n v="68.8"/>
    <x v="0"/>
    <m/>
    <m/>
    <m/>
    <m/>
    <m/>
    <m/>
    <m/>
    <m/>
    <m/>
    <n v="79224529"/>
    <n v="5450647595.1999998"/>
    <m/>
    <m/>
    <s v="Non noté"/>
    <n v="410"/>
    <n v="82926829.26829268"/>
    <m/>
    <m/>
    <m/>
    <s v="Holding d'investissement transformé de fonds LBO/Participation en capital développement sur toutes tailles de sociétés en Europe puis depuis 2017 aux Etats-Unis. 12 bureaux (Europe, États-Unis et Sao Paulo, Shangai, Séoul et Singapour)"/>
    <m/>
    <n v="1111"/>
    <s v="p"/>
    <s v="FR000012112112023"/>
    <s v="FR0000121121"/>
    <n v="1"/>
    <x v="48"/>
    <m/>
    <m/>
    <m/>
  </r>
  <r>
    <m/>
    <m/>
    <m/>
    <m/>
    <m/>
    <x v="1"/>
    <m/>
    <m/>
    <m/>
    <m/>
    <m/>
    <m/>
    <m/>
    <m/>
    <m/>
    <m/>
    <m/>
    <m/>
    <m/>
    <m/>
    <m/>
    <s v=""/>
    <m/>
    <m/>
    <m/>
    <s v="Actionnaires : famille David Weill et amis : 16% et JC Decaux : 17% - En droits de vote 46% plus auto-contrôle de 2% plus amis : proche de 50%"/>
    <m/>
    <n v="1112"/>
    <s v="p"/>
    <s v="FR00001211211"/>
    <s v="FR0000121121"/>
    <n v="1"/>
    <x v="48"/>
    <m/>
    <m/>
    <m/>
  </r>
  <r>
    <m/>
    <m/>
    <m/>
    <m/>
    <n v="58.1"/>
    <x v="2"/>
    <m/>
    <m/>
    <m/>
    <n v="5950000000"/>
    <m/>
    <m/>
    <m/>
    <m/>
    <m/>
    <n v="79224529"/>
    <n v="4602945134.9000006"/>
    <m/>
    <m/>
    <m/>
    <n v="360"/>
    <n v="86111111.111111104"/>
    <m/>
    <m/>
    <m/>
    <s v="CEO : Christophe Bavière (né en 1964 - 159 179 titres fin 2021) et William Kadouch-Chassaing (né en 1969) suite au départ forcé début 2023 de Virginie Morgon (1969) 210 000 titres détenus et Decaux président du CA suite au décès de David Weill"/>
    <m/>
    <n v="1113"/>
    <s v="p"/>
    <s v="FR000012112112022"/>
    <s v="FR0000121121"/>
    <n v="1"/>
    <x v="48"/>
    <m/>
    <m/>
    <m/>
  </r>
  <r>
    <m/>
    <m/>
    <m/>
    <m/>
    <m/>
    <x v="1"/>
    <m/>
    <m/>
    <m/>
    <m/>
    <m/>
    <m/>
    <m/>
    <m/>
    <m/>
    <m/>
    <m/>
    <m/>
    <m/>
    <m/>
    <m/>
    <s v=""/>
    <m/>
    <m/>
    <m/>
    <s v="Développement de l'activité pour compte tiers (9 Md euros + 6 Md euros en FP) permettra d'absorber les coûts fixes et d'avoir des revenus plus récurrents"/>
    <m/>
    <n v="1114"/>
    <s v="p"/>
    <s v="FR00001211211"/>
    <s v="FR0000121121"/>
    <n v="1"/>
    <x v="48"/>
    <m/>
    <m/>
    <m/>
  </r>
  <r>
    <m/>
    <m/>
    <m/>
    <m/>
    <n v="76.849999999999994"/>
    <x v="3"/>
    <m/>
    <m/>
    <m/>
    <n v="1576426000"/>
    <m/>
    <n v="6164354000"/>
    <n v="77.808654438324268"/>
    <m/>
    <m/>
    <n v="79224529"/>
    <n v="6088405053.6499996"/>
    <n v="0.98767933406322861"/>
    <m/>
    <m/>
    <n v="360"/>
    <n v="91666666.666666672"/>
    <m/>
    <m/>
    <m/>
    <s v="Transformation intéressante avec des ROE plus élevée en capital développement. De très bons investissements (Moncler, Foncia…) cache de serieux revers (Apcoa, Desigual ..) et des cas difficiles (Europcar)"/>
    <m/>
    <n v="1115"/>
    <s v="p"/>
    <s v="FR000012112112021"/>
    <s v="FR0000121121"/>
    <n v="1"/>
    <x v="48"/>
    <m/>
    <m/>
    <m/>
  </r>
  <r>
    <m/>
    <m/>
    <m/>
    <m/>
    <m/>
    <x v="1"/>
    <m/>
    <m/>
    <m/>
    <m/>
    <m/>
    <m/>
    <m/>
    <m/>
    <m/>
    <m/>
    <m/>
    <m/>
    <m/>
    <m/>
    <m/>
    <s v=""/>
    <m/>
    <m/>
    <m/>
    <s v="Décote historique : 20%. En 2007 : 7%. Début 2018 : 0% (suite achat de titres de Tikehau et arrivée amicale du Holding familiale de JC Decaux)"/>
    <m/>
    <n v="1116"/>
    <s v="p"/>
    <s v="FR00001211211"/>
    <s v="FR0000121121"/>
    <n v="1"/>
    <x v="48"/>
    <m/>
    <m/>
    <m/>
  </r>
  <r>
    <m/>
    <m/>
    <m/>
    <m/>
    <n v="55.5"/>
    <x v="4"/>
    <m/>
    <m/>
    <m/>
    <n v="-160477000"/>
    <m/>
    <n v="4673767000"/>
    <n v="59.428293189007697"/>
    <m/>
    <m/>
    <n v="78645486"/>
    <n v="4364824473"/>
    <n v="0.93389860320379681"/>
    <m/>
    <m/>
    <m/>
    <s v=""/>
    <m/>
    <m/>
    <m/>
    <s v="La valorisation de la boîte pourrait changer avec l'activité pour compte de tiers suivant sa rentabilité et récurrence. Valorisation des deux parties "/>
    <m/>
    <n v="1117"/>
    <s v="p"/>
    <s v="FR000012112112020"/>
    <s v="FR0000121121"/>
    <n v="1"/>
    <x v="48"/>
    <m/>
    <m/>
    <m/>
  </r>
  <r>
    <m/>
    <m/>
    <m/>
    <m/>
    <m/>
    <x v="1"/>
    <m/>
    <m/>
    <m/>
    <m/>
    <m/>
    <m/>
    <m/>
    <m/>
    <m/>
    <m/>
    <m/>
    <m/>
    <m/>
    <m/>
    <m/>
    <s v=""/>
    <m/>
    <m/>
    <m/>
    <s v="Au 30 juin 2017. Sortie d'ANF Immobilier. Reste 2Md euros sur 5,6 Md euros en actifs cotés (Accor/Moncler/Elis, 3*400 Me et Europcar 800 Me)"/>
    <m/>
    <n v="1118"/>
    <s v="p"/>
    <s v="FR00001211211"/>
    <s v="FR0000121121"/>
    <n v="1"/>
    <x v="48"/>
    <m/>
    <m/>
    <m/>
  </r>
  <r>
    <m/>
    <m/>
    <m/>
    <m/>
    <n v="63.45"/>
    <x v="5"/>
    <m/>
    <m/>
    <m/>
    <n v="122948000"/>
    <m/>
    <n v="5015507000"/>
    <n v="63.773615691051866"/>
    <m/>
    <m/>
    <n v="78645486"/>
    <n v="4990056086.6999998"/>
    <n v="0.99492555522303128"/>
    <m/>
    <m/>
    <m/>
    <s v=""/>
    <m/>
    <m/>
    <m/>
    <s v="Cession partielle de 10% d'Europcar le 3/10/2017. Reste actionnaire à hauteur de 30%"/>
    <m/>
    <n v="1119"/>
    <s v="p"/>
    <s v="FR000012112112019"/>
    <s v="FR0000121121"/>
    <n v="1"/>
    <x v="48"/>
    <m/>
    <m/>
    <m/>
  </r>
  <r>
    <m/>
    <m/>
    <m/>
    <m/>
    <m/>
    <x v="1"/>
    <m/>
    <m/>
    <m/>
    <m/>
    <m/>
    <m/>
    <m/>
    <m/>
    <m/>
    <m/>
    <m/>
    <m/>
    <m/>
    <m/>
    <m/>
    <s v=""/>
    <m/>
    <m/>
    <m/>
    <s v="Au 31 décembre 2018 : 17 Md euros sous gestion avec l'activité pour compte de tiers. Eurazeo : 5,9 Md euros dont encore 900 M euros d'actifs cotés (Europcar / Elis / Moncler). Vente d'Asmodee (Fois 4) et Desigual (perte de 50%)"/>
    <m/>
    <n v="1120"/>
    <s v="p"/>
    <s v="FR00001211211"/>
    <s v="FR0000121121"/>
    <n v="1"/>
    <x v="48"/>
    <m/>
    <m/>
    <m/>
  </r>
  <r>
    <m/>
    <m/>
    <m/>
    <m/>
    <n v="70"/>
    <x v="6"/>
    <m/>
    <m/>
    <m/>
    <n v="245407000"/>
    <m/>
    <n v="5070632000"/>
    <n v="73.8"/>
    <m/>
    <m/>
    <n v="76261650"/>
    <n v="5338315500"/>
    <n v="1.0527909538692612"/>
    <m/>
    <m/>
    <m/>
    <s v=""/>
    <m/>
    <m/>
    <m/>
    <s v="Résultat opérationnel des activités pour compte de tiers : 70 M euros peut-etre 100 - 120 M euros en vitesse de croisière soit une valeur boursière de 1 Md euros ? (Coût de fonctionnement annuel historique du Holding 60 M euros)"/>
    <m/>
    <n v="1121"/>
    <s v="p"/>
    <s v="FR000012112112018"/>
    <s v="FR0000121121"/>
    <n v="1"/>
    <x v="48"/>
    <m/>
    <m/>
    <m/>
  </r>
  <r>
    <m/>
    <m/>
    <m/>
    <m/>
    <m/>
    <x v="1"/>
    <m/>
    <m/>
    <m/>
    <m/>
    <m/>
    <m/>
    <m/>
    <m/>
    <m/>
    <m/>
    <m/>
    <m/>
    <m/>
    <m/>
    <m/>
    <s v=""/>
    <m/>
    <m/>
    <m/>
    <s v="Actif Net au 31 décembre 2017 : 74,4 euros. "/>
    <m/>
    <n v="1122"/>
    <s v="p"/>
    <s v="FR00001211211"/>
    <s v="FR0000121121"/>
    <n v="1"/>
    <x v="48"/>
    <m/>
    <m/>
    <m/>
  </r>
  <r>
    <m/>
    <m/>
    <m/>
    <m/>
    <n v="75"/>
    <x v="7"/>
    <m/>
    <m/>
    <m/>
    <n v="440609000"/>
    <m/>
    <n v="4722105000"/>
    <n v="61.122319065390364"/>
    <m/>
    <m/>
    <n v="77256640"/>
    <n v="5794248000"/>
    <n v="1.227047683183665"/>
    <m/>
    <m/>
    <m/>
    <s v=""/>
    <m/>
    <m/>
    <m/>
    <s v="Actif Net au 31 décembre 2018 : 77,5 euros"/>
    <m/>
    <n v="1123"/>
    <s v="p"/>
    <s v="FR000012112112017"/>
    <s v="FR0000121121"/>
    <n v="1"/>
    <x v="48"/>
    <m/>
    <m/>
    <m/>
  </r>
  <r>
    <m/>
    <m/>
    <m/>
    <m/>
    <m/>
    <x v="24"/>
    <m/>
    <m/>
    <m/>
    <m/>
    <m/>
    <m/>
    <m/>
    <m/>
    <m/>
    <m/>
    <m/>
    <m/>
    <m/>
    <m/>
    <m/>
    <s v=""/>
    <m/>
    <m/>
    <m/>
    <s v="En 2019, cession du solde de 5% dans Elis autour de 17 euros le 25 juillet 2019. 17,7 Md sous gestion dont 6,1 Md euros en fonds propres soit un actif net proche de 80 euros"/>
    <m/>
    <n v="1124"/>
    <s v="p"/>
    <s v="FR00001211211avec Idinvest et Rhône"/>
    <s v="FR0000121121"/>
    <n v="1"/>
    <x v="48"/>
    <m/>
    <m/>
    <m/>
  </r>
  <r>
    <m/>
    <m/>
    <m/>
    <m/>
    <n v="75"/>
    <x v="7"/>
    <m/>
    <m/>
    <m/>
    <m/>
    <m/>
    <n v="4487013000"/>
    <n v="62.687257906618804"/>
    <m/>
    <m/>
    <n v="71577752"/>
    <n v="5368331400"/>
    <n v="1.1964153881435156"/>
    <m/>
    <m/>
    <m/>
    <s v=""/>
    <m/>
    <m/>
    <m/>
    <s v="Transformation terminée avec un modèle économique de frais de gestion fixe et variable sur la gestion pour compte de tiers (13 Md euros) d'actifs non cotées 95% (reste Europcar et Farfetch cotés). 400 à 450 participation de 40-50 M euros. Frais fixe 200 -250 Me et variable 100-200 Me"/>
    <m/>
    <n v="1125"/>
    <s v="p"/>
    <s v="FR000012112112017"/>
    <s v="FR0000121121"/>
    <n v="1"/>
    <x v="48"/>
    <m/>
    <m/>
    <m/>
  </r>
  <r>
    <m/>
    <m/>
    <m/>
    <m/>
    <m/>
    <x v="1"/>
    <m/>
    <m/>
    <m/>
    <m/>
    <m/>
    <m/>
    <m/>
    <m/>
    <m/>
    <m/>
    <m/>
    <m/>
    <m/>
    <m/>
    <m/>
    <s v=""/>
    <m/>
    <m/>
    <m/>
    <s v="Actif Net : 78 euros au 1 T20 mais revalorisation au semestre des actifs non cotés. 25% dans le loisir &amp; voyages"/>
    <m/>
    <n v="1126"/>
    <s v="p"/>
    <s v="FR00001211211"/>
    <s v="FR0000121121"/>
    <n v="1"/>
    <x v="48"/>
    <m/>
    <m/>
    <m/>
  </r>
  <r>
    <m/>
    <m/>
    <m/>
    <m/>
    <n v="55.7"/>
    <x v="8"/>
    <m/>
    <m/>
    <m/>
    <n v="519747000"/>
    <m/>
    <n v="4487013000"/>
    <n v="61.4878051618116"/>
    <m/>
    <m/>
    <n v="72974031"/>
    <n v="4064653526.7000003"/>
    <n v="0.9058706820550777"/>
    <m/>
    <m/>
    <m/>
    <s v=""/>
    <m/>
    <m/>
    <m/>
    <s v="Partie Loisirs : 20% de l'actif net déprécié de 750 M euros soit un impact de 10 euros par action et à fin 2020, 10% de l'actif net. Immobilier : 1,2 Md euros soit 6% des actifs gérés fin 2020"/>
    <m/>
    <n v="1127"/>
    <s v="p"/>
    <s v="FR000012112112016"/>
    <s v="FR0000121121"/>
    <n v="1"/>
    <x v="48"/>
    <m/>
    <m/>
    <m/>
  </r>
  <r>
    <m/>
    <m/>
    <m/>
    <m/>
    <m/>
    <x v="1"/>
    <m/>
    <m/>
    <m/>
    <m/>
    <m/>
    <m/>
    <m/>
    <m/>
    <m/>
    <m/>
    <m/>
    <m/>
    <m/>
    <m/>
    <m/>
    <s v=""/>
    <m/>
    <m/>
    <m/>
    <s v="Fin 2020, ANR à 85,4 euros et 21,8 Md euros sous gestion avec une forte montée en puissance de la gestion pour compte de tiers (15 Md euros et 2,9 Md euros de collecte). La société ne détient plus d'actifs cotées. Commission de gestion à 250 M euros en 2020 potentiel élevé"/>
    <m/>
    <n v="1128"/>
    <s v="p"/>
    <s v="FR00001211211"/>
    <s v="FR0000121121"/>
    <n v="1"/>
    <x v="48"/>
    <m/>
    <m/>
    <m/>
  </r>
  <r>
    <m/>
    <m/>
    <m/>
    <m/>
    <n v="63.5"/>
    <x v="9"/>
    <m/>
    <m/>
    <m/>
    <n v="1276040000"/>
    <m/>
    <n v="4317676000"/>
    <n v="61.542695534019728"/>
    <m/>
    <m/>
    <n v="70157408"/>
    <n v="4454995408"/>
    <n v="1.0318040093791196"/>
    <m/>
    <m/>
    <m/>
    <s v=""/>
    <m/>
    <m/>
    <m/>
    <s v="La société ne détient plus d'actifs cotées. Pure player du private equity. Commission de gestion à 250 M euros en 2020 potentiel"/>
    <m/>
    <n v="1129"/>
    <s v="p"/>
    <s v="FR000012112112015"/>
    <s v="FR0000121121"/>
    <n v="1"/>
    <x v="48"/>
    <m/>
    <m/>
    <m/>
  </r>
  <r>
    <m/>
    <m/>
    <m/>
    <m/>
    <m/>
    <x v="1"/>
    <m/>
    <m/>
    <m/>
    <m/>
    <m/>
    <m/>
    <m/>
    <m/>
    <m/>
    <m/>
    <m/>
    <m/>
    <m/>
    <m/>
    <m/>
    <s v=""/>
    <m/>
    <m/>
    <m/>
    <s v="Le marché ne prend pas en compte la valeur de l'activité private equity en fort développement depuis 5 ans. Valorisation proche de l'actif voire 105-110%"/>
    <m/>
    <n v="1130"/>
    <s v="p"/>
    <s v="FR00001211211"/>
    <s v="FR0000121121"/>
    <n v="1"/>
    <x v="48"/>
    <m/>
    <m/>
    <m/>
  </r>
  <r>
    <m/>
    <m/>
    <m/>
    <m/>
    <n v="53"/>
    <x v="10"/>
    <m/>
    <m/>
    <m/>
    <n v="-88975000"/>
    <m/>
    <n v="3226141000"/>
    <n v="46.648476580263754"/>
    <m/>
    <m/>
    <n v="69158550"/>
    <n v="3665403150"/>
    <n v="1.1361571456424253"/>
    <m/>
    <m/>
    <m/>
    <s v=""/>
    <m/>
    <m/>
    <m/>
    <s v="En 2021, actif net réévalué à 100 euros par action au 30 juin et 25,6 Md euros sous gestion dont 17,8 Md euros pour compte de tiers"/>
    <m/>
    <n v="1131"/>
    <s v="p"/>
    <s v="FR000012112112014"/>
    <s v="FR0000121121"/>
    <n v="1"/>
    <x v="48"/>
    <m/>
    <m/>
    <m/>
  </r>
  <r>
    <m/>
    <m/>
    <m/>
    <m/>
    <m/>
    <x v="1"/>
    <m/>
    <m/>
    <m/>
    <m/>
    <m/>
    <m/>
    <m/>
    <m/>
    <m/>
    <m/>
    <m/>
    <m/>
    <m/>
    <m/>
    <m/>
    <s v=""/>
    <m/>
    <m/>
    <m/>
    <s v="Fin septembre 2021, poursuite de la collecte : 27 Md euros d'AUM (dont 19,5 Md euros pour compte de tiers) objectif doubler en 5-7 ans et 300 M euros de commission de gestion annuelle"/>
    <m/>
    <n v="1132"/>
    <s v="p"/>
    <s v="FR00001211211"/>
    <s v="FR0000121121"/>
    <n v="1"/>
    <x v="48"/>
    <m/>
    <m/>
    <m/>
  </r>
  <r>
    <m/>
    <m/>
    <m/>
    <m/>
    <m/>
    <x v="1"/>
    <m/>
    <m/>
    <m/>
    <m/>
    <m/>
    <m/>
    <m/>
    <m/>
    <m/>
    <m/>
    <m/>
    <m/>
    <m/>
    <m/>
    <m/>
    <s v=""/>
    <m/>
    <m/>
    <m/>
    <s v="Fin décembre 2021, la collecte annuelle s'élève à 5,2 Md euros (+80% par rapport à 2020) à 2/3 de l'étranger avec 3,1 Md e en private equity et 2 Md euros en private debt "/>
    <m/>
    <n v="1133"/>
    <s v="p"/>
    <s v="FR00001211211"/>
    <s v="FR0000121121"/>
    <n v="1"/>
    <x v="48"/>
    <m/>
    <m/>
    <m/>
  </r>
  <r>
    <m/>
    <m/>
    <m/>
    <m/>
    <m/>
    <x v="1"/>
    <m/>
    <m/>
    <m/>
    <m/>
    <m/>
    <m/>
    <m/>
    <m/>
    <m/>
    <m/>
    <m/>
    <m/>
    <m/>
    <m/>
    <m/>
    <s v=""/>
    <m/>
    <m/>
    <m/>
    <s v="Sortie partielle de Tikehau du capital en novembre 2021 à 80 euros (détenait encore 2,4 Millions de titres et 3,1% du capital)"/>
    <m/>
    <n v="1134"/>
    <s v="p"/>
    <s v="FR00001211211"/>
    <s v="FR0000121121"/>
    <n v="1"/>
    <x v="48"/>
    <m/>
    <m/>
    <m/>
  </r>
  <r>
    <m/>
    <m/>
    <m/>
    <m/>
    <m/>
    <x v="1"/>
    <m/>
    <m/>
    <m/>
    <m/>
    <m/>
    <m/>
    <m/>
    <m/>
    <m/>
    <m/>
    <m/>
    <m/>
    <m/>
    <m/>
    <m/>
    <s v=""/>
    <m/>
    <m/>
    <m/>
    <s v="Actif net au 31 décembre 2021 : 117,8 euros soit 9 Md euros. La plus grande partie des participations (530 sociétés) sont détenues par IG."/>
    <m/>
    <n v="1135"/>
    <s v="p"/>
    <s v="FR00001211211"/>
    <s v="FR0000121121"/>
    <n v="1"/>
    <x v="48"/>
    <m/>
    <m/>
    <m/>
  </r>
  <r>
    <m/>
    <m/>
    <m/>
    <m/>
    <m/>
    <x v="1"/>
    <m/>
    <m/>
    <m/>
    <m/>
    <m/>
    <m/>
    <m/>
    <m/>
    <m/>
    <m/>
    <m/>
    <m/>
    <m/>
    <m/>
    <m/>
    <s v=""/>
    <m/>
    <m/>
    <m/>
    <s v="En 2022, à la fin du premier trimestre, 32,2 Mde sous gestion avec 22,7 Mde pour compte de tiers et 9,4 Mde pour compte propre. "/>
    <m/>
    <n v="1136"/>
    <s v="p"/>
    <s v="FR00001211211"/>
    <s v="FR0000121121"/>
    <n v="1"/>
    <x v="48"/>
    <m/>
    <m/>
    <m/>
  </r>
  <r>
    <m/>
    <m/>
    <m/>
    <m/>
    <m/>
    <x v="1"/>
    <m/>
    <m/>
    <m/>
    <m/>
    <m/>
    <m/>
    <m/>
    <m/>
    <m/>
    <m/>
    <m/>
    <m/>
    <m/>
    <m/>
    <m/>
    <s v=""/>
    <m/>
    <m/>
    <m/>
    <s v="Fin 2022, AUM : 34 Mde dont 24 Mde pour tiers et 9,9 Mde de fonds propres. Commission de gestion sur tiers à 380 Me et 100 Me de commission de performance (contre une estimation proche des 360 Me par an) soit plus de 1,56% de l'encours"/>
    <m/>
    <n v="1137"/>
    <s v="p"/>
    <s v="FR00001211211"/>
    <s v="FR0000121121"/>
    <n v="1"/>
    <x v="48"/>
    <m/>
    <m/>
    <m/>
  </r>
  <r>
    <m/>
    <m/>
    <m/>
    <m/>
    <m/>
    <x v="1"/>
    <m/>
    <m/>
    <m/>
    <m/>
    <m/>
    <m/>
    <m/>
    <m/>
    <m/>
    <m/>
    <m/>
    <m/>
    <m/>
    <m/>
    <m/>
    <s v=""/>
    <m/>
    <m/>
    <m/>
    <s v="Fee Related Earnings à 120 Me (contre 91 Me en 2021) différence entre commission de gestion récurrente (380 Me) et charges opérationnelles (260 Me). FRE vu à 35%-40% grâce à l'extension des encours"/>
    <m/>
    <n v="1138"/>
    <s v="p"/>
    <s v="FR00001211211"/>
    <s v="FR0000121121"/>
    <n v="1"/>
    <x v="48"/>
    <m/>
    <m/>
    <m/>
  </r>
  <r>
    <m/>
    <m/>
    <m/>
    <m/>
    <m/>
    <x v="1"/>
    <m/>
    <m/>
    <m/>
    <m/>
    <m/>
    <m/>
    <m/>
    <m/>
    <m/>
    <m/>
    <m/>
    <m/>
    <m/>
    <m/>
    <m/>
    <s v=""/>
    <m/>
    <m/>
    <m/>
    <s v="Actif net réévalué au 31 décembre 2022 : 127,10 e soit 9,9 Md e. Collecte 3,1 Md euros en Equity et Debt. Répartition : 72% Equity 22% Debt et 6% Real Estate. Rotation correcte. Progression de 10% des AUM (International et Retail : 14% des AUM) et de l'actif net malgré les vents contraires"/>
    <m/>
    <n v="1139"/>
    <s v="p"/>
    <s v="FR00001211211"/>
    <s v="FR0000121121"/>
    <n v="1"/>
    <x v="48"/>
    <m/>
    <m/>
    <m/>
  </r>
  <r>
    <m/>
    <m/>
    <m/>
    <m/>
    <m/>
    <x v="1"/>
    <m/>
    <m/>
    <m/>
    <m/>
    <m/>
    <m/>
    <m/>
    <m/>
    <m/>
    <m/>
    <m/>
    <m/>
    <m/>
    <m/>
    <m/>
    <s v=""/>
    <m/>
    <m/>
    <m/>
    <s v="En 2023, Virginie Morgon démissionne. Remplacé par un duo Christophe Bavière (ex-ID Invest) et William Kadouch-Chassaing (ex-SG). 590 entreprises en portefeuille (contre 530 fin 2021). Moins d'engagement du bila, sortie du LBO et Brands. Moins d'États-Unis"/>
    <m/>
    <n v="1140"/>
    <s v="p"/>
    <s v="FR00001211211"/>
    <s v="FR0000121121"/>
    <n v="1"/>
    <x v="48"/>
    <m/>
    <m/>
    <m/>
  </r>
  <r>
    <m/>
    <m/>
    <m/>
    <m/>
    <m/>
    <x v="1"/>
    <m/>
    <m/>
    <m/>
    <m/>
    <m/>
    <m/>
    <m/>
    <m/>
    <m/>
    <m/>
    <m/>
    <m/>
    <m/>
    <m/>
    <m/>
    <s v=""/>
    <m/>
    <m/>
    <m/>
    <s v="Valorisation de fonds de private equity au Royaume-Uni : Bridgepoint : 12,2% des actifs gérés (27 Md euros d'actifs et 3,36 Md euros de capitalisation). "/>
    <m/>
    <n v="1141"/>
    <s v="p"/>
    <s v="FR00001211211"/>
    <s v="FR0000121121"/>
    <n v="1"/>
    <x v="48"/>
    <m/>
    <m/>
    <m/>
  </r>
  <r>
    <m/>
    <m/>
    <m/>
    <m/>
    <m/>
    <x v="1"/>
    <m/>
    <m/>
    <m/>
    <m/>
    <m/>
    <m/>
    <m/>
    <m/>
    <m/>
    <m/>
    <m/>
    <m/>
    <m/>
    <m/>
    <m/>
    <s v=""/>
    <m/>
    <m/>
    <m/>
    <s v="Valorisation de la partie private equity : 40 Md euros en 2025-2026 (soit 50 Md euros avec les fonds propres) à 11,2% soit 4,4 Md euros (en lien avec les 500-600 M euros de commission et 250-300 Me de RN de l'activité et 4Md de valo) soit 45 euros par action. Inclu dans l'actif net et 2 Mde soit 25 euros par action fin 2022 "/>
    <m/>
    <n v="1142"/>
    <s v="p"/>
    <s v="FR00001211211"/>
    <s v="FR0000121121"/>
    <n v="1"/>
    <x v="48"/>
    <m/>
    <m/>
    <m/>
  </r>
  <r>
    <m/>
    <m/>
    <m/>
    <m/>
    <m/>
    <x v="1"/>
    <m/>
    <m/>
    <m/>
    <m/>
    <m/>
    <m/>
    <m/>
    <m/>
    <m/>
    <m/>
    <m/>
    <m/>
    <m/>
    <m/>
    <m/>
    <s v=""/>
    <m/>
    <m/>
    <m/>
    <s v="Vise 60 Md euros d'actifs sous gestion en 2028-2030, peut-être dès 2028 soit commission à 750 Me et FRE à 300 Me et valo à 5 Mde de la gestion d'actifs "/>
    <m/>
    <n v="1143"/>
    <s v="p"/>
    <s v="FR00001211211"/>
    <s v="FR0000121121"/>
    <n v="1"/>
    <x v="48"/>
    <m/>
    <m/>
    <m/>
  </r>
  <r>
    <m/>
    <m/>
    <m/>
    <m/>
    <m/>
    <x v="1"/>
    <m/>
    <m/>
    <m/>
    <m/>
    <m/>
    <m/>
    <m/>
    <m/>
    <m/>
    <m/>
    <m/>
    <m/>
    <m/>
    <m/>
    <m/>
    <s v=""/>
    <m/>
    <m/>
    <m/>
    <s v="Minoritaires : 25% des Fonds propres avec Rhône, MCH Private Equity et Kurma. En lien avec la fort développement et les partenariats"/>
    <m/>
    <n v="1144"/>
    <s v="p"/>
    <s v="FR00001211211"/>
    <s v="FR0000121121"/>
    <n v="1"/>
    <x v="48"/>
    <m/>
    <m/>
    <m/>
  </r>
  <r>
    <m/>
    <m/>
    <m/>
    <m/>
    <m/>
    <x v="1"/>
    <m/>
    <m/>
    <m/>
    <m/>
    <m/>
    <m/>
    <m/>
    <m/>
    <m/>
    <m/>
    <m/>
    <m/>
    <m/>
    <m/>
    <m/>
    <s v=""/>
    <m/>
    <m/>
    <m/>
    <s v="CAC : Price et Mazars"/>
    <m/>
    <n v="1145"/>
    <s v="p"/>
    <s v="FR00001211211"/>
    <s v="FR0000121121"/>
    <n v="1"/>
    <x v="48"/>
    <m/>
    <m/>
    <m/>
  </r>
  <r>
    <m/>
    <m/>
    <m/>
    <m/>
    <m/>
    <x v="1"/>
    <m/>
    <m/>
    <m/>
    <m/>
    <m/>
    <m/>
    <m/>
    <m/>
    <m/>
    <m/>
    <m/>
    <m/>
    <m/>
    <m/>
    <m/>
    <s v=""/>
    <m/>
    <m/>
    <m/>
    <s v="Pay-out ratio : 40% entre dividendes et rachats d'actions"/>
    <m/>
    <n v="1146"/>
    <s v="p"/>
    <s v="FR00001211211"/>
    <s v="FR0000121121"/>
    <n v="1"/>
    <x v="48"/>
    <m/>
    <m/>
    <m/>
  </r>
  <r>
    <m/>
    <m/>
    <m/>
    <m/>
    <m/>
    <x v="1"/>
    <m/>
    <m/>
    <m/>
    <m/>
    <m/>
    <m/>
    <m/>
    <m/>
    <m/>
    <m/>
    <m/>
    <m/>
    <m/>
    <m/>
    <m/>
    <s v=""/>
    <m/>
    <m/>
    <m/>
    <m/>
    <m/>
    <n v="1147"/>
    <s v="p"/>
    <s v="FR00001211211"/>
    <s v="FR0000121121"/>
    <n v="1"/>
    <x v="48"/>
    <m/>
    <m/>
    <m/>
  </r>
  <r>
    <m/>
    <m/>
    <m/>
    <m/>
    <m/>
    <x v="1"/>
    <m/>
    <m/>
    <m/>
    <m/>
    <m/>
    <m/>
    <m/>
    <m/>
    <m/>
    <m/>
    <m/>
    <m/>
    <m/>
    <m/>
    <m/>
    <s v=""/>
    <m/>
    <m/>
    <m/>
    <m/>
    <m/>
    <n v="1148"/>
    <s v="p"/>
    <s v="FR00001211211"/>
    <s v="FR0000121121"/>
    <n v="1"/>
    <x v="48"/>
    <m/>
    <m/>
    <m/>
  </r>
  <r>
    <s v="Signify (ex Philips Lighting)"/>
    <s v="Eclairage"/>
    <s v="Pays-Bas"/>
    <s v="Euro"/>
    <n v="40.78"/>
    <x v="3"/>
    <m/>
    <m/>
    <m/>
    <m/>
    <m/>
    <m/>
    <m/>
    <m/>
    <m/>
    <n v="150000000"/>
    <n v="6117000000"/>
    <m/>
    <m/>
    <m/>
    <m/>
    <s v=""/>
    <m/>
    <m/>
    <m/>
    <s v="Activité d'éclairage introduite en bourse en mai 2016 par Philips. Gestion d'une transition avec le déclin de l'éclairage traditionnelle et la montée en puissance des LED (-20% et +13%) et du Home. Structure et gestion saine, Actif Net à 18,7 euros et ROE et ROCE de 6,6% et 6,8%. EBE meargin doit progresser de 9 à 11-13%. Achat en dessous de 18-19 euros avec 30 euros pour objectif à 2-3 ans"/>
    <m/>
    <n v="1149"/>
    <n v="0"/>
    <s v="NL001182139212021"/>
    <s v="NL0011821392"/>
    <n v="1"/>
    <x v="49"/>
    <m/>
    <m/>
    <m/>
  </r>
  <r>
    <m/>
    <m/>
    <m/>
    <m/>
    <m/>
    <x v="1"/>
    <m/>
    <m/>
    <m/>
    <m/>
    <m/>
    <m/>
    <m/>
    <m/>
    <m/>
    <m/>
    <m/>
    <m/>
    <m/>
    <m/>
    <m/>
    <s v=""/>
    <m/>
    <m/>
    <m/>
    <s v="Dettes d'IPO : prêt de la maison mère remplacée par une ligne de crédit avant IPO. Maison mère 75 % du Capital, flottant 25 %"/>
    <m/>
    <n v="1150"/>
    <n v="0"/>
    <s v="NL00118213921"/>
    <s v="NL0011821392"/>
    <n v="1"/>
    <x v="49"/>
    <m/>
    <m/>
    <m/>
  </r>
  <r>
    <m/>
    <m/>
    <m/>
    <m/>
    <n v="34.799999999999997"/>
    <x v="4"/>
    <m/>
    <m/>
    <m/>
    <m/>
    <m/>
    <m/>
    <m/>
    <m/>
    <m/>
    <m/>
    <m/>
    <m/>
    <m/>
    <m/>
    <m/>
    <s v=""/>
    <m/>
    <m/>
    <m/>
    <s v="3T17, le déclin de l'éclairage est compensé par le LED (68% du CA) pour la première fois. Amélioration de la marge"/>
    <m/>
    <n v="1151"/>
    <n v="0"/>
    <s v="NL001182139212020"/>
    <s v="NL0011821392"/>
    <n v="1"/>
    <x v="49"/>
    <m/>
    <m/>
    <m/>
  </r>
  <r>
    <m/>
    <m/>
    <m/>
    <m/>
    <m/>
    <x v="1"/>
    <m/>
    <m/>
    <m/>
    <m/>
    <m/>
    <m/>
    <m/>
    <m/>
    <m/>
    <m/>
    <m/>
    <m/>
    <m/>
    <m/>
    <m/>
    <s v=""/>
    <m/>
    <m/>
    <m/>
    <s v="Baisse des fonds propres suite aux rachats d'actions en 2017"/>
    <m/>
    <n v="1152"/>
    <n v="0"/>
    <s v="NL00118213921"/>
    <s v="NL0011821392"/>
    <n v="1"/>
    <x v="49"/>
    <m/>
    <m/>
    <m/>
  </r>
  <r>
    <m/>
    <m/>
    <m/>
    <m/>
    <n v="28.7"/>
    <x v="5"/>
    <m/>
    <m/>
    <m/>
    <m/>
    <m/>
    <m/>
    <m/>
    <m/>
    <m/>
    <m/>
    <m/>
    <m/>
    <m/>
    <m/>
    <m/>
    <s v=""/>
    <m/>
    <m/>
    <m/>
    <s v="Sortie partielle de Philips de Philips Lighting qui a ramené sa participation de 29,59% à 18% à 32 euros les 27 février 2018. Philips Lighting en a racheté un peu. Sortie défintive à terme"/>
    <m/>
    <n v="1153"/>
    <n v="0"/>
    <s v="NL001182139212019"/>
    <s v="NL0011821392"/>
    <n v="1"/>
    <x v="49"/>
    <m/>
    <m/>
    <m/>
  </r>
  <r>
    <m/>
    <m/>
    <m/>
    <m/>
    <m/>
    <x v="1"/>
    <m/>
    <m/>
    <m/>
    <m/>
    <m/>
    <m/>
    <m/>
    <m/>
    <m/>
    <m/>
    <m/>
    <m/>
    <m/>
    <m/>
    <m/>
    <s v=""/>
    <m/>
    <m/>
    <m/>
    <s v="Encore un potentiel d'amélioration de la marge"/>
    <m/>
    <n v="1154"/>
    <n v="0"/>
    <s v="NL00118213921"/>
    <s v="NL0011821392"/>
    <n v="1"/>
    <x v="49"/>
    <m/>
    <m/>
    <m/>
  </r>
  <r>
    <m/>
    <m/>
    <m/>
    <m/>
    <n v="20.3"/>
    <x v="6"/>
    <m/>
    <m/>
    <m/>
    <m/>
    <m/>
    <m/>
    <m/>
    <m/>
    <m/>
    <m/>
    <m/>
    <m/>
    <m/>
    <m/>
    <m/>
    <s v=""/>
    <m/>
    <m/>
    <m/>
    <m/>
    <m/>
    <n v="1155"/>
    <n v="0"/>
    <s v="NL001182139212018"/>
    <s v="NL0011821392"/>
    <n v="1"/>
    <x v="49"/>
    <m/>
    <m/>
    <m/>
  </r>
  <r>
    <m/>
    <m/>
    <m/>
    <m/>
    <m/>
    <x v="1"/>
    <m/>
    <m/>
    <m/>
    <m/>
    <m/>
    <m/>
    <m/>
    <m/>
    <m/>
    <m/>
    <m/>
    <m/>
    <m/>
    <m/>
    <m/>
    <s v=""/>
    <m/>
    <m/>
    <m/>
    <m/>
    <m/>
    <n v="1156"/>
    <n v="0"/>
    <s v="NL00118213921"/>
    <s v="NL0011821392"/>
    <n v="1"/>
    <x v="49"/>
    <m/>
    <m/>
    <m/>
  </r>
  <r>
    <m/>
    <m/>
    <m/>
    <m/>
    <n v="34.53"/>
    <x v="7"/>
    <n v="6965000000"/>
    <n v="571000000"/>
    <n v="441000000"/>
    <n v="281000000"/>
    <n v="367000000"/>
    <n v="2321000000"/>
    <n v="15.473333333333333"/>
    <n v="0.10007122507122507"/>
    <n v="0.105"/>
    <n v="150000000"/>
    <n v="5179500000"/>
    <n v="2.2315812149935375"/>
    <n v="9.7136602451838883"/>
    <m/>
    <m/>
    <s v=""/>
    <m/>
    <m/>
    <m/>
    <m/>
    <m/>
    <n v="1157"/>
    <n v="0"/>
    <s v="NL001182139212017"/>
    <s v="NL0011821392"/>
    <n v="1"/>
    <x v="49"/>
    <m/>
    <m/>
    <m/>
  </r>
  <r>
    <m/>
    <m/>
    <m/>
    <m/>
    <m/>
    <x v="1"/>
    <n v="-2.1082220660576301E-2"/>
    <n v="0.1920668058455115"/>
    <n v="0.19512195121951215"/>
    <n v="0.51891891891891895"/>
    <m/>
    <m/>
    <m/>
    <m/>
    <m/>
    <m/>
    <m/>
    <m/>
    <m/>
    <m/>
    <m/>
    <s v=""/>
    <m/>
    <m/>
    <m/>
    <m/>
    <m/>
    <n v="1158"/>
    <n v="0"/>
    <s v="NL00118213921"/>
    <s v="NL0011821392"/>
    <n v="1"/>
    <x v="49"/>
    <m/>
    <m/>
    <m/>
  </r>
  <r>
    <m/>
    <m/>
    <m/>
    <m/>
    <n v="22"/>
    <x v="8"/>
    <n v="7115000000"/>
    <n v="479000000"/>
    <n v="369000000"/>
    <n v="185000000"/>
    <n v="341000000"/>
    <n v="2808000000"/>
    <n v="18.72"/>
    <n v="6.588319088319089E-2"/>
    <n v="7.4995236583042232E-2"/>
    <n v="150000000"/>
    <n v="5179500000"/>
    <n v="1.8445512820512822"/>
    <n v="11.525052192066806"/>
    <m/>
    <m/>
    <s v=""/>
    <m/>
    <m/>
    <m/>
    <m/>
    <m/>
    <n v="1159"/>
    <n v="0"/>
    <s v="NL001182139212016"/>
    <s v="NL0011821392"/>
    <n v="1"/>
    <x v="49"/>
    <m/>
    <m/>
    <m/>
  </r>
  <r>
    <m/>
    <m/>
    <m/>
    <m/>
    <m/>
    <x v="1"/>
    <n v="-4.688546550569328E-2"/>
    <n v="9.3607305936073137E-2"/>
    <n v="0.11480362537764344"/>
    <n v="-0.22916666666666663"/>
    <m/>
    <m/>
    <m/>
    <m/>
    <m/>
    <m/>
    <m/>
    <m/>
    <m/>
    <m/>
    <m/>
    <s v=""/>
    <m/>
    <m/>
    <m/>
    <m/>
    <m/>
    <n v="1160"/>
    <n v="0"/>
    <s v="NL00118213921"/>
    <s v="NL0011821392"/>
    <n v="1"/>
    <x v="49"/>
    <m/>
    <m/>
    <m/>
  </r>
  <r>
    <m/>
    <m/>
    <m/>
    <m/>
    <m/>
    <x v="9"/>
    <n v="7465000000"/>
    <n v="438000000"/>
    <n v="331000000"/>
    <n v="240000000"/>
    <n v="950000000"/>
    <n v="2583000000"/>
    <n v="17.22"/>
    <n v="9.2915214866434379E-2"/>
    <n v="5.9960373620152843E-2"/>
    <n v="150000000"/>
    <n v="5179500000"/>
    <n v="2.005226480836237"/>
    <n v="13.994292237442922"/>
    <m/>
    <m/>
    <s v=""/>
    <m/>
    <m/>
    <m/>
    <m/>
    <m/>
    <n v="1161"/>
    <n v="0"/>
    <s v="NL001182139212015"/>
    <s v="NL0011821392"/>
    <n v="1"/>
    <x v="49"/>
    <m/>
    <m/>
    <m/>
  </r>
  <r>
    <m/>
    <m/>
    <m/>
    <m/>
    <m/>
    <x v="1"/>
    <m/>
    <m/>
    <m/>
    <m/>
    <m/>
    <m/>
    <m/>
    <m/>
    <m/>
    <m/>
    <m/>
    <m/>
    <m/>
    <m/>
    <m/>
    <s v=""/>
    <m/>
    <m/>
    <m/>
    <m/>
    <m/>
    <n v="1162"/>
    <n v="0"/>
    <s v="NL00118213921"/>
    <s v="NL0011821392"/>
    <n v="1"/>
    <x v="49"/>
    <m/>
    <m/>
    <m/>
  </r>
  <r>
    <m/>
    <m/>
    <m/>
    <m/>
    <s v="IPO en mai 2016 à 20 euros"/>
    <x v="1"/>
    <m/>
    <m/>
    <m/>
    <m/>
    <m/>
    <m/>
    <m/>
    <m/>
    <m/>
    <m/>
    <m/>
    <m/>
    <m/>
    <m/>
    <m/>
    <s v=""/>
    <m/>
    <m/>
    <m/>
    <m/>
    <m/>
    <n v="1163"/>
    <n v="0"/>
    <s v="NL00118213921"/>
    <s v="NL0011821392"/>
    <n v="1"/>
    <x v="49"/>
    <m/>
    <m/>
    <m/>
  </r>
  <r>
    <m/>
    <m/>
    <m/>
    <m/>
    <m/>
    <x v="1"/>
    <m/>
    <m/>
    <m/>
    <m/>
    <m/>
    <m/>
    <m/>
    <m/>
    <m/>
    <m/>
    <m/>
    <m/>
    <m/>
    <m/>
    <m/>
    <s v=""/>
    <m/>
    <m/>
    <m/>
    <m/>
    <m/>
    <n v="1164"/>
    <n v="0"/>
    <s v="NL00118213921"/>
    <s v="NL0011821392"/>
    <n v="1"/>
    <x v="49"/>
    <m/>
    <m/>
    <m/>
  </r>
  <r>
    <m/>
    <m/>
    <m/>
    <m/>
    <m/>
    <x v="1"/>
    <m/>
    <m/>
    <m/>
    <m/>
    <m/>
    <m/>
    <m/>
    <m/>
    <m/>
    <m/>
    <m/>
    <m/>
    <m/>
    <m/>
    <m/>
    <s v=""/>
    <m/>
    <m/>
    <m/>
    <m/>
    <m/>
    <n v="1165"/>
    <n v="0"/>
    <s v="NL00118213921"/>
    <s v="NL0011821392"/>
    <n v="1"/>
    <x v="49"/>
    <m/>
    <m/>
    <m/>
  </r>
  <r>
    <m/>
    <m/>
    <m/>
    <m/>
    <m/>
    <x v="1"/>
    <m/>
    <m/>
    <m/>
    <m/>
    <m/>
    <m/>
    <m/>
    <m/>
    <m/>
    <m/>
    <m/>
    <m/>
    <m/>
    <m/>
    <m/>
    <s v=""/>
    <m/>
    <m/>
    <m/>
    <m/>
    <m/>
    <n v="1166"/>
    <n v="0"/>
    <s v="NL00118213921"/>
    <s v="NL0011821392"/>
    <n v="1"/>
    <x v="49"/>
    <m/>
    <m/>
    <m/>
  </r>
  <r>
    <s v="Invesco"/>
    <s v="Société de gestion"/>
    <s v="États-Unis"/>
    <s v="Dollar"/>
    <n v="23.02"/>
    <x v="3"/>
    <m/>
    <m/>
    <m/>
    <m/>
    <m/>
    <m/>
    <m/>
    <m/>
    <m/>
    <n v="414660200"/>
    <n v="9545477804"/>
    <m/>
    <m/>
    <m/>
    <m/>
    <s v=""/>
    <m/>
    <m/>
    <m/>
    <s v="Société de gestion US indépendante avec près de 1000 Milliards de dollars d'encours. Revenus (0,5% des encours), marge nette 20%"/>
    <m/>
    <n v="1167"/>
    <n v="0"/>
    <s v="BMG491BT108812021"/>
    <s v="BMG491BT1088"/>
    <n v="1"/>
    <x v="50"/>
    <m/>
    <m/>
    <m/>
  </r>
  <r>
    <m/>
    <m/>
    <m/>
    <m/>
    <m/>
    <x v="1"/>
    <m/>
    <m/>
    <m/>
    <m/>
    <m/>
    <m/>
    <m/>
    <m/>
    <m/>
    <m/>
    <m/>
    <m/>
    <m/>
    <m/>
    <m/>
    <s v=""/>
    <m/>
    <m/>
    <m/>
    <s v="Transaction : rachat de Lyxor par Amundi à 0,67% des encours "/>
    <m/>
    <n v="1168"/>
    <n v="0"/>
    <s v="BMG491BT10881"/>
    <s v="BMG491BT1088"/>
    <n v="1"/>
    <x v="50"/>
    <m/>
    <m/>
    <m/>
  </r>
  <r>
    <m/>
    <m/>
    <m/>
    <m/>
    <n v="17.43"/>
    <x v="8"/>
    <n v="4734000000"/>
    <m/>
    <n v="1176400000"/>
    <n v="854200000"/>
    <n v="774000000"/>
    <m/>
    <m/>
    <m/>
    <m/>
    <n v="414660200"/>
    <n v="7227527286"/>
    <e v="#DIV/0!"/>
    <n v="6.8017062954777288"/>
    <m/>
    <m/>
    <s v=""/>
    <m/>
    <m/>
    <m/>
    <s v="Valorisation : 10 Md $ pour 1000 Md$ gérés soit 1%"/>
    <m/>
    <n v="1169"/>
    <n v="0"/>
    <s v="BMG491BT108812016"/>
    <s v="BMG491BT1088"/>
    <n v="1"/>
    <x v="50"/>
    <m/>
    <m/>
    <m/>
  </r>
  <r>
    <m/>
    <m/>
    <m/>
    <m/>
    <m/>
    <x v="1"/>
    <n v="-7.5914033067208009E-2"/>
    <e v="#DIV/0!"/>
    <n v="-0.13398115429917545"/>
    <n v="-0.11765313500671415"/>
    <m/>
    <m/>
    <m/>
    <m/>
    <m/>
    <m/>
    <m/>
    <m/>
    <m/>
    <m/>
    <m/>
    <s v=""/>
    <m/>
    <m/>
    <m/>
    <s v="BlackRock : 10000 Md$ d'encours et une valorisation à 135 Md $ soit 1,35%, 16000 salariés soit 660 millions de dollars d'encours par salarié (contre 350 millions d'euros chez Amundi)"/>
    <m/>
    <n v="1170"/>
    <n v="0"/>
    <s v="BMG491BT10881"/>
    <s v="BMG491BT1088"/>
    <n v="1"/>
    <x v="50"/>
    <m/>
    <m/>
    <m/>
  </r>
  <r>
    <m/>
    <m/>
    <m/>
    <m/>
    <m/>
    <x v="9"/>
    <n v="5122900000"/>
    <m/>
    <n v="1358400000"/>
    <n v="968100000"/>
    <m/>
    <m/>
    <m/>
    <m/>
    <m/>
    <n v="428900000"/>
    <n v="7475727000"/>
    <e v="#DIV/0!"/>
    <n v="5.503332597173145"/>
    <m/>
    <m/>
    <s v=""/>
    <m/>
    <m/>
    <m/>
    <m/>
    <m/>
    <n v="1171"/>
    <n v="0"/>
    <s v="BMG491BT108812015"/>
    <s v="BMG491BT1088"/>
    <n v="1"/>
    <x v="50"/>
    <m/>
    <m/>
    <m/>
  </r>
  <r>
    <m/>
    <m/>
    <m/>
    <m/>
    <m/>
    <x v="1"/>
    <m/>
    <m/>
    <m/>
    <m/>
    <m/>
    <m/>
    <m/>
    <m/>
    <m/>
    <m/>
    <m/>
    <m/>
    <m/>
    <m/>
    <m/>
    <s v=""/>
    <m/>
    <m/>
    <m/>
    <m/>
    <m/>
    <n v="1172"/>
    <n v="0"/>
    <s v="BMG491BT10881"/>
    <s v="BMG491BT1088"/>
    <n v="1"/>
    <x v="50"/>
    <m/>
    <m/>
    <m/>
  </r>
  <r>
    <m/>
    <m/>
    <m/>
    <m/>
    <m/>
    <x v="1"/>
    <m/>
    <m/>
    <m/>
    <m/>
    <m/>
    <m/>
    <m/>
    <m/>
    <m/>
    <m/>
    <m/>
    <m/>
    <m/>
    <m/>
    <m/>
    <s v=""/>
    <m/>
    <m/>
    <m/>
    <m/>
    <m/>
    <n v="1173"/>
    <n v="0"/>
    <s v="BMG491BT10881"/>
    <s v="BMG491BT1088"/>
    <n v="1"/>
    <x v="50"/>
    <m/>
    <m/>
    <m/>
  </r>
  <r>
    <m/>
    <m/>
    <m/>
    <m/>
    <m/>
    <x v="1"/>
    <m/>
    <m/>
    <m/>
    <m/>
    <m/>
    <m/>
    <m/>
    <m/>
    <m/>
    <m/>
    <m/>
    <m/>
    <m/>
    <m/>
    <m/>
    <s v=""/>
    <m/>
    <m/>
    <m/>
    <m/>
    <m/>
    <n v="1174"/>
    <n v="0"/>
    <s v="BMG491BT10881"/>
    <s v="BMG491BT1088"/>
    <n v="1"/>
    <x v="50"/>
    <m/>
    <m/>
    <m/>
  </r>
  <r>
    <s v="Amundi"/>
    <s v="Société de gestion "/>
    <s v="France"/>
    <s v="Euro"/>
    <n v="61"/>
    <x v="0"/>
    <n v="3200000000"/>
    <n v="1500000000"/>
    <n v="1400000000"/>
    <n v="1150000000"/>
    <n v="-1400000000"/>
    <n v="11000000000"/>
    <n v="53.958564364897811"/>
    <n v="0.10952380952380952"/>
    <n v="0.12151667428049337"/>
    <n v="203860131"/>
    <n v="12435467991"/>
    <n v="1.130497090090909"/>
    <n v="7.8824771364285713"/>
    <s v="A+ / Stable (05/2021)"/>
    <n v="5400"/>
    <n v="592592.59259259258"/>
    <m/>
    <s v="E = 1"/>
    <m/>
    <s v="Premier gestionnaire d'actifs en Europe détenue à 69,2% par le Crédit Agricole - reste des investisseurs institutionnels"/>
    <m/>
    <n v="1175"/>
    <s v="p"/>
    <s v="FR000412592012023"/>
    <s v="FR0004125920"/>
    <n v="1"/>
    <x v="51"/>
    <m/>
    <m/>
    <m/>
  </r>
  <r>
    <m/>
    <m/>
    <m/>
    <m/>
    <m/>
    <x v="1"/>
    <n v="2.0408163265306145E-2"/>
    <n v="2.3192360163710735E-2"/>
    <n v="-4.5020463847203263E-2"/>
    <n v="7.0763500931098733E-2"/>
    <m/>
    <m/>
    <m/>
    <m/>
    <m/>
    <m/>
    <m/>
    <m/>
    <m/>
    <m/>
    <m/>
    <s v=""/>
    <m/>
    <s v="S = 0"/>
    <m/>
    <s v="Parmi les 10 premiers acteurs mondiaux, 100 millions de clients dans le Monde"/>
    <m/>
    <n v="1176"/>
    <s v="p"/>
    <s v="FR00041259201"/>
    <s v="FR0004125920"/>
    <n v="1"/>
    <x v="51"/>
    <m/>
    <m/>
    <m/>
  </r>
  <r>
    <m/>
    <m/>
    <m/>
    <m/>
    <n v="53"/>
    <x v="2"/>
    <n v="3136000000"/>
    <n v="1466000000"/>
    <n v="1466000000"/>
    <n v="1074000000"/>
    <n v="-1744000000"/>
    <n v="10500000000"/>
    <n v="51.505902348311551"/>
    <n v="0.10529411764705883"/>
    <n v="0.13588974265154288"/>
    <n v="203860131"/>
    <n v="10804586943"/>
    <n v="1.0290082802857143"/>
    <n v="6.1804822257844476"/>
    <m/>
    <n v="5400"/>
    <n v="580740.74074074079"/>
    <m/>
    <s v="G = 2"/>
    <m/>
    <s v="DG : Valérie Baudson (mai 2021, ancienne DG de CPR AM, pôle distribution, gestion privée et passive) et Yves Perrier (Président du CA) "/>
    <m/>
    <n v="1177"/>
    <s v="p"/>
    <s v="FR000412592012022"/>
    <s v="FR0004125920"/>
    <n v="1"/>
    <x v="51"/>
    <m/>
    <m/>
    <m/>
  </r>
  <r>
    <m/>
    <m/>
    <m/>
    <m/>
    <m/>
    <x v="1"/>
    <n v="-2.0000000000000018E-2"/>
    <n v="-0.11151515151515157"/>
    <n v="1.1034482758620623E-2"/>
    <n v="-0.14080000000000004"/>
    <m/>
    <m/>
    <m/>
    <m/>
    <m/>
    <m/>
    <m/>
    <m/>
    <m/>
    <m/>
    <m/>
    <s v=""/>
    <m/>
    <m/>
    <m/>
    <s v="En 2010, création d'Amundi avec le rapprochement de Crédit Agricole AM y compris CPR AM - BFT et SG AM avec 75% du capital pour le CA et 25% pour SG (705 Md €d'encours)"/>
    <m/>
    <n v="1178"/>
    <s v="p"/>
    <s v="FR00041259201"/>
    <s v="FR0004125920"/>
    <n v="1"/>
    <x v="51"/>
    <m/>
    <m/>
    <m/>
  </r>
  <r>
    <m/>
    <m/>
    <m/>
    <m/>
    <n v="74.150000000000006"/>
    <x v="3"/>
    <n v="3200000000"/>
    <n v="1650000000"/>
    <n v="1450000000"/>
    <n v="1250000000"/>
    <n v="-2001000000"/>
    <n v="10200000000"/>
    <n v="50.2278346892247"/>
    <n v="0.12893008554665891"/>
    <n v="0.14126073539928655"/>
    <n v="203074651"/>
    <n v="15057985371.650002"/>
    <n v="1.4762730756519609"/>
    <n v="9.0048174976896558"/>
    <m/>
    <n v="4800"/>
    <n v="666666.66666666663"/>
    <m/>
    <m/>
    <m/>
    <s v="En 2010, le PNB est de 1,4 Md euros et le RN de 403 M euros"/>
    <m/>
    <n v="1179"/>
    <s v="p"/>
    <s v="FR000412592012021"/>
    <s v="FR0004125920"/>
    <n v="1"/>
    <x v="51"/>
    <m/>
    <m/>
    <m/>
  </r>
  <r>
    <m/>
    <m/>
    <m/>
    <m/>
    <m/>
    <x v="1"/>
    <n v="0.26923938846459716"/>
    <n v="0.39787861330441565"/>
    <n v="0.18508492972446366"/>
    <n v="0.37820929817172266"/>
    <m/>
    <m/>
    <m/>
    <m/>
    <m/>
    <m/>
    <m/>
    <m/>
    <m/>
    <m/>
    <m/>
    <s v=""/>
    <m/>
    <m/>
    <m/>
    <s v="En novembre 2015, introduction en bourse à 45 euros (soit 7,5 Md euros) ce qui a permis la sortie du capital de la SG. Le PNB est de 1,656 Md euros (croissance 2,6% par an) et RN : 518 M euros (croissance de 5,1%) (985 Mds d'encours)"/>
    <m/>
    <n v="1180"/>
    <s v="p"/>
    <s v="FR00041259201"/>
    <s v="FR0004125920"/>
    <n v="1"/>
    <x v="51"/>
    <m/>
    <m/>
    <m/>
  </r>
  <r>
    <m/>
    <m/>
    <m/>
    <m/>
    <n v="69.8"/>
    <x v="4"/>
    <n v="2521195000"/>
    <n v="1180360000"/>
    <n v="1223541000"/>
    <n v="906974000"/>
    <n v="-1894000000"/>
    <n v="9695177000"/>
    <n v="47.857103893081863"/>
    <n v="0.10190737421550421"/>
    <n v="0.10448234064241015"/>
    <n v="202585953"/>
    <n v="14140499519.4"/>
    <n v="1.4585086501669851"/>
    <n v="10.009063463668156"/>
    <m/>
    <n v="4700"/>
    <n v="536424.46808510635"/>
    <n v="1264149000"/>
    <m/>
    <m/>
    <s v="En 2017, rachat de Pioneer Investment à Unicrédit pour 3,5 Md euros (financé par dettes et une augmentation de capital) pour 243 Md euros d'encours sous gestion soit une valorisation à 1,47% des encours (1426 Mds d'encours)"/>
    <m/>
    <n v="1181"/>
    <s v="p"/>
    <s v="FR000412592012020"/>
    <s v="FR0004125920"/>
    <n v="1"/>
    <x v="51"/>
    <m/>
    <m/>
    <m/>
  </r>
  <r>
    <m/>
    <m/>
    <m/>
    <m/>
    <m/>
    <x v="1"/>
    <n v="-4.3612959123211503E-2"/>
    <n v="-6.2754835067369785E-2"/>
    <n v="-5.520112306452063E-2"/>
    <n v="-5.4567705108399478E-2"/>
    <m/>
    <m/>
    <m/>
    <m/>
    <m/>
    <m/>
    <m/>
    <m/>
    <m/>
    <m/>
    <m/>
    <s v=""/>
    <m/>
    <m/>
    <m/>
    <s v="Synergie avec Pioneer : 175 M euros par an"/>
    <m/>
    <n v="1182"/>
    <s v="p"/>
    <s v="FR00041259201"/>
    <s v="FR0004125920"/>
    <n v="1"/>
    <x v="51"/>
    <m/>
    <m/>
    <m/>
  </r>
  <r>
    <m/>
    <m/>
    <m/>
    <m/>
    <n v="70"/>
    <x v="5"/>
    <n v="2636166000"/>
    <n v="1259393000"/>
    <n v="1295028000"/>
    <n v="959322000"/>
    <n v="0"/>
    <n v="8899984000"/>
    <n v="44.023736157261574"/>
    <n v="0.10778918254235063"/>
    <n v="0.11540888476762298"/>
    <n v="202163305"/>
    <n v="14151431350"/>
    <n v="1.5900513248113703"/>
    <n v="10.927509945730904"/>
    <m/>
    <n v="4500"/>
    <n v="585814.66666666663"/>
    <n v="982035000"/>
    <m/>
    <m/>
    <s v="En 2020, PNB de 2,595 Md euros et Rn de 910 M euros (croissance de 11,9% par an), bonne résistance malgré le Covid-19"/>
    <m/>
    <n v="1183"/>
    <s v="p"/>
    <s v="FR000412592012019"/>
    <s v="FR0004125920"/>
    <n v="1"/>
    <x v="51"/>
    <m/>
    <m/>
    <m/>
  </r>
  <r>
    <m/>
    <m/>
    <m/>
    <m/>
    <m/>
    <x v="1"/>
    <n v="5.0082933801140594E-2"/>
    <n v="0.12121851507608383"/>
    <n v="0.11484842693553299"/>
    <n v="0.12200878592380859"/>
    <m/>
    <m/>
    <m/>
    <m/>
    <m/>
    <m/>
    <m/>
    <m/>
    <m/>
    <m/>
    <m/>
    <s v=""/>
    <m/>
    <m/>
    <m/>
    <s v="En 2021, encours de 2 000 Md euros - valorisation 0,75%. Progression des résultats avec la progression des marchés, la collecte (45 Md euros - 60 Md euros en moyenne sur les 6 dernières années) et les commissions de performance. "/>
    <m/>
    <n v="1184"/>
    <s v="p"/>
    <s v="FR00041259201"/>
    <s v="FR0004125920"/>
    <n v="1"/>
    <x v="51"/>
    <m/>
    <m/>
    <m/>
  </r>
  <r>
    <m/>
    <m/>
    <m/>
    <m/>
    <n v="48.1"/>
    <x v="6"/>
    <n v="2510436000"/>
    <n v="1123236000"/>
    <n v="1161618000"/>
    <n v="855004000"/>
    <n v="0"/>
    <n v="8528124000"/>
    <n v="42.280316864156539"/>
    <n v="0.10422917340191215"/>
    <n v="0.10762126001875386"/>
    <n v="201704354"/>
    <n v="9701979427.3999996"/>
    <n v="1.137645210998339"/>
    <n v="8.3521255932673224"/>
    <m/>
    <n v="4500"/>
    <n v="557874.66666666663"/>
    <n v="593943000"/>
    <m/>
    <m/>
    <s v="En 2021, rachat de Lyxor à 0,67% des encours soit 825 Meuros pour 124 Md euros sous gestion et un PER de 9. Signée en avril, finalisée le 31 décembre et impact en 2022 (90 M euros de synergie). Intégré par les marchés au premier trimestre 2021"/>
    <m/>
    <n v="1185"/>
    <s v="p"/>
    <s v="FR000412592012018"/>
    <s v="FR0004125920"/>
    <n v="1"/>
    <x v="51"/>
    <m/>
    <m/>
    <m/>
  </r>
  <r>
    <m/>
    <m/>
    <m/>
    <m/>
    <m/>
    <x v="1"/>
    <n v="0.11222481647047355"/>
    <n v="0.18413861736849646"/>
    <n v="0.20113411112179591"/>
    <n v="0.25497068813170243"/>
    <m/>
    <m/>
    <m/>
    <m/>
    <m/>
    <m/>
    <m/>
    <m/>
    <m/>
    <m/>
    <m/>
    <s v=""/>
    <m/>
    <m/>
    <m/>
    <s v="Répartition de la clientèle : France : 54% - Italie : 10% - Europe (hors France et Italie) : 13% - Asie : 17% / Amériques : 4% / Reste du Monde : 2%. Potentiel de croissance : ETF / Europe / Asie"/>
    <m/>
    <n v="1186"/>
    <s v="p"/>
    <s v="FR00041259201"/>
    <s v="FR0004125920"/>
    <n v="1"/>
    <x v="51"/>
    <m/>
    <m/>
    <m/>
  </r>
  <r>
    <m/>
    <m/>
    <m/>
    <m/>
    <n v="70.650000000000006"/>
    <x v="7"/>
    <n v="2257130000"/>
    <n v="948568000"/>
    <n v="967101000"/>
    <n v="681294000"/>
    <n v="0"/>
    <n v="8203116000"/>
    <n v="40.708119309398782"/>
    <n v="0.10253726659698345"/>
    <n v="0.11061973058332976"/>
    <n v="201510562"/>
    <n v="14236721205.300001"/>
    <n v="1.73552601295654"/>
    <n v="14.721028315863597"/>
    <m/>
    <n v="5000"/>
    <n v="451426"/>
    <n v="2019715000"/>
    <m/>
    <m/>
    <s v="Répartition des encours : actions : 18% / obligations : 46% / diversifié : 16% / monétaires : 14% / Actifs réels, alternatif et struturés : 6% /  ESG : 20% / gestion passive : 10% avec Lyxor"/>
    <m/>
    <n v="1187"/>
    <s v="p"/>
    <s v="FR000412592012017"/>
    <s v="FR0004125920"/>
    <n v="1"/>
    <x v="51"/>
    <m/>
    <m/>
    <m/>
  </r>
  <r>
    <m/>
    <m/>
    <m/>
    <m/>
    <m/>
    <x v="1"/>
    <n v="0.34564113692674936"/>
    <n v="0.18637882106037273"/>
    <n v="0.16869787783246704"/>
    <n v="0.19890192075880098"/>
    <m/>
    <m/>
    <m/>
    <m/>
    <m/>
    <m/>
    <m/>
    <m/>
    <m/>
    <m/>
    <m/>
    <s v=""/>
    <m/>
    <m/>
    <m/>
    <s v="En 2022, encours en léger repli mais contenu poursuite du développement en Asie. Acquisition de Lyxor terminée le 30/09, synergie de coûts : 60 Me et revenus : 30 Me. Les ETF a 167 Md euros (8,7% des actifs), pdm : 14% en Europe"/>
    <m/>
    <n v="1188"/>
    <s v="p"/>
    <s v="FR00041259201"/>
    <s v="FR0004125920"/>
    <n v="1"/>
    <x v="51"/>
    <m/>
    <m/>
    <m/>
  </r>
  <r>
    <m/>
    <m/>
    <m/>
    <m/>
    <n v="48.4"/>
    <x v="8"/>
    <n v="1677364000"/>
    <n v="799549000"/>
    <n v="827503000"/>
    <n v="568265000"/>
    <n v="0"/>
    <n v="6644355000"/>
    <n v="39.567285650993178"/>
    <n v="8.8697705439612931E-2"/>
    <n v="9.8162282001779053E-2"/>
    <n v="167925469"/>
    <n v="8127592699.5999994"/>
    <n v="1.2232327591767749"/>
    <n v="9.8218286817087055"/>
    <m/>
    <n v="4100"/>
    <n v="409113.1707317073"/>
    <n v="435383000"/>
    <m/>
    <m/>
    <s v="En 2022, encours à 1904 Md euros en fin d'année et résultat stable en neutralisant les commissions de performance de 2021. Sur la bonne trajectoire"/>
    <m/>
    <n v="1189"/>
    <s v="p"/>
    <s v="FR000412592012016"/>
    <s v="FR0004125920"/>
    <n v="1"/>
    <x v="51"/>
    <m/>
    <m/>
    <m/>
  </r>
  <r>
    <m/>
    <m/>
    <m/>
    <m/>
    <m/>
    <x v="1"/>
    <n v="1.2362384504378987E-2"/>
    <n v="3.3460348317482236E-2"/>
    <n v="2.6807329454435314E-2"/>
    <n v="9.5704066482849015E-2"/>
    <m/>
    <m/>
    <m/>
    <m/>
    <m/>
    <m/>
    <m/>
    <m/>
    <m/>
    <m/>
    <m/>
    <s v=""/>
    <m/>
    <m/>
    <m/>
    <s v="Potentiel de croissance : ETF en Europe et Asie, développement des encours avec la hausse des marchés et IT (robo advisor) pour institutionnel et banques privées. Encours possible à 2 300 Mdeuros en 2025"/>
    <m/>
    <n v="1190"/>
    <s v="p"/>
    <s v="FR00041259201"/>
    <s v="FR0004125920"/>
    <n v="1"/>
    <x v="51"/>
    <m/>
    <m/>
    <m/>
  </r>
  <r>
    <m/>
    <m/>
    <m/>
    <m/>
    <n v="41.7"/>
    <x v="9"/>
    <n v="1656881000"/>
    <n v="773662000"/>
    <n v="805899000"/>
    <n v="518630000"/>
    <n v="0"/>
    <n v="6406761000"/>
    <n v="38.30758420940861"/>
    <n v="8.0950420969347847E-2"/>
    <n v="9.5599514325569498E-2"/>
    <n v="167245237"/>
    <n v="6974126382.9000006"/>
    <n v="1.0885572886049597"/>
    <n v="8.6538466766927371"/>
    <m/>
    <n v="4000"/>
    <n v="414220.25"/>
    <n v="341515000"/>
    <m/>
    <m/>
    <s v="Taux d'IS : 25%"/>
    <m/>
    <n v="1191"/>
    <s v="p"/>
    <s v="FR000412592012015"/>
    <s v="FR0004125920"/>
    <n v="1"/>
    <x v="51"/>
    <m/>
    <m/>
    <m/>
  </r>
  <r>
    <m/>
    <m/>
    <m/>
    <m/>
    <m/>
    <x v="1"/>
    <m/>
    <m/>
    <m/>
    <m/>
    <m/>
    <m/>
    <m/>
    <m/>
    <m/>
    <m/>
    <m/>
    <m/>
    <m/>
    <m/>
    <m/>
    <s v=""/>
    <m/>
    <m/>
    <m/>
    <s v="Minoritaires :  en Asie, 14% des encours"/>
    <m/>
    <n v="1192"/>
    <s v="p"/>
    <s v="FR00041259201"/>
    <s v="FR0004125920"/>
    <n v="1"/>
    <x v="51"/>
    <m/>
    <m/>
    <m/>
  </r>
  <r>
    <m/>
    <m/>
    <m/>
    <m/>
    <s v="IPO en novembre 2015 à 45 euros"/>
    <x v="1"/>
    <m/>
    <m/>
    <m/>
    <m/>
    <m/>
    <m/>
    <m/>
    <m/>
    <m/>
    <m/>
    <m/>
    <m/>
    <m/>
    <m/>
    <m/>
    <s v=""/>
    <m/>
    <m/>
    <m/>
    <s v="CAC : E &amp; Y et PWC"/>
    <m/>
    <n v="1193"/>
    <s v="p"/>
    <s v="FR00041259201"/>
    <s v="FR0004125920"/>
    <n v="1"/>
    <x v="51"/>
    <m/>
    <m/>
    <m/>
  </r>
  <r>
    <m/>
    <m/>
    <m/>
    <m/>
    <m/>
    <x v="1"/>
    <m/>
    <m/>
    <m/>
    <m/>
    <m/>
    <m/>
    <m/>
    <m/>
    <m/>
    <m/>
    <m/>
    <m/>
    <m/>
    <m/>
    <m/>
    <s v=""/>
    <m/>
    <m/>
    <m/>
    <s v="Pay-out ratio : environ 70 %"/>
    <m/>
    <n v="1194"/>
    <s v="p"/>
    <s v="FR00041259201"/>
    <s v="FR0004125920"/>
    <n v="1"/>
    <x v="51"/>
    <m/>
    <m/>
    <m/>
  </r>
  <r>
    <m/>
    <m/>
    <m/>
    <m/>
    <m/>
    <x v="1"/>
    <m/>
    <m/>
    <m/>
    <m/>
    <m/>
    <m/>
    <m/>
    <m/>
    <m/>
    <m/>
    <m/>
    <m/>
    <m/>
    <m/>
    <m/>
    <s v=""/>
    <m/>
    <m/>
    <m/>
    <m/>
    <m/>
    <n v="1195"/>
    <s v="p"/>
    <s v="FR00041259201"/>
    <s v="FR0004125920"/>
    <n v="1"/>
    <x v="51"/>
    <m/>
    <m/>
    <m/>
  </r>
  <r>
    <m/>
    <m/>
    <m/>
    <m/>
    <m/>
    <x v="1"/>
    <m/>
    <m/>
    <m/>
    <m/>
    <m/>
    <m/>
    <m/>
    <m/>
    <m/>
    <m/>
    <m/>
    <m/>
    <m/>
    <m/>
    <m/>
    <s v=""/>
    <m/>
    <m/>
    <m/>
    <m/>
    <m/>
    <n v="1196"/>
    <s v="p"/>
    <s v="FR00041259201"/>
    <s v="FR0004125920"/>
    <n v="1"/>
    <x v="51"/>
    <m/>
    <m/>
    <m/>
  </r>
  <r>
    <m/>
    <m/>
    <m/>
    <m/>
    <m/>
    <x v="1"/>
    <m/>
    <m/>
    <m/>
    <m/>
    <m/>
    <m/>
    <m/>
    <m/>
    <m/>
    <m/>
    <m/>
    <m/>
    <m/>
    <m/>
    <m/>
    <s v=""/>
    <m/>
    <m/>
    <m/>
    <m/>
    <m/>
    <n v="1197"/>
    <s v="p"/>
    <s v="FR00041259201"/>
    <s v="FR0004125920"/>
    <n v="1"/>
    <x v="51"/>
    <m/>
    <m/>
    <m/>
  </r>
  <r>
    <m/>
    <m/>
    <m/>
    <m/>
    <m/>
    <x v="1"/>
    <m/>
    <m/>
    <m/>
    <m/>
    <m/>
    <m/>
    <m/>
    <m/>
    <m/>
    <m/>
    <m/>
    <m/>
    <m/>
    <m/>
    <m/>
    <s v=""/>
    <m/>
    <m/>
    <m/>
    <m/>
    <m/>
    <n v="1198"/>
    <e v="#N/A"/>
    <s v=""/>
    <m/>
    <m/>
    <x v="52"/>
    <m/>
    <m/>
    <m/>
  </r>
  <r>
    <m/>
    <m/>
    <m/>
    <m/>
    <m/>
    <x v="1"/>
    <m/>
    <m/>
    <m/>
    <m/>
    <m/>
    <m/>
    <m/>
    <m/>
    <m/>
    <m/>
    <m/>
    <m/>
    <m/>
    <m/>
    <m/>
    <s v=""/>
    <m/>
    <m/>
    <m/>
    <m/>
    <m/>
    <n v="1199"/>
    <s v="p"/>
    <s v="FR00041259201"/>
    <s v="FR0004125920"/>
    <n v="1"/>
    <x v="51"/>
    <m/>
    <m/>
    <m/>
  </r>
  <r>
    <s v="Eutelsat"/>
    <s v="Gestionnaire de satellites"/>
    <s v="France"/>
    <s v="Euro"/>
    <n v="7"/>
    <x v="25"/>
    <n v="1151600000"/>
    <n v="875216000"/>
    <n v="424800000"/>
    <n v="239800000"/>
    <n v="3081000000"/>
    <n v="2777300000"/>
    <n v="11.931282804932762"/>
    <n v="8.6342850970366897E-2"/>
    <n v="4.6408002321492586E-2"/>
    <n v="232774635"/>
    <n v="1629422445"/>
    <n v="0.5866929913945198"/>
    <n v="5.3820113491983692"/>
    <s v="Investment Grade"/>
    <m/>
    <s v=""/>
    <n v="420000000"/>
    <m/>
    <m/>
    <s v="Gestionnaire de satellites avec  39 satellites en orbite (progression plus faible en ligne avec l'activité) fondé en 1977"/>
    <m/>
    <n v="1200"/>
    <n v="0"/>
    <s v="FR0010221234144742"/>
    <s v="FR0010221234"/>
    <n v="1"/>
    <x v="53"/>
    <m/>
    <m/>
    <m/>
  </r>
  <r>
    <m/>
    <m/>
    <m/>
    <m/>
    <m/>
    <x v="1"/>
    <n v="3.2825112107623289E-2"/>
    <n v="4.6596113602391576E-2"/>
    <n v="0.22350230414746552"/>
    <n v="0.12003736571695467"/>
    <m/>
    <m/>
    <m/>
    <m/>
    <m/>
    <m/>
    <m/>
    <m/>
    <m/>
    <m/>
    <m/>
    <s v=""/>
    <m/>
    <m/>
    <m/>
    <s v="BPI au capital à hauteur de 19,8%, FSP : 7,5% et CIC : 6,7%. 67% en flottant"/>
    <m/>
    <n v="1201"/>
    <n v="0"/>
    <s v="FR00102212341"/>
    <s v="FR0010221234"/>
    <n v="1"/>
    <x v="53"/>
    <m/>
    <m/>
    <m/>
  </r>
  <r>
    <m/>
    <m/>
    <m/>
    <m/>
    <n v="10.68"/>
    <x v="26"/>
    <n v="1115000000"/>
    <n v="836250000"/>
    <n v="347200000"/>
    <n v="214100000"/>
    <n v="2655500000"/>
    <n v="2614500000"/>
    <n v="11.231893887407448"/>
    <n v="8.1889462612354177E-2"/>
    <n v="4.2164705882352944E-2"/>
    <n v="232774635"/>
    <n v="2486033101.7999997"/>
    <n v="0.95086368399311516"/>
    <n v="6.1483206000597894"/>
    <m/>
    <m/>
    <s v=""/>
    <m/>
    <m/>
    <m/>
    <s v="Excellence opérationnelle mais saturation avec plus de 7 000 chaînes de TV. Risque avec des coûts de lancement plus bas ouvrant la porte à des concurrents et lancement de satellite dans la stratosphère (pour la collecte de données) et satellite à plus haut débit de Via Sat"/>
    <m/>
    <n v="1202"/>
    <n v="0"/>
    <s v="FR0010221234144377"/>
    <s v="FR0010221234"/>
    <n v="1"/>
    <x v="53"/>
    <m/>
    <m/>
    <m/>
  </r>
  <r>
    <m/>
    <m/>
    <m/>
    <m/>
    <m/>
    <x v="1"/>
    <n v="-0.12774779003363845"/>
    <n v="-0.14842158859470467"/>
    <n v="-0.22844444444444445"/>
    <n v="-0.28057795698924726"/>
    <m/>
    <m/>
    <m/>
    <m/>
    <m/>
    <m/>
    <m/>
    <m/>
    <m/>
    <m/>
    <m/>
    <s v=""/>
    <m/>
    <m/>
    <m/>
    <s v="Plan de Belmer réussi dans un contexte difficile avec une dette ramenée à 3,6 Md e et vente à venir d'une participation dans Hispasat de 400 Me. Cash flow élevé et récurrent à 900 Me et Capex 400-500 me / an"/>
    <m/>
    <n v="1203"/>
    <n v="0"/>
    <s v="FR00102212341"/>
    <s v="FR0010221234"/>
    <n v="1"/>
    <x v="53"/>
    <m/>
    <m/>
    <m/>
  </r>
  <r>
    <m/>
    <m/>
    <m/>
    <m/>
    <n v="10.5"/>
    <x v="27"/>
    <n v="1278300000"/>
    <n v="982000000"/>
    <n v="450000000"/>
    <n v="297600000"/>
    <n v="2999400000"/>
    <n v="2659000000"/>
    <n v="11.423065919531997"/>
    <n v="0.11192177510342234"/>
    <n v="5.0897780291248411E-2"/>
    <n v="232774635"/>
    <n v="2444133667.5"/>
    <n v="0.91919280462579922"/>
    <n v="5.5433133070264766"/>
    <m/>
    <m/>
    <s v=""/>
    <m/>
    <m/>
    <m/>
    <s v="39 satellites au 30/6/2017. Deux lancements de satellite en 2018 et deux en 2019. Carnet de commandes en baisse à 5,2 Md e au 30/6/2017 contre 6,4 Md e au 30/6/2014"/>
    <m/>
    <n v="1204"/>
    <n v="0"/>
    <s v="FR0010221234144012"/>
    <s v="FR0010221234"/>
    <n v="1"/>
    <x v="53"/>
    <m/>
    <m/>
    <m/>
  </r>
  <r>
    <m/>
    <m/>
    <m/>
    <m/>
    <m/>
    <x v="1"/>
    <n v="-3.2323996971990954E-2"/>
    <n v="-4.881828748547079E-2"/>
    <n v="-0.14464930621554839"/>
    <n v="-0.12573443008225615"/>
    <m/>
    <m/>
    <m/>
    <m/>
    <m/>
    <m/>
    <m/>
    <m/>
    <m/>
    <m/>
    <m/>
    <s v=""/>
    <m/>
    <m/>
    <m/>
    <s v="Vidéo : 70% du CA saturation, données : concurrence, gouvernement stable et connectivité (avion) : croissance mais moins de 1% du CA"/>
    <m/>
    <n v="1205"/>
    <n v="0"/>
    <s v="FR00102212341"/>
    <s v="FR0010221234"/>
    <n v="1"/>
    <x v="53"/>
    <m/>
    <m/>
    <m/>
  </r>
  <r>
    <m/>
    <m/>
    <m/>
    <m/>
    <n v="17"/>
    <x v="28"/>
    <n v="1321000000"/>
    <n v="1032400000"/>
    <n v="526100000"/>
    <n v="340400000"/>
    <n v="3072800000"/>
    <n v="2681000000"/>
    <n v="11.453997124729677"/>
    <n v="0.12767234265996549"/>
    <n v="5.8669454608816868E-2"/>
    <n v="232774635"/>
    <n v="3957168795"/>
    <n v="1.4760047724729579"/>
    <n v="6.8093459850833007"/>
    <m/>
    <m/>
    <s v=""/>
    <m/>
    <m/>
    <m/>
    <s v="VE/EBE de 8 fois généreux. Prix d'achat à 6,5 fois (prix le 30/7/2016)"/>
    <m/>
    <n v="1206"/>
    <n v="0"/>
    <s v="FR0010221234143646"/>
    <s v="FR0010221234"/>
    <n v="1"/>
    <x v="53"/>
    <m/>
    <m/>
    <m/>
  </r>
  <r>
    <m/>
    <m/>
    <m/>
    <m/>
    <m/>
    <x v="1"/>
    <n v="-6.1723133745294367E-2"/>
    <n v="-4.132231404958675E-2"/>
    <n v="-4.7782805429864239E-2"/>
    <n v="0.17338848672871432"/>
    <m/>
    <m/>
    <m/>
    <m/>
    <m/>
    <m/>
    <m/>
    <m/>
    <m/>
    <m/>
    <m/>
    <s v=""/>
    <m/>
    <m/>
    <m/>
    <s v="L'acquisition de Satmex en 2014 qui a augmenté l'endettement de 800 M e, n'a rien apporté ou alors compenser le déclin assez fort sur les clients Occidentaux"/>
    <m/>
    <n v="1207"/>
    <n v="0"/>
    <s v="FR00102212341"/>
    <s v="FR0010221234"/>
    <n v="1"/>
    <x v="53"/>
    <m/>
    <m/>
    <m/>
  </r>
  <r>
    <m/>
    <m/>
    <m/>
    <m/>
    <n v="21.3"/>
    <x v="29"/>
    <n v="1407900000"/>
    <n v="1076900000"/>
    <n v="552500000"/>
    <n v="290100000"/>
    <n v="3241600000"/>
    <n v="2666200000"/>
    <n v="11.642161956348895"/>
    <n v="0.1070479704797048"/>
    <n v="5.941259493245514E-2"/>
    <n v="232774635"/>
    <n v="4958099725.5"/>
    <n v="1.8596128293076288"/>
    <n v="7.6141700487510446"/>
    <m/>
    <m/>
    <s v=""/>
    <m/>
    <m/>
    <m/>
    <s v="Prix cible 17,5 -16,5 euros (soit 6,5 fois VE/EBE du 30/6/2018)"/>
    <m/>
    <n v="1208"/>
    <n v="0"/>
    <s v="FR0010221234143281"/>
    <s v="FR0010221234"/>
    <n v="1"/>
    <x v="53"/>
    <m/>
    <m/>
    <m/>
  </r>
  <r>
    <m/>
    <m/>
    <m/>
    <m/>
    <m/>
    <x v="1"/>
    <n v="-4.7364503687664983E-2"/>
    <n v="-5.0017642907551174E-2"/>
    <n v="-0.10133376707872477"/>
    <n v="-0.17538374076179652"/>
    <m/>
    <m/>
    <m/>
    <m/>
    <m/>
    <m/>
    <m/>
    <m/>
    <m/>
    <m/>
    <m/>
    <s v=""/>
    <m/>
    <m/>
    <m/>
    <s v="Coût de la dette : 3,1%"/>
    <m/>
    <n v="1209"/>
    <n v="0"/>
    <s v="FR00102212341"/>
    <s v="FR0010221234"/>
    <n v="1"/>
    <x v="53"/>
    <m/>
    <m/>
    <m/>
  </r>
  <r>
    <m/>
    <m/>
    <m/>
    <m/>
    <n v="20"/>
    <x v="30"/>
    <n v="1477900000"/>
    <n v="1133600000"/>
    <n v="614800000"/>
    <n v="351800000"/>
    <n v="3640700000"/>
    <n v="2710000000"/>
    <n v="11.642161956348895"/>
    <n v="0.12981549815498156"/>
    <n v="6.1957264553513788E-2"/>
    <n v="232774635"/>
    <n v="4655492700"/>
    <n v="1.7178939852398525"/>
    <n v="7.3184480416372617"/>
    <m/>
    <m/>
    <s v=""/>
    <m/>
    <m/>
    <m/>
    <s v="Cession de la participation de 33% dans Hispasat à Abertis : 302 M euros"/>
    <m/>
    <n v="1210"/>
    <n v="0"/>
    <s v="FR0010221234142916"/>
    <s v="FR0010221234"/>
    <n v="1"/>
    <x v="53"/>
    <m/>
    <m/>
    <m/>
  </r>
  <r>
    <m/>
    <m/>
    <m/>
    <m/>
    <m/>
    <x v="1"/>
    <n v="-3.342053629823416E-2"/>
    <n v="-2.6116838487972527E-2"/>
    <n v="-7.1299093655589174E-2"/>
    <n v="9.46915351506461E-3"/>
    <m/>
    <m/>
    <m/>
    <m/>
    <m/>
    <m/>
    <m/>
    <m/>
    <m/>
    <m/>
    <m/>
    <s v=""/>
    <m/>
    <m/>
    <m/>
    <s v="Pourrait faire une offre sur Inmarsat (valorisé 2,5 Md euros). Finalement, Eutelsat ne fera pas d'offre sur Inmarsat"/>
    <m/>
    <n v="1211"/>
    <n v="0"/>
    <s v="FR00102212341"/>
    <s v="FR0010221234"/>
    <n v="1"/>
    <x v="53"/>
    <m/>
    <m/>
    <m/>
  </r>
  <r>
    <m/>
    <m/>
    <m/>
    <m/>
    <n v="17"/>
    <x v="31"/>
    <n v="1529000000"/>
    <n v="1164000000"/>
    <n v="662000000"/>
    <n v="348500000"/>
    <n v="4006000000"/>
    <n v="2734000000"/>
    <n v="11.745265973674494"/>
    <n v="0.12746891002194588"/>
    <n v="6.2860534124629081E-2"/>
    <n v="232774635"/>
    <n v="3957168795"/>
    <n v="1.4473916587417703"/>
    <n v="6.8412103049828179"/>
    <m/>
    <m/>
    <s v=""/>
    <m/>
    <m/>
    <m/>
    <s v="Intelsat sous chapitre 11 du fait de l'endettement de 14 Md et activité mature. Vente des droits d'utilisation de la bande C pouvant rapporter quelques milliards d'euros"/>
    <m/>
    <n v="1212"/>
    <n v="0"/>
    <s v="FR0010221234142551"/>
    <s v="FR0010221234"/>
    <n v="1"/>
    <x v="53"/>
    <m/>
    <m/>
    <m/>
  </r>
  <r>
    <m/>
    <m/>
    <m/>
    <m/>
    <m/>
    <x v="1"/>
    <n v="3.5907859078590842E-2"/>
    <n v="2.8268551236749095E-2"/>
    <n v="0"/>
    <n v="0"/>
    <m/>
    <m/>
    <m/>
    <m/>
    <m/>
    <m/>
    <m/>
    <m/>
    <m/>
    <m/>
    <m/>
    <s v=""/>
    <m/>
    <m/>
    <m/>
    <s v="En 2021, achat de 22,9% de One Web pour 550 Millions de dollars (en septembre) aux côtés du gouvernement britannique et de Bharti Global. One Web exploite déjà 648 satellites en orbite basse. CA de 1Md de dollars à horizon 5 ans"/>
    <m/>
    <n v="1213"/>
    <n v="0"/>
    <s v="FR00102212341"/>
    <s v="FR0010221234"/>
    <n v="1"/>
    <x v="53"/>
    <m/>
    <m/>
    <m/>
  </r>
  <r>
    <m/>
    <m/>
    <m/>
    <m/>
    <n v="28"/>
    <x v="32"/>
    <n v="1476000000"/>
    <n v="1132000000"/>
    <n v="662000000"/>
    <n v="348500000"/>
    <n v="3841000000"/>
    <n v="2533900000"/>
    <n v="10.885636229222312"/>
    <n v="0.13753502506018392"/>
    <n v="6.6460650363142956E-2"/>
    <n v="232774635"/>
    <n v="6517689780"/>
    <n v="2.5721969217411895"/>
    <n v="9.1507860247349821"/>
    <m/>
    <m/>
    <s v=""/>
    <m/>
    <m/>
    <m/>
    <s v="Offre de rachat d'Eutelsat à 12 euros par le holding de Drahi. Démission de Belmer qui devient DG d'Atos en janvier 2022"/>
    <m/>
    <n v="1214"/>
    <n v="0"/>
    <s v="FR0010221234142185"/>
    <s v="FR0010221234"/>
    <n v="1"/>
    <x v="53"/>
    <m/>
    <m/>
    <m/>
  </r>
  <r>
    <m/>
    <m/>
    <m/>
    <m/>
    <m/>
    <x v="1"/>
    <n v="9.4955489614243271E-2"/>
    <n v="9.5837366892546072E-2"/>
    <n v="6.2600321027287409E-2"/>
    <n v="0.15016501650165015"/>
    <m/>
    <m/>
    <m/>
    <m/>
    <m/>
    <m/>
    <m/>
    <m/>
    <m/>
    <m/>
    <m/>
    <s v=""/>
    <m/>
    <m/>
    <m/>
    <s v="Eva Berneke devient Dg à partir du 1er janvier 2022"/>
    <m/>
    <n v="1215"/>
    <n v="0"/>
    <s v="FR00102212341"/>
    <s v="FR0010221234"/>
    <n v="1"/>
    <x v="53"/>
    <m/>
    <m/>
    <m/>
  </r>
  <r>
    <m/>
    <m/>
    <m/>
    <m/>
    <n v="25.4"/>
    <x v="33"/>
    <n v="1348000000"/>
    <n v="1033000000"/>
    <n v="623000000"/>
    <n v="303000000"/>
    <n v="3779000000"/>
    <n v="2030700000"/>
    <n v="8.9469052391750044"/>
    <n v="0.14920963214655045"/>
    <n v="6.8630049744393004E-2"/>
    <n v="226972338"/>
    <n v="5765097385.1999998"/>
    <n v="2.8389704954941646"/>
    <n v="9.2392036642788007"/>
    <m/>
    <m/>
    <s v=""/>
    <m/>
    <m/>
    <m/>
    <s v="En 2022, hausse de l'endettement avec l'acquisition de One Web compensé partiellement par la cession de 125 M$ lié de la bande C (d'où Rex et Rn meilleur). Déclin de l'activité un peu structurel, retour de la croissance en 2024"/>
    <m/>
    <n v="1216"/>
    <n v="0"/>
    <s v="FR0010221234141820"/>
    <s v="FR0010221234"/>
    <n v="1"/>
    <x v="53"/>
    <m/>
    <m/>
    <m/>
  </r>
  <r>
    <m/>
    <m/>
    <m/>
    <m/>
    <m/>
    <x v="1"/>
    <n v="4.9762479557666772E-2"/>
    <n v="3.787802672561047E-2"/>
    <n v="-8.5840058694057197E-2"/>
    <n v="-0.14623837700760778"/>
    <m/>
    <m/>
    <m/>
    <m/>
    <m/>
    <m/>
    <m/>
    <m/>
    <m/>
    <m/>
    <m/>
    <s v=""/>
    <m/>
    <m/>
    <m/>
    <s v="Rapprochement avec OneWeb par échange d'actions sur une valorisation de OneWeb de 3,4 Md dollars et l'émission de 200 millions de titres à 12 euros"/>
    <m/>
    <n v="1217"/>
    <n v="0"/>
    <s v="FR00102212341"/>
    <s v="FR0010221234"/>
    <n v="1"/>
    <x v="53"/>
    <m/>
    <m/>
    <m/>
  </r>
  <r>
    <m/>
    <m/>
    <m/>
    <m/>
    <n v="20.94"/>
    <x v="34"/>
    <n v="1284100000"/>
    <n v="995300000"/>
    <n v="681500000"/>
    <n v="354900000"/>
    <n v="2647000000"/>
    <n v="1983200000"/>
    <n v="9.0098774370453221"/>
    <n v="0.17895320693828154"/>
    <n v="9.4198954688782338E-2"/>
    <n v="220113982"/>
    <n v="4609186783.0799999"/>
    <n v="2.3241159656514725"/>
    <n v="7.2904519070431029"/>
    <m/>
    <m/>
    <s v=""/>
    <m/>
    <m/>
    <m/>
    <s v="Soit 460 Millions de titres, 1,2 Md euros de CA et 700 M euros d'EBE avec suspension du dividendes 2023 et 2024 et dettes à 3 Md euros. Croissance du CA autour de 8% et de l'EBE de plus de 10% soit multiplié par deux à horizon 2030"/>
    <m/>
    <n v="1218"/>
    <n v="0"/>
    <s v="FR0010221234141455"/>
    <s v="FR0010221234"/>
    <n v="1"/>
    <x v="53"/>
    <m/>
    <m/>
    <m/>
  </r>
  <r>
    <m/>
    <m/>
    <m/>
    <m/>
    <m/>
    <x v="1"/>
    <n v="5.0646375388643472E-2"/>
    <n v="3.9803593815294525E-2"/>
    <n v="6.268517074692026E-2"/>
    <n v="4.0457343887422947E-2"/>
    <m/>
    <m/>
    <m/>
    <m/>
    <m/>
    <m/>
    <m/>
    <m/>
    <m/>
    <m/>
    <m/>
    <s v=""/>
    <m/>
    <m/>
    <m/>
    <s v="Pay-out ratio autour de 100% et rachat d'actions avec un programme de 100 M euros"/>
    <m/>
    <n v="1219"/>
    <n v="0"/>
    <s v="FR00102212341"/>
    <s v="FR0010221234"/>
    <n v="1"/>
    <x v="53"/>
    <m/>
    <m/>
    <m/>
  </r>
  <r>
    <m/>
    <m/>
    <m/>
    <m/>
    <n v="25.3"/>
    <x v="35"/>
    <n v="1222200000"/>
    <n v="957200000"/>
    <n v="641300000"/>
    <n v="341100000"/>
    <n v="2374000000"/>
    <n v="1847900000"/>
    <n v="8.3951959035478261"/>
    <n v="0.18458791060122301"/>
    <n v="9.7214997986688464E-2"/>
    <n v="220113982"/>
    <n v="5568883744.6000004"/>
    <n v="3.0136283048866281"/>
    <n v="8.298039850188049"/>
    <m/>
    <m/>
    <s v=""/>
    <m/>
    <m/>
    <m/>
    <m/>
    <m/>
    <n v="1220"/>
    <n v="0"/>
    <s v="FR0010221234141090"/>
    <s v="FR0010221234"/>
    <n v="1"/>
    <x v="53"/>
    <m/>
    <m/>
    <m/>
  </r>
  <r>
    <m/>
    <m/>
    <m/>
    <m/>
    <m/>
    <x v="1"/>
    <m/>
    <m/>
    <m/>
    <m/>
    <m/>
    <m/>
    <m/>
    <m/>
    <m/>
    <m/>
    <m/>
    <m/>
    <m/>
    <m/>
    <m/>
    <s v=""/>
    <m/>
    <m/>
    <m/>
    <m/>
    <m/>
    <n v="1221"/>
    <n v="0"/>
    <s v="FR00102212341"/>
    <s v="FR0010221234"/>
    <n v="1"/>
    <x v="53"/>
    <m/>
    <m/>
    <m/>
  </r>
  <r>
    <m/>
    <m/>
    <m/>
    <m/>
    <n v="16.149999999999999"/>
    <x v="36"/>
    <n v="829100000"/>
    <n v="652600000"/>
    <n v="362500000"/>
    <n v="170000000"/>
    <n v="2295000000"/>
    <n v="1311513000"/>
    <n v="5.5392137815455413"/>
    <n v="0.12962128472992643"/>
    <n v="6.4328064254863357E-2"/>
    <n v="236768800"/>
    <n v="3823816119.9999995"/>
    <n v="2.9155762237964851"/>
    <n v="9.3760590254367155"/>
    <m/>
    <m/>
    <s v=""/>
    <m/>
    <m/>
    <m/>
    <m/>
    <m/>
    <n v="1222"/>
    <n v="0"/>
    <s v="FR0010221234139263"/>
    <s v="FR0010221234"/>
    <n v="1"/>
    <x v="53"/>
    <m/>
    <m/>
    <m/>
  </r>
  <r>
    <m/>
    <m/>
    <m/>
    <m/>
    <m/>
    <x v="1"/>
    <m/>
    <m/>
    <m/>
    <m/>
    <m/>
    <m/>
    <m/>
    <m/>
    <m/>
    <m/>
    <m/>
    <m/>
    <m/>
    <m/>
    <m/>
    <s v=""/>
    <m/>
    <m/>
    <m/>
    <m/>
    <m/>
    <n v="1223"/>
    <n v="0"/>
    <s v="FR00102212341"/>
    <s v="FR0010221234"/>
    <n v="1"/>
    <x v="53"/>
    <m/>
    <m/>
    <m/>
  </r>
  <r>
    <m/>
    <m/>
    <m/>
    <m/>
    <m/>
    <x v="1"/>
    <m/>
    <m/>
    <m/>
    <m/>
    <m/>
    <m/>
    <m/>
    <m/>
    <m/>
    <m/>
    <m/>
    <m/>
    <m/>
    <m/>
    <m/>
    <s v=""/>
    <m/>
    <m/>
    <m/>
    <m/>
    <m/>
    <n v="1224"/>
    <n v="0"/>
    <s v="FR00102212341"/>
    <s v="FR0010221234"/>
    <n v="1"/>
    <x v="53"/>
    <m/>
    <m/>
    <m/>
  </r>
  <r>
    <m/>
    <m/>
    <m/>
    <m/>
    <m/>
    <x v="1"/>
    <m/>
    <m/>
    <m/>
    <m/>
    <m/>
    <m/>
    <m/>
    <m/>
    <m/>
    <m/>
    <m/>
    <m/>
    <m/>
    <m/>
    <m/>
    <s v=""/>
    <m/>
    <m/>
    <m/>
    <m/>
    <m/>
    <n v="1225"/>
    <n v="0"/>
    <s v="FR00102212341"/>
    <s v="FR0010221234"/>
    <n v="1"/>
    <x v="53"/>
    <m/>
    <m/>
    <m/>
  </r>
  <r>
    <s v="SES"/>
    <s v="Gestionnaire de satellites"/>
    <s v="Luxembourg"/>
    <s v="Euro"/>
    <n v="6.97"/>
    <x v="1"/>
    <m/>
    <m/>
    <m/>
    <m/>
    <m/>
    <m/>
    <m/>
    <m/>
    <m/>
    <m/>
    <m/>
    <m/>
    <m/>
    <m/>
    <m/>
    <s v=""/>
    <m/>
    <m/>
    <m/>
    <m/>
    <m/>
    <n v="1226"/>
    <n v="0"/>
    <s v="LU00880873241"/>
    <s v="LU0088087324"/>
    <n v="1"/>
    <x v="54"/>
    <m/>
    <m/>
    <m/>
  </r>
  <r>
    <m/>
    <m/>
    <m/>
    <m/>
    <m/>
    <x v="1"/>
    <m/>
    <m/>
    <m/>
    <m/>
    <m/>
    <m/>
    <m/>
    <m/>
    <m/>
    <m/>
    <m/>
    <m/>
    <m/>
    <m/>
    <m/>
    <s v=""/>
    <m/>
    <m/>
    <m/>
    <m/>
    <m/>
    <n v="1227"/>
    <n v="0"/>
    <s v="LU00880873241"/>
    <s v="LU0088087324"/>
    <n v="1"/>
    <x v="54"/>
    <m/>
    <m/>
    <m/>
  </r>
  <r>
    <m/>
    <m/>
    <m/>
    <m/>
    <m/>
    <x v="1"/>
    <m/>
    <m/>
    <m/>
    <m/>
    <m/>
    <m/>
    <m/>
    <m/>
    <m/>
    <m/>
    <m/>
    <m/>
    <m/>
    <m/>
    <m/>
    <s v=""/>
    <m/>
    <m/>
    <m/>
    <m/>
    <m/>
    <n v="1228"/>
    <n v="0"/>
    <s v="LU00880873241"/>
    <s v="LU0088087324"/>
    <n v="1"/>
    <x v="54"/>
    <m/>
    <m/>
    <m/>
  </r>
  <r>
    <m/>
    <m/>
    <m/>
    <m/>
    <m/>
    <x v="1"/>
    <m/>
    <m/>
    <m/>
    <m/>
    <m/>
    <m/>
    <m/>
    <m/>
    <m/>
    <m/>
    <m/>
    <m/>
    <m/>
    <m/>
    <m/>
    <s v=""/>
    <m/>
    <m/>
    <m/>
    <m/>
    <m/>
    <n v="1229"/>
    <n v="0"/>
    <s v="LU00880873241"/>
    <s v="LU0088087324"/>
    <n v="1"/>
    <x v="54"/>
    <m/>
    <m/>
    <m/>
  </r>
  <r>
    <s v="Total Energies"/>
    <s v="Pétrole"/>
    <s v="France"/>
    <s v="Dollar"/>
    <n v="44.63"/>
    <x v="3"/>
    <m/>
    <m/>
    <m/>
    <m/>
    <m/>
    <m/>
    <m/>
    <m/>
    <m/>
    <n v="2430365862"/>
    <n v="108467228421.06001"/>
    <m/>
    <m/>
    <s v="A  / stable"/>
    <m/>
    <s v=""/>
    <m/>
    <m/>
    <m/>
    <s v="Major pétrolière française gigantesque. Programme important d'extraction mais l'objectif 2017 de 2,7 Millions de barils / jour ne sera pas tenu. 2,432 M B / jour en 2016. profite de la remontée du pétrole mais ROE faible et valorsiation assez généreuse"/>
    <m/>
    <n v="1230"/>
    <n v="0"/>
    <s v="FR000012027112021"/>
    <s v="FR0000120271"/>
    <n v="1"/>
    <x v="55"/>
    <m/>
    <m/>
    <m/>
  </r>
  <r>
    <m/>
    <m/>
    <m/>
    <m/>
    <m/>
    <x v="1"/>
    <m/>
    <m/>
    <m/>
    <m/>
    <m/>
    <m/>
    <m/>
    <m/>
    <m/>
    <m/>
    <m/>
    <m/>
    <m/>
    <m/>
    <m/>
    <s v=""/>
    <m/>
    <m/>
    <m/>
    <s v="Au 30 juin 2017 : 2,5 M barils jour. Amélioration des résutats supérieur à la progression du Brent. RN du 2S17 : 2,5 Md$. Valoriastion un peu plus attractive"/>
    <m/>
    <n v="1231"/>
    <n v="0"/>
    <s v="FR00001202711"/>
    <s v="FR0000120271"/>
    <n v="1"/>
    <x v="55"/>
    <m/>
    <m/>
    <m/>
  </r>
  <r>
    <m/>
    <m/>
    <m/>
    <m/>
    <n v="35.299999999999997"/>
    <x v="7"/>
    <n v="160000000000"/>
    <n v="25000000000"/>
    <n v="11000000000"/>
    <n v="10000000000"/>
    <n v="21961000000"/>
    <n v="107188000000"/>
    <n v="44.103647798851448"/>
    <n v="9.3294025450610149E-2"/>
    <n v="5.4510681460948208E-2"/>
    <n v="2430365862"/>
    <n v="85791914928.599991"/>
    <n v="0.80038730948053882"/>
    <n v="4.3101165971439999"/>
    <m/>
    <m/>
    <s v=""/>
    <m/>
    <m/>
    <m/>
    <s v="Objectif 2020 : ROE &gt;10 % Cash flow couvre le dividende dans un environnement du prix du baril à 50$"/>
    <m/>
    <n v="1232"/>
    <n v="0"/>
    <s v="FR000012027112017"/>
    <s v="FR0000120271"/>
    <n v="1"/>
    <x v="55"/>
    <m/>
    <m/>
    <m/>
  </r>
  <r>
    <m/>
    <m/>
    <m/>
    <m/>
    <m/>
    <x v="1"/>
    <n v="6.8461682292918713E-2"/>
    <n v="8.9656975983960274E-2"/>
    <n v="0.16772823779193202"/>
    <n v="0.61394448030987725"/>
    <m/>
    <m/>
    <m/>
    <m/>
    <m/>
    <m/>
    <m/>
    <m/>
    <m/>
    <m/>
    <m/>
    <s v=""/>
    <m/>
    <m/>
    <m/>
    <s v="Total a atteint une production de 2,775 M barils jour en 2018"/>
    <m/>
    <n v="1233"/>
    <n v="0"/>
    <s v="FR00001202711"/>
    <s v="FR0000120271"/>
    <n v="1"/>
    <x v="55"/>
    <m/>
    <m/>
    <m/>
  </r>
  <r>
    <m/>
    <m/>
    <m/>
    <m/>
    <n v="44.339622641509429"/>
    <x v="8"/>
    <n v="149748000000"/>
    <n v="22943000000"/>
    <n v="9420000000"/>
    <n v="6196000000"/>
    <n v="27121000000"/>
    <n v="98680000000"/>
    <n v="40.602940299200107"/>
    <n v="6.2788812322659093E-2"/>
    <n v="4.7923307445886756E-2"/>
    <n v="2430365862"/>
    <n v="107761505201.88678"/>
    <n v="1.0920298459858815"/>
    <n v="5.8790265092571499"/>
    <m/>
    <m/>
    <s v=""/>
    <m/>
    <m/>
    <m/>
    <s v="Minoritaires : 2%"/>
    <m/>
    <n v="1234"/>
    <n v="0"/>
    <s v="FR000012027112016"/>
    <s v="FR0000120271"/>
    <n v="1"/>
    <x v="55"/>
    <m/>
    <m/>
    <m/>
  </r>
  <r>
    <m/>
    <m/>
    <m/>
    <m/>
    <m/>
    <x v="1"/>
    <n v="-8.3308336955257523E-2"/>
    <n v="-0.21109277216147448"/>
    <n v="-0.17092061256820978"/>
    <n v="0.21800668370355814"/>
    <m/>
    <m/>
    <m/>
    <m/>
    <m/>
    <m/>
    <m/>
    <m/>
    <m/>
    <m/>
    <m/>
    <s v=""/>
    <m/>
    <m/>
    <m/>
    <s v="Augmentation du nombre d'actions avec le dividende en actions et diverses opérations en capital (stock-options)"/>
    <m/>
    <n v="1235"/>
    <n v="0"/>
    <s v="FR00001202711"/>
    <s v="FR0000120271"/>
    <n v="1"/>
    <x v="55"/>
    <m/>
    <m/>
    <m/>
  </r>
  <r>
    <m/>
    <m/>
    <m/>
    <m/>
    <n v="37.735849056603769"/>
    <x v="9"/>
    <n v="163357000000"/>
    <n v="29082000000"/>
    <n v="11362000000"/>
    <n v="5087000000"/>
    <n v="26386000000"/>
    <n v="92494000000"/>
    <n v="37.906477811206905"/>
    <n v="5.4998162042943326E-2"/>
    <n v="6.1168236877523555E-2"/>
    <n v="2440057883"/>
    <n v="92077655962.264145"/>
    <n v="0.99549869139905445"/>
    <n v="4.0734356633747382"/>
    <m/>
    <m/>
    <s v=""/>
    <m/>
    <m/>
    <m/>
    <s v="Résultat Net 2020 : dépréciation d'actifs importants en lien avec la transition énergétique probablement pas terminé. Actif net à 35 euros et ROE à 3% (2020 année de crise)"/>
    <m/>
    <n v="1236"/>
    <n v="0"/>
    <s v="FR000012027112015"/>
    <s v="FR0000120271"/>
    <n v="1"/>
    <x v="55"/>
    <m/>
    <m/>
    <m/>
  </r>
  <r>
    <m/>
    <m/>
    <m/>
    <m/>
    <m/>
    <x v="1"/>
    <m/>
    <m/>
    <m/>
    <m/>
    <m/>
    <m/>
    <m/>
    <m/>
    <m/>
    <m/>
    <m/>
    <m/>
    <m/>
    <m/>
    <m/>
    <s v=""/>
    <m/>
    <m/>
    <m/>
    <s v="Pay-out ratio : &gt; 100% en 2020 (distribution malgré les pertes)"/>
    <m/>
    <n v="1237"/>
    <n v="0"/>
    <s v="FR00001202711"/>
    <s v="FR0000120271"/>
    <n v="1"/>
    <x v="55"/>
    <m/>
    <m/>
    <m/>
  </r>
  <r>
    <m/>
    <m/>
    <m/>
    <m/>
    <m/>
    <x v="1"/>
    <m/>
    <m/>
    <m/>
    <m/>
    <m/>
    <m/>
    <m/>
    <m/>
    <m/>
    <m/>
    <m/>
    <m/>
    <m/>
    <m/>
    <m/>
    <s v=""/>
    <m/>
    <m/>
    <m/>
    <m/>
    <m/>
    <n v="1238"/>
    <n v="0"/>
    <s v="FR00001202711"/>
    <s v="FR0000120271"/>
    <n v="1"/>
    <x v="55"/>
    <m/>
    <m/>
    <m/>
  </r>
  <r>
    <m/>
    <m/>
    <m/>
    <m/>
    <m/>
    <x v="1"/>
    <m/>
    <m/>
    <m/>
    <m/>
    <m/>
    <m/>
    <m/>
    <m/>
    <m/>
    <m/>
    <m/>
    <m/>
    <m/>
    <m/>
    <m/>
    <s v=""/>
    <m/>
    <m/>
    <m/>
    <m/>
    <m/>
    <n v="1239"/>
    <n v="0"/>
    <s v="FR00001202711"/>
    <s v="FR0000120271"/>
    <n v="1"/>
    <x v="55"/>
    <m/>
    <m/>
    <m/>
  </r>
  <r>
    <m/>
    <m/>
    <m/>
    <m/>
    <m/>
    <x v="1"/>
    <m/>
    <m/>
    <m/>
    <m/>
    <m/>
    <m/>
    <m/>
    <m/>
    <m/>
    <m/>
    <m/>
    <m/>
    <m/>
    <m/>
    <m/>
    <s v=""/>
    <m/>
    <m/>
    <m/>
    <m/>
    <m/>
    <n v="1240"/>
    <n v="0"/>
    <s v="FR00001202711"/>
    <s v="FR0000120271"/>
    <n v="1"/>
    <x v="55"/>
    <m/>
    <m/>
    <m/>
  </r>
  <r>
    <m/>
    <m/>
    <m/>
    <m/>
    <m/>
    <x v="1"/>
    <m/>
    <m/>
    <m/>
    <m/>
    <m/>
    <m/>
    <m/>
    <m/>
    <m/>
    <m/>
    <m/>
    <m/>
    <m/>
    <m/>
    <m/>
    <s v=""/>
    <m/>
    <m/>
    <m/>
    <m/>
    <m/>
    <n v="1241"/>
    <n v="0"/>
    <s v="FR00001202711"/>
    <s v="FR0000120271"/>
    <n v="1"/>
    <x v="55"/>
    <m/>
    <m/>
    <m/>
  </r>
  <r>
    <m/>
    <m/>
    <m/>
    <m/>
    <m/>
    <x v="1"/>
    <m/>
    <m/>
    <m/>
    <m/>
    <m/>
    <m/>
    <m/>
    <m/>
    <m/>
    <m/>
    <m/>
    <m/>
    <m/>
    <m/>
    <m/>
    <s v=""/>
    <m/>
    <m/>
    <m/>
    <m/>
    <m/>
    <n v="1242"/>
    <n v="0"/>
    <s v="FR00001202711"/>
    <s v="FR0000120271"/>
    <n v="1"/>
    <x v="55"/>
    <m/>
    <m/>
    <m/>
  </r>
  <r>
    <s v="Nexans"/>
    <s v="Câbles"/>
    <s v="France"/>
    <s v="Euro"/>
    <n v="80"/>
    <x v="0"/>
    <m/>
    <n v="610000000"/>
    <m/>
    <m/>
    <m/>
    <m/>
    <m/>
    <m/>
    <m/>
    <m/>
    <m/>
    <m/>
    <m/>
    <s v="BB+  Positive     S&amp;P"/>
    <m/>
    <s v=""/>
    <n v="220000000"/>
    <s v="E = 1"/>
    <m/>
    <s v="Fabricant et vendeur de câbles pour l'énergie (électricité de l'éolienne aux consommateurs), télécom avec les cables pour la fibre optique (offre &lt; demande) et le bâtiment (mature). Présent dans 42 pays"/>
    <m/>
    <n v="1243"/>
    <n v="0"/>
    <s v="FR000004444812023"/>
    <s v="FR0000044448"/>
    <n v="1"/>
    <x v="56"/>
    <m/>
    <m/>
    <m/>
  </r>
  <r>
    <m/>
    <m/>
    <m/>
    <m/>
    <m/>
    <x v="1"/>
    <m/>
    <m/>
    <m/>
    <m/>
    <m/>
    <m/>
    <m/>
    <m/>
    <m/>
    <m/>
    <m/>
    <m/>
    <m/>
    <d v="2022-02-01T00:00:00"/>
    <m/>
    <s v=""/>
    <m/>
    <s v="S = -1"/>
    <m/>
    <s v="Actionnaire chilien à 19,2% suite cession en début avril 2023 de 9,6% à 80 euros"/>
    <m/>
    <n v="1244"/>
    <n v="0"/>
    <s v="FR00000444481"/>
    <s v="FR0000044448"/>
    <n v="1"/>
    <x v="56"/>
    <m/>
    <m/>
    <m/>
  </r>
  <r>
    <m/>
    <m/>
    <m/>
    <m/>
    <n v="84.45"/>
    <x v="2"/>
    <n v="6745000000"/>
    <n v="599000000"/>
    <n v="420000000"/>
    <n v="248000000"/>
    <n v="182000000"/>
    <n v="1750000000"/>
    <n v="40.103683835023162"/>
    <n v="0.14171428571428571"/>
    <n v="0.1391304347826087"/>
    <n v="43636889"/>
    <n v="3685135276.0500002"/>
    <n v="2.105791586314286"/>
    <n v="6.4559854358096835"/>
    <m/>
    <n v="25000"/>
    <n v="269800"/>
    <n v="275000000"/>
    <s v="G = 3"/>
    <m/>
    <s v="Concurrent : Prysmian (Italie) 8,8 Md euros de CA et 860-920 d'EBE en 2018 (rachat de General Cables pour 2,5 Md euros en 2017). En 2020, Prysmian : 11 Md de chiffre d'affaires, EBE : 1 Md et 300 Me de Rn, dettes 2,1 Md. Valo / 50% du CA et 16 fois le Rn Deux fois Nexans"/>
    <m/>
    <n v="1245"/>
    <n v="0"/>
    <s v="FR000004444812022"/>
    <s v="FR0000044448"/>
    <n v="1"/>
    <x v="56"/>
    <m/>
    <m/>
    <m/>
  </r>
  <r>
    <m/>
    <m/>
    <m/>
    <m/>
    <m/>
    <x v="1"/>
    <n v="0.11413941195903532"/>
    <n v="0.29373650107991356"/>
    <n v="0.40468227424749159"/>
    <n v="0.51219512195121952"/>
    <m/>
    <m/>
    <m/>
    <m/>
    <m/>
    <m/>
    <m/>
    <m/>
    <m/>
    <m/>
    <m/>
    <s v=""/>
    <m/>
    <m/>
    <m/>
    <s v="CEO : Christopher Guérin (depuis 2018 - chez Nexans depuis 1997) et président du conseil d'administration : Jean Mouton"/>
    <m/>
    <n v="1246"/>
    <n v="0"/>
    <s v="FR00000444481"/>
    <s v="FR0000044448"/>
    <n v="1"/>
    <x v="56"/>
    <m/>
    <m/>
    <m/>
  </r>
  <r>
    <m/>
    <m/>
    <m/>
    <m/>
    <n v="85.85"/>
    <x v="3"/>
    <n v="6054000000"/>
    <n v="463000000"/>
    <n v="299000000"/>
    <n v="164000000"/>
    <n v="74000000"/>
    <n v="1447000000"/>
    <n v="33.160017433873435"/>
    <n v="0.11333794056668971"/>
    <n v="0.12581196581196583"/>
    <n v="43636889"/>
    <n v="3746226920.6499996"/>
    <n v="2.5889612444022112"/>
    <n v="8.2510300661987035"/>
    <m/>
    <m/>
    <s v=""/>
    <n v="179000000"/>
    <m/>
    <m/>
    <s v="En 2015-2016 : redressement, retour de la croissance ?"/>
    <m/>
    <n v="1247"/>
    <n v="0"/>
    <s v="FR000004444812021"/>
    <s v="FR0000044448"/>
    <n v="1"/>
    <x v="56"/>
    <m/>
    <m/>
    <m/>
  </r>
  <r>
    <m/>
    <m/>
    <m/>
    <m/>
    <m/>
    <x v="1"/>
    <n v="5.3602506091193769E-2"/>
    <n v="0.33429394812680124"/>
    <n v="0.54922279792746109"/>
    <n v="1.0499999999999998"/>
    <m/>
    <m/>
    <m/>
    <m/>
    <m/>
    <m/>
    <m/>
    <m/>
    <m/>
    <m/>
    <m/>
    <s v=""/>
    <m/>
    <m/>
    <m/>
    <s v="Après un mauvais second semestre 2016, retour de la croissance au 1S2017. Activité cables pour l'éolien, télécom.. En hausse. Gas &amp; Oil en baisse"/>
    <m/>
    <n v="1248"/>
    <n v="0"/>
    <s v="FR00000444481"/>
    <s v="FR0000044448"/>
    <n v="1"/>
    <x v="56"/>
    <m/>
    <m/>
    <m/>
  </r>
  <r>
    <m/>
    <m/>
    <m/>
    <m/>
    <n v="59.25"/>
    <x v="4"/>
    <n v="5746000000"/>
    <n v="347000000"/>
    <n v="193000000"/>
    <n v="80000000"/>
    <n v="179000000"/>
    <n v="1216000000"/>
    <n v="27.858936276165636"/>
    <n v="6.5789473684210523E-2"/>
    <n v="8.8544802867383518E-2"/>
    <n v="43648472"/>
    <n v="2586171966"/>
    <n v="2.1267861562500001"/>
    <n v="7.9687952910662823"/>
    <m/>
    <m/>
    <s v=""/>
    <n v="157000000"/>
    <m/>
    <m/>
    <s v="2017 : chiffres du 1S2017 en ligne. Valorisation faible, dettes un peu élevé (437 Me)"/>
    <m/>
    <n v="1249"/>
    <n v="0"/>
    <s v="FR000004444812020"/>
    <s v="FR0000044448"/>
    <n v="1"/>
    <x v="56"/>
    <m/>
    <m/>
    <m/>
  </r>
  <r>
    <m/>
    <m/>
    <m/>
    <m/>
    <m/>
    <x v="1"/>
    <n v="0.24777415852334417"/>
    <n v="-0.15980629539951574"/>
    <n v="-18.545454545454547"/>
    <n v="-1.6779661016949152"/>
    <m/>
    <m/>
    <m/>
    <m/>
    <m/>
    <m/>
    <m/>
    <m/>
    <m/>
    <m/>
    <m/>
    <s v=""/>
    <m/>
    <m/>
    <m/>
    <s v="Titres hybrides dilutifs, remboursée"/>
    <m/>
    <n v="1250"/>
    <n v="0"/>
    <s v="FR00000444481"/>
    <s v="FR0000044448"/>
    <n v="1"/>
    <x v="56"/>
    <m/>
    <m/>
    <m/>
  </r>
  <r>
    <m/>
    <m/>
    <m/>
    <m/>
    <n v="43"/>
    <x v="5"/>
    <n v="4605000000"/>
    <n v="413000000"/>
    <n v="-11000000"/>
    <n v="-118000000"/>
    <n v="471000000"/>
    <n v="1209000000"/>
    <n v="27.725338895829779"/>
    <n v="-9.7601323407775026E-2"/>
    <n v="-4.1904761904761906E-3"/>
    <n v="43606320"/>
    <n v="1875071760"/>
    <n v="1.550927841191067"/>
    <n v="5.6805611622276029"/>
    <m/>
    <m/>
    <s v=""/>
    <m/>
    <m/>
    <m/>
    <s v="2017 : chiffre d'affaires en croissance de 8,5% tiré par les câbles sous-marins. Un peu mieux dans l'industrie et Oil. Résultats en hausse mais hausse de la dette. "/>
    <m/>
    <n v="1251"/>
    <n v="0"/>
    <s v="FR000004444812019"/>
    <s v="FR0000044448"/>
    <n v="1"/>
    <x v="56"/>
    <m/>
    <m/>
    <m/>
  </r>
  <r>
    <m/>
    <m/>
    <m/>
    <m/>
    <m/>
    <x v="1"/>
    <n v="4.4454524835563669E-2"/>
    <n v="0.27076923076923087"/>
    <n v="-1.0982142857142858"/>
    <n v="-9.4285714285714288"/>
    <m/>
    <m/>
    <m/>
    <m/>
    <m/>
    <m/>
    <m/>
    <m/>
    <m/>
    <m/>
    <m/>
    <s v=""/>
    <m/>
    <m/>
    <m/>
    <s v="Objectifs 2022 : hausse du CA de 25% et de 50% de l'EBE à 600 Me avec un ROCE à 15% - Acquisition 1,5 à 2 Md euros à dépenser"/>
    <m/>
    <n v="1252"/>
    <n v="0"/>
    <s v="FR00000444481"/>
    <s v="FR0000044448"/>
    <n v="1"/>
    <x v="56"/>
    <m/>
    <m/>
    <m/>
  </r>
  <r>
    <m/>
    <m/>
    <m/>
    <m/>
    <n v="23"/>
    <x v="6"/>
    <n v="4409000000"/>
    <n v="325000000"/>
    <n v="112000000"/>
    <n v="14000000"/>
    <n v="330000000"/>
    <n v="1325000000"/>
    <n v="30.463488061106123"/>
    <n v="1.0566037735849057E-2"/>
    <n v="4.3311178247734138E-2"/>
    <n v="43494691"/>
    <n v="1000377893"/>
    <n v="0.75500218339622638"/>
    <n v="4.0934704399999999"/>
    <m/>
    <m/>
    <s v=""/>
    <m/>
    <m/>
    <m/>
    <s v="Accélération prévue entre 2020-2022 (+6% de CA par an)"/>
    <m/>
    <n v="1253"/>
    <n v="0"/>
    <s v="FR000004444812018"/>
    <s v="FR0000044448"/>
    <n v="1"/>
    <x v="56"/>
    <m/>
    <m/>
    <m/>
  </r>
  <r>
    <m/>
    <m/>
    <m/>
    <m/>
    <m/>
    <x v="1"/>
    <n v="-3.544082257711656E-2"/>
    <n v="-0.20924574209245739"/>
    <n v="-0.58823529411764708"/>
    <n v="-0.88800000000000001"/>
    <m/>
    <m/>
    <m/>
    <m/>
    <m/>
    <m/>
    <m/>
    <m/>
    <m/>
    <m/>
    <m/>
    <s v=""/>
    <m/>
    <m/>
    <m/>
    <s v="Dettes brutes : 1,2 Md euros (65 M e de frais financiers) - trésorerie : 800 M euros. Echéance convertible janvier 2019 (remboursée car conversion à plus de 70 euros par action) et trois lignes de 200 - 250 - 330 M euros à échéance 2021 - 2023 -  2024. Pas de risque de refinancement à priori"/>
    <m/>
    <n v="1254"/>
    <n v="0"/>
    <s v="FR00000444481"/>
    <s v="FR0000044448"/>
    <n v="1"/>
    <x v="56"/>
    <m/>
    <m/>
    <m/>
  </r>
  <r>
    <m/>
    <m/>
    <m/>
    <m/>
    <n v="48"/>
    <x v="37"/>
    <n v="4571000000"/>
    <n v="411000000"/>
    <n v="272000000"/>
    <n v="125000000"/>
    <n v="332000000"/>
    <n v="1419000000"/>
    <n v="29.224697806532994"/>
    <n v="8.809020436927413E-2"/>
    <n v="9.9417475728155347E-2"/>
    <n v="48554822"/>
    <n v="2330631456"/>
    <n v="1.6424464101479916"/>
    <n v="6.4784220340632608"/>
    <m/>
    <m/>
    <s v=""/>
    <m/>
    <m/>
    <m/>
    <s v="2018 : EBE 350 me et dettes 420 Me mieux en réalité, bon point pour le nouveau directeur général Christopher Guérin. Amélioration en 2019 mais pas de free cash flow après investissement, BFR, frais fin et divi"/>
    <m/>
    <n v="1255"/>
    <n v="0"/>
    <s v="FR000004444812017 (dilué)"/>
    <s v="FR0000044448"/>
    <n v="1"/>
    <x v="56"/>
    <m/>
    <m/>
    <m/>
  </r>
  <r>
    <m/>
    <m/>
    <m/>
    <m/>
    <m/>
    <x v="1"/>
    <m/>
    <m/>
    <m/>
    <m/>
    <m/>
    <m/>
    <m/>
    <m/>
    <m/>
    <m/>
    <m/>
    <m/>
    <m/>
    <m/>
    <m/>
    <s v=""/>
    <m/>
    <m/>
    <m/>
    <s v="Impact IFRS 16 : dettes : 130 M euros"/>
    <m/>
    <n v="1256"/>
    <n v="0"/>
    <s v="FR00000444481"/>
    <s v="FR0000044448"/>
    <n v="1"/>
    <x v="56"/>
    <m/>
    <m/>
    <m/>
  </r>
  <r>
    <m/>
    <m/>
    <m/>
    <m/>
    <n v="51"/>
    <x v="7"/>
    <n v="4571000000"/>
    <n v="411000000"/>
    <n v="272000000"/>
    <n v="125000000"/>
    <n v="332000000"/>
    <n v="1424000000"/>
    <n v="32.729284207566451"/>
    <n v="8.7780898876404501E-2"/>
    <n v="9.9134396355353094E-2"/>
    <n v="43508437"/>
    <n v="2218930287"/>
    <n v="1.5582375610955057"/>
    <n v="6.2066430340632603"/>
    <m/>
    <m/>
    <s v=""/>
    <m/>
    <m/>
    <m/>
    <s v="En 2019, 251 M euros de charges de restructuration, Rex de 240 Me hors coût de restructuration"/>
    <m/>
    <n v="1257"/>
    <n v="0"/>
    <s v="FR000004444812017"/>
    <s v="FR0000044448"/>
    <n v="1"/>
    <x v="56"/>
    <m/>
    <m/>
    <m/>
  </r>
  <r>
    <m/>
    <m/>
    <m/>
    <m/>
    <m/>
    <x v="1"/>
    <n v="3.1595576619273258E-2"/>
    <n v="9.6000000000000085E-2"/>
    <n v="0.12396694214876036"/>
    <n v="1.0491803278688523"/>
    <m/>
    <m/>
    <m/>
    <m/>
    <m/>
    <m/>
    <m/>
    <m/>
    <m/>
    <m/>
    <m/>
    <s v=""/>
    <m/>
    <m/>
    <m/>
    <s v="Position forte aux États-Unis. Éoliennes en mer à 80 km des côtes (contre 40 km avant) câbles de 2 m de diamètres et 1000 m de profondeur. Contrat avec Orsted (leader mondial 60% de pdm) sur 7 ans et 1,5 Md euros. Dans le secteur de l'aviation : 350 km de câbles par avion (1 Km par passager)"/>
    <m/>
    <n v="1258"/>
    <n v="0"/>
    <s v="FR00000444481"/>
    <s v="FR0000044448"/>
    <n v="1"/>
    <x v="56"/>
    <m/>
    <m/>
    <m/>
  </r>
  <r>
    <m/>
    <m/>
    <m/>
    <m/>
    <n v="49.21"/>
    <x v="8"/>
    <n v="4431000000"/>
    <n v="375000000"/>
    <n v="242000000"/>
    <n v="61000000"/>
    <n v="211000000"/>
    <n v="1412000000"/>
    <n v="32.15139536486631"/>
    <n v="4.320113314447592E-2"/>
    <n v="9.5428219346888471E-2"/>
    <n v="43917223"/>
    <n v="2161166543.8299999"/>
    <n v="1.5305712066784702"/>
    <n v="6.3257774502133328"/>
    <m/>
    <m/>
    <s v=""/>
    <m/>
    <m/>
    <m/>
    <s v="10-12% de part de marché mondial (avec Prysmian 28% de part de marché mondial). 200 Gigawatts d'éolien en mer a installé dont 80 en Europe à horizon 2030 avec un prix de 300 M euros par Gigawatt soit un potentiel élevé avec une forte présence aux États-Unis"/>
    <m/>
    <n v="1259"/>
    <n v="0"/>
    <s v="FR000004444812016"/>
    <s v="FR0000044448"/>
    <n v="1"/>
    <x v="56"/>
    <m/>
    <m/>
    <m/>
  </r>
  <r>
    <m/>
    <m/>
    <m/>
    <m/>
    <m/>
    <x v="1"/>
    <n v="-3.7576020851433523E-2"/>
    <n v="0.12612612612612617"/>
    <n v="0.24102564102564106"/>
    <n v="-1.3144329896907216"/>
    <m/>
    <m/>
    <m/>
    <m/>
    <m/>
    <m/>
    <m/>
    <m/>
    <m/>
    <m/>
    <m/>
    <s v=""/>
    <m/>
    <m/>
    <m/>
    <s v="Vente dans 8 macro secteurs et recentrage sur 4 secteurs. Pétrole &amp; gaz (2% du CA en 2020 contre 15% en 2019). Passage de 17000 clients pour 100% du CA en 2019 à 5000 clients "/>
    <m/>
    <n v="1260"/>
    <n v="0"/>
    <s v="FR00000444481"/>
    <s v="FR0000044448"/>
    <n v="1"/>
    <x v="56"/>
    <m/>
    <m/>
    <m/>
  </r>
  <r>
    <m/>
    <m/>
    <m/>
    <m/>
    <n v="33.83"/>
    <x v="9"/>
    <n v="4604000000"/>
    <n v="333000000"/>
    <n v="195000000"/>
    <n v="-194000000"/>
    <n v="201000000"/>
    <n v="1173000000"/>
    <n v="27.580950972849269"/>
    <n v="-0.16538789428815004"/>
    <n v="9.0829694323144111E-2"/>
    <n v="42529353"/>
    <n v="1438768011.99"/>
    <n v="1.2265711952173912"/>
    <n v="4.9242282642342339"/>
    <m/>
    <m/>
    <s v=""/>
    <m/>
    <m/>
    <m/>
    <s v="En 2020, gestion de la crise rigoureuse. La partie &quot;autres activités&quot; 850 M euros correspond à la vente de fil de cuivre"/>
    <m/>
    <n v="1261"/>
    <n v="0"/>
    <s v="FR000004444812015"/>
    <s v="FR0000044448"/>
    <n v="1"/>
    <x v="56"/>
    <m/>
    <m/>
    <m/>
  </r>
  <r>
    <m/>
    <m/>
    <m/>
    <m/>
    <m/>
    <x v="1"/>
    <m/>
    <m/>
    <m/>
    <m/>
    <m/>
    <m/>
    <m/>
    <m/>
    <m/>
    <m/>
    <m/>
    <m/>
    <m/>
    <m/>
    <m/>
    <s v=""/>
    <m/>
    <m/>
    <m/>
    <s v="En 2021, poursuite du redressement, Navire Aurora (second navire) pour l'installation de câbles et usine de Charleston mis en service pour équiper le programme éolien au large de l'Écosse. Acquisition de Centelsa (Colombie) 250 M euros de CA (Bâtimets et distribution d'énergie)"/>
    <m/>
    <n v="1262"/>
    <n v="0"/>
    <s v="FR00000444481"/>
    <s v="FR0000044448"/>
    <n v="1"/>
    <x v="56"/>
    <m/>
    <m/>
    <m/>
  </r>
  <r>
    <m/>
    <m/>
    <m/>
    <m/>
    <n v="100"/>
    <x v="15"/>
    <n v="4822000000"/>
    <n v="409000000"/>
    <n v="363000000"/>
    <n v="189000000"/>
    <n v="290000000"/>
    <n v="1758000000"/>
    <n v="76.434782608695656"/>
    <n v="0.10750853242320819"/>
    <n v="0.1134375"/>
    <n v="23000000"/>
    <n v="2300000000"/>
    <n v="1.3083048919226394"/>
    <n v="6.3325183374083132"/>
    <m/>
    <m/>
    <s v=""/>
    <m/>
    <m/>
    <m/>
    <s v="Marge par métier : Haute Tension et Projets 17,9 %, Bâtiment et Territoires 7,5 %, Industrie et Solutions 8,7 %, Télécommunications et données 11,5 %"/>
    <m/>
    <n v="1263"/>
    <n v="0"/>
    <s v="FR000004444812007"/>
    <s v="FR0000044448"/>
    <n v="1"/>
    <x v="56"/>
    <m/>
    <m/>
    <m/>
  </r>
  <r>
    <m/>
    <m/>
    <m/>
    <m/>
    <m/>
    <x v="1"/>
    <n v="0.10267550880402476"/>
    <n v="0.57307692307692304"/>
    <n v="2.7624309392264568E-3"/>
    <n v="-0.21576763485477179"/>
    <m/>
    <m/>
    <m/>
    <m/>
    <m/>
    <m/>
    <n v="0"/>
    <m/>
    <m/>
    <m/>
    <m/>
    <s v=""/>
    <m/>
    <m/>
    <m/>
    <s v="CA par métier : Haute Tension et Projets 13,14 %, Bâtiment et Territoires 41,14 %, Industrie et Solutions 23 %, Télécommunications et données 5,30 %, Autres 18 %"/>
    <m/>
    <n v="1264"/>
    <n v="0"/>
    <s v="FR00000444481"/>
    <s v="FR0000044448"/>
    <n v="1"/>
    <x v="56"/>
    <m/>
    <m/>
    <m/>
  </r>
  <r>
    <m/>
    <m/>
    <m/>
    <m/>
    <n v="100"/>
    <x v="16"/>
    <n v="4373000000"/>
    <n v="260000000"/>
    <n v="362000000"/>
    <n v="241000000"/>
    <n v="633000000"/>
    <n v="1589000000"/>
    <n v="69.086956521739125"/>
    <n v="0.15166771554436753"/>
    <n v="0.10426642664266426"/>
    <n v="23000000"/>
    <n v="2300000000"/>
    <n v="1.44745122718691"/>
    <n v="11.280769230769231"/>
    <m/>
    <m/>
    <s v=""/>
    <m/>
    <m/>
    <m/>
    <s v="La demande augmentant fortement, Nexans souhaite sortir de certains de ses 34 sous-secteurs : automobile, pétrole, marine marchande, télécom. Concentration sur les secteurs de la transition énergétique avantage concurrentiel des 2 bâteaux (sur les Télécoms beaucoup de bâteaux) et de l'usine aux États-Unis "/>
    <m/>
    <n v="1265"/>
    <n v="0"/>
    <s v="FR000004444812006"/>
    <s v="FR0000044448"/>
    <n v="1"/>
    <x v="56"/>
    <m/>
    <m/>
    <m/>
  </r>
  <r>
    <m/>
    <m/>
    <m/>
    <m/>
    <m/>
    <x v="1"/>
    <m/>
    <m/>
    <m/>
    <m/>
    <m/>
    <m/>
    <m/>
    <m/>
    <m/>
    <m/>
    <m/>
    <m/>
    <m/>
    <m/>
    <m/>
    <s v=""/>
    <m/>
    <m/>
    <m/>
    <s v="Risque sur l'approvisionnement en cuivre compte tenu de la demande mais Nexans intégré verticalement"/>
    <m/>
    <n v="1266"/>
    <n v="0"/>
    <s v="FR00000444481"/>
    <s v="FR0000044448"/>
    <n v="1"/>
    <x v="56"/>
    <m/>
    <m/>
    <m/>
  </r>
  <r>
    <m/>
    <m/>
    <m/>
    <m/>
    <m/>
    <x v="1"/>
    <m/>
    <m/>
    <m/>
    <m/>
    <m/>
    <m/>
    <m/>
    <m/>
    <m/>
    <m/>
    <m/>
    <m/>
    <m/>
    <m/>
    <m/>
    <s v=""/>
    <m/>
    <m/>
    <m/>
    <s v="En 2022, poursuite de la croissance avec les énergies renouvelables (câbles en mer à poser), le renouvellement du réseau électrique et l'électrification des usages quotidiens. Acquisition de Centelsa en Colombie (340 Me de CA et EBE : 10%), fabricant de câbles pour le bâtiment"/>
    <m/>
    <n v="1267"/>
    <n v="0"/>
    <s v="FR00000444481"/>
    <s v="FR0000044448"/>
    <n v="1"/>
    <x v="56"/>
    <m/>
    <m/>
    <m/>
  </r>
  <r>
    <m/>
    <m/>
    <m/>
    <m/>
    <m/>
    <x v="1"/>
    <m/>
    <m/>
    <m/>
    <m/>
    <m/>
    <m/>
    <m/>
    <m/>
    <m/>
    <m/>
    <m/>
    <m/>
    <m/>
    <m/>
    <m/>
    <s v=""/>
    <m/>
    <m/>
    <m/>
    <s v="CAC : Mazars et PWC"/>
    <m/>
    <n v="1268"/>
    <n v="0"/>
    <s v="FR00000444481"/>
    <s v="FR0000044448"/>
    <n v="1"/>
    <x v="56"/>
    <m/>
    <m/>
    <m/>
  </r>
  <r>
    <m/>
    <m/>
    <m/>
    <m/>
    <m/>
    <x v="1"/>
    <m/>
    <m/>
    <m/>
    <m/>
    <m/>
    <m/>
    <m/>
    <m/>
    <m/>
    <m/>
    <m/>
    <m/>
    <m/>
    <m/>
    <m/>
    <s v=""/>
    <m/>
    <m/>
    <m/>
    <s v="Minoritaires : 2,5%"/>
    <m/>
    <n v="1269"/>
    <n v="0"/>
    <s v="FR00000444481"/>
    <s v="FR0000044448"/>
    <n v="1"/>
    <x v="56"/>
    <m/>
    <m/>
    <m/>
  </r>
  <r>
    <m/>
    <m/>
    <m/>
    <m/>
    <m/>
    <x v="1"/>
    <m/>
    <m/>
    <m/>
    <m/>
    <m/>
    <m/>
    <m/>
    <m/>
    <m/>
    <m/>
    <m/>
    <m/>
    <m/>
    <m/>
    <m/>
    <s v=""/>
    <m/>
    <m/>
    <m/>
    <s v="Pay-out ratio en 2021 : 32%"/>
    <m/>
    <n v="1270"/>
    <n v="0"/>
    <s v="FR00000444481"/>
    <s v="FR0000044448"/>
    <n v="1"/>
    <x v="56"/>
    <m/>
    <m/>
    <m/>
  </r>
  <r>
    <m/>
    <m/>
    <m/>
    <m/>
    <m/>
    <x v="1"/>
    <m/>
    <m/>
    <m/>
    <m/>
    <m/>
    <m/>
    <m/>
    <m/>
    <m/>
    <m/>
    <m/>
    <m/>
    <m/>
    <m/>
    <m/>
    <s v=""/>
    <m/>
    <m/>
    <m/>
    <m/>
    <m/>
    <n v="1271"/>
    <n v="0"/>
    <s v="FR00000444481"/>
    <s v="FR0000044448"/>
    <n v="1"/>
    <x v="56"/>
    <m/>
    <m/>
    <m/>
  </r>
  <r>
    <m/>
    <m/>
    <m/>
    <m/>
    <m/>
    <x v="1"/>
    <m/>
    <m/>
    <m/>
    <m/>
    <m/>
    <m/>
    <m/>
    <m/>
    <m/>
    <m/>
    <m/>
    <m/>
    <m/>
    <m/>
    <m/>
    <s v=""/>
    <m/>
    <m/>
    <m/>
    <m/>
    <m/>
    <n v="1272"/>
    <n v="0"/>
    <s v="FR00000444481"/>
    <s v="FR0000044448"/>
    <n v="1"/>
    <x v="56"/>
    <m/>
    <m/>
    <m/>
  </r>
  <r>
    <m/>
    <m/>
    <m/>
    <m/>
    <m/>
    <x v="1"/>
    <m/>
    <m/>
    <m/>
    <m/>
    <m/>
    <m/>
    <m/>
    <m/>
    <m/>
    <m/>
    <m/>
    <m/>
    <m/>
    <m/>
    <m/>
    <s v=""/>
    <m/>
    <m/>
    <m/>
    <m/>
    <m/>
    <n v="1273"/>
    <n v="0"/>
    <s v="FR00000444481"/>
    <s v="FR0000044448"/>
    <n v="1"/>
    <x v="56"/>
    <m/>
    <m/>
    <m/>
  </r>
  <r>
    <m/>
    <m/>
    <m/>
    <m/>
    <m/>
    <x v="1"/>
    <m/>
    <m/>
    <m/>
    <m/>
    <m/>
    <m/>
    <m/>
    <m/>
    <m/>
    <m/>
    <m/>
    <m/>
    <m/>
    <m/>
    <m/>
    <s v=""/>
    <m/>
    <m/>
    <m/>
    <m/>
    <m/>
    <n v="1274"/>
    <n v="0"/>
    <s v="FR00000444481"/>
    <s v="FR0000044448"/>
    <n v="1"/>
    <x v="56"/>
    <m/>
    <m/>
    <m/>
  </r>
  <r>
    <m/>
    <m/>
    <m/>
    <m/>
    <m/>
    <x v="1"/>
    <m/>
    <m/>
    <m/>
    <m/>
    <m/>
    <m/>
    <m/>
    <m/>
    <m/>
    <m/>
    <m/>
    <m/>
    <m/>
    <m/>
    <m/>
    <s v=""/>
    <m/>
    <m/>
    <m/>
    <m/>
    <m/>
    <n v="1275"/>
    <n v="0"/>
    <s v="FR00000444481"/>
    <s v="FR0000044448"/>
    <n v="1"/>
    <x v="56"/>
    <m/>
    <m/>
    <m/>
  </r>
  <r>
    <s v="Virbac"/>
    <s v="Laboratoires Vétérinaires"/>
    <s v="France"/>
    <s v="Euro"/>
    <n v="250"/>
    <x v="0"/>
    <n v="1216266300"/>
    <n v="200000000"/>
    <n v="145951956"/>
    <n v="105000000"/>
    <n v="-70000000"/>
    <n v="900000000"/>
    <n v="106.40813431071176"/>
    <n v="0.12510425354462051"/>
    <n v="0.13828846995657323"/>
    <n v="8458000"/>
    <n v="2114500000"/>
    <n v="2.3494444444444444"/>
    <n v="10.2225"/>
    <m/>
    <n v="5100"/>
    <n v="238483.58823529413"/>
    <m/>
    <s v="E (impact) = -1"/>
    <m/>
    <s v="Laboratoires vétérinaires fondée en 1968 et détenue par la famille Dick à 49,7% (65,9% des droits de vote). Société spécialisée dans les médicaments pour animaux d'élevage et de compagnie présent dans le monde entier"/>
    <m/>
    <n v="1276"/>
    <s v="p"/>
    <s v="FR000003157712023"/>
    <s v="FR0000031577"/>
    <n v="1"/>
    <x v="57"/>
    <m/>
    <m/>
    <m/>
  </r>
  <r>
    <m/>
    <m/>
    <m/>
    <m/>
    <m/>
    <x v="1"/>
    <n v="0"/>
    <n v="-0.1266375545851528"/>
    <n v="-0.18689718105849584"/>
    <n v="-0.13934426229508201"/>
    <m/>
    <m/>
    <m/>
    <m/>
    <m/>
    <m/>
    <m/>
    <m/>
    <m/>
    <m/>
    <m/>
    <s v=""/>
    <m/>
    <s v="E (effort) = 1"/>
    <m/>
    <s v="Famille Dick actionnaire à 49,67%. Gouvernance : Mme Dick, présidente du CA et Sébastien Huron (1970) Directeur général"/>
    <m/>
    <n v="1277"/>
    <s v="p"/>
    <s v="FR00000315771"/>
    <s v="FR0000031577"/>
    <n v="1"/>
    <x v="57"/>
    <m/>
    <m/>
    <m/>
  </r>
  <r>
    <m/>
    <m/>
    <m/>
    <m/>
    <n v="228"/>
    <x v="2"/>
    <n v="1216266300"/>
    <n v="229000000"/>
    <n v="179500000"/>
    <n v="122000000"/>
    <n v="-79400000"/>
    <n v="839300000"/>
    <n v="99.231496807755974"/>
    <n v="0.16829907573458408"/>
    <n v="0.19849485486100446"/>
    <n v="8458000"/>
    <n v="1928424000"/>
    <n v="2.2976575717860119"/>
    <n v="8.0743406113537119"/>
    <m/>
    <n v="5100"/>
    <n v="238483.58823529413"/>
    <n v="46500000"/>
    <s v="S = 1"/>
    <m/>
    <s v="Présent dans 100 pays, 33 filiales, 40 espèces et 50 gammes de produits. Animaux de compagnie : 59% et animaux de production : 41%. Numéro 6 mondial. Leader Zoetis"/>
    <m/>
    <n v="1278"/>
    <s v="p"/>
    <s v="FR000003157712022"/>
    <s v="FR0000031577"/>
    <n v="1"/>
    <x v="57"/>
    <m/>
    <m/>
    <m/>
  </r>
  <r>
    <m/>
    <m/>
    <m/>
    <m/>
    <m/>
    <x v="1"/>
    <n v="0.14300000000000002"/>
    <n v="9.0476190476190377E-2"/>
    <n v="7.1002386634844816E-2"/>
    <n v="7.7738515901060179E-2"/>
    <m/>
    <m/>
    <m/>
    <m/>
    <m/>
    <m/>
    <m/>
    <m/>
    <m/>
    <m/>
    <m/>
    <s v=""/>
    <m/>
    <s v="G = 2"/>
    <m/>
    <s v="États-Unis : 33% du marché mondial, plutôt mature chez les animaux de productions croissance des vaccins et baisse des antibiotiques"/>
    <m/>
    <n v="1279"/>
    <s v="p"/>
    <s v="FR00000315771"/>
    <s v="FR0000031577"/>
    <n v="1"/>
    <x v="57"/>
    <m/>
    <m/>
    <m/>
  </r>
  <r>
    <m/>
    <m/>
    <m/>
    <m/>
    <n v="424.5"/>
    <x v="3"/>
    <n v="1064100000"/>
    <n v="210000000"/>
    <n v="167600000"/>
    <n v="113200000"/>
    <n v="-73800000"/>
    <n v="724900000"/>
    <n v="85.705840624261057"/>
    <n v="0.1817306148659496"/>
    <n v="0.21567828418230564"/>
    <n v="8458000"/>
    <n v="3590421000"/>
    <n v="4.9529879983445992"/>
    <n v="16.745814285714285"/>
    <m/>
    <n v="5100"/>
    <n v="208647.0588235294"/>
    <n v="79100000"/>
    <m/>
    <m/>
    <s v="En 2015, le 2 janvier, acquisition onéreuse de deux antiparasitaires pour chien (produits Sentinel CA 2014 : 90 M$) acheté aux Etats-Unis à Ely Lilly pour 410 MS a fait grimper l'endettement"/>
    <m/>
    <n v="1280"/>
    <s v="p"/>
    <s v="FR000003157712021"/>
    <s v="FR0000031577"/>
    <n v="1"/>
    <x v="57"/>
    <m/>
    <m/>
    <m/>
  </r>
  <r>
    <m/>
    <m/>
    <m/>
    <m/>
    <m/>
    <x v="1"/>
    <n v="0.13904945407835578"/>
    <n v="0.60565189466923552"/>
    <n v="0.39087136929460575"/>
    <n v="-0.17672727272727273"/>
    <m/>
    <m/>
    <m/>
    <m/>
    <m/>
    <m/>
    <m/>
    <m/>
    <m/>
    <m/>
    <m/>
    <s v=""/>
    <m/>
    <m/>
    <m/>
    <s v="Problème au Chili (Transiciel acheté à 51% en 2012 pour 46,7 M euros CA de 64,4 M euros, le solde en 2020) en Aquaculture suite à une algue marine tuant de nombreux saumons d'élevage. "/>
    <m/>
    <n v="1281"/>
    <s v="p"/>
    <s v="FR00000315771"/>
    <s v="FR0000031577"/>
    <n v="1"/>
    <x v="57"/>
    <m/>
    <m/>
    <m/>
  </r>
  <r>
    <m/>
    <m/>
    <m/>
    <m/>
    <n v="238"/>
    <x v="4"/>
    <n v="934200000"/>
    <n v="130788000.00000001"/>
    <n v="120500000"/>
    <n v="137500000"/>
    <n v="-63400000"/>
    <n v="622900000"/>
    <n v="73.646252069047051"/>
    <n v="0.26554654306682118"/>
    <n v="9.7901150981719698E-2"/>
    <n v="8458000"/>
    <n v="2013004000"/>
    <n v="3.2316647937068552"/>
    <n v="14.906596935498667"/>
    <m/>
    <m/>
    <s v=""/>
    <n v="169400000"/>
    <m/>
    <m/>
    <s v="Deux problèmes structurels : baisse de la recommandation d'antibiotique (porcs et volaille) en Europe et saumon au Chili suite à la réglementation et Sentinel, acheté en 2015, fait face à un nouveau concurrent"/>
    <m/>
    <n v="1282"/>
    <s v="p"/>
    <s v="FR000003157712020"/>
    <s v="FR0000031577"/>
    <n v="1"/>
    <x v="57"/>
    <m/>
    <m/>
    <m/>
  </r>
  <r>
    <m/>
    <m/>
    <m/>
    <m/>
    <m/>
    <x v="1"/>
    <n v="-4.2634832658281496E-3"/>
    <n v="-0.15620645161290314"/>
    <n v="0.12197392923649897"/>
    <n v="1.6647286821705425"/>
    <m/>
    <m/>
    <m/>
    <m/>
    <m/>
    <m/>
    <m/>
    <m/>
    <m/>
    <m/>
    <m/>
    <s v=""/>
    <m/>
    <m/>
    <m/>
    <s v="Deux problèmes conjoncturels : Chili (maladie des saumons) et usine de Saint-Louis aux Etats-Unis (produit Iverhart), ces deux problèmes sont terminés (juin 2017) mais redémarrage lent"/>
    <m/>
    <n v="1283"/>
    <s v="p"/>
    <s v="FR00000315771"/>
    <s v="FR0000031577"/>
    <n v="1"/>
    <x v="57"/>
    <m/>
    <m/>
    <m/>
  </r>
  <r>
    <m/>
    <m/>
    <m/>
    <m/>
    <n v="230"/>
    <x v="5"/>
    <n v="938200000"/>
    <n v="155000000"/>
    <n v="107400000"/>
    <n v="51600000"/>
    <n v="368400000"/>
    <n v="517800000"/>
    <n v="61.220146606762825"/>
    <n v="0.1121008038235933"/>
    <n v="8.7238267148014442E-2"/>
    <n v="8458000"/>
    <n v="1945340000"/>
    <n v="3.7569331788335263"/>
    <n v="14.927354838709677"/>
    <m/>
    <m/>
    <s v=""/>
    <m/>
    <m/>
    <m/>
    <s v="En 2017 finalement trop optimiste, le 12/9/17 résultat décevant, activité et rentabilité stable. Les Etats-Unis repartent plus doucement (décalage) et Sentinel souffre. Conserver"/>
    <m/>
    <n v="1284"/>
    <s v="p"/>
    <s v="FR000003157712019"/>
    <s v="FR0000031577"/>
    <n v="1"/>
    <x v="57"/>
    <m/>
    <m/>
    <m/>
  </r>
  <r>
    <m/>
    <m/>
    <m/>
    <m/>
    <m/>
    <x v="1"/>
    <n v="7.9880294659300244E-2"/>
    <n v="0.3230900554844216"/>
    <n v="0.65230769230769226"/>
    <n v="1.5671641791044775"/>
    <m/>
    <m/>
    <m/>
    <m/>
    <m/>
    <m/>
    <m/>
    <m/>
    <m/>
    <m/>
    <m/>
    <s v=""/>
    <m/>
    <m/>
    <m/>
    <s v="Dettes remboursables en 2022 suite à l'achat de Sentinel"/>
    <m/>
    <n v="1285"/>
    <s v="p"/>
    <s v="FR00000315771"/>
    <s v="FR0000031577"/>
    <n v="1"/>
    <x v="57"/>
    <m/>
    <m/>
    <m/>
  </r>
  <r>
    <m/>
    <m/>
    <m/>
    <m/>
    <n v="123"/>
    <x v="6"/>
    <n v="868800000"/>
    <n v="117150000"/>
    <n v="65000000"/>
    <n v="20100000"/>
    <n v="426100000"/>
    <n v="460300000"/>
    <n v="54.421849136911803"/>
    <n v="4.6069218427687374E-2"/>
    <n v="5.2214660269998887E-2"/>
    <n v="8458000"/>
    <n v="1040334000"/>
    <n v="2.2601216597870954"/>
    <n v="12.517575757575758"/>
    <m/>
    <m/>
    <s v=""/>
    <m/>
    <m/>
    <m/>
    <s v="Voir si dépréciation des UGT aux Etats-Unis et au Chili sur le bilan 2017. Pas d'achat supplémentaire"/>
    <m/>
    <n v="1286"/>
    <s v="p"/>
    <s v="FR000003157712018"/>
    <s v="FR0000031577"/>
    <n v="1"/>
    <x v="57"/>
    <m/>
    <m/>
    <m/>
  </r>
  <r>
    <m/>
    <m/>
    <m/>
    <m/>
    <m/>
    <x v="1"/>
    <n v="8.0055690915419309E-3"/>
    <n v="9.6345514950166189E-2"/>
    <n v="0.1206896551724137"/>
    <n v="-8.7307692307692299"/>
    <m/>
    <m/>
    <m/>
    <m/>
    <m/>
    <m/>
    <m/>
    <m/>
    <m/>
    <m/>
    <m/>
    <s v=""/>
    <m/>
    <m/>
    <m/>
    <s v="Les grandes axes de Virbac : montée en puissance des US et de l'usine de St Louis (démarrage de l'activité animaux de production), Emergents (Chine : chiens, aquaculture et porc) et recherche d'un blockbuster avec 50 M de dollars de ventes"/>
    <m/>
    <n v="1287"/>
    <s v="p"/>
    <s v="FR00000315771"/>
    <s v="FR0000031577"/>
    <n v="1"/>
    <x v="57"/>
    <m/>
    <m/>
    <m/>
  </r>
  <r>
    <m/>
    <m/>
    <m/>
    <m/>
    <n v="123"/>
    <x v="7"/>
    <n v="861900000"/>
    <n v="106855000"/>
    <n v="58000000"/>
    <n v="-2600000"/>
    <n v="460000000"/>
    <n v="436300000"/>
    <n v="51.584298888626151"/>
    <n v="-5.4898648648648652E-3"/>
    <n v="4.0913098853727833E-2"/>
    <n v="8458000"/>
    <n v="1040334000"/>
    <n v="2.3844464817785926"/>
    <n v="14.040840391184314"/>
    <m/>
    <m/>
    <s v=""/>
    <m/>
    <m/>
    <m/>
    <s v="En 2019, amélioration des résultats :  CA, marge et désendettement. Mais dépréciation d'un vaccin Canileish (7 Me)"/>
    <m/>
    <n v="1288"/>
    <s v="p"/>
    <s v="FR000003157712017"/>
    <s v="FR0000031577"/>
    <n v="1"/>
    <x v="57"/>
    <m/>
    <m/>
    <m/>
  </r>
  <r>
    <m/>
    <m/>
    <m/>
    <m/>
    <m/>
    <x v="1"/>
    <n v="-1.1387567272443611E-2"/>
    <n v="-2.7326433454399779E-2"/>
    <n v="-0.15957863011316709"/>
    <n v="-1.0750447382093171"/>
    <m/>
    <m/>
    <m/>
    <m/>
    <m/>
    <m/>
    <m/>
    <m/>
    <m/>
    <m/>
    <m/>
    <s v=""/>
    <m/>
    <m/>
    <m/>
    <s v="En mai 2020, cession des droits de Sentinel 70 M$ de CA annuel (acheté en 2015 à Eli Lilly pour 400 M$) à Merck pour 400 M$ faute de débouchés avec de grandes cliniques et de synergies avec leurs produits. Perte de CA : 55 M$, EBE marge : -3% et fort désendettement. "/>
    <m/>
    <n v="1289"/>
    <s v="p"/>
    <s v="FR00000315771"/>
    <s v="FR0000031577"/>
    <n v="1"/>
    <x v="57"/>
    <m/>
    <m/>
    <m/>
  </r>
  <r>
    <m/>
    <m/>
    <m/>
    <m/>
    <n v="167.2"/>
    <x v="8"/>
    <n v="871828000"/>
    <n v="109857000"/>
    <n v="69013000"/>
    <n v="34646000"/>
    <n v="547100000"/>
    <n v="473600000"/>
    <n v="55.994324899503425"/>
    <n v="7.9028284671532847E-2"/>
    <n v="4.7622541690626796E-2"/>
    <n v="8458000"/>
    <n v="1414177600"/>
    <n v="2.9860168918918917"/>
    <n v="17.853005270487998"/>
    <m/>
    <m/>
    <s v=""/>
    <m/>
    <m/>
    <m/>
    <s v="Conserve la fabrication du produit Sentinel Spectrum pour chiens pendant 10 ans (2030) "/>
    <m/>
    <n v="1290"/>
    <s v="p"/>
    <s v="FR000003157712016"/>
    <s v="FR0000031577"/>
    <n v="1"/>
    <x v="57"/>
    <m/>
    <m/>
    <m/>
  </r>
  <r>
    <m/>
    <m/>
    <m/>
    <m/>
    <m/>
    <x v="1"/>
    <n v="2.2524609352550851E-2"/>
    <n v="0.29905282202277483"/>
    <n v="0.99985511026109131"/>
    <n v="2.6857446808510637"/>
    <m/>
    <m/>
    <m/>
    <m/>
    <m/>
    <m/>
    <m/>
    <m/>
    <m/>
    <m/>
    <m/>
    <s v=""/>
    <m/>
    <m/>
    <m/>
    <s v="En 2021, poursuit sa montée au capital de Centrovet en achetant 15% supplémentaires pour 17,7 M $ détenant 66% du capital. Renforcement dans l'aquaculture au Chili, deuxième producteur mondial de saumon. 5% du CA croissance +5% par an peut-être davantage"/>
    <m/>
    <n v="1291"/>
    <s v="p"/>
    <s v="FR00000315771"/>
    <s v="FR0000031577"/>
    <n v="1"/>
    <x v="57"/>
    <m/>
    <m/>
    <m/>
  </r>
  <r>
    <m/>
    <m/>
    <m/>
    <m/>
    <n v="217.5"/>
    <x v="9"/>
    <n v="852623000"/>
    <n v="84567000"/>
    <n v="34509000"/>
    <n v="9400000"/>
    <n v="605000000"/>
    <n v="438400000"/>
    <n v="51.832584535351145"/>
    <n v="2.1813287540899916E-2"/>
    <n v="3.9594091119149681E-2"/>
    <n v="8458000"/>
    <n v="1839615000"/>
    <n v="4.1962020985401463"/>
    <n v="28.907434342001018"/>
    <m/>
    <m/>
    <s v=""/>
    <m/>
    <m/>
    <m/>
    <s v="En 2021, rachat des 34% dans Centrovet pour 43,7 M dollars et croissance de l'activité à plus de 10% sur tous les produits et zones quasiment avec une marge d'exploitation à 16%"/>
    <m/>
    <n v="1292"/>
    <s v="p"/>
    <s v="FR000003157712015"/>
    <s v="FR0000031577"/>
    <n v="1"/>
    <x v="57"/>
    <m/>
    <m/>
    <m/>
  </r>
  <r>
    <m/>
    <m/>
    <m/>
    <m/>
    <m/>
    <x v="1"/>
    <n v="0.10286250161686716"/>
    <n v="-0.39776101865105651"/>
    <n v="-0.68349368528216747"/>
    <n v="-0.85219196175860112"/>
    <m/>
    <m/>
    <m/>
    <m/>
    <m/>
    <m/>
    <m/>
    <m/>
    <m/>
    <m/>
    <m/>
    <s v=""/>
    <m/>
    <m/>
    <m/>
    <s v="En 2021, résultats excellents avec une croissance à +16% et une marge d'exploitation à 16%, réussite de la stratégie et effet Covid-19 positif sur les animaux de compagnies"/>
    <m/>
    <n v="1293"/>
    <s v="p"/>
    <s v="FR00000315771"/>
    <s v="FR0000031577"/>
    <n v="1"/>
    <x v="57"/>
    <m/>
    <m/>
    <m/>
  </r>
  <r>
    <m/>
    <m/>
    <m/>
    <m/>
    <n v="171"/>
    <x v="10"/>
    <n v="773100000"/>
    <n v="140421000"/>
    <n v="109031000"/>
    <n v="63596000"/>
    <n v="196600000"/>
    <n v="430930000"/>
    <n v="50.949397020572242"/>
    <n v="0.17620037126312582"/>
    <n v="0.1456362725636792"/>
    <n v="8458000"/>
    <n v="1446318000"/>
    <n v="3.3562713201680086"/>
    <n v="11.699945164896988"/>
    <m/>
    <m/>
    <s v=""/>
    <m/>
    <m/>
    <m/>
    <s v="En 2022, la Russie et l'Ukraine représente moins de 0,5% du CA (pas de filiale). Croissance autour de 6-9% et marge à 14-15% avec une R&amp;D à 8% soit 100 M euros, contre coup Covid-19 en animaux de compagnie (57% du CA) qui a eu une croissance de 20% en 2021"/>
    <m/>
    <n v="1294"/>
    <s v="p"/>
    <s v="FR000003157712014"/>
    <s v="FR0000031577"/>
    <n v="1"/>
    <x v="57"/>
    <m/>
    <m/>
    <m/>
  </r>
  <r>
    <m/>
    <m/>
    <m/>
    <m/>
    <m/>
    <x v="1"/>
    <n v="5.0264909659013757E-2"/>
    <n v="5.8782280867106573E-2"/>
    <n v="3.9499275417588242E-2"/>
    <n v="5.0774085884705E-2"/>
    <m/>
    <m/>
    <m/>
    <m/>
    <m/>
    <m/>
    <m/>
    <m/>
    <m/>
    <m/>
    <m/>
    <s v=""/>
    <m/>
    <m/>
    <m/>
    <s v="À horizon 2025-2030, développement du petfood, des animaux d'élevage aux États-Unis, des antiparasitaires et Petfood en Chine. Ebit à 20%. Soit CA 2030 : 1,6 Md euros et 320 Me d'Ebit soit fois 2 en huit ans soit autour 500  euros"/>
    <m/>
    <n v="1295"/>
    <s v="p"/>
    <s v="FR00000315771"/>
    <s v="FR0000031577"/>
    <n v="1"/>
    <x v="57"/>
    <m/>
    <m/>
    <m/>
  </r>
  <r>
    <m/>
    <m/>
    <m/>
    <m/>
    <n v="159.62"/>
    <x v="11"/>
    <n v="736100000"/>
    <n v="132625000"/>
    <n v="104888000"/>
    <n v="60523000"/>
    <n v="178100000"/>
    <n v="360930000"/>
    <n v="42.673208796405767"/>
    <n v="0.17482091276718659"/>
    <n v="0.15729922932722348"/>
    <n v="8458000"/>
    <n v="1350065960"/>
    <n v="3.7405202116753942"/>
    <n v="11.522457756833177"/>
    <m/>
    <m/>
    <s v=""/>
    <m/>
    <m/>
    <m/>
    <s v="Taux d'IS : 28%"/>
    <m/>
    <n v="1296"/>
    <s v="p"/>
    <s v="FR000003157712013"/>
    <s v="FR0000031577"/>
    <n v="1"/>
    <x v="57"/>
    <m/>
    <m/>
    <m/>
  </r>
  <r>
    <m/>
    <m/>
    <m/>
    <m/>
    <m/>
    <x v="1"/>
    <n v="5.883199079401602E-2"/>
    <n v="8.6502383956220452E-2"/>
    <n v="6.9194699286442507E-2"/>
    <n v="-9.93601190476191E-2"/>
    <m/>
    <m/>
    <m/>
    <m/>
    <m/>
    <m/>
    <m/>
    <m/>
    <m/>
    <m/>
    <m/>
    <s v=""/>
    <m/>
    <m/>
    <m/>
    <s v="CAC : Deloitte et Novances David &amp; Associés"/>
    <m/>
    <n v="1297"/>
    <s v="p"/>
    <s v="FR00000315771"/>
    <s v="FR0000031577"/>
    <n v="1"/>
    <x v="57"/>
    <m/>
    <m/>
    <m/>
  </r>
  <r>
    <m/>
    <m/>
    <m/>
    <m/>
    <n v="149.03"/>
    <x v="12"/>
    <n v="695200000"/>
    <n v="122066000"/>
    <n v="98100000"/>
    <n v="67200000"/>
    <n v="133900000"/>
    <n v="346200000"/>
    <n v="40.931662331520457"/>
    <n v="0.21579961464354527"/>
    <n v="0.18533718184203621"/>
    <n v="8458000"/>
    <n v="1260495740"/>
    <n v="3.6409466782206819"/>
    <n v="11.423293464191502"/>
    <m/>
    <m/>
    <s v=""/>
    <m/>
    <m/>
    <m/>
    <s v="Minoritaires : aucun"/>
    <m/>
    <n v="1298"/>
    <s v="p"/>
    <s v="FR000003157712012"/>
    <s v="FR0000031577"/>
    <n v="1"/>
    <x v="57"/>
    <m/>
    <m/>
    <m/>
  </r>
  <r>
    <m/>
    <m/>
    <m/>
    <m/>
    <m/>
    <x v="1"/>
    <n v="0.1157117637618359"/>
    <n v="0.16017982568693978"/>
    <n v="0.14469078179696626"/>
    <n v="0.16869565217391314"/>
    <m/>
    <m/>
    <m/>
    <m/>
    <m/>
    <m/>
    <m/>
    <m/>
    <m/>
    <m/>
    <m/>
    <s v=""/>
    <m/>
    <m/>
    <m/>
    <s v="Pay-out ratio : 10% (à 1,35 euros par actions contre 0,75 euros en 2021) dividendes supprimés pour baisser l'endettement en 2020"/>
    <m/>
    <n v="1299"/>
    <s v="p"/>
    <s v="FR00000315771"/>
    <s v="FR0000031577"/>
    <n v="1"/>
    <x v="57"/>
    <m/>
    <m/>
    <m/>
  </r>
  <r>
    <m/>
    <m/>
    <m/>
    <m/>
    <n v="114.33"/>
    <x v="17"/>
    <n v="623100000"/>
    <n v="105213000"/>
    <n v="85700000"/>
    <n v="57500000"/>
    <n v="69700000"/>
    <n v="311400000"/>
    <n v="35.734154415612316"/>
    <n v="0.18464996788696211"/>
    <n v="0.14392023091052217"/>
    <n v="8714352"/>
    <n v="996311864.15999997"/>
    <n v="3.1994600647398843"/>
    <n v="10.131940579205992"/>
    <m/>
    <m/>
    <s v=""/>
    <m/>
    <m/>
    <m/>
    <m/>
    <m/>
    <n v="1300"/>
    <s v="p"/>
    <s v="FR000003157712011"/>
    <s v="FR0000031577"/>
    <n v="1"/>
    <x v="57"/>
    <m/>
    <m/>
    <m/>
  </r>
  <r>
    <m/>
    <m/>
    <m/>
    <m/>
    <m/>
    <x v="1"/>
    <m/>
    <m/>
    <m/>
    <m/>
    <m/>
    <m/>
    <m/>
    <m/>
    <m/>
    <m/>
    <m/>
    <m/>
    <m/>
    <m/>
    <m/>
    <s v=""/>
    <m/>
    <m/>
    <m/>
    <m/>
    <m/>
    <n v="1301"/>
    <s v="p"/>
    <s v="FR00000315771"/>
    <s v="FR0000031577"/>
    <n v="1"/>
    <x v="57"/>
    <m/>
    <m/>
    <m/>
  </r>
  <r>
    <m/>
    <m/>
    <m/>
    <m/>
    <m/>
    <x v="1"/>
    <m/>
    <m/>
    <m/>
    <m/>
    <m/>
    <m/>
    <m/>
    <m/>
    <m/>
    <m/>
    <m/>
    <m/>
    <m/>
    <m/>
    <m/>
    <s v=""/>
    <m/>
    <m/>
    <m/>
    <m/>
    <m/>
    <n v="1302"/>
    <s v="p"/>
    <s v="FR00000315771"/>
    <s v="FR0000031577"/>
    <n v="1"/>
    <x v="57"/>
    <m/>
    <m/>
    <m/>
  </r>
  <r>
    <m/>
    <m/>
    <m/>
    <m/>
    <m/>
    <x v="1"/>
    <m/>
    <m/>
    <m/>
    <m/>
    <m/>
    <m/>
    <m/>
    <m/>
    <m/>
    <m/>
    <m/>
    <m/>
    <m/>
    <m/>
    <m/>
    <s v=""/>
    <m/>
    <m/>
    <m/>
    <m/>
    <m/>
    <n v="1303"/>
    <s v="p"/>
    <s v="FR00000315771"/>
    <s v="FR0000031577"/>
    <n v="1"/>
    <x v="57"/>
    <m/>
    <m/>
    <m/>
  </r>
  <r>
    <s v="Vétoquinol"/>
    <s v="Laboratoires Vétérinaires"/>
    <s v="France"/>
    <s v="Euro"/>
    <n v="87.6"/>
    <x v="2"/>
    <n v="540000000"/>
    <n v="115000000"/>
    <n v="82000000"/>
    <n v="55000000"/>
    <n v="-90000000"/>
    <n v="480000000"/>
    <n v="40.397572711843608"/>
    <n v="0.12464222017255015"/>
    <n v="0.15864949296653916"/>
    <n v="11881902"/>
    <n v="1040854615.1999999"/>
    <n v="2.1684471149999998"/>
    <n v="8.5846836104347819"/>
    <m/>
    <n v="2550"/>
    <n v="211764.70588235295"/>
    <n v="60000000"/>
    <s v="E (impact) = -1"/>
    <m/>
    <s v="Laboratoires vétérinaires créée en 1933 plus petit que Virbac déténu par la famille Frechin à 66,95% - flottant : 33%"/>
    <m/>
    <n v="1304"/>
    <n v="0"/>
    <s v="FR000418685612022"/>
    <s v="FR0004186856"/>
    <n v="1"/>
    <x v="58"/>
    <m/>
    <m/>
    <m/>
  </r>
  <r>
    <m/>
    <m/>
    <m/>
    <m/>
    <m/>
    <x v="1"/>
    <n v="3.5871858814502167E-2"/>
    <n v="-3.6180929792066552E-2"/>
    <n v="-4.9561871204042873E-2"/>
    <n v="-0.12515111026277281"/>
    <m/>
    <m/>
    <m/>
    <m/>
    <m/>
    <m/>
    <m/>
    <m/>
    <m/>
    <m/>
    <m/>
    <s v=""/>
    <m/>
    <s v="E (effort) = 1"/>
    <m/>
    <s v="Famille présente dans l'opérationnel : Mathieu Frechin (CEO - 1969) et au conseil d'administration : Étienne Frechin (1938)"/>
    <m/>
    <n v="1305"/>
    <n v="0"/>
    <s v="FR00041868561"/>
    <s v="FR0004186856"/>
    <n v="1"/>
    <x v="58"/>
    <m/>
    <m/>
    <m/>
  </r>
  <r>
    <m/>
    <m/>
    <m/>
    <m/>
    <n v="132"/>
    <x v="3"/>
    <n v="521300000"/>
    <n v="119317000"/>
    <n v="86276000"/>
    <n v="62868000"/>
    <n v="-53616000"/>
    <n v="441263000"/>
    <n v="37.13740443238801"/>
    <n v="0.16911592623976113"/>
    <n v="0.17623651813923086"/>
    <n v="11881902"/>
    <n v="1568411064"/>
    <n v="3.5543679483663939"/>
    <n v="13.106481591055759"/>
    <m/>
    <n v="2546"/>
    <n v="204752.55302435192"/>
    <n v="90000000"/>
    <s v="S = 1"/>
    <m/>
    <s v="Présent en Europe (50%), aux États-Unis (34%) et en Asie-Pacifique (16%) - 24 pays en direct et 100 pays avec les distributeurs"/>
    <m/>
    <n v="1306"/>
    <n v="0"/>
    <s v="FR000418685612021"/>
    <s v="FR0004186856"/>
    <n v="1"/>
    <x v="58"/>
    <m/>
    <m/>
    <m/>
  </r>
  <r>
    <m/>
    <m/>
    <m/>
    <m/>
    <m/>
    <x v="1"/>
    <n v="0.21941520467836262"/>
    <n v="0.42204874560514871"/>
    <n v="1.3258121040571504"/>
    <n v="2.269436788184513"/>
    <m/>
    <m/>
    <m/>
    <m/>
    <m/>
    <m/>
    <m/>
    <m/>
    <m/>
    <m/>
    <m/>
    <s v=""/>
    <m/>
    <s v="G = 2"/>
    <m/>
    <s v="La croissance d'activité ralentit voire décroit comme Zoetis entre 2015 et 2017 "/>
    <m/>
    <n v="1307"/>
    <n v="0"/>
    <s v="FR00041868561"/>
    <s v="FR0004186856"/>
    <n v="1"/>
    <x v="58"/>
    <m/>
    <m/>
    <m/>
  </r>
  <r>
    <m/>
    <m/>
    <m/>
    <m/>
    <n v="88.6"/>
    <x v="4"/>
    <n v="427500000"/>
    <n v="83905000"/>
    <n v="37095000"/>
    <n v="19229000"/>
    <n v="-4585000"/>
    <n v="371745000"/>
    <n v="31.28665764117563"/>
    <n v="4.9770546624460017E-2"/>
    <n v="8.8615971180399614E-2"/>
    <n v="11881902"/>
    <n v="1052736517.1999999"/>
    <n v="2.8318780809425812"/>
    <n v="11.683886743340683"/>
    <m/>
    <n v="2400"/>
    <n v="178125"/>
    <n v="92000000"/>
    <m/>
    <m/>
    <s v="N'a pas subi les problèmes de Virbac (aléas) et a réalisé une acquisition en 2018, société autrichinne pour la fabrication de médicaments pour la fertilité des bovins"/>
    <m/>
    <n v="1308"/>
    <n v="0"/>
    <s v="FR000418685612020"/>
    <s v="FR0004186856"/>
    <n v="1"/>
    <x v="58"/>
    <m/>
    <m/>
    <m/>
  </r>
  <r>
    <m/>
    <m/>
    <m/>
    <m/>
    <m/>
    <x v="1"/>
    <n v="7.9572716482739558E-2"/>
    <n v="0.28295107033639133"/>
    <n v="-9.2721224869148355E-2"/>
    <n v="-0.32739864983035438"/>
    <m/>
    <m/>
    <m/>
    <m/>
    <m/>
    <m/>
    <m/>
    <m/>
    <m/>
    <m/>
    <m/>
    <s v=""/>
    <m/>
    <m/>
    <m/>
    <s v="Rentabilité des capitaux un peu faible et excès de capitaux d'où rachats d'actions et multiple de valorisation plus faible. A l'affût d'une acquisition"/>
    <m/>
    <n v="1309"/>
    <n v="0"/>
    <s v="FR00041868561"/>
    <s v="FR0004186856"/>
    <n v="1"/>
    <x v="58"/>
    <m/>
    <m/>
    <m/>
  </r>
  <r>
    <m/>
    <m/>
    <m/>
    <m/>
    <n v="64.400000000000006"/>
    <x v="5"/>
    <n v="395990000"/>
    <n v="65400000"/>
    <n v="40886000"/>
    <n v="28589000"/>
    <n v="-72400000"/>
    <n v="386353000"/>
    <n v="32.516090437372739"/>
    <n v="7.873675281468262E-2"/>
    <n v="0.1216381854531607"/>
    <n v="11881902"/>
    <n v="765194488.80000007"/>
    <n v="1.9805579063705991"/>
    <n v="10.002973834862386"/>
    <m/>
    <m/>
    <s v=""/>
    <n v="52000000"/>
    <m/>
    <m/>
    <s v="Au semestre, CA en légère progression. Se concentre sur les produits de référence (47% du CA) les autres produits étant non internationalisable  et vendu par des tiers"/>
    <m/>
    <n v="1310"/>
    <n v="0"/>
    <s v="FR000418685612019"/>
    <s v="FR0004186856"/>
    <n v="1"/>
    <x v="58"/>
    <m/>
    <m/>
    <m/>
  </r>
  <r>
    <m/>
    <m/>
    <m/>
    <m/>
    <m/>
    <x v="1"/>
    <n v="7.6232330726937247E-2"/>
    <n v="8.2781456953642474E-2"/>
    <n v="-0.15211215030795711"/>
    <n v="-0.2115336881877603"/>
    <m/>
    <m/>
    <m/>
    <m/>
    <m/>
    <m/>
    <m/>
    <m/>
    <m/>
    <m/>
    <m/>
    <s v=""/>
    <m/>
    <m/>
    <m/>
    <s v="Action intéressante à long terme, à suivre.  La croissance ralentit avec la baisse des antibiotiques (43% du CA en 2011 et 32% en 2017) mais conserve des produits dynamiques"/>
    <m/>
    <n v="1311"/>
    <n v="0"/>
    <s v="FR00041868561"/>
    <s v="FR0004186856"/>
    <n v="1"/>
    <x v="58"/>
    <m/>
    <m/>
    <m/>
  </r>
  <r>
    <m/>
    <m/>
    <m/>
    <m/>
    <n v="49"/>
    <x v="6"/>
    <n v="367941000"/>
    <n v="60400000"/>
    <n v="48221000"/>
    <n v="36259000"/>
    <n v="-111000000"/>
    <n v="363096000"/>
    <n v="30.558743877874097"/>
    <n v="0.10801012809055704"/>
    <n v="0.15182934508816121"/>
    <n v="11881902"/>
    <n v="582213198"/>
    <n v="1.6034690495075683"/>
    <n v="8.0250529470198675"/>
    <m/>
    <m/>
    <s v=""/>
    <n v="26000000"/>
    <m/>
    <m/>
    <s v="Entre 2019 et mi - 2022, accélération de la croissance comme Virbac, animaux de compagnie (64% des ventes) + 30% en 2021 (effet Covid-19 positif) et animaux de production +10%"/>
    <m/>
    <n v="1312"/>
    <n v="0"/>
    <s v="FR000418685612018"/>
    <s v="FR0004186856"/>
    <n v="1"/>
    <x v="58"/>
    <m/>
    <m/>
    <m/>
  </r>
  <r>
    <m/>
    <m/>
    <m/>
    <m/>
    <m/>
    <x v="1"/>
    <n v="4.4693356047700084E-2"/>
    <n v="5.2264808362369353E-2"/>
    <n v="4.8282608695652263E-2"/>
    <n v="4.1925287356321839E-2"/>
    <m/>
    <m/>
    <m/>
    <m/>
    <m/>
    <m/>
    <m/>
    <m/>
    <m/>
    <m/>
    <m/>
    <s v=""/>
    <m/>
    <m/>
    <m/>
    <s v="En 2022, Russie - Ukraine (1% du CA pas de présence direct) contre-coup Covid-19 sur les animaux de compagnie et inflation des coûts, transition mais perspectives 2026 favorables"/>
    <m/>
    <n v="1313"/>
    <n v="0"/>
    <s v="FR00041868561"/>
    <s v="FR0004186856"/>
    <n v="1"/>
    <x v="58"/>
    <m/>
    <m/>
    <m/>
  </r>
  <r>
    <m/>
    <m/>
    <m/>
    <m/>
    <n v="83.6"/>
    <x v="7"/>
    <n v="352200000"/>
    <n v="57400000"/>
    <n v="46000000"/>
    <n v="34800000"/>
    <n v="-97500000"/>
    <n v="335700000"/>
    <n v="28.253052415345625"/>
    <n v="0.10998735777496839"/>
    <n v="0.14479432909862383"/>
    <n v="11881902"/>
    <n v="993327007.19999993"/>
    <n v="2.9589723181411971"/>
    <n v="15.606742285714285"/>
    <m/>
    <m/>
    <s v=""/>
    <n v="25500000"/>
    <m/>
    <m/>
    <s v="R&amp;D à 7% du CA"/>
    <m/>
    <n v="1314"/>
    <n v="0"/>
    <s v="FR000418685612017"/>
    <s v="FR0004186856"/>
    <n v="1"/>
    <x v="58"/>
    <m/>
    <m/>
    <m/>
  </r>
  <r>
    <m/>
    <m/>
    <m/>
    <m/>
    <m/>
    <x v="1"/>
    <n v="5.2689565410983796E-3"/>
    <n v="2.2480316363247654E-2"/>
    <n v="9.3363757368321032E-2"/>
    <n v="0.24865446716899897"/>
    <m/>
    <m/>
    <m/>
    <m/>
    <m/>
    <m/>
    <m/>
    <m/>
    <m/>
    <m/>
    <m/>
    <s v=""/>
    <m/>
    <m/>
    <m/>
    <s v="Taux d'IS : 25%"/>
    <m/>
    <n v="1315"/>
    <n v="0"/>
    <s v="FR00041868561"/>
    <s v="FR0004186856"/>
    <n v="1"/>
    <x v="58"/>
    <m/>
    <m/>
    <m/>
  </r>
  <r>
    <m/>
    <m/>
    <m/>
    <m/>
    <n v="45.53"/>
    <x v="8"/>
    <n v="350354000"/>
    <n v="56138000"/>
    <n v="42072000"/>
    <n v="27870000"/>
    <n v="-78131000"/>
    <n v="316400000"/>
    <n v="26.628733345890247"/>
    <n v="6.7567567567567571E-2"/>
    <n v="8.7737981698314149E-2"/>
    <n v="11881902"/>
    <n v="540982998.06000006"/>
    <n v="1.709807199936789"/>
    <n v="8.244896470483452"/>
    <m/>
    <m/>
    <s v=""/>
    <n v="29800000"/>
    <m/>
    <m/>
    <s v="CAC : Price et Mazars"/>
    <m/>
    <n v="1316"/>
    <n v="0"/>
    <s v="FR000418685612016"/>
    <s v="FR0004186856"/>
    <n v="1"/>
    <x v="58"/>
    <m/>
    <m/>
    <m/>
  </r>
  <r>
    <m/>
    <m/>
    <m/>
    <m/>
    <m/>
    <x v="1"/>
    <n v="2.2596990181313004E-2"/>
    <n v="0.10201998390294653"/>
    <n v="7.6423180248176958E-2"/>
    <n v="0.1535596026490067"/>
    <m/>
    <m/>
    <m/>
    <m/>
    <m/>
    <m/>
    <m/>
    <m/>
    <m/>
    <m/>
    <m/>
    <s v=""/>
    <m/>
    <m/>
    <m/>
    <s v="Minoritaires : aucun"/>
    <m/>
    <n v="1317"/>
    <n v="0"/>
    <s v="FR00041868561"/>
    <s v="FR0004186856"/>
    <n v="1"/>
    <x v="58"/>
    <m/>
    <m/>
    <m/>
  </r>
  <r>
    <m/>
    <m/>
    <m/>
    <m/>
    <n v="39.4"/>
    <x v="9"/>
    <n v="342612000"/>
    <n v="50941000"/>
    <n v="39085000"/>
    <n v="24160000"/>
    <n v="-52837000"/>
    <n v="412476000"/>
    <n v="34.714644170605013"/>
    <n v="5.8573104859434247E-2"/>
    <n v="8.1508818565283525E-2"/>
    <n v="11881902"/>
    <n v="468146938.80000001"/>
    <n v="1.1349677043027959"/>
    <n v="8.1527637619991751"/>
    <m/>
    <m/>
    <s v=""/>
    <m/>
    <m/>
    <m/>
    <s v="Pay-out ratio : 15%"/>
    <m/>
    <n v="1318"/>
    <n v="0"/>
    <s v="FR000418685612015"/>
    <s v="FR0004186856"/>
    <n v="1"/>
    <x v="58"/>
    <m/>
    <m/>
    <m/>
  </r>
  <r>
    <m/>
    <m/>
    <m/>
    <m/>
    <m/>
    <x v="1"/>
    <m/>
    <m/>
    <m/>
    <m/>
    <m/>
    <m/>
    <m/>
    <m/>
    <m/>
    <m/>
    <m/>
    <m/>
    <m/>
    <m/>
    <m/>
    <s v=""/>
    <m/>
    <m/>
    <m/>
    <m/>
    <m/>
    <n v="1319"/>
    <n v="0"/>
    <s v="FR00041868561"/>
    <s v="FR0004186856"/>
    <n v="1"/>
    <x v="58"/>
    <m/>
    <m/>
    <m/>
  </r>
  <r>
    <m/>
    <m/>
    <m/>
    <m/>
    <m/>
    <x v="1"/>
    <m/>
    <m/>
    <m/>
    <m/>
    <m/>
    <m/>
    <m/>
    <m/>
    <m/>
    <m/>
    <m/>
    <m/>
    <m/>
    <m/>
    <m/>
    <s v=""/>
    <m/>
    <m/>
    <m/>
    <m/>
    <m/>
    <n v="1320"/>
    <n v="0"/>
    <s v="FR00041868561"/>
    <s v="FR0004186856"/>
    <n v="1"/>
    <x v="58"/>
    <m/>
    <m/>
    <m/>
  </r>
  <r>
    <m/>
    <m/>
    <m/>
    <m/>
    <m/>
    <x v="1"/>
    <m/>
    <m/>
    <m/>
    <m/>
    <m/>
    <m/>
    <m/>
    <m/>
    <m/>
    <m/>
    <m/>
    <m/>
    <m/>
    <m/>
    <m/>
    <s v=""/>
    <m/>
    <m/>
    <m/>
    <m/>
    <m/>
    <n v="1321"/>
    <n v="0"/>
    <s v="FR00041868561"/>
    <s v="FR0004186856"/>
    <n v="1"/>
    <x v="58"/>
    <m/>
    <m/>
    <m/>
  </r>
  <r>
    <s v="Zoetis"/>
    <s v="Laboratoires Vétérinaires"/>
    <s v="États-Unis"/>
    <s v="Dollar"/>
    <n v="148"/>
    <x v="2"/>
    <n v="8000000000"/>
    <m/>
    <m/>
    <n v="2400000000"/>
    <m/>
    <m/>
    <m/>
    <m/>
    <m/>
    <n v="471970580"/>
    <n v="69851645840"/>
    <m/>
    <m/>
    <s v="BBB / stable"/>
    <m/>
    <s v=""/>
    <m/>
    <m/>
    <m/>
    <s v="Laboratoire américains fabricant des produits vétérinaires. Numéro un mondial"/>
    <m/>
    <n v="1322"/>
    <n v="0"/>
    <s v="FR000418685612022"/>
    <s v="FR0004186856"/>
    <n v="1"/>
    <x v="58"/>
    <m/>
    <m/>
    <m/>
  </r>
  <r>
    <m/>
    <m/>
    <m/>
    <m/>
    <m/>
    <x v="1"/>
    <n v="2.8806584362139898E-2"/>
    <m/>
    <m/>
    <n v="0.1782032400589102"/>
    <m/>
    <m/>
    <m/>
    <m/>
    <m/>
    <m/>
    <m/>
    <m/>
    <m/>
    <m/>
    <m/>
    <s v=""/>
    <m/>
    <m/>
    <m/>
    <s v="Introduit en bourse, 20% du capital, en 2013 issu du grand laboratoire pharmaceutique Pfizer qui a retiré 3,55 Md dollars de fonds propres financé par dettes à l'IPO. Valorisation de l'IPO (20 fois VE/ EBE et 15 fois l'actif net)"/>
    <m/>
    <n v="1323"/>
    <n v="0"/>
    <s v="FR00041868561"/>
    <s v="FR0004186856"/>
    <n v="1"/>
    <x v="58"/>
    <m/>
    <m/>
    <m/>
  </r>
  <r>
    <m/>
    <m/>
    <m/>
    <m/>
    <n v="244.03"/>
    <x v="3"/>
    <n v="7776000000"/>
    <m/>
    <n v="2488000000"/>
    <n v="2037000000"/>
    <n v="3107000000"/>
    <n v="4543000000"/>
    <n v="9.5773567085768256"/>
    <n v="0.44838212634822805"/>
    <n v="0.20814640522875816"/>
    <n v="474348000"/>
    <n v="115755142440"/>
    <n v="25.479890477657936"/>
    <m/>
    <m/>
    <m/>
    <s v=""/>
    <m/>
    <m/>
    <m/>
    <s v="Un des leaders mondiaux avec plus de 5 md de dollars de chiffre d'affaires et une rentabilité américaine très élevé en 2013"/>
    <m/>
    <n v="1324"/>
    <n v="0"/>
    <s v="US98978V103512021"/>
    <s v="US98978V1035"/>
    <n v="1"/>
    <x v="59"/>
    <m/>
    <m/>
    <m/>
  </r>
  <r>
    <m/>
    <m/>
    <m/>
    <m/>
    <m/>
    <x v="1"/>
    <n v="0.1649438202247191"/>
    <m/>
    <n v="0.2464929859719438"/>
    <n v="0.24358974358974361"/>
    <m/>
    <m/>
    <m/>
    <m/>
    <m/>
    <m/>
    <m/>
    <m/>
    <m/>
    <m/>
    <m/>
    <s v=""/>
    <m/>
    <m/>
    <m/>
    <s v="CEO : Kristin Peck depuis le janvier 2020"/>
    <m/>
    <n v="1325"/>
    <n v="0"/>
    <s v="US98978V10351"/>
    <s v="US98978V1035"/>
    <n v="1"/>
    <x v="59"/>
    <m/>
    <m/>
    <m/>
  </r>
  <r>
    <m/>
    <m/>
    <m/>
    <m/>
    <n v="168"/>
    <x v="4"/>
    <n v="6675000000"/>
    <m/>
    <n v="1996000000"/>
    <n v="1638000000"/>
    <n v="2991000000"/>
    <n v="3773000000"/>
    <n v="7.9347720934927715"/>
    <n v="0.43413729128014844"/>
    <n v="0.18885866351271438"/>
    <n v="475502000"/>
    <n v="79884336000"/>
    <n v="21.172630797773653"/>
    <m/>
    <m/>
    <m/>
    <s v=""/>
    <m/>
    <m/>
    <m/>
    <s v="Structure financière déséquilibrée avec un surendettement suite à l'IPO en 2013 mais en 2021 les résultats exceptionnels permettent aux fonds propres de représenter 30% du bilan avec une dette étalée sur le long terme"/>
    <m/>
    <n v="1326"/>
    <n v="0"/>
    <s v="US98978V103512020"/>
    <s v="US98978V1035"/>
    <n v="1"/>
    <x v="59"/>
    <m/>
    <m/>
    <m/>
  </r>
  <r>
    <m/>
    <m/>
    <m/>
    <m/>
    <m/>
    <x v="1"/>
    <n v="6.6293929712460065E-2"/>
    <m/>
    <n v="0.10827318156579668"/>
    <n v="9.2000000000000082E-2"/>
    <m/>
    <m/>
    <m/>
    <m/>
    <m/>
    <m/>
    <m/>
    <m/>
    <m/>
    <m/>
    <m/>
    <s v=""/>
    <m/>
    <m/>
    <m/>
    <s v="Stock de dettes hérités de l'IPO étalé jusqu'à 2030-2040-2050"/>
    <m/>
    <n v="1327"/>
    <n v="0"/>
    <s v="US98978V10351"/>
    <s v="US98978V1035"/>
    <n v="1"/>
    <x v="59"/>
    <m/>
    <m/>
    <m/>
  </r>
  <r>
    <m/>
    <m/>
    <m/>
    <m/>
    <n v="132"/>
    <x v="5"/>
    <n v="6260000000"/>
    <m/>
    <n v="1801000000"/>
    <n v="1500000000"/>
    <m/>
    <n v="2708000000"/>
    <n v="5.6637553123849678"/>
    <n v="0.55391432791728212"/>
    <n v="0.42564254062038404"/>
    <n v="478128000"/>
    <n v="63112896000"/>
    <n v="23.306091580502216"/>
    <m/>
    <m/>
    <m/>
    <s v=""/>
    <m/>
    <m/>
    <m/>
    <s v="CAGR de 6,9% entre 2021 et 2013"/>
    <m/>
    <n v="1328"/>
    <n v="0"/>
    <s v="US98978V103512019"/>
    <s v="US98978V1035"/>
    <n v="1"/>
    <x v="59"/>
    <m/>
    <m/>
    <m/>
  </r>
  <r>
    <m/>
    <m/>
    <m/>
    <m/>
    <m/>
    <x v="1"/>
    <n v="7.4678111587982876E-2"/>
    <e v="#DIV/0!"/>
    <e v="#DIV/0!"/>
    <n v="-1.6393442622950838E-2"/>
    <m/>
    <m/>
    <m/>
    <m/>
    <m/>
    <m/>
    <m/>
    <m/>
    <m/>
    <m/>
    <m/>
    <s v=""/>
    <m/>
    <m/>
    <m/>
    <s v="En 2022, CA de 8 md $ et RN de 2,4 Md $ soit 30% de marge nette"/>
    <m/>
    <n v="1329"/>
    <n v="0"/>
    <s v="US98978V10351"/>
    <s v="US98978V1035"/>
    <n v="1"/>
    <x v="59"/>
    <m/>
    <m/>
    <m/>
  </r>
  <r>
    <m/>
    <m/>
    <m/>
    <m/>
    <n v="84.76"/>
    <x v="6"/>
    <n v="5825000000"/>
    <m/>
    <m/>
    <n v="1525000000"/>
    <m/>
    <n v="2185000000"/>
    <n v="4.4875928839305148"/>
    <n v="0.69794050343249425"/>
    <n v="0"/>
    <n v="486898000"/>
    <n v="41269474480"/>
    <n v="18.8876313409611"/>
    <m/>
    <m/>
    <m/>
    <s v=""/>
    <n v="1790000000"/>
    <m/>
    <m/>
    <s v="R&amp; D à 7%. Animaux de compagnie à 75% aux États-Unis, 44% pour l'international. Baisse du CA aux États-Unis sur les animaux de production"/>
    <m/>
    <n v="1330"/>
    <n v="0"/>
    <s v="US98978V103512018"/>
    <s v="US98978V1035"/>
    <n v="1"/>
    <x v="59"/>
    <m/>
    <m/>
    <m/>
  </r>
  <r>
    <m/>
    <m/>
    <m/>
    <m/>
    <m/>
    <x v="1"/>
    <n v="9.7606934237799203E-2"/>
    <n v="-1"/>
    <n v="-1"/>
    <n v="0.28691983122362874"/>
    <m/>
    <m/>
    <m/>
    <m/>
    <m/>
    <m/>
    <m/>
    <m/>
    <m/>
    <m/>
    <m/>
    <s v=""/>
    <m/>
    <m/>
    <m/>
    <s v="Minoritaires : aucun"/>
    <m/>
    <n v="1331"/>
    <n v="0"/>
    <s v="US98978V10351"/>
    <s v="US98978V1035"/>
    <n v="1"/>
    <x v="59"/>
    <m/>
    <m/>
    <m/>
  </r>
  <r>
    <m/>
    <m/>
    <m/>
    <m/>
    <n v="165.5"/>
    <x v="7"/>
    <n v="5307000000"/>
    <n v="1626900000.0000002"/>
    <n v="1603099999.9999998"/>
    <n v="1185000000"/>
    <n v="3751000000"/>
    <n v="1499000000"/>
    <n v="3.0395753111052981"/>
    <n v="0.79052701801200798"/>
    <n v="0.1954255238095238"/>
    <n v="493161000"/>
    <n v="81618145500"/>
    <n v="54.448395930620414"/>
    <n v="52.473505132460502"/>
    <m/>
    <m/>
    <s v=""/>
    <n v="1346000000"/>
    <m/>
    <m/>
    <m/>
    <m/>
    <n v="1332"/>
    <n v="0"/>
    <s v="US98978V103512017"/>
    <s v="US98978V1035"/>
    <n v="1"/>
    <x v="59"/>
    <m/>
    <m/>
    <m/>
  </r>
  <r>
    <m/>
    <m/>
    <m/>
    <m/>
    <m/>
    <x v="1"/>
    <n v="8.5720130932896987E-2"/>
    <n v="0.10000000000000009"/>
    <n v="0.14999999999999991"/>
    <n v="0.21538461538461529"/>
    <m/>
    <m/>
    <m/>
    <m/>
    <m/>
    <m/>
    <m/>
    <m/>
    <m/>
    <m/>
    <m/>
    <s v=""/>
    <m/>
    <m/>
    <m/>
    <m/>
    <m/>
    <n v="1333"/>
    <n v="0"/>
    <s v="US98978V10351"/>
    <s v="US98978V1035"/>
    <n v="1"/>
    <x v="59"/>
    <m/>
    <m/>
    <m/>
  </r>
  <r>
    <m/>
    <m/>
    <m/>
    <m/>
    <n v="53.44"/>
    <x v="8"/>
    <n v="4888000000"/>
    <n v="1479000000"/>
    <n v="1394000000"/>
    <n v="975000000"/>
    <n v="3751000000"/>
    <n v="1499000000"/>
    <n v="3.0086808168999948"/>
    <n v="0.65043362241494329"/>
    <n v="0.16993523809523808"/>
    <n v="498225000"/>
    <n v="26625144000"/>
    <n v="17.761937291527683"/>
    <n v="20.538298850574712"/>
    <m/>
    <m/>
    <s v=""/>
    <n v="713000000"/>
    <m/>
    <m/>
    <m/>
    <m/>
    <n v="1334"/>
    <n v="0"/>
    <s v="US98978V103512016"/>
    <s v="US98978V1035"/>
    <n v="1"/>
    <x v="59"/>
    <m/>
    <m/>
    <m/>
  </r>
  <r>
    <m/>
    <m/>
    <m/>
    <m/>
    <m/>
    <x v="1"/>
    <n v="2.5813221406085995E-2"/>
    <n v="0.40857142857142859"/>
    <n v="1.0837070254110612"/>
    <n v="8.4538375973303603E-2"/>
    <m/>
    <m/>
    <m/>
    <m/>
    <m/>
    <m/>
    <m/>
    <m/>
    <m/>
    <m/>
    <m/>
    <s v=""/>
    <m/>
    <m/>
    <m/>
    <m/>
    <m/>
    <n v="1335"/>
    <n v="0"/>
    <s v="US98978V10351"/>
    <s v="US98978V1035"/>
    <n v="1"/>
    <x v="59"/>
    <m/>
    <m/>
    <m/>
  </r>
  <r>
    <m/>
    <m/>
    <m/>
    <m/>
    <n v="47.25"/>
    <x v="9"/>
    <n v="4765000000"/>
    <n v="1050000000"/>
    <n v="669000000"/>
    <n v="899000000"/>
    <n v="3309000000"/>
    <n v="1091000000"/>
    <n v="2.1732245193907005"/>
    <n v="0.82401466544454627"/>
    <n v="9.7309090909090915E-2"/>
    <n v="502019000"/>
    <n v="23720397750"/>
    <n v="21.741886113657195"/>
    <n v="25.742283571428572"/>
    <m/>
    <m/>
    <s v=""/>
    <m/>
    <m/>
    <m/>
    <m/>
    <m/>
    <n v="1336"/>
    <n v="0"/>
    <s v="US98978V103512015"/>
    <s v="US98978V1035"/>
    <n v="1"/>
    <x v="59"/>
    <m/>
    <m/>
    <m/>
  </r>
  <r>
    <m/>
    <m/>
    <m/>
    <m/>
    <m/>
    <x v="1"/>
    <n v="-4.1797283176593369E-3"/>
    <n v="2.0408163265306145E-2"/>
    <n v="-0.28829787234042559"/>
    <n v="0.13797468354430387"/>
    <m/>
    <m/>
    <m/>
    <m/>
    <m/>
    <m/>
    <m/>
    <m/>
    <m/>
    <m/>
    <m/>
    <s v=""/>
    <m/>
    <m/>
    <m/>
    <m/>
    <m/>
    <n v="1337"/>
    <n v="0"/>
    <s v="US98978V10351"/>
    <s v="US98978V1035"/>
    <n v="1"/>
    <x v="59"/>
    <m/>
    <m/>
    <m/>
  </r>
  <r>
    <m/>
    <m/>
    <m/>
    <m/>
    <n v="42.4"/>
    <x v="10"/>
    <n v="4785000000"/>
    <n v="1029000000"/>
    <n v="940000000"/>
    <n v="790000000"/>
    <n v="3624000000"/>
    <n v="790000000"/>
    <n v="1.5736268114137741"/>
    <n v="1"/>
    <n v="0.13629361123697326"/>
    <n v="502025000"/>
    <n v="21285860000"/>
    <n v="26.944126582278482"/>
    <n v="24.207832847424683"/>
    <m/>
    <m/>
    <s v=""/>
    <m/>
    <m/>
    <m/>
    <m/>
    <m/>
    <n v="1338"/>
    <n v="0"/>
    <s v="US98978V103512014"/>
    <s v="US98978V1035"/>
    <n v="1"/>
    <x v="59"/>
    <m/>
    <m/>
    <m/>
  </r>
  <r>
    <m/>
    <m/>
    <m/>
    <m/>
    <m/>
    <x v="1"/>
    <n v="4.911203683402765E-2"/>
    <n v="0.14587973273942101"/>
    <n v="0.1576354679802956"/>
    <n v="0.56746031746031744"/>
    <m/>
    <m/>
    <m/>
    <m/>
    <m/>
    <m/>
    <m/>
    <m/>
    <m/>
    <m/>
    <m/>
    <s v=""/>
    <m/>
    <m/>
    <m/>
    <m/>
    <m/>
    <n v="1339"/>
    <n v="0"/>
    <s v="US98978V10351"/>
    <s v="US98978V1035"/>
    <n v="1"/>
    <x v="59"/>
    <m/>
    <m/>
    <m/>
  </r>
  <r>
    <m/>
    <m/>
    <m/>
    <m/>
    <n v="31.1"/>
    <x v="11"/>
    <n v="4561000000"/>
    <n v="898000000"/>
    <n v="812000000"/>
    <n v="504000000"/>
    <n v="3032000000"/>
    <n v="962000000"/>
    <n v="1.9227809568733423"/>
    <n v="0.52390852390852394"/>
    <n v="0.1301151727591387"/>
    <n v="500317000"/>
    <n v="15559858700"/>
    <n v="16.174489293139292"/>
    <n v="20.703628841870824"/>
    <m/>
    <m/>
    <s v=""/>
    <m/>
    <m/>
    <m/>
    <m/>
    <m/>
    <n v="1340"/>
    <n v="0"/>
    <s v="US98978V103512013"/>
    <s v="US98978V1035"/>
    <n v="1"/>
    <x v="59"/>
    <m/>
    <m/>
    <m/>
  </r>
  <r>
    <m/>
    <m/>
    <m/>
    <m/>
    <m/>
    <x v="1"/>
    <n v="5.1891143911439119E-2"/>
    <n v="0.4391025641025641"/>
    <n v="0.44999999999999996"/>
    <n v="0.15596330275229353"/>
    <m/>
    <m/>
    <m/>
    <m/>
    <m/>
    <m/>
    <m/>
    <m/>
    <m/>
    <m/>
    <m/>
    <s v=""/>
    <m/>
    <m/>
    <m/>
    <m/>
    <m/>
    <n v="1341"/>
    <n v="0"/>
    <s v="US98978V10351"/>
    <s v="US98978V1035"/>
    <n v="1"/>
    <x v="59"/>
    <m/>
    <m/>
    <m/>
  </r>
  <r>
    <m/>
    <m/>
    <m/>
    <m/>
    <n v="30"/>
    <x v="12"/>
    <n v="4336000000"/>
    <n v="624000000"/>
    <n v="560000000"/>
    <n v="436000000"/>
    <n v="192000000"/>
    <n v="4041000000"/>
    <n v="8.0820000000000007"/>
    <n v="0.1078940856223707"/>
    <n v="8.4668084101110319E-2"/>
    <n v="500000000"/>
    <n v="15000000000"/>
    <n v="3.7119524870081664"/>
    <n v="24.346153846153847"/>
    <m/>
    <m/>
    <s v=""/>
    <m/>
    <m/>
    <m/>
    <m/>
    <m/>
    <n v="1342"/>
    <n v="0"/>
    <s v="US98978V103512012"/>
    <s v="US98978V1035"/>
    <n v="1"/>
    <x v="59"/>
    <m/>
    <m/>
    <m/>
  </r>
  <r>
    <m/>
    <m/>
    <m/>
    <m/>
    <m/>
    <x v="1"/>
    <m/>
    <m/>
    <m/>
    <m/>
    <m/>
    <m/>
    <m/>
    <m/>
    <m/>
    <m/>
    <m/>
    <m/>
    <m/>
    <m/>
    <m/>
    <s v=""/>
    <m/>
    <m/>
    <m/>
    <m/>
    <m/>
    <n v="1343"/>
    <n v="0"/>
    <s v="US98978V10351"/>
    <s v="US98978V1035"/>
    <n v="1"/>
    <x v="59"/>
    <m/>
    <m/>
    <m/>
  </r>
  <r>
    <m/>
    <m/>
    <m/>
    <m/>
    <s v="IPO en janvier 2013 à 26 $"/>
    <x v="1"/>
    <m/>
    <m/>
    <m/>
    <m/>
    <m/>
    <m/>
    <m/>
    <m/>
    <m/>
    <m/>
    <m/>
    <m/>
    <m/>
    <m/>
    <m/>
    <s v=""/>
    <m/>
    <m/>
    <m/>
    <m/>
    <m/>
    <n v="1344"/>
    <n v="0"/>
    <s v="US98978V10351"/>
    <s v="US98978V1035"/>
    <n v="1"/>
    <x v="59"/>
    <m/>
    <m/>
    <m/>
  </r>
  <r>
    <m/>
    <m/>
    <m/>
    <m/>
    <m/>
    <x v="1"/>
    <m/>
    <m/>
    <m/>
    <m/>
    <m/>
    <m/>
    <m/>
    <m/>
    <m/>
    <m/>
    <m/>
    <m/>
    <m/>
    <m/>
    <m/>
    <s v=""/>
    <m/>
    <m/>
    <m/>
    <m/>
    <m/>
    <n v="1345"/>
    <n v="0"/>
    <s v="US98978V10351"/>
    <s v="US98978V1035"/>
    <n v="1"/>
    <x v="59"/>
    <m/>
    <m/>
    <m/>
  </r>
  <r>
    <m/>
    <m/>
    <m/>
    <m/>
    <m/>
    <x v="1"/>
    <m/>
    <m/>
    <m/>
    <m/>
    <m/>
    <m/>
    <m/>
    <m/>
    <m/>
    <m/>
    <m/>
    <m/>
    <m/>
    <m/>
    <m/>
    <s v=""/>
    <m/>
    <m/>
    <m/>
    <m/>
    <m/>
    <n v="1346"/>
    <n v="0"/>
    <s v="US98978V10351"/>
    <s v="US98978V1035"/>
    <n v="1"/>
    <x v="59"/>
    <m/>
    <m/>
    <m/>
  </r>
  <r>
    <m/>
    <m/>
    <m/>
    <m/>
    <m/>
    <x v="1"/>
    <m/>
    <m/>
    <m/>
    <m/>
    <m/>
    <m/>
    <m/>
    <m/>
    <m/>
    <m/>
    <m/>
    <m/>
    <m/>
    <m/>
    <m/>
    <s v=""/>
    <m/>
    <m/>
    <m/>
    <m/>
    <m/>
    <n v="1347"/>
    <n v="0"/>
    <s v="US98978V10351"/>
    <s v="US98978V1035"/>
    <n v="1"/>
    <x v="59"/>
    <m/>
    <m/>
    <m/>
  </r>
  <r>
    <s v="Michelin"/>
    <s v="Pneumatique"/>
    <s v="France"/>
    <s v="Euro"/>
    <n v="25.98"/>
    <x v="2"/>
    <m/>
    <m/>
    <m/>
    <m/>
    <m/>
    <m/>
    <m/>
    <m/>
    <m/>
    <n v="714117414"/>
    <n v="18552770415.720001"/>
    <m/>
    <m/>
    <s v="A- / Stable"/>
    <m/>
    <s v=""/>
    <m/>
    <s v="E=-1"/>
    <m/>
    <s v="Leader des pneus, modèle multi produits et zones géographiques résilient. Famille Michelin au capital moins de 10%. Commandite"/>
    <m/>
    <n v="1348"/>
    <n v="0"/>
    <s v="FR000012126112022"/>
    <s v="FR0000121261"/>
    <n v="1"/>
    <x v="60"/>
    <m/>
    <m/>
    <m/>
  </r>
  <r>
    <m/>
    <m/>
    <m/>
    <m/>
    <m/>
    <x v="1"/>
    <m/>
    <m/>
    <m/>
    <m/>
    <m/>
    <m/>
    <m/>
    <m/>
    <m/>
    <m/>
    <m/>
    <m/>
    <m/>
    <m/>
    <m/>
    <s v=""/>
    <m/>
    <s v="S=-1"/>
    <m/>
    <s v="Marque mondiale exceptionnelle, stratégie long terme pertinente. Très bonne gestion et rentabilité en hausse"/>
    <m/>
    <n v="1349"/>
    <n v="0"/>
    <s v="FR00001212611"/>
    <s v="FR0000121261"/>
    <n v="1"/>
    <x v="60"/>
    <m/>
    <m/>
    <m/>
  </r>
  <r>
    <m/>
    <m/>
    <m/>
    <m/>
    <n v="144.15"/>
    <x v="3"/>
    <n v="23795000000"/>
    <n v="4700000000"/>
    <n v="2777000000"/>
    <n v="1845000000"/>
    <n v="2789000000"/>
    <n v="13784000000"/>
    <n v="77.286218031048477"/>
    <n v="0.13385084155542659"/>
    <n v="0.1072394859108188"/>
    <n v="178350039"/>
    <n v="25709158121.850002"/>
    <n v="1.8651449595074001"/>
    <n v="6.063437898265958"/>
    <m/>
    <n v="124760"/>
    <n v="190726.19429304264"/>
    <n v="1357000000"/>
    <s v="G=0"/>
    <m/>
    <s v="Concurrence des asiatiques et en Europe. Part de marché mondial stable"/>
    <m/>
    <n v="1350"/>
    <n v="0"/>
    <s v="FR000012126112021"/>
    <s v="FR0000121261"/>
    <n v="1"/>
    <x v="60"/>
    <m/>
    <m/>
    <m/>
  </r>
  <r>
    <m/>
    <m/>
    <m/>
    <m/>
    <m/>
    <x v="1"/>
    <n v="0.16248961844740828"/>
    <n v="0.29440925364913251"/>
    <n v="0.97933000712758367"/>
    <n v="1.952"/>
    <m/>
    <m/>
    <m/>
    <m/>
    <m/>
    <m/>
    <m/>
    <m/>
    <m/>
    <m/>
    <m/>
    <s v=""/>
    <m/>
    <m/>
    <m/>
    <s v="Guidance confirmé au 1S17 avec volume en hausse de 3-4% (ralentissement en auto US) mais mieux en Asie et Minier. Résultats records attendus."/>
    <m/>
    <n v="1351"/>
    <n v="0"/>
    <s v="FR00001212611"/>
    <s v="FR0000121261"/>
    <n v="1"/>
    <x v="60"/>
    <m/>
    <m/>
    <m/>
  </r>
  <r>
    <m/>
    <m/>
    <m/>
    <m/>
    <n v="104.95"/>
    <x v="4"/>
    <n v="20469000000"/>
    <n v="3631000000"/>
    <n v="1403000000"/>
    <n v="625000000"/>
    <n v="3531000000"/>
    <n v="12631000000"/>
    <n v="70.825355551303261"/>
    <n v="4.948143456575093E-2"/>
    <n v="5.5557480509837887E-2"/>
    <n v="178340086"/>
    <n v="18716792025.700001"/>
    <n v="1.4818139518407094"/>
    <n v="6.1271803981547786"/>
    <m/>
    <n v="123600"/>
    <n v="165606.79611650485"/>
    <n v="2004000000"/>
    <m/>
    <m/>
    <s v="Financement obligataire en août 2018 : 2,5 Md euros (notation A-) 750 Me à 7 ans à 0,875%, 12 ans pour 1 Md euros à 1,75% et 750 Me à 20 ans et 2,5%. Charges financières annuelles : 43 Meuros"/>
    <m/>
    <n v="1352"/>
    <n v="0"/>
    <s v="FR000012126112020"/>
    <s v="FR0000121261"/>
    <n v="1"/>
    <x v="60"/>
    <m/>
    <m/>
    <m/>
  </r>
  <r>
    <m/>
    <m/>
    <m/>
    <m/>
    <m/>
    <x v="1"/>
    <n v="-0.15189558732131758"/>
    <n v="-0.23766533697249637"/>
    <n v="-0.5337321369225656"/>
    <n v="-0.6387283236994219"/>
    <m/>
    <m/>
    <m/>
    <m/>
    <m/>
    <m/>
    <m/>
    <m/>
    <m/>
    <m/>
    <m/>
    <s v=""/>
    <m/>
    <m/>
    <m/>
    <s v="Pour financer des acquisitions"/>
    <m/>
    <n v="1353"/>
    <n v="0"/>
    <s v="FR00001212611"/>
    <s v="FR0000121261"/>
    <n v="1"/>
    <x v="60"/>
    <m/>
    <m/>
    <m/>
  </r>
  <r>
    <m/>
    <m/>
    <m/>
    <m/>
    <n v="105"/>
    <x v="5"/>
    <n v="24135000000"/>
    <n v="4763000000"/>
    <n v="3009000000"/>
    <n v="1730000000"/>
    <n v="5184000000"/>
    <n v="13229000000"/>
    <n v="74.056983347087353"/>
    <n v="0.1307733010809585"/>
    <n v="0.10458697659262478"/>
    <n v="178632715"/>
    <n v="18756435075"/>
    <n v="1.4178271279008239"/>
    <n v="5.0263353086290152"/>
    <m/>
    <n v="127200"/>
    <n v="189740.56603773584"/>
    <n v="1142000000"/>
    <m/>
    <m/>
    <s v="Florent Menegaux succédera à Sénard en 2019. Au sein de Michelin depuis 1997, différentes fonctions de direction dans le Monde (parcours initiatique). A commencé sa carrière comme consultant"/>
    <m/>
    <n v="1354"/>
    <n v="0"/>
    <s v="FR000012126112019"/>
    <s v="FR0000121261"/>
    <n v="1"/>
    <x v="60"/>
    <m/>
    <m/>
    <m/>
  </r>
  <r>
    <m/>
    <m/>
    <m/>
    <m/>
    <m/>
    <x v="1"/>
    <n v="9.5650989649536999E-2"/>
    <n v="0.15634862830784169"/>
    <n v="8.4324324324324351E-2"/>
    <n v="4.2168674698795261E-2"/>
    <m/>
    <m/>
    <m/>
    <m/>
    <m/>
    <m/>
    <m/>
    <m/>
    <m/>
    <m/>
    <m/>
    <s v=""/>
    <m/>
    <m/>
    <m/>
    <s v="Engagement de retraites stable à 4 Md euros (variation suivant les taux d'intérêt). A suivre"/>
    <m/>
    <n v="1355"/>
    <n v="0"/>
    <s v="FR00001212611"/>
    <s v="FR0000121261"/>
    <n v="1"/>
    <x v="60"/>
    <m/>
    <m/>
    <m/>
  </r>
  <r>
    <m/>
    <m/>
    <m/>
    <m/>
    <n v="85"/>
    <x v="6"/>
    <n v="22028000000"/>
    <n v="4119000000"/>
    <n v="2775000000"/>
    <n v="1660000000"/>
    <n v="3719000000"/>
    <n v="11500000000"/>
    <n v="64.237877575162457"/>
    <n v="0.14434782608695651"/>
    <n v="0.11669623496944607"/>
    <n v="179022104"/>
    <n v="15216878840"/>
    <n v="1.3232068556521739"/>
    <n v="4.597202923039573"/>
    <m/>
    <m/>
    <s v=""/>
    <m/>
    <m/>
    <m/>
    <s v="Augmentation de capital en cotobre 2010 de 1,22 Md euros à 45 euros (à l'actif net) soit 27 159 876 actions nouvelles pour financer les investissements (Changement de dirigeant Rollier - Sénard et risque personnel sur le gérant de la commandite)"/>
    <m/>
    <n v="1356"/>
    <n v="0"/>
    <s v="FR000012126112018"/>
    <s v="FR0000121261"/>
    <n v="1"/>
    <x v="60"/>
    <m/>
    <m/>
    <m/>
  </r>
  <r>
    <m/>
    <m/>
    <m/>
    <m/>
    <m/>
    <x v="1"/>
    <n v="3.0965391621129434E-3"/>
    <n v="7.8297039393198098E-3"/>
    <n v="5.4732041049030844E-2"/>
    <n v="-1.9492025989367945E-2"/>
    <m/>
    <m/>
    <m/>
    <m/>
    <m/>
    <m/>
    <m/>
    <m/>
    <m/>
    <m/>
    <m/>
    <s v=""/>
    <m/>
    <m/>
    <m/>
    <s v="Acquisition de Fenner en mai 2018 : pneus pour les engins spécialisés, les transporteuses. CA : 655 M£ - EBE : 80 M£ - prix d'achat : 1,3 Md£ "/>
    <m/>
    <n v="1357"/>
    <n v="0"/>
    <s v="FR00001212611"/>
    <s v="FR0000121261"/>
    <n v="1"/>
    <x v="60"/>
    <m/>
    <m/>
    <m/>
  </r>
  <r>
    <m/>
    <m/>
    <m/>
    <m/>
    <n v="122"/>
    <x v="7"/>
    <n v="21960000000"/>
    <n v="4087000000"/>
    <n v="2631000000"/>
    <n v="1693000000"/>
    <n v="716000000"/>
    <n v="11261000000"/>
    <n v="62.728041930830074"/>
    <n v="0.15034188793180001"/>
    <n v="0.14058946313768056"/>
    <n v="179520987"/>
    <n v="21901560414"/>
    <n v="1.9449036865287275"/>
    <n v="5.5340250584781012"/>
    <m/>
    <m/>
    <s v=""/>
    <m/>
    <m/>
    <m/>
    <s v="Acquisition en juillet 2018 de CAMSO, entreprise canadienne produisant des pneus pour engins hors route : agricole, moto neige, engins de chantier(chenilles). Chiffre d'affaires : 1 M$."/>
    <m/>
    <n v="1358"/>
    <n v="0"/>
    <s v="FR000012126112017"/>
    <s v="FR0000121261"/>
    <n v="1"/>
    <x v="60"/>
    <m/>
    <m/>
    <m/>
  </r>
  <r>
    <m/>
    <m/>
    <m/>
    <m/>
    <m/>
    <x v="1"/>
    <n v="5.0365906155833029E-2"/>
    <n v="7.3457394711073931E-4"/>
    <n v="-5.7327122895019733E-2"/>
    <n v="1.559688062387532E-2"/>
    <m/>
    <m/>
    <m/>
    <m/>
    <m/>
    <m/>
    <m/>
    <m/>
    <m/>
    <m/>
    <m/>
    <s v=""/>
    <m/>
    <m/>
    <m/>
    <s v="regroupement avec les activités canadienne de Michelin (CA global de 2 Md$ dirigé par un ancien de CAMSO, 26 usines, 12 000 salariés). Prix d'achat 1,45 Md $ (valeur d'entreprise : 1,7 Md $ soit 8,3 fois EBE) EBE : 200 M$"/>
    <m/>
    <n v="1359"/>
    <n v="0"/>
    <s v="FR00001212611"/>
    <s v="FR0000121261"/>
    <n v="1"/>
    <x v="60"/>
    <m/>
    <m/>
    <m/>
  </r>
  <r>
    <m/>
    <m/>
    <m/>
    <m/>
    <n v="106.45"/>
    <x v="8"/>
    <n v="20907000000"/>
    <n v="4084000000"/>
    <n v="2791000000"/>
    <n v="1667000000"/>
    <n v="944000000"/>
    <n v="10646000000"/>
    <n v="59.122726367832406"/>
    <n v="0.15658463272590645"/>
    <n v="0.1541190681622088"/>
    <n v="180066121"/>
    <n v="19168038580.450001"/>
    <n v="1.8004920703034004"/>
    <n v="4.9245931881611167"/>
    <m/>
    <m/>
    <s v=""/>
    <m/>
    <m/>
    <m/>
    <s v="JV avec Sumitomo aux Etats-Unis pour renforcer la couverture géographique et la distribution. Michelin versera 630 M dollars"/>
    <m/>
    <n v="1360"/>
    <n v="0"/>
    <s v="FR000012126112016"/>
    <s v="FR0000121261"/>
    <n v="1"/>
    <x v="60"/>
    <m/>
    <m/>
    <m/>
  </r>
  <r>
    <m/>
    <m/>
    <m/>
    <m/>
    <m/>
    <x v="1"/>
    <n v="-1.3774234633709193E-2"/>
    <n v="3.8129130655821131E-2"/>
    <n v="0.26461259628454914"/>
    <n v="0.43336199484092863"/>
    <m/>
    <m/>
    <m/>
    <m/>
    <m/>
    <m/>
    <m/>
    <m/>
    <m/>
    <m/>
    <m/>
    <s v=""/>
    <m/>
    <m/>
    <m/>
    <s v="Valorisation maximale en 2007 : 8 fois le résultat d'exploitation 2007"/>
    <m/>
    <n v="1361"/>
    <n v="0"/>
    <s v="FR00001212611"/>
    <s v="FR0000121261"/>
    <n v="1"/>
    <x v="60"/>
    <m/>
    <m/>
    <m/>
  </r>
  <r>
    <m/>
    <m/>
    <m/>
    <m/>
    <n v="88.47"/>
    <x v="9"/>
    <n v="21199000000"/>
    <n v="3934000000"/>
    <n v="2207000000"/>
    <n v="1163000000"/>
    <n v="1008000000"/>
    <n v="9542000000"/>
    <n v="52.456764922149205"/>
    <n v="0.12188220498847202"/>
    <n v="0.13388436018957345"/>
    <n v="181902182"/>
    <n v="16092886041.539999"/>
    <n v="1.6865317587025779"/>
    <n v="4.3469461213878997"/>
    <m/>
    <m/>
    <s v=""/>
    <m/>
    <m/>
    <m/>
    <s v="Valorisation maximale en 2018 : 8 fois le résultat d'exploitation 2018. 130 euros "/>
    <m/>
    <n v="1362"/>
    <n v="0"/>
    <s v="FR000012126112015"/>
    <s v="FR0000121261"/>
    <n v="1"/>
    <x v="60"/>
    <m/>
    <m/>
    <m/>
  </r>
  <r>
    <m/>
    <m/>
    <m/>
    <m/>
    <m/>
    <x v="1"/>
    <n v="8.4181455531120442E-2"/>
    <n v="0.19720024345709075"/>
    <n v="1.7050691244239635E-2"/>
    <n v="0.12803103782735215"/>
    <m/>
    <m/>
    <m/>
    <m/>
    <m/>
    <m/>
    <m/>
    <m/>
    <m/>
    <m/>
    <m/>
    <s v=""/>
    <m/>
    <m/>
    <m/>
    <s v="Valeur maximale : création de valeur annuelle multiplié par 20 (20 ans) ajouté au fonds propres. 15 Md e de capitaux employés et ROCE de 12%*(2,7 *0,7)"/>
    <m/>
    <n v="1363"/>
    <n v="0"/>
    <s v="FR00001212611"/>
    <s v="FR0000121261"/>
    <n v="1"/>
    <x v="60"/>
    <m/>
    <m/>
    <m/>
  </r>
  <r>
    <m/>
    <m/>
    <m/>
    <m/>
    <n v="75.569999999999993"/>
    <x v="10"/>
    <n v="19553000000"/>
    <n v="3286000000"/>
    <n v="2170000000"/>
    <n v="1031000000"/>
    <n v="707000000"/>
    <n v="9523000000"/>
    <n v="51.274402857539755"/>
    <n v="0.10826420245720886"/>
    <n v="0.13575757575757577"/>
    <n v="185726200"/>
    <n v="14035328933.999998"/>
    <n v="1.4738348140291924"/>
    <n v="4.4864056402921477"/>
    <m/>
    <m/>
    <s v=""/>
    <m/>
    <m/>
    <m/>
    <s v="Entre le bas et le haut de cycle, le multiple VE/EBE  passe de 3,5 à 5,5 fois soit autour de +50%"/>
    <m/>
    <n v="1364"/>
    <n v="0"/>
    <s v="FR000012126112014"/>
    <s v="FR0000121261"/>
    <n v="1"/>
    <x v="60"/>
    <m/>
    <m/>
    <m/>
  </r>
  <r>
    <m/>
    <m/>
    <m/>
    <m/>
    <m/>
    <x v="1"/>
    <n v="-3.4276682965377558E-2"/>
    <n v="3.0441400304415112E-4"/>
    <n v="-2.8648164726947201E-2"/>
    <n v="-8.5181898846495074E-2"/>
    <m/>
    <m/>
    <m/>
    <m/>
    <m/>
    <m/>
    <m/>
    <m/>
    <m/>
    <m/>
    <m/>
    <s v=""/>
    <m/>
    <m/>
    <m/>
    <s v="En 2021, poursuite du redressement et retour au niveau de 2019. Progression en 2022, voitures entre 0% et 4%, poids lourd entre 1% et 5% et activités de spécialités entre 6% et 10%. Résultat d'exploitation attendu à 3,2 Md euros"/>
    <m/>
    <n v="1365"/>
    <n v="0"/>
    <s v="FR00001212611"/>
    <s v="FR0000121261"/>
    <n v="1"/>
    <x v="60"/>
    <m/>
    <m/>
    <m/>
  </r>
  <r>
    <m/>
    <m/>
    <m/>
    <m/>
    <n v="76.02"/>
    <x v="11"/>
    <n v="20247000000"/>
    <n v="3285000000"/>
    <n v="2234000000"/>
    <n v="1127000000"/>
    <n v="142000000"/>
    <n v="9256000000"/>
    <n v="49.819784625992312"/>
    <n v="0.12175885911840968"/>
    <n v="0.15213449670142584"/>
    <n v="185789643"/>
    <n v="14123728660.859999"/>
    <n v="1.5258998121067415"/>
    <n v="4.3426875679939112"/>
    <m/>
    <m/>
    <s v=""/>
    <m/>
    <m/>
    <m/>
    <s v="En 2022, voitures entre 0% et 4%, poids lourd entre 1% et 5% et activités de spécialités entre 6% et 10%. Résultat d'exploitation attendu à 3,2 Md euros"/>
    <m/>
    <n v="1366"/>
    <n v="0"/>
    <s v="FR000012126112013"/>
    <s v="FR0000121261"/>
    <n v="1"/>
    <x v="60"/>
    <m/>
    <m/>
    <m/>
  </r>
  <r>
    <m/>
    <m/>
    <m/>
    <m/>
    <m/>
    <x v="1"/>
    <n v="-5.7138865604917544E-2"/>
    <n v="-4.6444121915820036E-2"/>
    <n v="-7.8002476269087961E-2"/>
    <n v="-0.28262253341820498"/>
    <m/>
    <m/>
    <m/>
    <m/>
    <m/>
    <m/>
    <m/>
    <m/>
    <m/>
    <m/>
    <m/>
    <s v=""/>
    <m/>
    <m/>
    <m/>
    <s v="123 600 salariés : 195 000 euros par salarié"/>
    <m/>
    <n v="1367"/>
    <n v="0"/>
    <s v="FR00001212611"/>
    <s v="FR0000121261"/>
    <n v="1"/>
    <x v="60"/>
    <m/>
    <m/>
    <m/>
  </r>
  <r>
    <m/>
    <m/>
    <m/>
    <m/>
    <n v="71.22"/>
    <x v="12"/>
    <n v="21474000000"/>
    <n v="3445000000"/>
    <n v="2423000000"/>
    <n v="1571000000"/>
    <n v="1053000000"/>
    <n v="8775000000"/>
    <n v="48.067254585154586"/>
    <n v="0.17903133903133903"/>
    <n v="0.15778591778591777"/>
    <n v="182556713"/>
    <n v="13001689099.860001"/>
    <n v="1.4816739714940173"/>
    <n v="4.0797355877677797"/>
    <m/>
    <m/>
    <s v=""/>
    <m/>
    <m/>
    <m/>
    <s v="Minoritaires : peu ou pas"/>
    <m/>
    <n v="1368"/>
    <n v="0"/>
    <s v="FR000012126112012"/>
    <s v="FR0000121261"/>
    <n v="1"/>
    <x v="60"/>
    <m/>
    <m/>
    <m/>
  </r>
  <r>
    <m/>
    <m/>
    <m/>
    <m/>
    <m/>
    <x v="1"/>
    <n v="3.6439982624643985E-2"/>
    <n v="0.19701181375955534"/>
    <n v="0.245758354755784"/>
    <n v="7.4555403556771482E-2"/>
    <m/>
    <m/>
    <m/>
    <m/>
    <m/>
    <m/>
    <m/>
    <m/>
    <m/>
    <m/>
    <m/>
    <s v=""/>
    <m/>
    <m/>
    <m/>
    <s v="Pay out ratio : 43% en 2022 - (70% en 2021 lié au maintien du dividende en dépit de la baisse de résultat en 2020) - 36% avant"/>
    <m/>
    <n v="1369"/>
    <n v="0"/>
    <s v="FR00001212611"/>
    <s v="FR0000121261"/>
    <n v="1"/>
    <x v="60"/>
    <m/>
    <m/>
    <m/>
  </r>
  <r>
    <m/>
    <m/>
    <m/>
    <m/>
    <n v="46.65"/>
    <x v="17"/>
    <n v="20719000000"/>
    <n v="2878000000"/>
    <n v="1945000000"/>
    <n v="1462000000"/>
    <n v="1814000000"/>
    <n v="8245000000"/>
    <n v="45.788735572306798"/>
    <n v="0.17731958762886599"/>
    <n v="0.12374987573317427"/>
    <n v="180066121"/>
    <n v="8400084544.6499996"/>
    <n v="1.0188095263371739"/>
    <n v="3.5490217319840167"/>
    <m/>
    <m/>
    <s v=""/>
    <m/>
    <m/>
    <m/>
    <m/>
    <m/>
    <n v="1370"/>
    <n v="0"/>
    <s v="FR000012126112011"/>
    <s v="FR0000121261"/>
    <n v="1"/>
    <x v="60"/>
    <m/>
    <m/>
    <m/>
  </r>
  <r>
    <m/>
    <m/>
    <m/>
    <m/>
    <m/>
    <x v="1"/>
    <n v="0.15806830249846282"/>
    <n v="8.1954887218045114E-2"/>
    <n v="0.14749262536873164"/>
    <n v="0.39370829361296478"/>
    <m/>
    <m/>
    <m/>
    <m/>
    <m/>
    <m/>
    <m/>
    <m/>
    <m/>
    <m/>
    <m/>
    <s v=""/>
    <m/>
    <m/>
    <m/>
    <m/>
    <m/>
    <n v="1371"/>
    <n v="0"/>
    <s v="FR00001212611"/>
    <s v="FR0000121261"/>
    <n v="1"/>
    <x v="60"/>
    <m/>
    <m/>
    <m/>
  </r>
  <r>
    <m/>
    <m/>
    <m/>
    <m/>
    <n v="53.7"/>
    <x v="18"/>
    <n v="17891000000"/>
    <n v="2660000000"/>
    <n v="1695000000"/>
    <n v="1049000000"/>
    <n v="1629000000"/>
    <n v="8145000000"/>
    <n v="45.245250002837203"/>
    <n v="0.12879066912216083"/>
    <n v="0.11098833640270105"/>
    <n v="180018897"/>
    <n v="9667014768.8999996"/>
    <n v="1.1868649194475138"/>
    <n v="4.2466220935714283"/>
    <m/>
    <m/>
    <s v=""/>
    <m/>
    <m/>
    <m/>
    <m/>
    <m/>
    <n v="1372"/>
    <n v="0"/>
    <s v="FR000012126112010"/>
    <s v="FR0000121261"/>
    <n v="1"/>
    <x v="60"/>
    <m/>
    <m/>
    <m/>
  </r>
  <r>
    <m/>
    <m/>
    <m/>
    <m/>
    <m/>
    <x v="1"/>
    <n v="0.20827986763017492"/>
    <n v="0.47613762486126521"/>
    <n v="0.96635730858468682"/>
    <n v="9.0865384615384617"/>
    <m/>
    <m/>
    <m/>
    <m/>
    <m/>
    <m/>
    <m/>
    <m/>
    <m/>
    <m/>
    <m/>
    <s v=""/>
    <m/>
    <m/>
    <m/>
    <m/>
    <m/>
    <n v="1373"/>
    <n v="0"/>
    <s v="FR00001212611"/>
    <s v="FR0000121261"/>
    <n v="1"/>
    <x v="60"/>
    <m/>
    <m/>
    <m/>
  </r>
  <r>
    <m/>
    <m/>
    <m/>
    <m/>
    <n v="55"/>
    <x v="38"/>
    <n v="14807000000"/>
    <n v="1802000000"/>
    <n v="862000000"/>
    <n v="104000000"/>
    <n v="3051000000"/>
    <n v="5495000000"/>
    <n v="37.270318609405145"/>
    <n v="1.8926296633303002E-2"/>
    <n v="6.4554177392932371E-2"/>
    <n v="147436357"/>
    <n v="8108999635"/>
    <n v="1.4757051201091902"/>
    <n v="6.1931185543840179"/>
    <m/>
    <m/>
    <s v=""/>
    <m/>
    <m/>
    <m/>
    <m/>
    <m/>
    <n v="1374"/>
    <n v="0"/>
    <s v="FR000012126112009"/>
    <s v="FR0000121261"/>
    <n v="1"/>
    <x v="60"/>
    <m/>
    <m/>
    <m/>
  </r>
  <r>
    <m/>
    <m/>
    <m/>
    <m/>
    <m/>
    <x v="1"/>
    <n v="-9.7574353973671424E-2"/>
    <n v="-2.4891774891774854E-2"/>
    <n v="-6.3043478260869534E-2"/>
    <n v="-0.70868347338935567"/>
    <m/>
    <m/>
    <m/>
    <m/>
    <m/>
    <m/>
    <m/>
    <m/>
    <m/>
    <m/>
    <m/>
    <s v=""/>
    <m/>
    <m/>
    <m/>
    <m/>
    <m/>
    <n v="1375"/>
    <n v="0"/>
    <s v="FR00001212611"/>
    <s v="FR0000121261"/>
    <n v="1"/>
    <x v="60"/>
    <m/>
    <m/>
    <m/>
  </r>
  <r>
    <m/>
    <m/>
    <m/>
    <m/>
    <n v="35.92"/>
    <x v="20"/>
    <n v="16408000000"/>
    <n v="1848000000"/>
    <n v="920000000"/>
    <n v="357000000"/>
    <n v="4273000000"/>
    <n v="5113000000"/>
    <n v="35.232425131957939"/>
    <n v="6.9822022296107955E-2"/>
    <n v="6.2731728105689319E-2"/>
    <n v="145122000"/>
    <n v="5212782240"/>
    <n v="1.0195153999608839"/>
    <n v="5.1329990476190472"/>
    <m/>
    <m/>
    <s v=""/>
    <m/>
    <m/>
    <m/>
    <m/>
    <m/>
    <n v="1376"/>
    <n v="0"/>
    <s v="FR000012126112008"/>
    <s v="FR0000121261"/>
    <n v="1"/>
    <x v="60"/>
    <m/>
    <m/>
    <m/>
  </r>
  <r>
    <m/>
    <m/>
    <m/>
    <m/>
    <m/>
    <x v="1"/>
    <m/>
    <m/>
    <m/>
    <m/>
    <m/>
    <m/>
    <m/>
    <m/>
    <m/>
    <m/>
    <m/>
    <m/>
    <m/>
    <m/>
    <m/>
    <s v=""/>
    <m/>
    <m/>
    <m/>
    <m/>
    <m/>
    <n v="1377"/>
    <n v="0"/>
    <s v="FR00001212611"/>
    <s v="FR0000121261"/>
    <n v="1"/>
    <x v="60"/>
    <m/>
    <m/>
    <m/>
  </r>
  <r>
    <m/>
    <m/>
    <m/>
    <m/>
    <m/>
    <x v="1"/>
    <m/>
    <m/>
    <m/>
    <m/>
    <m/>
    <m/>
    <m/>
    <m/>
    <m/>
    <m/>
    <m/>
    <m/>
    <m/>
    <m/>
    <m/>
    <s v=""/>
    <m/>
    <m/>
    <m/>
    <m/>
    <m/>
    <n v="1378"/>
    <n v="0"/>
    <s v="FR00001212611"/>
    <s v="FR0000121261"/>
    <n v="1"/>
    <x v="60"/>
    <m/>
    <m/>
    <m/>
  </r>
  <r>
    <m/>
    <m/>
    <m/>
    <m/>
    <m/>
    <x v="1"/>
    <m/>
    <m/>
    <m/>
    <m/>
    <m/>
    <m/>
    <m/>
    <m/>
    <m/>
    <m/>
    <m/>
    <m/>
    <m/>
    <m/>
    <m/>
    <s v=""/>
    <m/>
    <m/>
    <m/>
    <m/>
    <m/>
    <n v="1379"/>
    <n v="0"/>
    <s v="FR00001212611"/>
    <s v="FR0000121261"/>
    <n v="1"/>
    <x v="60"/>
    <m/>
    <m/>
    <m/>
  </r>
  <r>
    <s v="Continental"/>
    <s v="Pneumatique"/>
    <s v="Allemagne"/>
    <s v="Euro"/>
    <n v="93.11"/>
    <x v="3"/>
    <n v="40300000000"/>
    <n v="5200000000"/>
    <n v="2700000000"/>
    <n v="2000000000"/>
    <n v="3213800000"/>
    <n v="12115500000"/>
    <n v="60.575687878297124"/>
    <n v="0.16507779290990879"/>
    <n v="0.12329330106397551"/>
    <n v="200005983"/>
    <n v="18622557077.130001"/>
    <n v="1.5370853103157114"/>
    <n v="4.199299437909616"/>
    <s v="BBB / négative"/>
    <m/>
    <s v=""/>
    <m/>
    <m/>
    <m/>
    <s v="Continental AG est fondée en 1871 en Allemagne, c'est un équipementier automobile spécialisé dans le pneumatique."/>
    <m/>
    <n v="1380"/>
    <n v="0"/>
    <s v="DE000543900412021"/>
    <s v="DE0005439004"/>
    <n v="1"/>
    <x v="61"/>
    <m/>
    <m/>
    <m/>
  </r>
  <r>
    <m/>
    <m/>
    <m/>
    <m/>
    <m/>
    <x v="1"/>
    <n v="6.8965517241379226E-2"/>
    <n v="0.71402201859054659"/>
    <n v="-4.7599220164322524"/>
    <n v="-3.0792182139515543"/>
    <m/>
    <m/>
    <m/>
    <m/>
    <m/>
    <m/>
    <m/>
    <m/>
    <m/>
    <m/>
    <m/>
    <s v=""/>
    <m/>
    <m/>
    <m/>
    <s v="Direction : Nikolai Setzer, président-directeur général (Remplacement fin 2020 de Elmart Degenhart pour des raisons de santé)"/>
    <m/>
    <n v="1381"/>
    <n v="0"/>
    <s v="DE00054390041"/>
    <s v="DE0005439004"/>
    <n v="1"/>
    <x v="61"/>
    <m/>
    <m/>
    <m/>
  </r>
  <r>
    <m/>
    <m/>
    <m/>
    <m/>
    <n v="121.65"/>
    <x v="4"/>
    <n v="37700000000"/>
    <n v="3033800000"/>
    <n v="-718100000"/>
    <n v="-961900000"/>
    <n v="4139100000"/>
    <n v="12624000000"/>
    <n v="63.118111821684856"/>
    <n v="-7.6196134347275027E-2"/>
    <n v="-2.9986696971323917E-2"/>
    <n v="200005983"/>
    <n v="24330727831.950001"/>
    <n v="1.9273390234434411"/>
    <n v="9.3842138018162036"/>
    <m/>
    <m/>
    <s v=""/>
    <m/>
    <m/>
    <m/>
    <s v="Capital détenu par : Schaeffler Gruppe 46% / Flottant : 54% (institutionnels)"/>
    <m/>
    <n v="1382"/>
    <n v="0"/>
    <s v="DE000543900412020"/>
    <s v="DE0005439004"/>
    <n v="1"/>
    <x v="61"/>
    <m/>
    <m/>
    <m/>
  </r>
  <r>
    <m/>
    <m/>
    <m/>
    <m/>
    <m/>
    <x v="1"/>
    <n v="-0.152397568257851"/>
    <n v="-0.39046049987945031"/>
    <n v="1.6764815505031683"/>
    <n v="-0.21477551020408159"/>
    <m/>
    <m/>
    <m/>
    <m/>
    <m/>
    <m/>
    <m/>
    <m/>
    <m/>
    <m/>
    <m/>
    <s v=""/>
    <m/>
    <m/>
    <m/>
    <s v="Acquisitions : 2014, Continental acquiert Veyance spécialisé dans la mécanique et les courroies pour 1,9Mds$. Et en mai 2015, la branche automobile du groupe Finlandais Elektrobit pour 600M€."/>
    <m/>
    <n v="1383"/>
    <n v="0"/>
    <s v="DE00054390041"/>
    <s v="DE0005439004"/>
    <n v="1"/>
    <x v="61"/>
    <m/>
    <m/>
    <m/>
  </r>
  <r>
    <m/>
    <m/>
    <m/>
    <m/>
    <n v="115.6"/>
    <x v="5"/>
    <n v="44478400000"/>
    <n v="4977200000"/>
    <n v="-268300000"/>
    <n v="-1225000000"/>
    <n v="4071700000"/>
    <n v="15875700000"/>
    <n v="79.376125463206762"/>
    <n v="-7.7161951913931354E-2"/>
    <n v="-9.415262139426693E-3"/>
    <n v="200005983"/>
    <n v="23120691634.799999"/>
    <n v="1.4563573029724672"/>
    <n v="5.46339139170618"/>
    <m/>
    <m/>
    <s v=""/>
    <m/>
    <m/>
    <m/>
    <s v="Répartition de l'activité : Tech. Automobilie : 40,5% Tech. Pneumatique : 41,4% Tech. Propulseur : 18,6%"/>
    <m/>
    <n v="1384"/>
    <n v="0"/>
    <s v="DE000543900412019"/>
    <s v="DE0005439004"/>
    <n v="1"/>
    <x v="61"/>
    <m/>
    <m/>
    <m/>
  </r>
  <r>
    <m/>
    <m/>
    <m/>
    <m/>
    <m/>
    <x v="1"/>
    <n v="0.6561934479702709"/>
    <n v="0.56658588020521861"/>
    <n v="-1.1419276343630977"/>
    <n v="-1.4228074414109688"/>
    <m/>
    <m/>
    <m/>
    <m/>
    <m/>
    <m/>
    <m/>
    <m/>
    <m/>
    <m/>
    <m/>
    <s v=""/>
    <m/>
    <m/>
    <m/>
    <s v="Automobile est le secteur qui fait chuter le résultat en 2019, en effet 89M véhicule ont été produit dans le monde au lieu de 94M l'année précédente. Le PDG prévois que cela ne s'améliorera pas d'ici les 5 prochaines années. "/>
    <m/>
    <n v="1385"/>
    <n v="0"/>
    <s v="DE00054390041"/>
    <s v="DE0005439004"/>
    <n v="1"/>
    <x v="61"/>
    <m/>
    <m/>
    <m/>
  </r>
  <r>
    <m/>
    <m/>
    <m/>
    <m/>
    <n v="120.7"/>
    <x v="6"/>
    <n v="26855800000"/>
    <n v="3177100000"/>
    <n v="1890400000"/>
    <n v="2897300000"/>
    <n v="1661300000"/>
    <n v="18333300000"/>
    <n v="91.663757878683057"/>
    <n v="0.15803483279060507"/>
    <n v="6.6181869104658259E-2"/>
    <n v="200005983"/>
    <n v="24140722148.100002"/>
    <n v="1.3167690567491943"/>
    <n v="8.1212496138302228"/>
    <m/>
    <m/>
    <s v=""/>
    <m/>
    <m/>
    <m/>
    <s v="Ils prévoient de contrer cela notamment en digitalisant leurs procédés et produits étant donner que l'éléctronique prend une part de plus en plus conséquentes chaque année. "/>
    <m/>
    <n v="1386"/>
    <n v="0"/>
    <s v="DE000543900412018"/>
    <s v="DE0005439004"/>
    <n v="1"/>
    <x v="61"/>
    <m/>
    <m/>
    <m/>
  </r>
  <r>
    <m/>
    <m/>
    <m/>
    <m/>
    <m/>
    <x v="1"/>
    <n v="1.093151241840884E-2"/>
    <n v="-3.6190996238320561E-2"/>
    <n v="-9.4115391987732444E-2"/>
    <n v="-2.9250150773973083E-2"/>
    <m/>
    <m/>
    <m/>
    <m/>
    <m/>
    <m/>
    <m/>
    <m/>
    <m/>
    <m/>
    <m/>
    <s v=""/>
    <m/>
    <m/>
    <m/>
    <s v="Répartition de géographique : Présent dans 60 pays ; Allemagne 18%, Europe (sans Allemagne) 30%, Amérique du nord 25%, Asie 24%, autres pays 3%"/>
    <m/>
    <n v="1387"/>
    <n v="0"/>
    <s v="DE00054390041"/>
    <s v="DE0005439004"/>
    <n v="1"/>
    <x v="61"/>
    <m/>
    <m/>
    <m/>
  </r>
  <r>
    <m/>
    <m/>
    <m/>
    <m/>
    <n v="225.5"/>
    <x v="7"/>
    <n v="26565400000"/>
    <n v="3296400000"/>
    <n v="2086800000"/>
    <n v="2984600000"/>
    <n v="2047600000"/>
    <n v="16290300000"/>
    <n v="81.449063451266852"/>
    <n v="0.18321332326599266"/>
    <n v="7.9657976104134068E-2"/>
    <n v="200005983"/>
    <n v="45101349166.5"/>
    <n v="2.768601509272389"/>
    <n v="14.303163804908385"/>
    <m/>
    <m/>
    <s v=""/>
    <m/>
    <m/>
    <m/>
    <s v="Concurrence : Michelin, Bridgestone, Goodyear, Pirelli"/>
    <m/>
    <n v="1388"/>
    <n v="0"/>
    <s v="DE000543900412017"/>
    <s v="DE0005439004"/>
    <n v="1"/>
    <x v="61"/>
    <m/>
    <m/>
    <m/>
  </r>
  <r>
    <m/>
    <m/>
    <m/>
    <m/>
    <m/>
    <x v="1"/>
    <n v="-0.34560727174194183"/>
    <n v="-0.45580612143824084"/>
    <n v="-0.49050246594071978"/>
    <n v="6.4977698483496882E-2"/>
    <m/>
    <m/>
    <m/>
    <m/>
    <m/>
    <m/>
    <m/>
    <m/>
    <m/>
    <m/>
    <m/>
    <s v=""/>
    <m/>
    <m/>
    <m/>
    <s v="Effectifs : 233 365 personnes au 30 juin 2021 soit 171 K euros par salarié"/>
    <m/>
    <n v="1389"/>
    <n v="0"/>
    <s v="DE00054390041"/>
    <s v="DE0005439004"/>
    <n v="1"/>
    <x v="61"/>
    <m/>
    <m/>
    <m/>
  </r>
  <r>
    <m/>
    <m/>
    <m/>
    <m/>
    <n v="183.7"/>
    <x v="8"/>
    <n v="40595500000"/>
    <n v="6057400000"/>
    <n v="4095800000"/>
    <n v="2802500000"/>
    <n v="2797800000"/>
    <n v="14734800000"/>
    <n v="73.671796108219425"/>
    <n v="0.19019599858837583"/>
    <n v="0.1635273718672644"/>
    <n v="200005983"/>
    <n v="36741099077.099998"/>
    <n v="2.4934915354874176"/>
    <n v="6.5273713271535643"/>
    <m/>
    <m/>
    <s v=""/>
    <m/>
    <m/>
    <m/>
    <s v="En 2021, scission avec la partie Vitesco Technolgies détaché en bourse"/>
    <m/>
    <n v="1390"/>
    <n v="0"/>
    <s v="DE000543900412016"/>
    <s v="DE0005439004"/>
    <n v="1"/>
    <x v="61"/>
    <m/>
    <m/>
    <m/>
  </r>
  <r>
    <m/>
    <m/>
    <m/>
    <m/>
    <m/>
    <x v="1"/>
    <n v="3.4754792006525204E-2"/>
    <n v="9.3311560635851443E-3"/>
    <n v="-4.8109631645446571E-3"/>
    <n v="2.7535381682188165E-2"/>
    <m/>
    <m/>
    <m/>
    <m/>
    <m/>
    <m/>
    <m/>
    <m/>
    <m/>
    <m/>
    <m/>
    <s v=""/>
    <m/>
    <m/>
    <m/>
    <s v="Chiffre d'affaire par employé : 159,5 K euros (Michelin : 190 K euros et Valeo : 250 K euros)"/>
    <m/>
    <n v="1391"/>
    <n v="0"/>
    <s v="DE00054390041"/>
    <s v="DE0005439004"/>
    <n v="1"/>
    <x v="61"/>
    <m/>
    <m/>
    <m/>
  </r>
  <r>
    <m/>
    <m/>
    <m/>
    <m/>
    <n v="173.6"/>
    <x v="9"/>
    <n v="39232000000"/>
    <n v="6001400000"/>
    <n v="4115600000"/>
    <n v="2727400000"/>
    <n v="3541900000"/>
    <n v="13213900000"/>
    <n v="66.067523590031797"/>
    <n v="0.20640386259923263"/>
    <n v="0.17193568794089212"/>
    <n v="200005983"/>
    <n v="34721038648.799995"/>
    <n v="2.6276147578534723"/>
    <n v="6.3756687854167353"/>
    <m/>
    <m/>
    <s v=""/>
    <m/>
    <m/>
    <m/>
    <s v="CAC : KPMG"/>
    <m/>
    <n v="1392"/>
    <n v="0"/>
    <s v="DE000543900412015"/>
    <s v="DE0005439004"/>
    <n v="1"/>
    <x v="61"/>
    <m/>
    <m/>
    <m/>
  </r>
  <r>
    <m/>
    <m/>
    <m/>
    <m/>
    <m/>
    <x v="1"/>
    <n v="0.13697157281260774"/>
    <n v="0.16899762359266046"/>
    <n v="0.2304472614207127"/>
    <n v="0.14813723426647019"/>
    <m/>
    <m/>
    <m/>
    <m/>
    <m/>
    <m/>
    <m/>
    <m/>
    <m/>
    <m/>
    <m/>
    <s v=""/>
    <m/>
    <m/>
    <m/>
    <s v="Minoritaire : moins de 5%"/>
    <m/>
    <n v="1393"/>
    <n v="0"/>
    <s v="DE00054390041"/>
    <s v="DE0005439004"/>
    <n v="1"/>
    <x v="61"/>
    <m/>
    <m/>
    <m/>
  </r>
  <r>
    <m/>
    <m/>
    <m/>
    <m/>
    <n v="160.80000000000001"/>
    <x v="10"/>
    <n v="34505700000"/>
    <n v="5133800000"/>
    <n v="3344800000"/>
    <n v="2375500000"/>
    <n v="2823500000"/>
    <n v="11024600000"/>
    <n v="55.121351044783495"/>
    <n v="0.21547267021025707"/>
    <n v="0.16907445786786635"/>
    <n v="200005983"/>
    <n v="32160962066.400002"/>
    <n v="2.9171999044319068"/>
    <n v="6.8145354447777482"/>
    <m/>
    <m/>
    <s v=""/>
    <m/>
    <m/>
    <m/>
    <s v="Pay-out ratio : 30%"/>
    <m/>
    <n v="1394"/>
    <n v="0"/>
    <s v="DE000543900412014"/>
    <s v="DE0005439004"/>
    <n v="1"/>
    <x v="61"/>
    <m/>
    <m/>
    <m/>
  </r>
  <r>
    <m/>
    <m/>
    <m/>
    <m/>
    <m/>
    <x v="1"/>
    <m/>
    <m/>
    <m/>
    <m/>
    <m/>
    <m/>
    <m/>
    <m/>
    <m/>
    <m/>
    <m/>
    <m/>
    <m/>
    <m/>
    <m/>
    <s v=""/>
    <m/>
    <m/>
    <m/>
    <m/>
    <m/>
    <n v="1395"/>
    <n v="0"/>
    <s v="DE00054390041"/>
    <s v="DE0005439004"/>
    <n v="1"/>
    <x v="61"/>
    <m/>
    <m/>
    <m/>
  </r>
  <r>
    <m/>
    <m/>
    <m/>
    <m/>
    <m/>
    <x v="1"/>
    <m/>
    <m/>
    <m/>
    <m/>
    <m/>
    <m/>
    <m/>
    <m/>
    <m/>
    <m/>
    <m/>
    <m/>
    <m/>
    <m/>
    <m/>
    <s v=""/>
    <m/>
    <m/>
    <m/>
    <m/>
    <m/>
    <n v="1396"/>
    <n v="0"/>
    <s v="DE00054390041"/>
    <s v="DE0005439004"/>
    <n v="1"/>
    <x v="61"/>
    <m/>
    <m/>
    <m/>
  </r>
  <r>
    <m/>
    <m/>
    <m/>
    <m/>
    <m/>
    <x v="1"/>
    <m/>
    <m/>
    <m/>
    <m/>
    <m/>
    <m/>
    <m/>
    <m/>
    <m/>
    <m/>
    <m/>
    <m/>
    <m/>
    <m/>
    <m/>
    <s v=""/>
    <m/>
    <m/>
    <m/>
    <m/>
    <m/>
    <n v="1397"/>
    <n v="0"/>
    <s v="DE00054390041"/>
    <s v="DE0005439004"/>
    <n v="1"/>
    <x v="61"/>
    <m/>
    <m/>
    <m/>
  </r>
  <r>
    <m/>
    <m/>
    <m/>
    <m/>
    <m/>
    <x v="1"/>
    <m/>
    <m/>
    <m/>
    <m/>
    <m/>
    <m/>
    <m/>
    <m/>
    <m/>
    <m/>
    <m/>
    <m/>
    <m/>
    <m/>
    <m/>
    <s v=""/>
    <m/>
    <m/>
    <m/>
    <m/>
    <m/>
    <n v="1398"/>
    <n v="0"/>
    <s v="DE00054390041"/>
    <s v="DE0005439004"/>
    <n v="1"/>
    <x v="61"/>
    <m/>
    <m/>
    <m/>
  </r>
  <r>
    <s v="Valeo"/>
    <s v="Automobile"/>
    <s v="France"/>
    <s v="Euro"/>
    <n v="21"/>
    <x v="0"/>
    <n v="22500000000"/>
    <n v="2925000000"/>
    <n v="900000000"/>
    <n v="500000000"/>
    <n v="3700000000"/>
    <n v="4100000000"/>
    <n v="16.961341359136689"/>
    <n v="0.12195121951219512"/>
    <n v="7.3846153846153853E-2"/>
    <n v="241726165"/>
    <n v="5076249465"/>
    <n v="1.2381096256097561"/>
    <n v="3.0004271675213676"/>
    <s v="BB+ / Stable (05/2022)"/>
    <n v="72389"/>
    <n v="310820.70480321598"/>
    <n v="500000000"/>
    <s v="E = 1"/>
    <m/>
    <s v="Fondée en 1923, Valeo est un fournisseur automobile français qui s'est transformé depuis 2009 vers l'électrification de la voiture, l'automatisation et la digitalisation"/>
    <m/>
    <n v="1399"/>
    <s v="p"/>
    <s v="FR001317652612023"/>
    <s v="FR0013176526"/>
    <n v="1"/>
    <x v="62"/>
    <m/>
    <m/>
    <m/>
  </r>
  <r>
    <m/>
    <m/>
    <m/>
    <m/>
    <m/>
    <x v="1"/>
    <n v="0.12292259320257526"/>
    <n v="0.21824239900041653"/>
    <n v="0.41732283464566922"/>
    <n v="1.1739130434782608"/>
    <m/>
    <m/>
    <m/>
    <m/>
    <m/>
    <m/>
    <m/>
    <m/>
    <m/>
    <n v="2020"/>
    <m/>
    <s v=""/>
    <m/>
    <s v="S=1"/>
    <m/>
    <s v="Actionnaires institutionnelles : 75% Minoritaires : GIMD : 5% / BPI France : 5% / Salariés et auto-détention : 5% / Harris + 5% / BlackRock : 5%"/>
    <m/>
    <n v="1400"/>
    <s v="p"/>
    <s v="FR00131765261"/>
    <s v="FR0013176526"/>
    <n v="1"/>
    <x v="62"/>
    <m/>
    <m/>
    <m/>
  </r>
  <r>
    <m/>
    <m/>
    <m/>
    <m/>
    <n v="16.7"/>
    <x v="2"/>
    <n v="20037000000"/>
    <n v="2401000000"/>
    <n v="635000000"/>
    <n v="230000000"/>
    <n v="4002000000"/>
    <n v="3950000000"/>
    <n v="16.340804480143884"/>
    <n v="5.8227848101265821E-2"/>
    <n v="5.1106639839034206E-2"/>
    <n v="241726165"/>
    <n v="4036826955.5"/>
    <n v="1.0219815077215191"/>
    <n v="3.3481161830487296"/>
    <m/>
    <n v="72389"/>
    <n v="276796.19831742393"/>
    <n v="388000000"/>
    <s v="G=2"/>
    <m/>
    <s v="CEO : Christophe Perillat depuis 2021"/>
    <m/>
    <n v="1401"/>
    <s v="p"/>
    <s v="FR001317652612022"/>
    <s v="FR0013176526"/>
    <n v="1"/>
    <x v="62"/>
    <m/>
    <m/>
    <m/>
  </r>
  <r>
    <m/>
    <m/>
    <m/>
    <m/>
    <m/>
    <x v="1"/>
    <n v="0.16075773375043445"/>
    <n v="4.0294627383015591E-2"/>
    <n v="0.56403940886699511"/>
    <n v="0.31428571428571428"/>
    <m/>
    <m/>
    <m/>
    <m/>
    <m/>
    <m/>
    <m/>
    <m/>
    <m/>
    <m/>
    <m/>
    <s v=""/>
    <m/>
    <m/>
    <m/>
    <s v="Jacques Aschenbroich, né en 1954. dirigeant fin du mandat le 31/12/2018 - AG 2019 - Renouvelé. Il possède  832 833 actions "/>
    <m/>
    <n v="1402"/>
    <s v="p"/>
    <s v="FR00131765261"/>
    <s v="FR0013176526"/>
    <n v="1"/>
    <x v="62"/>
    <m/>
    <m/>
    <m/>
  </r>
  <r>
    <m/>
    <m/>
    <m/>
    <m/>
    <n v="26.58"/>
    <x v="3"/>
    <n v="17262000000"/>
    <n v="2308000000"/>
    <n v="406000000"/>
    <n v="175000000"/>
    <n v="3104000000"/>
    <n v="3695000000"/>
    <n v="15.379766731852181"/>
    <n v="4.7361299052774017E-2"/>
    <n v="3.8217384909545522E-2"/>
    <n v="240250718"/>
    <n v="6385864084.4399996"/>
    <n v="1.7282446777916101"/>
    <n v="4.1117262064298084"/>
    <m/>
    <n v="72389"/>
    <n v="238461.64472502729"/>
    <n v="292000000"/>
    <m/>
    <m/>
    <s v="Constructeurs français : 13% du CA, allemands : 30%, américains : 19% et asiatiques : 32%"/>
    <m/>
    <n v="1403"/>
    <s v="p"/>
    <s v="FR001317652612021"/>
    <s v="FR0013176526"/>
    <n v="1"/>
    <x v="62"/>
    <m/>
    <m/>
    <m/>
  </r>
  <r>
    <m/>
    <m/>
    <m/>
    <m/>
    <m/>
    <x v="1"/>
    <n v="5.0255536626916619E-2"/>
    <n v="0.53355481727574761"/>
    <n v="-1.4737456242707117"/>
    <n v="-1.1606978879706151"/>
    <m/>
    <m/>
    <m/>
    <m/>
    <m/>
    <m/>
    <m/>
    <m/>
    <m/>
    <m/>
    <m/>
    <s v=""/>
    <m/>
    <m/>
    <m/>
    <s v="Première monte : plus de 80% du CA"/>
    <m/>
    <n v="1404"/>
    <s v="p"/>
    <s v="FR00131765261"/>
    <s v="FR0013176526"/>
    <n v="1"/>
    <x v="62"/>
    <m/>
    <m/>
    <m/>
  </r>
  <r>
    <m/>
    <m/>
    <m/>
    <m/>
    <n v="29"/>
    <x v="4"/>
    <n v="16436000000"/>
    <n v="1505000000"/>
    <n v="-857000000"/>
    <n v="-1089000000"/>
    <n v="2944000000"/>
    <n v="3243000000"/>
    <n v="13.498398785222362"/>
    <n v="-0.33580018501387604"/>
    <n v="-8.8650395991595285E-2"/>
    <n v="240250718"/>
    <n v="6967270822"/>
    <n v="2.1484029670058589"/>
    <n v="6.5855620079734223"/>
    <m/>
    <n v="72389"/>
    <n v="227051.07129536255"/>
    <n v="294000000"/>
    <m/>
    <m/>
    <s v="En 2018, IFRS 16 : 442 M euros de plus d'endettement."/>
    <m/>
    <n v="1405"/>
    <s v="p"/>
    <s v="FR001317652612020"/>
    <s v="FR0013176526"/>
    <n v="1"/>
    <x v="62"/>
    <m/>
    <m/>
    <m/>
  </r>
  <r>
    <m/>
    <m/>
    <m/>
    <m/>
    <m/>
    <x v="1"/>
    <n v="-0.15613287467269088"/>
    <n v="-0.39703525641025639"/>
    <n v="-2.0752823086574654"/>
    <n v="-4.47923322683706"/>
    <m/>
    <m/>
    <m/>
    <m/>
    <m/>
    <m/>
    <m/>
    <m/>
    <m/>
    <m/>
    <m/>
    <s v=""/>
    <m/>
    <m/>
    <m/>
    <s v="En 2019, la JV avec Siemens coûte 237 Meuros "/>
    <m/>
    <n v="1406"/>
    <s v="p"/>
    <s v="FR00131765261"/>
    <s v="FR0013176526"/>
    <n v="1"/>
    <x v="62"/>
    <m/>
    <m/>
    <m/>
  </r>
  <r>
    <m/>
    <m/>
    <m/>
    <m/>
    <n v="31"/>
    <x v="5"/>
    <n v="19477000000"/>
    <n v="2496000000"/>
    <n v="797000000"/>
    <n v="313000000"/>
    <n v="2817000000"/>
    <n v="4629000000"/>
    <n v="19.365842012440066"/>
    <n v="6.7617195938647651E-2"/>
    <n v="6.8503894708568353E-2"/>
    <n v="239029111"/>
    <n v="7409902441"/>
    <n v="1.6007566301577014"/>
    <n v="4.0973166830929486"/>
    <m/>
    <m/>
    <s v=""/>
    <m/>
    <m/>
    <m/>
    <s v="En 2020, coût de la crise du Covid - 19 : 2,8 Md euros de CA (-28% contre -35% pour le marché automobile) et 1 Md euros d'EBE en moins "/>
    <m/>
    <n v="1407"/>
    <s v="p"/>
    <s v="FR001317652612019"/>
    <s v="FR0013176526"/>
    <n v="1"/>
    <x v="62"/>
    <m/>
    <m/>
    <m/>
  </r>
  <r>
    <m/>
    <m/>
    <m/>
    <m/>
    <m/>
    <x v="1"/>
    <n v="1.1214371008774204E-2"/>
    <n v="3.568464730290466E-2"/>
    <n v="-0.27014652014652019"/>
    <n v="-0.42673992673992678"/>
    <m/>
    <m/>
    <m/>
    <m/>
    <m/>
    <m/>
    <m/>
    <m/>
    <m/>
    <m/>
    <m/>
    <s v=""/>
    <m/>
    <m/>
    <m/>
    <s v="Capitalisation boursière la plus basse fin 2008 : 800 M euros soit 10% du CA et 61 % de l'actif net. Endettement sous contrôle pas d'augmentation de capital"/>
    <m/>
    <n v="1408"/>
    <s v="p"/>
    <s v="FR00131765261"/>
    <s v="FR0013176526"/>
    <n v="1"/>
    <x v="62"/>
    <m/>
    <m/>
    <m/>
  </r>
  <r>
    <m/>
    <m/>
    <m/>
    <m/>
    <n v="24.75"/>
    <x v="6"/>
    <n v="19261000000"/>
    <n v="2410000000"/>
    <n v="1092000000"/>
    <n v="546000000"/>
    <n v="2248000000"/>
    <n v="4571000000"/>
    <n v="19.263552654169246"/>
    <n v="0.11944869831546708"/>
    <n v="0.10249010118785745"/>
    <n v="237287487"/>
    <n v="5872865303.25"/>
    <n v="1.2848097359986874"/>
    <n v="3.3696536528008298"/>
    <m/>
    <m/>
    <s v=""/>
    <m/>
    <m/>
    <m/>
    <s v="Marché automobile 2020 estimé à -2%"/>
    <m/>
    <n v="1409"/>
    <s v="p"/>
    <s v="FR001317652612018"/>
    <s v="FR0013176526"/>
    <n v="1"/>
    <x v="62"/>
    <m/>
    <m/>
    <m/>
  </r>
  <r>
    <m/>
    <m/>
    <m/>
    <m/>
    <m/>
    <x v="1"/>
    <n v="3.8328840970350386E-2"/>
    <n v="-8.6384204031262346E-3"/>
    <n v="-0.2561307901907357"/>
    <n v="-0.37742303306727476"/>
    <m/>
    <m/>
    <m/>
    <m/>
    <m/>
    <m/>
    <m/>
    <m/>
    <m/>
    <m/>
    <m/>
    <s v=""/>
    <m/>
    <m/>
    <m/>
    <s v="En 2021, retour aux chiffres de 2019 mais avec d'autres produits (lié à l'innovation technologique) mais 1 Mde de fonds propres en moins (soit 5 euros par action). Équipe 2/3 des moteurs électriques"/>
    <m/>
    <n v="1410"/>
    <s v="p"/>
    <s v="FR00131765261"/>
    <s v="FR0013176526"/>
    <n v="1"/>
    <x v="62"/>
    <m/>
    <m/>
    <m/>
  </r>
  <r>
    <m/>
    <m/>
    <m/>
    <m/>
    <n v="62.27"/>
    <x v="7"/>
    <n v="18550000000"/>
    <n v="2431000000"/>
    <n v="1468000000"/>
    <n v="877000000"/>
    <n v="1842000000"/>
    <n v="4388000000"/>
    <n v="18.442864107866377"/>
    <n v="0.19986326344576116"/>
    <n v="0.15080577849117174"/>
    <n v="237924000"/>
    <n v="14815527480"/>
    <n v="3.3763736280765726"/>
    <n v="6.8521297737556557"/>
    <m/>
    <m/>
    <s v=""/>
    <m/>
    <m/>
    <m/>
    <s v="En 2022, rachat des 50% de Siemens dans la JV pour 700 Md euros dettes comprises. Perte de la JV avec Siemens : 243 Meuros comme ces dernières années mieux dans les années à venir"/>
    <m/>
    <n v="1411"/>
    <s v="p"/>
    <s v="FR001317652612017"/>
    <s v="FR0013176526"/>
    <n v="1"/>
    <x v="62"/>
    <m/>
    <m/>
    <m/>
  </r>
  <r>
    <m/>
    <m/>
    <m/>
    <m/>
    <m/>
    <x v="1"/>
    <n v="0.12294933107330963"/>
    <n v="0.13386194029850751"/>
    <n v="0.12836279784780946"/>
    <n v="-0.10783316378433372"/>
    <m/>
    <m/>
    <m/>
    <m/>
    <m/>
    <m/>
    <m/>
    <m/>
    <m/>
    <m/>
    <m/>
    <s v=""/>
    <m/>
    <m/>
    <m/>
    <s v="En janvier 2022, Aschenbroich deviendra président du CA (jusqu'en mai 2023) et passera la main à Christophe Perillat comme DG"/>
    <m/>
    <n v="1412"/>
    <s v="p"/>
    <s v="FR00131765261"/>
    <s v="FR0013176526"/>
    <n v="1"/>
    <x v="62"/>
    <m/>
    <m/>
    <m/>
  </r>
  <r>
    <m/>
    <m/>
    <m/>
    <m/>
    <n v="54.61"/>
    <x v="8"/>
    <n v="16519000000"/>
    <n v="2144000000"/>
    <n v="1301000000"/>
    <n v="983000000"/>
    <n v="537000000"/>
    <n v="4353000000"/>
    <n v="18.297429752098285"/>
    <n v="0.22582127268550425"/>
    <n v="0.17027402862985686"/>
    <n v="237902266"/>
    <n v="12991842746.26"/>
    <n v="2.9845721907328282"/>
    <n v="6.3100945644869402"/>
    <m/>
    <m/>
    <s v=""/>
    <m/>
    <m/>
    <m/>
    <s v="Pas d'usines en Ukraine et une en Russie : 1% du CA"/>
    <m/>
    <n v="1413"/>
    <s v="p"/>
    <s v="FR001317652612016"/>
    <s v="FR0013176526"/>
    <n v="1"/>
    <x v="62"/>
    <m/>
    <m/>
    <m/>
  </r>
  <r>
    <m/>
    <m/>
    <m/>
    <m/>
    <m/>
    <x v="1"/>
    <n v="0.1357948294829483"/>
    <n v="0.16080129940443966"/>
    <n v="0.30230230230230237"/>
    <n v="0.27002583979328176"/>
    <m/>
    <m/>
    <m/>
    <m/>
    <m/>
    <m/>
    <m/>
    <m/>
    <m/>
    <m/>
    <m/>
    <s v=""/>
    <m/>
    <m/>
    <m/>
    <s v="Cession d'actifs de 500 M euros pour contenir la dette qui montera à 4 Md euros avec l'acquisition des 50% dans  Siemens Automotive pour 270 M euros et 700 M euros d'impact sur l'endettement"/>
    <m/>
    <n v="1414"/>
    <s v="p"/>
    <s v="FR00131765261"/>
    <s v="FR0013176526"/>
    <n v="1"/>
    <x v="62"/>
    <m/>
    <m/>
    <m/>
  </r>
  <r>
    <m/>
    <m/>
    <s v="Nombre d'actions multiplié par 3"/>
    <m/>
    <n v="139.69999999999999"/>
    <x v="9"/>
    <n v="14544000000"/>
    <n v="1847000000"/>
    <n v="999000000"/>
    <n v="774000000"/>
    <n v="124000000"/>
    <n v="3692000000"/>
    <n v="47.059312387223194"/>
    <n v="0.2096424702058505"/>
    <n v="0.16754716981132076"/>
    <n v="78454185"/>
    <n v="10960049644.5"/>
    <n v="2.9685941615655471"/>
    <n v="6.0011097154845698"/>
    <m/>
    <m/>
    <s v=""/>
    <m/>
    <m/>
    <m/>
    <s v="Carnet de commandes à 1,5 fois le CA, plan 2025 ambitieux et 2030 : 40 Md euros de CA soit 9% de croissance par an"/>
    <m/>
    <n v="1415"/>
    <s v="p"/>
    <s v="FR001317652612015"/>
    <s v="FR0013176526"/>
    <n v="1"/>
    <x v="62"/>
    <m/>
    <m/>
    <m/>
  </r>
  <r>
    <m/>
    <m/>
    <m/>
    <m/>
    <m/>
    <x v="1"/>
    <n v="0.14294695481335951"/>
    <n v="0.21035386631716912"/>
    <n v="0.1629802095459838"/>
    <n v="0.30522765598650925"/>
    <m/>
    <m/>
    <m/>
    <m/>
    <m/>
    <m/>
    <m/>
    <m/>
    <m/>
    <m/>
    <m/>
    <s v=""/>
    <m/>
    <m/>
    <m/>
    <s v="Marché à horizon 10-15 ans, 150 Md euros fabrication 50%-50% avec les constructeurs. Valeo 20% du marché soit 15 Md euros de CA par an"/>
    <m/>
    <n v="1416"/>
    <s v="p"/>
    <s v="FR00131765261"/>
    <s v="FR0013176526"/>
    <n v="1"/>
    <x v="62"/>
    <m/>
    <m/>
    <m/>
  </r>
  <r>
    <m/>
    <m/>
    <m/>
    <m/>
    <n v="100.29"/>
    <x v="10"/>
    <n v="12725000000"/>
    <n v="1526000000"/>
    <n v="859000000"/>
    <n v="593000000"/>
    <n v="377000000"/>
    <n v="2955000000"/>
    <n v="37.998016079217336"/>
    <n v="0.20067681895093062"/>
    <n v="0.16499399759903963"/>
    <n v="77767218"/>
    <n v="7799274293.2200003"/>
    <n v="2.6393483225786802"/>
    <n v="5.3579779116775885"/>
    <m/>
    <m/>
    <s v=""/>
    <m/>
    <m/>
    <m/>
    <s v="Objectif 2025 : CA : 27,5 Md euros / EBE : 14,5 % : 4 Md e / Rex : 6,5% soit 1,8 Md euros / Free Cash Flow : 0,8 - 1 Md euros par an et 2,8 Md euros de dettes. Ces chiffres ont été revu à la baisse et décalé"/>
    <m/>
    <n v="1417"/>
    <s v="p"/>
    <s v="FR001317652612014"/>
    <s v="FR0013176526"/>
    <n v="1"/>
    <x v="62"/>
    <m/>
    <m/>
    <m/>
  </r>
  <r>
    <m/>
    <m/>
    <m/>
    <m/>
    <m/>
    <x v="1"/>
    <n v="5.0784475639966908E-2"/>
    <n v="0.12536873156342176"/>
    <n v="0.17994505494505497"/>
    <n v="0.26439232409381663"/>
    <m/>
    <m/>
    <m/>
    <m/>
    <m/>
    <m/>
    <m/>
    <m/>
    <m/>
    <m/>
    <m/>
    <s v=""/>
    <m/>
    <m/>
    <m/>
    <s v="En 2023, 32,6 Mds de prises de commandes "/>
    <m/>
    <n v="1418"/>
    <s v="p"/>
    <s v="FR00131765261"/>
    <s v="FR0013176526"/>
    <n v="1"/>
    <x v="62"/>
    <m/>
    <m/>
    <m/>
  </r>
  <r>
    <m/>
    <m/>
    <m/>
    <m/>
    <n v="77.86"/>
    <x v="11"/>
    <n v="12110000000"/>
    <n v="1356000000"/>
    <n v="728000000"/>
    <n v="469000000"/>
    <n v="290000000"/>
    <n v="2533000000"/>
    <n v="32.623751497530655"/>
    <n v="0.18515594157125936"/>
    <n v="0.16504427913567127"/>
    <n v="77642818"/>
    <n v="6045269809.4799995"/>
    <n v="2.3866047412080533"/>
    <n v="4.6720278830973445"/>
    <m/>
    <m/>
    <s v=""/>
    <m/>
    <m/>
    <m/>
    <s v="Remboursement de la dette entre 600 et 700 M d'€ par an jusqu'en 2028"/>
    <m/>
    <n v="1419"/>
    <s v="p"/>
    <s v="FR001317652612013"/>
    <s v="FR0013176526"/>
    <n v="1"/>
    <x v="62"/>
    <m/>
    <m/>
    <m/>
  </r>
  <r>
    <m/>
    <m/>
    <m/>
    <m/>
    <m/>
    <x v="1"/>
    <n v="2.9849476996343327E-2"/>
    <n v="7.6190476190476142E-2"/>
    <n v="8.3333333333333259E-2"/>
    <n v="0.18434343434343425"/>
    <m/>
    <m/>
    <m/>
    <m/>
    <m/>
    <m/>
    <m/>
    <m/>
    <m/>
    <m/>
    <m/>
    <s v=""/>
    <m/>
    <m/>
    <m/>
    <s v="Taux d'impôt : 28,8%"/>
    <m/>
    <n v="1420"/>
    <s v="p"/>
    <s v="FR00131765261"/>
    <s v="FR0013176526"/>
    <n v="1"/>
    <x v="62"/>
    <m/>
    <m/>
    <m/>
  </r>
  <r>
    <m/>
    <m/>
    <m/>
    <m/>
    <n v="37.36"/>
    <x v="12"/>
    <n v="11759000000"/>
    <n v="1260000000"/>
    <n v="672000000"/>
    <n v="396000000"/>
    <n v="763000000"/>
    <n v="2195000000"/>
    <n v="28.842236997594348"/>
    <n v="0.18041002277904328"/>
    <n v="0.14539553752535497"/>
    <n v="76103667"/>
    <n v="2843232999.1199999"/>
    <n v="1.2953225508519361"/>
    <n v="2.8620896818412698"/>
    <m/>
    <m/>
    <s v=""/>
    <m/>
    <m/>
    <m/>
    <s v="CAC : Mazars et Ernst &amp; Young"/>
    <m/>
    <n v="1421"/>
    <s v="p"/>
    <s v="FR001317652612012"/>
    <s v="FR0013176526"/>
    <n v="1"/>
    <x v="62"/>
    <m/>
    <m/>
    <m/>
  </r>
  <r>
    <m/>
    <m/>
    <m/>
    <m/>
    <m/>
    <x v="1"/>
    <n v="8.1983805668016219E-2"/>
    <n v="3.9603960396039639E-2"/>
    <n v="-4.5454545454545414E-2"/>
    <n v="-0.12195121951219512"/>
    <m/>
    <m/>
    <m/>
    <m/>
    <m/>
    <m/>
    <m/>
    <m/>
    <m/>
    <m/>
    <m/>
    <s v=""/>
    <m/>
    <m/>
    <m/>
    <s v="Minoritaires : 20% (JV avec Siemens)"/>
    <m/>
    <n v="1422"/>
    <s v="p"/>
    <s v="FR00131765261"/>
    <s v="FR0013176526"/>
    <n v="1"/>
    <x v="62"/>
    <m/>
    <m/>
    <m/>
  </r>
  <r>
    <m/>
    <m/>
    <m/>
    <m/>
    <n v="30.71"/>
    <x v="17"/>
    <n v="10868000000"/>
    <n v="1212000000"/>
    <n v="704000000"/>
    <n v="451000000"/>
    <n v="523000000"/>
    <n v="2080000000"/>
    <n v="27.722839314558129"/>
    <n v="0.21682692307692308"/>
    <n v="0.17309258547829429"/>
    <n v="75028390"/>
    <n v="2304121856.9000001"/>
    <n v="1.1077508927403847"/>
    <n v="2.3326087928217825"/>
    <m/>
    <m/>
    <s v=""/>
    <m/>
    <m/>
    <m/>
    <s v="Pay out ratio 2022 : 50 % (60% suite baisse du résultat et maintien du dividende en 2021)"/>
    <m/>
    <n v="1423"/>
    <s v="p"/>
    <s v="FR001317652612011"/>
    <s v="FR0013176526"/>
    <n v="1"/>
    <x v="62"/>
    <m/>
    <m/>
    <m/>
  </r>
  <r>
    <m/>
    <m/>
    <m/>
    <m/>
    <m/>
    <x v="1"/>
    <n v="0.12832225913621254"/>
    <n v="5.7591623036649109E-2"/>
    <n v="0.19322033898305091"/>
    <n v="0.17447916666666674"/>
    <m/>
    <m/>
    <m/>
    <m/>
    <m/>
    <m/>
    <m/>
    <m/>
    <m/>
    <m/>
    <m/>
    <s v=""/>
    <m/>
    <m/>
    <m/>
    <m/>
    <m/>
    <n v="1424"/>
    <s v="p"/>
    <s v="FR00131765261"/>
    <s v="FR0013176526"/>
    <n v="1"/>
    <x v="62"/>
    <m/>
    <m/>
    <m/>
  </r>
  <r>
    <m/>
    <m/>
    <m/>
    <m/>
    <n v="42.47"/>
    <x v="18"/>
    <n v="9632000000"/>
    <n v="1146000000"/>
    <n v="590000000"/>
    <n v="384000000"/>
    <n v="278000000"/>
    <n v="1770000000"/>
    <n v="23.571663717323283"/>
    <n v="0.21694915254237288"/>
    <n v="0.18437500000000001"/>
    <n v="75090160"/>
    <n v="3189079095.1999998"/>
    <n v="1.8017396018079095"/>
    <n v="3.0253744286212911"/>
    <m/>
    <m/>
    <s v=""/>
    <m/>
    <m/>
    <m/>
    <m/>
    <m/>
    <n v="1425"/>
    <s v="p"/>
    <s v="FR001317652612010"/>
    <s v="FR0013176526"/>
    <n v="1"/>
    <x v="62"/>
    <m/>
    <m/>
    <m/>
  </r>
  <r>
    <m/>
    <m/>
    <m/>
    <m/>
    <m/>
    <x v="1"/>
    <n v="0.2844379250566742"/>
    <n v="0.71814092953523234"/>
    <n v="6.0238095238095237"/>
    <n v="1.6301369863013697"/>
    <m/>
    <m/>
    <m/>
    <m/>
    <m/>
    <m/>
    <m/>
    <m/>
    <m/>
    <m/>
    <m/>
    <s v=""/>
    <m/>
    <m/>
    <m/>
    <m/>
    <m/>
    <n v="1426"/>
    <s v="p"/>
    <s v="FR00131765261"/>
    <s v="FR0013176526"/>
    <n v="1"/>
    <x v="62"/>
    <m/>
    <m/>
    <m/>
  </r>
  <r>
    <m/>
    <m/>
    <m/>
    <m/>
    <n v="24.53"/>
    <x v="38"/>
    <n v="7499000000"/>
    <n v="667000000"/>
    <n v="84000000"/>
    <n v="146000000"/>
    <n v="722000000"/>
    <n v="1233000000"/>
    <n v="15.765324614746547"/>
    <n v="0.11841038118410381"/>
    <n v="2.7498721227621484E-2"/>
    <n v="78209617"/>
    <n v="1918481905.01"/>
    <n v="1.5559463949797243"/>
    <n v="3.9587434857721142"/>
    <m/>
    <m/>
    <s v=""/>
    <m/>
    <m/>
    <m/>
    <m/>
    <m/>
    <n v="1427"/>
    <s v="p"/>
    <s v="FR001317652612009"/>
    <s v="FR0013176526"/>
    <n v="1"/>
    <x v="62"/>
    <m/>
    <m/>
    <m/>
  </r>
  <r>
    <m/>
    <m/>
    <m/>
    <m/>
    <m/>
    <x v="1"/>
    <n v="-0.1357612077907111"/>
    <m/>
    <n v="-2.6153846153846154"/>
    <n v="-1.7053140096618358"/>
    <m/>
    <m/>
    <m/>
    <m/>
    <m/>
    <m/>
    <m/>
    <m/>
    <m/>
    <m/>
    <m/>
    <s v=""/>
    <m/>
    <m/>
    <m/>
    <m/>
    <m/>
    <n v="1428"/>
    <s v="p"/>
    <s v="FR00131765261"/>
    <s v="FR0013176526"/>
    <n v="1"/>
    <x v="62"/>
    <m/>
    <m/>
    <m/>
  </r>
  <r>
    <m/>
    <m/>
    <m/>
    <m/>
    <n v="10.62"/>
    <x v="20"/>
    <n v="8677000000"/>
    <m/>
    <n v="-52000000"/>
    <n v="-207000000"/>
    <m/>
    <n v="1362000000"/>
    <n v="17.414738138917109"/>
    <n v="-0.15198237885462554"/>
    <n v="-2.443465491923642E-2"/>
    <n v="78209617"/>
    <n v="830586132.53999996"/>
    <n v="0.6098282911453744"/>
    <m/>
    <m/>
    <m/>
    <s v=""/>
    <m/>
    <m/>
    <m/>
    <m/>
    <m/>
    <n v="1429"/>
    <s v="p"/>
    <s v="FR001317652612008"/>
    <s v="FR0013176526"/>
    <n v="1"/>
    <x v="62"/>
    <m/>
    <m/>
    <m/>
  </r>
  <r>
    <m/>
    <m/>
    <m/>
    <m/>
    <m/>
    <x v="1"/>
    <m/>
    <m/>
    <m/>
    <m/>
    <m/>
    <m/>
    <m/>
    <m/>
    <m/>
    <m/>
    <m/>
    <m/>
    <m/>
    <m/>
    <m/>
    <s v=""/>
    <m/>
    <m/>
    <m/>
    <m/>
    <m/>
    <n v="1430"/>
    <s v="p"/>
    <s v="FR00131765261"/>
    <s v="FR0013176526"/>
    <n v="1"/>
    <x v="62"/>
    <m/>
    <m/>
    <m/>
  </r>
  <r>
    <m/>
    <m/>
    <m/>
    <m/>
    <m/>
    <x v="1"/>
    <m/>
    <m/>
    <m/>
    <m/>
    <m/>
    <m/>
    <m/>
    <m/>
    <m/>
    <m/>
    <m/>
    <m/>
    <m/>
    <m/>
    <m/>
    <s v=""/>
    <m/>
    <m/>
    <m/>
    <m/>
    <m/>
    <n v="1431"/>
    <s v="p"/>
    <s v="FR00131765261"/>
    <s v="FR0013176526"/>
    <n v="1"/>
    <x v="62"/>
    <m/>
    <m/>
    <m/>
  </r>
  <r>
    <m/>
    <m/>
    <m/>
    <m/>
    <m/>
    <x v="1"/>
    <m/>
    <m/>
    <m/>
    <m/>
    <m/>
    <m/>
    <m/>
    <m/>
    <m/>
    <m/>
    <m/>
    <m/>
    <m/>
    <m/>
    <m/>
    <s v=""/>
    <m/>
    <m/>
    <m/>
    <m/>
    <m/>
    <n v="1432"/>
    <s v="p"/>
    <s v="FR00131765261"/>
    <s v="FR0013176526"/>
    <n v="1"/>
    <x v="62"/>
    <m/>
    <m/>
    <m/>
  </r>
  <r>
    <s v="FORVIA (ex-Faurecia)"/>
    <s v="Automobile"/>
    <s v="France"/>
    <s v="Euro"/>
    <n v="22"/>
    <x v="0"/>
    <n v="26000000000"/>
    <n v="3400000000"/>
    <n v="1430000000"/>
    <n v="450000000"/>
    <n v="6500000000"/>
    <n v="4450000000"/>
    <n v="22.578593038060809"/>
    <n v="0.10112359550561797"/>
    <n v="8.3579908675799092E-2"/>
    <n v="197089340"/>
    <n v="4335965480"/>
    <n v="0.97437426516853931"/>
    <n v="3.1870486705882355"/>
    <s v="BB / Stable (12/2021)"/>
    <n v="150000"/>
    <n v="173333.33333333334"/>
    <n v="390000000"/>
    <s v="E = 0"/>
    <m/>
    <s v="Équipementier automobile fondé en 1997, ancienne filiale du groupe PSA à 46,34% dirigé par Patrick Koller. Distribution des titres en 2021 suite à la création de Stellantis"/>
    <m/>
    <n v="1433"/>
    <s v="p"/>
    <s v="FR000012114712023"/>
    <s v="FR0000121147"/>
    <n v="1"/>
    <x v="63"/>
    <m/>
    <m/>
    <m/>
  </r>
  <r>
    <m/>
    <m/>
    <m/>
    <m/>
    <m/>
    <x v="1"/>
    <n v="2.128996779008574E-2"/>
    <n v="0.12881806108897753"/>
    <n v="0.28244174037567826"/>
    <m/>
    <m/>
    <m/>
    <m/>
    <m/>
    <m/>
    <m/>
    <m/>
    <m/>
    <m/>
    <m/>
    <m/>
    <s v=""/>
    <m/>
    <s v="S = 1"/>
    <m/>
    <s v="Flottant à 85%. Actionnaires : Famille Hueck et Roepke (9% familles actionnaires d'Hella), Peugeot Invest (3,1%), Exor (5,5%) (les actionnaires de Stellantis), BPI (2,4%), Dongfeng (2,2%) et employés (2,6%)"/>
    <m/>
    <n v="1434"/>
    <s v="p"/>
    <s v="FR00001211471"/>
    <s v="FR0000121147"/>
    <n v="1"/>
    <x v="63"/>
    <m/>
    <m/>
    <m/>
  </r>
  <r>
    <m/>
    <m/>
    <m/>
    <m/>
    <n v="14.13"/>
    <x v="2"/>
    <n v="25458000000"/>
    <n v="3012000000"/>
    <n v="1115060400"/>
    <n v="-382000000"/>
    <n v="7500000000"/>
    <n v="4000000000"/>
    <n v="20.295364528593986"/>
    <n v="-9.5500000000000002E-2"/>
    <n v="6.2055535304347827E-2"/>
    <n v="197089340"/>
    <n v="2784872374.2000003"/>
    <n v="0.69621809355000008"/>
    <n v="3.4146322623505978"/>
    <m/>
    <n v="111000"/>
    <n v="229351.35135135136"/>
    <n v="250000000"/>
    <s v="G = 2"/>
    <m/>
    <s v="7 ème équipementier mondial présent dans 40 pays. 300 sites industriels dans le Monde et 75 centres de R&amp;D (35 000 ingénieurs)"/>
    <m/>
    <n v="1435"/>
    <s v="p"/>
    <s v="FR000012114712022"/>
    <s v="FR0000121147"/>
    <n v="1"/>
    <x v="63"/>
    <m/>
    <m/>
    <m/>
  </r>
  <r>
    <m/>
    <m/>
    <m/>
    <m/>
    <m/>
    <x v="1"/>
    <n v="0.63004225893200161"/>
    <n v="0.42816500711237548"/>
    <n v="0.29357354988399065"/>
    <n v="3.8354430379746836"/>
    <m/>
    <m/>
    <m/>
    <m/>
    <m/>
    <m/>
    <m/>
    <m/>
    <m/>
    <m/>
    <m/>
    <s v=""/>
    <m/>
    <s v="N = 2030"/>
    <m/>
    <s v="Les clients sont principalement les quinze premiers constructeurs automobiles. 50% du CA avec 4 clients (contre 60% avant) : Peugeot, Renault, VW et Ford et 80% du CA avec 10 clients"/>
    <m/>
    <n v="1436"/>
    <s v="p"/>
    <s v="FR00001211471"/>
    <s v="FR0000121147"/>
    <n v="1"/>
    <x v="63"/>
    <m/>
    <m/>
    <m/>
  </r>
  <r>
    <m/>
    <m/>
    <m/>
    <m/>
    <n v="41.83"/>
    <x v="3"/>
    <n v="15618000000"/>
    <n v="2109000000"/>
    <n v="862000000"/>
    <n v="-79000000"/>
    <n v="3467000000"/>
    <n v="3319700000"/>
    <n v="24.049557983874053"/>
    <n v="-2.3797331084134107E-2"/>
    <n v="8.1288402316295111E-2"/>
    <n v="138035801"/>
    <n v="5774037555.8299999"/>
    <n v="1.7393251064343163"/>
    <n v="4.3817152943717401"/>
    <m/>
    <n v="111000"/>
    <n v="140702.70270270269"/>
    <n v="317000000"/>
    <m/>
    <m/>
    <s v="4 types d'activié : sièges (30%), intérieurs - planche de bord (20%), mobilité propre (18% : réduction de CO2 et Hydrogène) et 4% (Clarion Electronics) dépréciation en cours et Hella (28%)"/>
    <m/>
    <n v="1437"/>
    <s v="p"/>
    <s v="FR000012114712021"/>
    <s v="FR0000121147"/>
    <n v="1"/>
    <x v="63"/>
    <m/>
    <m/>
    <m/>
  </r>
  <r>
    <m/>
    <m/>
    <m/>
    <m/>
    <m/>
    <x v="1"/>
    <n v="6.5798632436637527E-2"/>
    <n v="0.25625446747676905"/>
    <n v="1.1221073362875429"/>
    <n v="-0.79144667370644139"/>
    <m/>
    <m/>
    <m/>
    <m/>
    <m/>
    <m/>
    <m/>
    <m/>
    <m/>
    <m/>
    <m/>
    <s v=""/>
    <m/>
    <m/>
    <m/>
    <s v="Europe : 45% (contre 51%)  - États-Unis : 24% (contre 23%)  Asie : 27% (contre 23%). Reste du Monde 4%"/>
    <m/>
    <n v="1438"/>
    <s v="p"/>
    <s v="FR00001211471"/>
    <s v="FR0000121147"/>
    <n v="1"/>
    <x v="63"/>
    <m/>
    <m/>
    <m/>
  </r>
  <r>
    <m/>
    <m/>
    <m/>
    <m/>
    <n v="41.91"/>
    <x v="4"/>
    <n v="14653800000"/>
    <n v="1678800000"/>
    <n v="406200000"/>
    <n v="-378800000"/>
    <n v="3128100000"/>
    <n v="3395700000"/>
    <n v="24.60013978547493"/>
    <n v="-0.11155284624672379"/>
    <n v="3.9849167663018485E-2"/>
    <n v="138035801"/>
    <n v="5785080419.9099998"/>
    <n v="1.7036488558794947"/>
    <n v="5.3092568619907077"/>
    <m/>
    <m/>
    <s v=""/>
    <m/>
    <m/>
    <m/>
    <s v="En 2020, la baisse d'activité et de résultats s'est traduit par une baisse du flux de trésorerie de 500 M euros proche de 0 =&gt; endettement en hausse"/>
    <m/>
    <n v="1439"/>
    <s v="p"/>
    <s v="FR000012114712020"/>
    <s v="FR0000121147"/>
    <n v="1"/>
    <x v="63"/>
    <m/>
    <m/>
    <m/>
  </r>
  <r>
    <m/>
    <m/>
    <m/>
    <m/>
    <m/>
    <x v="1"/>
    <n v="-0.17528407332158957"/>
    <n v="-0.30175102940564824"/>
    <n v="-0.68347229798176579"/>
    <n v="-1.6423605222994744"/>
    <m/>
    <m/>
    <m/>
    <m/>
    <m/>
    <m/>
    <m/>
    <m/>
    <m/>
    <m/>
    <m/>
    <s v=""/>
    <m/>
    <m/>
    <m/>
    <s v="En 2020, un peu de dépréciation d'actifs sur Clarion Electronics"/>
    <m/>
    <n v="1440"/>
    <s v="p"/>
    <s v="FR00001211471"/>
    <s v="FR0000121147"/>
    <n v="1"/>
    <x v="63"/>
    <m/>
    <m/>
    <m/>
  </r>
  <r>
    <m/>
    <m/>
    <m/>
    <m/>
    <n v="47"/>
    <x v="5"/>
    <n v="17768300000"/>
    <n v="2404300000"/>
    <n v="1283300000"/>
    <n v="589700000"/>
    <n v="2524000000"/>
    <n v="4135000000"/>
    <n v="29.955996705521343"/>
    <n v="0.14261185006045948"/>
    <n v="0.12333863943535066"/>
    <n v="138035801"/>
    <n v="6487682647"/>
    <n v="1.5689679920193471"/>
    <n v="3.7481523299920974"/>
    <m/>
    <m/>
    <s v=""/>
    <m/>
    <m/>
    <m/>
    <s v="En 2021, le 14 août acquisition de la société allemande Hella auprès de la famille (qui souhaitait vendre) pour 60% du capital et le solde coté en bourse via une OPA pour un coût total de 6,72 Md euros soit 12,8 fois le résultat d'exploitation (520 M euros) et 18,6 fois le RN (360 M euros) de 2021. "/>
    <m/>
    <n v="1441"/>
    <s v="p"/>
    <s v="FR000012114712019"/>
    <s v="FR0000121147"/>
    <n v="1"/>
    <x v="63"/>
    <m/>
    <m/>
    <m/>
  </r>
  <r>
    <m/>
    <m/>
    <m/>
    <m/>
    <m/>
    <x v="1"/>
    <n v="1.3900380605659457E-2"/>
    <n v="0.12318975988040726"/>
    <n v="7.3789151424759059E-3"/>
    <n v="-0.15853310502283102"/>
    <m/>
    <m/>
    <m/>
    <m/>
    <m/>
    <m/>
    <m/>
    <m/>
    <m/>
    <m/>
    <m/>
    <s v=""/>
    <m/>
    <m/>
    <m/>
    <s v="Hella n'a pas de dettes et pas de minoritaires et complète l'offre produits (conduite accompagnée et recyclage) et élargit les clients, historiquement Faurecia, lié à Peugeot, avait moins de clients que Valeo.."/>
    <m/>
    <n v="1442"/>
    <s v="p"/>
    <s v="FR00001211471"/>
    <s v="FR0000121147"/>
    <n v="1"/>
    <x v="63"/>
    <m/>
    <m/>
    <m/>
  </r>
  <r>
    <m/>
    <m/>
    <m/>
    <m/>
    <n v="32"/>
    <x v="6"/>
    <n v="17524700000"/>
    <n v="2140600000"/>
    <n v="1273900000"/>
    <n v="700800000"/>
    <n v="477700000"/>
    <n v="3709700000"/>
    <n v="26.874911965773286"/>
    <n v="0.18891015445992937"/>
    <n v="0.1947022018436261"/>
    <n v="138035801"/>
    <n v="4417145632"/>
    <n v="1.1907015747904144"/>
    <n v="2.2866699205830141"/>
    <m/>
    <m/>
    <s v=""/>
    <m/>
    <m/>
    <m/>
    <s v="Le financement de 6,7 Md euros se fera par augmentation de capital de 800 M euros (probablement 25 Millions de titres à 32 euros) et un crédit relais de 5,5 Md euros puis un refinancement obligataire et bancaire"/>
    <m/>
    <n v="1443"/>
    <s v="p"/>
    <s v="FR000012114712018"/>
    <s v="FR0000121147"/>
    <n v="1"/>
    <x v="63"/>
    <m/>
    <m/>
    <m/>
  </r>
  <r>
    <m/>
    <m/>
    <m/>
    <m/>
    <m/>
    <x v="1"/>
    <m/>
    <m/>
    <m/>
    <m/>
    <m/>
    <m/>
    <m/>
    <m/>
    <m/>
    <m/>
    <m/>
    <m/>
    <m/>
    <m/>
    <m/>
    <s v=""/>
    <m/>
    <m/>
    <m/>
    <s v="Et une augmentation de capital réservée à la famille actionnaire d'Hella soit 13,571 M de titres supplémentaires et environ 500 M euros"/>
    <m/>
    <n v="1444"/>
    <s v="p"/>
    <s v="FR00001211471"/>
    <s v="FR0000121147"/>
    <n v="1"/>
    <x v="63"/>
    <m/>
    <m/>
    <m/>
  </r>
  <r>
    <m/>
    <m/>
    <m/>
    <m/>
    <n v="68"/>
    <x v="7"/>
    <m/>
    <m/>
    <m/>
    <m/>
    <m/>
    <m/>
    <m/>
    <m/>
    <m/>
    <n v="138035801"/>
    <n v="9386434468"/>
    <m/>
    <m/>
    <m/>
    <m/>
    <s v=""/>
    <m/>
    <m/>
    <m/>
    <s v="Hella est spécialisé dans la conduite accompagnée/autonome, le cycle de vie des produits, la mobilité électrique et le cockpit du futur. 7 Md euros de CA, 125 sites dans le Monde et 36 000 salairés (200 K euros par salarié)"/>
    <m/>
    <n v="1445"/>
    <s v="p"/>
    <s v="FR000012114712017"/>
    <s v="FR0000121147"/>
    <n v="1"/>
    <x v="63"/>
    <m/>
    <m/>
    <m/>
  </r>
  <r>
    <m/>
    <m/>
    <m/>
    <m/>
    <m/>
    <x v="1"/>
    <m/>
    <m/>
    <m/>
    <m/>
    <m/>
    <m/>
    <m/>
    <m/>
    <m/>
    <m/>
    <m/>
    <m/>
    <m/>
    <m/>
    <m/>
    <s v=""/>
    <m/>
    <m/>
    <m/>
    <s v="Fin novembre : Faurecia précise détenir 79,5% de Hella, le reste restera coté"/>
    <m/>
    <n v="1446"/>
    <s v="p"/>
    <s v="FR00001211471"/>
    <s v="FR0000121147"/>
    <n v="1"/>
    <x v="63"/>
    <m/>
    <m/>
    <m/>
  </r>
  <r>
    <m/>
    <m/>
    <m/>
    <m/>
    <n v="38"/>
    <x v="8"/>
    <m/>
    <m/>
    <m/>
    <m/>
    <m/>
    <m/>
    <m/>
    <m/>
    <m/>
    <n v="138035801"/>
    <n v="5245360438"/>
    <m/>
    <m/>
    <m/>
    <m/>
    <s v=""/>
    <m/>
    <m/>
    <m/>
    <s v="Production automobile mondiale en 2021 : 76,6 Millions de véhicules (80 Millions en 2019) - prévisions : 90,9 Millions de véhicules en 2025. CA de Faurecia : 24,5 Md euros et marge 8% (2 Md euros)"/>
    <m/>
    <n v="1447"/>
    <s v="p"/>
    <s v="FR000012114712016"/>
    <s v="FR0000121147"/>
    <n v="1"/>
    <x v="63"/>
    <m/>
    <m/>
    <m/>
  </r>
  <r>
    <m/>
    <m/>
    <m/>
    <m/>
    <m/>
    <x v="1"/>
    <m/>
    <m/>
    <m/>
    <m/>
    <m/>
    <m/>
    <m/>
    <m/>
    <m/>
    <m/>
    <m/>
    <m/>
    <m/>
    <m/>
    <m/>
    <s v=""/>
    <m/>
    <m/>
    <m/>
    <s v="En 2021, amélioration du CA et marge à 5,5% en dépit de la pénurie de semi-conducteurs et des problèmes sur l'usine du Michigan (sous contrôle et en cours de résolution fin 2021)"/>
    <m/>
    <n v="1448"/>
    <s v="p"/>
    <s v="FR00001211471"/>
    <s v="FR0000121147"/>
    <n v="1"/>
    <x v="63"/>
    <m/>
    <m/>
    <m/>
  </r>
  <r>
    <m/>
    <m/>
    <m/>
    <m/>
    <n v="33"/>
    <x v="9"/>
    <m/>
    <m/>
    <m/>
    <m/>
    <m/>
    <m/>
    <m/>
    <m/>
    <m/>
    <m/>
    <m/>
    <m/>
    <m/>
    <m/>
    <m/>
    <s v=""/>
    <m/>
    <m/>
    <m/>
    <s v="En 2022, les objectifs sont décalés avec la guerre en Europe (baisse de 20% des ventes en mars). Surperformance de Forvia de 5%. Suspension du dividendes, cession (1 Md e fin 2023 ) et covenant à 3,75 fin 2022. "/>
    <m/>
    <n v="1449"/>
    <s v="p"/>
    <s v="FR000012114712015"/>
    <s v="FR0000121147"/>
    <n v="1"/>
    <x v="63"/>
    <m/>
    <m/>
    <m/>
  </r>
  <r>
    <m/>
    <m/>
    <m/>
    <m/>
    <m/>
    <x v="1"/>
    <m/>
    <m/>
    <m/>
    <m/>
    <m/>
    <m/>
    <m/>
    <m/>
    <m/>
    <m/>
    <m/>
    <m/>
    <m/>
    <m/>
    <m/>
    <s v=""/>
    <m/>
    <m/>
    <m/>
    <s v="Ventes prévues à 24 Md euros pour 74 Millions de véhicules vendus dans le Monde, marge à 4-5% et free cash flow à 0. Augmentation de capital de 800 M euros différée"/>
    <m/>
    <n v="1450"/>
    <s v="p"/>
    <s v="FR00001211471"/>
    <s v="FR0000121147"/>
    <n v="1"/>
    <x v="63"/>
    <m/>
    <m/>
    <m/>
  </r>
  <r>
    <m/>
    <m/>
    <m/>
    <m/>
    <n v="29.58"/>
    <x v="10"/>
    <m/>
    <m/>
    <m/>
    <m/>
    <m/>
    <m/>
    <m/>
    <m/>
    <m/>
    <m/>
    <m/>
    <m/>
    <m/>
    <m/>
    <m/>
    <s v=""/>
    <m/>
    <m/>
    <m/>
    <s v="Ancien objectifs 2022 de Faurecia (retour sur les niveaux de 2019) plus Hella (précision en avril 2022) : 26,5 Md euros de CA et 4 Md euros d'EBE puis en "/>
    <m/>
    <n v="1451"/>
    <s v="p"/>
    <s v="FR000012114712014"/>
    <s v="FR0000121147"/>
    <n v="1"/>
    <x v="63"/>
    <m/>
    <m/>
    <m/>
  </r>
  <r>
    <m/>
    <m/>
    <m/>
    <m/>
    <m/>
    <x v="1"/>
    <m/>
    <m/>
    <m/>
    <m/>
    <m/>
    <m/>
    <m/>
    <m/>
    <m/>
    <m/>
    <m/>
    <m/>
    <m/>
    <m/>
    <m/>
    <s v=""/>
    <m/>
    <m/>
    <m/>
    <s v="Hella détenue à 81,5% pour un prix de 5,4 Md euros avec 500 Me payé suite à une augmentation de capital et 4,9 Md euros en cash (d'où endettement)"/>
    <m/>
    <n v="1452"/>
    <s v="p"/>
    <s v="FR00001211471"/>
    <s v="FR0000121147"/>
    <n v="1"/>
    <x v="63"/>
    <m/>
    <m/>
    <m/>
  </r>
  <r>
    <m/>
    <m/>
    <m/>
    <m/>
    <n v="26"/>
    <x v="11"/>
    <m/>
    <m/>
    <m/>
    <m/>
    <m/>
    <m/>
    <m/>
    <m/>
    <m/>
    <m/>
    <m/>
    <m/>
    <m/>
    <m/>
    <m/>
    <s v=""/>
    <m/>
    <m/>
    <m/>
    <s v="En 2022, augmentation de capital avec 30% d'actions supplémentaires à 15,5 euros pour 705 M euros"/>
    <m/>
    <n v="1453"/>
    <s v="p"/>
    <s v="FR000012114712013"/>
    <s v="FR0000121147"/>
    <n v="1"/>
    <x v="63"/>
    <m/>
    <m/>
    <m/>
  </r>
  <r>
    <m/>
    <m/>
    <m/>
    <m/>
    <m/>
    <x v="1"/>
    <m/>
    <m/>
    <m/>
    <m/>
    <m/>
    <m/>
    <m/>
    <m/>
    <m/>
    <m/>
    <m/>
    <m/>
    <m/>
    <m/>
    <m/>
    <s v=""/>
    <m/>
    <m/>
    <m/>
    <s v="Amélioration en vue de l'activité et de la marge, notamment Hella (par contre pas forcément de synergie pour l'instant). Activité pot d'échappement en extinction à 2035, gérable et peut-être pas si grave selon Koller"/>
    <m/>
    <n v="1454"/>
    <s v="p"/>
    <s v="FR00001211471"/>
    <s v="FR0000121147"/>
    <n v="1"/>
    <x v="63"/>
    <m/>
    <m/>
    <m/>
  </r>
  <r>
    <m/>
    <m/>
    <m/>
    <m/>
    <n v="12"/>
    <x v="12"/>
    <m/>
    <m/>
    <m/>
    <m/>
    <m/>
    <m/>
    <m/>
    <m/>
    <m/>
    <m/>
    <m/>
    <m/>
    <m/>
    <m/>
    <m/>
    <s v=""/>
    <m/>
    <m/>
    <m/>
    <s v="2025 : 30 Md euros de CA, 4 Md euros d'EBE et 7% de marge d'exploitation soit 2,1 Md euros et dettes = 1,5 EBE (6 Md euros) et Cash flow net de 1,2 Md euros (4% du CA). RN de 1,1 à 1,2 Md euros"/>
    <m/>
    <n v="1455"/>
    <s v="p"/>
    <s v="FR000012114712012"/>
    <s v="FR0000121147"/>
    <n v="1"/>
    <x v="63"/>
    <m/>
    <m/>
    <m/>
  </r>
  <r>
    <m/>
    <m/>
    <m/>
    <m/>
    <m/>
    <x v="1"/>
    <m/>
    <m/>
    <m/>
    <m/>
    <m/>
    <m/>
    <m/>
    <m/>
    <m/>
    <m/>
    <m/>
    <m/>
    <m/>
    <m/>
    <m/>
    <s v=""/>
    <m/>
    <m/>
    <m/>
    <s v="Gestion de l'énergie efficace : 0,7% des coûts, réduction avec couverture, économie et panneaux solaires. Neutralité carbone en 2030"/>
    <m/>
    <n v="1456"/>
    <s v="p"/>
    <s v="FR00001211471"/>
    <s v="FR0000121147"/>
    <n v="1"/>
    <x v="63"/>
    <m/>
    <m/>
    <m/>
  </r>
  <r>
    <m/>
    <m/>
    <m/>
    <m/>
    <n v="16"/>
    <x v="17"/>
    <m/>
    <m/>
    <m/>
    <m/>
    <m/>
    <m/>
    <m/>
    <m/>
    <m/>
    <m/>
    <m/>
    <m/>
    <m/>
    <m/>
    <m/>
    <s v=""/>
    <m/>
    <m/>
    <m/>
    <s v="Remboursement de la dette : 2025 1Md, en 2026 1,45 Md, en 2027 2,09 Md, en 2028 700 M, en 2029 400 M"/>
    <m/>
    <n v="1457"/>
    <s v="p"/>
    <s v="FR000012114712011"/>
    <s v="FR0000121147"/>
    <n v="1"/>
    <x v="63"/>
    <m/>
    <m/>
    <m/>
  </r>
  <r>
    <m/>
    <m/>
    <m/>
    <m/>
    <m/>
    <x v="1"/>
    <m/>
    <m/>
    <m/>
    <m/>
    <m/>
    <m/>
    <m/>
    <m/>
    <m/>
    <m/>
    <m/>
    <m/>
    <m/>
    <m/>
    <m/>
    <s v=""/>
    <m/>
    <m/>
    <m/>
    <s v="Dividendes : Suspension en 2022 (Dividendes en 2021 malgré les pertes de 2020, supprimés en 2020). Sinon 30%. "/>
    <m/>
    <n v="1458"/>
    <s v="p"/>
    <s v="FR00001211471"/>
    <s v="FR0000121147"/>
    <n v="1"/>
    <x v="63"/>
    <m/>
    <m/>
    <m/>
  </r>
  <r>
    <m/>
    <m/>
    <m/>
    <m/>
    <n v="22"/>
    <x v="18"/>
    <m/>
    <m/>
    <m/>
    <m/>
    <m/>
    <m/>
    <m/>
    <m/>
    <m/>
    <m/>
    <m/>
    <m/>
    <m/>
    <m/>
    <m/>
    <s v=""/>
    <m/>
    <m/>
    <m/>
    <m/>
    <m/>
    <n v="1459"/>
    <s v="p"/>
    <s v="FR000012114712010"/>
    <s v="FR0000121147"/>
    <n v="1"/>
    <x v="63"/>
    <m/>
    <m/>
    <m/>
  </r>
  <r>
    <m/>
    <m/>
    <m/>
    <m/>
    <m/>
    <x v="1"/>
    <m/>
    <m/>
    <m/>
    <m/>
    <m/>
    <m/>
    <m/>
    <m/>
    <m/>
    <m/>
    <m/>
    <m/>
    <m/>
    <m/>
    <m/>
    <s v=""/>
    <m/>
    <m/>
    <m/>
    <s v="Minoritaires : les 19,5% d'Hella et un peu en Chine soit 26% des fonds propres"/>
    <m/>
    <n v="1460"/>
    <s v="p"/>
    <s v="FR00001211471"/>
    <s v="FR0000121147"/>
    <n v="1"/>
    <x v="63"/>
    <m/>
    <m/>
    <m/>
  </r>
  <r>
    <m/>
    <m/>
    <m/>
    <m/>
    <m/>
    <x v="1"/>
    <m/>
    <m/>
    <m/>
    <m/>
    <m/>
    <m/>
    <m/>
    <m/>
    <m/>
    <m/>
    <m/>
    <m/>
    <m/>
    <m/>
    <m/>
    <s v=""/>
    <m/>
    <m/>
    <m/>
    <s v="CAC : Mazars (depuis 2019) et Ernst &amp; Young (depuis 1983)"/>
    <m/>
    <n v="1461"/>
    <s v="p"/>
    <s v="FR00001211471"/>
    <s v="FR0000121147"/>
    <n v="1"/>
    <x v="63"/>
    <m/>
    <m/>
    <m/>
  </r>
  <r>
    <m/>
    <m/>
    <m/>
    <m/>
    <m/>
    <x v="1"/>
    <m/>
    <m/>
    <m/>
    <m/>
    <m/>
    <m/>
    <m/>
    <m/>
    <m/>
    <m/>
    <m/>
    <m/>
    <m/>
    <m/>
    <m/>
    <s v=""/>
    <m/>
    <m/>
    <m/>
    <m/>
    <m/>
    <n v="1462"/>
    <s v="p"/>
    <s v="FR00001211471"/>
    <s v="FR0000121147"/>
    <n v="1"/>
    <x v="63"/>
    <m/>
    <m/>
    <m/>
  </r>
  <r>
    <m/>
    <m/>
    <m/>
    <m/>
    <m/>
    <x v="1"/>
    <m/>
    <m/>
    <m/>
    <m/>
    <m/>
    <m/>
    <m/>
    <m/>
    <m/>
    <m/>
    <m/>
    <m/>
    <m/>
    <m/>
    <m/>
    <s v=""/>
    <m/>
    <m/>
    <m/>
    <m/>
    <m/>
    <n v="1463"/>
    <s v="p"/>
    <s v="FR00001211471"/>
    <s v="FR0000121147"/>
    <n v="1"/>
    <x v="63"/>
    <m/>
    <m/>
    <m/>
  </r>
  <r>
    <m/>
    <m/>
    <m/>
    <m/>
    <m/>
    <x v="1"/>
    <m/>
    <m/>
    <m/>
    <m/>
    <m/>
    <m/>
    <m/>
    <m/>
    <m/>
    <m/>
    <m/>
    <m/>
    <m/>
    <m/>
    <m/>
    <s v=""/>
    <m/>
    <m/>
    <m/>
    <m/>
    <m/>
    <n v="1464"/>
    <s v="p"/>
    <s v="FR00001211471"/>
    <s v="FR0000121147"/>
    <n v="1"/>
    <x v="63"/>
    <m/>
    <m/>
    <m/>
  </r>
  <r>
    <s v="Plastic Omnium"/>
    <s v="Automobile"/>
    <s v="France"/>
    <s v="Euro"/>
    <n v="22.86"/>
    <x v="3"/>
    <n v="10000000000"/>
    <n v="1200000000"/>
    <n v="600000000"/>
    <n v="350000000"/>
    <n v="739000000"/>
    <n v="2244819000"/>
    <n v="15.109910746738823"/>
    <n v="0.15591457484990995"/>
    <n v="0.12869413325674245"/>
    <n v="148566000"/>
    <n v="3396218760"/>
    <n v="1.5129142973219667"/>
    <n v="3.4460156333333334"/>
    <m/>
    <m/>
    <s v=""/>
    <m/>
    <m/>
    <m/>
    <s v="Équipementier automibile détenue par la famille Burelle à 58,78% créée en 1946. Une des filles Burelle au Comex (lié au président du CA). CEO : Laurent Favre"/>
    <m/>
    <n v="1465"/>
    <n v="0"/>
    <s v="FR000012457012021"/>
    <s v="FR0000124570"/>
    <n v="1"/>
    <x v="64"/>
    <m/>
    <m/>
    <m/>
  </r>
  <r>
    <m/>
    <m/>
    <m/>
    <m/>
    <m/>
    <x v="1"/>
    <n v="8.8968746596972625E-2"/>
    <n v="0.19402985074626855"/>
    <n v="0.17501449184539952"/>
    <n v="0.26825379570243135"/>
    <m/>
    <m/>
    <m/>
    <m/>
    <m/>
    <m/>
    <m/>
    <m/>
    <m/>
    <m/>
    <m/>
    <s v=""/>
    <m/>
    <m/>
    <m/>
    <s v="Le chiffre d'affaires a été multiplié par 5 en 20 ans"/>
    <m/>
    <n v="1466"/>
    <n v="0"/>
    <s v="FR00001245701"/>
    <s v="FR0000124570"/>
    <n v="1"/>
    <x v="64"/>
    <m/>
    <m/>
    <m/>
  </r>
  <r>
    <m/>
    <m/>
    <m/>
    <m/>
    <n v="28.22"/>
    <x v="4"/>
    <n v="9183000000"/>
    <n v="1005000000"/>
    <n v="510632000"/>
    <n v="275970000"/>
    <n v="739000000"/>
    <n v="2244819000"/>
    <n v="15.109910746738823"/>
    <n v="0.12293641491808471"/>
    <n v="0.10952557108859486"/>
    <n v="148566000"/>
    <n v="4192532520"/>
    <n v="1.8676483582863475"/>
    <n v="4.9069975323383082"/>
    <m/>
    <m/>
    <s v=""/>
    <m/>
    <m/>
    <m/>
    <s v="Évolution du secteur : CASE (Connected, Autonomous, Shared and Electrified)"/>
    <m/>
    <n v="1467"/>
    <n v="0"/>
    <s v="FR000012457012020"/>
    <s v="FR0000124570"/>
    <n v="1"/>
    <x v="64"/>
    <m/>
    <m/>
    <m/>
  </r>
  <r>
    <m/>
    <m/>
    <m/>
    <m/>
    <m/>
    <x v="1"/>
    <n v="0"/>
    <n v="0"/>
    <n v="0"/>
    <n v="0"/>
    <m/>
    <m/>
    <m/>
    <m/>
    <m/>
    <m/>
    <m/>
    <m/>
    <m/>
    <m/>
    <m/>
    <s v=""/>
    <m/>
    <m/>
    <m/>
    <s v="Clients : 10 principaux constructeurs représentent 60% du CA. 95 clients"/>
    <m/>
    <n v="1468"/>
    <n v="0"/>
    <s v="FR00001245701"/>
    <s v="FR0000124570"/>
    <n v="1"/>
    <x v="64"/>
    <m/>
    <m/>
    <m/>
  </r>
  <r>
    <m/>
    <m/>
    <m/>
    <m/>
    <n v="25"/>
    <x v="5"/>
    <n v="9183000000"/>
    <n v="1005000000"/>
    <n v="510632000"/>
    <n v="275970000"/>
    <n v="739000000"/>
    <n v="2244819000"/>
    <n v="15.109910746738823"/>
    <n v="0.12293641491808471"/>
    <n v="0.10952557108859486"/>
    <n v="148566000"/>
    <n v="3714150000"/>
    <n v="1.6545431947965514"/>
    <n v="4.4309950248756218"/>
    <m/>
    <m/>
    <s v=""/>
    <m/>
    <m/>
    <m/>
    <s v="Cession de la division Environnement en 2018"/>
    <m/>
    <n v="1469"/>
    <n v="0"/>
    <s v="FR000012457012019"/>
    <s v="FR0000124570"/>
    <n v="1"/>
    <x v="64"/>
    <m/>
    <m/>
    <m/>
  </r>
  <r>
    <m/>
    <m/>
    <m/>
    <m/>
    <m/>
    <x v="1"/>
    <n v="0.11390101892285309"/>
    <n v="9.4771241830065467E-2"/>
    <n v="-0.16303556793968199"/>
    <n v="-0.4825200264018481"/>
    <m/>
    <m/>
    <m/>
    <m/>
    <m/>
    <m/>
    <m/>
    <m/>
    <m/>
    <m/>
    <m/>
    <s v=""/>
    <m/>
    <m/>
    <m/>
    <s v="32 000 salariés soit 300 K euros par salarié"/>
    <m/>
    <n v="1470"/>
    <n v="0"/>
    <s v="FR00001245701"/>
    <s v="FR0000124570"/>
    <n v="1"/>
    <x v="64"/>
    <m/>
    <m/>
    <m/>
  </r>
  <r>
    <m/>
    <m/>
    <m/>
    <m/>
    <n v="20"/>
    <x v="6"/>
    <n v="8244000000"/>
    <n v="918000000"/>
    <n v="610100000"/>
    <n v="533296000"/>
    <n v="698000000"/>
    <n v="2085861000"/>
    <n v="14.039962037074432"/>
    <n v="0.25567187842334654"/>
    <n v="0.14025987648090188"/>
    <n v="148566000"/>
    <n v="2971320000"/>
    <n v="1.4245052762384454"/>
    <n v="3.9970806100217864"/>
    <m/>
    <m/>
    <s v=""/>
    <m/>
    <m/>
    <m/>
    <s v="Peu de minoritaires"/>
    <m/>
    <n v="1471"/>
    <n v="0"/>
    <s v="FR000012457012018"/>
    <s v="FR0000124570"/>
    <n v="1"/>
    <x v="64"/>
    <m/>
    <m/>
    <m/>
  </r>
  <r>
    <m/>
    <m/>
    <m/>
    <m/>
    <m/>
    <x v="1"/>
    <n v="3.042271829612786E-2"/>
    <n v="2.9147982062780242E-2"/>
    <n v="0.18457968875901631"/>
    <n v="0.25429174202743798"/>
    <m/>
    <m/>
    <m/>
    <m/>
    <m/>
    <m/>
    <m/>
    <m/>
    <m/>
    <m/>
    <m/>
    <s v=""/>
    <m/>
    <m/>
    <m/>
    <s v="Pay out ratio : 42%"/>
    <m/>
    <n v="1472"/>
    <n v="0"/>
    <s v="FR00001245701"/>
    <s v="FR0000124570"/>
    <n v="1"/>
    <x v="64"/>
    <m/>
    <m/>
    <m/>
  </r>
  <r>
    <m/>
    <m/>
    <m/>
    <m/>
    <n v="39.5"/>
    <x v="7"/>
    <n v="8000600000"/>
    <n v="892000000"/>
    <n v="515035000"/>
    <n v="425177000"/>
    <n v="571000000"/>
    <n v="1727620000"/>
    <n v="11.442935016591932"/>
    <n v="0.24610562507958927"/>
    <n v="0.14340012703274138"/>
    <n v="150977000"/>
    <n v="5963591500"/>
    <n v="3.4519115893541406"/>
    <n v="7.3257752242152465"/>
    <m/>
    <m/>
    <s v=""/>
    <m/>
    <m/>
    <m/>
    <m/>
    <m/>
    <n v="1473"/>
    <n v="0"/>
    <s v="FR000012457012017"/>
    <s v="FR0000124570"/>
    <n v="1"/>
    <x v="64"/>
    <m/>
    <m/>
    <m/>
  </r>
  <r>
    <m/>
    <m/>
    <m/>
    <m/>
    <m/>
    <x v="1"/>
    <n v="0.1535389362284989"/>
    <n v="0.10123456790123453"/>
    <n v="0.27296432234703838"/>
    <n v="0.3622577792587276"/>
    <m/>
    <m/>
    <m/>
    <m/>
    <m/>
    <m/>
    <m/>
    <m/>
    <m/>
    <m/>
    <m/>
    <s v=""/>
    <m/>
    <m/>
    <m/>
    <m/>
    <m/>
    <n v="1474"/>
    <n v="0"/>
    <s v="FR00001245701"/>
    <s v="FR0000124570"/>
    <n v="1"/>
    <x v="64"/>
    <m/>
    <m/>
    <m/>
  </r>
  <r>
    <m/>
    <m/>
    <m/>
    <m/>
    <n v="31"/>
    <x v="8"/>
    <n v="6935700000"/>
    <n v="810000000"/>
    <n v="404595000"/>
    <n v="312112000"/>
    <n v="800000000"/>
    <n v="1480037000"/>
    <n v="9.7066246056782326"/>
    <m/>
    <m/>
    <n v="152477000"/>
    <n v="4726787000"/>
    <n v="3.1936951576210593"/>
    <n v="6.8231938271604937"/>
    <m/>
    <m/>
    <s v=""/>
    <m/>
    <m/>
    <m/>
    <m/>
    <m/>
    <n v="1475"/>
    <n v="0"/>
    <s v="FR000012457012016"/>
    <s v="FR0000124570"/>
    <n v="1"/>
    <x v="64"/>
    <m/>
    <m/>
    <m/>
  </r>
  <r>
    <m/>
    <m/>
    <m/>
    <m/>
    <m/>
    <x v="1"/>
    <m/>
    <m/>
    <m/>
    <m/>
    <m/>
    <m/>
    <m/>
    <m/>
    <m/>
    <m/>
    <m/>
    <m/>
    <m/>
    <m/>
    <m/>
    <s v=""/>
    <m/>
    <m/>
    <m/>
    <m/>
    <m/>
    <n v="1476"/>
    <n v="0"/>
    <s v="FR00001245701"/>
    <s v="FR0000124570"/>
    <n v="1"/>
    <x v="64"/>
    <m/>
    <m/>
    <m/>
  </r>
  <r>
    <m/>
    <m/>
    <m/>
    <m/>
    <n v="27.8"/>
    <x v="9"/>
    <m/>
    <m/>
    <m/>
    <m/>
    <m/>
    <n v="1287319000"/>
    <n v="8.3822382257759944"/>
    <m/>
    <m/>
    <n v="153577000"/>
    <n v="4269440600"/>
    <n v="3.316536616021359"/>
    <e v="#DIV/0!"/>
    <m/>
    <m/>
    <s v=""/>
    <m/>
    <m/>
    <m/>
    <m/>
    <m/>
    <n v="1477"/>
    <n v="0"/>
    <s v="FR000012457012015"/>
    <s v="FR0000124570"/>
    <n v="1"/>
    <x v="64"/>
    <m/>
    <m/>
    <m/>
  </r>
  <r>
    <m/>
    <m/>
    <m/>
    <m/>
    <m/>
    <x v="1"/>
    <m/>
    <m/>
    <m/>
    <m/>
    <m/>
    <m/>
    <m/>
    <m/>
    <m/>
    <m/>
    <m/>
    <m/>
    <m/>
    <m/>
    <m/>
    <s v=""/>
    <m/>
    <m/>
    <m/>
    <m/>
    <m/>
    <n v="1478"/>
    <n v="0"/>
    <s v="FR00001245701"/>
    <s v="FR0000124570"/>
    <n v="1"/>
    <x v="64"/>
    <m/>
    <m/>
    <m/>
  </r>
  <r>
    <m/>
    <m/>
    <m/>
    <m/>
    <m/>
    <x v="1"/>
    <m/>
    <m/>
    <m/>
    <m/>
    <m/>
    <m/>
    <m/>
    <m/>
    <m/>
    <m/>
    <m/>
    <m/>
    <m/>
    <m/>
    <m/>
    <s v=""/>
    <m/>
    <m/>
    <m/>
    <m/>
    <m/>
    <n v="1479"/>
    <n v="0"/>
    <s v="FR00001245701"/>
    <s v="FR0000124570"/>
    <n v="1"/>
    <x v="64"/>
    <m/>
    <m/>
    <m/>
  </r>
  <r>
    <m/>
    <m/>
    <m/>
    <m/>
    <m/>
    <x v="1"/>
    <m/>
    <m/>
    <m/>
    <m/>
    <m/>
    <m/>
    <m/>
    <m/>
    <m/>
    <m/>
    <m/>
    <m/>
    <m/>
    <m/>
    <m/>
    <s v=""/>
    <m/>
    <m/>
    <m/>
    <m/>
    <m/>
    <n v="1480"/>
    <n v="0"/>
    <s v="FR00001245701"/>
    <s v="FR0000124570"/>
    <n v="1"/>
    <x v="64"/>
    <m/>
    <m/>
    <m/>
  </r>
  <r>
    <s v="Korian"/>
    <s v="Maison de retraite"/>
    <s v="France"/>
    <s v="Euro"/>
    <n v="27.84"/>
    <x v="3"/>
    <n v="4500000000"/>
    <n v="607500000"/>
    <n v="250000000"/>
    <n v="100000000"/>
    <n v="3173000000"/>
    <n v="3421549000"/>
    <n v="32.568770928157839"/>
    <n v="2.9226528686276305E-2"/>
    <n v="2.4262462831044246E-2"/>
    <n v="105056129"/>
    <n v="2924762631.3600001"/>
    <n v="0.85480658945992005"/>
    <n v="10.037469352032923"/>
    <m/>
    <m/>
    <s v=""/>
    <m/>
    <m/>
    <m/>
    <s v="Spécialiste des maisons de retraite en Europe. Suite à différents problèmes, Sophie Boissard est arrivée début 2016 et a remis sur de bons rails la société. Achat à 27 euros (VE/EBE de 10 fois et à l'actif Net)"/>
    <m/>
    <n v="1481"/>
    <n v="0"/>
    <s v="FR001038633412021"/>
    <s v="FR0010386334"/>
    <n v="1"/>
    <x v="65"/>
    <m/>
    <m/>
    <m/>
  </r>
  <r>
    <m/>
    <m/>
    <m/>
    <m/>
    <m/>
    <x v="1"/>
    <n v="0.20939295192663021"/>
    <n v="8.8453656733967101E-2"/>
    <n v="0"/>
    <n v="1.8571428571428572"/>
    <m/>
    <m/>
    <m/>
    <m/>
    <m/>
    <m/>
    <m/>
    <m/>
    <m/>
    <m/>
    <m/>
    <s v=""/>
    <m/>
    <m/>
    <m/>
    <s v="Actionnaire institutionnel (PSP : 14% et Predica : 24%). Evolution possible"/>
    <m/>
    <n v="1482"/>
    <n v="0"/>
    <s v="FR00103863341"/>
    <s v="FR0010386334"/>
    <n v="1"/>
    <x v="65"/>
    <m/>
    <m/>
    <m/>
  </r>
  <r>
    <m/>
    <m/>
    <m/>
    <m/>
    <n v="31.34"/>
    <x v="4"/>
    <n v="3720875000"/>
    <n v="558131250"/>
    <n v="250000000"/>
    <n v="35000000"/>
    <n v="2839800000"/>
    <n v="3156980000"/>
    <n v="30.326749306637453"/>
    <n v="1.1086544735791801E-2"/>
    <n v="2.6680985462198048E-2"/>
    <n v="104098859"/>
    <n v="3262458241.0599999"/>
    <n v="1.0334111210904091"/>
    <n v="10.933374974183939"/>
    <m/>
    <m/>
    <s v=""/>
    <m/>
    <m/>
    <m/>
    <s v="Achat de 25000 titres (675 K euros) le 21/7/2017 par Sophie Boissard"/>
    <m/>
    <n v="1483"/>
    <n v="0"/>
    <s v="FR001038633412020"/>
    <s v="FR0010386334"/>
    <n v="1"/>
    <x v="65"/>
    <m/>
    <m/>
    <m/>
  </r>
  <r>
    <m/>
    <m/>
    <m/>
    <m/>
    <m/>
    <x v="1"/>
    <n v="3.0000000000000027E-2"/>
    <n v="4.3041020370024219E-2"/>
    <n v="-0.25373134328358204"/>
    <n v="-0.6948561464690497"/>
    <m/>
    <m/>
    <m/>
    <m/>
    <m/>
    <m/>
    <m/>
    <m/>
    <m/>
    <m/>
    <m/>
    <s v=""/>
    <m/>
    <m/>
    <m/>
    <s v="Prévision 2017 : CA +5% tiré par l'international (Belgique, Allemagne et Italie) et EBITDA de 14,1% comme en 2016"/>
    <m/>
    <n v="1484"/>
    <n v="0"/>
    <s v="FR00103863341"/>
    <s v="FR0010386334"/>
    <n v="1"/>
    <x v="65"/>
    <m/>
    <m/>
    <m/>
  </r>
  <r>
    <m/>
    <m/>
    <m/>
    <m/>
    <n v="39"/>
    <x v="5"/>
    <n v="3612500000"/>
    <n v="535100000"/>
    <n v="335000000"/>
    <n v="114700000"/>
    <n v="3157000000"/>
    <n v="2558187000"/>
    <n v="31.202896051345039"/>
    <n v="4.4836440807493744E-2"/>
    <n v="3.7514083091244432E-2"/>
    <n v="81985563"/>
    <n v="3197436957"/>
    <n v="1.2498839830708233"/>
    <n v="11.875232586432443"/>
    <m/>
    <m/>
    <s v=""/>
    <m/>
    <m/>
    <m/>
    <s v="Résultats 2017 correct finalement avec une marge à 14%, stable en 2018, vu à 14,3% en 2019 et 15% en 2021"/>
    <m/>
    <n v="1485"/>
    <n v="0"/>
    <s v="FR001038633412019"/>
    <s v="FR0010386334"/>
    <n v="1"/>
    <x v="65"/>
    <m/>
    <m/>
    <m/>
  </r>
  <r>
    <m/>
    <m/>
    <m/>
    <m/>
    <m/>
    <x v="1"/>
    <n v="8.3000563609981981E-2"/>
    <n v="0.12156780549151125"/>
    <n v="0.15796750777739366"/>
    <n v="-6.8237205523964284E-2"/>
    <m/>
    <m/>
    <m/>
    <m/>
    <m/>
    <m/>
    <m/>
    <m/>
    <m/>
    <m/>
    <m/>
    <s v=""/>
    <m/>
    <m/>
    <m/>
    <s v="Pas de minoritaires. Charges fin : 100 M euros"/>
    <m/>
    <n v="1486"/>
    <n v="0"/>
    <s v="FR00103863341"/>
    <s v="FR0010386334"/>
    <n v="1"/>
    <x v="65"/>
    <m/>
    <m/>
    <m/>
  </r>
  <r>
    <m/>
    <m/>
    <m/>
    <m/>
    <n v="33"/>
    <x v="6"/>
    <n v="3335640000"/>
    <n v="477100000"/>
    <n v="289300000"/>
    <n v="123100000"/>
    <n v="2724000000"/>
    <n v="2556185000"/>
    <n v="31.181952616255224"/>
    <n v="4.8157703765572525E-2"/>
    <n v="3.5065438048098696E-2"/>
    <n v="81976425"/>
    <n v="2705222025"/>
    <n v="1.0583044752238198"/>
    <n v="11.379631156990149"/>
    <m/>
    <m/>
    <s v=""/>
    <m/>
    <m/>
    <m/>
    <s v="Passage du rex au rn bénéficie de l'activation de la baisse d'impôts 2020"/>
    <m/>
    <n v="1487"/>
    <n v="0"/>
    <s v="FR001038633412018"/>
    <s v="FR0010386334"/>
    <n v="1"/>
    <x v="65"/>
    <m/>
    <m/>
    <m/>
  </r>
  <r>
    <m/>
    <m/>
    <m/>
    <m/>
    <m/>
    <x v="1"/>
    <n v="6.4000000000000057E-2"/>
    <n v="8.3825533848250755E-2"/>
    <n v="2.226148409893991E-2"/>
    <n v="-0.24617268830373551"/>
    <m/>
    <m/>
    <m/>
    <m/>
    <m/>
    <m/>
    <m/>
    <m/>
    <m/>
    <m/>
    <m/>
    <s v=""/>
    <m/>
    <m/>
    <m/>
    <s v="50 000 salariés soit 70 000 euros par salarié"/>
    <m/>
    <n v="1488"/>
    <n v="0"/>
    <s v="FR00103863341"/>
    <s v="FR0010386334"/>
    <n v="1"/>
    <x v="65"/>
    <m/>
    <m/>
    <m/>
  </r>
  <r>
    <m/>
    <m/>
    <m/>
    <m/>
    <n v="30"/>
    <x v="7"/>
    <n v="3135000000"/>
    <n v="440200000"/>
    <n v="283000000"/>
    <n v="163300000"/>
    <n v="2340000000"/>
    <n v="2462405000"/>
    <n v="30.406690011426317"/>
    <n v="6.6317279245290683E-2"/>
    <n v="3.7714436829047113E-2"/>
    <n v="80982343"/>
    <n v="2429470290"/>
    <n v="0.98662498248663399"/>
    <n v="10.834780304407088"/>
    <m/>
    <m/>
    <s v=""/>
    <m/>
    <m/>
    <m/>
    <s v="Ouverture d'un cinqième pays, l'Espagne fin 2018 et d'un sixième, les Pays-Bas en 2019. CA 2021 vu à 4,2 Md euros et EBE à 15,5% soit 651 M e, reste l'endettement en face pour financer la croissance (3 Md e ou 3,5 Md e) - Objectif 40-45 euros"/>
    <m/>
    <n v="1489"/>
    <n v="0"/>
    <s v="FR001038633412017"/>
    <s v="FR0010386334"/>
    <n v="1"/>
    <x v="65"/>
    <m/>
    <m/>
    <m/>
  </r>
  <r>
    <m/>
    <m/>
    <m/>
    <m/>
    <m/>
    <x v="1"/>
    <n v="4.9548041513223895E-2"/>
    <n v="4.3127962085308003E-2"/>
    <n v="0.17427385892116187"/>
    <n v="0.24656488549618327"/>
    <m/>
    <m/>
    <m/>
    <m/>
    <m/>
    <m/>
    <n v="0"/>
    <m/>
    <m/>
    <m/>
    <m/>
    <s v=""/>
    <m/>
    <m/>
    <m/>
    <s v="Objectif 2023 : CA de 5 Md euros (CAGR : 8,5%) et marge de 15% soit 775 M e d'EBE"/>
    <m/>
    <n v="1490"/>
    <n v="0"/>
    <s v="FR00103863341"/>
    <s v="FR0010386334"/>
    <n v="1"/>
    <x v="65"/>
    <m/>
    <m/>
    <m/>
  </r>
  <r>
    <m/>
    <m/>
    <m/>
    <m/>
    <n v="27.5"/>
    <x v="8"/>
    <n v="2987000000"/>
    <n v="422000000"/>
    <n v="241000000"/>
    <n v="131000000"/>
    <n v="2315000000"/>
    <n v="2023000000"/>
    <n v="25.223054150780225"/>
    <n v="6.4755313890261984E-2"/>
    <n v="3.5555555555555556E-2"/>
    <n v="80204403"/>
    <n v="2205621082.5"/>
    <n v="1.090272408551656"/>
    <n v="10.712372233412323"/>
    <m/>
    <m/>
    <s v=""/>
    <m/>
    <m/>
    <m/>
    <s v="En 2021 : 4,2 Md euros à 15,5% de marge EBE"/>
    <m/>
    <n v="1491"/>
    <n v="0"/>
    <s v="FR001038633412016"/>
    <s v="FR0010386334"/>
    <n v="1"/>
    <x v="65"/>
    <m/>
    <m/>
    <m/>
  </r>
  <r>
    <m/>
    <m/>
    <m/>
    <m/>
    <m/>
    <x v="1"/>
    <n v="0.15820085304381548"/>
    <n v="0.31055900621118004"/>
    <n v="0.34636871508379885"/>
    <n v="1.2203389830508473"/>
    <m/>
    <m/>
    <m/>
    <m/>
    <m/>
    <m/>
    <n v="0"/>
    <m/>
    <m/>
    <m/>
    <m/>
    <s v=""/>
    <m/>
    <m/>
    <m/>
    <s v="Acquisition de Inicea pour 360 M euros soit 3% du CA de Korian et augmentation de capital de 400 M euros à 18,1 euros soit 22 113 296 actions supplémentaires"/>
    <m/>
    <n v="1492"/>
    <n v="0"/>
    <s v="FR00103863341"/>
    <s v="FR0010386334"/>
    <n v="1"/>
    <x v="65"/>
    <m/>
    <m/>
    <m/>
  </r>
  <r>
    <m/>
    <m/>
    <m/>
    <m/>
    <n v="33.58"/>
    <x v="9"/>
    <n v="2579000000"/>
    <n v="322000000"/>
    <n v="179000000"/>
    <n v="59000000"/>
    <n v="1645000000"/>
    <n v="1923000000"/>
    <n v="23.976239808181106"/>
    <n v="3.0681227249089962E-2"/>
    <n v="3.2107623318385653E-2"/>
    <n v="80204403"/>
    <n v="2693263852.7399998"/>
    <n v="1.400553225553822"/>
    <n v="13.472869107888197"/>
    <m/>
    <m/>
    <s v=""/>
    <m/>
    <m/>
    <m/>
    <s v="La crise du Covid-19 pourrait changer la réglementation et la perception des maisons de retraite"/>
    <m/>
    <n v="1493"/>
    <n v="0"/>
    <s v="FR001038633412015"/>
    <s v="FR0010386334"/>
    <n v="1"/>
    <x v="65"/>
    <m/>
    <m/>
    <m/>
  </r>
  <r>
    <m/>
    <m/>
    <m/>
    <m/>
    <m/>
    <x v="1"/>
    <m/>
    <m/>
    <m/>
    <m/>
    <m/>
    <m/>
    <m/>
    <m/>
    <m/>
    <m/>
    <m/>
    <m/>
    <m/>
    <m/>
    <m/>
    <s v=""/>
    <m/>
    <m/>
    <m/>
    <s v="Minoritaires : 5%"/>
    <m/>
    <n v="1494"/>
    <n v="0"/>
    <s v="FR00103863341"/>
    <s v="FR0010386334"/>
    <n v="1"/>
    <x v="65"/>
    <m/>
    <m/>
    <m/>
  </r>
  <r>
    <m/>
    <m/>
    <m/>
    <m/>
    <m/>
    <x v="1"/>
    <m/>
    <m/>
    <m/>
    <m/>
    <m/>
    <m/>
    <m/>
    <m/>
    <m/>
    <m/>
    <m/>
    <m/>
    <m/>
    <m/>
    <m/>
    <s v=""/>
    <m/>
    <m/>
    <m/>
    <m/>
    <m/>
    <n v="1495"/>
    <n v="0"/>
    <s v="FR00103863341"/>
    <s v="FR0010386334"/>
    <n v="1"/>
    <x v="65"/>
    <m/>
    <m/>
    <m/>
  </r>
  <r>
    <m/>
    <m/>
    <m/>
    <m/>
    <m/>
    <x v="1"/>
    <m/>
    <m/>
    <m/>
    <m/>
    <m/>
    <m/>
    <m/>
    <m/>
    <m/>
    <m/>
    <m/>
    <m/>
    <m/>
    <m/>
    <m/>
    <s v=""/>
    <m/>
    <m/>
    <m/>
    <m/>
    <m/>
    <n v="1496"/>
    <n v="0"/>
    <s v="FR00103863341"/>
    <s v="FR0010386334"/>
    <n v="1"/>
    <x v="65"/>
    <m/>
    <m/>
    <m/>
  </r>
  <r>
    <m/>
    <m/>
    <m/>
    <m/>
    <m/>
    <x v="1"/>
    <m/>
    <m/>
    <m/>
    <m/>
    <m/>
    <m/>
    <m/>
    <m/>
    <m/>
    <m/>
    <m/>
    <m/>
    <m/>
    <m/>
    <m/>
    <s v=""/>
    <m/>
    <m/>
    <m/>
    <m/>
    <m/>
    <n v="1497"/>
    <n v="0"/>
    <s v="FR00103863341"/>
    <s v="FR0010386334"/>
    <n v="1"/>
    <x v="65"/>
    <m/>
    <m/>
    <m/>
  </r>
  <r>
    <s v="Orpéa"/>
    <s v="Maison de retraite"/>
    <s v="France"/>
    <s v="Euro"/>
    <n v="88.1"/>
    <x v="3"/>
    <m/>
    <m/>
    <m/>
    <m/>
    <m/>
    <m/>
    <m/>
    <m/>
    <m/>
    <n v="64553123"/>
    <n v="5687130136.2999992"/>
    <e v="#DIV/0!"/>
    <e v="#DIV/0!"/>
    <m/>
    <m/>
    <s v=""/>
    <m/>
    <m/>
    <m/>
    <s v="Groupe installé en France, Italies, Espagne, Portugal, Belgique, Pays-Bas, Suisse, Allemagne, Autriche, République Tchèque, Pologne, Chine et Brésil"/>
    <m/>
    <n v="1498"/>
    <n v="0"/>
    <s v="FR000018479812021"/>
    <s v="FR0000184798"/>
    <n v="1"/>
    <x v="66"/>
    <m/>
    <m/>
    <m/>
  </r>
  <r>
    <m/>
    <m/>
    <m/>
    <m/>
    <m/>
    <x v="1"/>
    <m/>
    <m/>
    <m/>
    <m/>
    <m/>
    <m/>
    <m/>
    <m/>
    <m/>
    <m/>
    <m/>
    <m/>
    <m/>
    <m/>
    <m/>
    <s v=""/>
    <m/>
    <m/>
    <m/>
    <s v="Fondateur, un docteur français installé maintenant en Belgique"/>
    <m/>
    <n v="1499"/>
    <n v="0"/>
    <s v="FR00001847981"/>
    <s v="FR0000184798"/>
    <n v="1"/>
    <x v="66"/>
    <m/>
    <m/>
    <m/>
  </r>
  <r>
    <m/>
    <m/>
    <m/>
    <m/>
    <n v="107.55"/>
    <x v="7"/>
    <n v="3138000000"/>
    <n v="547700000"/>
    <n v="394400000"/>
    <n v="197800000"/>
    <n v="4413000000"/>
    <n v="2715000000"/>
    <n v="42.058383449550533"/>
    <n v="7.2854511970534067E-2"/>
    <n v="3.5411896745230077E-2"/>
    <n v="64553123"/>
    <n v="6942688378.6499996"/>
    <n v="2.5571596238121543"/>
    <n v="20.733409491783824"/>
    <m/>
    <m/>
    <s v=""/>
    <m/>
    <m/>
    <m/>
    <s v="Le fondateur a vendu sa participation résiduelle de 7% (à vérifier pour 400 M euros) en janvier 2020."/>
    <m/>
    <n v="1500"/>
    <n v="0"/>
    <s v="FR000018479812017"/>
    <s v="FR0000184798"/>
    <n v="1"/>
    <x v="66"/>
    <m/>
    <m/>
    <m/>
  </r>
  <r>
    <m/>
    <m/>
    <m/>
    <m/>
    <m/>
    <x v="1"/>
    <n v="0.10446290299873295"/>
    <n v="0.1542676501580611"/>
    <n v="0.13300775639184148"/>
    <n v="0.11373873873873874"/>
    <m/>
    <m/>
    <m/>
    <m/>
    <m/>
    <m/>
    <m/>
    <m/>
    <m/>
    <m/>
    <m/>
    <s v=""/>
    <m/>
    <m/>
    <m/>
    <m/>
    <m/>
    <n v="1501"/>
    <n v="0"/>
    <s v="FR00001847981"/>
    <s v="FR0000184798"/>
    <n v="1"/>
    <x v="66"/>
    <m/>
    <m/>
    <m/>
  </r>
  <r>
    <m/>
    <m/>
    <m/>
    <m/>
    <n v="75.94"/>
    <x v="8"/>
    <n v="2841200000"/>
    <n v="474500000"/>
    <n v="348100000"/>
    <n v="177600000"/>
    <n v="3680000000"/>
    <n v="2113000000"/>
    <n v="35.056754695842336"/>
    <n v="8.40511121628017E-2"/>
    <n v="3.8457448644916278E-2"/>
    <n v="60273691"/>
    <n v="4577184094.54"/>
    <n v="2.1662016538286797"/>
    <n v="17.401863212939936"/>
    <m/>
    <m/>
    <s v=""/>
    <m/>
    <m/>
    <m/>
    <m/>
    <m/>
    <n v="1502"/>
    <n v="0"/>
    <s v="FR000018479812016"/>
    <s v="FR0000184798"/>
    <n v="1"/>
    <x v="66"/>
    <m/>
    <m/>
    <m/>
  </r>
  <r>
    <m/>
    <m/>
    <m/>
    <m/>
    <m/>
    <x v="1"/>
    <n v="0.18799130289346055"/>
    <n v="0.18476903870162298"/>
    <n v="0.14657444005270093"/>
    <n v="0.15851272015655571"/>
    <s v=" "/>
    <m/>
    <m/>
    <m/>
    <m/>
    <m/>
    <m/>
    <m/>
    <m/>
    <m/>
    <m/>
    <s v=""/>
    <m/>
    <m/>
    <m/>
    <m/>
    <m/>
    <n v="1503"/>
    <n v="0"/>
    <s v="FR00001847981"/>
    <s v="FR0000184798"/>
    <n v="1"/>
    <x v="66"/>
    <m/>
    <m/>
    <m/>
  </r>
  <r>
    <m/>
    <m/>
    <m/>
    <m/>
    <n v="74.150000000000006"/>
    <x v="9"/>
    <n v="2391600000"/>
    <n v="400500000"/>
    <n v="303600000"/>
    <n v="153300000"/>
    <n v="3014000000"/>
    <n v="1810000000"/>
    <n v="30.029685754602287"/>
    <n v="8.4696132596685084E-2"/>
    <n v="4.027860696517413E-2"/>
    <n v="60273691"/>
    <n v="4469294187.6500006"/>
    <n v="2.4692233080939228"/>
    <n v="18.684879369912611"/>
    <m/>
    <m/>
    <s v=""/>
    <m/>
    <m/>
    <m/>
    <m/>
    <m/>
    <n v="1504"/>
    <n v="0"/>
    <s v="FR000018479812015"/>
    <s v="FR0000184798"/>
    <n v="1"/>
    <x v="66"/>
    <m/>
    <m/>
    <m/>
  </r>
  <r>
    <m/>
    <m/>
    <m/>
    <m/>
    <m/>
    <x v="1"/>
    <n v="0.2273427075849328"/>
    <n v="0.14395886889460163"/>
    <n v="0.11946902654867264"/>
    <n v="0.12472487160674972"/>
    <m/>
    <m/>
    <m/>
    <m/>
    <m/>
    <m/>
    <m/>
    <m/>
    <m/>
    <m/>
    <m/>
    <s v=""/>
    <m/>
    <m/>
    <m/>
    <m/>
    <m/>
    <n v="1505"/>
    <n v="0"/>
    <s v="FR00001847981"/>
    <s v="FR0000184798"/>
    <n v="1"/>
    <x v="66"/>
    <m/>
    <m/>
    <m/>
  </r>
  <r>
    <m/>
    <m/>
    <m/>
    <m/>
    <n v="52.11"/>
    <x v="10"/>
    <n v="1948600000"/>
    <n v="350100000"/>
    <n v="271200000"/>
    <n v="136300000"/>
    <n v="1995000000"/>
    <n v="1498000000"/>
    <n v="24.914200681923958"/>
    <n v="9.0987983978638179E-2"/>
    <n v="4.9690237618093332E-2"/>
    <n v="60126352"/>
    <n v="3133184202.7199998"/>
    <n v="2.0915782394659543"/>
    <n v="14.647769787832045"/>
    <m/>
    <m/>
    <s v=""/>
    <m/>
    <m/>
    <m/>
    <m/>
    <m/>
    <n v="1506"/>
    <n v="0"/>
    <s v="FR000018479812014"/>
    <s v="FR0000184798"/>
    <n v="1"/>
    <x v="66"/>
    <m/>
    <m/>
    <m/>
  </r>
  <r>
    <m/>
    <m/>
    <m/>
    <m/>
    <m/>
    <x v="1"/>
    <n v="0.21189128677156543"/>
    <n v="0.17483221476510069"/>
    <n v="0.19313682358117035"/>
    <n v="0.16595380667236959"/>
    <m/>
    <m/>
    <m/>
    <m/>
    <m/>
    <m/>
    <m/>
    <m/>
    <m/>
    <m/>
    <m/>
    <s v=""/>
    <m/>
    <m/>
    <m/>
    <m/>
    <m/>
    <n v="1507"/>
    <n v="0"/>
    <s v="FR00001847981"/>
    <s v="FR0000184798"/>
    <n v="1"/>
    <x v="66"/>
    <m/>
    <m/>
    <m/>
  </r>
  <r>
    <m/>
    <m/>
    <m/>
    <m/>
    <n v="42.55"/>
    <x v="11"/>
    <n v="1607900000"/>
    <n v="298000000"/>
    <n v="227300000"/>
    <n v="116900000"/>
    <n v="1742000000"/>
    <n v="1412000000"/>
    <n v="25.451993241666621"/>
    <n v="8.279036827195467E-2"/>
    <n v="4.6123018389346862E-2"/>
    <n v="55476991"/>
    <n v="2360545967.0499997"/>
    <n v="1.6717747641997165"/>
    <n v="13.766932775335569"/>
    <m/>
    <m/>
    <s v=""/>
    <m/>
    <m/>
    <m/>
    <m/>
    <m/>
    <n v="1508"/>
    <n v="0"/>
    <s v="FR000018479812013"/>
    <s v="FR0000184798"/>
    <n v="1"/>
    <x v="66"/>
    <m/>
    <m/>
    <m/>
  </r>
  <r>
    <m/>
    <m/>
    <m/>
    <m/>
    <m/>
    <x v="1"/>
    <m/>
    <m/>
    <m/>
    <m/>
    <m/>
    <m/>
    <m/>
    <m/>
    <m/>
    <m/>
    <m/>
    <m/>
    <m/>
    <m/>
    <m/>
    <s v=""/>
    <m/>
    <m/>
    <m/>
    <m/>
    <m/>
    <n v="1509"/>
    <n v="0"/>
    <s v="FR00001847981"/>
    <s v="FR0000184798"/>
    <n v="1"/>
    <x v="66"/>
    <m/>
    <m/>
    <m/>
  </r>
  <r>
    <m/>
    <m/>
    <m/>
    <m/>
    <m/>
    <x v="1"/>
    <m/>
    <m/>
    <m/>
    <m/>
    <m/>
    <m/>
    <m/>
    <m/>
    <m/>
    <m/>
    <m/>
    <m/>
    <m/>
    <m/>
    <m/>
    <s v=""/>
    <m/>
    <m/>
    <m/>
    <m/>
    <m/>
    <n v="1510"/>
    <n v="0"/>
    <s v="FR00001847981"/>
    <s v="FR0000184798"/>
    <n v="1"/>
    <x v="66"/>
    <m/>
    <m/>
    <m/>
  </r>
  <r>
    <m/>
    <m/>
    <m/>
    <m/>
    <m/>
    <x v="1"/>
    <m/>
    <m/>
    <m/>
    <m/>
    <m/>
    <m/>
    <m/>
    <m/>
    <m/>
    <m/>
    <m/>
    <m/>
    <m/>
    <m/>
    <m/>
    <s v=""/>
    <m/>
    <m/>
    <m/>
    <m/>
    <m/>
    <n v="1511"/>
    <n v="0"/>
    <s v="FR00001847981"/>
    <s v="FR0000184798"/>
    <n v="1"/>
    <x v="66"/>
    <m/>
    <m/>
    <m/>
  </r>
  <r>
    <s v="Danone"/>
    <s v="Biens de consommation"/>
    <s v="France"/>
    <s v="Euro"/>
    <n v="54.6"/>
    <x v="3"/>
    <m/>
    <m/>
    <m/>
    <m/>
    <m/>
    <m/>
    <m/>
    <m/>
    <m/>
    <n v="627121266"/>
    <n v="34240821123.600002"/>
    <m/>
    <m/>
    <m/>
    <m/>
    <s v=""/>
    <m/>
    <m/>
    <m/>
    <s v="Danone, spécialisé, dans l'eau, le lait, la nutrition infantile et médicale. Prend des bons virages stratégiques pour faire face aux déclins de la consommation d'eau voir du lait avec la nutrition."/>
    <m/>
    <n v="1512"/>
    <n v="0"/>
    <s v="FR000012064412021"/>
    <s v="FR0000120644"/>
    <n v="1"/>
    <x v="67"/>
    <m/>
    <m/>
    <m/>
  </r>
  <r>
    <m/>
    <m/>
    <m/>
    <m/>
    <m/>
    <x v="1"/>
    <m/>
    <m/>
    <m/>
    <m/>
    <m/>
    <m/>
    <m/>
    <m/>
    <m/>
    <m/>
    <m/>
    <m/>
    <m/>
    <m/>
    <m/>
    <s v=""/>
    <m/>
    <m/>
    <m/>
    <s v="Acquisition de WhiteWave de 11,3 Md euros pour 5 Md de Ca et 600 Me de Rex financé par dettes"/>
    <m/>
    <n v="1513"/>
    <n v="0"/>
    <s v="FR00001206441"/>
    <s v="FR0000120644"/>
    <n v="1"/>
    <x v="67"/>
    <m/>
    <m/>
    <m/>
  </r>
  <r>
    <m/>
    <m/>
    <m/>
    <m/>
    <n v="53.76"/>
    <x v="6"/>
    <n v="25170540000"/>
    <n v="4700000000"/>
    <n v="3900000000"/>
    <n v="2700000000"/>
    <n v="14500000000"/>
    <n v="14500000000"/>
    <n v="23.121524952400513"/>
    <n v="0.18620689655172415"/>
    <n v="8.6068965517241386E-2"/>
    <n v="627121266"/>
    <n v="33714039260.16"/>
    <n v="2.3251061558731037"/>
    <n v="10.258306225565958"/>
    <m/>
    <m/>
    <s v=""/>
    <m/>
    <m/>
    <m/>
    <s v="La valorisation intégre déjà WhiteWave et les objcetifs 2020 : CA +5 % et marge à 16%"/>
    <m/>
    <n v="1514"/>
    <n v="0"/>
    <s v="FR000012064412018"/>
    <s v="FR0000120644"/>
    <n v="1"/>
    <x v="67"/>
    <m/>
    <m/>
    <m/>
  </r>
  <r>
    <m/>
    <m/>
    <m/>
    <m/>
    <m/>
    <x v="1"/>
    <n v="2.0000000000000018E-2"/>
    <n v="4.0513615231348332E-2"/>
    <n v="4.4456347080878311E-2"/>
    <n v="0.10069302894415011"/>
    <m/>
    <m/>
    <m/>
    <m/>
    <m/>
    <m/>
    <m/>
    <m/>
    <m/>
    <m/>
    <m/>
    <s v=""/>
    <m/>
    <m/>
    <m/>
    <s v="Calcul VE/Rex car pas de communication sur l'EBE"/>
    <m/>
    <n v="1515"/>
    <n v="0"/>
    <s v="FR00001206441"/>
    <s v="FR0000120644"/>
    <n v="1"/>
    <x v="67"/>
    <m/>
    <m/>
    <m/>
  </r>
  <r>
    <m/>
    <m/>
    <m/>
    <m/>
    <n v="70"/>
    <x v="7"/>
    <n v="24677000000"/>
    <n v="4517000000"/>
    <n v="3734000000"/>
    <n v="2453000000"/>
    <n v="15372000000"/>
    <n v="14000000000"/>
    <n v="22.324230988524633"/>
    <n v="0.17521428571428571"/>
    <n v="8.1361841209315E-2"/>
    <n v="627121266"/>
    <n v="43898488620"/>
    <n v="3.1356063299999999"/>
    <n v="13.121649019260571"/>
    <m/>
    <m/>
    <s v=""/>
    <m/>
    <m/>
    <m/>
    <m/>
    <m/>
    <n v="1516"/>
    <n v="0"/>
    <s v="FR000012064412017"/>
    <s v="FR0000120644"/>
    <n v="1"/>
    <x v="67"/>
    <m/>
    <m/>
    <m/>
  </r>
  <r>
    <m/>
    <m/>
    <m/>
    <m/>
    <m/>
    <x v="1"/>
    <n v="0.12454429456799132"/>
    <n v="0.18618697478991586"/>
    <n v="0.23560555923229654"/>
    <n v="0.42616279069767438"/>
    <m/>
    <m/>
    <m/>
    <m/>
    <m/>
    <m/>
    <m/>
    <m/>
    <m/>
    <m/>
    <m/>
    <s v=""/>
    <m/>
    <m/>
    <m/>
    <m/>
    <m/>
    <n v="1517"/>
    <n v="0"/>
    <s v="FR00001206441"/>
    <s v="FR0000120644"/>
    <n v="1"/>
    <x v="67"/>
    <m/>
    <m/>
    <m/>
  </r>
  <r>
    <m/>
    <m/>
    <m/>
    <m/>
    <n v="61"/>
    <x v="8"/>
    <n v="21944000000"/>
    <n v="3808000000"/>
    <n v="3022000000"/>
    <n v="1720000000"/>
    <n v="18433000000"/>
    <n v="13109000000"/>
    <n v="21.484696220121464"/>
    <n v="0.13120756732016173"/>
    <n v="6.1317608268340623E-2"/>
    <n v="610155241"/>
    <n v="37219469701"/>
    <n v="2.8392302769852771"/>
    <n v="14.614619144170168"/>
    <m/>
    <m/>
    <s v=""/>
    <m/>
    <m/>
    <m/>
    <m/>
    <m/>
    <n v="1518"/>
    <n v="0"/>
    <s v="FR000012064412016"/>
    <s v="FR0000120644"/>
    <n v="1"/>
    <x v="67"/>
    <m/>
    <m/>
    <m/>
  </r>
  <r>
    <m/>
    <m/>
    <m/>
    <m/>
    <m/>
    <x v="1"/>
    <n v="-2.0881670533642649E-2"/>
    <e v="#DIV/0!"/>
    <n v="4.4951590594744184E-2"/>
    <n v="0.23032904148783984"/>
    <m/>
    <m/>
    <m/>
    <m/>
    <m/>
    <m/>
    <m/>
    <m/>
    <m/>
    <m/>
    <m/>
    <s v=""/>
    <m/>
    <m/>
    <m/>
    <m/>
    <m/>
    <n v="1519"/>
    <n v="0"/>
    <s v="FR00001206441"/>
    <s v="FR0000120644"/>
    <n v="1"/>
    <x v="67"/>
    <m/>
    <m/>
    <m/>
  </r>
  <r>
    <m/>
    <m/>
    <m/>
    <m/>
    <n v="61"/>
    <x v="9"/>
    <n v="22412000000"/>
    <m/>
    <n v="2892000000"/>
    <n v="1398000000"/>
    <n v="7835000000"/>
    <n v="12606000000"/>
    <n v="20.660315855584038"/>
    <n v="0.11089957163255593"/>
    <n v="9.0547429186439016E-2"/>
    <n v="610155241"/>
    <n v="37219469701"/>
    <n v="2.9525202047437729"/>
    <e v="#DIV/0!"/>
    <m/>
    <m/>
    <s v=""/>
    <m/>
    <m/>
    <m/>
    <m/>
    <m/>
    <n v="1520"/>
    <n v="0"/>
    <s v="FR000012064412015"/>
    <s v="FR0000120644"/>
    <n v="1"/>
    <x v="67"/>
    <m/>
    <m/>
    <m/>
  </r>
  <r>
    <m/>
    <m/>
    <m/>
    <m/>
    <m/>
    <x v="1"/>
    <m/>
    <m/>
    <m/>
    <m/>
    <m/>
    <m/>
    <m/>
    <m/>
    <m/>
    <m/>
    <m/>
    <m/>
    <m/>
    <m/>
    <m/>
    <s v=""/>
    <m/>
    <m/>
    <m/>
    <m/>
    <m/>
    <n v="1521"/>
    <n v="0"/>
    <s v="FR00001206441"/>
    <s v="FR0000120644"/>
    <n v="1"/>
    <x v="67"/>
    <m/>
    <m/>
    <m/>
  </r>
  <r>
    <m/>
    <m/>
    <m/>
    <m/>
    <m/>
    <x v="1"/>
    <m/>
    <m/>
    <m/>
    <m/>
    <m/>
    <m/>
    <m/>
    <m/>
    <m/>
    <m/>
    <m/>
    <m/>
    <m/>
    <m/>
    <m/>
    <s v=""/>
    <m/>
    <m/>
    <m/>
    <m/>
    <m/>
    <n v="1522"/>
    <n v="0"/>
    <s v="FR00001206441"/>
    <s v="FR0000120644"/>
    <n v="1"/>
    <x v="67"/>
    <m/>
    <m/>
    <m/>
  </r>
  <r>
    <m/>
    <m/>
    <m/>
    <m/>
    <m/>
    <x v="1"/>
    <m/>
    <m/>
    <m/>
    <m/>
    <m/>
    <m/>
    <m/>
    <m/>
    <m/>
    <m/>
    <m/>
    <m/>
    <m/>
    <m/>
    <m/>
    <s v=""/>
    <m/>
    <m/>
    <m/>
    <m/>
    <m/>
    <n v="1523"/>
    <n v="0"/>
    <s v="FR00001206441"/>
    <s v="FR0000120644"/>
    <n v="1"/>
    <x v="67"/>
    <m/>
    <m/>
    <m/>
  </r>
  <r>
    <s v="Campbell Soup"/>
    <s v="Biens de consommation"/>
    <s v="États-Unis"/>
    <s v="Dollar"/>
    <n v="43.46"/>
    <x v="3"/>
    <m/>
    <m/>
    <m/>
    <m/>
    <m/>
    <m/>
    <m/>
    <m/>
    <m/>
    <n v="308000000"/>
    <n v="13385680000"/>
    <m/>
    <m/>
    <m/>
    <m/>
    <s v=""/>
    <m/>
    <m/>
    <m/>
    <s v="Un des leaders de la vente de soupe et autres produits de consommation"/>
    <m/>
    <n v="1524"/>
    <n v="0"/>
    <s v="US1344291091 12021"/>
    <s v="US1344291091 "/>
    <n v="1"/>
    <x v="68"/>
    <m/>
    <m/>
    <m/>
  </r>
  <r>
    <m/>
    <m/>
    <m/>
    <m/>
    <m/>
    <x v="1"/>
    <m/>
    <m/>
    <m/>
    <m/>
    <m/>
    <m/>
    <m/>
    <m/>
    <m/>
    <m/>
    <m/>
    <m/>
    <m/>
    <m/>
    <m/>
    <s v=""/>
    <m/>
    <m/>
    <m/>
    <s v="Il subit la même érosion des ventes que Danone et Nestlé"/>
    <m/>
    <n v="1525"/>
    <n v="0"/>
    <s v="US1344291091 1"/>
    <s v="US1344291091 "/>
    <n v="1"/>
    <x v="68"/>
    <m/>
    <m/>
    <m/>
  </r>
  <r>
    <m/>
    <m/>
    <m/>
    <m/>
    <n v="48.35"/>
    <x v="7"/>
    <n v="7801780000"/>
    <m/>
    <m/>
    <m/>
    <m/>
    <m/>
    <n v="0"/>
    <m/>
    <m/>
    <n v="308000000"/>
    <n v="14891800000"/>
    <m/>
    <m/>
    <m/>
    <m/>
    <s v=""/>
    <m/>
    <m/>
    <m/>
    <s v="Rentabilité d'une boîte US et rachat d'actions soutiennent la capitalisation boursière"/>
    <m/>
    <n v="1526"/>
    <n v="0"/>
    <s v="US1344291091 12017"/>
    <s v="US1344291091 "/>
    <n v="1"/>
    <x v="68"/>
    <m/>
    <m/>
    <m/>
  </r>
  <r>
    <m/>
    <m/>
    <m/>
    <m/>
    <m/>
    <x v="1"/>
    <n v="-2.0000000000000018E-2"/>
    <e v="#DIV/0!"/>
    <n v="-1"/>
    <n v="-1"/>
    <m/>
    <m/>
    <m/>
    <m/>
    <m/>
    <m/>
    <m/>
    <m/>
    <m/>
    <m/>
    <m/>
    <s v=""/>
    <m/>
    <m/>
    <m/>
    <s v="Ventes 2017-2018 en repli de 2%, rex de 14% et rn de 8%"/>
    <m/>
    <n v="1527"/>
    <n v="0"/>
    <s v="US1344291091 1"/>
    <s v="US1344291091 "/>
    <n v="1"/>
    <x v="68"/>
    <m/>
    <m/>
    <m/>
  </r>
  <r>
    <m/>
    <m/>
    <m/>
    <m/>
    <n v="62"/>
    <x v="8"/>
    <n v="7961000000"/>
    <m/>
    <n v="960000000"/>
    <n v="563000000"/>
    <n v="3533000000"/>
    <n v="1533000000"/>
    <n v="4.9284728453362918"/>
    <n v="0.36725375081539463"/>
    <n v="0.12127911567311489"/>
    <n v="311049700"/>
    <n v="19285081400"/>
    <n v="12.579961774298761"/>
    <n v="23.768834791666666"/>
    <m/>
    <m/>
    <s v=""/>
    <m/>
    <m/>
    <m/>
    <s v="La tendance négative se poursuit dans les produits de grande marque du quotidien"/>
    <m/>
    <n v="1528"/>
    <n v="0"/>
    <s v="US1344291091 12016"/>
    <s v="US1344291091 "/>
    <n v="1"/>
    <x v="68"/>
    <m/>
    <m/>
    <m/>
  </r>
  <r>
    <m/>
    <m/>
    <m/>
    <m/>
    <m/>
    <x v="1"/>
    <n v="-1.4971541697599622E-2"/>
    <e v="#DIV/0!"/>
    <n v="-8.9184060721062663E-2"/>
    <n v="-0.15465465465465467"/>
    <m/>
    <m/>
    <m/>
    <m/>
    <m/>
    <m/>
    <m/>
    <m/>
    <m/>
    <m/>
    <m/>
    <s v=""/>
    <m/>
    <m/>
    <m/>
    <m/>
    <m/>
    <n v="1529"/>
    <n v="0"/>
    <s v="US1344291091 1"/>
    <s v="US1344291091 "/>
    <n v="1"/>
    <x v="68"/>
    <m/>
    <m/>
    <m/>
  </r>
  <r>
    <m/>
    <m/>
    <m/>
    <m/>
    <n v="53"/>
    <x v="9"/>
    <n v="8082000000"/>
    <m/>
    <n v="1054000000"/>
    <n v="666000000"/>
    <n v="4082000000"/>
    <n v="1377000000"/>
    <n v="4.4039183039573535"/>
    <n v="0.48366013071895425"/>
    <n v="0.12356841912438175"/>
    <n v="312676100"/>
    <n v="16571833300"/>
    <n v="12.034737327523603"/>
    <n v="19.595667267552184"/>
    <m/>
    <m/>
    <s v=""/>
    <m/>
    <m/>
    <m/>
    <m/>
    <m/>
    <n v="1530"/>
    <n v="0"/>
    <s v="US1344291091 12015"/>
    <s v="US1344291091 "/>
    <n v="1"/>
    <x v="68"/>
    <m/>
    <m/>
    <m/>
  </r>
  <r>
    <m/>
    <m/>
    <m/>
    <m/>
    <m/>
    <x v="1"/>
    <n v="-2.2496371552975347E-2"/>
    <e v="#DIV/0!"/>
    <n v="-0.1681136543014996"/>
    <n v="-0.22105263157894739"/>
    <m/>
    <m/>
    <m/>
    <m/>
    <m/>
    <m/>
    <m/>
    <m/>
    <m/>
    <m/>
    <m/>
    <s v=""/>
    <m/>
    <m/>
    <m/>
    <m/>
    <m/>
    <n v="1531"/>
    <n v="0"/>
    <s v="US1344291091 1"/>
    <s v="US1344291091 "/>
    <n v="1"/>
    <x v="68"/>
    <m/>
    <m/>
    <m/>
  </r>
  <r>
    <m/>
    <m/>
    <m/>
    <m/>
    <n v="43"/>
    <x v="10"/>
    <n v="8268000000"/>
    <m/>
    <n v="1267000000"/>
    <n v="855000000"/>
    <n v="4003000000"/>
    <n v="1602000000"/>
    <n v="5.1235127980680328"/>
    <n v="0.5337078651685393"/>
    <n v="0.14467082961641392"/>
    <n v="312676100"/>
    <n v="13445072300"/>
    <n v="8.3926793383270919"/>
    <n v="13.771169928966062"/>
    <m/>
    <m/>
    <s v=""/>
    <m/>
    <m/>
    <m/>
    <m/>
    <m/>
    <n v="1532"/>
    <n v="0"/>
    <s v="US1344291091 12014"/>
    <s v="US1344291091 "/>
    <n v="1"/>
    <x v="68"/>
    <m/>
    <m/>
    <m/>
  </r>
  <r>
    <m/>
    <m/>
    <m/>
    <m/>
    <m/>
    <x v="1"/>
    <m/>
    <m/>
    <m/>
    <m/>
    <m/>
    <m/>
    <m/>
    <m/>
    <m/>
    <m/>
    <m/>
    <m/>
    <m/>
    <m/>
    <m/>
    <s v=""/>
    <m/>
    <m/>
    <m/>
    <m/>
    <m/>
    <n v="1533"/>
    <n v="0"/>
    <s v="US1344291091 1"/>
    <s v="US1344291091 "/>
    <n v="1"/>
    <x v="68"/>
    <m/>
    <m/>
    <m/>
  </r>
  <r>
    <m/>
    <m/>
    <m/>
    <m/>
    <m/>
    <x v="1"/>
    <m/>
    <m/>
    <m/>
    <m/>
    <m/>
    <m/>
    <m/>
    <m/>
    <m/>
    <m/>
    <m/>
    <m/>
    <m/>
    <m/>
    <m/>
    <s v=""/>
    <m/>
    <m/>
    <m/>
    <m/>
    <m/>
    <n v="1534"/>
    <n v="0"/>
    <s v="US1344291091 1"/>
    <s v="US1344291091 "/>
    <n v="1"/>
    <x v="68"/>
    <m/>
    <m/>
    <m/>
  </r>
  <r>
    <m/>
    <m/>
    <m/>
    <m/>
    <m/>
    <x v="1"/>
    <m/>
    <m/>
    <m/>
    <m/>
    <m/>
    <m/>
    <m/>
    <m/>
    <m/>
    <m/>
    <m/>
    <m/>
    <m/>
    <m/>
    <m/>
    <s v=""/>
    <m/>
    <m/>
    <m/>
    <m/>
    <m/>
    <n v="1535"/>
    <n v="0"/>
    <s v="US1344291091 1"/>
    <s v="US1344291091 "/>
    <n v="1"/>
    <x v="68"/>
    <m/>
    <m/>
    <m/>
  </r>
  <r>
    <s v="Nordex"/>
    <s v="Fabricants d'éoliennes"/>
    <s v="Allemagne"/>
    <s v="Euro"/>
    <n v="13.96"/>
    <x v="3"/>
    <n v="5300000000"/>
    <n v="159000000"/>
    <n v="0"/>
    <n v="-100000000"/>
    <n v="-516000000"/>
    <n v="1217000000"/>
    <n v="7.6052501472697012"/>
    <n v="-8.2169268693508629E-2"/>
    <n v="0"/>
    <n v="160021035"/>
    <n v="2233893648.5999999"/>
    <n v="1.8355740744453573"/>
    <n v="10.804362569811321"/>
    <s v="B"/>
    <m/>
    <s v=""/>
    <m/>
    <m/>
    <m/>
    <s v="Numéro 5 mondial de la fabrication/ installation d'Eoliennes On Shore fondée en 1985 - Développement d'une activité services après vente. Numéro 1 mondial : Vestas,  autres acteurs :  Siemens Gamesa, un chinois et GE"/>
    <m/>
    <n v="1536"/>
    <n v="0"/>
    <s v="DE000A0D655412021"/>
    <s v="DE000A0D6554"/>
    <n v="1"/>
    <x v="69"/>
    <m/>
    <m/>
    <m/>
  </r>
  <r>
    <m/>
    <m/>
    <m/>
    <m/>
    <m/>
    <x v="1"/>
    <n v="0.13961339153245755"/>
    <n v="0.70942008729868622"/>
    <n v="-1"/>
    <n v="-0.22839506172839508"/>
    <m/>
    <m/>
    <m/>
    <m/>
    <m/>
    <m/>
    <m/>
    <m/>
    <m/>
    <m/>
    <m/>
    <s v=""/>
    <m/>
    <m/>
    <m/>
    <s v="S'est rapproché de l'espagnol Acciona Wind Power en 2016 permettant de se renforcer sur le marché américain. Le CEO a changé, c'est José Luis Blanco ancien d'Acciona"/>
    <m/>
    <n v="1537"/>
    <n v="0"/>
    <s v="DE000A0D65541"/>
    <s v="DE000A0D6554"/>
    <n v="1"/>
    <x v="69"/>
    <m/>
    <m/>
    <m/>
  </r>
  <r>
    <m/>
    <m/>
    <m/>
    <m/>
    <n v="22.32"/>
    <x v="4"/>
    <n v="4650700000"/>
    <n v="93014000"/>
    <n v="-61800000"/>
    <n v="-129600000"/>
    <n v="40900000"/>
    <n v="773500000"/>
    <n v="7.2506092034968166"/>
    <n v="-0.16755009696186166"/>
    <n v="-4.8565815324165026E-2"/>
    <n v="106680691"/>
    <n v="2381113023.1199999"/>
    <n v="3.0783620208403359"/>
    <n v="26.039230902014751"/>
    <m/>
    <m/>
    <s v=""/>
    <m/>
    <m/>
    <m/>
    <s v="Actionnaire : Acciona à 33,63%"/>
    <m/>
    <n v="1538"/>
    <n v="0"/>
    <s v="DE000A0D655412020"/>
    <s v="DE000A0D6554"/>
    <n v="1"/>
    <x v="69"/>
    <m/>
    <m/>
    <m/>
  </r>
  <r>
    <m/>
    <m/>
    <m/>
    <m/>
    <m/>
    <x v="1"/>
    <n v="0.41591061316446454"/>
    <n v="-0.24867528271405492"/>
    <n v="2.1530612244897958"/>
    <n v="0.78512396694214881"/>
    <m/>
    <m/>
    <m/>
    <m/>
    <m/>
    <m/>
    <m/>
    <m/>
    <m/>
    <m/>
    <m/>
    <s v=""/>
    <m/>
    <m/>
    <m/>
    <s v="Forte révision en baisse des perspectives (crise de croissance ?) début 2017 avec un CA attendu à 3,1-3,3 Md euros en 2017 et 2018 au lieu de 4,2 Md euros à cause de pression sur les prix en Allemangne (Nordex a 17% de part de marché en Allemagne)"/>
    <m/>
    <n v="1539"/>
    <n v="0"/>
    <s v="DE000A0D65541"/>
    <s v="DE000A0D6554"/>
    <n v="1"/>
    <x v="69"/>
    <m/>
    <m/>
    <m/>
  </r>
  <r>
    <m/>
    <m/>
    <m/>
    <m/>
    <n v="12.5"/>
    <x v="5"/>
    <n v="3284600000"/>
    <n v="123800000"/>
    <n v="-19600000"/>
    <n v="-72600000"/>
    <n v="84000000"/>
    <n v="745400000"/>
    <n v="6.9872063352120586"/>
    <n v="-9.7397370539307748E-2"/>
    <n v="-1.5124186158668918E-2"/>
    <n v="106680691"/>
    <n v="1333508637.5"/>
    <n v="1.7889839515696271"/>
    <n v="11.449988994345718"/>
    <m/>
    <m/>
    <s v=""/>
    <m/>
    <m/>
    <m/>
    <s v="Le changement du système d'enchères en Allemagne a pertubé le marché. Baisse des commandes attendu entre 2017-2020 avec des ventes autour de 600 Me dans ce pays"/>
    <m/>
    <n v="1540"/>
    <n v="0"/>
    <s v="DE000A0D655412019"/>
    <s v="DE000A0D6554"/>
    <n v="1"/>
    <x v="69"/>
    <m/>
    <m/>
    <m/>
  </r>
  <r>
    <m/>
    <m/>
    <m/>
    <m/>
    <m/>
    <x v="1"/>
    <n v="0.33567888402536838"/>
    <n v="0.21730580137659783"/>
    <n v="-0.63824957088278178"/>
    <n v="-0.13419913419913421"/>
    <m/>
    <m/>
    <m/>
    <m/>
    <m/>
    <m/>
    <m/>
    <m/>
    <m/>
    <m/>
    <m/>
    <s v=""/>
    <m/>
    <m/>
    <m/>
    <s v="A long terme, l'éolien en mer, segment sur lequel Nordex n'est pas présent, est plus intéressant (éolienne plus grande et meilleure production selon une étude américaine indépendante) que le On shore. Le offshore représente peu "/>
    <m/>
    <n v="1541"/>
    <n v="0"/>
    <s v="DE000A0D65541"/>
    <s v="DE000A0D6554"/>
    <n v="1"/>
    <x v="69"/>
    <m/>
    <m/>
    <m/>
  </r>
  <r>
    <m/>
    <m/>
    <m/>
    <m/>
    <n v="8.4"/>
    <x v="6"/>
    <n v="2459124000"/>
    <n v="101700000"/>
    <n v="-54181000"/>
    <n v="-83853000"/>
    <n v="32500000"/>
    <n v="697300000"/>
    <n v="7.1899608802405242"/>
    <n v="-0.12025383622544099"/>
    <n v="-4.7514168265278156E-2"/>
    <n v="96982447"/>
    <n v="814652554.80000007"/>
    <n v="1.1682956472106698"/>
    <n v="8.3299169596853506"/>
    <m/>
    <m/>
    <s v=""/>
    <m/>
    <m/>
    <m/>
    <s v="Business en Europe et Amérique (du Nord et du Sud). Première commande en Inde fin 2018"/>
    <m/>
    <n v="1542"/>
    <n v="0"/>
    <s v="DE000A0D655412018"/>
    <s v="DE000A0D6554"/>
    <n v="1"/>
    <x v="69"/>
    <m/>
    <m/>
    <m/>
  </r>
  <r>
    <m/>
    <m/>
    <m/>
    <m/>
    <m/>
    <x v="1"/>
    <n v="-0.20100929628681374"/>
    <n v="-0.57975206611570251"/>
    <n v="-2.2496482690223032"/>
    <n v="-255.87234042553192"/>
    <m/>
    <m/>
    <m/>
    <m/>
    <m/>
    <m/>
    <m/>
    <m/>
    <m/>
    <m/>
    <m/>
    <s v=""/>
    <m/>
    <m/>
    <m/>
    <s v="Points forts : croissance hors Allemagne, nouveau produit bien accueilli et Asset light (500 Ke par salarié de CA et dettes nulles). Point faible : concurrence sur les prix. Risque : production - installation : marge zéro et gains sur les services. Croissance du offshore"/>
    <m/>
    <n v="1543"/>
    <n v="0"/>
    <s v="DE000A0D65541"/>
    <s v="DE000A0D6554"/>
    <n v="1"/>
    <x v="69"/>
    <m/>
    <m/>
    <m/>
  </r>
  <r>
    <m/>
    <m/>
    <m/>
    <m/>
    <n v="7.29"/>
    <x v="7"/>
    <n v="3077788000"/>
    <n v="242000000"/>
    <n v="43357000"/>
    <n v="329000"/>
    <n v="60100000"/>
    <n v="919000000"/>
    <n v="9.4759415587853741"/>
    <n v="3.5799782372143636E-4"/>
    <n v="2.8340802778061489E-2"/>
    <n v="96982447"/>
    <n v="707002038.63"/>
    <n v="0.76931669056583241"/>
    <n v="3.1698431348347107"/>
    <m/>
    <m/>
    <s v=""/>
    <m/>
    <m/>
    <m/>
    <s v="8527 salariés fin 2020 : 5 Md euros de CA soit 550 K euros par salarié "/>
    <m/>
    <n v="1544"/>
    <n v="0"/>
    <s v="DE000A0D655412017"/>
    <s v="DE000A0D6554"/>
    <n v="1"/>
    <x v="69"/>
    <m/>
    <m/>
    <m/>
  </r>
  <r>
    <m/>
    <m/>
    <m/>
    <m/>
    <m/>
    <x v="1"/>
    <n v="-9.3435051546391756E-2"/>
    <n v="-0.15236427320490364"/>
    <n v="-0.74284104389086592"/>
    <n v="-0.99655136268343814"/>
    <m/>
    <m/>
    <m/>
    <m/>
    <m/>
    <m/>
    <m/>
    <m/>
    <m/>
    <m/>
    <m/>
    <s v=""/>
    <m/>
    <m/>
    <m/>
    <s v="Premier trimestre 2018 meilleur avec un carnet de commandes qui se garnit. Potentiel sur la France, Turquie et Suède"/>
    <m/>
    <n v="1545"/>
    <n v="0"/>
    <s v="DE000A0D65541"/>
    <s v="DE000A0D6554"/>
    <n v="1"/>
    <x v="69"/>
    <m/>
    <m/>
    <m/>
  </r>
  <r>
    <m/>
    <m/>
    <m/>
    <m/>
    <n v="20.440000000000001"/>
    <x v="8"/>
    <n v="3395000000"/>
    <n v="285500000"/>
    <n v="168600000"/>
    <n v="95400000"/>
    <n v="6000000"/>
    <n v="940000000"/>
    <n v="10.130183636520389"/>
    <n v="0.10148936170212766"/>
    <n v="0.11406342494714589"/>
    <n v="92792000"/>
    <n v="1896668480"/>
    <n v="2.0177324255319147"/>
    <n v="6.6643379334500876"/>
    <m/>
    <m/>
    <s v=""/>
    <m/>
    <m/>
    <m/>
    <s v="Voir page 79 du rapport annuel, les achats de titre du CEO"/>
    <m/>
    <n v="1546"/>
    <n v="0"/>
    <s v="DE000A0D655412016"/>
    <s v="DE000A0D6554"/>
    <n v="1"/>
    <x v="69"/>
    <m/>
    <m/>
    <m/>
  </r>
  <r>
    <m/>
    <m/>
    <m/>
    <m/>
    <m/>
    <x v="1"/>
    <n v="0.39706184930661292"/>
    <n v="0.56524122807017552"/>
    <n v="0.33597464342313788"/>
    <n v="0.82409177820267687"/>
    <m/>
    <m/>
    <m/>
    <m/>
    <m/>
    <m/>
    <m/>
    <m/>
    <m/>
    <m/>
    <m/>
    <s v=""/>
    <m/>
    <m/>
    <m/>
    <s v="Le cours, 8-9 euros, est à un prix d'achat à suivre."/>
    <m/>
    <n v="1547"/>
    <n v="0"/>
    <s v="DE000A0D65541"/>
    <s v="DE000A0D6554"/>
    <n v="1"/>
    <x v="69"/>
    <m/>
    <m/>
    <m/>
  </r>
  <r>
    <m/>
    <m/>
    <m/>
    <m/>
    <n v="32.85"/>
    <x v="9"/>
    <n v="2430100000"/>
    <n v="182400000"/>
    <n v="126200000"/>
    <n v="52300000"/>
    <m/>
    <n v="455600000"/>
    <n v="5.6328973071882498"/>
    <n v="0.11479367866549604"/>
    <n v="0.17727831431079893"/>
    <n v="80882000"/>
    <n v="2656973700"/>
    <n v="5.8318123353819136"/>
    <n v="14.566741776315789"/>
    <m/>
    <m/>
    <s v=""/>
    <m/>
    <m/>
    <m/>
    <s v="Objectif : 12-13 euros après stabilisation de l'activité et retour à un multiple VE/EBE de 6-7. A long terme : 15 -20 euros mais guerre des prix, maturité du marché allemand, concurrent (Vestas) assurant le SAV sur ces éoliennes et pas Nordex"/>
    <m/>
    <n v="1548"/>
    <n v="0"/>
    <s v="DE000A0D655412015"/>
    <s v="DE000A0D6554"/>
    <n v="1"/>
    <x v="69"/>
    <m/>
    <m/>
    <m/>
  </r>
  <r>
    <m/>
    <m/>
    <m/>
    <m/>
    <m/>
    <x v="1"/>
    <n v="0.40103776304410488"/>
    <n v="0.50743801652892562"/>
    <n v="0.61794871794871797"/>
    <n v="0.34102564102564092"/>
    <m/>
    <m/>
    <m/>
    <m/>
    <m/>
    <m/>
    <m/>
    <m/>
    <m/>
    <m/>
    <m/>
    <s v=""/>
    <m/>
    <m/>
    <m/>
    <s v="Pas de dettes, pas de minoritaires et stabilité du nombre d'actions"/>
    <m/>
    <n v="1549"/>
    <n v="0"/>
    <s v="DE000A0D65541"/>
    <s v="DE000A0D6554"/>
    <n v="1"/>
    <x v="69"/>
    <m/>
    <m/>
    <m/>
  </r>
  <r>
    <m/>
    <m/>
    <m/>
    <m/>
    <n v="15.5"/>
    <x v="10"/>
    <n v="1734500000"/>
    <n v="121000000"/>
    <n v="78000000"/>
    <n v="39000000"/>
    <m/>
    <n v="396000000"/>
    <n v="4.8960213644568631"/>
    <n v="9.8484848484848481E-2"/>
    <n v="0.12606060606060607"/>
    <n v="80882000"/>
    <n v="1253671000"/>
    <n v="3.1658358585858584"/>
    <n v="10.360917355371901"/>
    <m/>
    <m/>
    <s v=""/>
    <m/>
    <m/>
    <m/>
    <s v="Ouverture dans de nouveaux pays fin 2018-2019 avec la nouvelle éolienne bien accueillie. Turquie, Australie. Capacité de production utilisée à 100% au 4T2019 selon le dirigeant. Potentiel supplémentaire ? Suivre la marge ?"/>
    <m/>
    <n v="1550"/>
    <n v="0"/>
    <s v="DE000A0D655412014"/>
    <s v="DE000A0D6554"/>
    <n v="1"/>
    <x v="69"/>
    <m/>
    <m/>
    <m/>
  </r>
  <r>
    <m/>
    <m/>
    <m/>
    <m/>
    <m/>
    <x v="1"/>
    <n v="0.2135310991394388"/>
    <n v="0.44736842105263164"/>
    <n v="0.76072234762979685"/>
    <n v="2.7864077669902914"/>
    <m/>
    <m/>
    <m/>
    <m/>
    <m/>
    <m/>
    <m/>
    <m/>
    <m/>
    <m/>
    <m/>
    <s v=""/>
    <m/>
    <m/>
    <m/>
    <s v="En août 2019 : augmentation de capital de 10% à 10,21 e"/>
    <m/>
    <n v="1551"/>
    <n v="0"/>
    <s v="DE000A0D65541"/>
    <s v="DE000A0D6554"/>
    <n v="1"/>
    <x v="69"/>
    <m/>
    <m/>
    <m/>
  </r>
  <r>
    <m/>
    <m/>
    <m/>
    <m/>
    <n v="9.6"/>
    <x v="11"/>
    <n v="1429300000"/>
    <n v="83600000"/>
    <n v="44300000"/>
    <n v="10300000"/>
    <m/>
    <n v="368000000"/>
    <n v="4.5498380356568831"/>
    <n v="2.798913043478261E-2"/>
    <n v="7.7043478260869561E-2"/>
    <n v="80882000"/>
    <n v="776467200"/>
    <n v="2.1099652173913044"/>
    <n v="9.2878851674641147"/>
    <m/>
    <m/>
    <s v=""/>
    <m/>
    <m/>
    <m/>
    <s v="En 2020, retour de la forte croissance avec la transition énergétique et les plans de relance. 1500 turbines installées dans 23 pays. Faible rentabilité"/>
    <m/>
    <n v="1552"/>
    <n v="0"/>
    <s v="DE000A0D655412013"/>
    <s v="DE000A0D6554"/>
    <n v="1"/>
    <x v="69"/>
    <m/>
    <m/>
    <m/>
  </r>
  <r>
    <m/>
    <m/>
    <m/>
    <m/>
    <m/>
    <x v="1"/>
    <n v="0.32921045289686601"/>
    <n v="9.1951219512195124"/>
    <n v="-1.7250409165302782"/>
    <n v="-1.1095744680851063"/>
    <m/>
    <m/>
    <m/>
    <m/>
    <m/>
    <m/>
    <m/>
    <m/>
    <m/>
    <m/>
    <m/>
    <s v=""/>
    <m/>
    <m/>
    <m/>
    <s v="En décembre 2020, augmentation de capital de 200 M euros (10%) à 18,9 euros par action avec la création de 10,7 millions de titres"/>
    <m/>
    <n v="1553"/>
    <n v="0"/>
    <s v="DE000A0D65541"/>
    <s v="DE000A0D6554"/>
    <n v="1"/>
    <x v="69"/>
    <m/>
    <m/>
    <m/>
  </r>
  <r>
    <m/>
    <m/>
    <m/>
    <m/>
    <n v="3.17"/>
    <x v="12"/>
    <n v="1075300000"/>
    <n v="8200000"/>
    <n v="-61100000"/>
    <n v="-94000000"/>
    <m/>
    <n v="279000000"/>
    <n v="3.4494695976855172"/>
    <n v="-0.33691756272401435"/>
    <n v="-0.14015770609318998"/>
    <n v="80882000"/>
    <n v="256395940"/>
    <n v="0.91898186379928315"/>
    <n v="31.267797560975609"/>
    <m/>
    <m/>
    <s v=""/>
    <m/>
    <m/>
    <m/>
    <s v="En juin 2021, nouvelle augmentation de capital de 584 M euros (40%) à 13,7 euros par action avec la création de 42,67 millions de titres. Objectif 2022 : CA de 5 Md euros et EBITDA de 8% soit 400 Meuros"/>
    <m/>
    <n v="1554"/>
    <n v="0"/>
    <s v="DE000A0D655412012"/>
    <s v="DE000A0D6554"/>
    <n v="1"/>
    <x v="69"/>
    <m/>
    <m/>
    <m/>
  </r>
  <r>
    <m/>
    <m/>
    <m/>
    <m/>
    <m/>
    <x v="1"/>
    <m/>
    <m/>
    <m/>
    <m/>
    <m/>
    <m/>
    <m/>
    <m/>
    <m/>
    <m/>
    <m/>
    <m/>
    <m/>
    <m/>
    <m/>
    <s v=""/>
    <m/>
    <m/>
    <m/>
    <s v="2021 : le chiffre d'affaires dépasse les 5 Md euros mais la rentabilité est très faible. Liquidité grâce à la dernière augmentation de capital"/>
    <m/>
    <n v="1555"/>
    <n v="0"/>
    <s v="DE000A0D65541"/>
    <s v="DE000A0D6554"/>
    <n v="1"/>
    <x v="69"/>
    <m/>
    <m/>
    <m/>
  </r>
  <r>
    <m/>
    <m/>
    <m/>
    <m/>
    <m/>
    <x v="1"/>
    <m/>
    <m/>
    <m/>
    <m/>
    <m/>
    <m/>
    <m/>
    <m/>
    <m/>
    <m/>
    <m/>
    <m/>
    <m/>
    <m/>
    <m/>
    <s v=""/>
    <m/>
    <m/>
    <m/>
    <s v="Minoritaires : aucun"/>
    <m/>
    <n v="1556"/>
    <n v="0"/>
    <s v="DE000A0D65541"/>
    <s v="DE000A0D6554"/>
    <n v="1"/>
    <x v="69"/>
    <m/>
    <m/>
    <m/>
  </r>
  <r>
    <m/>
    <m/>
    <m/>
    <m/>
    <m/>
    <x v="1"/>
    <m/>
    <m/>
    <m/>
    <m/>
    <m/>
    <m/>
    <m/>
    <m/>
    <m/>
    <m/>
    <m/>
    <m/>
    <m/>
    <m/>
    <m/>
    <s v=""/>
    <m/>
    <m/>
    <m/>
    <m/>
    <m/>
    <n v="1557"/>
    <n v="0"/>
    <s v="DE000A0D65541"/>
    <s v="DE000A0D6554"/>
    <n v="1"/>
    <x v="69"/>
    <m/>
    <m/>
    <m/>
  </r>
  <r>
    <m/>
    <m/>
    <m/>
    <m/>
    <m/>
    <x v="1"/>
    <m/>
    <m/>
    <m/>
    <m/>
    <m/>
    <m/>
    <m/>
    <m/>
    <m/>
    <m/>
    <m/>
    <m/>
    <m/>
    <m/>
    <m/>
    <s v=""/>
    <m/>
    <m/>
    <m/>
    <m/>
    <m/>
    <n v="1558"/>
    <n v="0"/>
    <s v="DE000A0D65541"/>
    <s v="DE000A0D6554"/>
    <n v="1"/>
    <x v="69"/>
    <m/>
    <m/>
    <m/>
  </r>
  <r>
    <m/>
    <m/>
    <m/>
    <m/>
    <s v="Offre de rachat par Siemens Energy à 18,05 €uros en mai 2022"/>
    <x v="1"/>
    <m/>
    <m/>
    <m/>
    <m/>
    <m/>
    <m/>
    <m/>
    <m/>
    <m/>
    <m/>
    <m/>
    <m/>
    <m/>
    <m/>
    <m/>
    <s v=""/>
    <m/>
    <m/>
    <m/>
    <m/>
    <m/>
    <n v="1559"/>
    <n v="0"/>
    <s v="DE000A0D65541"/>
    <s v="DE000A0D6554"/>
    <n v="1"/>
    <x v="69"/>
    <m/>
    <m/>
    <m/>
  </r>
  <r>
    <m/>
    <m/>
    <m/>
    <m/>
    <m/>
    <x v="1"/>
    <m/>
    <m/>
    <m/>
    <m/>
    <m/>
    <m/>
    <m/>
    <m/>
    <m/>
    <m/>
    <m/>
    <m/>
    <m/>
    <m/>
    <m/>
    <s v=""/>
    <m/>
    <m/>
    <m/>
    <m/>
    <m/>
    <n v="1560"/>
    <n v="0"/>
    <s v="DE000A0D65541"/>
    <s v="DE000A0D6554"/>
    <n v="1"/>
    <x v="69"/>
    <m/>
    <m/>
    <m/>
  </r>
  <r>
    <s v="Siemens GAMESA"/>
    <s v="Fabricants d'éoliennes"/>
    <s v="Espagne / Allemagne"/>
    <s v="Euro"/>
    <n v="21.07"/>
    <x v="3"/>
    <n v="10500000000"/>
    <m/>
    <n v="500000000"/>
    <m/>
    <n v="-476000000"/>
    <m/>
    <m/>
    <m/>
    <m/>
    <n v="679510000"/>
    <n v="14317275700"/>
    <m/>
    <m/>
    <m/>
    <m/>
    <s v=""/>
    <m/>
    <m/>
    <m/>
    <s v="Siemens Gamesa (Onshore/Offshore) fusion en juillet 2017 - 75 GW vient de réviser son EBIT à la baisse (790 M euros contre 900 M euros, CA / 11 Md) pression sur les prix aux Etats-Unis et Afrique du Sud. Valorisation"/>
    <m/>
    <n v="1561"/>
    <n v="0"/>
    <s v="ES0143416115 12021"/>
    <s v="ES0143416115 "/>
    <n v="1"/>
    <x v="70"/>
    <m/>
    <m/>
    <m/>
  </r>
  <r>
    <m/>
    <m/>
    <m/>
    <m/>
    <m/>
    <x v="1"/>
    <m/>
    <m/>
    <m/>
    <m/>
    <m/>
    <m/>
    <m/>
    <m/>
    <m/>
    <m/>
    <m/>
    <m/>
    <m/>
    <m/>
    <m/>
    <s v=""/>
    <m/>
    <m/>
    <m/>
    <s v="Siemens Gamesa est filiale à 59% de Siemens"/>
    <m/>
    <n v="1562"/>
    <n v="0"/>
    <s v="ES0143416115 1"/>
    <s v="ES0143416115 "/>
    <n v="1"/>
    <x v="70"/>
    <m/>
    <m/>
    <m/>
  </r>
  <r>
    <m/>
    <m/>
    <m/>
    <m/>
    <n v="33.090000000000003"/>
    <x v="6"/>
    <n v="9500000000"/>
    <m/>
    <n v="665000000.00000012"/>
    <m/>
    <n v="-300000000"/>
    <m/>
    <m/>
    <m/>
    <m/>
    <n v="679510000"/>
    <n v="22484985900.000004"/>
    <m/>
    <e v="#DIV/0!"/>
    <m/>
    <m/>
    <s v=""/>
    <m/>
    <m/>
    <m/>
    <s v="L'éolien doit croître de 6,6% par an entre 2016 -2021 mais +4% hors Chine trustée par les acteurs locaux. Croissance du marché revue à la hausse à 5,5% par an entre 2019-2025"/>
    <m/>
    <n v="1563"/>
    <n v="0"/>
    <s v="ES0143416115 12018"/>
    <s v="ES0143416115 "/>
    <n v="1"/>
    <x v="70"/>
    <m/>
    <m/>
    <m/>
  </r>
  <r>
    <m/>
    <m/>
    <m/>
    <m/>
    <m/>
    <x v="1"/>
    <n v="-0.13636363636363635"/>
    <e v="#DIV/0!"/>
    <n v="-0.15822784810126567"/>
    <e v="#DIV/0!"/>
    <m/>
    <m/>
    <m/>
    <m/>
    <m/>
    <m/>
    <m/>
    <m/>
    <m/>
    <m/>
    <m/>
    <s v=""/>
    <m/>
    <m/>
    <m/>
    <s v="Trésorerie positive car les fabricants d'éoliens reçoivent des avances lors des commandes"/>
    <m/>
    <n v="1564"/>
    <n v="0"/>
    <s v="ES0143416115 1"/>
    <s v="ES0143416115 "/>
    <n v="1"/>
    <x v="70"/>
    <m/>
    <m/>
    <m/>
  </r>
  <r>
    <m/>
    <m/>
    <m/>
    <m/>
    <n v="11.71"/>
    <x v="7"/>
    <n v="11000000000"/>
    <m/>
    <n v="790000000"/>
    <m/>
    <n v="-377000000"/>
    <m/>
    <m/>
    <m/>
    <m/>
    <n v="679510000"/>
    <n v="7957062100.000001"/>
    <m/>
    <e v="#DIV/0!"/>
    <m/>
    <m/>
    <s v=""/>
    <m/>
    <m/>
    <m/>
    <s v="En 2018, 9 à 9,6 Md euros - marge EBIT : 7 à 8%. Capex : 500 M euros - Clôture le 30/9 comme le groupe Siemens"/>
    <m/>
    <n v="1565"/>
    <n v="0"/>
    <s v="ES0143416115 12017"/>
    <s v="ES0143416115 "/>
    <n v="1"/>
    <x v="70"/>
    <m/>
    <m/>
    <m/>
  </r>
  <r>
    <m/>
    <m/>
    <m/>
    <m/>
    <m/>
    <x v="1"/>
    <m/>
    <m/>
    <m/>
    <m/>
    <m/>
    <m/>
    <m/>
    <m/>
    <m/>
    <m/>
    <m/>
    <m/>
    <m/>
    <m/>
    <m/>
    <s v=""/>
    <m/>
    <m/>
    <m/>
    <s v="Bénéficie des programmes d'investissement européens de 750 Md euros avec une part importante pour la transition énergétique et l'installation d'éoliennes"/>
    <m/>
    <n v="1566"/>
    <n v="0"/>
    <s v="ES0143416115 1"/>
    <s v="ES0143416115 "/>
    <n v="1"/>
    <x v="70"/>
    <m/>
    <m/>
    <m/>
  </r>
  <r>
    <m/>
    <m/>
    <m/>
    <m/>
    <m/>
    <x v="1"/>
    <m/>
    <m/>
    <m/>
    <m/>
    <m/>
    <m/>
    <m/>
    <m/>
    <m/>
    <m/>
    <m/>
    <m/>
    <m/>
    <m/>
    <m/>
    <s v=""/>
    <m/>
    <m/>
    <m/>
    <s v="Partenariat avec Siemens Energy dans l'hydrogène"/>
    <m/>
    <n v="1567"/>
    <n v="0"/>
    <s v="ES0143416115 1"/>
    <s v="ES0143416115 "/>
    <n v="1"/>
    <x v="70"/>
    <m/>
    <m/>
    <m/>
  </r>
  <r>
    <m/>
    <m/>
    <m/>
    <m/>
    <m/>
    <x v="1"/>
    <m/>
    <m/>
    <m/>
    <m/>
    <m/>
    <m/>
    <m/>
    <m/>
    <m/>
    <m/>
    <m/>
    <m/>
    <m/>
    <m/>
    <m/>
    <s v=""/>
    <m/>
    <m/>
    <m/>
    <s v="Offre de rachat par Siemens Energy à 18,05 €uros en mai 2022"/>
    <m/>
    <n v="1568"/>
    <n v="0"/>
    <s v="ES0143416115 1"/>
    <s v="ES0143416115 "/>
    <n v="1"/>
    <x v="70"/>
    <m/>
    <m/>
    <m/>
  </r>
  <r>
    <m/>
    <m/>
    <m/>
    <m/>
    <m/>
    <x v="1"/>
    <m/>
    <m/>
    <m/>
    <m/>
    <m/>
    <m/>
    <m/>
    <m/>
    <m/>
    <m/>
    <m/>
    <m/>
    <m/>
    <m/>
    <m/>
    <s v=""/>
    <m/>
    <m/>
    <m/>
    <m/>
    <m/>
    <n v="1569"/>
    <n v="0"/>
    <s v="ES0143416115 1"/>
    <s v="ES0143416115 "/>
    <n v="1"/>
    <x v="70"/>
    <m/>
    <m/>
    <m/>
  </r>
  <r>
    <m/>
    <m/>
    <m/>
    <m/>
    <m/>
    <x v="1"/>
    <m/>
    <m/>
    <m/>
    <m/>
    <m/>
    <m/>
    <m/>
    <m/>
    <m/>
    <m/>
    <m/>
    <m/>
    <m/>
    <m/>
    <m/>
    <s v=""/>
    <m/>
    <m/>
    <m/>
    <m/>
    <m/>
    <n v="1570"/>
    <n v="0"/>
    <s v="ES0143416115 1"/>
    <s v="ES0143416115 "/>
    <n v="1"/>
    <x v="70"/>
    <m/>
    <m/>
    <m/>
  </r>
  <r>
    <s v="Vestas"/>
    <s v="Fabricants d'éoliennes"/>
    <s v="Danemark"/>
    <s v="DKK"/>
    <n v="1439"/>
    <x v="7"/>
    <n v="9500000000"/>
    <n v="1600000000"/>
    <n v="1140000000"/>
    <n v="850000000"/>
    <m/>
    <n v="3500000000"/>
    <n v="15.868597134403391"/>
    <n v="0.24285714285714285"/>
    <n v="0.20845714285714287"/>
    <n v="220561400"/>
    <n v="317387854600"/>
    <n v="90.682244171428565"/>
    <n v="198.36740912499999"/>
    <m/>
    <m/>
    <s v=""/>
    <m/>
    <m/>
    <m/>
    <s v="Numéro 1 mondial de l'éolien"/>
    <m/>
    <n v="1571"/>
    <n v="0"/>
    <s v="DK006153992112017"/>
    <s v="DK0061539921"/>
    <n v="1"/>
    <x v="71"/>
    <m/>
    <m/>
    <m/>
  </r>
  <r>
    <m/>
    <m/>
    <m/>
    <m/>
    <m/>
    <x v="1"/>
    <n v="-7.1993748168408755E-2"/>
    <n v="-0.12376779846659369"/>
    <n v="-0.19774806474313866"/>
    <n v="-0.11917098445595853"/>
    <m/>
    <m/>
    <m/>
    <m/>
    <m/>
    <m/>
    <m/>
    <m/>
    <m/>
    <m/>
    <m/>
    <s v=""/>
    <m/>
    <m/>
    <m/>
    <s v="Comme tout le secteur, 2017 est difficile avec une pression sur les prix et moins de mise aux enchères au 3T17"/>
    <m/>
    <n v="1572"/>
    <n v="0"/>
    <s v="DK00615399211"/>
    <s v="DK0061539921"/>
    <n v="1"/>
    <x v="71"/>
    <m/>
    <m/>
    <m/>
  </r>
  <r>
    <m/>
    <m/>
    <m/>
    <s v="cours en couronne"/>
    <n v="60.483870967741929"/>
    <x v="8"/>
    <n v="10237000000"/>
    <n v="1826000000"/>
    <n v="1421000000"/>
    <n v="965000000"/>
    <m/>
    <n v="3190000000"/>
    <n v="14.463092816784805"/>
    <n v="0.30250783699059564"/>
    <n v="0.28509090909090912"/>
    <n v="220561400"/>
    <n v="13340407258.064514"/>
    <n v="4.1819458489230454"/>
    <n v="7.3058090131788136"/>
    <m/>
    <m/>
    <s v=""/>
    <m/>
    <m/>
    <m/>
    <s v="Opportunité ?"/>
    <m/>
    <n v="1573"/>
    <n v="0"/>
    <s v="DK006153992112016"/>
    <s v="DK0061539921"/>
    <n v="1"/>
    <x v="71"/>
    <m/>
    <m/>
    <m/>
  </r>
  <r>
    <m/>
    <m/>
    <m/>
    <s v="compte en euros"/>
    <m/>
    <x v="1"/>
    <m/>
    <m/>
    <m/>
    <m/>
    <m/>
    <m/>
    <m/>
    <m/>
    <m/>
    <m/>
    <m/>
    <m/>
    <m/>
    <m/>
    <m/>
    <s v=""/>
    <m/>
    <m/>
    <m/>
    <m/>
    <m/>
    <n v="1574"/>
    <n v="0"/>
    <s v="DK00615399211"/>
    <s v="DK0061539921"/>
    <n v="1"/>
    <x v="71"/>
    <m/>
    <m/>
    <m/>
  </r>
  <r>
    <m/>
    <m/>
    <m/>
    <m/>
    <m/>
    <x v="1"/>
    <m/>
    <m/>
    <m/>
    <m/>
    <m/>
    <m/>
    <m/>
    <m/>
    <m/>
    <m/>
    <m/>
    <m/>
    <m/>
    <m/>
    <m/>
    <s v=""/>
    <m/>
    <m/>
    <m/>
    <m/>
    <m/>
    <n v="1575"/>
    <n v="0"/>
    <s v="DK00615399211"/>
    <s v="DK0061539921"/>
    <n v="1"/>
    <x v="71"/>
    <m/>
    <m/>
    <m/>
  </r>
  <r>
    <m/>
    <m/>
    <m/>
    <m/>
    <m/>
    <x v="1"/>
    <m/>
    <m/>
    <m/>
    <m/>
    <m/>
    <m/>
    <m/>
    <m/>
    <m/>
    <m/>
    <m/>
    <m/>
    <m/>
    <m/>
    <m/>
    <s v=""/>
    <m/>
    <m/>
    <m/>
    <m/>
    <m/>
    <n v="1576"/>
    <n v="0"/>
    <s v="DK00615399211"/>
    <s v="DK0061539921"/>
    <n v="1"/>
    <x v="71"/>
    <m/>
    <m/>
    <m/>
  </r>
  <r>
    <m/>
    <m/>
    <m/>
    <m/>
    <m/>
    <x v="1"/>
    <m/>
    <m/>
    <m/>
    <m/>
    <m/>
    <m/>
    <m/>
    <m/>
    <m/>
    <m/>
    <m/>
    <m/>
    <m/>
    <m/>
    <m/>
    <s v=""/>
    <m/>
    <m/>
    <m/>
    <m/>
    <m/>
    <n v="1577"/>
    <n v="0"/>
    <s v="DK00615399211"/>
    <s v="DK0061539921"/>
    <n v="1"/>
    <x v="71"/>
    <m/>
    <m/>
    <m/>
  </r>
  <r>
    <s v="Figeac Aéro "/>
    <s v="Aéronautique - sous-traitants"/>
    <s v="France"/>
    <s v="Euro"/>
    <n v="6"/>
    <x v="2"/>
    <n v="300000000"/>
    <n v="36000000"/>
    <n v="0"/>
    <n v="-20000000"/>
    <n v="350000000"/>
    <n v="85000000"/>
    <n v="2.024894385082217"/>
    <n v="-0.23529411764705882"/>
    <n v="0"/>
    <n v="41977498"/>
    <n v="251864988"/>
    <n v="2.9631175058823529"/>
    <n v="16.718471888888889"/>
    <s v="Non noté"/>
    <m/>
    <s v=""/>
    <m/>
    <m/>
    <m/>
    <s v="Fabricant de structure &amp; composants pour les avions. Fondé par M.Maillard (né en 1958) en 1989, la société a été introduite en bourse en 2013"/>
    <m/>
    <n v="1578"/>
    <n v="0"/>
    <s v="FR001166528012022"/>
    <s v="FR0011665280"/>
    <n v="1"/>
    <x v="72"/>
    <m/>
    <m/>
    <m/>
  </r>
  <r>
    <m/>
    <m/>
    <m/>
    <m/>
    <m/>
    <x v="1"/>
    <n v="0.46592458306661655"/>
    <n v="39.089086859688194"/>
    <n v="-1"/>
    <n v="-0.65001312450783089"/>
    <m/>
    <m/>
    <m/>
    <m/>
    <m/>
    <m/>
    <m/>
    <m/>
    <m/>
    <m/>
    <m/>
    <s v=""/>
    <m/>
    <m/>
    <m/>
    <s v="La société fabrique des composants d'avions : aile, moteurs, cockpit, train d'attérissage….pour les constructeurs (Airbus, Boeing) ou d'autres fournisseurs (Safran, Zodiac)."/>
    <m/>
    <n v="1579"/>
    <n v="0"/>
    <s v="FR00116652801"/>
    <s v="FR0011665280"/>
    <n v="1"/>
    <x v="72"/>
    <m/>
    <m/>
    <m/>
  </r>
  <r>
    <m/>
    <m/>
    <m/>
    <m/>
    <n v="6"/>
    <x v="3"/>
    <n v="204649000"/>
    <n v="898000"/>
    <n v="-45951000"/>
    <n v="-57145000"/>
    <n v="347700000"/>
    <n v="84688000"/>
    <n v="2.3703870895185553"/>
    <n v="-0.67477092386170412"/>
    <n v="-6.8014468486637003E-2"/>
    <n v="35727498"/>
    <n v="214364988"/>
    <n v="2.5312321462308711"/>
    <n v="625.90755902004457"/>
    <m/>
    <m/>
    <s v=""/>
    <m/>
    <m/>
    <m/>
    <s v="Fabrique des pièces de 26 mm à 26 m. Pièces, composants, structure et assemblage"/>
    <m/>
    <n v="1580"/>
    <n v="0"/>
    <s v="FR001166528012021"/>
    <s v="FR0011665280"/>
    <n v="1"/>
    <x v="72"/>
    <m/>
    <m/>
    <m/>
  </r>
  <r>
    <m/>
    <m/>
    <m/>
    <m/>
    <m/>
    <x v="1"/>
    <n v="-0.54187914415039606"/>
    <n v="-0.98579113924050632"/>
    <n v="-4.2255369928400954"/>
    <n v="3.0289371675831678E-2"/>
    <m/>
    <m/>
    <m/>
    <m/>
    <m/>
    <m/>
    <m/>
    <m/>
    <m/>
    <m/>
    <m/>
    <s v=""/>
    <m/>
    <m/>
    <m/>
    <s v="La société a vu son chiffre d'affaires passée de 120 M euros en 2012 à plus de 300 M euros en 2016 et prévoit 650 M euros en 2020 "/>
    <m/>
    <n v="1581"/>
    <n v="0"/>
    <s v="FR00116652801"/>
    <s v="FR0011665280"/>
    <n v="1"/>
    <x v="72"/>
    <m/>
    <m/>
    <m/>
  </r>
  <r>
    <m/>
    <m/>
    <m/>
    <m/>
    <n v="4.3849999999999998"/>
    <x v="4"/>
    <n v="446714000"/>
    <n v="63200000"/>
    <n v="14246000"/>
    <n v="-55465000"/>
    <n v="282300000"/>
    <n v="138553000"/>
    <n v="3.8780493389153641"/>
    <n v="-0.40031612451552834"/>
    <n v="2.1664191534811441E-2"/>
    <n v="35727498"/>
    <n v="156665078.72999999"/>
    <n v="1.1307231076194668"/>
    <n v="6.9456499799050633"/>
    <m/>
    <m/>
    <s v=""/>
    <m/>
    <m/>
    <m/>
    <s v="Activité à fort investissement et BFR comme Zodiac liée à un très fort carnet de commandes. Les investissements et le BFR consomment le flux de trésorerie généré parl'activité d'où la hausse de l'endettement"/>
    <m/>
    <n v="1582"/>
    <n v="0"/>
    <s v="FR001166528012020"/>
    <s v="FR0011665280"/>
    <n v="1"/>
    <x v="72"/>
    <m/>
    <m/>
    <m/>
  </r>
  <r>
    <m/>
    <m/>
    <m/>
    <m/>
    <m/>
    <x v="1"/>
    <n v="4.3831608856985227E-2"/>
    <n v="-0.16795028766275655"/>
    <n v="-0.56613369879701536"/>
    <n v="-4.8751484664291205"/>
    <m/>
    <m/>
    <m/>
    <m/>
    <m/>
    <m/>
    <m/>
    <m/>
    <m/>
    <m/>
    <m/>
    <s v=""/>
    <m/>
    <m/>
    <m/>
    <s v="Monsieur Maillard et sa famille détiennent 75,45% du capital et 85,9% des droits de vote"/>
    <m/>
    <n v="1583"/>
    <n v="0"/>
    <s v="FR00116652801"/>
    <s v="FR0011665280"/>
    <n v="1"/>
    <x v="72"/>
    <m/>
    <m/>
    <m/>
  </r>
  <r>
    <m/>
    <m/>
    <m/>
    <m/>
    <n v="11.4"/>
    <x v="5"/>
    <n v="427956000"/>
    <n v="75957000"/>
    <n v="32835000"/>
    <n v="14313000"/>
    <n v="262200000"/>
    <n v="198323000"/>
    <n v="5.5509904443910401"/>
    <n v="7.2170146679911049E-2"/>
    <n v="4.5631597118927829E-2"/>
    <n v="35727498"/>
    <n v="407293477.19999999"/>
    <n v="2.0536875561583878"/>
    <n v="8.8141116315810262"/>
    <m/>
    <m/>
    <s v=""/>
    <m/>
    <m/>
    <m/>
    <s v="Opportuniste, il a racheté à la barre du tribunal de commerce Auvergne Aéronautique (chaudronnerie)"/>
    <m/>
    <n v="1584"/>
    <n v="0"/>
    <s v="FR001166528012019"/>
    <s v="FR0011665280"/>
    <n v="1"/>
    <x v="72"/>
    <m/>
    <m/>
    <m/>
  </r>
  <r>
    <m/>
    <m/>
    <m/>
    <m/>
    <m/>
    <x v="1"/>
    <n v="0.15579442028789803"/>
    <n v="5.8855509862689059E-2"/>
    <n v="-0.10793849163225389"/>
    <n v="-0.52745221037340295"/>
    <m/>
    <m/>
    <m/>
    <m/>
    <m/>
    <m/>
    <m/>
    <m/>
    <m/>
    <m/>
    <m/>
    <s v=""/>
    <m/>
    <m/>
    <m/>
    <s v="A suivre, forte hausse de l'endettement depuis 18 mois"/>
    <m/>
    <n v="1585"/>
    <n v="0"/>
    <s v="FR00116652801"/>
    <s v="FR0011665280"/>
    <n v="1"/>
    <x v="72"/>
    <m/>
    <m/>
    <m/>
  </r>
  <r>
    <m/>
    <m/>
    <m/>
    <m/>
    <n v="12"/>
    <x v="6"/>
    <n v="370270000"/>
    <n v="71735000"/>
    <n v="36808000"/>
    <n v="30289000"/>
    <n v="272000000"/>
    <n v="259500000"/>
    <n v="7.2633129809425778"/>
    <n v="0.11672061657032755"/>
    <n v="4.4321956726246475E-2"/>
    <n v="35727498"/>
    <n v="428729976"/>
    <n v="1.6521386358381502"/>
    <n v="9.7683135986617415"/>
    <m/>
    <m/>
    <s v=""/>
    <m/>
    <m/>
    <m/>
    <s v="Clôture de l'exercice en mars/ Détient la plupart des filiales à 100% (pas de minoritaires ou presque)"/>
    <m/>
    <n v="1586"/>
    <n v="0"/>
    <s v="FR001166528012018"/>
    <s v="FR0011665280"/>
    <n v="1"/>
    <x v="72"/>
    <m/>
    <m/>
    <m/>
  </r>
  <r>
    <m/>
    <m/>
    <m/>
    <m/>
    <m/>
    <x v="1"/>
    <n v="0.14023256100415105"/>
    <n v="-2.6555070489113763E-3"/>
    <n v="-0.14449738524113886"/>
    <n v="-6.9319403902289189E-2"/>
    <m/>
    <m/>
    <m/>
    <m/>
    <m/>
    <m/>
    <m/>
    <m/>
    <m/>
    <m/>
    <m/>
    <s v=""/>
    <m/>
    <m/>
    <m/>
    <s v="Perte de change certaines années (2015)"/>
    <m/>
    <n v="1587"/>
    <n v="0"/>
    <s v="FR00116652801"/>
    <s v="FR0011665280"/>
    <n v="1"/>
    <x v="72"/>
    <m/>
    <m/>
    <m/>
  </r>
  <r>
    <m/>
    <m/>
    <m/>
    <m/>
    <n v="16"/>
    <x v="7"/>
    <n v="324732000"/>
    <n v="71926000"/>
    <n v="43025000"/>
    <n v="32545000"/>
    <n v="248000000"/>
    <n v="242000000"/>
    <n v="7.6130465848926896"/>
    <n v="0.13448347107438016"/>
    <n v="5.6195918367346942E-2"/>
    <n v="31787537"/>
    <n v="508600592"/>
    <n v="2.1016553388429751"/>
    <n v="10.519152907154576"/>
    <m/>
    <m/>
    <s v=""/>
    <m/>
    <m/>
    <m/>
    <s v="IPO décembre 2013"/>
    <m/>
    <n v="1588"/>
    <n v="0"/>
    <s v="FR001166528012017"/>
    <s v="FR0011665280"/>
    <n v="1"/>
    <x v="72"/>
    <m/>
    <m/>
    <m/>
  </r>
  <r>
    <m/>
    <m/>
    <m/>
    <m/>
    <m/>
    <x v="1"/>
    <n v="0.28686237834067785"/>
    <n v="0.17903744016785783"/>
    <n v="0.12725319639488575"/>
    <n v="-2.1497294046903148E-2"/>
    <m/>
    <m/>
    <m/>
    <m/>
    <m/>
    <m/>
    <m/>
    <m/>
    <m/>
    <m/>
    <m/>
    <s v=""/>
    <m/>
    <m/>
    <m/>
    <s v="Transfert sur Euronext B en mars 2016 et cession de titres par Monsieur Maillard pour 10 Meuros et augmentation de capital pour 75 Meuros "/>
    <m/>
    <n v="1589"/>
    <n v="0"/>
    <s v="FR00116652801"/>
    <s v="FR0011665280"/>
    <n v="1"/>
    <x v="72"/>
    <m/>
    <m/>
    <m/>
  </r>
  <r>
    <m/>
    <m/>
    <m/>
    <m/>
    <n v="20"/>
    <x v="8"/>
    <n v="252344000"/>
    <n v="61004000"/>
    <n v="38168000"/>
    <n v="33260000"/>
    <n v="96608000"/>
    <n v="183747000"/>
    <n v="5.7820003939691258"/>
    <n v="0.18100975798244326"/>
    <n v="8.7130673610244153E-2"/>
    <n v="31779140"/>
    <n v="635582800"/>
    <n v="3.4590104872460503"/>
    <n v="12.002340830109501"/>
    <m/>
    <m/>
    <s v=""/>
    <m/>
    <m/>
    <m/>
    <s v="Ornane de 100 M euros en octobre 2018 (émission possible de 3,8 M d'actions comptabilisée dans le tableau) à échéance 2022, voir dans le bilan la répartition Fonds propres - dettes"/>
    <m/>
    <n v="1590"/>
    <n v="0"/>
    <s v="FR001166528012016"/>
    <s v="FR0011665280"/>
    <n v="1"/>
    <x v="72"/>
    <m/>
    <m/>
    <m/>
  </r>
  <r>
    <m/>
    <m/>
    <m/>
    <m/>
    <m/>
    <x v="1"/>
    <n v="0.21552986512524086"/>
    <n v="0.20561264822134384"/>
    <n v="0.28110630013761617"/>
    <n v="-2.5429578771571721"/>
    <m/>
    <m/>
    <m/>
    <m/>
    <m/>
    <m/>
    <m/>
    <m/>
    <m/>
    <m/>
    <m/>
    <s v=""/>
    <m/>
    <m/>
    <m/>
    <s v="Achat de 200 000 actions par Maillard fin 2017"/>
    <m/>
    <n v="1591"/>
    <n v="0"/>
    <s v="FR00116652801"/>
    <s v="FR0011665280"/>
    <n v="1"/>
    <x v="72"/>
    <m/>
    <m/>
    <m/>
  </r>
  <r>
    <m/>
    <m/>
    <m/>
    <m/>
    <n v="12"/>
    <x v="9"/>
    <n v="207600000"/>
    <n v="50600000"/>
    <n v="29793000"/>
    <n v="-21556000"/>
    <n v="113788000"/>
    <n v="61067000"/>
    <n v="2.2016475059483818"/>
    <n v="-0.35298933957784073"/>
    <n v="0.10904761087758429"/>
    <n v="27736956"/>
    <n v="332843472"/>
    <n v="5.4504637856780258"/>
    <n v="8.8267089328063246"/>
    <m/>
    <m/>
    <s v=""/>
    <m/>
    <m/>
    <m/>
    <s v="Marge EBE / CA : 22%"/>
    <m/>
    <n v="1592"/>
    <n v="0"/>
    <s v="FR001166528012015"/>
    <s v="FR0011665280"/>
    <n v="1"/>
    <x v="72"/>
    <m/>
    <m/>
    <m/>
  </r>
  <r>
    <m/>
    <m/>
    <m/>
    <m/>
    <m/>
    <x v="1"/>
    <n v="0.27911275415896486"/>
    <n v="0.42937853107344637"/>
    <e v="#DIV/0!"/>
    <e v="#DIV/0!"/>
    <m/>
    <m/>
    <m/>
    <m/>
    <m/>
    <m/>
    <m/>
    <m/>
    <m/>
    <m/>
    <m/>
    <s v=""/>
    <m/>
    <m/>
    <m/>
    <s v="Objectif revu en baisse à 550 M euros en 2020 et 650 M euros en 2023 mais la marge ne progresse plus"/>
    <m/>
    <n v="1593"/>
    <n v="0"/>
    <s v="FR00116652801"/>
    <s v="FR0011665280"/>
    <n v="1"/>
    <x v="72"/>
    <m/>
    <m/>
    <m/>
  </r>
  <r>
    <m/>
    <m/>
    <m/>
    <m/>
    <n v="10"/>
    <x v="10"/>
    <n v="162300000"/>
    <n v="35400000"/>
    <m/>
    <m/>
    <m/>
    <m/>
    <n v="0"/>
    <e v="#DIV/0!"/>
    <e v="#DIV/0!"/>
    <n v="26625845"/>
    <n v="266258450"/>
    <m/>
    <m/>
    <m/>
    <m/>
    <s v=""/>
    <m/>
    <m/>
    <m/>
    <s v="2020-2021 : victime de la crise sanitaire"/>
    <m/>
    <n v="1594"/>
    <n v="0"/>
    <s v="FR001166528012014"/>
    <s v="FR0011665280"/>
    <n v="1"/>
    <x v="72"/>
    <m/>
    <m/>
    <m/>
  </r>
  <r>
    <m/>
    <m/>
    <m/>
    <m/>
    <m/>
    <x v="1"/>
    <n v="0.18467153284671523"/>
    <n v="0.10624999999999996"/>
    <e v="#DIV/0!"/>
    <e v="#DIV/0!"/>
    <m/>
    <m/>
    <m/>
    <m/>
    <m/>
    <m/>
    <m/>
    <m/>
    <m/>
    <m/>
    <m/>
    <s v=""/>
    <m/>
    <m/>
    <m/>
    <s v="En septembre 2021, augmentation de capital de 35 M euros à 5,6 euros avec l'entrée d'ACE Capital (filiale de Tikehau) à hauteur de 26,25% du capital"/>
    <m/>
    <n v="1595"/>
    <n v="0"/>
    <s v="FR00116652801"/>
    <s v="FR0011665280"/>
    <n v="1"/>
    <x v="72"/>
    <m/>
    <m/>
    <m/>
  </r>
  <r>
    <m/>
    <m/>
    <m/>
    <m/>
    <n v="9"/>
    <x v="11"/>
    <n v="137000000"/>
    <n v="32000000"/>
    <m/>
    <m/>
    <m/>
    <m/>
    <m/>
    <m/>
    <m/>
    <m/>
    <m/>
    <m/>
    <m/>
    <m/>
    <m/>
    <s v=""/>
    <m/>
    <m/>
    <m/>
    <s v="Minoritaires : aucun"/>
    <m/>
    <n v="1596"/>
    <n v="0"/>
    <s v="FR001166528012013"/>
    <s v="FR0011665280"/>
    <n v="1"/>
    <x v="72"/>
    <m/>
    <m/>
    <m/>
  </r>
  <r>
    <m/>
    <m/>
    <m/>
    <m/>
    <m/>
    <x v="1"/>
    <m/>
    <m/>
    <m/>
    <m/>
    <m/>
    <m/>
    <m/>
    <m/>
    <m/>
    <m/>
    <m/>
    <m/>
    <m/>
    <m/>
    <m/>
    <s v=""/>
    <m/>
    <m/>
    <m/>
    <m/>
    <m/>
    <n v="1597"/>
    <n v="0"/>
    <s v="FR00116652801"/>
    <s v="FR0011665280"/>
    <n v="1"/>
    <x v="72"/>
    <m/>
    <m/>
    <m/>
  </r>
  <r>
    <m/>
    <m/>
    <m/>
    <m/>
    <s v="IPO Alternext décembre 2013 à 9,2 euros"/>
    <x v="1"/>
    <m/>
    <m/>
    <m/>
    <m/>
    <m/>
    <m/>
    <m/>
    <m/>
    <m/>
    <m/>
    <m/>
    <m/>
    <m/>
    <m/>
    <m/>
    <s v=""/>
    <m/>
    <m/>
    <m/>
    <m/>
    <m/>
    <n v="1598"/>
    <n v="0"/>
    <s v="FR00116652801"/>
    <s v="FR0011665280"/>
    <n v="1"/>
    <x v="72"/>
    <m/>
    <m/>
    <m/>
  </r>
  <r>
    <m/>
    <m/>
    <m/>
    <m/>
    <m/>
    <x v="1"/>
    <m/>
    <m/>
    <m/>
    <m/>
    <m/>
    <m/>
    <m/>
    <m/>
    <m/>
    <m/>
    <m/>
    <m/>
    <m/>
    <m/>
    <m/>
    <s v=""/>
    <m/>
    <m/>
    <m/>
    <m/>
    <m/>
    <n v="1599"/>
    <n v="0"/>
    <s v="FR00116652801"/>
    <s v="FR0011665280"/>
    <n v="1"/>
    <x v="72"/>
    <m/>
    <m/>
    <m/>
  </r>
  <r>
    <m/>
    <m/>
    <m/>
    <m/>
    <m/>
    <x v="1"/>
    <m/>
    <m/>
    <m/>
    <m/>
    <m/>
    <m/>
    <m/>
    <m/>
    <m/>
    <m/>
    <m/>
    <m/>
    <m/>
    <m/>
    <m/>
    <s v=""/>
    <m/>
    <m/>
    <m/>
    <m/>
    <m/>
    <n v="1600"/>
    <n v="0"/>
    <s v="FR00116652801"/>
    <s v="FR0011665280"/>
    <n v="1"/>
    <x v="72"/>
    <m/>
    <m/>
    <m/>
  </r>
  <r>
    <s v="Safran"/>
    <s v="Aéronautique"/>
    <s v="France"/>
    <s v="Euro"/>
    <m/>
    <x v="0"/>
    <m/>
    <m/>
    <m/>
    <m/>
    <m/>
    <m/>
    <m/>
    <m/>
    <m/>
    <m/>
    <m/>
    <m/>
    <m/>
    <m/>
    <m/>
    <s v=""/>
    <m/>
    <m/>
    <m/>
    <m/>
    <m/>
    <n v="1601"/>
    <n v="0"/>
    <s v="FR000007327212023"/>
    <s v="FR0000073272"/>
    <n v="1"/>
    <x v="73"/>
    <m/>
    <m/>
    <m/>
  </r>
  <r>
    <m/>
    <m/>
    <m/>
    <m/>
    <m/>
    <x v="1"/>
    <m/>
    <m/>
    <m/>
    <m/>
    <m/>
    <m/>
    <m/>
    <m/>
    <m/>
    <m/>
    <m/>
    <m/>
    <m/>
    <m/>
    <m/>
    <s v=""/>
    <m/>
    <m/>
    <m/>
    <m/>
    <m/>
    <n v="1602"/>
    <n v="0"/>
    <s v="FR00000732721"/>
    <s v="FR0000073272"/>
    <n v="1"/>
    <x v="73"/>
    <m/>
    <m/>
    <m/>
  </r>
  <r>
    <m/>
    <m/>
    <m/>
    <m/>
    <n v="116.92"/>
    <x v="2"/>
    <n v="19035000000"/>
    <n v="3200000000"/>
    <n v="2450000000"/>
    <n v="1100000000"/>
    <n v="-14000000"/>
    <n v="14400000000"/>
    <n v="33.704737223754748"/>
    <n v="7.6388888888888895E-2"/>
    <n v="0.10899485611010704"/>
    <n v="427239646"/>
    <n v="49952859410.32"/>
    <n v="3.4689485701611109"/>
    <n v="15.605893565724999"/>
    <s v="BBB+"/>
    <n v="77008"/>
    <n v="247182.11094951173"/>
    <n v="2666000000"/>
    <s v="E : -2 (en naturel)"/>
    <m/>
    <s v="Fabricant de moteurs et d'équipements d'avions, nouveau dirigeant à partir janvier 2021, Olivier Andriès."/>
    <m/>
    <n v="1603"/>
    <n v="0"/>
    <s v="FR000007327212022"/>
    <s v="FR0000073272"/>
    <n v="1"/>
    <x v="73"/>
    <m/>
    <m/>
    <m/>
  </r>
  <r>
    <m/>
    <m/>
    <m/>
    <m/>
    <m/>
    <x v="1"/>
    <n v="0.24762404142360883"/>
    <n v="0.1169284467713787"/>
    <n v="0.75"/>
    <n v="0.44736842105263164"/>
    <m/>
    <m/>
    <m/>
    <m/>
    <m/>
    <m/>
    <m/>
    <m/>
    <m/>
    <s v="positive (avril 2022)"/>
    <m/>
    <s v=""/>
    <m/>
    <s v="_x000a_E: 1 (effort entreprise)"/>
    <m/>
    <s v="Création en 1905, acquisition de Labinal en 2000,  fusion SAGEM - SNECMA le 11 mai 2005, acquisition de Zodiac Aérospace en 2017"/>
    <m/>
    <n v="1604"/>
    <n v="0"/>
    <s v="FR00000732721"/>
    <s v="FR0000073272"/>
    <n v="1"/>
    <x v="73"/>
    <m/>
    <m/>
    <m/>
  </r>
  <r>
    <m/>
    <m/>
    <m/>
    <m/>
    <n v="107.66"/>
    <x v="3"/>
    <n v="15257000000"/>
    <n v="2865000000"/>
    <n v="1400000000"/>
    <n v="760000000"/>
    <n v="1544000000"/>
    <n v="13270000000"/>
    <n v="31.059851594390658"/>
    <n v="5.727204220045215E-2"/>
    <n v="6.0483326582962064E-2"/>
    <n v="427239646"/>
    <n v="45996620288.360001"/>
    <n v="3.4662110239909572"/>
    <n v="16.593584742883071"/>
    <m/>
    <n v="77008"/>
    <n v="198122.27301059631"/>
    <n v="1500000000"/>
    <s v="E Global : -1 "/>
    <m/>
    <s v="Directeur Général : Olivier Andries (59 ans) arrivé en 2008, CEO le 01-01-2021   Directeur Financier : Pascal Bantegnie (52 ans) arrivé en 2009, Prise fonction directeur financier 01-01-2022      Président du CA : ROSS McINNES (67 ans)"/>
    <m/>
    <n v="1605"/>
    <n v="0"/>
    <s v="FR000007327212021"/>
    <s v="FR0000073272"/>
    <n v="1"/>
    <x v="73"/>
    <m/>
    <m/>
    <m/>
  </r>
  <r>
    <m/>
    <m/>
    <m/>
    <m/>
    <m/>
    <x v="1"/>
    <n v="-7.5221238938053103E-2"/>
    <n v="0.15710823909531513"/>
    <n v="0.14754098360655732"/>
    <n v="-9.9526066350710929E-2"/>
    <m/>
    <m/>
    <m/>
    <m/>
    <m/>
    <m/>
    <m/>
    <m/>
    <m/>
    <m/>
    <m/>
    <s v=""/>
    <m/>
    <s v="S : 1 "/>
    <m/>
    <s v="État français actionnaire à hauteur de 11,23% (18,11% des droits de vote). Salariés : 7% (1 salarié sur 2 actionnaires). Autres actionnaires : institutionnels dont BlackRock : 6,06% et TGC : 6,59% mais sortie de Peugeot Invest"/>
    <m/>
    <n v="1606"/>
    <n v="0"/>
    <s v="FR00000732721"/>
    <s v="FR0000073272"/>
    <n v="1"/>
    <x v="73"/>
    <m/>
    <m/>
    <m/>
  </r>
  <r>
    <m/>
    <m/>
    <m/>
    <m/>
    <n v="115.95"/>
    <x v="4"/>
    <n v="16498000000"/>
    <n v="2476000000"/>
    <n v="1220000000"/>
    <n v="844000000"/>
    <n v="2792000000"/>
    <n v="12750000000"/>
    <n v="29.588420888255534"/>
    <n v="6.6196078431372554E-2"/>
    <n v="5.0238064599150686E-2"/>
    <n v="430911810"/>
    <n v="49964224369.5"/>
    <n v="3.9187626956470587"/>
    <n v="21.307037305936994"/>
    <m/>
    <n v="78892"/>
    <n v="209121.33042640571"/>
    <n v="1115000000"/>
    <s v="G : 2"/>
    <m/>
    <s v="Partenariat avec GE (CFM International : JV à 50/50) pour la fabrication des moteurs LEAP renouvelé jusqu'en 2040. 80 % du marché"/>
    <m/>
    <n v="1607"/>
    <n v="0"/>
    <s v="FR000007327212020"/>
    <s v="FR0000073272"/>
    <n v="1"/>
    <x v="73"/>
    <m/>
    <m/>
    <m/>
  </r>
  <r>
    <m/>
    <m/>
    <m/>
    <m/>
    <m/>
    <x v="1"/>
    <n v="-0.34265678540122724"/>
    <n v="-0.50161030595813205"/>
    <n v="-0.68171145316984083"/>
    <n v="-0.68330206378986869"/>
    <m/>
    <m/>
    <m/>
    <m/>
    <m/>
    <m/>
    <m/>
    <m/>
    <m/>
    <m/>
    <m/>
    <s v=""/>
    <m/>
    <m/>
    <m/>
    <s v="Avions d'affaires : 29 000 dans le Monde"/>
    <m/>
    <n v="1608"/>
    <n v="0"/>
    <s v="FR00000732721"/>
    <s v="FR0000073272"/>
    <n v="1"/>
    <x v="73"/>
    <m/>
    <m/>
    <m/>
  </r>
  <r>
    <m/>
    <m/>
    <m/>
    <m/>
    <n v="133"/>
    <x v="5"/>
    <n v="25098000000"/>
    <n v="4968000000"/>
    <n v="3833000000"/>
    <n v="2665000000"/>
    <n v="4114000000"/>
    <n v="12748000000"/>
    <n v="29.838438361745681"/>
    <n v="0.20905240037652964"/>
    <n v="0.14548214921124422"/>
    <n v="427234155"/>
    <n v="56822142615"/>
    <n v="4.4573378267179162"/>
    <n v="12.265729189814815"/>
    <m/>
    <n v="95443"/>
    <n v="262963.23460075649"/>
    <n v="302000000"/>
    <m/>
    <m/>
    <s v="Hélicoptères : 50 000 dans le Monde"/>
    <m/>
    <n v="1609"/>
    <n v="0"/>
    <s v="FR000007327212019"/>
    <s v="FR0000073272"/>
    <n v="1"/>
    <x v="73"/>
    <m/>
    <m/>
    <m/>
  </r>
  <r>
    <m/>
    <m/>
    <m/>
    <m/>
    <m/>
    <x v="1"/>
    <n v="0.19230403800475049"/>
    <n v="0.32621462893753339"/>
    <n v="0.31808803301237965"/>
    <n v="0.34528016153457841"/>
    <m/>
    <m/>
    <m/>
    <m/>
    <m/>
    <m/>
    <m/>
    <m/>
    <m/>
    <m/>
    <m/>
    <s v=""/>
    <m/>
    <m/>
    <m/>
    <s v="250 sites de production dans le Monde en 2020"/>
    <m/>
    <n v="1610"/>
    <n v="0"/>
    <s v="FR00000732721"/>
    <s v="FR0000073272"/>
    <n v="1"/>
    <x v="73"/>
    <m/>
    <m/>
    <m/>
  </r>
  <r>
    <m/>
    <m/>
    <m/>
    <m/>
    <n v="120.6"/>
    <x v="6"/>
    <n v="21050000000"/>
    <n v="3746000000"/>
    <n v="2908000000"/>
    <n v="1981000000"/>
    <n v="3269000000"/>
    <n v="12301000000"/>
    <n v="28.228326502147929"/>
    <n v="0.16104381757580685"/>
    <n v="0.11953243416827232"/>
    <n v="435767951"/>
    <n v="52553614890.599998"/>
    <n v="4.2723042753109501"/>
    <n v="14.901926025253603"/>
    <m/>
    <n v="92639"/>
    <n v="227226.1142715271"/>
    <n v="-2584000000"/>
    <m/>
    <m/>
    <s v="Dettes hybrides dilutives (obligations convertibles) potentiellement 12 Millions de titres"/>
    <m/>
    <n v="1611"/>
    <n v="0"/>
    <s v="FR000007327212018"/>
    <s v="FR0000073272"/>
    <n v="1"/>
    <x v="73"/>
    <m/>
    <m/>
    <m/>
  </r>
  <r>
    <m/>
    <m/>
    <m/>
    <m/>
    <m/>
    <x v="1"/>
    <n v="0.24262101534828817"/>
    <n v="0.35185853482497298"/>
    <n v="8.4669899291309303E-2"/>
    <n v="-0.24475791078917275"/>
    <m/>
    <m/>
    <m/>
    <m/>
    <m/>
    <m/>
    <m/>
    <m/>
    <m/>
    <m/>
    <m/>
    <s v=""/>
    <m/>
    <m/>
    <m/>
    <s v="Implantation par zone géographique : France 39 %, Europe (hors France) 14 %, Asie &amp; Océanie 5 %, Afrique &amp; Moyen Orient 5 %, Amériques 37 %"/>
    <m/>
    <n v="1612"/>
    <n v="0"/>
    <s v="FR00000732721"/>
    <s v="FR0000073272"/>
    <n v="1"/>
    <x v="73"/>
    <m/>
    <m/>
    <m/>
  </r>
  <r>
    <m/>
    <m/>
    <m/>
    <m/>
    <n v="89.2"/>
    <x v="7"/>
    <n v="16940000000"/>
    <n v="2771000000"/>
    <n v="2681000000"/>
    <n v="2623000000"/>
    <n v="2342000000"/>
    <n v="10624000000"/>
    <n v="25.475410815278249"/>
    <n v="0.24689382530120482"/>
    <n v="0.13233379608206078"/>
    <n v="417029585"/>
    <n v="37199038982"/>
    <n v="3.5014155668298192"/>
    <n v="14.269591837603754"/>
    <m/>
    <n v="58324"/>
    <n v="290446.47143542964"/>
    <n v="2808000000"/>
    <m/>
    <m/>
    <s v="Répartition Chiffre d'affaires par zone géographique : France 22 %, Europe (hors France) 21 %, Asie &amp; Océanie 18 %, Afrique &amp; Moyen Orient 6 %, Amériques 33 %"/>
    <m/>
    <n v="1613"/>
    <n v="0"/>
    <s v="FR000007327212017"/>
    <s v="FR0000073272"/>
    <n v="1"/>
    <x v="73"/>
    <m/>
    <m/>
    <m/>
  </r>
  <r>
    <m/>
    <m/>
    <m/>
    <m/>
    <m/>
    <x v="1"/>
    <n v="7.3442747607882941E-2"/>
    <n v="-7.3244147157190631E-2"/>
    <n v="-0.1970649895178197"/>
    <n v="0.45399113082039921"/>
    <m/>
    <m/>
    <m/>
    <m/>
    <m/>
    <m/>
    <m/>
    <m/>
    <m/>
    <m/>
    <m/>
    <s v=""/>
    <m/>
    <m/>
    <m/>
    <s v="Répartition Chiffre d'affaires par activité : Propulsion Aeoronautique (50 %), Equipement &amp; Défense (37 %), Aircraft (13 %)"/>
    <m/>
    <n v="1614"/>
    <n v="0"/>
    <s v="FR00000732721"/>
    <s v="FR0000073272"/>
    <n v="1"/>
    <x v="73"/>
    <m/>
    <m/>
    <m/>
  </r>
  <r>
    <m/>
    <m/>
    <m/>
    <m/>
    <n v="67.7"/>
    <x v="8"/>
    <n v="15781000000"/>
    <n v="2990000000"/>
    <n v="3339000000"/>
    <n v="1804000000"/>
    <n v="1383000000"/>
    <n v="6809000000"/>
    <n v="16.327378787766339"/>
    <n v="0.26494345718901452"/>
    <n v="0.260859375"/>
    <n v="417029585"/>
    <n v="28232902904.5"/>
    <n v="4.1464095909090908"/>
    <n v="9.9049842489966551"/>
    <m/>
    <n v="66490"/>
    <n v="237343.96149796961"/>
    <n v="261000000"/>
    <m/>
    <m/>
    <s v="Marge par activité : Propulsion Aeoronautique (16 à 20 %), Equipement &amp; Défense (10 à 14 %), Aircraft (0 à 5 %)"/>
    <m/>
    <n v="1615"/>
    <n v="0"/>
    <s v="FR000007327212016"/>
    <s v="FR0000073272"/>
    <n v="1"/>
    <x v="73"/>
    <m/>
    <m/>
    <m/>
  </r>
  <r>
    <m/>
    <m/>
    <m/>
    <m/>
    <m/>
    <x v="1"/>
    <n v="-9.3775123463879617E-2"/>
    <n v="4.7652417659425295E-2"/>
    <n v="0.60838150289017334"/>
    <n v="0.21727395411605932"/>
    <m/>
    <m/>
    <m/>
    <m/>
    <m/>
    <m/>
    <m/>
    <m/>
    <m/>
    <m/>
    <m/>
    <s v=""/>
    <m/>
    <m/>
    <m/>
    <s v="En 2018, rachat de Zodiac pour 10 Mds d'euros à 29,50 € par action,"/>
    <m/>
    <n v="1616"/>
    <n v="0"/>
    <s v="FR00000732721"/>
    <s v="FR0000073272"/>
    <n v="1"/>
    <x v="73"/>
    <m/>
    <m/>
    <m/>
  </r>
  <r>
    <m/>
    <m/>
    <m/>
    <m/>
    <n v="63.75"/>
    <x v="9"/>
    <n v="17414000000"/>
    <n v="2854000000"/>
    <n v="2076000000"/>
    <n v="1482000000"/>
    <n v="748000000"/>
    <n v="5893000000"/>
    <n v="14.130891936599655"/>
    <n v="0.25148481248939419"/>
    <n v="0.20006625508206596"/>
    <n v="417029585"/>
    <n v="26585636043.75"/>
    <n v="4.5113925069998304"/>
    <n v="9.5773076537316051"/>
    <m/>
    <n v="70087"/>
    <n v="248462.62502318548"/>
    <n v="212000000"/>
    <m/>
    <m/>
    <s v="En 2019, 2 127 moteurs Leap et CFM livrés"/>
    <m/>
    <n v="1617"/>
    <n v="0"/>
    <s v="FR000007327212015"/>
    <s v="FR0000073272"/>
    <n v="1"/>
    <x v="73"/>
    <m/>
    <m/>
    <m/>
  </r>
  <r>
    <m/>
    <m/>
    <m/>
    <m/>
    <m/>
    <x v="1"/>
    <n v="0.15753788885934594"/>
    <n v="0.90266666666666673"/>
    <n v="0.4903086862885857"/>
    <n v="0.1875"/>
    <m/>
    <m/>
    <m/>
    <m/>
    <m/>
    <m/>
    <m/>
    <m/>
    <m/>
    <m/>
    <m/>
    <s v=""/>
    <m/>
    <m/>
    <m/>
    <s v="En 2020, livraison de 972 moteurs LEAP  et CFM 56 contre 2127 en 2019. Carnet de commandes de LEAP plus de 9600 moteurs. Les commandes risquent de ralentir"/>
    <m/>
    <n v="1618"/>
    <n v="0"/>
    <s v="FR00000732721"/>
    <s v="FR0000073272"/>
    <n v="1"/>
    <x v="73"/>
    <m/>
    <m/>
    <m/>
  </r>
  <r>
    <m/>
    <m/>
    <m/>
    <m/>
    <n v="50.91"/>
    <x v="10"/>
    <n v="15044000000"/>
    <n v="1500000000"/>
    <n v="1393000000"/>
    <n v="1248000000"/>
    <n v="1503000000"/>
    <n v="6478000000"/>
    <n v="15.533670111198466"/>
    <n v="0.1926520531028095"/>
    <n v="0.11170530008770831"/>
    <n v="417029585"/>
    <n v="21230976172.349998"/>
    <n v="3.2773967539904287"/>
    <n v="15.155984114899999"/>
    <m/>
    <n v="68945"/>
    <n v="218202.91536732178"/>
    <n v="86000000"/>
    <m/>
    <m/>
    <s v="En 2021, 952 moteurs livrés. Amélioration à partir de la deuxième partie de l'année, mais encore 40% en-dessous de 2019 et en-dessous de 2020"/>
    <m/>
    <n v="1619"/>
    <n v="0"/>
    <s v="FR000007327212014"/>
    <s v="FR0000073272"/>
    <n v="1"/>
    <x v="73"/>
    <m/>
    <m/>
    <m/>
  </r>
  <r>
    <m/>
    <m/>
    <m/>
    <m/>
    <m/>
    <x v="1"/>
    <n v="3.8233264320220783E-2"/>
    <n v="0.15830115830115821"/>
    <n v="-5.8783783783783794E-2"/>
    <n v="-0.11802120141342753"/>
    <m/>
    <m/>
    <m/>
    <m/>
    <m/>
    <m/>
    <m/>
    <m/>
    <m/>
    <m/>
    <m/>
    <s v=""/>
    <m/>
    <m/>
    <m/>
    <s v="50 % de l'apprivisionnement en Titane est effectué par la Russie"/>
    <m/>
    <n v="1620"/>
    <n v="0"/>
    <s v="FR00000732721"/>
    <s v="FR0000073272"/>
    <n v="1"/>
    <x v="73"/>
    <m/>
    <m/>
    <m/>
  </r>
  <r>
    <m/>
    <m/>
    <m/>
    <m/>
    <n v="51.2"/>
    <x v="11"/>
    <n v="14490000000"/>
    <n v="1295000000"/>
    <n v="1480000000"/>
    <n v="1415000000"/>
    <n v="1089000000"/>
    <n v="6813000000"/>
    <n v="16.336970433404623"/>
    <n v="0.20769117862909145"/>
    <n v="0.11986838774993673"/>
    <n v="417029585"/>
    <n v="21351914752"/>
    <n v="3.1339960005871128"/>
    <n v="17.328891700386102"/>
    <m/>
    <n v="66289"/>
    <n v="218588.30273499375"/>
    <m/>
    <m/>
    <m/>
    <s v="En 2022, Prévisions : CA de 18 Mds avec une Marge de 2,3 Mds (13 %)"/>
    <m/>
    <n v="1621"/>
    <n v="0"/>
    <s v="FR000007327212013"/>
    <s v="FR0000073272"/>
    <n v="1"/>
    <x v="73"/>
    <m/>
    <m/>
    <m/>
  </r>
  <r>
    <m/>
    <m/>
    <m/>
    <m/>
    <m/>
    <x v="1"/>
    <n v="6.4267352185090054E-2"/>
    <n v="1.9685039370078705E-2"/>
    <n v="0.21911037891268537"/>
    <n v="6.7119155354449456E-2"/>
    <m/>
    <m/>
    <m/>
    <m/>
    <m/>
    <m/>
    <m/>
    <m/>
    <m/>
    <m/>
    <m/>
    <s v=""/>
    <m/>
    <m/>
    <m/>
    <s v="Livraison de 465 Moteurs LEAP au S1 + 17 % par rapport à 2021."/>
    <m/>
    <n v="1622"/>
    <n v="0"/>
    <s v="FR00000732721"/>
    <s v="FR0000073272"/>
    <n v="1"/>
    <x v="73"/>
    <m/>
    <m/>
    <m/>
  </r>
  <r>
    <m/>
    <m/>
    <m/>
    <m/>
    <n v="32.479999999999997"/>
    <x v="12"/>
    <n v="13615000000"/>
    <n v="1270000000"/>
    <n v="1214000000"/>
    <n v="1326000000"/>
    <n v="932000000"/>
    <n v="5997000000"/>
    <n v="14.380274723194999"/>
    <n v="0.22111055527763882"/>
    <n v="0.11213162072449127"/>
    <n v="417029585"/>
    <n v="13545120920.799999"/>
    <n v="2.2586494782057693"/>
    <n v="11.399307811653543"/>
    <m/>
    <m/>
    <s v=""/>
    <m/>
    <m/>
    <m/>
    <s v="160 M d'euros de dépréciations lié à la Russie"/>
    <m/>
    <n v="1623"/>
    <n v="0"/>
    <s v="FR000007327212012"/>
    <s v="FR0000073272"/>
    <n v="1"/>
    <x v="73"/>
    <m/>
    <m/>
    <m/>
  </r>
  <r>
    <m/>
    <m/>
    <m/>
    <m/>
    <m/>
    <x v="1"/>
    <m/>
    <m/>
    <m/>
    <m/>
    <m/>
    <m/>
    <m/>
    <m/>
    <m/>
    <m/>
    <m/>
    <m/>
    <m/>
    <m/>
    <m/>
    <s v=""/>
    <m/>
    <m/>
    <m/>
    <s v="Dette nette divisée par 3, lié à des avances clients pour atteindre 425 Me"/>
    <m/>
    <n v="1624"/>
    <n v="0"/>
    <s v="FR00000732721"/>
    <s v="FR0000073272"/>
    <n v="1"/>
    <x v="73"/>
    <m/>
    <m/>
    <m/>
  </r>
  <r>
    <m/>
    <m/>
    <m/>
    <m/>
    <m/>
    <x v="1"/>
    <m/>
    <m/>
    <m/>
    <m/>
    <m/>
    <m/>
    <m/>
    <m/>
    <m/>
    <m/>
    <m/>
    <m/>
    <m/>
    <m/>
    <m/>
    <s v=""/>
    <m/>
    <m/>
    <m/>
    <s v="Taux d'impôt : 28,41 % en 2021, 27,7 % en 2022"/>
    <m/>
    <n v="1625"/>
    <n v="0"/>
    <s v="FR00000732721"/>
    <s v="FR0000073272"/>
    <n v="1"/>
    <x v="73"/>
    <m/>
    <m/>
    <m/>
  </r>
  <r>
    <m/>
    <m/>
    <m/>
    <m/>
    <m/>
    <x v="1"/>
    <m/>
    <m/>
    <m/>
    <m/>
    <m/>
    <m/>
    <m/>
    <m/>
    <m/>
    <m/>
    <m/>
    <m/>
    <m/>
    <m/>
    <m/>
    <s v=""/>
    <m/>
    <m/>
    <m/>
    <s v="CAC : Mazars et EY"/>
    <m/>
    <n v="1626"/>
    <n v="0"/>
    <s v="FR00000732721"/>
    <s v="FR0000073272"/>
    <n v="1"/>
    <x v="73"/>
    <m/>
    <m/>
    <m/>
  </r>
  <r>
    <m/>
    <m/>
    <m/>
    <m/>
    <m/>
    <x v="1"/>
    <m/>
    <m/>
    <m/>
    <m/>
    <m/>
    <m/>
    <m/>
    <m/>
    <m/>
    <m/>
    <m/>
    <m/>
    <m/>
    <m/>
    <m/>
    <s v=""/>
    <m/>
    <m/>
    <m/>
    <s v="Minoritaires : peu, les filiales sont détenues à 100% sauf Ariane Group à 50% et partenariat avec GE"/>
    <m/>
    <n v="1627"/>
    <n v="0"/>
    <s v="FR00000732721"/>
    <s v="FR0000073272"/>
    <n v="1"/>
    <x v="73"/>
    <m/>
    <m/>
    <m/>
  </r>
  <r>
    <m/>
    <m/>
    <m/>
    <m/>
    <m/>
    <x v="1"/>
    <m/>
    <m/>
    <m/>
    <m/>
    <m/>
    <m/>
    <m/>
    <m/>
    <m/>
    <m/>
    <m/>
    <m/>
    <m/>
    <m/>
    <m/>
    <s v=""/>
    <m/>
    <m/>
    <m/>
    <s v="Pay out ratio : suppression du dividendes 2019 versé en 2020 pour économiser 1 Md euros. Les autres années : 40%"/>
    <m/>
    <n v="1628"/>
    <n v="0"/>
    <s v="FR00000732721"/>
    <s v="FR0000073272"/>
    <n v="1"/>
    <x v="73"/>
    <m/>
    <m/>
    <m/>
  </r>
  <r>
    <m/>
    <m/>
    <m/>
    <m/>
    <m/>
    <x v="1"/>
    <m/>
    <m/>
    <m/>
    <m/>
    <m/>
    <m/>
    <m/>
    <m/>
    <m/>
    <m/>
    <m/>
    <m/>
    <m/>
    <m/>
    <m/>
    <s v=""/>
    <m/>
    <m/>
    <m/>
    <m/>
    <m/>
    <n v="1629"/>
    <n v="0"/>
    <s v="FR00000732721"/>
    <s v="FR0000073272"/>
    <n v="1"/>
    <x v="73"/>
    <m/>
    <m/>
    <m/>
  </r>
  <r>
    <m/>
    <m/>
    <m/>
    <m/>
    <m/>
    <x v="1"/>
    <m/>
    <m/>
    <m/>
    <m/>
    <m/>
    <m/>
    <m/>
    <m/>
    <m/>
    <m/>
    <m/>
    <m/>
    <m/>
    <m/>
    <m/>
    <s v=""/>
    <m/>
    <m/>
    <m/>
    <m/>
    <m/>
    <n v="1630"/>
    <n v="0"/>
    <s v="FR00000732721"/>
    <s v="FR0000073272"/>
    <n v="1"/>
    <x v="73"/>
    <m/>
    <m/>
    <m/>
  </r>
  <r>
    <m/>
    <m/>
    <m/>
    <m/>
    <m/>
    <x v="1"/>
    <m/>
    <m/>
    <m/>
    <m/>
    <m/>
    <m/>
    <m/>
    <m/>
    <m/>
    <m/>
    <m/>
    <m/>
    <m/>
    <m/>
    <m/>
    <s v=""/>
    <m/>
    <m/>
    <m/>
    <m/>
    <m/>
    <n v="1631"/>
    <n v="0"/>
    <s v="FR00000732721"/>
    <s v="FR0000073272"/>
    <n v="1"/>
    <x v="73"/>
    <m/>
    <m/>
    <m/>
  </r>
  <r>
    <s v="Airbus"/>
    <s v="Aéronautique"/>
    <s v="France"/>
    <s v="Euro"/>
    <m/>
    <x v="0"/>
    <m/>
    <m/>
    <m/>
    <m/>
    <m/>
    <m/>
    <m/>
    <m/>
    <m/>
    <m/>
    <m/>
    <m/>
    <m/>
    <m/>
    <m/>
    <s v=""/>
    <m/>
    <m/>
    <m/>
    <m/>
    <m/>
    <n v="1632"/>
    <n v="0"/>
    <s v="NL000023519012023"/>
    <s v="NL0000235190"/>
    <n v="1"/>
    <x v="74"/>
    <m/>
    <m/>
    <m/>
  </r>
  <r>
    <m/>
    <m/>
    <m/>
    <m/>
    <m/>
    <x v="1"/>
    <m/>
    <m/>
    <m/>
    <m/>
    <m/>
    <m/>
    <m/>
    <m/>
    <m/>
    <m/>
    <m/>
    <m/>
    <m/>
    <m/>
    <m/>
    <s v=""/>
    <m/>
    <m/>
    <m/>
    <m/>
    <m/>
    <n v="1633"/>
    <n v="0"/>
    <s v="NL00002351901"/>
    <s v="NL0000235190"/>
    <n v="1"/>
    <x v="74"/>
    <m/>
    <m/>
    <m/>
  </r>
  <r>
    <m/>
    <m/>
    <m/>
    <m/>
    <n v="111.02"/>
    <x v="2"/>
    <n v="60000000000"/>
    <n v="10500000000"/>
    <n v="5500000000"/>
    <n v="3500000000"/>
    <m/>
    <m/>
    <m/>
    <m/>
    <m/>
    <m/>
    <m/>
    <m/>
    <m/>
    <m/>
    <m/>
    <s v=""/>
    <n v="3500000000"/>
    <m/>
    <m/>
    <s v="Création en 1970, devient EADS en 2000 et devenu Airbus Group 2014 (suite à la sortie de Daimler et Lagardère)"/>
    <m/>
    <n v="1634"/>
    <n v="0"/>
    <s v="NL000023519012022"/>
    <s v="NL0000235190"/>
    <n v="1"/>
    <x v="74"/>
    <m/>
    <m/>
    <m/>
  </r>
  <r>
    <m/>
    <m/>
    <m/>
    <m/>
    <m/>
    <x v="1"/>
    <m/>
    <m/>
    <m/>
    <m/>
    <m/>
    <m/>
    <m/>
    <m/>
    <m/>
    <m/>
    <m/>
    <m/>
    <m/>
    <m/>
    <m/>
    <s v=""/>
    <m/>
    <m/>
    <m/>
    <s v="PDG : Guillaume Faury"/>
    <m/>
    <n v="1635"/>
    <n v="0"/>
    <s v="NL00002351901"/>
    <s v="NL0000235190"/>
    <n v="1"/>
    <x v="74"/>
    <m/>
    <m/>
    <m/>
  </r>
  <r>
    <m/>
    <m/>
    <m/>
    <m/>
    <n v="112.36"/>
    <x v="3"/>
    <n v="52149000000"/>
    <n v="9631000000"/>
    <n v="5342000000"/>
    <n v="2901000000"/>
    <n v="-9948000000"/>
    <n v="9486000000"/>
    <n v="12.074402222102417"/>
    <n v="0.30581910183428213"/>
    <n v="-7.4001731601731597"/>
    <n v="785628955"/>
    <n v="88273269383.800003"/>
    <n v="9.3056366628505174"/>
    <n v="8.1326206399958476"/>
    <m/>
    <n v="126495"/>
    <n v="412261.35420372349"/>
    <n v="133000000"/>
    <m/>
    <m/>
    <s v="Actionnariat : 25,9 % stable (Etat Français 10,9 %, Allemand 10,9% et Espagnol 4,1% ) et 74,1 % flottant"/>
    <m/>
    <n v="1636"/>
    <n v="0"/>
    <s v="NL000023519012021"/>
    <s v="NL0000235190"/>
    <n v="1"/>
    <x v="74"/>
    <m/>
    <m/>
    <m/>
  </r>
  <r>
    <m/>
    <m/>
    <m/>
    <m/>
    <m/>
    <x v="1"/>
    <n v="4.4818881230966445E-2"/>
    <n v="0.7009890498057223"/>
    <n v="-11.474509803921569"/>
    <n v="-117.04"/>
    <m/>
    <m/>
    <m/>
    <m/>
    <m/>
    <m/>
    <m/>
    <m/>
    <m/>
    <m/>
    <m/>
    <s v=""/>
    <m/>
    <m/>
    <m/>
    <s v="Répartition CA par activité : Airbus 69 %, Helicoptère 12 %, Défense 19 %"/>
    <m/>
    <n v="1637"/>
    <n v="0"/>
    <s v="NL00002351901"/>
    <s v="NL0000235190"/>
    <n v="1"/>
    <x v="74"/>
    <m/>
    <m/>
    <m/>
  </r>
  <r>
    <m/>
    <m/>
    <m/>
    <m/>
    <n v="89.78"/>
    <x v="4"/>
    <n v="49912000000"/>
    <n v="5662000000"/>
    <n v="-510000000"/>
    <n v="-25000000"/>
    <n v="-4772000000"/>
    <n v="6456000000"/>
    <n v="8.2376737824911785"/>
    <n v="-3.8723667905824041E-3"/>
    <n v="-0.19382422802850346"/>
    <n v="783716395"/>
    <n v="70362057943.100006"/>
    <n v="10.898707859835813"/>
    <n v="11.584256083203815"/>
    <m/>
    <n v="131349"/>
    <n v="379995.27975089266"/>
    <n v="5125000000"/>
    <m/>
    <m/>
    <s v="Hélicoptères : 338 / an de vente, 739 état du carnet de commande (18 M euros) Marge 8 % "/>
    <m/>
    <n v="1638"/>
    <n v="0"/>
    <s v="NL000023519012020"/>
    <s v="NL0000235190"/>
    <n v="1"/>
    <x v="74"/>
    <m/>
    <m/>
    <m/>
  </r>
  <r>
    <m/>
    <m/>
    <m/>
    <m/>
    <m/>
    <x v="1"/>
    <n v="-0.29180737251340849"/>
    <n v="-0.46101856258924323"/>
    <n v="-1.3808812546676625"/>
    <n v="-0.99427131072410635"/>
    <m/>
    <m/>
    <m/>
    <m/>
    <m/>
    <m/>
    <m/>
    <m/>
    <m/>
    <m/>
    <m/>
    <s v=""/>
    <m/>
    <m/>
    <m/>
    <s v="En 2021, vente de 611 avions // entre 600/700 par an en moyenne. Carnet de commandes : 398 Md euros"/>
    <m/>
    <n v="1639"/>
    <n v="0"/>
    <s v="NL00002351901"/>
    <s v="NL0000235190"/>
    <n v="1"/>
    <x v="74"/>
    <m/>
    <m/>
    <m/>
  </r>
  <r>
    <m/>
    <m/>
    <m/>
    <m/>
    <n v="129.88"/>
    <x v="5"/>
    <n v="70478000000"/>
    <n v="10505000000"/>
    <n v="1339000000"/>
    <n v="-4364000000"/>
    <n v="-12534000000"/>
    <n v="5990000000"/>
    <n v="7.6568062958581899"/>
    <n v="-0.7285475792988314"/>
    <n v="-0.13095354523227384"/>
    <n v="782310505"/>
    <n v="101606488389.39999"/>
    <n v="16.96268587469115"/>
    <n v="8.4790564863779139"/>
    <m/>
    <n v="134931"/>
    <n v="522326.22599699104"/>
    <n v="-114000000"/>
    <m/>
    <m/>
    <s v="A320, 82 % du carnet de commande (7 082 unités) Marge 12 %      "/>
    <m/>
    <n v="1640"/>
    <n v="0"/>
    <s v="NL000023519012019"/>
    <s v="NL0000235190"/>
    <n v="1"/>
    <x v="74"/>
    <m/>
    <m/>
    <m/>
  </r>
  <r>
    <m/>
    <m/>
    <m/>
    <m/>
    <m/>
    <x v="1"/>
    <n v="0.10628345393755789"/>
    <n v="0.19551610333447145"/>
    <n v="-0.73474643423137875"/>
    <n v="1453.6666666666667"/>
    <m/>
    <m/>
    <m/>
    <m/>
    <m/>
    <m/>
    <m/>
    <m/>
    <m/>
    <m/>
    <m/>
    <s v=""/>
    <m/>
    <m/>
    <m/>
    <s v="En 2022 : 720 avions à vendre, Ebit 5,5 Mds, CF 3,5 Mds"/>
    <m/>
    <n v="1641"/>
    <n v="0"/>
    <s v="NL00002351901"/>
    <s v="NL0000235190"/>
    <n v="1"/>
    <x v="74"/>
    <m/>
    <m/>
    <m/>
  </r>
  <r>
    <m/>
    <m/>
    <m/>
    <m/>
    <n v="83.83"/>
    <x v="6"/>
    <n v="63707000000"/>
    <n v="8787000000"/>
    <n v="5048000000"/>
    <n v="-3000000"/>
    <n v="-13281000000"/>
    <n v="9719000000"/>
    <n v="12.528828342221232"/>
    <n v="-3.0867373186541823E-4"/>
    <n v="-0.90699606962380686"/>
    <n v="775730957"/>
    <n v="65029526125.309998"/>
    <n v="6.6909688368463831"/>
    <n v="5.8892143081040169"/>
    <m/>
    <n v="133671"/>
    <n v="476595.52184093784"/>
    <n v="-2593000000"/>
    <m/>
    <m/>
    <s v="Au S1 : 297 avions livrés (carnet de commande 7046 unités), CA + 1 %  et EBE -5 % par rapport au S1 2021,"/>
    <m/>
    <n v="1642"/>
    <n v="0"/>
    <s v="NL000023519012018"/>
    <s v="NL0000235190"/>
    <n v="1"/>
    <x v="74"/>
    <m/>
    <m/>
    <m/>
  </r>
  <r>
    <m/>
    <m/>
    <m/>
    <m/>
    <m/>
    <x v="1"/>
    <n v="-4.5831024308415791E-2"/>
    <n v="0.15512028394899424"/>
    <n v="0.47559193218357199"/>
    <n v="-1.0002827254735651"/>
    <m/>
    <m/>
    <m/>
    <m/>
    <m/>
    <m/>
    <m/>
    <m/>
    <m/>
    <m/>
    <m/>
    <s v=""/>
    <m/>
    <m/>
    <m/>
    <s v="fonds propre 10 % du total bilan. Faible "/>
    <m/>
    <n v="1643"/>
    <n v="0"/>
    <s v="NL00002351901"/>
    <s v="NL0000235190"/>
    <n v="1"/>
    <x v="74"/>
    <m/>
    <m/>
    <m/>
  </r>
  <r>
    <m/>
    <m/>
    <m/>
    <m/>
    <n v="83.9"/>
    <x v="7"/>
    <n v="66767000000"/>
    <n v="7607000000"/>
    <n v="3421000000"/>
    <n v="10611000000"/>
    <n v="-13391000000"/>
    <n v="13351000000"/>
    <n v="17.239853442677159"/>
    <n v="0.79477192719646472"/>
    <n v="-54.735999999999997"/>
    <n v="774426537"/>
    <n v="64974386454.300003"/>
    <n v="4.8666306983971239"/>
    <n v="6.7810419947811233"/>
    <m/>
    <n v="129442"/>
    <n v="515806.30707189318"/>
    <n v="1861000000"/>
    <m/>
    <m/>
    <s v="Vente et livraison de 661 avions commerciaux, commandes nettes d'avions 820 en 2022 (507 en 2021)"/>
    <m/>
    <n v="1644"/>
    <n v="0"/>
    <s v="NL000023519012017"/>
    <s v="NL0000235190"/>
    <n v="1"/>
    <x v="74"/>
    <m/>
    <m/>
    <m/>
  </r>
  <r>
    <m/>
    <m/>
    <m/>
    <m/>
    <m/>
    <x v="1"/>
    <n v="2.7935897628452722E-3"/>
    <n v="0.44509878419452886"/>
    <n v="0.51505757307351629"/>
    <n v="-12.571428571428571"/>
    <m/>
    <m/>
    <m/>
    <m/>
    <m/>
    <m/>
    <m/>
    <m/>
    <m/>
    <m/>
    <m/>
    <s v=""/>
    <m/>
    <m/>
    <m/>
    <s v="En 2023, OBJ : livraison 720 avions commerciaux, EBIT 6 Mds €, et Cash Flow 3 Mds €"/>
    <m/>
    <n v="1645"/>
    <n v="0"/>
    <s v="NL00002351901"/>
    <s v="NL0000235190"/>
    <n v="1"/>
    <x v="74"/>
    <m/>
    <m/>
    <m/>
  </r>
  <r>
    <m/>
    <m/>
    <m/>
    <m/>
    <n v="62.84"/>
    <x v="8"/>
    <n v="66581000000"/>
    <n v="5264000000"/>
    <n v="2258000000"/>
    <n v="-917000000"/>
    <n v="-11113000000"/>
    <n v="3652000000"/>
    <n v="4.7261089237737757"/>
    <n v="-0.25109529025191674"/>
    <n v="-0.19368985390698298"/>
    <n v="772728699"/>
    <n v="48558271445.160004"/>
    <n v="13.296350340952904"/>
    <n v="7.1134634204331313"/>
    <m/>
    <n v="133782"/>
    <n v="497682.79738679342"/>
    <n v="3483000000"/>
    <m/>
    <m/>
    <s v="CAC : Ernst &amp; Young"/>
    <m/>
    <n v="1646"/>
    <n v="0"/>
    <s v="NL000023519012016"/>
    <s v="NL0000235190"/>
    <n v="1"/>
    <x v="74"/>
    <m/>
    <m/>
    <m/>
  </r>
  <r>
    <m/>
    <m/>
    <m/>
    <m/>
    <m/>
    <x v="1"/>
    <m/>
    <m/>
    <m/>
    <m/>
    <m/>
    <m/>
    <m/>
    <m/>
    <m/>
    <m/>
    <m/>
    <m/>
    <m/>
    <m/>
    <m/>
    <s v=""/>
    <m/>
    <m/>
    <m/>
    <s v="Minoritaire: peu"/>
    <m/>
    <n v="1647"/>
    <n v="0"/>
    <s v="NL00002351901"/>
    <s v="NL0000235190"/>
    <n v="1"/>
    <x v="74"/>
    <m/>
    <m/>
    <m/>
  </r>
  <r>
    <m/>
    <m/>
    <m/>
    <m/>
    <m/>
    <x v="1"/>
    <m/>
    <m/>
    <m/>
    <m/>
    <m/>
    <m/>
    <m/>
    <m/>
    <m/>
    <m/>
    <m/>
    <m/>
    <m/>
    <m/>
    <m/>
    <s v=""/>
    <m/>
    <m/>
    <m/>
    <s v="Pay out ratio : autour de 30 %"/>
    <m/>
    <n v="1648"/>
    <n v="0"/>
    <s v="NL00002351901"/>
    <s v="NL0000235190"/>
    <n v="1"/>
    <x v="74"/>
    <m/>
    <m/>
    <m/>
  </r>
  <r>
    <m/>
    <m/>
    <m/>
    <m/>
    <m/>
    <x v="1"/>
    <m/>
    <m/>
    <m/>
    <m/>
    <m/>
    <m/>
    <m/>
    <m/>
    <m/>
    <m/>
    <m/>
    <m/>
    <m/>
    <m/>
    <m/>
    <s v=""/>
    <m/>
    <m/>
    <m/>
    <m/>
    <m/>
    <n v="1649"/>
    <n v="0"/>
    <s v="NL00002351901"/>
    <s v="NL0000235190"/>
    <n v="1"/>
    <x v="74"/>
    <m/>
    <m/>
    <m/>
  </r>
  <r>
    <m/>
    <m/>
    <m/>
    <m/>
    <m/>
    <x v="1"/>
    <m/>
    <m/>
    <m/>
    <m/>
    <m/>
    <m/>
    <m/>
    <m/>
    <m/>
    <m/>
    <m/>
    <m/>
    <m/>
    <m/>
    <m/>
    <s v=""/>
    <m/>
    <m/>
    <m/>
    <m/>
    <m/>
    <n v="1650"/>
    <n v="0"/>
    <s v="NL00002351901"/>
    <s v="NL0000235190"/>
    <n v="1"/>
    <x v="74"/>
    <m/>
    <m/>
    <m/>
  </r>
  <r>
    <m/>
    <m/>
    <m/>
    <m/>
    <m/>
    <x v="1"/>
    <m/>
    <m/>
    <m/>
    <m/>
    <m/>
    <m/>
    <m/>
    <m/>
    <m/>
    <m/>
    <m/>
    <m/>
    <m/>
    <m/>
    <m/>
    <s v=""/>
    <m/>
    <m/>
    <m/>
    <m/>
    <m/>
    <n v="1651"/>
    <n v="0"/>
    <s v="NL00002351901"/>
    <s v="NL0000235190"/>
    <n v="1"/>
    <x v="74"/>
    <m/>
    <m/>
    <m/>
  </r>
  <r>
    <s v="Boeing"/>
    <s v="Aéronautique"/>
    <s v="États-Unis"/>
    <s v="Dollar"/>
    <m/>
    <x v="0"/>
    <m/>
    <m/>
    <m/>
    <m/>
    <m/>
    <m/>
    <m/>
    <m/>
    <m/>
    <m/>
    <m/>
    <m/>
    <m/>
    <m/>
    <m/>
    <s v=""/>
    <m/>
    <m/>
    <m/>
    <m/>
    <m/>
    <n v="1652"/>
    <n v="0"/>
    <s v="US097023105812023"/>
    <s v="US0970231058"/>
    <n v="1"/>
    <x v="75"/>
    <m/>
    <m/>
    <m/>
  </r>
  <r>
    <m/>
    <m/>
    <m/>
    <m/>
    <m/>
    <x v="1"/>
    <m/>
    <m/>
    <m/>
    <m/>
    <m/>
    <m/>
    <m/>
    <m/>
    <m/>
    <m/>
    <m/>
    <m/>
    <m/>
    <m/>
    <m/>
    <s v=""/>
    <m/>
    <m/>
    <m/>
    <m/>
    <m/>
    <n v="1653"/>
    <n v="0"/>
    <s v="US09702310581"/>
    <s v="US0970231058"/>
    <n v="1"/>
    <x v="75"/>
    <m/>
    <m/>
    <m/>
  </r>
  <r>
    <m/>
    <m/>
    <m/>
    <m/>
    <n v="190.49"/>
    <x v="2"/>
    <m/>
    <m/>
    <m/>
    <m/>
    <m/>
    <m/>
    <m/>
    <m/>
    <m/>
    <n v="577500000"/>
    <n v="110007975000"/>
    <m/>
    <m/>
    <m/>
    <n v="140000"/>
    <n v="0"/>
    <m/>
    <m/>
    <m/>
    <s v="Création le 15 juillet 1916 à Seatle // 1997 rachat de Mcdonnell douglas"/>
    <m/>
    <n v="1654"/>
    <n v="0"/>
    <s v="US097023105812022"/>
    <s v="US0970231058"/>
    <n v="1"/>
    <x v="75"/>
    <m/>
    <m/>
    <m/>
  </r>
  <r>
    <m/>
    <m/>
    <m/>
    <m/>
    <m/>
    <x v="1"/>
    <m/>
    <m/>
    <m/>
    <m/>
    <m/>
    <m/>
    <m/>
    <m/>
    <m/>
    <m/>
    <m/>
    <m/>
    <m/>
    <m/>
    <m/>
    <s v=""/>
    <m/>
    <m/>
    <m/>
    <s v="PDG &amp; CEO : Dave Calhoun"/>
    <m/>
    <n v="1655"/>
    <n v="0"/>
    <s v="US09702310581"/>
    <s v="US0970231058"/>
    <n v="1"/>
    <x v="75"/>
    <m/>
    <m/>
    <m/>
  </r>
  <r>
    <m/>
    <m/>
    <m/>
    <m/>
    <n v="215"/>
    <x v="3"/>
    <n v="62286000000"/>
    <m/>
    <n v="-2902000000"/>
    <n v="-4202000000"/>
    <m/>
    <m/>
    <m/>
    <m/>
    <m/>
    <m/>
    <m/>
    <m/>
    <m/>
    <m/>
    <n v="140000"/>
    <n v="444900"/>
    <m/>
    <m/>
    <m/>
    <s v="Actionnariat : Institutionnels"/>
    <m/>
    <n v="1656"/>
    <n v="0"/>
    <s v="US097023105812021"/>
    <s v="US0970231058"/>
    <n v="1"/>
    <x v="75"/>
    <m/>
    <m/>
    <m/>
  </r>
  <r>
    <m/>
    <m/>
    <m/>
    <m/>
    <m/>
    <x v="1"/>
    <m/>
    <m/>
    <m/>
    <m/>
    <m/>
    <m/>
    <m/>
    <m/>
    <m/>
    <m/>
    <m/>
    <m/>
    <m/>
    <m/>
    <m/>
    <s v=""/>
    <m/>
    <m/>
    <m/>
    <s v="Répartition activité : 42 % Avions  33% Défense et Espace, 25 % Logiciels et services"/>
    <m/>
    <n v="1657"/>
    <n v="0"/>
    <s v="US09702310581"/>
    <s v="US0970231058"/>
    <n v="1"/>
    <x v="75"/>
    <m/>
    <m/>
    <m/>
  </r>
  <r>
    <m/>
    <m/>
    <m/>
    <m/>
    <n v="214.06"/>
    <x v="4"/>
    <n v="58158000000"/>
    <m/>
    <n v="-12767000000"/>
    <n v="-11873000000"/>
    <m/>
    <m/>
    <m/>
    <m/>
    <m/>
    <m/>
    <m/>
    <m/>
    <m/>
    <m/>
    <n v="140000"/>
    <n v="415414.28571428574"/>
    <m/>
    <m/>
    <m/>
    <s v="Carnet de commande : 378 Md $ en valeur"/>
    <m/>
    <n v="1658"/>
    <n v="0"/>
    <s v="US097023105812020"/>
    <s v="US0970231058"/>
    <n v="1"/>
    <x v="75"/>
    <m/>
    <m/>
    <m/>
  </r>
  <r>
    <m/>
    <m/>
    <m/>
    <m/>
    <m/>
    <x v="1"/>
    <m/>
    <m/>
    <m/>
    <m/>
    <m/>
    <m/>
    <m/>
    <m/>
    <m/>
    <m/>
    <m/>
    <m/>
    <m/>
    <m/>
    <m/>
    <s v=""/>
    <m/>
    <m/>
    <m/>
    <s v="En 2018 et 2019 : 2 accidents du 737 MAX"/>
    <m/>
    <n v="1659"/>
    <n v="0"/>
    <s v="US09702310581"/>
    <s v="US0970231058"/>
    <n v="1"/>
    <x v="75"/>
    <m/>
    <m/>
    <m/>
  </r>
  <r>
    <m/>
    <m/>
    <m/>
    <m/>
    <n v="329"/>
    <x v="5"/>
    <n v="76559000000"/>
    <m/>
    <n v="-1975000000"/>
    <n v="-636000000"/>
    <m/>
    <m/>
    <m/>
    <m/>
    <m/>
    <m/>
    <m/>
    <m/>
    <m/>
    <m/>
    <m/>
    <s v=""/>
    <m/>
    <m/>
    <m/>
    <s v="En 2020 : 157 avions livrés"/>
    <m/>
    <n v="1660"/>
    <n v="0"/>
    <s v="US097023105812019"/>
    <s v="US0970231058"/>
    <n v="1"/>
    <x v="75"/>
    <m/>
    <m/>
    <m/>
  </r>
  <r>
    <m/>
    <m/>
    <m/>
    <m/>
    <m/>
    <x v="1"/>
    <m/>
    <m/>
    <m/>
    <m/>
    <m/>
    <m/>
    <m/>
    <m/>
    <m/>
    <m/>
    <m/>
    <m/>
    <m/>
    <m/>
    <m/>
    <s v=""/>
    <m/>
    <m/>
    <m/>
    <s v="En 2021 : 340 avions livrés"/>
    <m/>
    <n v="1661"/>
    <n v="0"/>
    <s v="US09702310581"/>
    <s v="US0970231058"/>
    <n v="1"/>
    <x v="75"/>
    <m/>
    <m/>
    <m/>
  </r>
  <r>
    <m/>
    <m/>
    <m/>
    <m/>
    <n v="327"/>
    <x v="6"/>
    <n v="101000000000"/>
    <m/>
    <m/>
    <m/>
    <m/>
    <m/>
    <m/>
    <m/>
    <m/>
    <n v="577500000"/>
    <n v="188842500000"/>
    <m/>
    <m/>
    <m/>
    <m/>
    <s v=""/>
    <m/>
    <m/>
    <m/>
    <s v="En 2021 : problème de fabrication avec le 787 Dreamliner qui vait commence en 2018-2019"/>
    <m/>
    <n v="1662"/>
    <n v="0"/>
    <s v="US097023105812018"/>
    <s v="US0970231058"/>
    <n v="1"/>
    <x v="75"/>
    <m/>
    <m/>
    <m/>
  </r>
  <r>
    <m/>
    <m/>
    <m/>
    <m/>
    <m/>
    <x v="1"/>
    <m/>
    <m/>
    <m/>
    <m/>
    <m/>
    <m/>
    <m/>
    <m/>
    <m/>
    <m/>
    <m/>
    <m/>
    <m/>
    <m/>
    <m/>
    <s v=""/>
    <m/>
    <m/>
    <m/>
    <s v="En 2022, 35 avions en livraison en avril bien en-dessous d'Airbus"/>
    <m/>
    <n v="1663"/>
    <n v="0"/>
    <s v="US09702310581"/>
    <s v="US0970231058"/>
    <n v="1"/>
    <x v="75"/>
    <m/>
    <m/>
    <m/>
  </r>
  <r>
    <m/>
    <m/>
    <m/>
    <m/>
    <n v="336"/>
    <x v="7"/>
    <m/>
    <m/>
    <m/>
    <m/>
    <m/>
    <m/>
    <m/>
    <m/>
    <m/>
    <m/>
    <m/>
    <m/>
    <m/>
    <m/>
    <m/>
    <s v=""/>
    <m/>
    <m/>
    <m/>
    <m/>
    <m/>
    <n v="1664"/>
    <n v="0"/>
    <s v="US097023105812017"/>
    <s v="US0970231058"/>
    <n v="1"/>
    <x v="75"/>
    <m/>
    <m/>
    <m/>
  </r>
  <r>
    <m/>
    <m/>
    <m/>
    <m/>
    <m/>
    <x v="1"/>
    <m/>
    <m/>
    <m/>
    <m/>
    <m/>
    <m/>
    <m/>
    <m/>
    <m/>
    <m/>
    <m/>
    <m/>
    <m/>
    <m/>
    <m/>
    <s v=""/>
    <m/>
    <m/>
    <m/>
    <m/>
    <m/>
    <n v="1665"/>
    <n v="0"/>
    <s v="US09702310581"/>
    <s v="US0970231058"/>
    <n v="1"/>
    <x v="75"/>
    <m/>
    <m/>
    <m/>
  </r>
  <r>
    <m/>
    <m/>
    <m/>
    <m/>
    <m/>
    <x v="1"/>
    <m/>
    <m/>
    <m/>
    <m/>
    <m/>
    <m/>
    <m/>
    <m/>
    <m/>
    <m/>
    <m/>
    <m/>
    <m/>
    <m/>
    <m/>
    <s v=""/>
    <m/>
    <m/>
    <m/>
    <m/>
    <m/>
    <n v="1666"/>
    <n v="0"/>
    <s v="US09702310581"/>
    <s v="US0970231058"/>
    <n v="1"/>
    <x v="75"/>
    <m/>
    <m/>
    <m/>
  </r>
  <r>
    <m/>
    <m/>
    <m/>
    <m/>
    <m/>
    <x v="1"/>
    <m/>
    <m/>
    <m/>
    <m/>
    <m/>
    <m/>
    <m/>
    <m/>
    <m/>
    <m/>
    <m/>
    <m/>
    <m/>
    <m/>
    <m/>
    <s v=""/>
    <m/>
    <m/>
    <m/>
    <m/>
    <m/>
    <n v="1667"/>
    <n v="0"/>
    <s v="US09702310581"/>
    <s v="US0970231058"/>
    <n v="1"/>
    <x v="75"/>
    <m/>
    <m/>
    <m/>
  </r>
  <r>
    <s v="ESI Group"/>
    <s v="Editeur de logiciel - prototypage"/>
    <s v="France "/>
    <s v="Euro"/>
    <n v="74.400000000000006"/>
    <x v="3"/>
    <n v="136600000"/>
    <m/>
    <n v="12700000"/>
    <n v="-18500000"/>
    <n v="12500000"/>
    <n v="70000000"/>
    <n v="11.631980102002496"/>
    <n v="-0.26428571428571429"/>
    <n v="9.8521212121212121E-2"/>
    <n v="6017892"/>
    <n v="447731164.80000001"/>
    <m/>
    <m/>
    <m/>
    <m/>
    <s v=""/>
    <n v="10900000"/>
    <m/>
    <m/>
    <s v="Société détenue par la famille de Rouvray à 36% (né en 1946, succession ?) spécialisé dans le prototypage virtuel pour le secteur automobile et aéronautique principalement"/>
    <m/>
    <n v="1668"/>
    <n v="0"/>
    <s v="FR000411031012021"/>
    <s v="FR0004110310"/>
    <n v="1"/>
    <x v="76"/>
    <m/>
    <m/>
    <m/>
  </r>
  <r>
    <m/>
    <m/>
    <m/>
    <m/>
    <m/>
    <x v="1"/>
    <n v="3.0165912518853588E-2"/>
    <m/>
    <n v="2.1749999999999998"/>
    <m/>
    <m/>
    <m/>
    <m/>
    <m/>
    <m/>
    <m/>
    <m/>
    <m/>
    <m/>
    <m/>
    <m/>
    <s v=""/>
    <m/>
    <m/>
    <m/>
    <s v="Belle progression de l'activité mais la marge n'est pas en rapport avec la valeur ajoutée. "/>
    <m/>
    <n v="1669"/>
    <n v="0"/>
    <s v="FR00041103101"/>
    <s v="FR0004110310"/>
    <n v="1"/>
    <x v="76"/>
    <m/>
    <m/>
    <m/>
  </r>
  <r>
    <m/>
    <m/>
    <m/>
    <m/>
    <n v="44.5"/>
    <x v="4"/>
    <n v="132600000"/>
    <m/>
    <n v="4000000"/>
    <n v="1400000"/>
    <n v="24900000"/>
    <n v="87861000"/>
    <n v="14.599962910600588"/>
    <n v="1.593425979672437E-2"/>
    <n v="2.270288486267415E-2"/>
    <n v="6017892"/>
    <n v="447731164.80000001"/>
    <n v="5.0959033564380105"/>
    <e v="#DIV/0!"/>
    <m/>
    <m/>
    <s v=""/>
    <m/>
    <m/>
    <m/>
    <s v="Beaucoup d'acquisition : risque Goodwill, dettes et succession"/>
    <m/>
    <n v="1670"/>
    <n v="0"/>
    <s v="FR000411031012020"/>
    <s v="FR0004110310"/>
    <n v="1"/>
    <x v="76"/>
    <m/>
    <m/>
    <m/>
  </r>
  <r>
    <m/>
    <m/>
    <m/>
    <m/>
    <m/>
    <x v="1"/>
    <n v="-4.8869187235049849E-2"/>
    <m/>
    <n v="-0.4285714285714286"/>
    <n v="-0.5800839832033593"/>
    <m/>
    <m/>
    <m/>
    <m/>
    <m/>
    <m/>
    <m/>
    <m/>
    <m/>
    <m/>
    <m/>
    <s v=""/>
    <m/>
    <m/>
    <m/>
    <s v="1 258 salariés soit un CA de 81 237 euros par salariés"/>
    <m/>
    <n v="1671"/>
    <n v="0"/>
    <s v="FR00041103101"/>
    <s v="FR0004110310"/>
    <n v="1"/>
    <x v="76"/>
    <m/>
    <m/>
    <m/>
  </r>
  <r>
    <m/>
    <m/>
    <m/>
    <m/>
    <n v="45.8"/>
    <x v="5"/>
    <n v="139413000"/>
    <n v="12100000"/>
    <n v="7000000"/>
    <n v="3334000"/>
    <n v="36255000"/>
    <n v="85912000"/>
    <n v="14.276095350331977"/>
    <n v="3.880715150386442E-2"/>
    <n v="3.6671114130657212E-2"/>
    <n v="6017892"/>
    <n v="275619453.59999996"/>
    <n v="3.2081601359530678"/>
    <n v="25.774748231404956"/>
    <m/>
    <m/>
    <s v=""/>
    <m/>
    <m/>
    <m/>
    <s v="Répartition géographique : 49% Europe, Afrique, Moyen-Orient, 36% Asie-Pacifique et 15% Amériques"/>
    <m/>
    <n v="1672"/>
    <n v="0"/>
    <s v="FR000411031012019"/>
    <s v="FR0004110310"/>
    <n v="1"/>
    <x v="76"/>
    <m/>
    <m/>
    <m/>
  </r>
  <r>
    <m/>
    <m/>
    <m/>
    <m/>
    <m/>
    <x v="1"/>
    <n v="0"/>
    <n v="0"/>
    <n v="-0.13580246913580252"/>
    <n v="0.40378947368421048"/>
    <m/>
    <m/>
    <m/>
    <m/>
    <m/>
    <m/>
    <m/>
    <m/>
    <m/>
    <m/>
    <m/>
    <s v=""/>
    <m/>
    <m/>
    <m/>
    <s v="57% public, 37% fondateur et conseil d'administration et 6% auto-détention"/>
    <m/>
    <n v="1673"/>
    <n v="0"/>
    <s v="FR00041103101"/>
    <s v="FR0004110310"/>
    <n v="1"/>
    <x v="76"/>
    <m/>
    <m/>
    <m/>
  </r>
  <r>
    <m/>
    <m/>
    <m/>
    <m/>
    <n v="40"/>
    <x v="6"/>
    <n v="139413000"/>
    <n v="12100000"/>
    <n v="8100000"/>
    <n v="2375000"/>
    <n v="34089000"/>
    <n v="100638000"/>
    <n v="16.727162000398241"/>
    <n v="2.3599435600866473E-2"/>
    <n v="3.8477810683827295E-2"/>
    <n v="6016442"/>
    <n v="240657680"/>
    <n v="2.3913201772690238"/>
    <n v="22.706337190082646"/>
    <m/>
    <m/>
    <s v=""/>
    <m/>
    <m/>
    <m/>
    <s v="En 2021, recul de de Rouvray et résultats difficiles avec des charges de restructurations pour 27,6 M euros : 6,7 M euros pour réduction d'effectifs et 20,7 M euros pour dépréciation d'catifs"/>
    <m/>
    <n v="1674"/>
    <n v="0"/>
    <s v="FR000411031012018"/>
    <s v="FR0004110310"/>
    <n v="1"/>
    <x v="76"/>
    <m/>
    <m/>
    <m/>
  </r>
  <r>
    <m/>
    <m/>
    <m/>
    <m/>
    <m/>
    <x v="1"/>
    <n v="3.0574303096609246E-2"/>
    <n v="-0.21249593231370001"/>
    <n v="-0.40966401865753221"/>
    <n v="-0.68430147547520936"/>
    <m/>
    <m/>
    <m/>
    <m/>
    <m/>
    <m/>
    <m/>
    <m/>
    <m/>
    <m/>
    <m/>
    <s v=""/>
    <m/>
    <m/>
    <m/>
    <s v="Perspectives 2024 : hausse de l'activité à un chiffre mais surtout marge d'exploitation à 22% soit 30 M euros soit trois fois la moyenne des dix dernières années"/>
    <m/>
    <n v="1675"/>
    <n v="0"/>
    <s v="FR00041103101"/>
    <s v="FR0004110310"/>
    <n v="1"/>
    <x v="76"/>
    <m/>
    <m/>
    <m/>
  </r>
  <r>
    <m/>
    <m/>
    <m/>
    <m/>
    <n v="45"/>
    <x v="7"/>
    <n v="135277000"/>
    <n v="15365000"/>
    <n v="13721000"/>
    <n v="7523000"/>
    <n v="34696000"/>
    <n v="98475000"/>
    <n v="16.434434491901857"/>
    <n v="7.639502411779639E-2"/>
    <n v="6.594108326887986E-2"/>
    <n v="5991992"/>
    <n v="269639640"/>
    <n v="2.7381532368621477"/>
    <n v="19.807070615034167"/>
    <m/>
    <m/>
    <s v=""/>
    <m/>
    <m/>
    <m/>
    <s v="CAC : PricewaterhouseCoopers et Audit Ernst &amp; Young Audit"/>
    <m/>
    <n v="1676"/>
    <n v="0"/>
    <s v="FR000411031012017"/>
    <s v="FR0004110310"/>
    <n v="1"/>
    <x v="76"/>
    <m/>
    <m/>
    <m/>
  </r>
  <r>
    <m/>
    <m/>
    <m/>
    <m/>
    <m/>
    <x v="1"/>
    <n v="8.4662999727384891E-2"/>
    <n v="0.30134665876175148"/>
    <n v="0.46701593071741687"/>
    <n v="0.41144465290806753"/>
    <m/>
    <m/>
    <m/>
    <m/>
    <m/>
    <m/>
    <m/>
    <m/>
    <m/>
    <m/>
    <m/>
    <s v=""/>
    <m/>
    <m/>
    <m/>
    <m/>
    <m/>
    <n v="1677"/>
    <n v="0"/>
    <s v="FR00041103101"/>
    <s v="FR0004110310"/>
    <n v="1"/>
    <x v="76"/>
    <m/>
    <m/>
    <m/>
  </r>
  <r>
    <m/>
    <m/>
    <m/>
    <m/>
    <n v="25"/>
    <x v="8"/>
    <n v="124718000"/>
    <n v="11807000"/>
    <n v="9353000"/>
    <n v="5330000"/>
    <n v="26233000"/>
    <n v="90842000"/>
    <n v="15.152778815667268"/>
    <n v="5.8673300896061292E-2"/>
    <n v="5.1128934443732649E-2"/>
    <n v="5995072"/>
    <n v="149876800"/>
    <n v="1.6498623984500562"/>
    <n v="14.915711018887102"/>
    <m/>
    <m/>
    <s v=""/>
    <m/>
    <m/>
    <m/>
    <m/>
    <m/>
    <n v="1678"/>
    <n v="0"/>
    <s v="FR000411031012016"/>
    <s v="FR0004110310"/>
    <n v="1"/>
    <x v="76"/>
    <m/>
    <m/>
    <m/>
  </r>
  <r>
    <m/>
    <m/>
    <m/>
    <m/>
    <m/>
    <x v="1"/>
    <m/>
    <m/>
    <m/>
    <m/>
    <m/>
    <m/>
    <m/>
    <m/>
    <m/>
    <m/>
    <m/>
    <m/>
    <m/>
    <m/>
    <m/>
    <s v=""/>
    <m/>
    <m/>
    <m/>
    <m/>
    <m/>
    <n v="1679"/>
    <n v="0"/>
    <s v="FR00041103101"/>
    <s v="FR0004110310"/>
    <n v="1"/>
    <x v="76"/>
    <m/>
    <m/>
    <m/>
  </r>
  <r>
    <m/>
    <m/>
    <m/>
    <m/>
    <n v="25.05"/>
    <x v="9"/>
    <m/>
    <m/>
    <n v="10000000"/>
    <m/>
    <m/>
    <m/>
    <m/>
    <m/>
    <m/>
    <n v="5866529"/>
    <n v="146956551.45000002"/>
    <m/>
    <m/>
    <m/>
    <m/>
    <s v=""/>
    <m/>
    <m/>
    <m/>
    <m/>
    <m/>
    <n v="1680"/>
    <n v="0"/>
    <s v="FR000411031012015"/>
    <s v="FR0004110310"/>
    <n v="1"/>
    <x v="76"/>
    <m/>
    <m/>
    <m/>
  </r>
  <r>
    <m/>
    <m/>
    <m/>
    <m/>
    <m/>
    <x v="1"/>
    <m/>
    <m/>
    <m/>
    <m/>
    <m/>
    <m/>
    <m/>
    <m/>
    <m/>
    <m/>
    <m/>
    <m/>
    <m/>
    <m/>
    <m/>
    <s v=""/>
    <m/>
    <m/>
    <m/>
    <m/>
    <m/>
    <n v="1681"/>
    <n v="0"/>
    <s v="FR00041103101"/>
    <s v="FR0004110310"/>
    <n v="1"/>
    <x v="76"/>
    <m/>
    <m/>
    <m/>
  </r>
  <r>
    <m/>
    <m/>
    <m/>
    <m/>
    <n v="21.56"/>
    <x v="10"/>
    <m/>
    <m/>
    <n v="10000000"/>
    <m/>
    <m/>
    <m/>
    <m/>
    <m/>
    <m/>
    <n v="5866529"/>
    <n v="126482365.23999999"/>
    <m/>
    <m/>
    <m/>
    <m/>
    <s v=""/>
    <m/>
    <m/>
    <m/>
    <m/>
    <m/>
    <n v="1682"/>
    <n v="0"/>
    <s v="FR000411031012014"/>
    <s v="FR0004110310"/>
    <n v="1"/>
    <x v="76"/>
    <m/>
    <m/>
    <m/>
  </r>
  <r>
    <m/>
    <m/>
    <m/>
    <m/>
    <m/>
    <x v="1"/>
    <m/>
    <m/>
    <m/>
    <m/>
    <m/>
    <m/>
    <m/>
    <m/>
    <m/>
    <m/>
    <m/>
    <m/>
    <m/>
    <m/>
    <m/>
    <s v=""/>
    <m/>
    <m/>
    <m/>
    <m/>
    <m/>
    <n v="1683"/>
    <n v="0"/>
    <s v="FR00041103101"/>
    <s v="FR0004110310"/>
    <n v="1"/>
    <x v="76"/>
    <m/>
    <m/>
    <m/>
  </r>
  <r>
    <m/>
    <m/>
    <m/>
    <m/>
    <n v="23.9"/>
    <x v="11"/>
    <m/>
    <m/>
    <n v="10000000"/>
    <m/>
    <m/>
    <m/>
    <m/>
    <m/>
    <m/>
    <n v="5866529"/>
    <n v="140210043.09999999"/>
    <m/>
    <m/>
    <m/>
    <m/>
    <s v=""/>
    <m/>
    <m/>
    <m/>
    <m/>
    <m/>
    <n v="1684"/>
    <n v="0"/>
    <s v="FR000411031012013"/>
    <s v="FR0004110310"/>
    <n v="1"/>
    <x v="76"/>
    <m/>
    <m/>
    <m/>
  </r>
  <r>
    <m/>
    <m/>
    <m/>
    <m/>
    <m/>
    <x v="1"/>
    <m/>
    <m/>
    <m/>
    <m/>
    <m/>
    <m/>
    <m/>
    <m/>
    <m/>
    <m/>
    <m/>
    <m/>
    <m/>
    <m/>
    <m/>
    <s v=""/>
    <m/>
    <m/>
    <m/>
    <m/>
    <m/>
    <n v="1685"/>
    <n v="0"/>
    <s v="FR00041103101"/>
    <s v="FR0004110310"/>
    <n v="1"/>
    <x v="76"/>
    <m/>
    <m/>
    <m/>
  </r>
  <r>
    <m/>
    <m/>
    <m/>
    <m/>
    <n v="25.4"/>
    <x v="12"/>
    <m/>
    <m/>
    <n v="14000000"/>
    <m/>
    <n v="12000000"/>
    <m/>
    <m/>
    <m/>
    <m/>
    <n v="5866529"/>
    <n v="149009836.59999999"/>
    <m/>
    <m/>
    <m/>
    <m/>
    <s v=""/>
    <m/>
    <m/>
    <m/>
    <m/>
    <m/>
    <n v="1686"/>
    <n v="0"/>
    <s v="FR000411031012012"/>
    <s v="FR0004110310"/>
    <n v="1"/>
    <x v="76"/>
    <m/>
    <m/>
    <m/>
  </r>
  <r>
    <m/>
    <m/>
    <m/>
    <m/>
    <m/>
    <x v="1"/>
    <m/>
    <m/>
    <m/>
    <m/>
    <m/>
    <m/>
    <m/>
    <m/>
    <m/>
    <m/>
    <m/>
    <m/>
    <m/>
    <m/>
    <m/>
    <s v=""/>
    <m/>
    <m/>
    <m/>
    <m/>
    <m/>
    <n v="1687"/>
    <n v="0"/>
    <s v="FR00041103101"/>
    <s v="FR0004110310"/>
    <n v="1"/>
    <x v="76"/>
    <m/>
    <m/>
    <m/>
  </r>
  <r>
    <m/>
    <m/>
    <m/>
    <m/>
    <m/>
    <x v="1"/>
    <m/>
    <m/>
    <m/>
    <m/>
    <m/>
    <m/>
    <m/>
    <m/>
    <m/>
    <m/>
    <m/>
    <m/>
    <m/>
    <m/>
    <m/>
    <s v=""/>
    <m/>
    <m/>
    <m/>
    <m/>
    <m/>
    <n v="1688"/>
    <n v="0"/>
    <s v="FR00041103101"/>
    <s v="FR0004110310"/>
    <n v="1"/>
    <x v="76"/>
    <m/>
    <m/>
    <m/>
  </r>
  <r>
    <m/>
    <m/>
    <m/>
    <m/>
    <m/>
    <x v="1"/>
    <m/>
    <m/>
    <m/>
    <m/>
    <m/>
    <m/>
    <m/>
    <m/>
    <m/>
    <m/>
    <m/>
    <m/>
    <m/>
    <m/>
    <m/>
    <s v=""/>
    <m/>
    <m/>
    <m/>
    <m/>
    <m/>
    <n v="1689"/>
    <n v="0"/>
    <s v="FR00041103101"/>
    <s v="FR0004110310"/>
    <n v="1"/>
    <x v="76"/>
    <m/>
    <m/>
    <m/>
  </r>
  <r>
    <s v="Guerbet"/>
    <s v="Produit de contraste"/>
    <s v="France"/>
    <s v="Euro"/>
    <n v="17.5"/>
    <x v="0"/>
    <n v="790965000"/>
    <n v="88588080"/>
    <n v="25000000"/>
    <n v="5000000"/>
    <n v="300000000"/>
    <n v="385000000"/>
    <n v="30.456174158687741"/>
    <n v="1.2987012987012988E-2"/>
    <n v="2.3357664233576641E-2"/>
    <n v="12641115"/>
    <n v="221219512.5"/>
    <n v="0.57459613636363638"/>
    <n v="5.8836303089535296"/>
    <s v="Non noté"/>
    <n v="2800"/>
    <n v="282487.5"/>
    <n v="40000000"/>
    <s v="E(impact) = -1"/>
    <m/>
    <s v="Fabricant de produit de contraste pour le monde médical (radio, IRM, scanner…) fondé le 15 novembre 1926 par M. Guerbet. La famille détient toujours 55,7%."/>
    <m/>
    <n v="1690"/>
    <s v="p"/>
    <s v="FR000003252612023"/>
    <s v="FR0000032526"/>
    <n v="1"/>
    <x v="77"/>
    <m/>
    <m/>
    <m/>
  </r>
  <r>
    <m/>
    <m/>
    <m/>
    <m/>
    <m/>
    <x v="1"/>
    <n v="5.0000000000000044E-2"/>
    <n v="-0.14075577109602333"/>
    <n v="-2.3736263736263736"/>
    <n v="-1.1216545012165451"/>
    <m/>
    <m/>
    <m/>
    <m/>
    <m/>
    <m/>
    <m/>
    <m/>
    <m/>
    <m/>
    <m/>
    <s v=""/>
    <m/>
    <s v="E(effort)=1"/>
    <m/>
    <s v="Départ de Lépine fin 2019 (en poste depuis 2011 qui avait remplacé Bernard Massiot, membre de la famille, décédé subitement en 2011) remplacé le 1/1/2020 par David Hale, 51 ans (ancien Chief Commercial Officer) membre du comex depuis février 2018"/>
    <m/>
    <n v="1691"/>
    <s v="p"/>
    <s v="FR00000325261"/>
    <s v="FR0000032526"/>
    <n v="1"/>
    <x v="77"/>
    <m/>
    <m/>
    <m/>
  </r>
  <r>
    <m/>
    <m/>
    <m/>
    <m/>
    <n v="16.96"/>
    <x v="2"/>
    <n v="753300000"/>
    <n v="103100000"/>
    <n v="-18200000"/>
    <n v="-41100000"/>
    <n v="270400000"/>
    <n v="380000000"/>
    <n v="30.060639429354136"/>
    <n v="-0.10815789473684211"/>
    <n v="-1.7908979089790899E-2"/>
    <n v="12641115"/>
    <n v="214393310.40000001"/>
    <n v="0.56419292210526317"/>
    <n v="4.7021659592628513"/>
    <m/>
    <n v="2820"/>
    <n v="267127.6595744681"/>
    <n v="-52600000"/>
    <s v="S=1"/>
    <m/>
    <s v="Présidente du conseil d'administration : Marie-Claire Janailhac-Fritsch"/>
    <m/>
    <n v="1692"/>
    <s v="p"/>
    <s v="FR000003252612022"/>
    <s v="FR0000032526"/>
    <n v="1"/>
    <x v="77"/>
    <m/>
    <m/>
    <m/>
  </r>
  <r>
    <m/>
    <m/>
    <m/>
    <m/>
    <m/>
    <x v="1"/>
    <n v="2.8957792651277181E-2"/>
    <n v="-1.9029495718363432E-2"/>
    <n v="-1.4702842377260983"/>
    <n v="-2.2607361963190185"/>
    <m/>
    <m/>
    <m/>
    <m/>
    <m/>
    <m/>
    <m/>
    <m/>
    <m/>
    <m/>
    <m/>
    <s v=""/>
    <m/>
    <s v="G=1"/>
    <m/>
    <s v="Entreprise bien géré, un des leaders mondiaux présent dans 80 pays et quatre centre de recherche. "/>
    <m/>
    <n v="1693"/>
    <s v="p"/>
    <s v="FR00000325261"/>
    <s v="FR0000032526"/>
    <n v="1"/>
    <x v="77"/>
    <m/>
    <m/>
    <m/>
  </r>
  <r>
    <m/>
    <m/>
    <m/>
    <m/>
    <n v="37"/>
    <x v="3"/>
    <n v="732100000"/>
    <n v="105100000"/>
    <n v="38700000"/>
    <n v="32600000"/>
    <n v="217800000"/>
    <n v="405000000"/>
    <n v="32.039326889341304"/>
    <n v="8.049382716049383E-2"/>
    <n v="3.9768786127167631E-2"/>
    <n v="12640715"/>
    <n v="467706455"/>
    <n v="1.1548307530864197"/>
    <n v="6.5224210751665082"/>
    <m/>
    <n v="2820"/>
    <n v="259609.92907801419"/>
    <n v="38800000"/>
    <m/>
    <m/>
    <s v="4 acteurs mondiaux : General Electric, Bayer, Bracco (même histoire familiale italienne d'un siècle) et Guerbet"/>
    <m/>
    <n v="1694"/>
    <s v="p"/>
    <s v="FR000003252612021"/>
    <s v="FR0000032526"/>
    <n v="1"/>
    <x v="77"/>
    <m/>
    <m/>
    <m/>
  </r>
  <r>
    <m/>
    <m/>
    <m/>
    <m/>
    <m/>
    <x v="1"/>
    <n v="2.7744179438714989E-2"/>
    <n v="4.3694141012909693E-2"/>
    <n v="-6.2953995157384979E-2"/>
    <n v="0.84180790960451968"/>
    <m/>
    <m/>
    <m/>
    <m/>
    <m/>
    <m/>
    <m/>
    <m/>
    <m/>
    <m/>
    <m/>
    <s v=""/>
    <m/>
    <m/>
    <m/>
    <s v="Avant 2015 : 400 Me de CA et 65 Me d'EBE et 35 Me d'investissement (free cash flow) "/>
    <m/>
    <n v="1695"/>
    <s v="p"/>
    <s v="FR00000325261"/>
    <s v="FR0000032526"/>
    <n v="1"/>
    <x v="77"/>
    <m/>
    <m/>
    <m/>
  </r>
  <r>
    <m/>
    <m/>
    <m/>
    <m/>
    <n v="32.85"/>
    <x v="4"/>
    <n v="712336800"/>
    <n v="100700000"/>
    <n v="41300000"/>
    <n v="17700000"/>
    <n v="256600000"/>
    <n v="364000000"/>
    <n v="28.882759325520919"/>
    <n v="4.8626373626373627E-2"/>
    <n v="4.2591040928134066E-2"/>
    <n v="12602674"/>
    <n v="413997840.90000004"/>
    <n v="1.1373567057692309"/>
    <n v="6.6593628689175777"/>
    <m/>
    <n v="2820"/>
    <n v="252601.70212765958"/>
    <n v="28000000"/>
    <m/>
    <m/>
    <s v="2015 : achat le 27 juillet de CMDS au groupe Mallinckrodt. Le groupe passe à 800 Me de CA, EBE : 110 Me, 70 Me d'investissment et free cash flow"/>
    <m/>
    <n v="1696"/>
    <s v="p"/>
    <s v="FR000003252612020"/>
    <s v="FR0000032526"/>
    <n v="1"/>
    <x v="77"/>
    <m/>
    <m/>
    <m/>
  </r>
  <r>
    <m/>
    <m/>
    <m/>
    <m/>
    <m/>
    <x v="1"/>
    <n v="-0.128"/>
    <n v="-9.6860986547085193E-2"/>
    <n v="-0.20116054158607355"/>
    <n v="-0.52546916890080431"/>
    <m/>
    <m/>
    <m/>
    <m/>
    <m/>
    <m/>
    <m/>
    <m/>
    <m/>
    <m/>
    <m/>
    <s v=""/>
    <m/>
    <m/>
    <m/>
    <s v="CMDS : produits de contraste : 410 M euros de CA acheté 253,2 M euros financé par dette en 2015. La dette était de 90 M e avant acquisition, en 2020 :  300 M euros donc légère création de valeur (paye Invest : 50 M e par an et divi : 10 Meuros par an)"/>
    <m/>
    <n v="1697"/>
    <s v="p"/>
    <s v="FR00000325261"/>
    <s v="FR0000032526"/>
    <n v="1"/>
    <x v="77"/>
    <m/>
    <m/>
    <m/>
  </r>
  <r>
    <m/>
    <m/>
    <m/>
    <m/>
    <n v="45"/>
    <x v="5"/>
    <n v="816900000"/>
    <n v="111500000"/>
    <n v="51700000"/>
    <n v="37300000"/>
    <n v="296500000"/>
    <n v="375000000"/>
    <n v="29.806233254361388"/>
    <n v="9.9466666666666662E-2"/>
    <n v="4.9274758004467609E-2"/>
    <n v="12581261"/>
    <n v="566156745"/>
    <n v="1.5097513199999999"/>
    <n v="7.736831793721973"/>
    <m/>
    <m/>
    <s v=""/>
    <m/>
    <m/>
    <m/>
    <s v="Un de ses produits phares, le Dotarem (lancé en 1989) subit la concurrence récente d'un générique de GE en Europe et en Asie depuis début 2017 puis États-Unis fin 2020 mais les ventes de Dotarem progressent. Impact du générique au 4T17. En 2018, sur l'année entière en Europe puis à venir aux États-Unis (en 2020 maintenant effectif)"/>
    <m/>
    <n v="1698"/>
    <s v="p"/>
    <s v="FR000003252612019"/>
    <s v="FR0000032526"/>
    <n v="1"/>
    <x v="77"/>
    <m/>
    <m/>
    <m/>
  </r>
  <r>
    <m/>
    <m/>
    <m/>
    <m/>
    <m/>
    <x v="1"/>
    <n v="3.4574468085106336E-2"/>
    <n v="8.1374321880651745E-3"/>
    <n v="-0.2603719599427754"/>
    <n v="-0.20299145299145294"/>
    <m/>
    <m/>
    <m/>
    <m/>
    <m/>
    <m/>
    <m/>
    <m/>
    <m/>
    <m/>
    <m/>
    <s v=""/>
    <m/>
    <m/>
    <m/>
    <s v="Remboursement de la sécurité sociale sur la base du prix des génériques"/>
    <m/>
    <n v="1699"/>
    <s v="p"/>
    <s v="FR00000325261"/>
    <s v="FR0000032526"/>
    <n v="1"/>
    <x v="77"/>
    <m/>
    <m/>
    <m/>
  </r>
  <r>
    <m/>
    <m/>
    <m/>
    <m/>
    <n v="58"/>
    <x v="6"/>
    <n v="789600000"/>
    <n v="110600000"/>
    <n v="69900000"/>
    <n v="46800000"/>
    <n v="308656000"/>
    <n v="366761000"/>
    <n v="29.151370438940898"/>
    <n v="0.12760353472697478"/>
    <n v="6.623463726853189E-2"/>
    <n v="12581261"/>
    <n v="729713138"/>
    <n v="1.98961486635711"/>
    <n v="9.3885093851717905"/>
    <m/>
    <m/>
    <s v=""/>
    <m/>
    <m/>
    <m/>
    <s v="Marché des produits de contraste en IRM (Diagnostic) estimé à 1 Md Euros croissance en volume plus faible et tension sur les prix avec les génériques"/>
    <m/>
    <n v="1700"/>
    <s v="p"/>
    <s v="FR000003252612018"/>
    <s v="FR0000032526"/>
    <n v="1"/>
    <x v="77"/>
    <m/>
    <m/>
    <m/>
  </r>
  <r>
    <m/>
    <m/>
    <m/>
    <m/>
    <m/>
    <x v="1"/>
    <n v="-2.1682567215958404E-2"/>
    <n v="-0.14923076923076928"/>
    <n v="-0.11742424242424243"/>
    <n v="1.298701298701288E-2"/>
    <m/>
    <m/>
    <m/>
    <m/>
    <m/>
    <m/>
    <m/>
    <m/>
    <m/>
    <m/>
    <m/>
    <s v=""/>
    <m/>
    <m/>
    <m/>
    <s v="Marché des produits de contraste en CT &amp; Cath Lab à 2,7 Md euros (Japon second marché mondial). Marché réévalué à 3 Md euros en 2021 par Guerbet"/>
    <m/>
    <n v="1701"/>
    <s v="p"/>
    <s v="FR00000325261"/>
    <s v="FR0000032526"/>
    <n v="1"/>
    <x v="77"/>
    <m/>
    <m/>
    <m/>
  </r>
  <r>
    <m/>
    <m/>
    <m/>
    <m/>
    <n v="72.88"/>
    <x v="7"/>
    <n v="807100000"/>
    <n v="130000000"/>
    <n v="79200000"/>
    <n v="46200000"/>
    <n v="278407000"/>
    <n v="342141000"/>
    <n v="27.233244487660066"/>
    <n v="0.13503204819065823"/>
    <n v="8.1682641794027219E-2"/>
    <n v="12563358"/>
    <n v="915617531.03999996"/>
    <n v="2.6761409215498873"/>
    <n v="9.1848040849230763"/>
    <m/>
    <m/>
    <s v=""/>
    <m/>
    <m/>
    <m/>
    <s v="Marché des injections 1,2 Md euros"/>
    <m/>
    <n v="1702"/>
    <s v="p"/>
    <s v="FR000003252612017"/>
    <s v="FR0000032526"/>
    <n v="1"/>
    <x v="77"/>
    <m/>
    <m/>
    <m/>
  </r>
  <r>
    <m/>
    <m/>
    <m/>
    <m/>
    <m/>
    <x v="1"/>
    <n v="4.034544985821098E-2"/>
    <n v="0.22295390404515514"/>
    <n v="0.4505494505494505"/>
    <n v="0.59861591695501737"/>
    <m/>
    <m/>
    <m/>
    <m/>
    <m/>
    <m/>
    <m/>
    <m/>
    <m/>
    <m/>
    <m/>
    <s v=""/>
    <m/>
    <m/>
    <m/>
    <s v="Marché de 4,9 Md $ en 2021 estimé à 5,9 Md $ en 2026 soit +20% et un taux de progression annuelle de 3,8%."/>
    <m/>
    <n v="1703"/>
    <s v="p"/>
    <s v="FR00000325261"/>
    <s v="FR0000032526"/>
    <n v="1"/>
    <x v="77"/>
    <m/>
    <m/>
    <m/>
  </r>
  <r>
    <m/>
    <m/>
    <m/>
    <m/>
    <n v="71.19"/>
    <x v="8"/>
    <n v="775800000"/>
    <n v="106300000"/>
    <n v="54600000"/>
    <n v="28900000"/>
    <n v="330400000"/>
    <n v="314800000"/>
    <n v="25.181687313837099"/>
    <n v="9.1804320203303688E-2"/>
    <n v="5.5501905972045747E-2"/>
    <n v="12501148"/>
    <n v="889956726.12"/>
    <n v="2.82705440317662"/>
    <n v="11.333553397177798"/>
    <m/>
    <m/>
    <s v=""/>
    <m/>
    <m/>
    <m/>
    <s v="Entre 2017 et 2018, la marge passe de 16% à 14% puis 13,7% en 2019 (12,5% sans IFRS 16)"/>
    <m/>
    <n v="1704"/>
    <s v="p"/>
    <s v="FR000003252612016"/>
    <s v="FR0000032526"/>
    <n v="1"/>
    <x v="77"/>
    <m/>
    <m/>
    <m/>
  </r>
  <r>
    <m/>
    <m/>
    <m/>
    <m/>
    <m/>
    <x v="1"/>
    <n v="-1.7103762827822111E-2"/>
    <n v="0.26247030878859867"/>
    <n v="-2.8469750889679735E-2"/>
    <n v="-0.27568922305764409"/>
    <m/>
    <m/>
    <m/>
    <m/>
    <m/>
    <m/>
    <m/>
    <m/>
    <m/>
    <m/>
    <m/>
    <s v=""/>
    <m/>
    <m/>
    <m/>
    <s v="En 2018, acquisition de Accurate : 57 M e payable en trois ans d'où hausse de l'endettement car baisse du free cash flow"/>
    <m/>
    <n v="1705"/>
    <s v="p"/>
    <s v="FR00000325261"/>
    <s v="FR0000032526"/>
    <n v="1"/>
    <x v="77"/>
    <m/>
    <m/>
    <m/>
  </r>
  <r>
    <m/>
    <m/>
    <m/>
    <m/>
    <n v="62"/>
    <x v="9"/>
    <n v="789300000"/>
    <n v="84200000"/>
    <n v="56200000"/>
    <n v="39900000"/>
    <n v="301200000"/>
    <n v="283800000"/>
    <n v="22.701915056121244"/>
    <n v="0.14059196617336153"/>
    <n v="6.1483760683760685E-2"/>
    <n v="12501148"/>
    <n v="775071176"/>
    <n v="2.7310471317829457"/>
    <n v="12.782318004750595"/>
    <m/>
    <m/>
    <s v=""/>
    <m/>
    <m/>
    <m/>
    <s v="En 2018, objectif 2020 d'EBIT : 115 M euros. Objectif abandonné"/>
    <m/>
    <n v="1706"/>
    <s v="p"/>
    <s v="FR000003252612015"/>
    <s v="FR0000032526"/>
    <n v="1"/>
    <x v="77"/>
    <m/>
    <m/>
    <m/>
  </r>
  <r>
    <m/>
    <m/>
    <m/>
    <m/>
    <m/>
    <x v="1"/>
    <n v="0.92982885085574574"/>
    <n v="0.24464153732446414"/>
    <n v="0.46388476465838346"/>
    <n v="0.52715581582271209"/>
    <m/>
    <m/>
    <m/>
    <m/>
    <m/>
    <m/>
    <m/>
    <m/>
    <m/>
    <m/>
    <m/>
    <s v=""/>
    <m/>
    <m/>
    <m/>
    <s v="Covenant Dettes / Ebe de 4 fois signé le 13 février 2019"/>
    <m/>
    <n v="1707"/>
    <s v="p"/>
    <s v="FR00000325261"/>
    <s v="FR0000032526"/>
    <n v="1"/>
    <x v="77"/>
    <m/>
    <m/>
    <m/>
  </r>
  <r>
    <m/>
    <m/>
    <s v="Division par 4 du nominal"/>
    <m/>
    <n v="36.06"/>
    <x v="10"/>
    <n v="409000000"/>
    <n v="67650000"/>
    <n v="38391000"/>
    <n v="26127000"/>
    <n v="60808000"/>
    <n v="259104000"/>
    <n v="21.223795447381853"/>
    <n v="0.10083595776213412"/>
    <n v="7.6803120858236013E-2"/>
    <n v="12208184"/>
    <n v="440227115.04000002"/>
    <n v="1.6990363523527232"/>
    <n v="7.4062840360679978"/>
    <m/>
    <m/>
    <s v=""/>
    <m/>
    <m/>
    <m/>
    <s v="En 2020, coût de la crise : -30% de chiffre d'affaires en avril et mai. Retour progressif à la normale à partir de juin. Free cash flow de 39,9 M euros (soit 11% des fonds propres) avec des investissements hauts à 57 M euros"/>
    <m/>
    <n v="1708"/>
    <s v="p"/>
    <s v="FR000003252612014"/>
    <s v="FR0000032526"/>
    <n v="1"/>
    <x v="77"/>
    <m/>
    <m/>
    <m/>
  </r>
  <r>
    <m/>
    <m/>
    <s v="le 23 janvier 2014"/>
    <m/>
    <m/>
    <x v="1"/>
    <n v="4.9608770520621404E-2"/>
    <n v="0.297841726618705"/>
    <n v="0.28038287086446112"/>
    <n v="0.27517204353555558"/>
    <m/>
    <m/>
    <m/>
    <m/>
    <m/>
    <m/>
    <m/>
    <m/>
    <m/>
    <m/>
    <m/>
    <s v=""/>
    <m/>
    <m/>
    <m/>
    <s v="En 2021, progression de l'activité et amélioration de la marge. Générique de Dotarem aux États-Unis, depuis trois ans en Europe"/>
    <m/>
    <n v="1709"/>
    <s v="p"/>
    <s v="FR00000325261"/>
    <s v="FR0000032526"/>
    <n v="1"/>
    <x v="77"/>
    <m/>
    <m/>
    <m/>
  </r>
  <r>
    <m/>
    <m/>
    <m/>
    <m/>
    <n v="113"/>
    <x v="11"/>
    <n v="389669000"/>
    <n v="52125000"/>
    <n v="29984000"/>
    <n v="20489000"/>
    <n v="82484000"/>
    <n v="238258000"/>
    <n v="78.116198903229659"/>
    <n v="8.5995013808560464E-2"/>
    <n v="5.9829270878151285E-2"/>
    <n v="3050046"/>
    <n v="344655198"/>
    <n v="1.4465629611597512"/>
    <n v="8.1945169880095925"/>
    <m/>
    <m/>
    <s v=""/>
    <m/>
    <m/>
    <m/>
    <s v="En 2021, hausse de 7,9% du chiffre d'affaires à tx et périmètre contants. Bon T4 à 191,1 M euros. Moindre progression du CA publié en raison de la baisse des devises et de la sortie du Canada du périmètre"/>
    <m/>
    <n v="1710"/>
    <s v="p"/>
    <s v="FR000003252612013"/>
    <s v="FR0000032526"/>
    <n v="1"/>
    <x v="77"/>
    <m/>
    <m/>
    <m/>
  </r>
  <r>
    <m/>
    <m/>
    <m/>
    <m/>
    <m/>
    <x v="1"/>
    <n v="-3.4265604282580964E-2"/>
    <n v="-5.0684781816857316E-2"/>
    <n v="-5.5056569285556689E-2"/>
    <n v="4.4119809794598286E-3"/>
    <m/>
    <m/>
    <m/>
    <m/>
    <m/>
    <m/>
    <m/>
    <m/>
    <m/>
    <m/>
    <m/>
    <s v=""/>
    <m/>
    <m/>
    <m/>
    <s v="Phase III validé pour le Gadopiclenol (à base de Gadolinium : produite de contraste plus performant. Partenariat commercial avec Bracco (Italie, histoire et taille proche de Guerbet) pour vendre le produit à partir de 2023 plus vite dans le Monde"/>
    <m/>
    <n v="1711"/>
    <s v="p"/>
    <s v="FR00000325261"/>
    <s v="FR0000032526"/>
    <n v="1"/>
    <x v="77"/>
    <m/>
    <m/>
    <m/>
  </r>
  <r>
    <m/>
    <m/>
    <m/>
    <m/>
    <n v="113"/>
    <x v="12"/>
    <n v="403495000"/>
    <n v="54908000"/>
    <n v="31731000"/>
    <n v="20399000"/>
    <n v="99009000"/>
    <n v="226209000"/>
    <n v="74.165766680240239"/>
    <n v="9.017766755522548E-2"/>
    <n v="6.2443776174750477E-2"/>
    <n v="3050046"/>
    <n v="344655198"/>
    <n v="1.5236139941381643"/>
    <n v="8.0801376484301013"/>
    <m/>
    <m/>
    <s v=""/>
    <m/>
    <m/>
    <m/>
    <s v="Effort commercial sur la deuxième partie de 2021 pour développer les ventes du Logiciel développé avec IBM (sur le foie et la prostate à partir de 2022). Licence pharmaceutique en Chine pour la distribution en direct des produits Guerbet en 2022"/>
    <m/>
    <n v="1712"/>
    <s v="p"/>
    <s v="FR000003252612012"/>
    <s v="FR0000032526"/>
    <n v="1"/>
    <x v="77"/>
    <m/>
    <m/>
    <m/>
  </r>
  <r>
    <m/>
    <m/>
    <m/>
    <m/>
    <m/>
    <x v="1"/>
    <n v="6.7916068961501708E-2"/>
    <n v="0.28680571830325752"/>
    <n v="0.40707729147266192"/>
    <n v="0.41394607333471956"/>
    <m/>
    <m/>
    <m/>
    <m/>
    <m/>
    <m/>
    <m/>
    <m/>
    <m/>
    <m/>
    <m/>
    <s v=""/>
    <m/>
    <m/>
    <m/>
    <s v="Croissance à venir sur la chirurgie interventionnelle (10% du CA en 2020) et sur les zones géographiques de l'APAC (Asie-Pacifique - 10% du CA). Filiale en Inde marché prometteur"/>
    <m/>
    <n v="1713"/>
    <s v="p"/>
    <s v="FR00000325261"/>
    <s v="FR0000032526"/>
    <n v="1"/>
    <x v="77"/>
    <m/>
    <m/>
    <m/>
  </r>
  <r>
    <m/>
    <m/>
    <m/>
    <m/>
    <n v="69"/>
    <x v="17"/>
    <n v="377834000"/>
    <n v="42670000"/>
    <n v="22551000"/>
    <n v="14427000"/>
    <n v="100039000"/>
    <n v="214798000"/>
    <n v="70.424511630316388"/>
    <n v="6.716542984571551E-2"/>
    <n v="4.5841625984239465E-2"/>
    <n v="3050046"/>
    <n v="210453174"/>
    <n v="0.97977250253726755"/>
    <n v="7.2765918443871573"/>
    <m/>
    <m/>
    <s v=""/>
    <m/>
    <m/>
    <m/>
    <s v="Générique du Dotarem aux États-Unis : volume 60 Meuros par an impact sur la marge en 2022, volumes contenus (l'arrivée du générique de GE aux États-Unis dès 2020 a été retardé à cause du Covid-19)"/>
    <m/>
    <n v="1714"/>
    <s v="p"/>
    <s v="FR000003252612011"/>
    <s v="FR0000032526"/>
    <n v="1"/>
    <x v="77"/>
    <m/>
    <m/>
    <m/>
  </r>
  <r>
    <m/>
    <m/>
    <m/>
    <m/>
    <m/>
    <x v="1"/>
    <n v="7.1629336971288815E-2"/>
    <n v="0.15230893869835271"/>
    <n v="1.0100721989482127"/>
    <n v="1.4535714285714287"/>
    <m/>
    <m/>
    <m/>
    <m/>
    <m/>
    <m/>
    <m/>
    <m/>
    <m/>
    <m/>
    <m/>
    <s v=""/>
    <m/>
    <m/>
    <m/>
    <s v="Impact de l'inflation en 2022, notamment l'iode acheté au Chili et au Japon, possible hausse des prix"/>
    <m/>
    <n v="1715"/>
    <s v="p"/>
    <s v="FR00000325261"/>
    <s v="FR0000032526"/>
    <n v="1"/>
    <x v="77"/>
    <m/>
    <m/>
    <m/>
  </r>
  <r>
    <m/>
    <m/>
    <m/>
    <m/>
    <n v="71"/>
    <x v="18"/>
    <n v="352579000"/>
    <n v="37030000"/>
    <n v="11219000"/>
    <n v="5880000"/>
    <n v="89680000"/>
    <n v="210516000"/>
    <n v="69.020598377860537"/>
    <n v="2.7931368637063216E-2"/>
    <n v="2.3918240083145678E-2"/>
    <n v="3050046"/>
    <n v="216553266"/>
    <n v="1.0286784187425184"/>
    <n v="8.2698694571968669"/>
    <m/>
    <m/>
    <s v=""/>
    <m/>
    <m/>
    <m/>
    <s v="40% de prescription de produits de contraste lors des examens médicaux. Croissance externe possible, une équipe en place"/>
    <m/>
    <n v="1716"/>
    <s v="p"/>
    <s v="FR000003252612010"/>
    <s v="FR0000032526"/>
    <n v="1"/>
    <x v="77"/>
    <m/>
    <m/>
    <m/>
  </r>
  <r>
    <m/>
    <m/>
    <m/>
    <m/>
    <m/>
    <x v="1"/>
    <m/>
    <m/>
    <m/>
    <m/>
    <m/>
    <m/>
    <m/>
    <m/>
    <m/>
    <m/>
    <m/>
    <m/>
    <m/>
    <m/>
    <m/>
    <s v=""/>
    <m/>
    <m/>
    <m/>
    <s v="En 2022, accord pour l'Elucirem (Gadopiclenol) de la FDA (États-Unis), en attente de l'EMA (Europe) début 2023. Croissance entre 2 et 4% de croissance grâce au microcathéters (Accurate) et la filiale en Chine et 14,4% de marge."/>
    <m/>
    <n v="1717"/>
    <s v="p"/>
    <s v="FR00000325261"/>
    <s v="FR0000032526"/>
    <n v="1"/>
    <x v="77"/>
    <m/>
    <m/>
    <m/>
  </r>
  <r>
    <m/>
    <m/>
    <m/>
    <m/>
    <s v="IPO en janvier 1986 à 5,7 euros"/>
    <x v="1"/>
    <m/>
    <m/>
    <m/>
    <m/>
    <m/>
    <m/>
    <m/>
    <m/>
    <m/>
    <m/>
    <m/>
    <m/>
    <m/>
    <m/>
    <m/>
    <s v=""/>
    <m/>
    <m/>
    <m/>
    <s v="Dépréciation d'Accurate et partenarait IBM = -119,6 M euros, d'où pertes d'exploitation, constitution de stocks pour le lancement d'Élucirem d'où BFR et endettement"/>
    <m/>
    <n v="1718"/>
    <s v="p"/>
    <s v="FR00000325261"/>
    <s v="FR0000032526"/>
    <n v="1"/>
    <x v="77"/>
    <m/>
    <m/>
    <m/>
  </r>
  <r>
    <m/>
    <m/>
    <m/>
    <m/>
    <m/>
    <x v="1"/>
    <m/>
    <m/>
    <m/>
    <m/>
    <m/>
    <m/>
    <m/>
    <m/>
    <m/>
    <m/>
    <m/>
    <m/>
    <m/>
    <m/>
    <m/>
    <s v=""/>
    <m/>
    <m/>
    <m/>
    <s v="En 2023, acquisition d'Intrasense. Logiciel IA pour le diagnostic pour 22 Me (4 Me de CA pas dette suite AK) présent dans 40 pays"/>
    <m/>
    <n v="1719"/>
    <s v="p"/>
    <s v="FR00000325261"/>
    <s v="FR0000032526"/>
    <n v="1"/>
    <x v="77"/>
    <m/>
    <m/>
    <m/>
  </r>
  <r>
    <m/>
    <m/>
    <m/>
    <m/>
    <m/>
    <x v="1"/>
    <m/>
    <m/>
    <m/>
    <m/>
    <m/>
    <m/>
    <m/>
    <m/>
    <m/>
    <m/>
    <m/>
    <m/>
    <m/>
    <m/>
    <m/>
    <s v=""/>
    <m/>
    <m/>
    <m/>
    <s v="Elucirem, après l'accord de la FDA fin 2022, l'accord en Europe est attendu au second semestre 2022. La partie micro cathéters sera vendu (acheté 58 M euros en 2018) nécessite des investissements et pas cœur de métier. Développement de l'IA avec Intrasense entre autres "/>
    <m/>
    <n v="1720"/>
    <s v="p"/>
    <s v="FR00000325261"/>
    <s v="FR0000032526"/>
    <n v="1"/>
    <x v="77"/>
    <m/>
    <m/>
    <m/>
  </r>
  <r>
    <m/>
    <m/>
    <m/>
    <m/>
    <m/>
    <x v="1"/>
    <m/>
    <m/>
    <m/>
    <m/>
    <m/>
    <m/>
    <m/>
    <m/>
    <m/>
    <m/>
    <m/>
    <m/>
    <m/>
    <m/>
    <m/>
    <s v=""/>
    <m/>
    <m/>
    <m/>
    <s v="Chiffre d'affaires attendu en hausse de 5%, le développement a pris du retard"/>
    <m/>
    <n v="1721"/>
    <s v="p"/>
    <s v="FR00000325261"/>
    <s v="FR0000032526"/>
    <n v="1"/>
    <x v="77"/>
    <m/>
    <m/>
    <m/>
  </r>
  <r>
    <m/>
    <m/>
    <m/>
    <m/>
    <m/>
    <x v="1"/>
    <m/>
    <m/>
    <m/>
    <m/>
    <m/>
    <m/>
    <m/>
    <m/>
    <m/>
    <m/>
    <m/>
    <m/>
    <m/>
    <m/>
    <m/>
    <s v=""/>
    <m/>
    <m/>
    <m/>
    <s v="Pas de minoritaires"/>
    <m/>
    <n v="1722"/>
    <s v="p"/>
    <s v="FR00000325261"/>
    <s v="FR0000032526"/>
    <n v="1"/>
    <x v="77"/>
    <m/>
    <m/>
    <m/>
  </r>
  <r>
    <m/>
    <m/>
    <m/>
    <m/>
    <m/>
    <x v="1"/>
    <m/>
    <m/>
    <m/>
    <m/>
    <m/>
    <m/>
    <m/>
    <m/>
    <m/>
    <m/>
    <m/>
    <m/>
    <m/>
    <m/>
    <m/>
    <s v=""/>
    <m/>
    <m/>
    <m/>
    <s v="CAC : Deloitte et Crowe Horvath International"/>
    <m/>
    <n v="1723"/>
    <s v="p"/>
    <s v="FR00000325261"/>
    <s v="FR0000032526"/>
    <n v="1"/>
    <x v="77"/>
    <m/>
    <m/>
    <m/>
  </r>
  <r>
    <m/>
    <m/>
    <m/>
    <m/>
    <m/>
    <x v="1"/>
    <m/>
    <m/>
    <m/>
    <m/>
    <m/>
    <m/>
    <m/>
    <m/>
    <m/>
    <m/>
    <m/>
    <m/>
    <m/>
    <m/>
    <m/>
    <s v=""/>
    <m/>
    <m/>
    <m/>
    <s v="Pay out ratio : 33 % en 2022 retour à 50% en 2021 - non versé en 2020 - 24% les années antérieures"/>
    <m/>
    <n v="1724"/>
    <s v="p"/>
    <s v="FR00000325261"/>
    <s v="FR0000032526"/>
    <n v="1"/>
    <x v="77"/>
    <m/>
    <m/>
    <m/>
  </r>
  <r>
    <m/>
    <m/>
    <m/>
    <m/>
    <m/>
    <x v="1"/>
    <m/>
    <m/>
    <m/>
    <m/>
    <m/>
    <m/>
    <m/>
    <m/>
    <m/>
    <m/>
    <m/>
    <m/>
    <m/>
    <m/>
    <m/>
    <s v=""/>
    <m/>
    <m/>
    <m/>
    <m/>
    <m/>
    <n v="1725"/>
    <s v="p"/>
    <s v="FR00000325261"/>
    <s v="FR0000032526"/>
    <n v="1"/>
    <x v="77"/>
    <m/>
    <m/>
    <m/>
  </r>
  <r>
    <m/>
    <m/>
    <m/>
    <m/>
    <m/>
    <x v="1"/>
    <m/>
    <m/>
    <m/>
    <m/>
    <m/>
    <m/>
    <m/>
    <m/>
    <m/>
    <m/>
    <m/>
    <m/>
    <m/>
    <m/>
    <m/>
    <s v=""/>
    <m/>
    <m/>
    <m/>
    <m/>
    <m/>
    <n v="1726"/>
    <s v="p"/>
    <s v="FR00000325261"/>
    <s v="FR0000032526"/>
    <n v="1"/>
    <x v="77"/>
    <m/>
    <m/>
    <m/>
  </r>
  <r>
    <m/>
    <m/>
    <m/>
    <m/>
    <m/>
    <x v="1"/>
    <m/>
    <m/>
    <m/>
    <m/>
    <m/>
    <m/>
    <m/>
    <m/>
    <m/>
    <m/>
    <m/>
    <m/>
    <m/>
    <m/>
    <m/>
    <s v=""/>
    <m/>
    <m/>
    <m/>
    <m/>
    <m/>
    <n v="1727"/>
    <s v="p"/>
    <s v="FR00000325261"/>
    <s v="FR0000032526"/>
    <n v="1"/>
    <x v="77"/>
    <m/>
    <m/>
    <m/>
  </r>
  <r>
    <m/>
    <m/>
    <m/>
    <m/>
    <m/>
    <x v="1"/>
    <m/>
    <m/>
    <m/>
    <m/>
    <m/>
    <m/>
    <m/>
    <m/>
    <m/>
    <m/>
    <m/>
    <m/>
    <m/>
    <m/>
    <m/>
    <s v=""/>
    <m/>
    <m/>
    <m/>
    <m/>
    <m/>
    <n v="1728"/>
    <s v="p"/>
    <s v="FR00000325261"/>
    <s v="FR0000032526"/>
    <n v="1"/>
    <x v="77"/>
    <m/>
    <m/>
    <m/>
  </r>
  <r>
    <m/>
    <m/>
    <m/>
    <m/>
    <m/>
    <x v="1"/>
    <m/>
    <m/>
    <m/>
    <m/>
    <m/>
    <m/>
    <m/>
    <m/>
    <m/>
    <m/>
    <m/>
    <m/>
    <m/>
    <m/>
    <m/>
    <s v=""/>
    <m/>
    <m/>
    <m/>
    <m/>
    <m/>
    <n v="1729"/>
    <s v="p"/>
    <s v="FR00000325261"/>
    <s v="FR0000032526"/>
    <n v="1"/>
    <x v="77"/>
    <m/>
    <m/>
    <m/>
  </r>
  <r>
    <s v="Philips"/>
    <s v="Électronique"/>
    <s v="Pays-Bas"/>
    <s v="Euro"/>
    <n v="36.85"/>
    <x v="3"/>
    <m/>
    <m/>
    <m/>
    <m/>
    <m/>
    <m/>
    <m/>
    <m/>
    <m/>
    <m/>
    <m/>
    <m/>
    <m/>
    <m/>
    <m/>
    <s v=""/>
    <m/>
    <m/>
    <m/>
    <s v="Philips est fondé en 1891. C'est une société de technologie spécialisé dans l'électroménager, l’équipement médical et l’éclairage."/>
    <m/>
    <n v="1730"/>
    <e v="#N/A"/>
    <s v="Philips12021"/>
    <s v="Philips"/>
    <n v="1"/>
    <x v="78"/>
    <m/>
    <m/>
    <m/>
  </r>
  <r>
    <m/>
    <m/>
    <m/>
    <m/>
    <m/>
    <x v="1"/>
    <m/>
    <m/>
    <m/>
    <m/>
    <m/>
    <m/>
    <m/>
    <m/>
    <m/>
    <m/>
    <m/>
    <m/>
    <m/>
    <m/>
    <m/>
    <s v=""/>
    <m/>
    <m/>
    <m/>
    <s v="Les dirigeants sont Jeroen van der Veer (Directeur), Frans van Houten (CEO)"/>
    <m/>
    <n v="1731"/>
    <e v="#N/A"/>
    <s v="1"/>
    <m/>
    <n v="1"/>
    <x v="78"/>
    <m/>
    <m/>
    <m/>
  </r>
  <r>
    <m/>
    <m/>
    <m/>
    <m/>
    <n v="44"/>
    <x v="4"/>
    <n v="19535000000"/>
    <n v="2570000000"/>
    <n v="1542000000"/>
    <n v="1195000000"/>
    <n v="6934000000"/>
    <n v="11870000000"/>
    <n v="13.028875578632039"/>
    <n v="0.10067396798652065"/>
    <n v="5.2482450542437782E-2"/>
    <n v="911053293"/>
    <n v="40086344892"/>
    <n v="3.3771141442291492"/>
    <n v="18.295854043579766"/>
    <m/>
    <m/>
    <s v=""/>
    <m/>
    <m/>
    <m/>
    <s v="En 2014, Philips abandonne totalement son activité dans les téléviseur et se scinde en 2 entités, une pour l'éclairage (Signify) et la santé / lifestyle (Philips)"/>
    <m/>
    <n v="1732"/>
    <e v="#N/A"/>
    <s v="12020"/>
    <m/>
    <n v="1"/>
    <x v="78"/>
    <m/>
    <m/>
    <m/>
  </r>
  <r>
    <m/>
    <m/>
    <m/>
    <m/>
    <m/>
    <x v="1"/>
    <n v="2.7204599117134354E-3"/>
    <n v="2.7311744049940412E-3"/>
    <n v="-6.2043795620437936E-2"/>
    <n v="1.8755328218243772E-2"/>
    <m/>
    <m/>
    <m/>
    <m/>
    <m/>
    <m/>
    <m/>
    <m/>
    <m/>
    <m/>
    <m/>
    <s v=""/>
    <m/>
    <m/>
    <m/>
    <s v="3e trimestre 2021 Philips vendra sa branche appareil electroménager au groupe asiatique Hillhouse Capital pour 3,7Mds + accord de license soit un total de 4,4Mds. Afin de se focaliser sur les technologies de santé."/>
    <m/>
    <n v="1733"/>
    <e v="#N/A"/>
    <s v="1"/>
    <m/>
    <n v="1"/>
    <x v="78"/>
    <m/>
    <m/>
    <m/>
  </r>
  <r>
    <m/>
    <m/>
    <m/>
    <m/>
    <n v="43.9"/>
    <x v="5"/>
    <n v="19482000000"/>
    <n v="2563000000"/>
    <n v="1644000000"/>
    <n v="1173000000"/>
    <n v="5447000000"/>
    <n v="12597000000"/>
    <n v="14.047631630306213"/>
    <n v="9.3117408906882596E-2"/>
    <n v="5.8310795832409668E-2"/>
    <n v="896734790"/>
    <n v="39366657281"/>
    <n v="3.1250819465745812"/>
    <n v="17.484844822863831"/>
    <m/>
    <m/>
    <s v=""/>
    <m/>
    <m/>
    <m/>
    <s v="Répartition de l'activité : Diagnostiques et traitements 41,9%, Soin connecté 28,5%, Santé personnel 27,6%"/>
    <m/>
    <n v="1734"/>
    <e v="#N/A"/>
    <s v="12019"/>
    <m/>
    <n v="1"/>
    <x v="78"/>
    <m/>
    <m/>
    <m/>
  </r>
  <r>
    <m/>
    <m/>
    <m/>
    <m/>
    <m/>
    <x v="1"/>
    <n v="7.5106230340489022E-2"/>
    <n v="8.3262890955198676E-2"/>
    <n v="-4.3630017452007008E-2"/>
    <n v="6.9279854147675568E-2"/>
    <m/>
    <m/>
    <m/>
    <m/>
    <m/>
    <m/>
    <m/>
    <m/>
    <m/>
    <m/>
    <m/>
    <s v=""/>
    <m/>
    <m/>
    <m/>
    <s v="Répartition géographique : Europe de l'Ouest 23,6%, Amérique du nord 35,6%, Autres marchés matures 9,5%, Marchés en développement (Europe central, Russie, Asie centrale, Chine, Amérique Latine, Moyen-orient...) 31,3%"/>
    <m/>
    <n v="1735"/>
    <e v="#N/A"/>
    <s v="1"/>
    <m/>
    <n v="1"/>
    <x v="78"/>
    <m/>
    <m/>
    <m/>
  </r>
  <r>
    <m/>
    <m/>
    <m/>
    <m/>
    <n v="30.7"/>
    <x v="6"/>
    <n v="18121000000"/>
    <n v="2366000000"/>
    <n v="1719000000"/>
    <n v="1097000000"/>
    <n v="4821000000"/>
    <n v="12088000000"/>
    <n v="13.051231990359295"/>
    <n v="9.0751158173395102E-2"/>
    <n v="6.5063575610621566E-2"/>
    <n v="926196087"/>
    <n v="28434219870.899998"/>
    <n v="2.352268354640966"/>
    <n v="14.055460638588334"/>
    <m/>
    <m/>
    <s v=""/>
    <m/>
    <m/>
    <m/>
    <s v="Concurrence : Johnson &amp; Johnson, Medtronic, Siemens Healthineers, Roche, Abbot laboratories, Stryker."/>
    <m/>
    <n v="1736"/>
    <e v="#N/A"/>
    <s v="12018"/>
    <m/>
    <n v="1"/>
    <x v="78"/>
    <m/>
    <m/>
    <m/>
  </r>
  <r>
    <m/>
    <m/>
    <m/>
    <m/>
    <m/>
    <x v="1"/>
    <n v="1.9178852643419564E-2"/>
    <n v="9.8931723176962416E-2"/>
    <n v="0.1331575477916942"/>
    <n v="-0.41336898395721922"/>
    <m/>
    <m/>
    <m/>
    <m/>
    <m/>
    <m/>
    <m/>
    <m/>
    <m/>
    <m/>
    <m/>
    <s v=""/>
    <m/>
    <m/>
    <m/>
    <s v="Actionnaires : BlackRock, UBS group…"/>
    <m/>
    <n v="1737"/>
    <e v="#N/A"/>
    <s v="1"/>
    <m/>
    <n v="1"/>
    <x v="78"/>
    <m/>
    <m/>
    <m/>
  </r>
  <r>
    <m/>
    <m/>
    <m/>
    <m/>
    <n v="31.5"/>
    <x v="7"/>
    <n v="17780000000"/>
    <n v="2153000000"/>
    <n v="1517000000"/>
    <n v="1870000000"/>
    <n v="4715000000"/>
    <n v="11099000000"/>
    <n v="11.796039448561906"/>
    <n v="0.16848364717542122"/>
    <n v="6.1393701783230052E-2"/>
    <n v="940909027"/>
    <n v="29638634350.5"/>
    <n v="2.6703878142625461"/>
    <n v="15.956170158151417"/>
    <m/>
    <m/>
    <s v=""/>
    <m/>
    <m/>
    <m/>
    <s v="Effectif : 77 343 personnes"/>
    <m/>
    <n v="1738"/>
    <e v="#N/A"/>
    <s v="12017"/>
    <m/>
    <n v="1"/>
    <x v="78"/>
    <m/>
    <m/>
    <m/>
  </r>
  <r>
    <m/>
    <m/>
    <m/>
    <m/>
    <m/>
    <x v="1"/>
    <n v="2.0548731488922112E-2"/>
    <n v="0.12077043206663207"/>
    <n v="3.6202185792349795E-2"/>
    <n v="0.25419181757209919"/>
    <m/>
    <m/>
    <m/>
    <m/>
    <m/>
    <m/>
    <m/>
    <m/>
    <m/>
    <m/>
    <m/>
    <s v=""/>
    <m/>
    <m/>
    <m/>
    <s v="CA par employé : 260 K euros"/>
    <m/>
    <n v="1739"/>
    <e v="#N/A"/>
    <s v="1"/>
    <m/>
    <n v="1"/>
    <x v="78"/>
    <m/>
    <m/>
    <m/>
  </r>
  <r>
    <m/>
    <m/>
    <m/>
    <m/>
    <n v="29"/>
    <x v="8"/>
    <n v="17422000000"/>
    <n v="1921000000"/>
    <n v="1464000000"/>
    <n v="1491000000"/>
    <n v="5606000000"/>
    <n v="12546000000"/>
    <n v="13.495476053100639"/>
    <n v="0.11884265901482544"/>
    <n v="5.1617452622300573E-2"/>
    <n v="929644864"/>
    <n v="26959701056"/>
    <n v="2.1488682493224931"/>
    <n v="16.952473220197813"/>
    <m/>
    <m/>
    <s v=""/>
    <m/>
    <m/>
    <m/>
    <s v="CAC : Ernst &amp; Young"/>
    <m/>
    <n v="1740"/>
    <e v="#N/A"/>
    <s v="12016"/>
    <m/>
    <n v="1"/>
    <x v="78"/>
    <m/>
    <m/>
    <m/>
  </r>
  <r>
    <m/>
    <m/>
    <m/>
    <m/>
    <m/>
    <x v="1"/>
    <m/>
    <m/>
    <m/>
    <m/>
    <m/>
    <m/>
    <m/>
    <m/>
    <m/>
    <m/>
    <m/>
    <m/>
    <m/>
    <m/>
    <m/>
    <s v=""/>
    <m/>
    <m/>
    <m/>
    <s v="Minoritaire : &lt;6% "/>
    <m/>
    <n v="1741"/>
    <e v="#N/A"/>
    <s v="1"/>
    <m/>
    <n v="1"/>
    <x v="78"/>
    <m/>
    <m/>
    <m/>
  </r>
  <r>
    <m/>
    <m/>
    <m/>
    <m/>
    <m/>
    <x v="1"/>
    <m/>
    <m/>
    <m/>
    <m/>
    <m/>
    <m/>
    <m/>
    <m/>
    <m/>
    <m/>
    <m/>
    <m/>
    <m/>
    <m/>
    <m/>
    <s v=""/>
    <m/>
    <m/>
    <m/>
    <s v="Pay-out ratio : 40% à 50%"/>
    <m/>
    <n v="1742"/>
    <e v="#N/A"/>
    <s v="1"/>
    <m/>
    <n v="1"/>
    <x v="78"/>
    <m/>
    <m/>
    <m/>
  </r>
  <r>
    <m/>
    <m/>
    <m/>
    <m/>
    <m/>
    <x v="1"/>
    <m/>
    <m/>
    <m/>
    <m/>
    <m/>
    <m/>
    <m/>
    <m/>
    <m/>
    <m/>
    <m/>
    <m/>
    <m/>
    <m/>
    <m/>
    <s v=""/>
    <m/>
    <m/>
    <m/>
    <m/>
    <m/>
    <n v="1743"/>
    <e v="#N/A"/>
    <s v="1"/>
    <m/>
    <n v="1"/>
    <x v="78"/>
    <m/>
    <m/>
    <m/>
  </r>
  <r>
    <m/>
    <m/>
    <m/>
    <m/>
    <m/>
    <x v="1"/>
    <m/>
    <m/>
    <m/>
    <m/>
    <m/>
    <m/>
    <m/>
    <m/>
    <m/>
    <m/>
    <m/>
    <m/>
    <m/>
    <m/>
    <m/>
    <s v=""/>
    <m/>
    <m/>
    <m/>
    <m/>
    <m/>
    <n v="1744"/>
    <e v="#N/A"/>
    <s v="1"/>
    <m/>
    <n v="1"/>
    <x v="78"/>
    <m/>
    <m/>
    <m/>
  </r>
  <r>
    <m/>
    <m/>
    <m/>
    <m/>
    <m/>
    <x v="1"/>
    <m/>
    <m/>
    <m/>
    <m/>
    <m/>
    <m/>
    <m/>
    <m/>
    <m/>
    <m/>
    <m/>
    <m/>
    <m/>
    <m/>
    <m/>
    <s v=""/>
    <m/>
    <m/>
    <m/>
    <m/>
    <m/>
    <n v="1745"/>
    <e v="#N/A"/>
    <s v="1"/>
    <m/>
    <n v="1"/>
    <x v="78"/>
    <m/>
    <m/>
    <m/>
  </r>
  <r>
    <s v="Siemens Healthineers"/>
    <s v="Appareils médicaux"/>
    <s v="Allemagne"/>
    <s v="Euro"/>
    <n v="45"/>
    <x v="0"/>
    <n v="19800000000"/>
    <n v="3850000000"/>
    <n v="3200000000"/>
    <n v="2200000000"/>
    <n v="12000000000"/>
    <n v="19000000000"/>
    <n v="16.843971631205672"/>
    <n v="0.12222222222222222"/>
    <n v="0.08"/>
    <n v="1128000000"/>
    <n v="50760000000"/>
    <n v="2.6715789473684208"/>
    <n v="16.301298701298702"/>
    <s v="Investment Grade"/>
    <n v="69500"/>
    <n v="284892.08633093524"/>
    <m/>
    <s v="E = 1"/>
    <m/>
    <s v="Société allemande basée à Erlangen créée en 1900, introduite en bourse en 2018 par le groupe Siemens actionnaires à 75% (contre 85% après l'IPO en 2018 et après avoir retiré 1 Md euros et 75% après l'acquisition de Varian (États-Unis, oncologie) et les deux augmentations de capital. Qatar au capital "/>
    <m/>
    <n v="1746"/>
    <n v="0"/>
    <s v="DE000SHL100612023"/>
    <s v="DE000SHL1006"/>
    <n v="1"/>
    <x v="79"/>
    <m/>
    <m/>
    <m/>
  </r>
  <r>
    <m/>
    <m/>
    <m/>
    <m/>
    <m/>
    <x v="1"/>
    <n v="9.3425356825524997E-3"/>
    <n v="-3.1007751937984662E-2"/>
    <n v="-4.0434903688601365E-2"/>
    <n v="-0.11290322580645162"/>
    <m/>
    <m/>
    <m/>
    <m/>
    <m/>
    <m/>
    <m/>
    <m/>
    <m/>
    <m/>
    <m/>
    <s v=""/>
    <m/>
    <s v="S = 2"/>
    <m/>
    <s v="Leader mondial de l'équipement médical (diagnostic et traitement) : scanner, IRM, radiothérapie présent en Europe, États-Unis et Asie bien réparti (poids important de l'Allemagne et Chine). Leader dans la cardiologie et la neurologie"/>
    <m/>
    <n v="1747"/>
    <n v="0"/>
    <s v="DE000SHL10061"/>
    <s v="DE000SHL1006"/>
    <n v="1"/>
    <x v="79"/>
    <m/>
    <m/>
    <m/>
  </r>
  <r>
    <m/>
    <m/>
    <m/>
    <m/>
    <n v="46.7"/>
    <x v="2"/>
    <n v="19616730000"/>
    <n v="3973200000.0000005"/>
    <n v="3334844100.0000005"/>
    <n v="2480000000"/>
    <n v="12000000000"/>
    <n v="18000000000"/>
    <n v="15.957446808510639"/>
    <n v="0.15195147356166902"/>
    <n v="8.8626663654725227E-2"/>
    <n v="1128000000"/>
    <n v="52677600000"/>
    <n v="2.9265333333333334"/>
    <n v="16.278465720326185"/>
    <m/>
    <n v="66100"/>
    <n v="296773.52496217849"/>
    <m/>
    <s v="G = 2"/>
    <m/>
    <s v="CEO : Dr Bernhard Montag depuis 2015 (né en 1969, toute sa carrière chez Siemens HL et 50 000 titres détenus). Chairman :  Ralf Thomas (né en 1961) depuis 2019. Est chez Siemens depuis 1995. Nombreux Dr au Comex, Jochen Shmitz (né en 1966) - CFO depuis 2017 et chez Siemens depuis 2004"/>
    <m/>
    <n v="1748"/>
    <n v="0"/>
    <s v="DE000SHL100612022"/>
    <s v="DE000SHL1006"/>
    <n v="1"/>
    <x v="79"/>
    <m/>
    <m/>
    <m/>
  </r>
  <r>
    <m/>
    <m/>
    <m/>
    <m/>
    <m/>
    <x v="1"/>
    <n v="9.000000000000008E-2"/>
    <n v="0.10000000000000009"/>
    <n v="6.1376225334182299E-2"/>
    <n v="0.42038946162657509"/>
    <m/>
    <m/>
    <m/>
    <m/>
    <m/>
    <m/>
    <m/>
    <m/>
    <m/>
    <m/>
    <m/>
    <s v=""/>
    <m/>
    <m/>
    <m/>
    <s v="Comptes arrêtés au 30 septembre"/>
    <m/>
    <n v="1749"/>
    <n v="0"/>
    <s v="DE000SHL10061"/>
    <s v="DE000SHL1006"/>
    <n v="1"/>
    <x v="79"/>
    <m/>
    <m/>
    <m/>
  </r>
  <r>
    <m/>
    <m/>
    <m/>
    <m/>
    <n v="66.040000000000006"/>
    <x v="3"/>
    <n v="17997000000"/>
    <n v="3612000000"/>
    <n v="3142000000"/>
    <n v="1746000000"/>
    <n v="11900000000"/>
    <n v="16321000000"/>
    <n v="14.468971631205674"/>
    <n v="0.13970235237638023"/>
    <n v="0.15712094945992799"/>
    <n v="1128000000"/>
    <n v="74493120000"/>
    <n v="4.5642497395992896"/>
    <n v="23.918361018826136"/>
    <m/>
    <m/>
    <s v=""/>
    <m/>
    <m/>
    <m/>
    <s v="R&amp;D : 10% du CA. 9000 ingénieurs sur 66 100 salriés"/>
    <m/>
    <n v="1750"/>
    <n v="0"/>
    <s v="DE000SHL100612021"/>
    <s v="DE000SHL1006"/>
    <n v="1"/>
    <x v="79"/>
    <m/>
    <m/>
    <m/>
  </r>
  <r>
    <m/>
    <m/>
    <m/>
    <m/>
    <m/>
    <x v="1"/>
    <n v="0.24460580912863072"/>
    <n v="0.29184549356223166"/>
    <n v="0.39768683274021344"/>
    <n v="0.23742026931254423"/>
    <m/>
    <m/>
    <m/>
    <m/>
    <m/>
    <m/>
    <m/>
    <m/>
    <m/>
    <m/>
    <m/>
    <s v=""/>
    <m/>
    <m/>
    <m/>
    <s v="Rentabilité élevée en lien avec la valeur. Elle est logiquement plus élevée en thérapie. L'excédent de trésorerie nette (après investissement et dividendes est positif de 400 M euros) chaque année avant l'acquisition de Varian"/>
    <m/>
    <n v="1751"/>
    <n v="0"/>
    <s v="DE000SHL10061"/>
    <s v="DE000SHL1006"/>
    <n v="1"/>
    <x v="79"/>
    <m/>
    <m/>
    <m/>
  </r>
  <r>
    <m/>
    <m/>
    <m/>
    <m/>
    <n v="41"/>
    <x v="4"/>
    <n v="14460000000"/>
    <n v="2796000000"/>
    <n v="2248000000"/>
    <n v="1411000000"/>
    <n v="2500000000"/>
    <n v="12498000000"/>
    <n v="11.626046511627907"/>
    <n v="0.14443648275156107"/>
    <n v="0.1280279444149138"/>
    <n v="1075000000"/>
    <n v="44075000000"/>
    <n v="3.5265642502800447"/>
    <n v="16.65772532188841"/>
    <m/>
    <m/>
    <s v=""/>
    <m/>
    <m/>
    <m/>
    <s v="Création de valeur par an : 600 M euros. Réévaluation des fonds propres à l'IPO en 2018"/>
    <m/>
    <n v="1752"/>
    <n v="0"/>
    <s v="DE000SHL100612020"/>
    <s v="DE000SHL1006"/>
    <n v="1"/>
    <x v="79"/>
    <m/>
    <m/>
    <m/>
  </r>
  <r>
    <m/>
    <m/>
    <m/>
    <m/>
    <m/>
    <x v="1"/>
    <n v="-3.9950406392065263E-3"/>
    <n v="-4.2465753424657526E-2"/>
    <n v="-2.9360967184801412E-2"/>
    <n v="-9.9553286534779795E-2"/>
    <m/>
    <m/>
    <m/>
    <m/>
    <m/>
    <m/>
    <m/>
    <m/>
    <m/>
    <m/>
    <m/>
    <s v=""/>
    <m/>
    <m/>
    <m/>
    <s v="Acquisition de Varian aux États-Unis en 2020 à 177,5 dollars par titre soit 16,4 Md de dollars (13,4 Md euros - 50 fois le résultat net) spécialiste mondial de l'oncologie et du traitement par radiothérapie (fabrique ces machines)"/>
    <m/>
    <n v="1753"/>
    <n v="0"/>
    <s v="DE000SHL10061"/>
    <s v="DE000SHL1006"/>
    <n v="1"/>
    <x v="79"/>
    <m/>
    <m/>
    <m/>
  </r>
  <r>
    <m/>
    <m/>
    <m/>
    <m/>
    <n v="44"/>
    <x v="5"/>
    <n v="14518000000"/>
    <n v="2920000000"/>
    <n v="2316000000"/>
    <n v="1567000000"/>
    <n v="3400000000"/>
    <n v="9769000000"/>
    <n v="9.7690000000000001"/>
    <n v="0.18103049907578558"/>
    <n v="0.15162360335195529"/>
    <n v="1000000000"/>
    <n v="44000000000"/>
    <n v="4.5040434026000611"/>
    <n v="16.232876712328768"/>
    <m/>
    <m/>
    <s v=""/>
    <m/>
    <m/>
    <m/>
    <s v="Le marché de l'oncologie est estimé à 25 Millions de patients à horizon 2030 contre 14 Millions en 2010 et une valeur de marché estimé à 20 Md $ (l'ensemble Siemens et Varian aurait 50% de part de marché)"/>
    <m/>
    <n v="1754"/>
    <n v="0"/>
    <s v="DE000SHL100612019"/>
    <s v="DE000SHL1006"/>
    <n v="1"/>
    <x v="79"/>
    <m/>
    <m/>
    <m/>
  </r>
  <r>
    <m/>
    <m/>
    <m/>
    <m/>
    <m/>
    <x v="1"/>
    <n v="8.1093156601385052E-2"/>
    <n v="0.16893514811849486"/>
    <n v="0.15568862275449091"/>
    <n v="0.22040498442367595"/>
    <m/>
    <m/>
    <m/>
    <m/>
    <m/>
    <m/>
    <m/>
    <m/>
    <m/>
    <m/>
    <m/>
    <s v=""/>
    <m/>
    <m/>
    <m/>
    <s v="Financement avec un crédit relais de 14 Md d'euros apporté par Siemens et ensuite une augmentation de capital et un crédit de 7-8 Md euros."/>
    <m/>
    <n v="1755"/>
    <n v="0"/>
    <s v="DE000SHL10061"/>
    <s v="DE000SHL1006"/>
    <n v="1"/>
    <x v="79"/>
    <m/>
    <m/>
    <m/>
  </r>
  <r>
    <m/>
    <m/>
    <m/>
    <m/>
    <n v="35"/>
    <x v="6"/>
    <n v="13429000000"/>
    <n v="2498000000"/>
    <n v="2004000000"/>
    <n v="1284000000"/>
    <n v="2800000000"/>
    <n v="8656000000"/>
    <n v="8.6560000000000006"/>
    <n v="0.39703153988868273"/>
    <n v="0.15440723238134374"/>
    <n v="1000000000"/>
    <n v="35000000000"/>
    <n v="4.0434380776340113"/>
    <n v="15.132105684547637"/>
    <m/>
    <m/>
    <s v=""/>
    <m/>
    <m/>
    <m/>
    <s v="Attente du feu vert des actionnaires de Varian (le conseil d'administration est d'accord) et des autorités de tutelle. La transaction pourrait se finaliser au premier semestre 2021 "/>
    <m/>
    <n v="1756"/>
    <n v="0"/>
    <s v="DE000SHL100612018"/>
    <s v="DE000SHL1006"/>
    <n v="1"/>
    <x v="79"/>
    <m/>
    <m/>
    <m/>
  </r>
  <r>
    <m/>
    <m/>
    <m/>
    <m/>
    <m/>
    <x v="1"/>
    <n v="-2.6601913598144344E-2"/>
    <m/>
    <n v="-1.9569471624266144E-2"/>
    <n v="-0.10021023125437978"/>
    <m/>
    <m/>
    <m/>
    <m/>
    <m/>
    <m/>
    <m/>
    <m/>
    <m/>
    <m/>
    <m/>
    <s v=""/>
    <m/>
    <m/>
    <m/>
    <s v="Augmentation de capital à 36,4 euros le 2/09/20 avec 75 Millions de titres soit 2,75 Md euros auprès d'investisseurs institutionnels. Siemens passe actionnaire à 79%. Possible autre augmentation de capital dans le cadre de l'acquisition de Varian"/>
    <m/>
    <n v="1757"/>
    <n v="0"/>
    <s v="DE000SHL10061"/>
    <s v="DE000SHL1006"/>
    <n v="1"/>
    <x v="79"/>
    <m/>
    <m/>
    <m/>
  </r>
  <r>
    <m/>
    <m/>
    <m/>
    <m/>
    <m/>
    <x v="7"/>
    <n v="13796000000"/>
    <m/>
    <n v="2044000000"/>
    <n v="1427000000"/>
    <n v="6500000000"/>
    <n v="3234000000"/>
    <m/>
    <n v="0.60109519797809607"/>
    <n v="0.64574557708508851"/>
    <m/>
    <m/>
    <m/>
    <m/>
    <m/>
    <m/>
    <s v=""/>
    <m/>
    <m/>
    <m/>
    <s v="En 2021, chiffre d'affaires attendu en hausse de 10-12% avec un bénéfice (hors Varian) proche de 1,9 Md euros"/>
    <m/>
    <n v="1758"/>
    <n v="0"/>
    <s v="DE000SHL100612017"/>
    <s v="DE000SHL1006"/>
    <n v="1"/>
    <x v="79"/>
    <m/>
    <m/>
    <m/>
  </r>
  <r>
    <m/>
    <m/>
    <m/>
    <m/>
    <m/>
    <x v="1"/>
    <n v="1.838045323687898E-2"/>
    <m/>
    <n v="6.5693430656934337E-2"/>
    <n v="8.8482074752097573E-2"/>
    <m/>
    <m/>
    <m/>
    <m/>
    <m/>
    <m/>
    <m/>
    <m/>
    <m/>
    <m/>
    <m/>
    <s v=""/>
    <m/>
    <m/>
    <m/>
    <s v="En 2021, augmentation de capital de 2,3 Md euros à 44,1 euros le 25/03/2021 soit 53 millions d'actions nouvelles. Pour l'acquisition de Varian, 5 Md euros levée et donc 9 Md euros d'endettement en plus. Siemens détient un peu plus de 75% du capital de Siemens Healthineers"/>
    <m/>
    <n v="1759"/>
    <n v="0"/>
    <s v="DE000SHL10061"/>
    <s v="DE000SHL1006"/>
    <n v="1"/>
    <x v="79"/>
    <m/>
    <m/>
    <m/>
  </r>
  <r>
    <m/>
    <m/>
    <m/>
    <m/>
    <m/>
    <x v="8"/>
    <n v="13547000000"/>
    <m/>
    <n v="1918000000"/>
    <n v="1311000000"/>
    <m/>
    <n v="2374000000"/>
    <m/>
    <n v="0.35538086202222824"/>
    <m/>
    <m/>
    <m/>
    <m/>
    <m/>
    <m/>
    <m/>
    <s v=""/>
    <m/>
    <m/>
    <m/>
    <s v="En 2021, Varian consolidé sur deux trimestres (1 avril - 30 septembre, clôture 30 septembre) et activité gonflé par les tests antigènes"/>
    <m/>
    <n v="1760"/>
    <n v="0"/>
    <s v="DE000SHL100612016"/>
    <s v="DE000SHL1006"/>
    <n v="1"/>
    <x v="79"/>
    <m/>
    <m/>
    <m/>
  </r>
  <r>
    <m/>
    <m/>
    <m/>
    <m/>
    <m/>
    <x v="1"/>
    <n v="4.7232529375386578E-2"/>
    <m/>
    <n v="2.2388059701492491E-2"/>
    <n v="2.6624902114330551E-2"/>
    <m/>
    <m/>
    <m/>
    <m/>
    <m/>
    <m/>
    <m/>
    <m/>
    <m/>
    <m/>
    <m/>
    <s v=""/>
    <m/>
    <m/>
    <m/>
    <s v="En 2022, Varian consolidé sur 12 mois (soit 3,1 Md euros et marge d'EBIt à 15% en progrès) et test toujours important avec Omicron. EPS revu entre 2,18 et 2,3 euros (contre 2,08 et 2,2 euros)"/>
    <m/>
    <n v="1761"/>
    <n v="0"/>
    <s v="DE000SHL10061"/>
    <s v="DE000SHL1006"/>
    <n v="1"/>
    <x v="79"/>
    <m/>
    <m/>
    <m/>
  </r>
  <r>
    <m/>
    <m/>
    <m/>
    <m/>
    <m/>
    <x v="9"/>
    <n v="12936000000"/>
    <m/>
    <n v="1876000000"/>
    <n v="1277000000"/>
    <m/>
    <n v="3689000000"/>
    <m/>
    <n v="0.34616427216047707"/>
    <m/>
    <m/>
    <m/>
    <m/>
    <m/>
    <m/>
    <m/>
    <s v=""/>
    <m/>
    <m/>
    <m/>
    <s v="Baisse des tests Covid-19, hausse des prix et difficultés sur la Chine. T3 moyen mais sans remise en cause. T4 excellents "/>
    <m/>
    <n v="1762"/>
    <n v="0"/>
    <s v="DE000SHL100612015"/>
    <s v="DE000SHL1006"/>
    <n v="1"/>
    <x v="79"/>
    <m/>
    <m/>
    <m/>
  </r>
  <r>
    <m/>
    <m/>
    <m/>
    <m/>
    <m/>
    <x v="1"/>
    <m/>
    <m/>
    <m/>
    <m/>
    <m/>
    <m/>
    <m/>
    <m/>
    <m/>
    <m/>
    <m/>
    <m/>
    <m/>
    <m/>
    <m/>
    <s v=""/>
    <m/>
    <m/>
    <m/>
    <s v="En 2023, perspectives sur l'Imaging avec un carnet de commandes bien remplies et redémarrage de la Chine. Sur la partie Diagnostic, contrecoup Covid-19 anticipé. Perspectives favorables"/>
    <m/>
    <n v="1763"/>
    <n v="0"/>
    <s v="DE000SHL10061"/>
    <s v="DE000SHL1006"/>
    <n v="1"/>
    <x v="79"/>
    <m/>
    <m/>
    <m/>
  </r>
  <r>
    <m/>
    <m/>
    <m/>
    <m/>
    <s v="IPO le 16 mars 2018 à 28 euros"/>
    <x v="1"/>
    <m/>
    <m/>
    <m/>
    <m/>
    <m/>
    <m/>
    <m/>
    <m/>
    <m/>
    <m/>
    <m/>
    <m/>
    <m/>
    <m/>
    <m/>
    <s v=""/>
    <m/>
    <m/>
    <m/>
    <s v="Dettes stables : Varian 13,4 Md euros, AK : 5 Md et dettes émises : 8,4 Md. La dette est passée de 3,4 plus 8,4 soit 11,8. Fin 2022, elle est 12 Md à 0,6% de taux d'intérêt étalée jusqu'à 2030 puis 2040 puis 2046"/>
    <m/>
    <n v="1764"/>
    <n v="0"/>
    <s v="DE000SHL10061"/>
    <s v="DE000SHL1006"/>
    <n v="1"/>
    <x v="79"/>
    <m/>
    <m/>
    <m/>
  </r>
  <r>
    <m/>
    <m/>
    <m/>
    <m/>
    <m/>
    <x v="1"/>
    <m/>
    <m/>
    <m/>
    <m/>
    <m/>
    <m/>
    <m/>
    <m/>
    <m/>
    <m/>
    <m/>
    <m/>
    <m/>
    <m/>
    <m/>
    <s v=""/>
    <m/>
    <m/>
    <m/>
    <s v="Abandon de l'activité Robotique pour le cœur, conserve pour le cerveau et la lutte contre contre les AVC (issue de l'acquisition de Corindus en 2019 pour 1 Md dollars)"/>
    <m/>
    <n v="1765"/>
    <n v="0"/>
    <s v="DE000SHL10061"/>
    <s v="DE000SHL1006"/>
    <n v="1"/>
    <x v="79"/>
    <m/>
    <m/>
    <m/>
  </r>
  <r>
    <m/>
    <m/>
    <m/>
    <m/>
    <m/>
    <x v="1"/>
    <m/>
    <m/>
    <m/>
    <m/>
    <m/>
    <m/>
    <m/>
    <m/>
    <m/>
    <m/>
    <m/>
    <m/>
    <m/>
    <m/>
    <m/>
    <s v=""/>
    <m/>
    <m/>
    <m/>
    <s v="Plan 2025 : 25 Md euros de CA et EPS à 2,9 euros. "/>
    <m/>
    <n v="1766"/>
    <n v="0"/>
    <s v="DE000SHL10061"/>
    <s v="DE000SHL1006"/>
    <n v="1"/>
    <x v="79"/>
    <m/>
    <m/>
    <m/>
  </r>
  <r>
    <m/>
    <m/>
    <m/>
    <m/>
    <m/>
    <x v="1"/>
    <m/>
    <m/>
    <m/>
    <m/>
    <m/>
    <m/>
    <m/>
    <m/>
    <m/>
    <m/>
    <m/>
    <m/>
    <m/>
    <m/>
    <m/>
    <s v=""/>
    <m/>
    <m/>
    <m/>
    <s v="Pas de minoritaires"/>
    <m/>
    <n v="1767"/>
    <n v="0"/>
    <s v="DE000SHL10061"/>
    <s v="DE000SHL1006"/>
    <n v="1"/>
    <x v="79"/>
    <m/>
    <m/>
    <m/>
  </r>
  <r>
    <m/>
    <m/>
    <m/>
    <m/>
    <m/>
    <x v="1"/>
    <m/>
    <m/>
    <m/>
    <m/>
    <m/>
    <m/>
    <m/>
    <m/>
    <m/>
    <m/>
    <m/>
    <m/>
    <m/>
    <m/>
    <m/>
    <s v=""/>
    <m/>
    <m/>
    <m/>
    <s v="CAC : EY"/>
    <m/>
    <n v="1768"/>
    <n v="0"/>
    <s v="DE000SHL10061"/>
    <s v="DE000SHL1006"/>
    <n v="1"/>
    <x v="79"/>
    <m/>
    <m/>
    <m/>
  </r>
  <r>
    <m/>
    <m/>
    <m/>
    <m/>
    <m/>
    <x v="1"/>
    <m/>
    <m/>
    <m/>
    <m/>
    <m/>
    <m/>
    <m/>
    <m/>
    <m/>
    <m/>
    <m/>
    <m/>
    <m/>
    <m/>
    <m/>
    <s v=""/>
    <m/>
    <m/>
    <m/>
    <s v="Pay out ratio : 55%"/>
    <m/>
    <n v="1769"/>
    <n v="0"/>
    <s v="DE000SHL10061"/>
    <s v="DE000SHL1006"/>
    <n v="1"/>
    <x v="79"/>
    <m/>
    <m/>
    <m/>
  </r>
  <r>
    <m/>
    <m/>
    <m/>
    <m/>
    <m/>
    <x v="1"/>
    <m/>
    <m/>
    <m/>
    <m/>
    <m/>
    <m/>
    <m/>
    <m/>
    <m/>
    <m/>
    <m/>
    <m/>
    <m/>
    <m/>
    <m/>
    <s v=""/>
    <m/>
    <m/>
    <m/>
    <m/>
    <m/>
    <n v="1770"/>
    <n v="0"/>
    <s v="DE000SHL10061"/>
    <s v="DE000SHL1006"/>
    <n v="1"/>
    <x v="79"/>
    <m/>
    <m/>
    <m/>
  </r>
  <r>
    <m/>
    <m/>
    <m/>
    <m/>
    <m/>
    <x v="1"/>
    <m/>
    <m/>
    <m/>
    <m/>
    <m/>
    <m/>
    <m/>
    <m/>
    <m/>
    <m/>
    <m/>
    <m/>
    <m/>
    <m/>
    <m/>
    <s v=""/>
    <m/>
    <m/>
    <m/>
    <m/>
    <m/>
    <n v="1771"/>
    <n v="0"/>
    <s v="DE000SHL10061"/>
    <s v="DE000SHL1006"/>
    <n v="1"/>
    <x v="79"/>
    <m/>
    <m/>
    <m/>
  </r>
  <r>
    <s v="GE Healthcare"/>
    <s v="Appareils médicaux"/>
    <s v="États-Unis"/>
    <s v="Dollar"/>
    <n v="71"/>
    <x v="0"/>
    <n v="19624870000"/>
    <n v="3400000000"/>
    <n v="2943730500"/>
    <n v="2400000000"/>
    <n v="15000000000"/>
    <n v="11000000000"/>
    <n v="24.190996981799266"/>
    <n v="0.21818181818181817"/>
    <n v="0.20873725363636364"/>
    <n v="454714620"/>
    <n v="32284738020"/>
    <n v="2.9349761836363637"/>
    <n v="13.907275888235294"/>
    <m/>
    <n v="51000"/>
    <n v="384801.37254901958"/>
    <n v="1850000000"/>
    <m/>
    <m/>
    <s v="Géant mondial du matériel médical présent dans le matériel, les produits de contraste, le diagnostic et les services connexes"/>
    <m/>
    <n v="1772"/>
    <n v="0"/>
    <s v="US36266G107612023"/>
    <s v="US36266G1076"/>
    <n v="1"/>
    <x v="80"/>
    <m/>
    <m/>
    <m/>
  </r>
  <r>
    <m/>
    <m/>
    <m/>
    <m/>
    <m/>
    <x v="1"/>
    <n v="7.0000000000000062E-2"/>
    <n v="0.1333333333333333"/>
    <n v="0.13921458978328172"/>
    <n v="0.25260960334029225"/>
    <m/>
    <m/>
    <m/>
    <m/>
    <m/>
    <m/>
    <m/>
    <m/>
    <m/>
    <m/>
    <m/>
    <s v=""/>
    <m/>
    <m/>
    <m/>
    <s v="Basé à Boston, introduction en bourse le 3 janvier 2023 au cours de 60 $"/>
    <m/>
    <n v="1773"/>
    <n v="0"/>
    <s v="US36266G10761"/>
    <s v="US36266G1076"/>
    <n v="1"/>
    <x v="80"/>
    <m/>
    <m/>
    <m/>
  </r>
  <r>
    <m/>
    <m/>
    <m/>
    <m/>
    <n v="60"/>
    <x v="2"/>
    <n v="18341000000"/>
    <n v="3000000000"/>
    <n v="2584000000"/>
    <n v="1916000000"/>
    <n v="15000000000"/>
    <n v="9357000000"/>
    <n v="20.577741705335974"/>
    <n v="0.20476648498450359"/>
    <n v="8.2749107032885821E-2"/>
    <n v="454714620"/>
    <n v="27282877200"/>
    <n v="2.9157718499519079"/>
    <n v="14.0942924"/>
    <m/>
    <n v="51000"/>
    <n v="359627.45098039217"/>
    <n v="1828000000"/>
    <m/>
    <m/>
    <s v="Répartition de l'actionnariat : 80,1 % GE et le reste flottant"/>
    <m/>
    <n v="1774"/>
    <n v="0"/>
    <s v="US36266G107612022"/>
    <s v="US36266G1076"/>
    <n v="1"/>
    <x v="80"/>
    <m/>
    <m/>
    <m/>
  </r>
  <r>
    <m/>
    <m/>
    <m/>
    <m/>
    <m/>
    <x v="1"/>
    <n v="4.2991185669604803E-2"/>
    <n v="-5.4224464060529609E-2"/>
    <n v="-7.5491949910554523E-2"/>
    <n v="-0.14730752113929679"/>
    <m/>
    <m/>
    <m/>
    <m/>
    <m/>
    <m/>
    <m/>
    <m/>
    <m/>
    <m/>
    <m/>
    <s v=""/>
    <m/>
    <m/>
    <m/>
    <s v="Président et CEO : Peter J.Arduini (depuis 15 ans dans l'entreprise)"/>
    <m/>
    <n v="1775"/>
    <n v="0"/>
    <s v="US36266G10761"/>
    <s v="US36266G1076"/>
    <n v="1"/>
    <x v="80"/>
    <m/>
    <m/>
    <m/>
  </r>
  <r>
    <m/>
    <m/>
    <m/>
    <m/>
    <m/>
    <x v="3"/>
    <n v="17585000000"/>
    <n v="3172000000"/>
    <n v="2795000000"/>
    <n v="2247000000"/>
    <n v="8856000000"/>
    <n v="16655000000"/>
    <n v="36.62736861198789"/>
    <n v="0.13491444010807566"/>
    <n v="6.8870636550308006E-2"/>
    <n v="454714620"/>
    <m/>
    <m/>
    <m/>
    <m/>
    <n v="51000"/>
    <n v="344803.92156862747"/>
    <n v="2827000000"/>
    <m/>
    <m/>
    <s v="Répartition du Chiffre d'affaires par Activités : Imagerie 53 %, Ultrasons 18,2 %, Soins aux patients 16,5 %, Diagnostics pharmaceutiques 11,42 %"/>
    <m/>
    <n v="1776"/>
    <n v="0"/>
    <s v="US36266G107612021"/>
    <s v="US36266G1076"/>
    <n v="1"/>
    <x v="80"/>
    <m/>
    <m/>
    <m/>
  </r>
  <r>
    <m/>
    <m/>
    <m/>
    <m/>
    <m/>
    <x v="1"/>
    <n v="2.4528082032160281E-2"/>
    <n v="6.4072458906407226E-2"/>
    <n v="2.7573529411764719E-2"/>
    <n v="-0.83771486349848334"/>
    <m/>
    <m/>
    <m/>
    <m/>
    <m/>
    <m/>
    <m/>
    <m/>
    <m/>
    <m/>
    <m/>
    <s v=""/>
    <m/>
    <m/>
    <m/>
    <s v="4 M d'équipements, 2 Milliards d'examens par an soit 500 par équipemet, 300 000 patients par jour. 11 000 brevets et 1 Md en R&amp;D soit 5% moins que Siemens (10%)"/>
    <m/>
    <n v="1777"/>
    <n v="0"/>
    <s v="US36266G10761"/>
    <s v="US36266G1076"/>
    <n v="1"/>
    <x v="80"/>
    <m/>
    <m/>
    <m/>
  </r>
  <r>
    <m/>
    <m/>
    <m/>
    <m/>
    <m/>
    <x v="4"/>
    <n v="17164000000"/>
    <n v="2981000000"/>
    <n v="2720000000"/>
    <n v="13846000000"/>
    <n v="8247000000"/>
    <n v="14751000000"/>
    <m/>
    <n v="0.93864822723883123"/>
    <n v="9.2251500130446126E-2"/>
    <m/>
    <m/>
    <m/>
    <m/>
    <m/>
    <m/>
    <s v=""/>
    <n v="2463000000"/>
    <m/>
    <m/>
    <s v="Marché mondial de 84 Md de dollars, 25% de pdm comme Siemens Helathineers autres acteurs Philipps"/>
    <m/>
    <n v="1778"/>
    <n v="0"/>
    <s v="US36266G107612020"/>
    <s v="US36266G1076"/>
    <n v="1"/>
    <x v="80"/>
    <m/>
    <m/>
    <m/>
  </r>
  <r>
    <m/>
    <m/>
    <m/>
    <m/>
    <m/>
    <x v="1"/>
    <n v="3.1924487464678686E-2"/>
    <n v="0.1962279293739968"/>
    <n v="0.28060263653483997"/>
    <n v="8.0853018372703414"/>
    <m/>
    <m/>
    <m/>
    <m/>
    <m/>
    <m/>
    <m/>
    <m/>
    <m/>
    <m/>
    <m/>
    <s v=""/>
    <m/>
    <m/>
    <m/>
    <s v="Croissance organique à 5-7% en 2023 et 4-6% d'ici 2025 (la taille du marché sera à 100 Md de dollars). La dette passe de 9 à 15 Md à l'IPO suite au retrait de la maison mère de 8,9 Md $ avant l'IPO financé par dettes"/>
    <m/>
    <n v="1779"/>
    <n v="0"/>
    <s v="US36266G10761"/>
    <s v="US36266G1076"/>
    <n v="1"/>
    <x v="80"/>
    <m/>
    <m/>
    <m/>
  </r>
  <r>
    <m/>
    <m/>
    <m/>
    <m/>
    <m/>
    <x v="5"/>
    <n v="16633000000"/>
    <n v="2492000000"/>
    <n v="2124000000"/>
    <n v="1524000000"/>
    <m/>
    <m/>
    <m/>
    <m/>
    <m/>
    <m/>
    <m/>
    <m/>
    <m/>
    <m/>
    <m/>
    <s v=""/>
    <n v="1900000000"/>
    <m/>
    <m/>
    <s v="Minoritaires"/>
    <m/>
    <n v="1780"/>
    <n v="0"/>
    <s v="US36266G107612019"/>
    <s v="US36266G1076"/>
    <n v="1"/>
    <x v="80"/>
    <m/>
    <m/>
    <m/>
  </r>
  <r>
    <m/>
    <m/>
    <m/>
    <m/>
    <m/>
    <x v="1"/>
    <m/>
    <m/>
    <m/>
    <m/>
    <m/>
    <m/>
    <m/>
    <m/>
    <m/>
    <m/>
    <m/>
    <m/>
    <m/>
    <m/>
    <m/>
    <s v=""/>
    <m/>
    <m/>
    <m/>
    <s v="CAC "/>
    <m/>
    <n v="1781"/>
    <n v="0"/>
    <s v="US36266G10761"/>
    <s v="US36266G1076"/>
    <n v="1"/>
    <x v="80"/>
    <m/>
    <m/>
    <m/>
  </r>
  <r>
    <m/>
    <m/>
    <m/>
    <m/>
    <s v="IPO le 3 janvier 2023 à 60 dollars"/>
    <x v="1"/>
    <m/>
    <m/>
    <m/>
    <m/>
    <m/>
    <m/>
    <m/>
    <m/>
    <m/>
    <m/>
    <m/>
    <m/>
    <m/>
    <m/>
    <m/>
    <s v=""/>
    <m/>
    <m/>
    <m/>
    <s v="Pay-out ratio "/>
    <m/>
    <n v="1782"/>
    <n v="0"/>
    <s v="US36266G10761"/>
    <s v="US36266G1076"/>
    <n v="1"/>
    <x v="80"/>
    <m/>
    <m/>
    <m/>
  </r>
  <r>
    <m/>
    <m/>
    <m/>
    <m/>
    <m/>
    <x v="1"/>
    <m/>
    <m/>
    <m/>
    <m/>
    <m/>
    <m/>
    <m/>
    <m/>
    <m/>
    <m/>
    <m/>
    <m/>
    <m/>
    <m/>
    <m/>
    <s v=""/>
    <m/>
    <m/>
    <m/>
    <m/>
    <m/>
    <n v="1783"/>
    <n v="0"/>
    <s v="US36266G10761"/>
    <s v="US36266G1076"/>
    <n v="1"/>
    <x v="80"/>
    <m/>
    <m/>
    <m/>
  </r>
  <r>
    <m/>
    <m/>
    <m/>
    <m/>
    <m/>
    <x v="1"/>
    <m/>
    <m/>
    <m/>
    <m/>
    <m/>
    <m/>
    <m/>
    <m/>
    <m/>
    <m/>
    <m/>
    <m/>
    <m/>
    <m/>
    <m/>
    <s v=""/>
    <m/>
    <m/>
    <m/>
    <m/>
    <m/>
    <n v="1784"/>
    <n v="0"/>
    <s v="US36266G10761"/>
    <s v="US36266G1076"/>
    <n v="1"/>
    <x v="80"/>
    <m/>
    <m/>
    <m/>
  </r>
  <r>
    <m/>
    <m/>
    <m/>
    <m/>
    <m/>
    <x v="1"/>
    <m/>
    <m/>
    <m/>
    <m/>
    <m/>
    <m/>
    <m/>
    <m/>
    <m/>
    <m/>
    <m/>
    <m/>
    <m/>
    <m/>
    <m/>
    <s v=""/>
    <m/>
    <m/>
    <m/>
    <m/>
    <m/>
    <n v="1785"/>
    <n v="0"/>
    <s v="US36266G10761"/>
    <s v="US36266G1076"/>
    <n v="1"/>
    <x v="80"/>
    <m/>
    <m/>
    <m/>
  </r>
  <r>
    <s v="GN Store Nord"/>
    <s v="Appareils auditifs"/>
    <s v="Danemark"/>
    <s v="Couronne danoise"/>
    <n v="175"/>
    <x v="0"/>
    <m/>
    <m/>
    <m/>
    <m/>
    <m/>
    <m/>
    <m/>
    <m/>
    <m/>
    <m/>
    <m/>
    <m/>
    <m/>
    <m/>
    <m/>
    <s v=""/>
    <m/>
    <m/>
    <m/>
    <m/>
    <m/>
    <n v="1786"/>
    <n v="0"/>
    <s v="DK0010272632 12023"/>
    <s v="DK0010272632 "/>
    <n v="1"/>
    <x v="81"/>
    <m/>
    <m/>
    <m/>
  </r>
  <r>
    <m/>
    <m/>
    <m/>
    <m/>
    <m/>
    <x v="1"/>
    <m/>
    <m/>
    <m/>
    <m/>
    <m/>
    <m/>
    <m/>
    <m/>
    <m/>
    <m/>
    <m/>
    <m/>
    <m/>
    <m/>
    <m/>
    <s v=""/>
    <m/>
    <m/>
    <m/>
    <m/>
    <m/>
    <n v="1786"/>
    <n v="0"/>
    <s v="DK0010272632 1"/>
    <s v="DK0010272632 "/>
    <n v="1"/>
    <x v="81"/>
    <m/>
    <m/>
    <m/>
  </r>
  <r>
    <m/>
    <m/>
    <m/>
    <m/>
    <n v="159"/>
    <x v="2"/>
    <n v="18687000000"/>
    <n v="1560000000"/>
    <n v="1111000000"/>
    <n v="570000000"/>
    <n v="14561000000"/>
    <n v="6800000000"/>
    <m/>
    <m/>
    <m/>
    <m/>
    <m/>
    <m/>
    <m/>
    <m/>
    <m/>
    <s v=""/>
    <m/>
    <m/>
    <m/>
    <m/>
    <m/>
    <n v="1786"/>
    <n v="0"/>
    <s v="DK0010272632 12022"/>
    <s v="DK0010272632 "/>
    <n v="1"/>
    <x v="81"/>
    <m/>
    <m/>
    <m/>
  </r>
  <r>
    <m/>
    <m/>
    <m/>
    <m/>
    <m/>
    <x v="1"/>
    <m/>
    <m/>
    <m/>
    <m/>
    <m/>
    <m/>
    <m/>
    <m/>
    <m/>
    <m/>
    <m/>
    <m/>
    <m/>
    <m/>
    <m/>
    <s v=""/>
    <m/>
    <m/>
    <m/>
    <m/>
    <m/>
    <n v="1786"/>
    <n v="0"/>
    <s v="DK0010272632 1"/>
    <s v="DK0010272632 "/>
    <n v="1"/>
    <x v="81"/>
    <m/>
    <m/>
    <m/>
  </r>
  <r>
    <m/>
    <m/>
    <m/>
    <m/>
    <n v="411"/>
    <x v="3"/>
    <n v="15775000000"/>
    <n v="2619000000"/>
    <n v="2397000000"/>
    <n v="1790000000"/>
    <n v="4829000000"/>
    <n v="6225000000"/>
    <m/>
    <m/>
    <m/>
    <m/>
    <m/>
    <m/>
    <m/>
    <m/>
    <m/>
    <s v=""/>
    <m/>
    <m/>
    <m/>
    <m/>
    <m/>
    <n v="1786"/>
    <n v="0"/>
    <s v="DK0010272632 12021"/>
    <s v="DK0010272632 "/>
    <n v="1"/>
    <x v="81"/>
    <m/>
    <m/>
    <m/>
  </r>
  <r>
    <m/>
    <m/>
    <m/>
    <m/>
    <m/>
    <x v="1"/>
    <m/>
    <m/>
    <m/>
    <m/>
    <m/>
    <m/>
    <m/>
    <m/>
    <m/>
    <m/>
    <m/>
    <m/>
    <m/>
    <m/>
    <m/>
    <s v=""/>
    <m/>
    <m/>
    <m/>
    <m/>
    <m/>
    <n v="1786"/>
    <n v="0"/>
    <s v="DK0010272632 1"/>
    <s v="DK0010272632 "/>
    <n v="1"/>
    <x v="81"/>
    <m/>
    <m/>
    <m/>
  </r>
  <r>
    <m/>
    <m/>
    <m/>
    <m/>
    <m/>
    <x v="4"/>
    <n v="13449000000"/>
    <m/>
    <m/>
    <m/>
    <n v="3755000000"/>
    <n v="5178000000"/>
    <m/>
    <m/>
    <m/>
    <m/>
    <m/>
    <m/>
    <m/>
    <m/>
    <m/>
    <s v=""/>
    <m/>
    <m/>
    <m/>
    <m/>
    <m/>
    <n v="1786"/>
    <n v="0"/>
    <s v="DK0010272632 12020"/>
    <s v="DK0010272632 "/>
    <n v="1"/>
    <x v="81"/>
    <m/>
    <m/>
    <m/>
  </r>
  <r>
    <m/>
    <m/>
    <m/>
    <m/>
    <m/>
    <x v="1"/>
    <m/>
    <m/>
    <m/>
    <m/>
    <m/>
    <m/>
    <m/>
    <m/>
    <m/>
    <m/>
    <m/>
    <m/>
    <m/>
    <m/>
    <m/>
    <s v=""/>
    <m/>
    <m/>
    <m/>
    <m/>
    <m/>
    <n v="1786"/>
    <n v="0"/>
    <s v="DK0010272632 1"/>
    <s v="DK0010272632 "/>
    <n v="1"/>
    <x v="81"/>
    <m/>
    <m/>
    <m/>
  </r>
  <r>
    <m/>
    <m/>
    <m/>
    <m/>
    <m/>
    <x v="5"/>
    <m/>
    <m/>
    <m/>
    <m/>
    <n v="4805000000"/>
    <n v="4849000000"/>
    <m/>
    <m/>
    <m/>
    <m/>
    <m/>
    <m/>
    <m/>
    <m/>
    <m/>
    <s v=""/>
    <m/>
    <m/>
    <m/>
    <m/>
    <m/>
    <n v="1786"/>
    <n v="0"/>
    <s v="DK0010272632 12019"/>
    <s v="DK0010272632 "/>
    <n v="1"/>
    <x v="81"/>
    <m/>
    <m/>
    <m/>
  </r>
  <r>
    <m/>
    <m/>
    <m/>
    <m/>
    <m/>
    <x v="1"/>
    <m/>
    <m/>
    <m/>
    <m/>
    <m/>
    <m/>
    <m/>
    <m/>
    <m/>
    <m/>
    <m/>
    <m/>
    <m/>
    <m/>
    <m/>
    <s v=""/>
    <m/>
    <m/>
    <m/>
    <m/>
    <m/>
    <n v="1786"/>
    <n v="0"/>
    <s v="DK0010272632 1"/>
    <s v="DK0010272632 "/>
    <n v="1"/>
    <x v="81"/>
    <m/>
    <m/>
    <m/>
  </r>
  <r>
    <m/>
    <m/>
    <m/>
    <m/>
    <m/>
    <x v="6"/>
    <m/>
    <m/>
    <m/>
    <m/>
    <n v="2699000000"/>
    <n v="5096000000"/>
    <m/>
    <m/>
    <m/>
    <m/>
    <m/>
    <m/>
    <m/>
    <m/>
    <m/>
    <s v=""/>
    <m/>
    <m/>
    <m/>
    <m/>
    <m/>
    <n v="1786"/>
    <n v="0"/>
    <s v="DK0010272632 12018"/>
    <s v="DK0010272632 "/>
    <n v="1"/>
    <x v="81"/>
    <m/>
    <m/>
    <m/>
  </r>
  <r>
    <m/>
    <m/>
    <m/>
    <m/>
    <m/>
    <x v="1"/>
    <m/>
    <m/>
    <m/>
    <m/>
    <m/>
    <m/>
    <m/>
    <m/>
    <m/>
    <m/>
    <m/>
    <m/>
    <m/>
    <m/>
    <m/>
    <s v=""/>
    <m/>
    <m/>
    <m/>
    <m/>
    <m/>
    <n v="1786"/>
    <n v="0"/>
    <s v="DK0010272632 1"/>
    <s v="DK0010272632 "/>
    <n v="1"/>
    <x v="81"/>
    <m/>
    <m/>
    <m/>
  </r>
  <r>
    <m/>
    <m/>
    <m/>
    <m/>
    <m/>
    <x v="1"/>
    <m/>
    <m/>
    <m/>
    <m/>
    <m/>
    <m/>
    <m/>
    <m/>
    <m/>
    <m/>
    <m/>
    <m/>
    <m/>
    <m/>
    <m/>
    <s v=""/>
    <m/>
    <m/>
    <m/>
    <m/>
    <m/>
    <n v="1786"/>
    <n v="0"/>
    <s v="DK0010272632 1"/>
    <s v="DK0010272632 "/>
    <n v="1"/>
    <x v="81"/>
    <m/>
    <m/>
    <m/>
  </r>
  <r>
    <m/>
    <m/>
    <m/>
    <m/>
    <m/>
    <x v="1"/>
    <m/>
    <m/>
    <m/>
    <m/>
    <m/>
    <m/>
    <m/>
    <m/>
    <m/>
    <m/>
    <m/>
    <m/>
    <m/>
    <m/>
    <m/>
    <s v=""/>
    <m/>
    <m/>
    <m/>
    <m/>
    <m/>
    <n v="1786"/>
    <n v="0"/>
    <s v="DK0010272632 1"/>
    <s v="DK0010272632 "/>
    <n v="1"/>
    <x v="81"/>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m/>
    <m/>
    <m/>
    <m/>
    <m/>
    <x v="1"/>
    <m/>
    <m/>
    <m/>
    <m/>
    <m/>
    <m/>
    <m/>
    <m/>
    <m/>
    <m/>
    <m/>
    <m/>
    <m/>
    <m/>
    <m/>
    <s v=""/>
    <m/>
    <m/>
    <m/>
    <m/>
    <m/>
    <n v="1786"/>
    <e v="#N/A"/>
    <s v=""/>
    <m/>
    <m/>
    <x v="52"/>
    <m/>
    <m/>
    <m/>
  </r>
  <r>
    <s v="Varian"/>
    <s v="Santé"/>
    <s v="États-Unis"/>
    <s v="Dollar"/>
    <n v="177.5"/>
    <x v="4"/>
    <n v="3200000000"/>
    <m/>
    <n v="500000000"/>
    <n v="358000000"/>
    <m/>
    <m/>
    <m/>
    <m/>
    <m/>
    <n v="91823390"/>
    <n v="16298651725"/>
    <m/>
    <m/>
    <m/>
    <m/>
    <s v=""/>
    <m/>
    <m/>
    <m/>
    <s v="Créée en 1950"/>
    <m/>
    <n v="1786"/>
    <e v="#N/A"/>
    <s v="Varian12020"/>
    <s v="Varian"/>
    <n v="1"/>
    <x v="82"/>
    <m/>
    <m/>
    <m/>
  </r>
  <r>
    <s v="Racheté par Siemens Healthineers"/>
    <m/>
    <m/>
    <m/>
    <m/>
    <x v="1"/>
    <m/>
    <m/>
    <m/>
    <m/>
    <m/>
    <m/>
    <m/>
    <m/>
    <m/>
    <m/>
    <m/>
    <m/>
    <m/>
    <m/>
    <m/>
    <s v=""/>
    <m/>
    <m/>
    <m/>
    <s v="Spécialiste mondial de l'oncologie et du traitement par radiothérapie (fabrique ces machines)"/>
    <m/>
    <n v="1787"/>
    <e v="#N/A"/>
    <s v="Racheté par Siemens Healthineers1"/>
    <s v="Racheté par Siemens Healthineers"/>
    <n v="1"/>
    <x v="82"/>
    <m/>
    <m/>
    <m/>
  </r>
  <r>
    <m/>
    <m/>
    <m/>
    <m/>
    <n v="144.93"/>
    <x v="5"/>
    <n v="3225100000"/>
    <n v="1052500000"/>
    <n v="420800000"/>
    <n v="292200000"/>
    <n v="585000000"/>
    <n v="1768300000"/>
    <n v="19.257620525663452"/>
    <n v="0.16524345416501726"/>
    <n v="0.11444014787744869"/>
    <n v="91823390"/>
    <n v="16298651725"/>
    <n v="9.217130421874117"/>
    <n v="16.041474323040379"/>
    <s v=" "/>
    <m/>
    <s v=""/>
    <m/>
    <m/>
    <m/>
    <s v="6 600 employés dont 1 000 ingénieurs soit 488 651 euros par employé"/>
    <m/>
    <n v="1788"/>
    <e v="#N/A"/>
    <s v="12019"/>
    <m/>
    <n v="1"/>
    <x v="82"/>
    <m/>
    <m/>
    <m/>
  </r>
  <r>
    <m/>
    <m/>
    <m/>
    <m/>
    <m/>
    <x v="1"/>
    <n v="0.10482683018738648"/>
    <n v="0.67916400765794505"/>
    <n v="-6.9232470692324743E-2"/>
    <n v="0.94411177644710587"/>
    <m/>
    <m/>
    <m/>
    <m/>
    <m/>
    <m/>
    <m/>
    <m/>
    <m/>
    <m/>
    <m/>
    <s v=""/>
    <m/>
    <m/>
    <m/>
    <s v="Racheté par Siemens Healthineers à 177,5 $ en 2020 soit 16,3 Md de dollars et 50 fois le résultat net"/>
    <m/>
    <n v="1789"/>
    <e v="#N/A"/>
    <s v="1"/>
    <m/>
    <n v="1"/>
    <x v="82"/>
    <m/>
    <m/>
    <m/>
  </r>
  <r>
    <m/>
    <m/>
    <m/>
    <m/>
    <n v="118.65"/>
    <x v="6"/>
    <n v="2919100000"/>
    <n v="626800000"/>
    <n v="452100000"/>
    <n v="150300000"/>
    <n v="400000000"/>
    <n v="1584400000"/>
    <n v="17.254862840502838"/>
    <n v="9.4862408482706384E-2"/>
    <n v="0.14580931263858093"/>
    <n v="91823390"/>
    <n v="13307963912.700001"/>
    <n v="8.3993713157662206"/>
    <n v="21.869757359125717"/>
    <m/>
    <m/>
    <s v=""/>
    <m/>
    <m/>
    <m/>
    <m/>
    <m/>
    <n v="1790"/>
    <e v="#N/A"/>
    <s v="12018"/>
    <m/>
    <n v="1"/>
    <x v="82"/>
    <m/>
    <m/>
    <m/>
  </r>
  <r>
    <m/>
    <m/>
    <m/>
    <m/>
    <m/>
    <x v="1"/>
    <n v="0.11445806131409153"/>
    <n v="0.31902356902356899"/>
    <n v="0.31119489559164726"/>
    <n v="-0.31432481751824815"/>
    <m/>
    <m/>
    <m/>
    <m/>
    <m/>
    <m/>
    <m/>
    <m/>
    <m/>
    <m/>
    <m/>
    <s v=""/>
    <m/>
    <m/>
    <m/>
    <m/>
    <m/>
    <n v="1791"/>
    <e v="#N/A"/>
    <s v="1"/>
    <m/>
    <n v="1"/>
    <x v="82"/>
    <m/>
    <m/>
    <m/>
  </r>
  <r>
    <m/>
    <m/>
    <m/>
    <m/>
    <n v="110.87"/>
    <x v="7"/>
    <n v="2619300000"/>
    <n v="475200000"/>
    <n v="344800000"/>
    <n v="219200000"/>
    <n v="350000000"/>
    <n v="1521900000"/>
    <n v="16.574208379803881"/>
    <n v="0.14403048820553255"/>
    <n v="0.11788663924354933"/>
    <n v="91823390"/>
    <n v="10180459249.300001"/>
    <n v="6.689308922596755"/>
    <n v="22.160057342803032"/>
    <m/>
    <m/>
    <s v=""/>
    <m/>
    <m/>
    <m/>
    <m/>
    <m/>
    <n v="1792"/>
    <e v="#N/A"/>
    <s v="12017"/>
    <m/>
    <n v="1"/>
    <x v="82"/>
    <m/>
    <m/>
    <m/>
  </r>
  <r>
    <m/>
    <m/>
    <m/>
    <m/>
    <m/>
    <x v="1"/>
    <n v="9.8700697844777974E-3"/>
    <n v="-0.13568570389232448"/>
    <n v="-0.21743077621425333"/>
    <n v="-0.45158869151863901"/>
    <m/>
    <m/>
    <m/>
    <m/>
    <m/>
    <m/>
    <m/>
    <m/>
    <m/>
    <m/>
    <m/>
    <s v=""/>
    <m/>
    <m/>
    <m/>
    <m/>
    <m/>
    <n v="1793"/>
    <e v="#N/A"/>
    <s v="1"/>
    <m/>
    <n v="1"/>
    <x v="82"/>
    <m/>
    <m/>
    <m/>
  </r>
  <r>
    <m/>
    <m/>
    <m/>
    <m/>
    <n v="78.23"/>
    <x v="8"/>
    <n v="2593700000"/>
    <n v="549800000"/>
    <n v="440600000"/>
    <n v="399700000"/>
    <m/>
    <n v="1797900000"/>
    <n v="19.579978478250478"/>
    <n v="0.22231492296568217"/>
    <n v="0.15684075866288447"/>
    <n v="91823390"/>
    <n v="7183343799.7000008"/>
    <n v="3.9954078645642142"/>
    <n v="13.065376136231357"/>
    <m/>
    <m/>
    <s v=""/>
    <m/>
    <m/>
    <m/>
    <m/>
    <m/>
    <n v="1794"/>
    <e v="#N/A"/>
    <s v="12016"/>
    <m/>
    <n v="1"/>
    <x v="82"/>
    <m/>
    <m/>
    <m/>
  </r>
  <r>
    <m/>
    <m/>
    <m/>
    <m/>
    <m/>
    <x v="1"/>
    <n v="4.1353836270927813E-2"/>
    <n v="-0.10192747468147667"/>
    <n v="9.7931721903812718E-2"/>
    <n v="-2.9854368932038855E-2"/>
    <m/>
    <m/>
    <m/>
    <m/>
    <m/>
    <m/>
    <m/>
    <m/>
    <m/>
    <m/>
    <m/>
    <s v=""/>
    <m/>
    <m/>
    <m/>
    <m/>
    <m/>
    <n v="1795"/>
    <e v="#N/A"/>
    <s v="1"/>
    <m/>
    <n v="1"/>
    <x v="82"/>
    <m/>
    <m/>
    <m/>
  </r>
  <r>
    <m/>
    <m/>
    <m/>
    <m/>
    <n v="70"/>
    <x v="9"/>
    <n v="2490700000"/>
    <n v="612200000"/>
    <n v="401300000"/>
    <n v="412000000"/>
    <m/>
    <n v="1726300000"/>
    <n v="18.80022072807375"/>
    <n v="0.23866071945779993"/>
    <n v="0.14877599490239241"/>
    <n v="91823390"/>
    <n v="6427637300"/>
    <n v="3.7233605398829868"/>
    <n v="10.499244201241424"/>
    <m/>
    <m/>
    <s v=""/>
    <m/>
    <m/>
    <m/>
    <m/>
    <m/>
    <n v="1796"/>
    <e v="#N/A"/>
    <s v="12015"/>
    <m/>
    <n v="1"/>
    <x v="82"/>
    <m/>
    <m/>
    <m/>
  </r>
  <r>
    <m/>
    <m/>
    <m/>
    <m/>
    <m/>
    <x v="1"/>
    <m/>
    <m/>
    <m/>
    <m/>
    <m/>
    <m/>
    <m/>
    <m/>
    <m/>
    <m/>
    <m/>
    <m/>
    <m/>
    <m/>
    <m/>
    <s v=""/>
    <m/>
    <m/>
    <m/>
    <m/>
    <m/>
    <n v="1797"/>
    <e v="#N/A"/>
    <s v="1"/>
    <m/>
    <n v="1"/>
    <x v="82"/>
    <m/>
    <m/>
    <m/>
  </r>
  <r>
    <m/>
    <m/>
    <m/>
    <m/>
    <m/>
    <x v="1"/>
    <m/>
    <m/>
    <m/>
    <m/>
    <m/>
    <m/>
    <m/>
    <m/>
    <m/>
    <m/>
    <m/>
    <m/>
    <m/>
    <m/>
    <m/>
    <s v=""/>
    <m/>
    <m/>
    <m/>
    <m/>
    <m/>
    <n v="1798"/>
    <e v="#N/A"/>
    <s v="1"/>
    <m/>
    <n v="1"/>
    <x v="82"/>
    <m/>
    <m/>
    <m/>
  </r>
  <r>
    <m/>
    <m/>
    <m/>
    <m/>
    <m/>
    <x v="1"/>
    <m/>
    <m/>
    <m/>
    <m/>
    <m/>
    <m/>
    <m/>
    <m/>
    <m/>
    <m/>
    <m/>
    <m/>
    <m/>
    <m/>
    <m/>
    <s v=""/>
    <m/>
    <m/>
    <m/>
    <m/>
    <m/>
    <n v="1799"/>
    <e v="#N/A"/>
    <s v="1"/>
    <m/>
    <n v="1"/>
    <x v="82"/>
    <m/>
    <m/>
    <m/>
  </r>
  <r>
    <s v="Sanofi"/>
    <s v="Pharmacie"/>
    <s v="France"/>
    <s v="Euro"/>
    <n v="100"/>
    <x v="0"/>
    <n v="43000000000"/>
    <n v="13000000000"/>
    <n v="8800000000"/>
    <n v="6900000000"/>
    <n v="6000000000"/>
    <n v="74000000000"/>
    <n v="58.908188908060247"/>
    <n v="9.6503496503496503E-2"/>
    <n v="9.0329368592581186E-2"/>
    <n v="1256192074"/>
    <n v="125619207400"/>
    <n v="1.6975568567567567"/>
    <n v="10.124554415384615"/>
    <s v="A+ / Stable (05/2021)"/>
    <n v="100000"/>
    <n v="430000"/>
    <n v="8500000000"/>
    <s v="E = 1"/>
    <m/>
    <s v="Laboratoire français créé en 1973 émanation de Elf avec Dehecq à la tête d'une quasi start-up. Numéro 3 mondial en chiffre d'affaires"/>
    <m/>
    <n v="1800"/>
    <n v="0"/>
    <s v="FR000012057812023"/>
    <s v="FR0000120578"/>
    <n v="1"/>
    <x v="83"/>
    <m/>
    <m/>
    <m/>
  </r>
  <r>
    <m/>
    <m/>
    <m/>
    <m/>
    <m/>
    <x v="1"/>
    <n v="6.9772309696070067E-5"/>
    <n v="-3.0674846625766694E-3"/>
    <n v="3.5050576334979988E-2"/>
    <n v="2.6785714285714191E-2"/>
    <m/>
    <m/>
    <m/>
    <m/>
    <m/>
    <m/>
    <m/>
    <m/>
    <m/>
    <m/>
    <m/>
    <s v=""/>
    <m/>
    <s v="S = -1"/>
    <m/>
    <s v="Actionnaire : L'oréal (9,8% issue de Synthélabo)"/>
    <m/>
    <n v="1801"/>
    <n v="0"/>
    <s v="FR00001205781"/>
    <s v="FR0000120578"/>
    <n v="1"/>
    <x v="83"/>
    <m/>
    <m/>
    <m/>
  </r>
  <r>
    <m/>
    <m/>
    <m/>
    <m/>
    <n v="89.84"/>
    <x v="2"/>
    <n v="42997000000"/>
    <n v="13040000000"/>
    <n v="8502000000"/>
    <n v="6720000000"/>
    <n v="6437000000"/>
    <n v="71500000000"/>
    <n v="56.918047390896049"/>
    <n v="9.7843653994554539E-2"/>
    <n v="8.6463947930438323E-2"/>
    <n v="1256192074"/>
    <n v="112856295928.16"/>
    <n v="1.578409733260979"/>
    <n v="9.1482588901963187"/>
    <m/>
    <n v="100000"/>
    <n v="429970"/>
    <n v="8483000000"/>
    <s v="G = -1"/>
    <m/>
    <s v="DG : Paul Hudson, ancien dirigeant de Novartis (a remplacé Brandicourt avril 2015 - août 2019 qui avait remplacé Christopher Viehbacher decembre 2008 - octobre 2014) et président du conseil d'administration : Oudéa (Ancien SG) qui a remplacé Serge Weinberg"/>
    <m/>
    <n v="1802"/>
    <n v="0"/>
    <s v="FR000012057812022"/>
    <s v="FR0000120578"/>
    <n v="1"/>
    <x v="83"/>
    <m/>
    <m/>
    <m/>
  </r>
  <r>
    <m/>
    <m/>
    <m/>
    <m/>
    <m/>
    <x v="1"/>
    <n v="0.1386615820555599"/>
    <n v="0.21607759022661566"/>
    <n v="4.6271228156534505E-2"/>
    <n v="7.9865016872890937E-2"/>
    <m/>
    <m/>
    <m/>
    <m/>
    <m/>
    <m/>
    <m/>
    <m/>
    <m/>
    <m/>
    <m/>
    <s v=""/>
    <m/>
    <m/>
    <m/>
    <s v="Trois grandes divisions : Médicaments de prescription (75% du CA - marge opérationnelle 35%) : diabète, maladie rare, oncologie… Produits de santé grand public, génériques (13% du CA et 33% de marge) et vaccins (12% du CA - 50% des ventes DTCP  et 38% de marge - Sanofi Pasteur datant de 1976)"/>
    <m/>
    <n v="1803"/>
    <n v="0"/>
    <s v="FR00001205781"/>
    <s v="FR0000120578"/>
    <n v="1"/>
    <x v="83"/>
    <m/>
    <m/>
    <m/>
  </r>
  <r>
    <m/>
    <m/>
    <m/>
    <m/>
    <n v="88.58"/>
    <x v="3"/>
    <n v="37761000000"/>
    <n v="10723000000"/>
    <n v="8126000000"/>
    <n v="6223000000"/>
    <n v="9983000000"/>
    <n v="68681000000"/>
    <n v="54.673963816141701"/>
    <n v="9.8611859411149499E-2"/>
    <n v="9.0420752486264688E-2"/>
    <n v="1256192074"/>
    <n v="111273493914.92"/>
    <n v="1.6201495888953277"/>
    <n v="11.308075530627622"/>
    <m/>
    <n v="100000"/>
    <n v="377610"/>
    <n v="8096000000"/>
    <m/>
    <m/>
    <s v="Sanofi répartis sont R&amp;D entre ces 3 grandes divisions : 77% dans les médicaments de prescription, 11% dans les vaccins, 2% dans les produits de santé grand public et 10% dans autre"/>
    <m/>
    <n v="1804"/>
    <n v="0"/>
    <s v="FR000012057812021"/>
    <s v="FR0000120578"/>
    <n v="1"/>
    <x v="83"/>
    <m/>
    <m/>
    <m/>
  </r>
  <r>
    <m/>
    <m/>
    <m/>
    <m/>
    <m/>
    <x v="1"/>
    <n v="4.7723426098055022E-2"/>
    <n v="0.22269099201824405"/>
    <n v="0.20224885338067766"/>
    <n v="-0.49381812266146086"/>
    <m/>
    <m/>
    <m/>
    <m/>
    <m/>
    <m/>
    <m/>
    <m/>
    <m/>
    <m/>
    <m/>
    <s v=""/>
    <m/>
    <m/>
    <m/>
    <s v="Répartition par zones géographiques : 42% aux États-Unis,  24% en Europe et 34 % reste du Monde. 73 sites industriels dans 32 pays"/>
    <m/>
    <n v="1805"/>
    <n v="0"/>
    <s v="FR00001205781"/>
    <s v="FR0000120578"/>
    <n v="1"/>
    <x v="83"/>
    <m/>
    <m/>
    <m/>
  </r>
  <r>
    <m/>
    <m/>
    <m/>
    <m/>
    <n v="78.7"/>
    <x v="4"/>
    <n v="36041000000"/>
    <n v="8770000000"/>
    <n v="6759000000"/>
    <n v="12294000000"/>
    <n v="8789000000"/>
    <n v="63106000000"/>
    <n v="50.235948232865539"/>
    <n v="0.20860623748600129"/>
    <n v="7.3029807809186803E-2"/>
    <n v="1256192074"/>
    <n v="98862316223.800003"/>
    <n v="1.5666072358222674"/>
    <n v="12.2749505386317"/>
    <m/>
    <m/>
    <s v=""/>
    <n v="4000000000"/>
    <m/>
    <m/>
    <s v="Christopher Viehbacher a permi à Sanofi de surmonter la période de perte de brevets avec une accélération de la recherche. Mais sa critique du système français et son individualisme a poussé le groupe à l'évincer."/>
    <m/>
    <n v="1806"/>
    <n v="0"/>
    <s v="FR000012057812020"/>
    <s v="FR0000120578"/>
    <n v="1"/>
    <x v="83"/>
    <m/>
    <m/>
    <m/>
  </r>
  <r>
    <m/>
    <m/>
    <m/>
    <m/>
    <m/>
    <x v="1"/>
    <n v="-2.3528760449538222E-3"/>
    <n v="-1.183098591549292E-2"/>
    <n v="1.1628799999999999"/>
    <n v="3.3813257305773341"/>
    <m/>
    <m/>
    <m/>
    <m/>
    <m/>
    <m/>
    <m/>
    <m/>
    <m/>
    <m/>
    <m/>
    <s v=""/>
    <m/>
    <m/>
    <m/>
    <s v="En mai 1999, fusion Sanofi-Synthelabo"/>
    <m/>
    <n v="1807"/>
    <n v="0"/>
    <s v="FR00001205781"/>
    <s v="FR0000120578"/>
    <n v="1"/>
    <x v="83"/>
    <m/>
    <m/>
    <m/>
  </r>
  <r>
    <m/>
    <m/>
    <m/>
    <m/>
    <n v="90.22"/>
    <x v="5"/>
    <n v="36126000000"/>
    <n v="8875000000"/>
    <n v="3125000000"/>
    <n v="2806000000"/>
    <n v="15107000000"/>
    <n v="58934000000"/>
    <n v="47.00257829327829"/>
    <n v="4.7659487736938649E-2"/>
    <n v="3.267802990693297E-2"/>
    <n v="1253846111"/>
    <n v="113121996134.42"/>
    <n v="1.9194691711816607"/>
    <n v="14.448337592610704"/>
    <m/>
    <m/>
    <s v=""/>
    <m/>
    <m/>
    <m/>
    <s v="En décembre 2004, acquisition d'Aventis (fusion Rhône Poulenc / Hoescht) menée par Dehecq pour 55 Md euros"/>
    <m/>
    <n v="1808"/>
    <n v="0"/>
    <s v="FR000012057812019"/>
    <s v="FR0000120578"/>
    <n v="1"/>
    <x v="83"/>
    <m/>
    <m/>
    <m/>
  </r>
  <r>
    <m/>
    <m/>
    <m/>
    <m/>
    <m/>
    <x v="1"/>
    <n v="4.8254649914400982E-2"/>
    <n v="0.17332099418297187"/>
    <n v="-0.33169375534644996"/>
    <n v="-0.34835113794705064"/>
    <m/>
    <m/>
    <m/>
    <m/>
    <m/>
    <m/>
    <m/>
    <m/>
    <m/>
    <m/>
    <m/>
    <s v=""/>
    <m/>
    <m/>
    <m/>
    <s v="Souffre de moindre découverte et de la montée des génériques. Parade : achat de biotech prometteuse"/>
    <m/>
    <n v="1809"/>
    <n v="0"/>
    <s v="FR00001205781"/>
    <s v="FR0000120578"/>
    <n v="1"/>
    <x v="83"/>
    <m/>
    <m/>
    <m/>
  </r>
  <r>
    <m/>
    <m/>
    <m/>
    <m/>
    <n v="75.66"/>
    <x v="6"/>
    <n v="34463000000"/>
    <n v="7564000000"/>
    <n v="4676000000"/>
    <n v="4306000000"/>
    <n v="17628000000"/>
    <n v="58876000000"/>
    <n v="47.199145196191637"/>
    <n v="7.4127631737506236E-2"/>
    <n v="5.9026429980276136E-2"/>
    <n v="1247395472"/>
    <n v="94377941411.519989"/>
    <n v="1.6029951323377944"/>
    <n v="14.807765919026968"/>
    <m/>
    <m/>
    <s v=""/>
    <m/>
    <m/>
    <m/>
    <s v="En 2010, achat de Genzyme pour 18,5 Md $ pour 1,7 Md euros de chiffre d'affaires en 2011 et 2,7 Md euros en 2014"/>
    <m/>
    <n v="1810"/>
    <n v="0"/>
    <s v="FR000012057812018"/>
    <s v="FR0000120578"/>
    <n v="1"/>
    <x v="83"/>
    <m/>
    <m/>
    <m/>
  </r>
  <r>
    <m/>
    <m/>
    <m/>
    <m/>
    <m/>
    <x v="1"/>
    <n v="-1.6887747824846699E-2"/>
    <n v="-4.9987440341622724E-2"/>
    <n v="-0.19420989143546441"/>
    <n v="-0.48944747450794401"/>
    <m/>
    <m/>
    <m/>
    <m/>
    <m/>
    <m/>
    <m/>
    <m/>
    <m/>
    <m/>
    <m/>
    <s v=""/>
    <m/>
    <m/>
    <m/>
    <s v="En 2015, perte des brevets du Lantus (insuline qui représentait 20% des ventes du groupe - 7,8% du CA en 2020) finalement bien gérée par Brandicourt"/>
    <m/>
    <n v="1811"/>
    <n v="0"/>
    <s v="FR00001205781"/>
    <s v="FR0000120578"/>
    <n v="1"/>
    <x v="83"/>
    <m/>
    <m/>
    <m/>
  </r>
  <r>
    <m/>
    <m/>
    <m/>
    <m/>
    <n v="71.760000000000005"/>
    <x v="7"/>
    <n v="35055000000"/>
    <n v="7962000000"/>
    <n v="5803000000"/>
    <n v="8434000000"/>
    <n v="5286000000"/>
    <n v="58089000000"/>
    <n v="46.322231261809385"/>
    <n v="0.14654064009451992"/>
    <n v="7.0488915882174305E-2"/>
    <n v="1254019904"/>
    <n v="89988468311.040009"/>
    <n v="1.5491481745432012"/>
    <n v="11.966147740648079"/>
    <m/>
    <m/>
    <s v=""/>
    <m/>
    <m/>
    <m/>
    <s v="En 2018, acquisition de Bioverativ pour 11,6 Md $, pour l'hémophilie (Eloctate)"/>
    <m/>
    <n v="1812"/>
    <n v="0"/>
    <s v="FR000012057812017"/>
    <s v="FR0000120578"/>
    <n v="1"/>
    <x v="83"/>
    <m/>
    <m/>
    <m/>
  </r>
  <r>
    <m/>
    <m/>
    <m/>
    <m/>
    <m/>
    <x v="1"/>
    <n v="3.6486206794595022E-2"/>
    <n v="-5.4169636493228812E-2"/>
    <n v="-0.11187633914906647"/>
    <n v="0.79103843703546395"/>
    <m/>
    <m/>
    <m/>
    <m/>
    <m/>
    <m/>
    <m/>
    <m/>
    <m/>
    <m/>
    <m/>
    <s v=""/>
    <m/>
    <m/>
    <m/>
    <s v="En 2019, problème aux Etats-Unis avec l'hémophilie, Eloctate, dépréciation de 3,2 Md euros"/>
    <m/>
    <n v="1813"/>
    <n v="0"/>
    <s v="FR00001205781"/>
    <s v="FR0000120578"/>
    <n v="1"/>
    <x v="83"/>
    <m/>
    <m/>
    <m/>
  </r>
  <r>
    <m/>
    <m/>
    <m/>
    <m/>
    <n v="76.900000000000006"/>
    <x v="8"/>
    <n v="33821000000"/>
    <n v="8418000000"/>
    <n v="6534000000"/>
    <n v="4709000000"/>
    <n v="8306000000"/>
    <n v="57554000000"/>
    <n v="44.545669939987818"/>
    <n v="8.1121121810883906E-2"/>
    <n v="7.9859445420517913E-2"/>
    <n v="1292022324"/>
    <n v="99356516715.600006"/>
    <n v="1.7263181831949128"/>
    <n v="12.789560075504872"/>
    <m/>
    <m/>
    <s v=""/>
    <m/>
    <m/>
    <m/>
    <s v="En 2019, échec du vaccin Dengvaxia qui a entréné la mort de nombreuses personnes"/>
    <m/>
    <n v="1814"/>
    <n v="0"/>
    <s v="FR000012057812016"/>
    <s v="FR0000120578"/>
    <n v="1"/>
    <x v="83"/>
    <m/>
    <m/>
    <m/>
  </r>
  <r>
    <m/>
    <m/>
    <m/>
    <m/>
    <m/>
    <x v="1"/>
    <n v="-2.0873139945573493E-2"/>
    <n v="-1.2898686679174487E-2"/>
    <n v="0.16180654338549072"/>
    <n v="9.8437135526008968E-2"/>
    <m/>
    <m/>
    <m/>
    <m/>
    <m/>
    <m/>
    <m/>
    <m/>
    <m/>
    <m/>
    <m/>
    <s v=""/>
    <m/>
    <m/>
    <m/>
    <s v="En 2019, acquisition de Synthorx oncologie, troubles auto-immuns pour 2,5 Md de dollars. Mollécule de phase I pas d'activité commerciale. "/>
    <m/>
    <n v="1815"/>
    <n v="0"/>
    <s v="FR00001205781"/>
    <s v="FR0000120578"/>
    <n v="1"/>
    <x v="83"/>
    <m/>
    <m/>
    <m/>
  </r>
  <r>
    <m/>
    <m/>
    <m/>
    <m/>
    <n v="79.709999999999994"/>
    <x v="9"/>
    <n v="34542000000"/>
    <n v="8528000000"/>
    <n v="5624000000"/>
    <n v="4287000000"/>
    <n v="7406000000"/>
    <n v="58049000000"/>
    <n v="44.45825541028244"/>
    <n v="7.6389878831076272E-2"/>
    <n v="7.1087516392536063E-2"/>
    <n v="1305696759"/>
    <n v="104077088659.89"/>
    <n v="1.7929178566364623"/>
    <n v="13.072594824095919"/>
    <m/>
    <m/>
    <s v=""/>
    <m/>
    <m/>
    <m/>
    <s v="En septembre 2020, acquisition de Biopharma Principia aux États-Unis spécialisée dans les maladies auto-immunes et allergiques pour 3,68 Md $"/>
    <m/>
    <n v="1816"/>
    <n v="0"/>
    <s v="FR000012057812015"/>
    <s v="FR0000120578"/>
    <n v="1"/>
    <x v="83"/>
    <m/>
    <m/>
    <m/>
  </r>
  <r>
    <m/>
    <m/>
    <m/>
    <m/>
    <m/>
    <x v="1"/>
    <n v="2.2860527095054817E-2"/>
    <n v="-8.2567740434934533E-3"/>
    <n v="-8.4486407292853616E-2"/>
    <n v="-2.3462414578587665E-2"/>
    <m/>
    <m/>
    <m/>
    <m/>
    <m/>
    <m/>
    <m/>
    <m/>
    <m/>
    <m/>
    <m/>
    <s v=""/>
    <m/>
    <m/>
    <m/>
    <s v="En 2020, activité tiré par le Dupixent (traitement de l'asthme chez les enfants) 10% des ventes et vaccins (Grippe et DTCP). Cession des actions Regeneron (fin du partenariat : 7,382 Md euros de produits en mai 2020 et baisse de la dette fin 2020)"/>
    <m/>
    <n v="1817"/>
    <n v="0"/>
    <s v="FR00001205781"/>
    <s v="FR0000120578"/>
    <n v="1"/>
    <x v="83"/>
    <m/>
    <m/>
    <m/>
  </r>
  <r>
    <m/>
    <m/>
    <m/>
    <m/>
    <n v="75.44"/>
    <x v="10"/>
    <n v="33770000000"/>
    <n v="8599000000"/>
    <n v="6143000000"/>
    <n v="4390000000"/>
    <n v="7171000000"/>
    <n v="56120000000"/>
    <n v="42.535534897937396"/>
    <n v="7.7147476451567554E-2"/>
    <n v="7.8072028849667185E-2"/>
    <n v="1319367445"/>
    <n v="99533080050.800003"/>
    <n v="1.7735759096721313"/>
    <n v="12.408894063356204"/>
    <m/>
    <m/>
    <s v=""/>
    <m/>
    <m/>
    <m/>
    <s v="En 2021, ventes du Dupixent en forte hausse (+50%), hausse des ventes de Kevzara (rhumatsime) et Libtayo (cancer du poumon)"/>
    <m/>
    <n v="1818"/>
    <n v="0"/>
    <s v="FR000012057812014"/>
    <s v="FR0000120578"/>
    <n v="1"/>
    <x v="83"/>
    <m/>
    <m/>
    <m/>
  </r>
  <r>
    <m/>
    <m/>
    <m/>
    <m/>
    <m/>
    <x v="1"/>
    <n v="2.4855087857728053E-2"/>
    <n v="-8.5893483576060414E-2"/>
    <n v="0.20309439874657276"/>
    <n v="0.18105999461931654"/>
    <m/>
    <m/>
    <m/>
    <m/>
    <m/>
    <m/>
    <m/>
    <m/>
    <m/>
    <m/>
    <m/>
    <s v=""/>
    <m/>
    <m/>
    <m/>
    <s v="En 2021, avancée : vaccins anti-covid-19 reporté en 2022 et hémophilie (Fitusirian, Phase III). 7 projets en phase I et 7 projets en phase II"/>
    <m/>
    <n v="1819"/>
    <n v="0"/>
    <s v="FR00001205781"/>
    <s v="FR0000120578"/>
    <n v="1"/>
    <x v="83"/>
    <m/>
    <m/>
    <m/>
  </r>
  <r>
    <m/>
    <m/>
    <m/>
    <m/>
    <n v="77.23"/>
    <x v="11"/>
    <n v="32951000000"/>
    <n v="9407000000"/>
    <n v="5106000000"/>
    <n v="3717000000"/>
    <n v="6043000000"/>
    <n v="56904000000"/>
    <n v="42.96843825118242"/>
    <n v="6.4826118804283378E-2"/>
    <n v="6.2788016662311513E-2"/>
    <n v="1324320881"/>
    <n v="102277301639.63"/>
    <n v="1.7973657676021018"/>
    <n v="11.514861447818646"/>
    <m/>
    <m/>
    <s v=""/>
    <m/>
    <m/>
    <m/>
    <s v="En 2021, acquisition de la biotech Kadmon (transplantation) aux États-Unis pour 1,5 Md euros, de Translate Bio pour 3,2 Md de dollars (son partenaire dans l'ARN Messager) et d'Amunix (États-Unis - oncologie) pour 1 Md dollars"/>
    <m/>
    <n v="1820"/>
    <n v="0"/>
    <s v="FR000012057812013"/>
    <s v="FR0000120578"/>
    <n v="1"/>
    <x v="83"/>
    <m/>
    <m/>
    <m/>
  </r>
  <r>
    <m/>
    <m/>
    <m/>
    <m/>
    <m/>
    <x v="1"/>
    <n v="-5.7115059947921099E-2"/>
    <n v="-3.4684453565931195E-2"/>
    <n v="-0.19425595707748144"/>
    <n v="-0.25166096235152002"/>
    <m/>
    <m/>
    <m/>
    <m/>
    <m/>
    <m/>
    <m/>
    <m/>
    <m/>
    <m/>
    <m/>
    <s v=""/>
    <m/>
    <m/>
    <m/>
    <s v="R&amp;D à 5,7 Md euros stable à légère hausse (15-16% du CA passe en charges opérationnelles) et encore 820 M euros de charges de restructurations"/>
    <m/>
    <n v="1821"/>
    <n v="0"/>
    <s v="FR00001205781"/>
    <s v="FR0000120578"/>
    <n v="1"/>
    <x v="83"/>
    <m/>
    <m/>
    <m/>
  </r>
  <r>
    <m/>
    <m/>
    <m/>
    <m/>
    <n v="71.39"/>
    <x v="12"/>
    <n v="34947000000"/>
    <n v="9745000000"/>
    <n v="6337000000"/>
    <n v="4967000000"/>
    <n v="7719000000"/>
    <n v="57338000000"/>
    <n v="43.230146178202766"/>
    <n v="8.8376065334590678E-2"/>
    <n v="7.5595717395842657E-2"/>
    <n v="1326342959"/>
    <n v="94687623843.009995"/>
    <n v="1.6513939070600647"/>
    <n v="10.508632513392508"/>
    <m/>
    <m/>
    <s v=""/>
    <m/>
    <m/>
    <m/>
    <s v="Beaucoup de traitements efficaces sortis avec son partenaire Regeneron (Dupixent, Libtayo, Kevzara…)"/>
    <m/>
    <n v="1822"/>
    <n v="0"/>
    <s v="FR000012057812012"/>
    <s v="FR0000120578"/>
    <n v="1"/>
    <x v="83"/>
    <m/>
    <m/>
    <m/>
  </r>
  <r>
    <m/>
    <m/>
    <m/>
    <m/>
    <m/>
    <x v="1"/>
    <n v="4.6662074335859005E-2"/>
    <n v="6.0737999346903271E-2"/>
    <n v="0.10574070842784855"/>
    <n v="-0.12752503073950461"/>
    <m/>
    <m/>
    <m/>
    <m/>
    <m/>
    <m/>
    <m/>
    <m/>
    <m/>
    <m/>
    <m/>
    <s v=""/>
    <m/>
    <m/>
    <m/>
    <s v="Croissance sur 10 ans de 18,9% soit un taux de croissance annuel de 1,75%"/>
    <m/>
    <n v="1823"/>
    <n v="0"/>
    <s v="FR00001205781"/>
    <s v="FR0000120578"/>
    <n v="1"/>
    <x v="83"/>
    <m/>
    <m/>
    <m/>
  </r>
  <r>
    <m/>
    <m/>
    <m/>
    <m/>
    <n v="57.42"/>
    <x v="17"/>
    <n v="33389000000"/>
    <n v="9187000000"/>
    <n v="5731000000"/>
    <n v="5693000000"/>
    <n v="10859000000"/>
    <n v="56203000000"/>
    <n v="41.913797866767339"/>
    <n v="0.10721886358928"/>
    <n v="8.3857043567326331E-2"/>
    <n v="1340918811"/>
    <n v="76995558127.619995"/>
    <n v="1.3699545954418801"/>
    <n v="9.5629213157309234"/>
    <m/>
    <m/>
    <s v=""/>
    <m/>
    <m/>
    <m/>
    <s v="En 2022, poursuite des ventes du Dupixent (20% du CA peu-être 30% du CA avec 13 Md euros de ventes en date de mars 2022). Attente d'une future grande découverte. "/>
    <m/>
    <n v="1824"/>
    <n v="0"/>
    <s v="FR000012057812011"/>
    <s v="FR0000120578"/>
    <n v="1"/>
    <x v="83"/>
    <m/>
    <m/>
    <m/>
  </r>
  <r>
    <m/>
    <m/>
    <m/>
    <m/>
    <m/>
    <x v="1"/>
    <n v="9.8900737230121161E-2"/>
    <n v="-7.4171117605562831E-2"/>
    <n v="-3.8584130179500131E-2"/>
    <n v="4.1338942747393359E-2"/>
    <m/>
    <m/>
    <m/>
    <m/>
    <m/>
    <m/>
    <m/>
    <m/>
    <m/>
    <m/>
    <m/>
    <s v=""/>
    <m/>
    <m/>
    <m/>
    <s v="Risque sur les vaccins avec l'ARN des américains, notamment sur la grippe. Moderna travaille sur des vaccins contre la grippe (Sanofi leader) le cancer, le sida, le zona, la mal formation du fœtus "/>
    <m/>
    <n v="1825"/>
    <n v="0"/>
    <s v="FR00001205781"/>
    <s v="FR0000120578"/>
    <n v="1"/>
    <x v="83"/>
    <m/>
    <m/>
    <m/>
  </r>
  <r>
    <m/>
    <m/>
    <m/>
    <m/>
    <n v="49.15"/>
    <x v="18"/>
    <n v="30384000000"/>
    <n v="9923000000"/>
    <n v="5961000000"/>
    <n v="5467000000"/>
    <n v="1577000000"/>
    <n v="53097000000"/>
    <n v="40.501212593581918"/>
    <n v="0.10296250258960017"/>
    <n v="8.7222445769469956E-2"/>
    <n v="1310997785"/>
    <n v="64435541132.75"/>
    <n v="1.2135439127022243"/>
    <n v="6.6524781953794214"/>
    <m/>
    <m/>
    <s v=""/>
    <m/>
    <m/>
    <m/>
    <s v="Résultats décevant sur un traitement du cancer en phase II."/>
    <m/>
    <n v="1826"/>
    <n v="0"/>
    <s v="FR000012057812010"/>
    <s v="FR0000120578"/>
    <n v="1"/>
    <x v="83"/>
    <m/>
    <m/>
    <m/>
  </r>
  <r>
    <m/>
    <m/>
    <m/>
    <m/>
    <m/>
    <x v="1"/>
    <m/>
    <m/>
    <m/>
    <m/>
    <m/>
    <m/>
    <m/>
    <m/>
    <m/>
    <m/>
    <m/>
    <m/>
    <m/>
    <m/>
    <m/>
    <s v=""/>
    <m/>
    <m/>
    <m/>
    <s v="Le brevet du Dupixent tombera à partir de 2030. Durée d'un dépôt de brevet pharmaceutique 20 ans"/>
    <m/>
    <n v="1827"/>
    <n v="0"/>
    <s v="FR00001205781"/>
    <s v="FR0000120578"/>
    <n v="1"/>
    <x v="83"/>
    <m/>
    <m/>
    <m/>
  </r>
  <r>
    <m/>
    <m/>
    <m/>
    <m/>
    <s v="IPO en 1980"/>
    <x v="1"/>
    <m/>
    <m/>
    <m/>
    <m/>
    <m/>
    <m/>
    <m/>
    <m/>
    <m/>
    <m/>
    <m/>
    <m/>
    <m/>
    <m/>
    <m/>
    <s v=""/>
    <m/>
    <m/>
    <m/>
    <s v="Introduction en bourse de la partie API (production d'ingrédients actifs pharmaceutiques) 1 Md euros de CA (plutôt 980 M e) et EBE : 14% (plutôt 12-13%), Sanofi en conservant 30% et l'État via un fonds 12%. Permettra son développement (3500 salariés et 6 usines en France) et Sanofi 49% du CA. CEO : Karl Rotthier "/>
    <m/>
    <n v="1828"/>
    <n v="0"/>
    <s v="FR00001205781"/>
    <s v="FR0000120578"/>
    <n v="1"/>
    <x v="83"/>
    <m/>
    <m/>
    <m/>
  </r>
  <r>
    <m/>
    <m/>
    <m/>
    <m/>
    <m/>
    <x v="1"/>
    <m/>
    <m/>
    <m/>
    <m/>
    <m/>
    <m/>
    <m/>
    <m/>
    <m/>
    <m/>
    <m/>
    <m/>
    <m/>
    <m/>
    <m/>
    <s v=""/>
    <m/>
    <m/>
    <m/>
    <s v="En 2023, poursuite du développement du Dupixent (10 Md de ventes contre 8 en 2022 et 14 à terme), traitement contre l'hémophilie (sortie en mars) et Beyfortus. Générique d'Aubagio (2 Md de ventes) cette année"/>
    <m/>
    <n v="1829"/>
    <n v="0"/>
    <s v="FR00001205781"/>
    <s v="FR0000120578"/>
    <n v="1"/>
    <x v="83"/>
    <m/>
    <m/>
    <m/>
  </r>
  <r>
    <m/>
    <m/>
    <m/>
    <m/>
    <m/>
    <x v="1"/>
    <m/>
    <m/>
    <m/>
    <m/>
    <m/>
    <m/>
    <m/>
    <m/>
    <m/>
    <m/>
    <m/>
    <m/>
    <m/>
    <m/>
    <m/>
    <s v=""/>
    <m/>
    <m/>
    <m/>
    <s v="Acquisition de Provention Bio dans le diabète pour adultes et enfants (Phase 1) aux États-Unis pour 2,9 Md dollars"/>
    <m/>
    <n v="1830"/>
    <n v="0"/>
    <s v="FR00001205781"/>
    <s v="FR0000120578"/>
    <n v="1"/>
    <x v="83"/>
    <m/>
    <m/>
    <m/>
  </r>
  <r>
    <m/>
    <m/>
    <m/>
    <m/>
    <m/>
    <x v="1"/>
    <m/>
    <m/>
    <m/>
    <m/>
    <m/>
    <m/>
    <m/>
    <m/>
    <m/>
    <m/>
    <m/>
    <m/>
    <m/>
    <m/>
    <m/>
    <s v=""/>
    <m/>
    <m/>
    <m/>
    <s v="9 produits en phase III et 27 produits en phase I et II (Pfizer : 100)"/>
    <m/>
    <n v="1831"/>
    <n v="0"/>
    <s v="FR00001205781"/>
    <s v="FR0000120578"/>
    <n v="1"/>
    <x v="83"/>
    <m/>
    <m/>
    <m/>
  </r>
  <r>
    <m/>
    <m/>
    <m/>
    <m/>
    <m/>
    <x v="1"/>
    <m/>
    <m/>
    <m/>
    <m/>
    <m/>
    <m/>
    <m/>
    <m/>
    <m/>
    <m/>
    <m/>
    <m/>
    <m/>
    <m/>
    <m/>
    <s v=""/>
    <m/>
    <m/>
    <m/>
    <s v="D'ici 2030, 3 à 5 nouveaux produits entre 2 et 5 Md de ventes"/>
    <m/>
    <n v="1832"/>
    <n v="0"/>
    <s v="FR00001205781"/>
    <s v="FR0000120578"/>
    <n v="1"/>
    <x v="83"/>
    <m/>
    <m/>
    <m/>
  </r>
  <r>
    <m/>
    <m/>
    <m/>
    <m/>
    <m/>
    <x v="1"/>
    <m/>
    <m/>
    <m/>
    <m/>
    <m/>
    <m/>
    <m/>
    <m/>
    <m/>
    <m/>
    <m/>
    <m/>
    <m/>
    <m/>
    <m/>
    <s v=""/>
    <m/>
    <m/>
    <m/>
    <s v="Taux d'IS : 19%"/>
    <m/>
    <n v="1833"/>
    <n v="0"/>
    <s v="FR00001205781"/>
    <s v="FR0000120578"/>
    <n v="1"/>
    <x v="83"/>
    <m/>
    <m/>
    <m/>
  </r>
  <r>
    <m/>
    <m/>
    <m/>
    <m/>
    <m/>
    <x v="1"/>
    <m/>
    <m/>
    <m/>
    <m/>
    <m/>
    <m/>
    <m/>
    <m/>
    <m/>
    <m/>
    <m/>
    <m/>
    <m/>
    <m/>
    <m/>
    <s v=""/>
    <m/>
    <m/>
    <m/>
    <s v="Minoritaires : aucun mais partenariat et partage du profit (Regeneron)"/>
    <m/>
    <n v="1834"/>
    <n v="0"/>
    <s v="FR00001205781"/>
    <s v="FR0000120578"/>
    <n v="1"/>
    <x v="83"/>
    <m/>
    <m/>
    <m/>
  </r>
  <r>
    <m/>
    <m/>
    <m/>
    <m/>
    <m/>
    <x v="1"/>
    <m/>
    <m/>
    <m/>
    <m/>
    <m/>
    <m/>
    <m/>
    <m/>
    <m/>
    <m/>
    <m/>
    <m/>
    <m/>
    <m/>
    <m/>
    <s v=""/>
    <m/>
    <m/>
    <m/>
    <s v="CAC : Price et Ernst"/>
    <m/>
    <n v="1835"/>
    <n v="0"/>
    <s v="FR00001205781"/>
    <s v="FR0000120578"/>
    <n v="1"/>
    <x v="83"/>
    <m/>
    <m/>
    <m/>
  </r>
  <r>
    <m/>
    <m/>
    <m/>
    <m/>
    <m/>
    <x v="1"/>
    <m/>
    <m/>
    <m/>
    <m/>
    <m/>
    <m/>
    <m/>
    <m/>
    <m/>
    <m/>
    <m/>
    <m/>
    <m/>
    <m/>
    <m/>
    <s v=""/>
    <m/>
    <m/>
    <m/>
    <s v="Pay-out ratio : 65%  avec un dividende à 3,56 euros (contre 3,33 euros) "/>
    <m/>
    <n v="1836"/>
    <n v="0"/>
    <s v="FR00001205781"/>
    <s v="FR0000120578"/>
    <n v="1"/>
    <x v="83"/>
    <m/>
    <m/>
    <m/>
  </r>
  <r>
    <m/>
    <m/>
    <m/>
    <m/>
    <m/>
    <x v="1"/>
    <m/>
    <m/>
    <m/>
    <m/>
    <m/>
    <m/>
    <m/>
    <m/>
    <m/>
    <m/>
    <m/>
    <m/>
    <m/>
    <m/>
    <m/>
    <s v=""/>
    <m/>
    <m/>
    <m/>
    <m/>
    <m/>
    <n v="1837"/>
    <n v="0"/>
    <s v="FR00001205781"/>
    <s v="FR0000120578"/>
    <n v="1"/>
    <x v="83"/>
    <m/>
    <m/>
    <m/>
  </r>
  <r>
    <m/>
    <m/>
    <m/>
    <m/>
    <m/>
    <x v="1"/>
    <m/>
    <m/>
    <m/>
    <m/>
    <m/>
    <m/>
    <m/>
    <m/>
    <m/>
    <m/>
    <m/>
    <m/>
    <m/>
    <m/>
    <m/>
    <s v=""/>
    <m/>
    <m/>
    <m/>
    <m/>
    <m/>
    <n v="1838"/>
    <n v="0"/>
    <s v="FR00001205781"/>
    <s v="FR0000120578"/>
    <n v="1"/>
    <x v="83"/>
    <m/>
    <m/>
    <m/>
  </r>
  <r>
    <s v="Ipsen"/>
    <s v="Pharmacie"/>
    <s v="France"/>
    <s v="Euro"/>
    <m/>
    <x v="0"/>
    <m/>
    <m/>
    <m/>
    <m/>
    <m/>
    <m/>
    <m/>
    <m/>
    <m/>
    <m/>
    <m/>
    <m/>
    <m/>
    <m/>
    <m/>
    <s v=""/>
    <m/>
    <m/>
    <m/>
    <m/>
    <m/>
    <n v="1839"/>
    <n v="0"/>
    <s v="FR001025915012023"/>
    <s v="FR0010259150"/>
    <n v="1"/>
    <x v="84"/>
    <m/>
    <m/>
    <m/>
  </r>
  <r>
    <m/>
    <m/>
    <m/>
    <m/>
    <m/>
    <x v="1"/>
    <m/>
    <m/>
    <m/>
    <m/>
    <m/>
    <m/>
    <m/>
    <m/>
    <m/>
    <m/>
    <m/>
    <m/>
    <m/>
    <m/>
    <m/>
    <s v=""/>
    <m/>
    <m/>
    <m/>
    <s v="Ipsen est un groupe biopharmaceutique français fondé en 1929 par Henri Beaufour à Dreux."/>
    <m/>
    <n v="1840"/>
    <n v="0"/>
    <s v="FR00102591501"/>
    <s v="FR0010259150"/>
    <n v="1"/>
    <x v="84"/>
    <m/>
    <m/>
    <m/>
  </r>
  <r>
    <m/>
    <m/>
    <m/>
    <m/>
    <n v="100.5"/>
    <x v="2"/>
    <m/>
    <m/>
    <m/>
    <m/>
    <m/>
    <m/>
    <m/>
    <m/>
    <m/>
    <m/>
    <m/>
    <m/>
    <m/>
    <m/>
    <m/>
    <s v=""/>
    <m/>
    <m/>
    <m/>
    <s v="Répartition de l'activité : Oncologie (74%), Neurosciences (13,7%), Maladies rares (2%), Santé familiale (10,3%)"/>
    <m/>
    <n v="1841"/>
    <n v="0"/>
    <s v="FR001025915012022"/>
    <s v="FR0010259150"/>
    <n v="1"/>
    <x v="84"/>
    <m/>
    <m/>
    <m/>
  </r>
  <r>
    <m/>
    <m/>
    <m/>
    <m/>
    <m/>
    <x v="1"/>
    <m/>
    <m/>
    <m/>
    <m/>
    <m/>
    <m/>
    <m/>
    <m/>
    <m/>
    <m/>
    <m/>
    <m/>
    <m/>
    <m/>
    <m/>
    <s v=""/>
    <m/>
    <m/>
    <m/>
    <s v="Dirigeants : David Loew (élu PDG en 2020), Aymeric Le Chatelier (Directeur financier), Marc de Gardiel (Président conseil d'administration)"/>
    <m/>
    <n v="1842"/>
    <n v="0"/>
    <s v="FR00102591501"/>
    <s v="FR0010259150"/>
    <n v="1"/>
    <x v="84"/>
    <m/>
    <m/>
    <m/>
  </r>
  <r>
    <m/>
    <m/>
    <m/>
    <m/>
    <n v="80.5"/>
    <x v="3"/>
    <n v="2700000000"/>
    <s v="-"/>
    <m/>
    <m/>
    <m/>
    <m/>
    <m/>
    <m/>
    <m/>
    <m/>
    <m/>
    <m/>
    <m/>
    <m/>
    <m/>
    <s v=""/>
    <m/>
    <m/>
    <m/>
    <s v="Répartition géographique : 31,8% de l'activité en France, UK, Allemagne, Italie, Espagne. 19,3% sur le reste de l'Europe. 31% en AmériQue du nord. 17,9% Asie et reste du monde."/>
    <m/>
    <n v="1843"/>
    <n v="0"/>
    <s v="FR001025915012021"/>
    <s v="FR0010259150"/>
    <n v="1"/>
    <x v="84"/>
    <m/>
    <m/>
    <m/>
  </r>
  <r>
    <m/>
    <m/>
    <m/>
    <m/>
    <m/>
    <x v="1"/>
    <n v="4.2068699343882576E-2"/>
    <m/>
    <m/>
    <m/>
    <m/>
    <m/>
    <m/>
    <m/>
    <m/>
    <m/>
    <m/>
    <m/>
    <m/>
    <m/>
    <m/>
    <s v=""/>
    <m/>
    <m/>
    <m/>
    <s v="Concurrence : Novartis, Sanofi, Roche"/>
    <m/>
    <n v="1844"/>
    <n v="0"/>
    <s v="FR00102591501"/>
    <s v="FR0010259150"/>
    <n v="1"/>
    <x v="84"/>
    <m/>
    <m/>
    <m/>
  </r>
  <r>
    <m/>
    <m/>
    <m/>
    <m/>
    <n v="68"/>
    <x v="4"/>
    <n v="2591000000"/>
    <s v="-"/>
    <n v="521000000"/>
    <n v="548900000"/>
    <n v="525300000"/>
    <n v="2121700000"/>
    <n v="25.314227750927088"/>
    <n v="0.25870764009991987"/>
    <n v="0.12596902153381187"/>
    <n v="83814526"/>
    <n v="5699387768"/>
    <n v="2.686236399113918"/>
    <e v="#VALUE!"/>
    <m/>
    <m/>
    <s v=""/>
    <m/>
    <m/>
    <m/>
    <s v="En 2013, acquisition du groupe britanique Syntaxin, "/>
    <m/>
    <n v="1845"/>
    <n v="0"/>
    <s v="FR001025915012020"/>
    <s v="FR0010259150"/>
    <n v="1"/>
    <x v="84"/>
    <m/>
    <m/>
    <m/>
  </r>
  <r>
    <m/>
    <m/>
    <m/>
    <m/>
    <m/>
    <x v="1"/>
    <n v="5.7448955826411296E-3"/>
    <m/>
    <n v="-16.598802395209582"/>
    <n v="-11.934262948207172"/>
    <m/>
    <m/>
    <m/>
    <m/>
    <m/>
    <m/>
    <m/>
    <m/>
    <m/>
    <m/>
    <m/>
    <s v=""/>
    <m/>
    <m/>
    <m/>
    <s v="En janvier 2017 acquisition de certains actifs de Merrimack Pharmaceuticals, dont Onivyde pour 1 Mds de dollars. "/>
    <m/>
    <n v="1846"/>
    <n v="0"/>
    <s v="FR00102591501"/>
    <s v="FR0010259150"/>
    <n v="1"/>
    <x v="84"/>
    <m/>
    <m/>
    <m/>
  </r>
  <r>
    <m/>
    <m/>
    <m/>
    <m/>
    <n v="79"/>
    <x v="5"/>
    <n v="2576200000"/>
    <s v="-"/>
    <n v="-33400000"/>
    <n v="-50200000"/>
    <n v="1115300000"/>
    <n v="1753100000"/>
    <n v="20.916422053141481"/>
    <n v="-2.8634989447264846E-2"/>
    <n v="-7.4522381815646356E-3"/>
    <n v="83814526"/>
    <n v="6621347554"/>
    <n v="3.7769366003080256"/>
    <e v="#VALUE!"/>
    <m/>
    <m/>
    <s v=""/>
    <m/>
    <m/>
    <m/>
    <s v="En 2019, acquisition du laboratoire canadien Clementia Pharmaceuticals pour 1,3 Mds de dollars afin d'obtenir une mollécule pour le traitement de maladie rare. Le nouveau PDG a annoncé vouloir consacré 3 Mds d'euros à l'acquisition et la croissance externe. "/>
    <m/>
    <n v="1847"/>
    <n v="0"/>
    <s v="FR001025915012019"/>
    <s v="FR0010259150"/>
    <n v="1"/>
    <x v="84"/>
    <m/>
    <m/>
    <m/>
  </r>
  <r>
    <m/>
    <m/>
    <m/>
    <m/>
    <m/>
    <x v="1"/>
    <n v="0.15794678173318943"/>
    <m/>
    <n v="-1.0643049672699267"/>
    <n v="-1.1290156772038036"/>
    <m/>
    <m/>
    <m/>
    <m/>
    <m/>
    <m/>
    <m/>
    <m/>
    <m/>
    <m/>
    <m/>
    <s v=""/>
    <m/>
    <m/>
    <m/>
    <s v="L'acquisition de Clementia s'est soldé par un échec des essai clinique sur la molécule qui avait motivé l'achat du laboratoire et a engendré une chute de 25% en bourse en Décembre 2019."/>
    <m/>
    <n v="1848"/>
    <n v="0"/>
    <s v="FR00102591501"/>
    <s v="FR0010259150"/>
    <n v="1"/>
    <x v="84"/>
    <m/>
    <m/>
    <m/>
  </r>
  <r>
    <m/>
    <m/>
    <m/>
    <m/>
    <n v="109.2"/>
    <x v="6"/>
    <n v="2224800000"/>
    <s v="-"/>
    <n v="519400000"/>
    <n v="389100000"/>
    <n v="242500000"/>
    <n v="1843400000"/>
    <n v="21.995313831211512"/>
    <n v="0.21107735705761094"/>
    <n v="0.15936334435974878"/>
    <n v="83808761"/>
    <n v="9151916701.2000008"/>
    <n v="4.9646938815232726"/>
    <e v="#VALUE!"/>
    <m/>
    <m/>
    <s v=""/>
    <m/>
    <m/>
    <m/>
    <s v="En 2021, retour de l'activité sur les niveaux de 2019, cession de la partie santé famille pour 350 Meuros"/>
    <m/>
    <n v="1849"/>
    <n v="0"/>
    <s v="FR001025915012018"/>
    <s v="FR0010259150"/>
    <n v="1"/>
    <x v="84"/>
    <m/>
    <m/>
    <m/>
  </r>
  <r>
    <m/>
    <m/>
    <m/>
    <m/>
    <m/>
    <x v="1"/>
    <n v="0.16561010111594276"/>
    <m/>
    <n v="0.30765357502517632"/>
    <n v="0.42579699523635028"/>
    <m/>
    <m/>
    <m/>
    <m/>
    <m/>
    <m/>
    <m/>
    <m/>
    <m/>
    <m/>
    <m/>
    <s v=""/>
    <m/>
    <m/>
    <m/>
    <s v="En 2022, acquisition d'Epizyme pour 247 M$ aux États-Unis, traitement contre le cancer"/>
    <m/>
    <n v="1850"/>
    <n v="0"/>
    <s v="FR00102591501"/>
    <s v="FR0010259150"/>
    <n v="1"/>
    <x v="84"/>
    <m/>
    <m/>
    <m/>
  </r>
  <r>
    <m/>
    <m/>
    <m/>
    <m/>
    <n v="99.6"/>
    <x v="7"/>
    <n v="1908700000"/>
    <s v="-"/>
    <n v="397200000"/>
    <n v="272900000"/>
    <n v="464300000"/>
    <n v="1535900000"/>
    <n v="18.343146102388385"/>
    <n v="0.17768083859626277"/>
    <n v="0.12709129087091292"/>
    <n v="83731547"/>
    <n v="8339662081.1999998"/>
    <n v="5.4298210047529132"/>
    <e v="#VALUE!"/>
    <m/>
    <m/>
    <s v=""/>
    <m/>
    <m/>
    <m/>
    <s v="Effectif : 5700 personnes"/>
    <m/>
    <n v="1851"/>
    <n v="0"/>
    <s v="FR001025915012017"/>
    <s v="FR0010259150"/>
    <n v="1"/>
    <x v="84"/>
    <m/>
    <m/>
    <m/>
  </r>
  <r>
    <m/>
    <m/>
    <m/>
    <m/>
    <m/>
    <x v="1"/>
    <n v="0.20498737373737375"/>
    <m/>
    <n v="0.303577289136856"/>
    <n v="0.20432480141218012"/>
    <m/>
    <m/>
    <m/>
    <m/>
    <m/>
    <m/>
    <m/>
    <m/>
    <m/>
    <m/>
    <m/>
    <s v=""/>
    <m/>
    <m/>
    <m/>
    <s v="CAC : KPMG, Deloitte"/>
    <m/>
    <n v="1852"/>
    <n v="0"/>
    <s v="FR00102591501"/>
    <s v="FR0010259150"/>
    <n v="1"/>
    <x v="84"/>
    <m/>
    <m/>
    <m/>
  </r>
  <r>
    <m/>
    <m/>
    <m/>
    <m/>
    <n v="68.7"/>
    <x v="8"/>
    <n v="1584000000"/>
    <s v="-"/>
    <n v="304700000"/>
    <n v="226600000"/>
    <n v="68600000"/>
    <n v="1362200000"/>
    <n v="16.335784876301101"/>
    <n v="0.16634855381001321"/>
    <n v="0.1362929829466033"/>
    <n v="83387484"/>
    <n v="5728720150.8000002"/>
    <n v="4.2054912280135079"/>
    <e v="#VALUE!"/>
    <m/>
    <m/>
    <s v=""/>
    <m/>
    <m/>
    <m/>
    <s v="Minoritaire : très faible"/>
    <m/>
    <n v="1853"/>
    <n v="0"/>
    <s v="FR001025915012016"/>
    <s v="FR0010259150"/>
    <n v="1"/>
    <x v="84"/>
    <m/>
    <m/>
    <m/>
  </r>
  <r>
    <m/>
    <m/>
    <m/>
    <m/>
    <m/>
    <x v="1"/>
    <n v="9.7028880116351468E-2"/>
    <m/>
    <n v="0.2487704918032787"/>
    <n v="0.18825380178290518"/>
    <m/>
    <m/>
    <m/>
    <m/>
    <m/>
    <m/>
    <m/>
    <m/>
    <m/>
    <m/>
    <m/>
    <s v=""/>
    <m/>
    <m/>
    <m/>
    <s v="Pay-out Ratio : 15%"/>
    <m/>
    <n v="1854"/>
    <n v="0"/>
    <s v="FR00102591501"/>
    <s v="FR0010259150"/>
    <n v="1"/>
    <x v="84"/>
    <m/>
    <m/>
    <m/>
  </r>
  <r>
    <m/>
    <m/>
    <m/>
    <m/>
    <n v="61"/>
    <x v="9"/>
    <n v="1443900000"/>
    <s v="-"/>
    <n v="244000000"/>
    <n v="190700000"/>
    <n v="27100000"/>
    <n v="1225600000"/>
    <n v="14.740251535368701"/>
    <n v="0.15559725848563968"/>
    <n v="0.12465873712780394"/>
    <n v="83146478"/>
    <n v="5071935158"/>
    <n v="4.1383282947127942"/>
    <e v="#VALUE!"/>
    <m/>
    <m/>
    <s v=""/>
    <m/>
    <m/>
    <m/>
    <m/>
    <m/>
    <n v="1855"/>
    <n v="0"/>
    <s v="FR001025915012015"/>
    <s v="FR0010259150"/>
    <n v="1"/>
    <x v="84"/>
    <m/>
    <m/>
    <m/>
  </r>
  <r>
    <m/>
    <m/>
    <m/>
    <m/>
    <m/>
    <x v="1"/>
    <n v="0.13264825855036078"/>
    <m/>
    <n v="0.10207768744354118"/>
    <n v="0.23831168831168825"/>
    <m/>
    <m/>
    <m/>
    <m/>
    <m/>
    <m/>
    <m/>
    <m/>
    <m/>
    <m/>
    <m/>
    <s v=""/>
    <m/>
    <m/>
    <m/>
    <m/>
    <m/>
    <n v="1856"/>
    <n v="0"/>
    <s v="FR00102591501"/>
    <s v="FR0010259150"/>
    <n v="1"/>
    <x v="84"/>
    <m/>
    <m/>
    <m/>
  </r>
  <r>
    <m/>
    <m/>
    <m/>
    <m/>
    <n v="43"/>
    <x v="10"/>
    <n v="1274800000"/>
    <s v="-"/>
    <n v="221400000"/>
    <n v="154000000"/>
    <n v="20100000"/>
    <n v="1067900000"/>
    <n v="12.890963991936696"/>
    <n v="0.14420825920029964"/>
    <n v="0.13023529411764706"/>
    <n v="82840973"/>
    <n v="3562161839"/>
    <n v="3.3356698557917408"/>
    <e v="#VALUE!"/>
    <m/>
    <m/>
    <s v=""/>
    <m/>
    <m/>
    <m/>
    <m/>
    <m/>
    <n v="1857"/>
    <n v="0"/>
    <s v="FR001025915012014"/>
    <s v="FR0010259150"/>
    <n v="1"/>
    <x v="84"/>
    <m/>
    <m/>
    <m/>
  </r>
  <r>
    <m/>
    <m/>
    <m/>
    <m/>
    <m/>
    <x v="1"/>
    <n v="4.0822991508817852E-2"/>
    <m/>
    <n v="5.1781472684085506E-2"/>
    <n v="5.878510777269863E-3"/>
    <m/>
    <m/>
    <m/>
    <m/>
    <m/>
    <m/>
    <m/>
    <m/>
    <m/>
    <m/>
    <m/>
    <s v=""/>
    <m/>
    <m/>
    <m/>
    <m/>
    <m/>
    <n v="1858"/>
    <n v="0"/>
    <s v="FR00102591501"/>
    <s v="FR0010259150"/>
    <n v="1"/>
    <x v="84"/>
    <m/>
    <m/>
    <m/>
  </r>
  <r>
    <m/>
    <m/>
    <m/>
    <m/>
    <n v="33.700000000000003"/>
    <x v="11"/>
    <n v="1224800000"/>
    <s v="-"/>
    <n v="210500000"/>
    <n v="153100000"/>
    <n v="19900000"/>
    <n v="973800000"/>
    <n v="11.55945842714611"/>
    <n v="0.15721914150749641"/>
    <n v="0.13557411693670121"/>
    <n v="84242701"/>
    <n v="2838979023.7000003"/>
    <n v="2.9153614948654756"/>
    <e v="#VALUE!"/>
    <m/>
    <m/>
    <s v=""/>
    <m/>
    <m/>
    <m/>
    <m/>
    <m/>
    <n v="1859"/>
    <n v="0"/>
    <s v="FR001025915012013"/>
    <s v="FR0010259150"/>
    <n v="1"/>
    <x v="84"/>
    <m/>
    <m/>
    <m/>
  </r>
  <r>
    <m/>
    <m/>
    <m/>
    <m/>
    <m/>
    <x v="1"/>
    <n v="4.3460434604345455E-3"/>
    <m/>
    <n v="0.83362369337979092"/>
    <n v="-6.1898305084745759"/>
    <m/>
    <m/>
    <m/>
    <m/>
    <m/>
    <m/>
    <m/>
    <m/>
    <m/>
    <m/>
    <m/>
    <s v=""/>
    <m/>
    <m/>
    <m/>
    <m/>
    <m/>
    <n v="1860"/>
    <n v="0"/>
    <s v="FR00102591501"/>
    <s v="FR0010259150"/>
    <n v="1"/>
    <x v="84"/>
    <m/>
    <m/>
    <m/>
  </r>
  <r>
    <m/>
    <m/>
    <m/>
    <m/>
    <n v="22.7"/>
    <x v="12"/>
    <n v="1219500000"/>
    <s v="-"/>
    <n v="114800000"/>
    <n v="-29500000"/>
    <n v="2300000"/>
    <n v="926200000"/>
    <n v="10.992770751842734"/>
    <n v="-3.1850572230619739E-2"/>
    <n v="7.9129779213785681E-2"/>
    <n v="84255373"/>
    <n v="1912596967.0999999"/>
    <n v="2.0649934863960269"/>
    <e v="#VALUE!"/>
    <m/>
    <m/>
    <s v=""/>
    <m/>
    <m/>
    <m/>
    <m/>
    <m/>
    <n v="1861"/>
    <n v="0"/>
    <s v="FR001025915012012"/>
    <s v="FR0010259150"/>
    <n v="1"/>
    <x v="84"/>
    <m/>
    <m/>
    <m/>
  </r>
  <r>
    <m/>
    <m/>
    <m/>
    <m/>
    <m/>
    <x v="1"/>
    <n v="5.1474392136575231E-2"/>
    <m/>
    <n v="0.58126721763085398"/>
    <n v="-33.777777777777779"/>
    <m/>
    <m/>
    <m/>
    <m/>
    <m/>
    <m/>
    <m/>
    <m/>
    <m/>
    <m/>
    <m/>
    <s v=""/>
    <m/>
    <m/>
    <m/>
    <m/>
    <m/>
    <n v="1862"/>
    <n v="0"/>
    <s v="FR00102591501"/>
    <s v="FR0010259150"/>
    <n v="1"/>
    <x v="84"/>
    <m/>
    <m/>
    <m/>
  </r>
  <r>
    <m/>
    <m/>
    <m/>
    <m/>
    <n v="24.2"/>
    <x v="17"/>
    <n v="1159800000"/>
    <s v="-"/>
    <n v="72600000"/>
    <n v="900000"/>
    <n v="1800000"/>
    <n v="1015400000"/>
    <n v="12.056078742223049"/>
    <n v="8.8635020681504821E-4"/>
    <n v="4.5678332677939443E-2"/>
    <n v="84223073"/>
    <n v="2038198366.5999999"/>
    <n v="2.007286159740004"/>
    <e v="#VALUE!"/>
    <m/>
    <m/>
    <s v=""/>
    <m/>
    <m/>
    <m/>
    <m/>
    <m/>
    <n v="1863"/>
    <n v="0"/>
    <s v="FR001025915012011"/>
    <s v="FR0010259150"/>
    <n v="1"/>
    <x v="84"/>
    <m/>
    <m/>
    <m/>
  </r>
  <r>
    <m/>
    <m/>
    <m/>
    <m/>
    <m/>
    <x v="1"/>
    <n v="8.56500982869981E-2"/>
    <m/>
    <n v="-0.43633540372670809"/>
    <n v="-0.99059561128526641"/>
    <m/>
    <m/>
    <m/>
    <m/>
    <m/>
    <m/>
    <m/>
    <m/>
    <m/>
    <m/>
    <m/>
    <s v=""/>
    <m/>
    <m/>
    <m/>
    <m/>
    <m/>
    <n v="1864"/>
    <n v="0"/>
    <s v="FR00102591501"/>
    <s v="FR0010259150"/>
    <n v="1"/>
    <x v="84"/>
    <m/>
    <m/>
    <m/>
  </r>
  <r>
    <m/>
    <m/>
    <m/>
    <m/>
    <n v="24.8"/>
    <x v="18"/>
    <n v="1068300000"/>
    <m/>
    <n v="128800000"/>
    <n v="95700000"/>
    <n v="22800000"/>
    <n v="1079200000"/>
    <n v="12.817906986629909"/>
    <n v="8.8676797627872492E-2"/>
    <n v="7.4802177858439206E-2"/>
    <n v="84194713"/>
    <n v="2088028882.4000001"/>
    <n v="1.9347932564862862"/>
    <e v="#DIV/0!"/>
    <m/>
    <m/>
    <s v=""/>
    <m/>
    <m/>
    <m/>
    <m/>
    <m/>
    <n v="1865"/>
    <n v="0"/>
    <s v="FR001025915012010"/>
    <s v="FR0010259150"/>
    <n v="1"/>
    <x v="84"/>
    <m/>
    <m/>
    <m/>
  </r>
  <r>
    <m/>
    <m/>
    <m/>
    <m/>
    <m/>
    <x v="1"/>
    <m/>
    <m/>
    <m/>
    <m/>
    <m/>
    <m/>
    <m/>
    <m/>
    <m/>
    <m/>
    <m/>
    <m/>
    <m/>
    <m/>
    <m/>
    <s v=""/>
    <m/>
    <m/>
    <m/>
    <m/>
    <m/>
    <n v="1866"/>
    <n v="0"/>
    <s v="FR00102591501"/>
    <s v="FR0010259150"/>
    <n v="1"/>
    <x v="84"/>
    <m/>
    <m/>
    <m/>
  </r>
  <r>
    <m/>
    <m/>
    <m/>
    <m/>
    <m/>
    <x v="1"/>
    <m/>
    <m/>
    <m/>
    <m/>
    <m/>
    <m/>
    <m/>
    <m/>
    <m/>
    <m/>
    <m/>
    <m/>
    <m/>
    <m/>
    <m/>
    <s v=""/>
    <m/>
    <m/>
    <m/>
    <m/>
    <m/>
    <n v="1867"/>
    <n v="0"/>
    <s v="FR00102591501"/>
    <s v="FR0010259150"/>
    <n v="1"/>
    <x v="84"/>
    <m/>
    <m/>
    <m/>
  </r>
  <r>
    <m/>
    <m/>
    <m/>
    <m/>
    <m/>
    <x v="1"/>
    <m/>
    <m/>
    <m/>
    <m/>
    <m/>
    <m/>
    <m/>
    <m/>
    <m/>
    <m/>
    <m/>
    <m/>
    <m/>
    <m/>
    <m/>
    <s v=""/>
    <m/>
    <m/>
    <m/>
    <m/>
    <m/>
    <n v="1868"/>
    <n v="0"/>
    <s v="FR00102591501"/>
    <s v="FR0010259150"/>
    <n v="1"/>
    <x v="84"/>
    <m/>
    <m/>
    <m/>
  </r>
  <r>
    <s v="AstraZeneca"/>
    <s v="Pharmacie"/>
    <s v="Anglo-suédois"/>
    <s v="Dollar"/>
    <n v="86.78"/>
    <x v="3"/>
    <m/>
    <m/>
    <m/>
    <m/>
    <m/>
    <m/>
    <m/>
    <m/>
    <m/>
    <n v="1312137976"/>
    <n v="113867333557.28"/>
    <e v="#DIV/0!"/>
    <e v="#DIV/0!"/>
    <s v="BBB+"/>
    <m/>
    <s v=""/>
    <m/>
    <m/>
    <m/>
    <s v="Fusion en 1999 entre Astra le suèdois et Zeneca le britannique"/>
    <m/>
    <n v="1869"/>
    <n v="0"/>
    <s v="GB000989529212021"/>
    <s v="GB0009895292"/>
    <n v="1"/>
    <x v="85"/>
    <m/>
    <m/>
    <m/>
  </r>
  <r>
    <m/>
    <m/>
    <m/>
    <m/>
    <m/>
    <x v="1"/>
    <m/>
    <m/>
    <m/>
    <m/>
    <m/>
    <m/>
    <m/>
    <m/>
    <m/>
    <m/>
    <m/>
    <m/>
    <m/>
    <m/>
    <m/>
    <s v=""/>
    <m/>
    <m/>
    <m/>
    <s v="Président-directeur général Pascal Soriot né en 1959, il a rejoint l'entreprise en 1986 et occupe le poste de CEO depuis octobre 2012"/>
    <m/>
    <n v="1870"/>
    <n v="0"/>
    <s v="GB00098952921"/>
    <s v="GB0009895292"/>
    <n v="1"/>
    <x v="85"/>
    <m/>
    <m/>
    <m/>
  </r>
  <r>
    <m/>
    <m/>
    <m/>
    <m/>
    <n v="73.58"/>
    <x v="4"/>
    <n v="26617000000"/>
    <n v="8311000000"/>
    <n v="3916000000"/>
    <n v="3196000000"/>
    <n v="12110000000"/>
    <n v="15622000000"/>
    <n v="11.905760130213624"/>
    <n v="0.20458327998975803"/>
    <n v="9.0373575652675606E-2"/>
    <n v="1312137976"/>
    <n v="96547112274.080002"/>
    <n v="6.1802017842837023"/>
    <n v="13.07389150211527"/>
    <m/>
    <m/>
    <s v=""/>
    <m/>
    <m/>
    <m/>
    <s v="Comptes en dollars"/>
    <m/>
    <n v="1871"/>
    <n v="0"/>
    <s v="GB000989529212020"/>
    <s v="GB0009895292"/>
    <n v="1"/>
    <x v="85"/>
    <m/>
    <m/>
    <m/>
  </r>
  <r>
    <m/>
    <m/>
    <m/>
    <m/>
    <m/>
    <x v="1"/>
    <n v="9.1576443569553856E-2"/>
    <n v="0.24304516900987139"/>
    <n v="1.5297157622739017"/>
    <n v="1.3940074906367039"/>
    <m/>
    <m/>
    <m/>
    <m/>
    <m/>
    <m/>
    <m/>
    <m/>
    <m/>
    <m/>
    <m/>
    <s v=""/>
    <m/>
    <m/>
    <m/>
    <s v="Répartition par zones géographiques : 38% en Amérique du Nord, 37% en Asie et 25% en Europe"/>
    <m/>
    <n v="1872"/>
    <n v="0"/>
    <s v="GB00098952921"/>
    <s v="GB0009895292"/>
    <n v="1"/>
    <x v="85"/>
    <m/>
    <m/>
    <m/>
  </r>
  <r>
    <m/>
    <m/>
    <m/>
    <m/>
    <n v="76.564999999999998"/>
    <x v="5"/>
    <n v="24384000000"/>
    <n v="6686000000"/>
    <n v="1548000000"/>
    <n v="1335000000"/>
    <n v="11904000000"/>
    <n v="13127000000"/>
    <n v="10.004283269063771"/>
    <n v="0.10169878875599908"/>
    <n v="3.9579721145779234E-2"/>
    <n v="1312137976"/>
    <n v="100463844132.44"/>
    <n v="7.6532219191315614"/>
    <n v="16.806437949811546"/>
    <m/>
    <m/>
    <s v=""/>
    <m/>
    <m/>
    <m/>
    <s v="CA : 37% en oncologie, 29% en cardiovasculaire, 23% en respiratoire et 11% autres"/>
    <m/>
    <n v="1873"/>
    <n v="0"/>
    <s v="GB000989529212019"/>
    <s v="GB0009895292"/>
    <n v="1"/>
    <x v="85"/>
    <m/>
    <m/>
    <m/>
  </r>
  <r>
    <m/>
    <m/>
    <m/>
    <m/>
    <m/>
    <x v="1"/>
    <n v="6.4803493449781646E-2"/>
    <n v="-6.3585434173669464E-2"/>
    <n v="-0.22328148519819369"/>
    <n v="-0.38051044083526686"/>
    <m/>
    <m/>
    <m/>
    <m/>
    <m/>
    <m/>
    <m/>
    <m/>
    <m/>
    <m/>
    <m/>
    <s v=""/>
    <m/>
    <m/>
    <m/>
    <s v="Pascal Soriot a refusé l'offre de Pfizer en 2014"/>
    <m/>
    <n v="1874"/>
    <n v="0"/>
    <s v="GB00098952921"/>
    <s v="GB0009895292"/>
    <n v="1"/>
    <x v="85"/>
    <m/>
    <m/>
    <m/>
  </r>
  <r>
    <m/>
    <m/>
    <m/>
    <m/>
    <n v="58.73"/>
    <x v="6"/>
    <n v="22900000000"/>
    <n v="7140000000"/>
    <n v="1993000000"/>
    <n v="2155000000"/>
    <n v="13003000000"/>
    <n v="12468000000"/>
    <n v="9.840261988498991"/>
    <n v="0.17284247674045555"/>
    <n v="5.007734286050803E-2"/>
    <n v="1267039436"/>
    <n v="74413226076.279999"/>
    <n v="5.9683370288963742"/>
    <n v="12.243168918246498"/>
    <m/>
    <m/>
    <s v=""/>
    <m/>
    <m/>
    <m/>
    <s v="En décembre 2020, acquisition d'Alexion dans les maladies rares pour 30 milliards d'euros. Entreprise qui a réalisé 4,9 Md dollars de CA en 2019 et 4 Md dollars de CA en 2018"/>
    <m/>
    <n v="1875"/>
    <n v="0"/>
    <s v="GB000989529212018"/>
    <s v="GB0009895292"/>
    <n v="1"/>
    <x v="85"/>
    <m/>
    <m/>
    <m/>
  </r>
  <r>
    <m/>
    <m/>
    <m/>
    <s v="GBP/USD : 1,365"/>
    <m/>
    <x v="1"/>
    <n v="1.9363454262185664E-2"/>
    <n v="6.3607924921793568E-2"/>
    <n v="-0.1050740907049843"/>
    <n v="-0.28190603132289238"/>
    <m/>
    <m/>
    <m/>
    <m/>
    <m/>
    <m/>
    <m/>
    <m/>
    <m/>
    <m/>
    <m/>
    <s v=""/>
    <m/>
    <m/>
    <m/>
    <s v="70 600 salariés soit un CA de 345 K $ par salarié"/>
    <m/>
    <n v="1876"/>
    <n v="0"/>
    <s v="GB00098952921"/>
    <s v="GB0009895292"/>
    <n v="1"/>
    <x v="85"/>
    <m/>
    <m/>
    <m/>
  </r>
  <r>
    <m/>
    <m/>
    <m/>
    <m/>
    <n v="51.21"/>
    <x v="7"/>
    <n v="22465000000"/>
    <n v="6713000000"/>
    <n v="2227000000"/>
    <n v="3001000000"/>
    <n v="12679000000"/>
    <n v="14960000000"/>
    <n v="11.814677573756926"/>
    <n v="0.20060160427807486"/>
    <n v="5.1567712290603855E-2"/>
    <n v="1266221605"/>
    <n v="64843208392.050003"/>
    <n v="4.3344390636397057"/>
    <n v="11.548072157314166"/>
    <m/>
    <m/>
    <s v=""/>
    <m/>
    <m/>
    <m/>
    <s v="Distribution de 3,5 Md dolllars de dividendes par an"/>
    <m/>
    <n v="1877"/>
    <n v="0"/>
    <s v="GB000989529212017"/>
    <s v="GB0009895292"/>
    <n v="1"/>
    <x v="85"/>
    <m/>
    <m/>
    <m/>
  </r>
  <r>
    <m/>
    <m/>
    <m/>
    <m/>
    <m/>
    <x v="1"/>
    <m/>
    <m/>
    <m/>
    <m/>
    <m/>
    <m/>
    <m/>
    <m/>
    <m/>
    <m/>
    <m/>
    <m/>
    <m/>
    <m/>
    <m/>
    <s v=""/>
    <m/>
    <m/>
    <m/>
    <s v="CAC : PwC"/>
    <m/>
    <n v="1878"/>
    <n v="0"/>
    <s v="GB00098952921"/>
    <s v="GB0009895292"/>
    <n v="1"/>
    <x v="85"/>
    <m/>
    <m/>
    <m/>
  </r>
  <r>
    <m/>
    <m/>
    <m/>
    <m/>
    <m/>
    <x v="1"/>
    <m/>
    <m/>
    <m/>
    <m/>
    <m/>
    <m/>
    <m/>
    <m/>
    <m/>
    <m/>
    <m/>
    <m/>
    <m/>
    <m/>
    <m/>
    <s v=""/>
    <m/>
    <m/>
    <m/>
    <m/>
    <m/>
    <n v="1879"/>
    <n v="0"/>
    <s v="GB00098952921"/>
    <s v="GB0009895292"/>
    <n v="1"/>
    <x v="85"/>
    <m/>
    <m/>
    <m/>
  </r>
  <r>
    <m/>
    <m/>
    <m/>
    <m/>
    <m/>
    <x v="1"/>
    <m/>
    <m/>
    <m/>
    <m/>
    <m/>
    <m/>
    <m/>
    <m/>
    <m/>
    <m/>
    <m/>
    <m/>
    <m/>
    <m/>
    <m/>
    <s v=""/>
    <m/>
    <m/>
    <m/>
    <m/>
    <m/>
    <n v="1880"/>
    <n v="0"/>
    <s v="GB00098952921"/>
    <s v="GB0009895292"/>
    <n v="1"/>
    <x v="85"/>
    <m/>
    <m/>
    <m/>
  </r>
  <r>
    <m/>
    <m/>
    <m/>
    <m/>
    <m/>
    <x v="1"/>
    <m/>
    <m/>
    <m/>
    <m/>
    <m/>
    <m/>
    <m/>
    <m/>
    <m/>
    <m/>
    <m/>
    <m/>
    <m/>
    <m/>
    <m/>
    <s v=""/>
    <m/>
    <m/>
    <m/>
    <m/>
    <m/>
    <n v="1881"/>
    <n v="0"/>
    <s v="GB00098952921"/>
    <s v="GB0009895292"/>
    <n v="1"/>
    <x v="85"/>
    <m/>
    <m/>
    <m/>
  </r>
  <r>
    <m/>
    <m/>
    <m/>
    <m/>
    <m/>
    <x v="1"/>
    <m/>
    <m/>
    <m/>
    <m/>
    <m/>
    <m/>
    <m/>
    <m/>
    <m/>
    <m/>
    <m/>
    <m/>
    <m/>
    <m/>
    <m/>
    <s v=""/>
    <m/>
    <m/>
    <m/>
    <m/>
    <m/>
    <n v="1882"/>
    <n v="0"/>
    <s v="GB00098952921"/>
    <s v="GB0009895292"/>
    <n v="1"/>
    <x v="85"/>
    <m/>
    <m/>
    <m/>
  </r>
  <r>
    <m/>
    <m/>
    <m/>
    <m/>
    <m/>
    <x v="1"/>
    <m/>
    <m/>
    <m/>
    <m/>
    <m/>
    <m/>
    <m/>
    <m/>
    <m/>
    <m/>
    <m/>
    <m/>
    <m/>
    <m/>
    <m/>
    <s v=""/>
    <m/>
    <m/>
    <m/>
    <m/>
    <m/>
    <n v="1883"/>
    <n v="0"/>
    <s v="GB00098952921"/>
    <s v="GB0009895292"/>
    <n v="1"/>
    <x v="85"/>
    <m/>
    <m/>
    <m/>
  </r>
  <r>
    <m/>
    <m/>
    <m/>
    <m/>
    <m/>
    <x v="1"/>
    <m/>
    <m/>
    <m/>
    <m/>
    <m/>
    <m/>
    <m/>
    <m/>
    <m/>
    <m/>
    <m/>
    <m/>
    <m/>
    <m/>
    <m/>
    <s v=""/>
    <m/>
    <m/>
    <m/>
    <m/>
    <m/>
    <n v="1884"/>
    <n v="0"/>
    <s v="GB00098952921"/>
    <s v="GB0009895292"/>
    <n v="1"/>
    <x v="85"/>
    <m/>
    <m/>
    <m/>
  </r>
  <r>
    <m/>
    <m/>
    <m/>
    <m/>
    <m/>
    <x v="1"/>
    <m/>
    <m/>
    <m/>
    <m/>
    <m/>
    <m/>
    <m/>
    <m/>
    <m/>
    <m/>
    <m/>
    <m/>
    <m/>
    <m/>
    <m/>
    <s v=""/>
    <m/>
    <m/>
    <m/>
    <m/>
    <m/>
    <n v="1885"/>
    <n v="0"/>
    <s v="GB00098952921"/>
    <s v="GB0009895292"/>
    <n v="1"/>
    <x v="85"/>
    <m/>
    <m/>
    <m/>
  </r>
  <r>
    <s v="Moderna"/>
    <s v="Pharmacie"/>
    <s v="États-Unis"/>
    <s v="Dollar"/>
    <m/>
    <x v="0"/>
    <m/>
    <m/>
    <m/>
    <m/>
    <m/>
    <m/>
    <m/>
    <m/>
    <m/>
    <m/>
    <m/>
    <m/>
    <m/>
    <m/>
    <m/>
    <s v=""/>
    <m/>
    <m/>
    <m/>
    <m/>
    <m/>
    <n v="1886"/>
    <n v="0"/>
    <s v="US60770K107912023"/>
    <s v="US60770K1079"/>
    <n v="1"/>
    <x v="86"/>
    <m/>
    <m/>
    <m/>
  </r>
  <r>
    <m/>
    <m/>
    <m/>
    <m/>
    <m/>
    <x v="1"/>
    <m/>
    <m/>
    <m/>
    <m/>
    <m/>
    <m/>
    <m/>
    <m/>
    <m/>
    <m/>
    <m/>
    <m/>
    <m/>
    <m/>
    <m/>
    <s v=""/>
    <m/>
    <m/>
    <m/>
    <m/>
    <m/>
    <n v="1887"/>
    <n v="0"/>
    <s v="US60770K10791"/>
    <s v="US60770K1079"/>
    <n v="1"/>
    <x v="86"/>
    <m/>
    <m/>
    <m/>
  </r>
  <r>
    <m/>
    <m/>
    <m/>
    <m/>
    <n v="179.62"/>
    <x v="2"/>
    <n v="24000000000"/>
    <m/>
    <m/>
    <n v="14000000000"/>
    <n v="-19300000000"/>
    <m/>
    <m/>
    <m/>
    <m/>
    <n v="396697168"/>
    <n v="71254745316.160004"/>
    <m/>
    <m/>
    <m/>
    <n v="3200"/>
    <n v="7500000"/>
    <m/>
    <m/>
    <m/>
    <s v="Fondée en 2009 par Derrick Rossi (ancien professeur de médecine à Harvard)"/>
    <m/>
    <n v="1888"/>
    <n v="0"/>
    <s v="US60770K107912022"/>
    <s v="US60770K1079"/>
    <n v="1"/>
    <x v="86"/>
    <m/>
    <m/>
    <m/>
  </r>
  <r>
    <m/>
    <m/>
    <m/>
    <m/>
    <m/>
    <x v="1"/>
    <m/>
    <m/>
    <m/>
    <m/>
    <m/>
    <m/>
    <m/>
    <m/>
    <m/>
    <m/>
    <m/>
    <m/>
    <s v=""/>
    <m/>
    <m/>
    <m/>
    <m/>
    <m/>
    <m/>
    <s v="CEO : Stéphane Bancel (né en 1972) depuis 2011, il possède 9% de Moderna. Président : Stephen Hoge M,D. Il a rejoint Moderna en 2012"/>
    <s v=""/>
    <n v="1889"/>
    <n v="0"/>
    <s v="US60770K10791"/>
    <s v="US60770K1079"/>
    <n v="1"/>
    <x v="86"/>
    <m/>
    <m/>
    <m/>
  </r>
  <r>
    <m/>
    <m/>
    <m/>
    <m/>
    <n v="240"/>
    <x v="3"/>
    <n v="16300000000"/>
    <m/>
    <m/>
    <n v="10000000000"/>
    <n v="-17600000000"/>
    <n v="12500000000"/>
    <n v="31.510182094367764"/>
    <n v="0.8"/>
    <n v="0"/>
    <n v="396697168"/>
    <n v="95207320320"/>
    <n v="7.6165856256"/>
    <e v="#DIV/0!"/>
    <m/>
    <n v="2400"/>
    <n v="6791666.666666667"/>
    <m/>
    <m/>
    <m/>
    <s v="Quaternaire système. 3 Md dollars d'investissement en 10 ans (2009-2019)"/>
    <m/>
    <n v="1890"/>
    <n v="0"/>
    <s v="US60770K107912021"/>
    <s v="US60770K1079"/>
    <n v="1"/>
    <x v="86"/>
    <m/>
    <m/>
    <m/>
  </r>
  <r>
    <m/>
    <m/>
    <m/>
    <m/>
    <m/>
    <x v="1"/>
    <n v="19.288898984932693"/>
    <e v="#DIV/0!"/>
    <n v="-1"/>
    <n v="-14.385734020110727"/>
    <m/>
    <m/>
    <m/>
    <m/>
    <m/>
    <m/>
    <m/>
    <m/>
    <m/>
    <m/>
    <m/>
    <s v=""/>
    <m/>
    <m/>
    <m/>
    <s v="Vaccins anti-Covid 19 découvert en novembre 2020. 600 - 1 Md de doses espérées en 2021 à 31 euros la dose et 1,4 Md de doses en 2022. "/>
    <m/>
    <n v="1891"/>
    <n v="0"/>
    <s v="US60770K10791"/>
    <s v="US60770K1079"/>
    <n v="1"/>
    <x v="86"/>
    <m/>
    <m/>
    <m/>
  </r>
  <r>
    <m/>
    <m/>
    <m/>
    <m/>
    <n v="104.47"/>
    <x v="4"/>
    <n v="803395000"/>
    <m/>
    <n v="-744513000"/>
    <n v="-747064000"/>
    <n v="-1396972000"/>
    <n v="2561375000"/>
    <n v="6.4567514129568986"/>
    <n v="-0.29166521887657998"/>
    <n v="-0.4092125492634423"/>
    <n v="396697168"/>
    <n v="41442953140.959999"/>
    <n v="16.179963160786688"/>
    <e v="#DIV/0!"/>
    <m/>
    <n v="1300"/>
    <n v="617996.15384615387"/>
    <m/>
    <m/>
    <m/>
    <s v="Finalement revu à la hausse à 1 md de doses en 2021 et 2 Md de doses en 2022 puis revu en septembre 700 Millions de doses pour 2021"/>
    <m/>
    <n v="1892"/>
    <n v="0"/>
    <s v="US60770K107912020"/>
    <s v="US60770K1079"/>
    <n v="1"/>
    <x v="86"/>
    <m/>
    <m/>
    <m/>
  </r>
  <r>
    <m/>
    <m/>
    <m/>
    <m/>
    <m/>
    <x v="1"/>
    <n v="12.343437027686891"/>
    <e v="#DIV/0!"/>
    <n v="0.44645396684773742"/>
    <n v="0.45337252758155788"/>
    <m/>
    <m/>
    <m/>
    <m/>
    <m/>
    <m/>
    <m/>
    <m/>
    <m/>
    <m/>
    <m/>
    <s v=""/>
    <m/>
    <m/>
    <m/>
    <s v="Recherche des vaccins contre le cancer, immuno-oncologie, sida, mal formation du fœtus, Zika, la grippe ....avec la technique de l'ARN Messager"/>
    <m/>
    <n v="1893"/>
    <n v="0"/>
    <s v="US60770K10791"/>
    <s v="US60770K1079"/>
    <n v="1"/>
    <x v="86"/>
    <m/>
    <m/>
    <m/>
  </r>
  <r>
    <m/>
    <m/>
    <m/>
    <m/>
    <n v="18.89"/>
    <x v="5"/>
    <n v="60209000"/>
    <m/>
    <n v="-514716000"/>
    <n v="-514021000"/>
    <n v="-197187000"/>
    <n v="1174810000"/>
    <n v="3.5513978664273194"/>
    <n v="-0.43753543126122524"/>
    <n v="-0.33695835715812744"/>
    <n v="330802136"/>
    <n v="6248852349.04"/>
    <n v="5.3190323107906812"/>
    <e v="#DIV/0!"/>
    <m/>
    <n v="830"/>
    <n v="72540.96385542168"/>
    <m/>
    <m/>
    <m/>
    <s v="En 2021, 800 millions de doses vendues dans 60 pays via des partenaires pour la production des vaccins"/>
    <m/>
    <n v="1894"/>
    <n v="0"/>
    <s v="US60770K107912019"/>
    <s v="US60770K1079"/>
    <n v="1"/>
    <x v="86"/>
    <m/>
    <m/>
    <m/>
  </r>
  <r>
    <m/>
    <m/>
    <m/>
    <m/>
    <m/>
    <x v="1"/>
    <n v="-0.55423194242899876"/>
    <e v="#DIV/0!"/>
    <n v="0.33898357994630701"/>
    <n v="0.2791142122695387"/>
    <m/>
    <m/>
    <m/>
    <m/>
    <m/>
    <m/>
    <m/>
    <m/>
    <m/>
    <m/>
    <m/>
    <s v=""/>
    <m/>
    <m/>
    <m/>
    <s v="2022 : 24 mds CA dopé par le vaccin contre la Covid 19 :  R&amp;D autour de 17 % du CA (4 Mds sur l'année)"/>
    <m/>
    <n v="1895"/>
    <n v="0"/>
    <s v="US60770K10791"/>
    <s v="US60770K1079"/>
    <n v="1"/>
    <x v="86"/>
    <m/>
    <m/>
    <m/>
  </r>
  <r>
    <m/>
    <m/>
    <m/>
    <m/>
    <n v="16.96"/>
    <x v="6"/>
    <n v="135068000"/>
    <m/>
    <n v="-384408000"/>
    <n v="-401857000"/>
    <n v="-658364000"/>
    <n v="1530241000"/>
    <n v="18.865270454613345"/>
    <n v="-0.26261026857860953"/>
    <n v="-0.28217411400920084"/>
    <n v="81114183"/>
    <n v="1375696543.6800001"/>
    <n v="0.89900645955767755"/>
    <e v="#DIV/0!"/>
    <m/>
    <m/>
    <s v=""/>
    <m/>
    <m/>
    <m/>
    <s v="Vaccin contre le Covid-19 nouvelle version contre le variant Omicron. Contre la grippe à ARN Messager disponible en 2023  "/>
    <m/>
    <n v="1896"/>
    <n v="0"/>
    <s v="US60770K107912018"/>
    <s v="US60770K1079"/>
    <n v="1"/>
    <x v="86"/>
    <m/>
    <m/>
    <m/>
  </r>
  <r>
    <m/>
    <m/>
    <m/>
    <m/>
    <m/>
    <x v="1"/>
    <n v="-0.34377262237337547"/>
    <e v="#DIV/0!"/>
    <n v="0.50208662217290057"/>
    <n v="0.48923625394213621"/>
    <m/>
    <m/>
    <m/>
    <m/>
    <m/>
    <m/>
    <m/>
    <m/>
    <m/>
    <m/>
    <m/>
    <s v=""/>
    <m/>
    <m/>
    <m/>
    <s v="Partenariat Australie et Canada"/>
    <m/>
    <n v="1897"/>
    <n v="0"/>
    <s v="US60770K10791"/>
    <s v="US60770K1079"/>
    <n v="1"/>
    <x v="86"/>
    <m/>
    <m/>
    <m/>
  </r>
  <r>
    <m/>
    <m/>
    <m/>
    <m/>
    <m/>
    <x v="7"/>
    <n v="205825000"/>
    <m/>
    <n v="-255916000"/>
    <n v="-269841000"/>
    <m/>
    <n v="-551365000"/>
    <n v="-8.5486200838903255"/>
    <n v="0.48940538481767976"/>
    <n v="0.29705592484107624"/>
    <n v="64497544"/>
    <n v="0"/>
    <n v="0"/>
    <e v="#DIV/0!"/>
    <m/>
    <m/>
    <s v=""/>
    <m/>
    <m/>
    <m/>
    <s v="CAC : Ernst &amp; Young"/>
    <m/>
    <n v="1898"/>
    <n v="0"/>
    <s v="US60770K107912017"/>
    <s v="US60770K1079"/>
    <n v="1"/>
    <x v="86"/>
    <m/>
    <m/>
    <m/>
  </r>
  <r>
    <m/>
    <m/>
    <m/>
    <m/>
    <m/>
    <x v="1"/>
    <m/>
    <m/>
    <m/>
    <m/>
    <m/>
    <m/>
    <m/>
    <m/>
    <m/>
    <m/>
    <m/>
    <m/>
    <m/>
    <m/>
    <m/>
    <s v=""/>
    <m/>
    <m/>
    <m/>
    <m/>
    <m/>
    <n v="1899"/>
    <n v="0"/>
    <s v="US60770K10791"/>
    <s v="US60770K1079"/>
    <n v="1"/>
    <x v="86"/>
    <m/>
    <m/>
    <m/>
  </r>
  <r>
    <m/>
    <m/>
    <m/>
    <m/>
    <s v="IPO le 7 décembre 2018"/>
    <x v="1"/>
    <m/>
    <m/>
    <m/>
    <m/>
    <m/>
    <m/>
    <m/>
    <m/>
    <m/>
    <m/>
    <m/>
    <m/>
    <m/>
    <m/>
    <m/>
    <s v=""/>
    <m/>
    <m/>
    <m/>
    <m/>
    <m/>
    <n v="1900"/>
    <n v="0"/>
    <s v="US60770K10791"/>
    <s v="US60770K1079"/>
    <n v="1"/>
    <x v="86"/>
    <m/>
    <m/>
    <m/>
  </r>
  <r>
    <m/>
    <m/>
    <m/>
    <m/>
    <m/>
    <x v="1"/>
    <m/>
    <m/>
    <m/>
    <m/>
    <m/>
    <m/>
    <m/>
    <m/>
    <m/>
    <m/>
    <m/>
    <m/>
    <m/>
    <m/>
    <m/>
    <s v=""/>
    <m/>
    <m/>
    <m/>
    <m/>
    <m/>
    <n v="1901"/>
    <n v="0"/>
    <s v="US60770K10791"/>
    <s v="US60770K1079"/>
    <n v="1"/>
    <x v="86"/>
    <m/>
    <m/>
    <m/>
  </r>
  <r>
    <m/>
    <m/>
    <m/>
    <m/>
    <m/>
    <x v="1"/>
    <m/>
    <m/>
    <m/>
    <m/>
    <m/>
    <m/>
    <m/>
    <m/>
    <m/>
    <m/>
    <m/>
    <m/>
    <m/>
    <m/>
    <m/>
    <s v=""/>
    <m/>
    <m/>
    <m/>
    <m/>
    <m/>
    <n v="1902"/>
    <n v="0"/>
    <s v="US60770K10791"/>
    <s v="US60770K1079"/>
    <n v="1"/>
    <x v="86"/>
    <m/>
    <m/>
    <m/>
  </r>
  <r>
    <m/>
    <m/>
    <m/>
    <m/>
    <m/>
    <x v="1"/>
    <m/>
    <m/>
    <m/>
    <m/>
    <m/>
    <m/>
    <m/>
    <m/>
    <m/>
    <m/>
    <m/>
    <m/>
    <m/>
    <m/>
    <m/>
    <s v=""/>
    <m/>
    <m/>
    <m/>
    <m/>
    <m/>
    <n v="1903"/>
    <n v="0"/>
    <s v="US60770K10791"/>
    <s v="US60770K1079"/>
    <n v="1"/>
    <x v="86"/>
    <m/>
    <m/>
    <m/>
  </r>
  <r>
    <m/>
    <m/>
    <m/>
    <m/>
    <m/>
    <x v="1"/>
    <m/>
    <m/>
    <m/>
    <m/>
    <m/>
    <m/>
    <m/>
    <m/>
    <m/>
    <m/>
    <m/>
    <m/>
    <m/>
    <m/>
    <m/>
    <s v=""/>
    <m/>
    <m/>
    <m/>
    <m/>
    <m/>
    <n v="1904"/>
    <n v="0"/>
    <s v="US60770K10791"/>
    <s v="US60770K1079"/>
    <n v="1"/>
    <x v="86"/>
    <m/>
    <m/>
    <m/>
  </r>
  <r>
    <s v="Vilmorin &amp; Cie"/>
    <s v="Semences"/>
    <s v="France"/>
    <s v="Euro"/>
    <n v="45.65"/>
    <x v="2"/>
    <n v="1535664000"/>
    <n v="390000000"/>
    <n v="132067103.99999999"/>
    <n v="110000000"/>
    <n v="820000000"/>
    <n v="1350000000"/>
    <n v="58.907483484523389"/>
    <n v="8.1481481481481488E-2"/>
    <n v="3.8950666617511516E-2"/>
    <n v="22917292"/>
    <n v="1046174379.8"/>
    <n v="0.77494398503703699"/>
    <n v="4.7850625123076922"/>
    <m/>
    <m/>
    <s v=""/>
    <m/>
    <m/>
    <m/>
    <s v="Numéro 4 mondial fondé en 1743 mais numéro 1 mondial pour les semences potagères, recherche parfois commune avec les grandes cultures (numéro 6 mondial)"/>
    <m/>
    <n v="1905"/>
    <n v="0"/>
    <s v="FR000005251612022"/>
    <s v="FR0000052516"/>
    <n v="1"/>
    <x v="87"/>
    <m/>
    <m/>
    <m/>
  </r>
  <r>
    <m/>
    <m/>
    <m/>
    <m/>
    <m/>
    <x v="1"/>
    <n v="4.0000000000000036E-2"/>
    <n v="6.2091503267973858E-2"/>
    <n v="3.6633469387755024E-2"/>
    <n v="0.1917659804983749"/>
    <m/>
    <m/>
    <m/>
    <m/>
    <m/>
    <m/>
    <m/>
    <m/>
    <m/>
    <m/>
    <m/>
    <s v=""/>
    <m/>
    <m/>
    <m/>
    <s v="Detenue majoritairement par une coopérative (problème de rétrocessions aux coopérateurs) Limagrain à 75,92%. BPI France actionnaire à 5,71% du capital, particulier : 6,33% puis société de gestion et instits"/>
    <m/>
    <n v="1906"/>
    <n v="0"/>
    <s v="FR00000525161"/>
    <s v="FR0000052516"/>
    <n v="1"/>
    <x v="87"/>
    <m/>
    <m/>
    <m/>
  </r>
  <r>
    <m/>
    <m/>
    <m/>
    <m/>
    <n v="53.6"/>
    <x v="3"/>
    <n v="1476600000"/>
    <n v="367200000"/>
    <n v="127400000"/>
    <n v="92300000"/>
    <n v="867400000"/>
    <n v="1281200000"/>
    <n v="55.905383585460271"/>
    <n v="7.2041835778957231E-2"/>
    <n v="3.7948431536814667E-2"/>
    <n v="22917292"/>
    <n v="1228366851.2"/>
    <n v="0.95876276241024039"/>
    <n v="5.7074260653594768"/>
    <m/>
    <m/>
    <s v=""/>
    <m/>
    <m/>
    <m/>
    <s v="Flottant : 24,08% au 30/06/2020. IPO en novembre 1993 : performance cumulée de 84,04% soit 2,28%"/>
    <m/>
    <n v="1907"/>
    <n v="0"/>
    <s v="FR000005251612021"/>
    <s v="FR0000052516"/>
    <n v="1"/>
    <x v="87"/>
    <m/>
    <m/>
    <m/>
  </r>
  <r>
    <m/>
    <m/>
    <m/>
    <m/>
    <m/>
    <x v="1"/>
    <n v="2.8846153846153744E-2"/>
    <n v="5.7299164987042905E-2"/>
    <n v="0.16029143897996367"/>
    <n v="0.39425981873111793"/>
    <m/>
    <m/>
    <m/>
    <m/>
    <m/>
    <m/>
    <m/>
    <m/>
    <m/>
    <m/>
    <m/>
    <s v=""/>
    <m/>
    <m/>
    <m/>
    <s v="JV à 50/50 pour le développement d'OGM. Paye des redevances à Monsanto mais développe un blé OGM"/>
    <m/>
    <n v="1908"/>
    <n v="0"/>
    <s v="FR00000525161"/>
    <s v="FR0000052516"/>
    <n v="1"/>
    <x v="87"/>
    <m/>
    <m/>
    <m/>
  </r>
  <r>
    <m/>
    <m/>
    <m/>
    <m/>
    <n v="49.3"/>
    <x v="4"/>
    <n v="1435200000"/>
    <n v="347300000"/>
    <n v="109800000"/>
    <n v="66200000"/>
    <n v="934000000"/>
    <n v="1214800000"/>
    <n v="53.008008101480748"/>
    <n v="5.4494567006914719E-2"/>
    <n v="3.2702903946388681E-2"/>
    <n v="22917292"/>
    <n v="1129822495.5999999"/>
    <n v="0.93004815245307859"/>
    <n v="5.9424776723293977"/>
    <m/>
    <m/>
    <s v=""/>
    <m/>
    <m/>
    <m/>
    <s v="Semences potagères : belle position et rentable car les semences sont difficilement réutilisables. 50% du CA mais 70% des bénéfices"/>
    <m/>
    <n v="1909"/>
    <n v="0"/>
    <s v="FR000005251612020"/>
    <s v="FR0000052516"/>
    <n v="1"/>
    <x v="87"/>
    <m/>
    <m/>
    <m/>
  </r>
  <r>
    <m/>
    <m/>
    <m/>
    <m/>
    <m/>
    <x v="1"/>
    <n v="3.199827425037749E-2"/>
    <n v="-1.2510662496445835E-2"/>
    <n v="-1.0810810810810811E-2"/>
    <n v="-0.10419485791610283"/>
    <m/>
    <m/>
    <m/>
    <m/>
    <m/>
    <m/>
    <m/>
    <m/>
    <m/>
    <m/>
    <m/>
    <s v=""/>
    <m/>
    <m/>
    <m/>
    <s v="A souffert comme les autres acteurs de la baisse des prix agricoles (blé, maïs) depuis 2014 mais redressement en 2016-2017"/>
    <m/>
    <n v="1910"/>
    <n v="0"/>
    <s v="FR00000525161"/>
    <s v="FR0000052516"/>
    <n v="1"/>
    <x v="87"/>
    <m/>
    <m/>
    <m/>
  </r>
  <r>
    <m/>
    <m/>
    <m/>
    <m/>
    <n v="49.3"/>
    <x v="5"/>
    <n v="1390700000"/>
    <n v="351700000"/>
    <n v="111000000"/>
    <n v="73900000"/>
    <n v="912000000"/>
    <n v="1235900000"/>
    <n v="59.179553706007624"/>
    <n v="5.979448175418723E-2"/>
    <n v="3.3074165463941527E-2"/>
    <n v="20883902"/>
    <n v="1029576368.5999999"/>
    <n v="0.83305798899587336"/>
    <n v="5.5205469678703434"/>
    <m/>
    <m/>
    <s v=""/>
    <m/>
    <m/>
    <m/>
    <s v="Effort de R&amp;D de 250 M euros par an en 2016 et 270 M euros en 2020. Clôture 30 juin"/>
    <m/>
    <n v="1911"/>
    <n v="0"/>
    <s v="FR000005251612019"/>
    <s v="FR0000052516"/>
    <n v="1"/>
    <x v="87"/>
    <m/>
    <m/>
    <m/>
  </r>
  <r>
    <m/>
    <m/>
    <m/>
    <m/>
    <m/>
    <x v="1"/>
    <n v="3.3209509658246761E-2"/>
    <n v="0.18537243006403781"/>
    <n v="0.1431513903192585"/>
    <n v="-2.6990553306343035E-3"/>
    <m/>
    <m/>
    <m/>
    <m/>
    <m/>
    <m/>
    <m/>
    <m/>
    <m/>
    <m/>
    <m/>
    <s v=""/>
    <m/>
    <m/>
    <m/>
    <s v="Secteur en concentration : rachat de Syngenta par le chinois Chenchina et Monsanto par Bayer en 2016-2017. Vilmorin pourrait souffrir de sa petite taille"/>
    <m/>
    <n v="1912"/>
    <n v="0"/>
    <s v="FR00000525161"/>
    <s v="FR0000052516"/>
    <n v="1"/>
    <x v="87"/>
    <m/>
    <m/>
    <m/>
  </r>
  <r>
    <m/>
    <m/>
    <m/>
    <m/>
    <n v="60"/>
    <x v="6"/>
    <n v="1346000000"/>
    <n v="296700000"/>
    <n v="97100000"/>
    <n v="74100000"/>
    <n v="765900000"/>
    <n v="1195000000"/>
    <n v="57.221107434807919"/>
    <n v="6.2008368200836821E-2"/>
    <n v="3.1691570197358354E-2"/>
    <n v="20883902"/>
    <n v="1253034120"/>
    <n v="1.0485641171548117"/>
    <n v="6.8046313447927202"/>
    <m/>
    <m/>
    <s v=""/>
    <m/>
    <m/>
    <m/>
    <s v="95% du maïs en Amérique (du Nord et du Sud) est OGM"/>
    <m/>
    <n v="1913"/>
    <n v="0"/>
    <s v="FR000005251612018"/>
    <s v="FR0000052516"/>
    <n v="1"/>
    <x v="87"/>
    <m/>
    <m/>
    <m/>
  </r>
  <r>
    <m/>
    <m/>
    <m/>
    <m/>
    <m/>
    <x v="1"/>
    <n v="-4.8090523338048086E-2"/>
    <n v="-6.2262958280657421E-2"/>
    <n v="-0.17920540997464074"/>
    <n v="-0.14729574223245112"/>
    <m/>
    <m/>
    <m/>
    <m/>
    <m/>
    <m/>
    <m/>
    <m/>
    <m/>
    <m/>
    <m/>
    <s v=""/>
    <m/>
    <m/>
    <m/>
    <s v="Pas d'amélioration de l'activité, baisse des marges et hausse de l'endettement avec les acquisitions. "/>
    <m/>
    <n v="1914"/>
    <n v="0"/>
    <s v="FR00000525161"/>
    <s v="FR0000052516"/>
    <n v="1"/>
    <x v="87"/>
    <m/>
    <m/>
    <m/>
  </r>
  <r>
    <m/>
    <m/>
    <m/>
    <m/>
    <n v="81"/>
    <x v="7"/>
    <n v="1414000000"/>
    <n v="316400000"/>
    <n v="118300000"/>
    <n v="86900000"/>
    <n v="713900000"/>
    <n v="1196700000"/>
    <n v="57.302509847058275"/>
    <n v="7.2616361661235057E-2"/>
    <n v="3.9627342196168744E-2"/>
    <n v="20883902"/>
    <n v="1691596062"/>
    <n v="1.4135506492855352"/>
    <n v="7.6027056321112516"/>
    <m/>
    <m/>
    <s v=""/>
    <m/>
    <m/>
    <m/>
    <s v="Pas d'excédent de trésorerie nette sur les exercices 2019 et 2020. Croissance financée par l'endettement et dividendes pris sur les fonds propres"/>
    <m/>
    <n v="1915"/>
    <n v="0"/>
    <s v="FR000005251612017"/>
    <s v="FR0000052516"/>
    <n v="1"/>
    <x v="87"/>
    <m/>
    <m/>
    <m/>
  </r>
  <r>
    <m/>
    <m/>
    <m/>
    <m/>
    <m/>
    <x v="1"/>
    <n v="6.7089276281035337E-2"/>
    <n v="0.13812949640287764"/>
    <n v="0.17946161515453629"/>
    <n v="0.46543001686340646"/>
    <m/>
    <m/>
    <m/>
    <m/>
    <m/>
    <m/>
    <m/>
    <m/>
    <m/>
    <m/>
    <m/>
    <s v=""/>
    <m/>
    <m/>
    <m/>
    <s v="Problème sociétal avec les OGM. Marché de 20 Md $"/>
    <m/>
    <n v="1916"/>
    <n v="0"/>
    <s v="FR00000525161"/>
    <s v="FR0000052516"/>
    <n v="1"/>
    <x v="87"/>
    <m/>
    <m/>
    <m/>
  </r>
  <r>
    <m/>
    <m/>
    <m/>
    <m/>
    <n v="60.45"/>
    <x v="8"/>
    <n v="1325100000"/>
    <n v="278000000"/>
    <n v="100300000"/>
    <n v="59300000"/>
    <n v="742300000"/>
    <n v="1151600000"/>
    <n v="55.142951733828284"/>
    <n v="5.1493574157693643E-2"/>
    <n v="3.3894080996884735E-2"/>
    <n v="20883902"/>
    <n v="1262431875.9000001"/>
    <n v="1.0962416428447379"/>
    <n v="7.211265740647482"/>
    <m/>
    <m/>
    <s v=""/>
    <m/>
    <m/>
    <m/>
    <s v="Pas d'intérêt à long terme. Fluctuation du cours : +/- 20% autour de l'actif net"/>
    <m/>
    <n v="1917"/>
    <n v="0"/>
    <s v="FR000005251612016"/>
    <s v="FR0000052516"/>
    <n v="1"/>
    <x v="87"/>
    <m/>
    <m/>
    <m/>
  </r>
  <r>
    <m/>
    <m/>
    <m/>
    <m/>
    <m/>
    <x v="1"/>
    <m/>
    <m/>
    <m/>
    <m/>
    <m/>
    <m/>
    <m/>
    <m/>
    <m/>
    <m/>
    <m/>
    <m/>
    <m/>
    <m/>
    <m/>
    <s v=""/>
    <m/>
    <m/>
    <m/>
    <s v="Bayer : 9 Md euros de CA suite acquisition de Monsanto. Numéro 1 mondial, Corteva n°2, Syngenta (Chine) n°3, BASF n°5 et KWS n°6"/>
    <m/>
    <n v="1918"/>
    <n v="0"/>
    <s v="FR00000525161"/>
    <s v="FR0000052516"/>
    <n v="1"/>
    <x v="87"/>
    <m/>
    <m/>
    <m/>
  </r>
  <r>
    <m/>
    <m/>
    <m/>
    <m/>
    <n v="65.31"/>
    <x v="9"/>
    <m/>
    <m/>
    <m/>
    <m/>
    <m/>
    <m/>
    <m/>
    <m/>
    <m/>
    <m/>
    <m/>
    <m/>
    <m/>
    <m/>
    <m/>
    <s v=""/>
    <m/>
    <m/>
    <m/>
    <s v="Directeur général : Daniel Jacquemond né en 1958 a pris la succession de Rougier fin décembre 2017. Fin de mandat 2020. Il est entré dans la société en 1990 "/>
    <m/>
    <n v="1919"/>
    <n v="0"/>
    <s v="FR000005251612015"/>
    <s v="FR0000052516"/>
    <n v="1"/>
    <x v="87"/>
    <m/>
    <m/>
    <m/>
  </r>
  <r>
    <m/>
    <m/>
    <m/>
    <m/>
    <m/>
    <x v="1"/>
    <m/>
    <m/>
    <m/>
    <m/>
    <m/>
    <m/>
    <m/>
    <m/>
    <m/>
    <m/>
    <m/>
    <m/>
    <m/>
    <m/>
    <m/>
    <s v=""/>
    <m/>
    <m/>
    <m/>
    <s v="En 2021, bonne exercice grâce à la partie grande culture (+11%). Départ de Jacquemond à la retraite remplacé par Franck Berger (auparavant en charge de la division potagères)"/>
    <m/>
    <n v="1920"/>
    <n v="0"/>
    <s v="FR00000525161"/>
    <s v="FR0000052516"/>
    <n v="1"/>
    <x v="87"/>
    <m/>
    <m/>
    <m/>
  </r>
  <r>
    <m/>
    <m/>
    <m/>
    <m/>
    <n v="85.25"/>
    <x v="10"/>
    <m/>
    <m/>
    <m/>
    <m/>
    <m/>
    <m/>
    <m/>
    <m/>
    <m/>
    <m/>
    <m/>
    <m/>
    <m/>
    <m/>
    <m/>
    <s v=""/>
    <m/>
    <m/>
    <m/>
    <s v="7 054 salariés soit 203 K euros par salarié"/>
    <m/>
    <n v="1921"/>
    <n v="0"/>
    <s v="FR000005251612014"/>
    <s v="FR0000052516"/>
    <n v="1"/>
    <x v="87"/>
    <m/>
    <m/>
    <m/>
  </r>
  <r>
    <m/>
    <m/>
    <m/>
    <m/>
    <m/>
    <x v="1"/>
    <m/>
    <m/>
    <m/>
    <m/>
    <m/>
    <m/>
    <m/>
    <m/>
    <m/>
    <m/>
    <m/>
    <m/>
    <m/>
    <m/>
    <m/>
    <s v=""/>
    <m/>
    <m/>
    <m/>
    <s v="CAC : Visas 4 et KPMG"/>
    <m/>
    <n v="1922"/>
    <n v="0"/>
    <s v="FR00000525161"/>
    <s v="FR0000052516"/>
    <n v="1"/>
    <x v="87"/>
    <m/>
    <m/>
    <m/>
  </r>
  <r>
    <m/>
    <m/>
    <m/>
    <m/>
    <n v="93"/>
    <x v="11"/>
    <m/>
    <m/>
    <m/>
    <m/>
    <m/>
    <m/>
    <m/>
    <m/>
    <m/>
    <m/>
    <m/>
    <m/>
    <m/>
    <m/>
    <m/>
    <s v=""/>
    <m/>
    <m/>
    <m/>
    <s v="Minoritaires : faible mais des partenariats avec des résultats mise en équivalence (Seed &amp; Co en Afrique du Sud - AgReliant aux États-Unis et AGT en Australie)"/>
    <m/>
    <n v="1923"/>
    <n v="0"/>
    <s v="FR000005251612013"/>
    <s v="FR0000052516"/>
    <n v="1"/>
    <x v="87"/>
    <m/>
    <m/>
    <m/>
  </r>
  <r>
    <m/>
    <m/>
    <m/>
    <m/>
    <m/>
    <x v="1"/>
    <m/>
    <m/>
    <m/>
    <m/>
    <m/>
    <m/>
    <m/>
    <m/>
    <m/>
    <m/>
    <m/>
    <m/>
    <m/>
    <m/>
    <m/>
    <s v=""/>
    <m/>
    <m/>
    <m/>
    <s v="Pay out ratio : 35% (toujours en dessous de 40%)"/>
    <m/>
    <n v="1924"/>
    <n v="0"/>
    <s v="FR00000525161"/>
    <s v="FR0000052516"/>
    <n v="1"/>
    <x v="87"/>
    <m/>
    <m/>
    <m/>
  </r>
  <r>
    <m/>
    <m/>
    <m/>
    <m/>
    <s v="IPO le 3 novembre 1993"/>
    <x v="1"/>
    <m/>
    <m/>
    <m/>
    <m/>
    <m/>
    <m/>
    <m/>
    <m/>
    <m/>
    <m/>
    <m/>
    <m/>
    <m/>
    <m/>
    <m/>
    <s v=""/>
    <m/>
    <m/>
    <m/>
    <m/>
    <m/>
    <n v="1925"/>
    <n v="0"/>
    <s v="FR00000525161"/>
    <s v="FR0000052516"/>
    <n v="1"/>
    <x v="87"/>
    <m/>
    <m/>
    <m/>
  </r>
  <r>
    <m/>
    <m/>
    <m/>
    <m/>
    <m/>
    <x v="1"/>
    <m/>
    <m/>
    <m/>
    <m/>
    <m/>
    <m/>
    <m/>
    <m/>
    <m/>
    <m/>
    <m/>
    <m/>
    <m/>
    <m/>
    <m/>
    <s v=""/>
    <m/>
    <m/>
    <m/>
    <m/>
    <m/>
    <n v="1926"/>
    <n v="0"/>
    <s v="FR00000525161"/>
    <s v="FR0000052516"/>
    <n v="1"/>
    <x v="87"/>
    <m/>
    <m/>
    <m/>
  </r>
  <r>
    <m/>
    <m/>
    <m/>
    <m/>
    <m/>
    <x v="1"/>
    <m/>
    <m/>
    <m/>
    <m/>
    <m/>
    <m/>
    <m/>
    <m/>
    <m/>
    <m/>
    <m/>
    <m/>
    <m/>
    <m/>
    <m/>
    <s v=""/>
    <m/>
    <m/>
    <m/>
    <m/>
    <m/>
    <n v="1927"/>
    <n v="0"/>
    <s v="FR00000525161"/>
    <s v="FR0000052516"/>
    <n v="1"/>
    <x v="87"/>
    <m/>
    <m/>
    <m/>
  </r>
  <r>
    <m/>
    <m/>
    <m/>
    <m/>
    <m/>
    <x v="1"/>
    <m/>
    <m/>
    <m/>
    <m/>
    <m/>
    <m/>
    <m/>
    <m/>
    <m/>
    <m/>
    <m/>
    <m/>
    <m/>
    <m/>
    <m/>
    <s v=""/>
    <m/>
    <m/>
    <m/>
    <m/>
    <m/>
    <n v="1928"/>
    <n v="0"/>
    <s v="FR00000525161"/>
    <s v="FR0000052516"/>
    <n v="1"/>
    <x v="87"/>
    <m/>
    <m/>
    <m/>
  </r>
  <r>
    <s v="Publicis"/>
    <s v="Publicité"/>
    <s v="France"/>
    <s v="Euro"/>
    <n v="59.2"/>
    <x v="3"/>
    <m/>
    <m/>
    <m/>
    <m/>
    <m/>
    <m/>
    <m/>
    <m/>
    <m/>
    <n v="240436984"/>
    <n v="14233869452.800001"/>
    <m/>
    <m/>
    <m/>
    <m/>
    <s v=""/>
    <m/>
    <m/>
    <m/>
    <s v="Fondé par Marcel Bleustein Blanchet et détenu minoritairement par Mme Badinter (autour de 10% du K)"/>
    <m/>
    <n v="1929"/>
    <n v="0"/>
    <s v="FR000013057712021"/>
    <s v="FR0000130577"/>
    <n v="1"/>
    <x v="88"/>
    <m/>
    <m/>
    <m/>
  </r>
  <r>
    <m/>
    <m/>
    <m/>
    <m/>
    <m/>
    <x v="1"/>
    <m/>
    <m/>
    <m/>
    <m/>
    <m/>
    <m/>
    <m/>
    <m/>
    <m/>
    <m/>
    <m/>
    <m/>
    <m/>
    <m/>
    <m/>
    <s v=""/>
    <m/>
    <m/>
    <m/>
    <s v="Beau développement avec Maurice Lévy qui vient de céder sa place à Arthur Sadoun. Concurrent Omnicom et WPP"/>
    <m/>
    <n v="1930"/>
    <n v="0"/>
    <s v="FR00001305771"/>
    <s v="FR0000130577"/>
    <n v="1"/>
    <x v="88"/>
    <m/>
    <m/>
    <m/>
  </r>
  <r>
    <m/>
    <m/>
    <m/>
    <m/>
    <n v="40.76"/>
    <x v="5"/>
    <n v="9700000000"/>
    <n v="2049000000"/>
    <n v="1350000000"/>
    <n v="930000000"/>
    <n v="4500000000"/>
    <n v="7200000000"/>
    <n v="29.945476274981058"/>
    <n v="0.12916666666666668"/>
    <n v="7.3846153846153853E-2"/>
    <n v="240436984"/>
    <n v="9800211467.8400002"/>
    <n v="1.3611404816444446"/>
    <n v="6.9791173586334798"/>
    <m/>
    <m/>
    <s v=""/>
    <m/>
    <m/>
    <m/>
    <s v="Martin Sorrel (PDG de WPP) inquiet du chamboulement en cours et de l'évolution du rapport de force avec Google et Facebook"/>
    <m/>
    <n v="1931"/>
    <n v="0"/>
    <s v="FR000013057712019"/>
    <s v="FR0000130577"/>
    <n v="1"/>
    <x v="88"/>
    <m/>
    <m/>
    <m/>
  </r>
  <r>
    <m/>
    <m/>
    <m/>
    <m/>
    <m/>
    <x v="1"/>
    <n v="8.1502954621474055E-2"/>
    <n v="0"/>
    <n v="3.6070606293169716E-2"/>
    <n v="-1"/>
    <m/>
    <m/>
    <m/>
    <m/>
    <m/>
    <m/>
    <m/>
    <m/>
    <m/>
    <m/>
    <m/>
    <s v=""/>
    <m/>
    <m/>
    <m/>
    <s v="Valorisation : 2 fois l'actif net pour 16% de rentabilité des capitaux propres. Pas d'anomalie"/>
    <m/>
    <n v="1932"/>
    <n v="0"/>
    <s v="FR00001305771"/>
    <s v="FR0000130577"/>
    <n v="1"/>
    <x v="88"/>
    <m/>
    <m/>
    <m/>
  </r>
  <r>
    <m/>
    <m/>
    <m/>
    <m/>
    <n v="45"/>
    <x v="6"/>
    <n v="8969000000"/>
    <n v="2049000000"/>
    <n v="1303000000"/>
    <n v="919000000"/>
    <n v="-288000000"/>
    <n v="6853000000"/>
    <n v="29.215859379707531"/>
    <n v="0.1341018532029768"/>
    <n v="0.12702513328255902"/>
    <n v="234564382"/>
    <n v="10555397190"/>
    <n v="1.5402593302203416"/>
    <n v="5.0109307906295752"/>
    <m/>
    <m/>
    <s v=""/>
    <m/>
    <m/>
    <m/>
    <s v="Acquisition d'Epsilon en février 2019 pour 4,4 Md $"/>
    <m/>
    <n v="1933"/>
    <n v="0"/>
    <s v="FR000013057712018"/>
    <s v="FR0000130577"/>
    <n v="1"/>
    <x v="88"/>
    <m/>
    <m/>
    <m/>
  </r>
  <r>
    <m/>
    <m/>
    <m/>
    <m/>
    <m/>
    <x v="1"/>
    <n v="-7.8495838898592463E-2"/>
    <n v="0.21819262782401894"/>
    <n v="-9.8784194528875879E-3"/>
    <n v="1.196953210010876E-2"/>
    <m/>
    <m/>
    <m/>
    <m/>
    <m/>
    <m/>
    <m/>
    <m/>
    <m/>
    <m/>
    <m/>
    <s v=""/>
    <m/>
    <m/>
    <m/>
    <s v="Pas de minoritaires"/>
    <m/>
    <n v="1934"/>
    <n v="0"/>
    <s v="FR00001305771"/>
    <s v="FR0000130577"/>
    <n v="1"/>
    <x v="88"/>
    <m/>
    <m/>
    <m/>
  </r>
  <r>
    <m/>
    <m/>
    <m/>
    <m/>
    <n v="55"/>
    <x v="7"/>
    <n v="9733000000"/>
    <n v="1682000000"/>
    <n v="1316000000"/>
    <n v="862000000"/>
    <n v="727000000"/>
    <n v="5956000000"/>
    <n v="25.820035617603331"/>
    <n v="0.14472800537273336"/>
    <n v="0.12602723327846777"/>
    <n v="230673578"/>
    <n v="12687046790"/>
    <n v="2.1301287424445938"/>
    <n v="7.9750575445897738"/>
    <m/>
    <m/>
    <s v=""/>
    <m/>
    <m/>
    <m/>
    <s v="CAC : Mazars et Ernst"/>
    <m/>
    <n v="1935"/>
    <n v="0"/>
    <s v="FR000013057712017"/>
    <s v="FR0000130577"/>
    <n v="1"/>
    <x v="88"/>
    <m/>
    <m/>
    <m/>
  </r>
  <r>
    <m/>
    <m/>
    <m/>
    <m/>
    <m/>
    <x v="1"/>
    <n v="0"/>
    <n v="0"/>
    <n v="1.2307692307692353E-2"/>
    <n v="6.6125290023201888E-2"/>
    <m/>
    <m/>
    <m/>
    <m/>
    <m/>
    <m/>
    <m/>
    <m/>
    <m/>
    <m/>
    <m/>
    <s v=""/>
    <m/>
    <m/>
    <m/>
    <s v="Arthur Sadoun : 1,8 M euros de titres Publicis"/>
    <m/>
    <n v="1936"/>
    <n v="0"/>
    <s v="FR00001305771"/>
    <s v="FR0000130577"/>
    <n v="1"/>
    <x v="88"/>
    <m/>
    <m/>
    <m/>
  </r>
  <r>
    <m/>
    <m/>
    <m/>
    <m/>
    <n v="67.05"/>
    <x v="8"/>
    <n v="9733000000"/>
    <n v="1682000000"/>
    <n v="1300000000"/>
    <m/>
    <n v="1244000000"/>
    <n v="6218668620"/>
    <m/>
    <m/>
    <m/>
    <n v="225367784"/>
    <n v="15110909917.199999"/>
    <n v="2.4299268606469013"/>
    <n v="9.7234898437574309"/>
    <m/>
    <m/>
    <s v=""/>
    <m/>
    <m/>
    <m/>
    <s v="Flux trésorerie d'activité à près de 2 Md euros proche de l'EBE"/>
    <m/>
    <n v="1937"/>
    <n v="0"/>
    <s v="FR000013057712016"/>
    <s v="FR0000130577"/>
    <n v="1"/>
    <x v="88"/>
    <m/>
    <m/>
    <m/>
  </r>
  <r>
    <m/>
    <m/>
    <m/>
    <m/>
    <m/>
    <x v="1"/>
    <m/>
    <m/>
    <m/>
    <m/>
    <m/>
    <m/>
    <m/>
    <m/>
    <m/>
    <m/>
    <m/>
    <m/>
    <m/>
    <m/>
    <m/>
    <s v=""/>
    <m/>
    <m/>
    <m/>
    <m/>
    <m/>
    <n v="1938"/>
    <n v="0"/>
    <s v="FR00001305771"/>
    <s v="FR0000130577"/>
    <n v="1"/>
    <x v="88"/>
    <m/>
    <m/>
    <m/>
  </r>
  <r>
    <m/>
    <m/>
    <m/>
    <m/>
    <n v="59"/>
    <x v="9"/>
    <m/>
    <m/>
    <m/>
    <m/>
    <m/>
    <m/>
    <m/>
    <m/>
    <m/>
    <n v="222540740"/>
    <n v="13129903660"/>
    <m/>
    <m/>
    <m/>
    <m/>
    <s v=""/>
    <m/>
    <m/>
    <m/>
    <m/>
    <m/>
    <n v="1939"/>
    <n v="0"/>
    <s v="FR000013057712015"/>
    <s v="FR0000130577"/>
    <n v="1"/>
    <x v="88"/>
    <m/>
    <m/>
    <m/>
  </r>
  <r>
    <m/>
    <m/>
    <m/>
    <m/>
    <m/>
    <x v="1"/>
    <m/>
    <m/>
    <m/>
    <m/>
    <m/>
    <m/>
    <m/>
    <m/>
    <m/>
    <m/>
    <m/>
    <m/>
    <m/>
    <m/>
    <m/>
    <s v=""/>
    <m/>
    <m/>
    <m/>
    <m/>
    <m/>
    <n v="1940"/>
    <n v="0"/>
    <s v="FR00001305771"/>
    <s v="FR0000130577"/>
    <n v="1"/>
    <x v="88"/>
    <m/>
    <m/>
    <m/>
  </r>
  <r>
    <m/>
    <m/>
    <m/>
    <m/>
    <n v="59.9"/>
    <x v="10"/>
    <m/>
    <m/>
    <m/>
    <m/>
    <m/>
    <m/>
    <m/>
    <m/>
    <m/>
    <n v="221203857"/>
    <n v="13250111034.299999"/>
    <m/>
    <m/>
    <m/>
    <m/>
    <s v=""/>
    <m/>
    <m/>
    <m/>
    <m/>
    <m/>
    <n v="1941"/>
    <n v="0"/>
    <s v="FR000013057712014"/>
    <s v="FR0000130577"/>
    <n v="1"/>
    <x v="88"/>
    <m/>
    <m/>
    <m/>
  </r>
  <r>
    <m/>
    <m/>
    <m/>
    <m/>
    <m/>
    <x v="1"/>
    <m/>
    <m/>
    <m/>
    <m/>
    <m/>
    <m/>
    <m/>
    <m/>
    <m/>
    <m/>
    <m/>
    <m/>
    <m/>
    <m/>
    <m/>
    <s v=""/>
    <m/>
    <m/>
    <m/>
    <m/>
    <m/>
    <n v="1942"/>
    <n v="0"/>
    <s v="FR00001305771"/>
    <s v="FR0000130577"/>
    <n v="1"/>
    <x v="88"/>
    <m/>
    <m/>
    <m/>
  </r>
  <r>
    <m/>
    <m/>
    <m/>
    <m/>
    <n v="65.7"/>
    <x v="11"/>
    <m/>
    <m/>
    <m/>
    <m/>
    <m/>
    <m/>
    <m/>
    <m/>
    <m/>
    <m/>
    <m/>
    <m/>
    <m/>
    <m/>
    <m/>
    <s v=""/>
    <m/>
    <m/>
    <m/>
    <m/>
    <m/>
    <n v="1943"/>
    <n v="0"/>
    <s v="FR000013057712013"/>
    <s v="FR0000130577"/>
    <n v="1"/>
    <x v="88"/>
    <m/>
    <m/>
    <m/>
  </r>
  <r>
    <m/>
    <m/>
    <m/>
    <m/>
    <m/>
    <x v="1"/>
    <m/>
    <m/>
    <m/>
    <m/>
    <m/>
    <m/>
    <m/>
    <m/>
    <m/>
    <m/>
    <m/>
    <m/>
    <m/>
    <m/>
    <m/>
    <s v=""/>
    <m/>
    <m/>
    <m/>
    <m/>
    <m/>
    <n v="1944"/>
    <n v="0"/>
    <s v="FR00001305771"/>
    <s v="FR0000130577"/>
    <n v="1"/>
    <x v="88"/>
    <m/>
    <m/>
    <m/>
  </r>
  <r>
    <m/>
    <m/>
    <m/>
    <m/>
    <m/>
    <x v="1"/>
    <m/>
    <m/>
    <m/>
    <m/>
    <m/>
    <m/>
    <m/>
    <m/>
    <m/>
    <m/>
    <m/>
    <m/>
    <m/>
    <m/>
    <m/>
    <s v=""/>
    <m/>
    <m/>
    <m/>
    <m/>
    <m/>
    <n v="1945"/>
    <n v="0"/>
    <s v="FR00001305771"/>
    <s v="FR0000130577"/>
    <n v="1"/>
    <x v="88"/>
    <m/>
    <m/>
    <m/>
  </r>
  <r>
    <m/>
    <m/>
    <m/>
    <m/>
    <m/>
    <x v="1"/>
    <m/>
    <m/>
    <m/>
    <m/>
    <m/>
    <m/>
    <m/>
    <m/>
    <m/>
    <m/>
    <m/>
    <m/>
    <m/>
    <m/>
    <m/>
    <s v=""/>
    <m/>
    <m/>
    <m/>
    <m/>
    <m/>
    <n v="1946"/>
    <n v="0"/>
    <s v="FR00001305771"/>
    <s v="FR0000130577"/>
    <n v="1"/>
    <x v="88"/>
    <m/>
    <m/>
    <m/>
  </r>
  <r>
    <s v="TF1 Group"/>
    <s v="Télévision"/>
    <s v="France"/>
    <s v="Euro"/>
    <n v="8.6999999999999993"/>
    <x v="3"/>
    <m/>
    <m/>
    <m/>
    <m/>
    <m/>
    <m/>
    <m/>
    <m/>
    <m/>
    <m/>
    <m/>
    <m/>
    <m/>
    <m/>
    <m/>
    <s v=""/>
    <m/>
    <m/>
    <m/>
    <m/>
    <m/>
    <n v="1947"/>
    <n v="0"/>
    <s v="FR000005490012021"/>
    <s v="FR0000054900"/>
    <n v="1"/>
    <x v="89"/>
    <m/>
    <m/>
    <m/>
  </r>
  <r>
    <m/>
    <m/>
    <m/>
    <m/>
    <m/>
    <x v="1"/>
    <m/>
    <m/>
    <m/>
    <m/>
    <m/>
    <m/>
    <m/>
    <m/>
    <m/>
    <m/>
    <m/>
    <m/>
    <m/>
    <m/>
    <m/>
    <s v=""/>
    <m/>
    <m/>
    <m/>
    <m/>
    <m/>
    <n v="1948"/>
    <n v="0"/>
    <s v="FR00000549001"/>
    <s v="FR0000054900"/>
    <n v="1"/>
    <x v="89"/>
    <m/>
    <m/>
    <m/>
  </r>
  <r>
    <m/>
    <m/>
    <m/>
    <m/>
    <n v="7"/>
    <x v="4"/>
    <n v="2081700000"/>
    <m/>
    <n v="190100000"/>
    <n v="55300000"/>
    <n v="93100000"/>
    <n v="1596600000"/>
    <n v="7.5886558407261768"/>
    <n v="3.4636101716146811E-2"/>
    <n v="7.2003314197786591E-2"/>
    <n v="210392991"/>
    <n v="1472750937"/>
    <n v="0.92242949830890641"/>
    <m/>
    <m/>
    <m/>
    <s v=""/>
    <m/>
    <m/>
    <m/>
    <s v="Privatisé en 1987, Bouygues à 43,73% du capital mais réglementairement ne peut pas aller plus haut"/>
    <m/>
    <n v="1949"/>
    <n v="0"/>
    <s v="FR000005490012020"/>
    <s v="FR0000054900"/>
    <n v="1"/>
    <x v="89"/>
    <m/>
    <m/>
    <m/>
  </r>
  <r>
    <m/>
    <m/>
    <m/>
    <m/>
    <m/>
    <x v="1"/>
    <n v="-0.10935695032730075"/>
    <m/>
    <n v="-0.25480203841630733"/>
    <n v="-0.64276485788113691"/>
    <m/>
    <m/>
    <m/>
    <m/>
    <m/>
    <m/>
    <m/>
    <m/>
    <m/>
    <m/>
    <m/>
    <s v=""/>
    <m/>
    <m/>
    <m/>
    <s v="Déclin de TF1 depuis 15 ans de 40% de part de marché à 22% en 2017. Les jeunes ne regardent pas la TV et le nombre de chaînes a augmenté d'où un partage de la publicité"/>
    <m/>
    <n v="1950"/>
    <n v="0"/>
    <s v="FR00000549001"/>
    <s v="FR0000054900"/>
    <n v="1"/>
    <x v="89"/>
    <m/>
    <m/>
    <m/>
  </r>
  <r>
    <m/>
    <m/>
    <m/>
    <m/>
    <n v="7.42"/>
    <x v="5"/>
    <n v="2337300000"/>
    <m/>
    <n v="255100000"/>
    <n v="154800000"/>
    <n v="225800000"/>
    <m/>
    <n v="0"/>
    <m/>
    <m/>
    <n v="209795942"/>
    <n v="1556685889.6399999"/>
    <m/>
    <m/>
    <m/>
    <m/>
    <s v=""/>
    <m/>
    <m/>
    <m/>
    <s v="3686 salariés"/>
    <m/>
    <n v="1951"/>
    <n v="0"/>
    <s v="FR000005490012019"/>
    <s v="FR0000054900"/>
    <n v="1"/>
    <x v="89"/>
    <m/>
    <m/>
    <m/>
  </r>
  <r>
    <m/>
    <m/>
    <m/>
    <m/>
    <m/>
    <x v="1"/>
    <m/>
    <m/>
    <m/>
    <m/>
    <m/>
    <m/>
    <m/>
    <m/>
    <m/>
    <m/>
    <m/>
    <m/>
    <m/>
    <m/>
    <m/>
    <s v=""/>
    <m/>
    <m/>
    <m/>
    <s v="Business en déclin mais rentable et pas dettes "/>
    <m/>
    <n v="1952"/>
    <n v="0"/>
    <s v="FR00000549001"/>
    <s v="FR0000054900"/>
    <n v="1"/>
    <x v="89"/>
    <m/>
    <m/>
    <m/>
  </r>
  <r>
    <m/>
    <m/>
    <m/>
    <m/>
    <n v="6.59"/>
    <x v="7"/>
    <n v="1986000000"/>
    <n v="320000000"/>
    <n v="130000000"/>
    <n v="110000000"/>
    <n v="-297000000"/>
    <n v="1514000000"/>
    <n v="7.2165361520672313"/>
    <n v="7.2655217965653898E-2"/>
    <n v="6.8364831552999175E-2"/>
    <n v="209795942"/>
    <n v="1382555257.78"/>
    <n v="0.91318048730515189"/>
    <n v="3.3923601805625001"/>
    <m/>
    <m/>
    <s v=""/>
    <m/>
    <m/>
    <m/>
    <s v="Pas de minoritaires"/>
    <m/>
    <n v="1953"/>
    <n v="0"/>
    <s v="FR000005490012017"/>
    <s v="FR0000054900"/>
    <n v="1"/>
    <x v="89"/>
    <m/>
    <m/>
    <m/>
  </r>
  <r>
    <m/>
    <m/>
    <m/>
    <m/>
    <m/>
    <x v="1"/>
    <n v="-3.7324285021812842E-2"/>
    <n v="4.2345276872964188E-2"/>
    <n v="7.7519379844961378E-3"/>
    <n v="0.11556209117184735"/>
    <m/>
    <m/>
    <m/>
    <m/>
    <m/>
    <m/>
    <m/>
    <m/>
    <m/>
    <m/>
    <m/>
    <s v=""/>
    <m/>
    <m/>
    <m/>
    <s v="Pay-out ratio : 73% en 2021 (diminuera avec la normalisation des profits)"/>
    <m/>
    <n v="1954"/>
    <n v="0"/>
    <s v="FR00000549001"/>
    <s v="FR0000054900"/>
    <n v="1"/>
    <x v="89"/>
    <m/>
    <m/>
    <m/>
  </r>
  <r>
    <m/>
    <m/>
    <m/>
    <m/>
    <n v="9.4499999999999993"/>
    <x v="8"/>
    <n v="2063000000"/>
    <n v="307000000"/>
    <n v="129000000"/>
    <n v="98605000"/>
    <n v="-187000000"/>
    <n v="1514000000"/>
    <n v="7.2165361520672313"/>
    <n v="6.5128797886393655E-2"/>
    <n v="6.2215523737754332E-2"/>
    <n v="209795942"/>
    <n v="1982571651.8999999"/>
    <n v="1.3094925045574637"/>
    <n v="5.8487675957654721"/>
    <m/>
    <m/>
    <s v=""/>
    <m/>
    <m/>
    <m/>
    <m/>
    <m/>
    <n v="1955"/>
    <n v="0"/>
    <s v="FR000005490012016"/>
    <s v="FR0000054900"/>
    <n v="1"/>
    <x v="89"/>
    <m/>
    <m/>
    <m/>
  </r>
  <r>
    <m/>
    <m/>
    <m/>
    <m/>
    <m/>
    <x v="1"/>
    <m/>
    <m/>
    <m/>
    <m/>
    <m/>
    <m/>
    <m/>
    <m/>
    <m/>
    <m/>
    <m/>
    <m/>
    <m/>
    <m/>
    <m/>
    <s v=""/>
    <m/>
    <m/>
    <m/>
    <m/>
    <m/>
    <n v="1956"/>
    <n v="0"/>
    <s v="FR00000549001"/>
    <s v="FR0000054900"/>
    <n v="1"/>
    <x v="89"/>
    <m/>
    <m/>
    <m/>
  </r>
  <r>
    <m/>
    <m/>
    <m/>
    <m/>
    <n v="10.210000000000001"/>
    <x v="9"/>
    <m/>
    <m/>
    <m/>
    <m/>
    <m/>
    <m/>
    <m/>
    <m/>
    <m/>
    <n v="209795942"/>
    <n v="2142016567.8200002"/>
    <m/>
    <m/>
    <m/>
    <m/>
    <s v=""/>
    <m/>
    <m/>
    <m/>
    <m/>
    <m/>
    <n v="1957"/>
    <n v="0"/>
    <s v="FR000005490012015"/>
    <s v="FR0000054900"/>
    <n v="1"/>
    <x v="89"/>
    <m/>
    <m/>
    <m/>
  </r>
  <r>
    <m/>
    <m/>
    <m/>
    <m/>
    <m/>
    <x v="1"/>
    <m/>
    <m/>
    <m/>
    <m/>
    <m/>
    <m/>
    <m/>
    <m/>
    <m/>
    <m/>
    <m/>
    <m/>
    <m/>
    <m/>
    <m/>
    <s v=""/>
    <m/>
    <m/>
    <m/>
    <m/>
    <m/>
    <n v="1958"/>
    <n v="0"/>
    <s v="FR00000549001"/>
    <s v="FR0000054900"/>
    <n v="1"/>
    <x v="89"/>
    <m/>
    <m/>
    <m/>
  </r>
  <r>
    <m/>
    <m/>
    <m/>
    <m/>
    <n v="12.77"/>
    <x v="10"/>
    <m/>
    <m/>
    <m/>
    <m/>
    <m/>
    <m/>
    <m/>
    <m/>
    <m/>
    <n v="209795942"/>
    <n v="2679094179.3399997"/>
    <m/>
    <m/>
    <m/>
    <m/>
    <s v=""/>
    <m/>
    <m/>
    <m/>
    <m/>
    <m/>
    <n v="1959"/>
    <n v="0"/>
    <s v="FR000005490012014"/>
    <s v="FR0000054900"/>
    <n v="1"/>
    <x v="89"/>
    <m/>
    <m/>
    <m/>
  </r>
  <r>
    <m/>
    <m/>
    <m/>
    <m/>
    <m/>
    <x v="1"/>
    <m/>
    <m/>
    <m/>
    <m/>
    <m/>
    <m/>
    <m/>
    <m/>
    <m/>
    <m/>
    <m/>
    <m/>
    <m/>
    <m/>
    <m/>
    <s v=""/>
    <m/>
    <m/>
    <m/>
    <m/>
    <m/>
    <n v="1960"/>
    <n v="0"/>
    <s v="FR00000549001"/>
    <s v="FR0000054900"/>
    <n v="1"/>
    <x v="89"/>
    <m/>
    <m/>
    <m/>
  </r>
  <r>
    <m/>
    <m/>
    <m/>
    <m/>
    <n v="14.1"/>
    <x v="11"/>
    <m/>
    <m/>
    <m/>
    <m/>
    <m/>
    <m/>
    <m/>
    <m/>
    <m/>
    <n v="209795942"/>
    <n v="2958122782.1999998"/>
    <m/>
    <m/>
    <m/>
    <m/>
    <s v=""/>
    <m/>
    <m/>
    <m/>
    <m/>
    <m/>
    <n v="1961"/>
    <n v="0"/>
    <s v="FR000005490012013"/>
    <s v="FR0000054900"/>
    <n v="1"/>
    <x v="89"/>
    <m/>
    <m/>
    <m/>
  </r>
  <r>
    <m/>
    <m/>
    <m/>
    <m/>
    <m/>
    <x v="1"/>
    <m/>
    <m/>
    <m/>
    <m/>
    <m/>
    <m/>
    <m/>
    <m/>
    <m/>
    <m/>
    <m/>
    <m/>
    <m/>
    <m/>
    <m/>
    <s v=""/>
    <m/>
    <m/>
    <m/>
    <m/>
    <m/>
    <n v="1962"/>
    <n v="0"/>
    <s v="FR00000549001"/>
    <s v="FR0000054900"/>
    <n v="1"/>
    <x v="89"/>
    <m/>
    <m/>
    <m/>
  </r>
  <r>
    <m/>
    <m/>
    <m/>
    <m/>
    <m/>
    <x v="1"/>
    <m/>
    <m/>
    <m/>
    <m/>
    <m/>
    <m/>
    <m/>
    <m/>
    <m/>
    <m/>
    <m/>
    <m/>
    <m/>
    <m/>
    <m/>
    <s v=""/>
    <m/>
    <m/>
    <m/>
    <m/>
    <m/>
    <n v="1963"/>
    <n v="0"/>
    <s v="FR00000549001"/>
    <s v="FR0000054900"/>
    <n v="1"/>
    <x v="89"/>
    <m/>
    <m/>
    <m/>
  </r>
  <r>
    <m/>
    <m/>
    <m/>
    <m/>
    <m/>
    <x v="1"/>
    <m/>
    <m/>
    <m/>
    <m/>
    <m/>
    <m/>
    <m/>
    <m/>
    <m/>
    <m/>
    <m/>
    <m/>
    <m/>
    <m/>
    <m/>
    <s v=""/>
    <m/>
    <m/>
    <m/>
    <m/>
    <m/>
    <n v="1964"/>
    <n v="0"/>
    <s v="FR00000549001"/>
    <s v="FR0000054900"/>
    <n v="1"/>
    <x v="89"/>
    <m/>
    <m/>
    <m/>
  </r>
  <r>
    <s v="Orange"/>
    <s v="Télécommunication"/>
    <s v="France"/>
    <s v="Euro"/>
    <n v="11.6"/>
    <x v="0"/>
    <n v="44123064999.999992"/>
    <n v="13050000000"/>
    <n v="5000000000"/>
    <n v="2700000000"/>
    <n v="25300000000"/>
    <n v="32000000000"/>
    <n v="12.029819219647363"/>
    <n v="8.4375000000000006E-2"/>
    <n v="5.5846422338568937E-2"/>
    <n v="2660056599"/>
    <n v="30856656548.399998"/>
    <n v="0.96427051713749989"/>
    <n v="4.3031920726743289"/>
    <m/>
    <m/>
    <s v=""/>
    <n v="3500000000"/>
    <s v="E = -1"/>
    <m/>
    <s v="Opérateur télécomunication français encore détenu par l'Etat à 22,95% du capital et 29,29% des droits de vote."/>
    <m/>
    <n v="1965"/>
    <n v="0"/>
    <s v="FR000013330812023"/>
    <s v="FR0000133308"/>
    <n v="1"/>
    <x v="90"/>
    <m/>
    <m/>
    <m/>
  </r>
  <r>
    <m/>
    <m/>
    <m/>
    <m/>
    <m/>
    <x v="1"/>
    <n v="1.4999999999999902E-2"/>
    <n v="6.7114093959732557E-3"/>
    <n v="4.144969797958753E-2"/>
    <n v="0.25815470643056848"/>
    <m/>
    <m/>
    <m/>
    <m/>
    <m/>
    <m/>
    <m/>
    <m/>
    <m/>
    <m/>
    <m/>
    <s v=""/>
    <m/>
    <s v="S = 0 "/>
    <m/>
    <s v="Christel Heydemann remplace en 2022 Stéphane Richard (2009-2021) comme CEO"/>
    <m/>
    <n v="1966"/>
    <n v="0"/>
    <s v="FR00001333081"/>
    <s v="FR0000133308"/>
    <n v="1"/>
    <x v="90"/>
    <m/>
    <m/>
    <m/>
  </r>
  <r>
    <m/>
    <m/>
    <m/>
    <m/>
    <n v="9.2799999999999994"/>
    <x v="2"/>
    <n v="43471000000"/>
    <n v="12963000000"/>
    <n v="4801000000"/>
    <n v="2146000000"/>
    <n v="25298000000"/>
    <n v="31784000000"/>
    <n v="11.948617939914744"/>
    <n v="8.4948401711552976E-2"/>
    <n v="5.8874951823692234E-2"/>
    <n v="2660056599"/>
    <n v="24685325238.719997"/>
    <n v="0.77665886102189774"/>
    <n v="3.8558455017141093"/>
    <m/>
    <m/>
    <s v=""/>
    <n v="3058000000"/>
    <s v="G = 1"/>
    <m/>
    <s v="Après la période difficile post bulle internet avec le désendettement et la baisse inéluctable du fixe, Orange a subi l'arrivée de Free sur le mobile"/>
    <m/>
    <n v="1967"/>
    <n v="0"/>
    <s v="FR000013330812022"/>
    <s v="FR0000133308"/>
    <n v="1"/>
    <x v="90"/>
    <m/>
    <m/>
    <m/>
  </r>
  <r>
    <m/>
    <m/>
    <m/>
    <m/>
    <m/>
    <x v="1"/>
    <n v="2.2317858990640094E-2"/>
    <n v="3.1593187967531522E-2"/>
    <n v="0.90440301467671569"/>
    <n v="8.2103004291845494"/>
    <m/>
    <m/>
    <m/>
    <m/>
    <m/>
    <m/>
    <m/>
    <m/>
    <m/>
    <m/>
    <m/>
    <s v=""/>
    <m/>
    <m/>
    <m/>
    <s v="Le marché est plus stabilisé aujourd'hui même si le fixe continue son déclin mais Orange investit beaucoup dans la Fibre et la 4G et obtient de bons succès commerciaux"/>
    <m/>
    <n v="1968"/>
    <n v="0"/>
    <s v="FR00001333081"/>
    <s v="FR0000133308"/>
    <n v="1"/>
    <x v="90"/>
    <m/>
    <m/>
    <m/>
  </r>
  <r>
    <m/>
    <m/>
    <m/>
    <m/>
    <n v="9.4"/>
    <x v="3"/>
    <n v="42522000000"/>
    <n v="12566000000"/>
    <n v="2521000000"/>
    <n v="233000000"/>
    <n v="24269000000"/>
    <n v="32341000000"/>
    <n v="12.15801198070673"/>
    <n v="6.6355400265916326E-2"/>
    <n v="3.117293764352588E-2"/>
    <n v="2660056599"/>
    <n v="24685325238.719997"/>
    <n v="0.76328268262329546"/>
    <n v="3.8957763201273279"/>
    <m/>
    <m/>
    <s v=""/>
    <n v="2400000000"/>
    <m/>
    <m/>
    <s v="Meilleur trimestre (3T17) de recrutement d'abonnés (350 000 en France et au total 500 000 en Europe)"/>
    <m/>
    <n v="1969"/>
    <n v="0"/>
    <s v="FR000013330812021"/>
    <s v="FR0000133308"/>
    <n v="1"/>
    <x v="90"/>
    <m/>
    <m/>
    <m/>
  </r>
  <r>
    <m/>
    <m/>
    <m/>
    <m/>
    <m/>
    <x v="1"/>
    <n v="5.9616749467708008E-3"/>
    <n v="-8.99053627760249E-3"/>
    <n v="-0.54337982249592465"/>
    <n v="-0.9516798009124845"/>
    <m/>
    <m/>
    <m/>
    <m/>
    <m/>
    <m/>
    <m/>
    <m/>
    <m/>
    <m/>
    <m/>
    <s v=""/>
    <m/>
    <m/>
    <m/>
    <s v="Les actifs ont été rationalisés, vente du UK : EE vente définitive en janvier 2016, à BT pour 4,5 Md euros couverture de la Livre, reste actionnaire à hauteur de 4% de BT. Valeur de cette participation : 2,4 Md euros déjà dépréciée dès la première année. Valeur au 31/12/2016 : 1,7 Md euros. Encore -30% en2017 à 2,6 £ (contre 3,7 £ AU 31/12/2016)"/>
    <m/>
    <n v="1970"/>
    <n v="0"/>
    <s v="FR00001333081"/>
    <s v="FR0000133308"/>
    <n v="1"/>
    <x v="90"/>
    <m/>
    <m/>
    <m/>
  </r>
  <r>
    <m/>
    <m/>
    <m/>
    <m/>
    <n v="9.5"/>
    <x v="4"/>
    <n v="42270000000"/>
    <n v="12680000000"/>
    <n v="5521000000"/>
    <n v="4822000000"/>
    <n v="23489000000"/>
    <n v="34557000000"/>
    <n v="12.991076961667311"/>
    <n v="6.7424834331683888E-3"/>
    <n v="6.6579953829721247E-2"/>
    <n v="2660056599"/>
    <n v="25270537690.5"/>
    <n v="0.7312711662036635"/>
    <n v="3.8453894077681388"/>
    <m/>
    <m/>
    <s v=""/>
    <m/>
    <m/>
    <m/>
    <s v="Vente à Altice d'Orange Dominicaine en 2014 : 1 Md euros"/>
    <m/>
    <n v="1971"/>
    <n v="0"/>
    <s v="FR000013330812020"/>
    <s v="FR0000133308"/>
    <n v="1"/>
    <x v="90"/>
    <m/>
    <m/>
    <m/>
  </r>
  <r>
    <m/>
    <m/>
    <m/>
    <m/>
    <m/>
    <x v="1"/>
    <n v="2.8231833171217247E-3"/>
    <n v="-1.3690105787181106E-2"/>
    <n v="-6.8971332209106229E-2"/>
    <n v="0.60519307589880156"/>
    <m/>
    <m/>
    <m/>
    <m/>
    <m/>
    <m/>
    <m/>
    <m/>
    <m/>
    <m/>
    <m/>
    <s v=""/>
    <m/>
    <m/>
    <m/>
    <s v="Achat de Jazztel en Espagne pour 3,179 M euros en juillet 2015. "/>
    <m/>
    <n v="1972"/>
    <n v="0"/>
    <s v="FR00001333081"/>
    <s v="FR0000133308"/>
    <n v="1"/>
    <x v="90"/>
    <m/>
    <m/>
    <m/>
  </r>
  <r>
    <m/>
    <m/>
    <m/>
    <m/>
    <n v="9.73"/>
    <x v="5"/>
    <n v="42151000000"/>
    <n v="12856000000"/>
    <n v="5930000000"/>
    <n v="3004000000"/>
    <n v="25466000000"/>
    <n v="31725000000"/>
    <n v="11.926437960728519"/>
    <n v="0.15199369582348304"/>
    <n v="7.2581350212446008E-2"/>
    <n v="2660056599"/>
    <n v="25882350708.27"/>
    <n v="0.81583453769172576"/>
    <n v="3.9941156431448355"/>
    <m/>
    <n v="146768"/>
    <n v="287194.75635015807"/>
    <m/>
    <m/>
    <m/>
    <s v="Achat en Afrique en 2016 pour 1 Md euros : Sierra Leone, RDC, Burkina Fasso et Sierra Leone"/>
    <m/>
    <n v="1973"/>
    <n v="0"/>
    <s v="FR000013330812019"/>
    <s v="FR0000133308"/>
    <n v="1"/>
    <x v="90"/>
    <m/>
    <m/>
    <m/>
  </r>
  <r>
    <m/>
    <m/>
    <m/>
    <m/>
    <m/>
    <x v="1"/>
    <n v="1.8541805570081005E-2"/>
    <n v="-1.8625954198473238E-2"/>
    <n v="0.22799751501346033"/>
    <n v="0.53735926305015358"/>
    <m/>
    <m/>
    <m/>
    <m/>
    <m/>
    <m/>
    <m/>
    <m/>
    <m/>
    <m/>
    <m/>
    <s v=""/>
    <m/>
    <m/>
    <m/>
    <s v="Les principaux pays sont : France (44%) Espagne (12%), Pologne (6,4%), Bénélux (3%) et Afrique (12,1%) et produits Fibre et 4G. 200 Millions de clients Mobile et 18 Millions de clients Haut débit"/>
    <m/>
    <n v="1974"/>
    <n v="0"/>
    <s v="FR00001333081"/>
    <s v="FR0000133308"/>
    <n v="1"/>
    <x v="90"/>
    <m/>
    <m/>
    <m/>
  </r>
  <r>
    <m/>
    <m/>
    <m/>
    <m/>
    <n v="14"/>
    <x v="6"/>
    <n v="41383671999.999992"/>
    <n v="13100000000"/>
    <n v="4829000000"/>
    <n v="1954000000"/>
    <n v="25441000000"/>
    <n v="30669000000"/>
    <n v="11.529453926480157"/>
    <n v="9.7949069092569049E-2"/>
    <n v="6.0244163250757439E-2"/>
    <n v="2660056599"/>
    <n v="37240792386"/>
    <n v="1.2142812737943851"/>
    <n v="4.7848696477862598"/>
    <m/>
    <m/>
    <s v=""/>
    <m/>
    <m/>
    <m/>
    <s v="Lancement d'Orange Bank en novembre 2018 : coût 100 M euros, 30 000 clients en un mois, objectif 400 000 fin 2018 et 400 M euros de chiffre d'affaires"/>
    <m/>
    <n v="1975"/>
    <n v="0"/>
    <s v="FR000013330812018"/>
    <s v="FR0000133308"/>
    <n v="1"/>
    <x v="90"/>
    <m/>
    <m/>
    <m/>
  </r>
  <r>
    <m/>
    <m/>
    <m/>
    <m/>
    <m/>
    <x v="1"/>
    <n v="6.9999999999998952E-3"/>
    <n v="2.192058662922225E-2"/>
    <n v="-1.7897091722595126E-2"/>
    <n v="2.5183630640083887E-2"/>
    <m/>
    <m/>
    <m/>
    <m/>
    <m/>
    <m/>
    <m/>
    <m/>
    <m/>
    <m/>
    <m/>
    <s v=""/>
    <m/>
    <m/>
    <m/>
    <s v="Dettes &lt; à deux fois l'EBE permettant investissement et acquisition. Dettes brutes 32 Md euros (8 Md euros de cash) à 2/3 en euros. Titres subordonnées 1,5 Md (1,2 Md euros en dettes et 300 M euros en capitaux propres) et autres titres subordonnées"/>
    <m/>
    <n v="1976"/>
    <n v="0"/>
    <s v="FR00001333081"/>
    <s v="FR0000133308"/>
    <n v="1"/>
    <x v="90"/>
    <m/>
    <m/>
    <m/>
  </r>
  <r>
    <m/>
    <m/>
    <m/>
    <m/>
    <n v="14.5"/>
    <x v="7"/>
    <n v="41096000000"/>
    <n v="12819000000"/>
    <n v="4917000000"/>
    <n v="1906000000"/>
    <n v="23843000000"/>
    <n v="30488000000"/>
    <n v="11.461410261519026"/>
    <n v="6.4090789818945157E-2"/>
    <n v="6.3350573337505295E-2"/>
    <n v="2660056599"/>
    <n v="38570820685.5"/>
    <n v="1.2651148217495407"/>
    <n v="4.8688525380684924"/>
    <m/>
    <m/>
    <s v=""/>
    <m/>
    <m/>
    <m/>
    <s v="Dettes : S&amp;P : BBB+ / Stable. 1,2 Md euros de charges financières"/>
    <m/>
    <n v="1977"/>
    <n v="0"/>
    <s v="FR000013330812017"/>
    <s v="FR0000133308"/>
    <n v="1"/>
    <x v="90"/>
    <m/>
    <m/>
    <m/>
  </r>
  <r>
    <m/>
    <m/>
    <m/>
    <m/>
    <m/>
    <x v="1"/>
    <n v="4.3501637421183847E-3"/>
    <n v="1.0802712505913803E-2"/>
    <n v="0.20603384841795447"/>
    <n v="-0.35059625212947187"/>
    <m/>
    <m/>
    <m/>
    <m/>
    <m/>
    <m/>
    <m/>
    <m/>
    <m/>
    <m/>
    <m/>
    <s v=""/>
    <m/>
    <m/>
    <m/>
    <s v="Multiple raisonnable (VE/EBE de 4,5 fois 2017, même cours que fin 2014)"/>
    <m/>
    <n v="1978"/>
    <n v="0"/>
    <s v="FR00001333081"/>
    <s v="FR0000133308"/>
    <n v="1"/>
    <x v="90"/>
    <m/>
    <m/>
    <m/>
  </r>
  <r>
    <m/>
    <m/>
    <m/>
    <m/>
    <n v="14.44"/>
    <x v="8"/>
    <n v="40918000000"/>
    <n v="12682000000"/>
    <n v="4077000000"/>
    <n v="2935000000"/>
    <n v="24444000000"/>
    <n v="30688000000"/>
    <n v="11.536596631641821"/>
    <n v="6.2108967674661106E-2"/>
    <n v="5.1764855256475367E-2"/>
    <n v="2660056599"/>
    <n v="38411217289.559998"/>
    <n v="1.2516689679861834"/>
    <n v="4.9562543202617881"/>
    <m/>
    <m/>
    <s v=""/>
    <m/>
    <m/>
    <m/>
    <s v="Achat à 14,5 euros objectif 17,5 euros. Finalement probable stabilité vue le ROE &lt;8%, le pay out ratio de 100% et du cours de 120 % actif net"/>
    <m/>
    <n v="1979"/>
    <n v="0"/>
    <s v="FR000013330812016"/>
    <s v="FR0000133308"/>
    <n v="1"/>
    <x v="90"/>
    <m/>
    <m/>
    <m/>
  </r>
  <r>
    <m/>
    <m/>
    <m/>
    <m/>
    <m/>
    <x v="1"/>
    <n v="1.6949995029327036E-2"/>
    <n v="2.1259462071187007E-2"/>
    <n v="-0.14023618726275833"/>
    <n v="0.10671191553544501"/>
    <m/>
    <m/>
    <m/>
    <m/>
    <m/>
    <m/>
    <m/>
    <m/>
    <m/>
    <m/>
    <m/>
    <s v=""/>
    <m/>
    <m/>
    <m/>
    <s v="Dividende élevé à 0,6 euros pour un BPA de 0,7 même si le BPA devrait progresser. En 2017, distribution de 84% du bénéfice. Donc potentiel de l'action pas très élevé vu la part du dividendes dans le TSR"/>
    <m/>
    <n v="1980"/>
    <n v="0"/>
    <s v="FR00001333081"/>
    <s v="FR0000133308"/>
    <n v="1"/>
    <x v="90"/>
    <m/>
    <m/>
    <m/>
  </r>
  <r>
    <m/>
    <m/>
    <m/>
    <m/>
    <n v="15.58"/>
    <x v="9"/>
    <n v="40236000000"/>
    <n v="12418000000"/>
    <n v="4742000000"/>
    <n v="2652000000"/>
    <n v="26552000000"/>
    <n v="30907000000"/>
    <n v="11.667926516698213"/>
    <n v="9.4962306273659688E-2"/>
    <n v="5.7769888094119287E-2"/>
    <n v="2648885383"/>
    <n v="41269634267.139999"/>
    <n v="1.3352843778800918"/>
    <n v="5.4615585655612824"/>
    <m/>
    <m/>
    <s v=""/>
    <m/>
    <m/>
    <m/>
    <s v="Dividende 2018 à 0,7 euros. Distribution proche de 100% du résultat. Même conclusion que l'année dernière"/>
    <m/>
    <n v="1981"/>
    <n v="0"/>
    <s v="FR000013330812015"/>
    <s v="FR0000133308"/>
    <n v="1"/>
    <x v="90"/>
    <m/>
    <m/>
    <m/>
  </r>
  <r>
    <m/>
    <m/>
    <m/>
    <m/>
    <m/>
    <x v="1"/>
    <n v="2.0053238686779107E-2"/>
    <n v="2.1385096232932943E-2"/>
    <n v="3.740975716473427E-2"/>
    <n v="1.8670270270270271"/>
    <m/>
    <m/>
    <m/>
    <m/>
    <m/>
    <m/>
    <m/>
    <m/>
    <m/>
    <m/>
    <m/>
    <s v=""/>
    <m/>
    <m/>
    <m/>
    <s v="Activité bancaire qui se deploit mais pourrait alourdir le bilan compte tenu du minimum de fonds propres pour ce type d'activité et sachant que le bilan d'Orange est assez lourd"/>
    <m/>
    <n v="1982"/>
    <n v="0"/>
    <s v="FR00001333081"/>
    <s v="FR0000133308"/>
    <n v="1"/>
    <x v="90"/>
    <m/>
    <m/>
    <m/>
  </r>
  <r>
    <m/>
    <m/>
    <m/>
    <m/>
    <n v="14.49"/>
    <x v="10"/>
    <n v="39445000000"/>
    <n v="12158000000"/>
    <n v="4571000000"/>
    <n v="925000000"/>
    <n v="26090000000"/>
    <n v="20559000000"/>
    <n v="7.7613777220952711"/>
    <n v="0.12899460090471326"/>
    <n v="6.8590966580205359E-2"/>
    <n v="2648885383"/>
    <n v="38382349199.669998"/>
    <n v="1.8669365825025535"/>
    <n v="5.3028745846084879"/>
    <m/>
    <m/>
    <s v=""/>
    <m/>
    <m/>
    <m/>
    <s v="Stéphane Richard renouvelé comme PDG en 2018"/>
    <m/>
    <n v="1983"/>
    <n v="0"/>
    <s v="FR000013330812014"/>
    <s v="FR0000133308"/>
    <n v="1"/>
    <x v="90"/>
    <m/>
    <m/>
    <m/>
  </r>
  <r>
    <m/>
    <m/>
    <m/>
    <m/>
    <m/>
    <x v="1"/>
    <n v="-3.7480783777848248E-2"/>
    <n v="-3.8817297810103568E-2"/>
    <n v="-0.14288393024564039"/>
    <n v="-0.50613988254137743"/>
    <m/>
    <m/>
    <m/>
    <m/>
    <m/>
    <m/>
    <m/>
    <m/>
    <m/>
    <m/>
    <m/>
    <s v=""/>
    <m/>
    <m/>
    <m/>
    <s v="Le 27 juin 2019 vente des actions BT Telecom, il lui en restait 2,5% soit pour 550 M euros à un cours de 198 pence"/>
    <m/>
    <n v="1984"/>
    <n v="0"/>
    <s v="FR00001333081"/>
    <s v="FR0000133308"/>
    <n v="1"/>
    <x v="90"/>
    <m/>
    <m/>
    <m/>
  </r>
  <r>
    <m/>
    <m/>
    <m/>
    <m/>
    <n v="8.84"/>
    <x v="11"/>
    <n v="40981000000"/>
    <n v="12649000000"/>
    <n v="5333000000"/>
    <n v="1873000000"/>
    <n v="30726000000"/>
    <n v="24349000000"/>
    <n v="9.1921682063961168"/>
    <n v="3.7989239804509425E-2"/>
    <n v="6.7782115297321838E-2"/>
    <n v="2648885383"/>
    <n v="23416146785.720001"/>
    <n v="0.96168823301655104"/>
    <n v="4.2803499712008852"/>
    <m/>
    <m/>
    <s v=""/>
    <m/>
    <m/>
    <m/>
    <s v="En 2021, départ de Stéphane Richard remplacé par Christel Heydemann. Activité toujours en légère progresssion (bien en France et Afrique, très difficile en Espagne) et beaucoup d'investissement : peu de flux de trésorerie excédentaire. Dépréciation sur l'Espagne d'où la baisse de résultat net"/>
    <m/>
    <n v="1985"/>
    <n v="0"/>
    <s v="FR000013330812013"/>
    <s v="FR0000133308"/>
    <n v="1"/>
    <x v="90"/>
    <m/>
    <m/>
    <m/>
  </r>
  <r>
    <m/>
    <m/>
    <m/>
    <m/>
    <m/>
    <x v="1"/>
    <n v="-5.8232793289670237E-2"/>
    <n v="-7.4689100219458626E-2"/>
    <n v="0.27583732057416266"/>
    <n v="1.2841463414634147"/>
    <m/>
    <m/>
    <m/>
    <m/>
    <m/>
    <m/>
    <m/>
    <m/>
    <m/>
    <m/>
    <m/>
    <s v=""/>
    <m/>
    <m/>
    <m/>
    <s v="Orange connait quelques difficultés de rentabilité avec sa filiale Espagnol (11,69 % du CA), (Second Marché derrière la France), a passé 3,7 Mds d'euros de dépréciation d'actif dans le pays. C'est un marché avec 15 opérateurs différents."/>
    <m/>
    <n v="1986"/>
    <n v="0"/>
    <s v="FR00001333081"/>
    <s v="FR0000133308"/>
    <n v="1"/>
    <x v="90"/>
    <m/>
    <m/>
    <m/>
  </r>
  <r>
    <m/>
    <m/>
    <m/>
    <m/>
    <n v="8.2799999999999994"/>
    <x v="12"/>
    <n v="43515000000"/>
    <n v="13670000000"/>
    <n v="4180000000"/>
    <n v="820000000"/>
    <n v="30545000000"/>
    <n v="24306000000"/>
    <n v="9.1759349634343916"/>
    <n v="3.3736525960668146E-2"/>
    <n v="4.8772128128931107E-2"/>
    <n v="2648885383"/>
    <n v="21932770971.239998"/>
    <n v="0.9023603625129597"/>
    <n v="3.8389005831192389"/>
    <m/>
    <m/>
    <s v=""/>
    <m/>
    <m/>
    <m/>
    <s v="En 2022, S1 CA stable +0,1 %, mais la division &quot;services aux opérateurs&quot; (Wholesale) est affectés par les moindres cofinancements et la baisse du tarif régulé des terminaisons d’appel peu margées, reculent de 9% (-360 millions euros)."/>
    <m/>
    <n v="1987"/>
    <n v="0"/>
    <s v="FR000013330812012"/>
    <s v="FR0000133308"/>
    <n v="1"/>
    <x v="90"/>
    <m/>
    <m/>
    <m/>
  </r>
  <r>
    <m/>
    <m/>
    <m/>
    <m/>
    <m/>
    <x v="1"/>
    <n v="-0.17832663003455507"/>
    <n v="-0.28489223686963805"/>
    <n v="-0.61292712288174833"/>
    <n v="-0.87974776360170115"/>
    <m/>
    <m/>
    <m/>
    <m/>
    <m/>
    <m/>
    <m/>
    <m/>
    <m/>
    <m/>
    <m/>
    <s v=""/>
    <m/>
    <m/>
    <m/>
    <s v="Déploiement de la fibre presque terminée en France d'où baisse des investissements et un objectif de flux de trésorerie libre de 3,5 Md euros en 2023, 90 % des objectifs d'Orange réalisés"/>
    <m/>
    <n v="1988"/>
    <n v="0"/>
    <s v="FR00001333081"/>
    <s v="FR0000133308"/>
    <n v="1"/>
    <x v="90"/>
    <m/>
    <m/>
    <m/>
  </r>
  <r>
    <m/>
    <m/>
    <m/>
    <m/>
    <n v="24.3"/>
    <x v="15"/>
    <n v="52959000000"/>
    <n v="19116000000"/>
    <n v="10799000000"/>
    <n v="6819000000"/>
    <n v="37980000000"/>
    <n v="29855000000"/>
    <n v="10.595265472530031"/>
    <n v="0.22840395243677775"/>
    <n v="0.10188486769366846"/>
    <n v="2817768000"/>
    <n v="68471762400"/>
    <n v="2.2934772198961646"/>
    <n v="5.5687258003766482"/>
    <m/>
    <m/>
    <s v=""/>
    <m/>
    <m/>
    <m/>
    <s v="Suite aux difficultés en Espagne, fusion de la filiale avec Masmovil. Dépréciation d'actifs en Roumanie"/>
    <m/>
    <n v="1989"/>
    <n v="0"/>
    <s v="FR000013330812007"/>
    <s v="FR0000133308"/>
    <n v="1"/>
    <x v="90"/>
    <m/>
    <m/>
    <m/>
  </r>
  <r>
    <m/>
    <m/>
    <m/>
    <m/>
    <m/>
    <x v="1"/>
    <m/>
    <m/>
    <m/>
    <m/>
    <m/>
    <m/>
    <m/>
    <m/>
    <m/>
    <m/>
    <m/>
    <m/>
    <m/>
    <m/>
    <m/>
    <s v=""/>
    <m/>
    <m/>
    <m/>
    <s v="En 2023, poursuite d'une légère espérée avec l'Afrique et le redressement de l'Espagne (JV à 50/50 avec Masmovil). France mature à léger déclin avec le wholesale (fixe entreprises - 1Md de CA à perdre probablement). Sortie d'Orange Bank. Capex en baisse et légère hausse de l'EBE =&gt; FCF à 3,5 Md euros"/>
    <m/>
    <n v="1990"/>
    <n v="0"/>
    <s v="FR00001333081"/>
    <s v="FR0000133308"/>
    <n v="1"/>
    <x v="90"/>
    <m/>
    <m/>
    <m/>
  </r>
  <r>
    <m/>
    <m/>
    <m/>
    <m/>
    <s v="IPO en octobre 1997 à 27,7 euros"/>
    <x v="1"/>
    <m/>
    <m/>
    <m/>
    <m/>
    <m/>
    <m/>
    <m/>
    <m/>
    <m/>
    <m/>
    <m/>
    <m/>
    <m/>
    <m/>
    <m/>
    <s v=""/>
    <m/>
    <m/>
    <m/>
    <s v="Totem : filiale des tours télécoms en France et en Espagne avec 27 000 tours télécoms"/>
    <m/>
    <n v="1991"/>
    <n v="0"/>
    <s v="FR00001333081"/>
    <s v="FR0000133308"/>
    <n v="1"/>
    <x v="90"/>
    <m/>
    <m/>
    <m/>
  </r>
  <r>
    <m/>
    <m/>
    <m/>
    <m/>
    <m/>
    <x v="1"/>
    <m/>
    <m/>
    <m/>
    <m/>
    <m/>
    <m/>
    <m/>
    <m/>
    <m/>
    <m/>
    <m/>
    <m/>
    <m/>
    <m/>
    <m/>
    <s v=""/>
    <m/>
    <m/>
    <m/>
    <s v="Minoritaires : 10%"/>
    <m/>
    <n v="1992"/>
    <n v="0"/>
    <s v="FR00001333081"/>
    <s v="FR0000133308"/>
    <n v="1"/>
    <x v="90"/>
    <m/>
    <m/>
    <m/>
  </r>
  <r>
    <m/>
    <m/>
    <m/>
    <m/>
    <m/>
    <x v="1"/>
    <m/>
    <m/>
    <m/>
    <m/>
    <m/>
    <m/>
    <m/>
    <m/>
    <m/>
    <m/>
    <m/>
    <m/>
    <m/>
    <m/>
    <m/>
    <s v=""/>
    <m/>
    <m/>
    <m/>
    <s v="Pay-out ratio : autour de 100%"/>
    <m/>
    <n v="1993"/>
    <n v="0"/>
    <s v="FR00001333081"/>
    <s v="FR0000133308"/>
    <n v="1"/>
    <x v="90"/>
    <m/>
    <m/>
    <m/>
  </r>
  <r>
    <m/>
    <m/>
    <m/>
    <m/>
    <m/>
    <x v="1"/>
    <m/>
    <m/>
    <m/>
    <m/>
    <m/>
    <m/>
    <m/>
    <m/>
    <m/>
    <m/>
    <m/>
    <m/>
    <m/>
    <m/>
    <m/>
    <s v=""/>
    <m/>
    <m/>
    <m/>
    <m/>
    <m/>
    <n v="1994"/>
    <n v="0"/>
    <s v="FR00001333081"/>
    <s v="FR0000133308"/>
    <n v="1"/>
    <x v="90"/>
    <m/>
    <m/>
    <m/>
  </r>
  <r>
    <m/>
    <m/>
    <m/>
    <m/>
    <m/>
    <x v="1"/>
    <m/>
    <m/>
    <m/>
    <m/>
    <m/>
    <m/>
    <m/>
    <m/>
    <m/>
    <m/>
    <m/>
    <m/>
    <m/>
    <m/>
    <m/>
    <s v=""/>
    <m/>
    <m/>
    <m/>
    <m/>
    <m/>
    <n v="1995"/>
    <n v="0"/>
    <s v="FR00001333081"/>
    <s v="FR0000133308"/>
    <n v="1"/>
    <x v="90"/>
    <m/>
    <m/>
    <m/>
  </r>
  <r>
    <m/>
    <m/>
    <m/>
    <m/>
    <m/>
    <x v="1"/>
    <m/>
    <m/>
    <m/>
    <m/>
    <m/>
    <m/>
    <m/>
    <m/>
    <m/>
    <m/>
    <m/>
    <m/>
    <m/>
    <m/>
    <m/>
    <s v=""/>
    <m/>
    <m/>
    <m/>
    <m/>
    <m/>
    <n v="1996"/>
    <n v="0"/>
    <s v="FR00001333081"/>
    <s v="FR0000133308"/>
    <n v="1"/>
    <x v="90"/>
    <m/>
    <m/>
    <m/>
  </r>
  <r>
    <m/>
    <m/>
    <m/>
    <m/>
    <m/>
    <x v="1"/>
    <m/>
    <m/>
    <m/>
    <m/>
    <m/>
    <m/>
    <m/>
    <m/>
    <m/>
    <m/>
    <m/>
    <m/>
    <m/>
    <m/>
    <m/>
    <s v=""/>
    <m/>
    <m/>
    <m/>
    <m/>
    <m/>
    <n v="1997"/>
    <n v="0"/>
    <s v="FR00001333081"/>
    <s v="FR0000133308"/>
    <n v="1"/>
    <x v="90"/>
    <m/>
    <m/>
    <m/>
  </r>
  <r>
    <m/>
    <m/>
    <m/>
    <m/>
    <m/>
    <x v="1"/>
    <m/>
    <m/>
    <m/>
    <m/>
    <m/>
    <m/>
    <m/>
    <m/>
    <m/>
    <m/>
    <m/>
    <m/>
    <m/>
    <m/>
    <m/>
    <s v=""/>
    <m/>
    <m/>
    <m/>
    <m/>
    <m/>
    <n v="1998"/>
    <n v="0"/>
    <s v="FR00001333081"/>
    <s v="FR0000133308"/>
    <n v="1"/>
    <x v="90"/>
    <m/>
    <m/>
    <m/>
  </r>
  <r>
    <s v="Bristish Telecom"/>
    <s v="Télécommunication"/>
    <s v="Royaume-Uni"/>
    <s v="GBP"/>
    <n v="132.25"/>
    <x v="7"/>
    <m/>
    <n v="7500000000"/>
    <m/>
    <m/>
    <n v="9500000000"/>
    <m/>
    <m/>
    <m/>
    <m/>
    <n v="98431200"/>
    <n v="13017526200"/>
    <m/>
    <n v="3.0023368266666668"/>
    <m/>
    <m/>
    <s v=""/>
    <m/>
    <m/>
    <m/>
    <s v="Opérateur historique britannique. A racheté en février 2015 finalisé en 2016, EE (Everything Everywhere) à Orange et Deutsche Telekom pour 12,5 Md Livres. Orange et DT actionnaire à 4% et 12% respectivement"/>
    <m/>
    <n v="1999"/>
    <n v="0"/>
    <s v="GB003091357712017"/>
    <s v="GB0030913577"/>
    <n v="1"/>
    <x v="91"/>
    <m/>
    <m/>
    <m/>
  </r>
  <r>
    <m/>
    <m/>
    <m/>
    <m/>
    <m/>
    <x v="1"/>
    <m/>
    <m/>
    <m/>
    <m/>
    <m/>
    <m/>
    <m/>
    <m/>
    <m/>
    <m/>
    <m/>
    <m/>
    <m/>
    <m/>
    <m/>
    <s v=""/>
    <m/>
    <m/>
    <m/>
    <s v="Même valorisation qu'Orange"/>
    <m/>
    <n v="2000"/>
    <n v="0"/>
    <s v="GB00309135771"/>
    <s v="GB0030913577"/>
    <n v="1"/>
    <x v="91"/>
    <m/>
    <m/>
    <m/>
  </r>
  <r>
    <m/>
    <m/>
    <m/>
    <m/>
    <m/>
    <x v="1"/>
    <m/>
    <m/>
    <m/>
    <m/>
    <m/>
    <m/>
    <m/>
    <m/>
    <m/>
    <m/>
    <m/>
    <m/>
    <m/>
    <m/>
    <m/>
    <s v=""/>
    <m/>
    <m/>
    <m/>
    <m/>
    <m/>
    <n v="2001"/>
    <n v="0"/>
    <s v="GB00309135771"/>
    <s v="GB0030913577"/>
    <n v="1"/>
    <x v="91"/>
    <m/>
    <m/>
    <m/>
  </r>
  <r>
    <m/>
    <m/>
    <m/>
    <m/>
    <m/>
    <x v="1"/>
    <m/>
    <m/>
    <m/>
    <m/>
    <m/>
    <m/>
    <m/>
    <m/>
    <m/>
    <m/>
    <m/>
    <m/>
    <m/>
    <m/>
    <m/>
    <s v=""/>
    <m/>
    <m/>
    <m/>
    <m/>
    <m/>
    <n v="2002"/>
    <n v="0"/>
    <s v="GB00309135771"/>
    <s v="GB0030913577"/>
    <n v="1"/>
    <x v="91"/>
    <m/>
    <m/>
    <m/>
  </r>
  <r>
    <m/>
    <m/>
    <m/>
    <m/>
    <s v="Sortie de la cote à 182 euros le 29 juillet 2021 (TRA : 15,2%)"/>
    <x v="1"/>
    <m/>
    <m/>
    <m/>
    <m/>
    <m/>
    <m/>
    <m/>
    <m/>
    <m/>
    <m/>
    <m/>
    <m/>
    <m/>
    <m/>
    <m/>
    <s v=""/>
    <m/>
    <m/>
    <m/>
    <m/>
    <m/>
    <n v="2003"/>
    <n v="0"/>
    <s v="GB00309135771"/>
    <s v="GB0030913577"/>
    <n v="1"/>
    <x v="91"/>
    <m/>
    <m/>
    <m/>
  </r>
  <r>
    <m/>
    <m/>
    <m/>
    <m/>
    <m/>
    <x v="1"/>
    <m/>
    <m/>
    <m/>
    <m/>
    <m/>
    <m/>
    <m/>
    <m/>
    <m/>
    <m/>
    <m/>
    <m/>
    <m/>
    <m/>
    <m/>
    <s v=""/>
    <m/>
    <m/>
    <m/>
    <m/>
    <m/>
    <n v="2004"/>
    <n v="0"/>
    <s v="GB00309135771"/>
    <s v="GB0030913577"/>
    <n v="1"/>
    <x v="91"/>
    <m/>
    <m/>
    <m/>
  </r>
  <r>
    <s v="Iliad"/>
    <s v="Télécommunication"/>
    <s v="France"/>
    <s v="Euro"/>
    <n v="166"/>
    <x v="4"/>
    <n v="5871000000"/>
    <n v="1957000000"/>
    <n v="556000000"/>
    <n v="420000000"/>
    <n v="7747000000"/>
    <n v="5492000000"/>
    <n v="92.828788472246544"/>
    <n v="7.6474872541879096E-2"/>
    <n v="2.6878163003247978E-2"/>
    <n v="59310531"/>
    <n v="9845548146"/>
    <n v="1.7927072370721049"/>
    <n v="8.9895493847726105"/>
    <m/>
    <m/>
    <s v=""/>
    <m/>
    <m/>
    <m/>
    <s v="Fondé en 1991 par Xavier Niel qui détient 70% du capital. Thomas Reynaud PDG depuis 2018"/>
    <m/>
    <n v="2005"/>
    <e v="#N/A"/>
    <s v="Iliad12020"/>
    <s v="Iliad"/>
    <n v="1"/>
    <x v="92"/>
    <m/>
    <m/>
    <m/>
  </r>
  <r>
    <m/>
    <m/>
    <m/>
    <m/>
    <m/>
    <x v="1"/>
    <n v="0.10108777194298568"/>
    <n v="0.18319226118500609"/>
    <n v="0.25225225225225234"/>
    <n v="-0.75666280417149478"/>
    <m/>
    <m/>
    <m/>
    <m/>
    <m/>
    <m/>
    <m/>
    <m/>
    <m/>
    <m/>
    <m/>
    <s v=""/>
    <m/>
    <m/>
    <m/>
    <s v="Numéro 6 européen."/>
    <m/>
    <n v="2006"/>
    <e v="#N/A"/>
    <s v="1"/>
    <m/>
    <n v="1"/>
    <x v="92"/>
    <m/>
    <m/>
    <m/>
  </r>
  <r>
    <m/>
    <m/>
    <m/>
    <m/>
    <n v="168.1"/>
    <x v="5"/>
    <n v="5332000000"/>
    <n v="1654000000"/>
    <n v="444000000"/>
    <n v="1726000000"/>
    <n v="3609000000"/>
    <n v="3822000000"/>
    <n v="64.743820374283985"/>
    <n v="0.45159602302459445"/>
    <n v="3.8239806217198226E-2"/>
    <n v="59162681"/>
    <n v="9945246676.1000004"/>
    <n v="2.6021053574306645"/>
    <n v="8.1948287038089482"/>
    <m/>
    <m/>
    <s v=""/>
    <m/>
    <m/>
    <m/>
    <s v="En France, 20 Millions de clients : 6,4 M dans le fixe et 13,4 M dans le mobile. "/>
    <m/>
    <n v="2007"/>
    <e v="#N/A"/>
    <s v="12019"/>
    <m/>
    <n v="1"/>
    <x v="92"/>
    <m/>
    <m/>
    <m/>
  </r>
  <r>
    <m/>
    <m/>
    <m/>
    <m/>
    <m/>
    <x v="1"/>
    <n v="9.0165610304641097E-2"/>
    <n v="-5.754985754985753E-2"/>
    <n v="-0.35652173913043483"/>
    <n v="4.2303030303030305"/>
    <m/>
    <m/>
    <m/>
    <m/>
    <m/>
    <m/>
    <m/>
    <m/>
    <m/>
    <m/>
    <m/>
    <s v=""/>
    <m/>
    <m/>
    <m/>
    <s v="En Italie, lancement en mai 2018, 4 ème opérateur avec 3,3 M de clients"/>
    <m/>
    <n v="2008"/>
    <e v="#N/A"/>
    <s v="1"/>
    <m/>
    <n v="1"/>
    <x v="92"/>
    <m/>
    <m/>
    <m/>
  </r>
  <r>
    <m/>
    <m/>
    <m/>
    <m/>
    <n v="114.7"/>
    <x v="6"/>
    <n v="4891000000"/>
    <n v="1755000000"/>
    <n v="690000000"/>
    <n v="330000000"/>
    <n v="4036000000"/>
    <n v="3374000000"/>
    <n v="57.154801136272681"/>
    <n v="9.7806757557794902E-2"/>
    <n v="5.9595141700404856E-2"/>
    <n v="59032661"/>
    <n v="6771046216.6999998"/>
    <n v="2.0068305325133373"/>
    <n v="6.1578610921367529"/>
    <m/>
    <m/>
    <s v=""/>
    <m/>
    <m/>
    <m/>
    <s v="En mai 2019, cession de 70% des tours télécoms en France et 100% en Italie pour 2 Md euros (1,4 Md e pour la France et 0,6 Md euros pour l'Italie et 410 M e) à Cellnex avec contrat de poursuite de location. Désendettement et retour de la dette à hauteur de l'EBE et financement de la progression en Italie"/>
    <m/>
    <n v="2009"/>
    <e v="#N/A"/>
    <s v="12018"/>
    <m/>
    <n v="1"/>
    <x v="92"/>
    <m/>
    <m/>
    <m/>
  </r>
  <r>
    <m/>
    <m/>
    <m/>
    <m/>
    <m/>
    <x v="1"/>
    <n v="-1.9348370927318337E-2"/>
    <n v="-1.2213654528057671E-2"/>
    <n v="-0.19953596287703013"/>
    <n v="-0.1844118868260276"/>
    <m/>
    <m/>
    <m/>
    <m/>
    <m/>
    <m/>
    <m/>
    <m/>
    <m/>
    <m/>
    <m/>
    <s v=""/>
    <m/>
    <m/>
    <m/>
    <s v="Chiffre d'affaires : 2 782 500 000 de forfait fixe  2 214 300 000 forfait portable"/>
    <m/>
    <n v="2010"/>
    <e v="#N/A"/>
    <s v="1"/>
    <m/>
    <n v="1"/>
    <x v="92"/>
    <m/>
    <m/>
    <m/>
  </r>
  <r>
    <m/>
    <m/>
    <m/>
    <m/>
    <n v="206.1"/>
    <x v="7"/>
    <n v="4987500000"/>
    <n v="1776700000"/>
    <n v="862000000"/>
    <n v="404616000"/>
    <n v="2449000000"/>
    <n v="3374000000"/>
    <n v="57.344538598942052"/>
    <n v="0.11992175459395377"/>
    <n v="9.4741542160398415E-2"/>
    <n v="59032661"/>
    <n v="12166631432.1"/>
    <n v="3.6059962750740961"/>
    <n v="8.2262798627230254"/>
    <m/>
    <m/>
    <s v=""/>
    <m/>
    <m/>
    <m/>
    <s v="9 712 employés soit 500 000 euros de chiffre d'affaires par salarié"/>
    <m/>
    <n v="2011"/>
    <e v="#N/A"/>
    <s v="12017"/>
    <m/>
    <n v="1"/>
    <x v="92"/>
    <m/>
    <m/>
    <m/>
  </r>
  <r>
    <m/>
    <m/>
    <m/>
    <m/>
    <m/>
    <x v="1"/>
    <n v="5.6203807627962066E-2"/>
    <n v="6.02733186131168E-2"/>
    <m/>
    <n v="4.7578842811024646E-3"/>
    <m/>
    <m/>
    <m/>
    <m/>
    <m/>
    <m/>
    <m/>
    <m/>
    <m/>
    <m/>
    <m/>
    <s v=""/>
    <m/>
    <m/>
    <m/>
    <s v="Objectif France : 25% de parts de marché et marge d'EBE à 40%"/>
    <m/>
    <n v="2012"/>
    <e v="#N/A"/>
    <s v="1"/>
    <m/>
    <n v="1"/>
    <x v="92"/>
    <m/>
    <m/>
    <m/>
  </r>
  <r>
    <m/>
    <m/>
    <m/>
    <m/>
    <n v="182.65"/>
    <x v="8"/>
    <n v="4722100000"/>
    <n v="1675700000"/>
    <m/>
    <n v="402700000"/>
    <n v="1643000000"/>
    <n v="3001778000"/>
    <n v="51.171927207067633"/>
    <n v="0.13415382483314889"/>
    <n v="0"/>
    <n v="58837338"/>
    <n v="10746639785.700001"/>
    <n v="3.5800914610274313"/>
    <n v="7.3937099634182735"/>
    <m/>
    <m/>
    <s v=""/>
    <m/>
    <m/>
    <m/>
    <s v="Objectif Italie : 10% de parts de marché pour atteindre l'équilibre et 1,5 Md euros de chiffre d'affaires à long terme"/>
    <m/>
    <n v="2013"/>
    <e v="#N/A"/>
    <s v="12016"/>
    <m/>
    <n v="1"/>
    <x v="92"/>
    <m/>
    <m/>
    <m/>
  </r>
  <r>
    <m/>
    <m/>
    <m/>
    <m/>
    <m/>
    <x v="1"/>
    <n v="6.9703696991663566E-2"/>
    <n v="0.124706356131284"/>
    <m/>
    <n v="0.20208955223880598"/>
    <m/>
    <m/>
    <m/>
    <m/>
    <m/>
    <m/>
    <m/>
    <m/>
    <m/>
    <m/>
    <m/>
    <s v=""/>
    <m/>
    <m/>
    <m/>
    <s v="Objectif Entreprises : 500 M euros de CA"/>
    <m/>
    <n v="2014"/>
    <e v="#N/A"/>
    <s v="1"/>
    <m/>
    <n v="1"/>
    <x v="92"/>
    <m/>
    <m/>
    <m/>
  </r>
  <r>
    <m/>
    <m/>
    <m/>
    <m/>
    <n v="219.2"/>
    <x v="9"/>
    <n v="4414400000"/>
    <n v="1489900000"/>
    <m/>
    <n v="335000000"/>
    <n v="1191000000"/>
    <n v="2637198000"/>
    <n v="45.115833519163424"/>
    <n v="0.1270287631038701"/>
    <n v="0"/>
    <n v="58660640"/>
    <n v="12858412288"/>
    <n v="4.8757856967887889"/>
    <n v="9.4297686341365186"/>
    <m/>
    <m/>
    <s v=""/>
    <m/>
    <m/>
    <m/>
    <s v="Passage de valeur de croissance à valeur à croissance plus lente suite à la maturité du business en France d'où le développement en Italie et en enteprises (B to B) financé par la vente des tours télecoms"/>
    <m/>
    <n v="2015"/>
    <e v="#N/A"/>
    <s v="12015"/>
    <m/>
    <n v="1"/>
    <x v="92"/>
    <m/>
    <m/>
    <m/>
  </r>
  <r>
    <m/>
    <m/>
    <m/>
    <m/>
    <m/>
    <x v="1"/>
    <n v="5.921873500335928E-2"/>
    <n v="0.1607198504206917"/>
    <m/>
    <n v="0.20330459770114939"/>
    <m/>
    <m/>
    <m/>
    <m/>
    <m/>
    <m/>
    <m/>
    <m/>
    <m/>
    <m/>
    <m/>
    <s v=""/>
    <m/>
    <m/>
    <m/>
    <s v="La bourse a intégré ce nouveau modèle par un derating fort de la valeur en 2018. Multiple télécom mais peut-être un peu plus élevé car plus dynamique qu'Orange"/>
    <m/>
    <n v="2016"/>
    <e v="#N/A"/>
    <s v="1"/>
    <m/>
    <n v="1"/>
    <x v="92"/>
    <m/>
    <m/>
    <m/>
  </r>
  <r>
    <m/>
    <m/>
    <m/>
    <m/>
    <n v="197.4"/>
    <x v="10"/>
    <n v="4167600000"/>
    <n v="1283600000"/>
    <m/>
    <n v="278400000"/>
    <n v="1084000000"/>
    <n v="2315227000"/>
    <n v="39.864922302791598"/>
    <n v="0.12024738826905526"/>
    <n v="0"/>
    <n v="58453935"/>
    <n v="11538806769"/>
    <n v="4.9838770751204962"/>
    <n v="9.8339099166406978"/>
    <m/>
    <m/>
    <s v=""/>
    <m/>
    <m/>
    <m/>
    <s v="Objectif probablement 7 Md euros de CA et 2-2,2 EBE (410 M e d' EBE a retiré suite vente des tours télécoms en mai 2019) peut-être voire quelles dettes (2 - 2,5 Md dettes ?) et quelles multiples ?"/>
    <m/>
    <n v="2017"/>
    <e v="#N/A"/>
    <s v="12014"/>
    <m/>
    <n v="1"/>
    <x v="92"/>
    <m/>
    <m/>
    <m/>
  </r>
  <r>
    <m/>
    <m/>
    <m/>
    <m/>
    <m/>
    <x v="1"/>
    <n v="0.11198271031777796"/>
    <n v="6.5935891047998574E-2"/>
    <m/>
    <n v="4.8982667671439328E-2"/>
    <m/>
    <m/>
    <m/>
    <m/>
    <m/>
    <m/>
    <m/>
    <m/>
    <m/>
    <m/>
    <m/>
    <s v=""/>
    <m/>
    <m/>
    <m/>
    <s v="En 2020 acquisition en Pologne de Play pour 3,5 Mds € (endettement compris)"/>
    <m/>
    <n v="2018"/>
    <e v="#N/A"/>
    <s v="1"/>
    <m/>
    <n v="1"/>
    <x v="92"/>
    <m/>
    <m/>
    <m/>
  </r>
  <r>
    <m/>
    <m/>
    <m/>
    <m/>
    <n v="157.1"/>
    <x v="11"/>
    <n v="3747900000"/>
    <n v="1204200000"/>
    <m/>
    <n v="265400000"/>
    <n v="1023000000"/>
    <n v="2013599000"/>
    <n v="34.935386592185459"/>
    <n v="0.13180380006148196"/>
    <n v="0"/>
    <n v="58076797"/>
    <n v="9123864808.6999989"/>
    <n v="4.5311230332851773"/>
    <n v="8.4262288728616497"/>
    <m/>
    <m/>
    <s v=""/>
    <m/>
    <m/>
    <m/>
    <s v="CAC : Price &amp; Deloitte"/>
    <m/>
    <n v="2019"/>
    <e v="#N/A"/>
    <s v="12013"/>
    <m/>
    <n v="1"/>
    <x v="92"/>
    <m/>
    <m/>
    <m/>
  </r>
  <r>
    <m/>
    <m/>
    <m/>
    <m/>
    <m/>
    <x v="1"/>
    <n v="0.1885643611454666"/>
    <n v="0.30649886080069444"/>
    <m/>
    <n v="0.42305630026809649"/>
    <m/>
    <m/>
    <m/>
    <m/>
    <m/>
    <m/>
    <m/>
    <m/>
    <m/>
    <m/>
    <m/>
    <s v=""/>
    <m/>
    <m/>
    <m/>
    <s v="Minoritaire : 2%"/>
    <m/>
    <n v="2020"/>
    <e v="#N/A"/>
    <s v="1"/>
    <m/>
    <n v="1"/>
    <x v="92"/>
    <m/>
    <m/>
    <m/>
  </r>
  <r>
    <m/>
    <m/>
    <m/>
    <m/>
    <n v="128.44999999999999"/>
    <x v="12"/>
    <n v="3153300000"/>
    <n v="921700000"/>
    <m/>
    <n v="186500000"/>
    <n v="1064000000"/>
    <n v="1726693000"/>
    <n v="30.270506207942024"/>
    <n v="0.10800993575580604"/>
    <n v="0"/>
    <n v="57637805"/>
    <n v="7403576052.249999"/>
    <n v="4.287719966577729"/>
    <n v="9.1869111991428873"/>
    <m/>
    <m/>
    <s v=""/>
    <m/>
    <m/>
    <m/>
    <s v="Pay-out ratio : 45%"/>
    <m/>
    <n v="2021"/>
    <e v="#N/A"/>
    <s v="12012"/>
    <m/>
    <n v="1"/>
    <x v="92"/>
    <m/>
    <m/>
    <m/>
  </r>
  <r>
    <m/>
    <m/>
    <m/>
    <m/>
    <m/>
    <x v="1"/>
    <n v="0.48593374487535934"/>
    <n v="0.1059515238780897"/>
    <m/>
    <n v="-0.25933280381254964"/>
    <m/>
    <m/>
    <m/>
    <m/>
    <m/>
    <m/>
    <m/>
    <m/>
    <m/>
    <m/>
    <m/>
    <s v=""/>
    <m/>
    <m/>
    <m/>
    <m/>
    <m/>
    <n v="2022"/>
    <e v="#N/A"/>
    <s v="1"/>
    <m/>
    <n v="1"/>
    <x v="92"/>
    <m/>
    <m/>
    <m/>
  </r>
  <r>
    <m/>
    <m/>
    <m/>
    <m/>
    <n v="95"/>
    <x v="17"/>
    <n v="2122100000"/>
    <n v="833400000"/>
    <m/>
    <n v="251800000"/>
    <n v="969400000"/>
    <n v="1523921000"/>
    <n v="27.861276558712639"/>
    <n v="0.16523166227120697"/>
    <n v="0"/>
    <n v="57042092"/>
    <n v="5418998740"/>
    <n v="3.5559577825884676"/>
    <n v="7.6654652507799375"/>
    <m/>
    <m/>
    <s v=""/>
    <m/>
    <m/>
    <m/>
    <m/>
    <m/>
    <n v="2023"/>
    <e v="#N/A"/>
    <s v="12011"/>
    <m/>
    <n v="1"/>
    <x v="92"/>
    <m/>
    <m/>
    <m/>
  </r>
  <r>
    <m/>
    <m/>
    <m/>
    <m/>
    <m/>
    <x v="1"/>
    <n v="4.111269194917333E-2"/>
    <n v="4.4230046360105302E-2"/>
    <m/>
    <n v="-0.19578409453848611"/>
    <m/>
    <m/>
    <m/>
    <m/>
    <m/>
    <m/>
    <m/>
    <m/>
    <m/>
    <m/>
    <m/>
    <s v=""/>
    <m/>
    <m/>
    <m/>
    <m/>
    <m/>
    <n v="2024"/>
    <e v="#N/A"/>
    <s v="1"/>
    <m/>
    <n v="1"/>
    <x v="92"/>
    <m/>
    <m/>
    <m/>
  </r>
  <r>
    <m/>
    <m/>
    <m/>
    <m/>
    <n v="81.400000000000006"/>
    <x v="18"/>
    <n v="2038300000"/>
    <n v="798100000"/>
    <m/>
    <n v="313100000"/>
    <n v="691000000"/>
    <n v="1078339000"/>
    <e v="#DIV/0!"/>
    <n v="0.2903539610456452"/>
    <e v="#DIV/0!"/>
    <n v="54696740"/>
    <n v="4452314636"/>
    <n v="4.1288635911341425"/>
    <n v="6.4444488610449815"/>
    <m/>
    <m/>
    <s v=""/>
    <m/>
    <m/>
    <m/>
    <m/>
    <m/>
    <n v="2025"/>
    <e v="#N/A"/>
    <s v="12010"/>
    <m/>
    <n v="1"/>
    <x v="92"/>
    <m/>
    <m/>
    <m/>
  </r>
  <r>
    <m/>
    <m/>
    <m/>
    <m/>
    <m/>
    <x v="1"/>
    <m/>
    <m/>
    <m/>
    <m/>
    <m/>
    <m/>
    <m/>
    <m/>
    <m/>
    <m/>
    <m/>
    <m/>
    <m/>
    <m/>
    <m/>
    <s v=""/>
    <m/>
    <m/>
    <m/>
    <m/>
    <m/>
    <n v="2026"/>
    <e v="#N/A"/>
    <s v="1"/>
    <m/>
    <n v="1"/>
    <x v="92"/>
    <m/>
    <m/>
    <m/>
  </r>
  <r>
    <m/>
    <m/>
    <m/>
    <m/>
    <s v="IPO en février 2004 à 16,5 euros"/>
    <x v="1"/>
    <m/>
    <m/>
    <m/>
    <m/>
    <m/>
    <m/>
    <m/>
    <m/>
    <m/>
    <m/>
    <m/>
    <m/>
    <m/>
    <m/>
    <m/>
    <s v=""/>
    <m/>
    <m/>
    <m/>
    <m/>
    <m/>
    <n v="2027"/>
    <e v="#N/A"/>
    <s v="1"/>
    <m/>
    <n v="1"/>
    <x v="92"/>
    <m/>
    <m/>
    <m/>
  </r>
  <r>
    <m/>
    <m/>
    <m/>
    <m/>
    <m/>
    <x v="1"/>
    <m/>
    <m/>
    <m/>
    <m/>
    <m/>
    <m/>
    <m/>
    <m/>
    <m/>
    <m/>
    <m/>
    <m/>
    <m/>
    <m/>
    <m/>
    <s v=""/>
    <m/>
    <m/>
    <m/>
    <m/>
    <m/>
    <n v="2028"/>
    <e v="#N/A"/>
    <s v="1"/>
    <m/>
    <n v="1"/>
    <x v="92"/>
    <m/>
    <m/>
    <m/>
  </r>
  <r>
    <m/>
    <m/>
    <m/>
    <m/>
    <m/>
    <x v="1"/>
    <m/>
    <m/>
    <m/>
    <m/>
    <m/>
    <m/>
    <m/>
    <m/>
    <m/>
    <m/>
    <m/>
    <m/>
    <m/>
    <m/>
    <m/>
    <s v=""/>
    <m/>
    <m/>
    <m/>
    <m/>
    <m/>
    <n v="2029"/>
    <e v="#N/A"/>
    <s v="1"/>
    <m/>
    <n v="1"/>
    <x v="92"/>
    <m/>
    <m/>
    <m/>
  </r>
  <r>
    <m/>
    <m/>
    <m/>
    <m/>
    <m/>
    <x v="1"/>
    <m/>
    <m/>
    <m/>
    <m/>
    <m/>
    <m/>
    <m/>
    <m/>
    <m/>
    <m/>
    <m/>
    <m/>
    <m/>
    <m/>
    <m/>
    <s v=""/>
    <m/>
    <m/>
    <m/>
    <m/>
    <m/>
    <n v="2030"/>
    <e v="#N/A"/>
    <s v="1"/>
    <m/>
    <n v="1"/>
    <x v="92"/>
    <m/>
    <m/>
    <m/>
  </r>
  <r>
    <s v="Altice"/>
    <s v="Télécommunication"/>
    <s v="France"/>
    <s v="Euro"/>
    <n v="5.33"/>
    <x v="6"/>
    <m/>
    <m/>
    <m/>
    <m/>
    <m/>
    <m/>
    <m/>
    <m/>
    <m/>
    <m/>
    <m/>
    <m/>
    <m/>
    <m/>
    <m/>
    <s v=""/>
    <m/>
    <m/>
    <m/>
    <m/>
    <m/>
    <n v="2031"/>
    <e v="#N/A"/>
    <s v="Altice12018"/>
    <s v="Altice"/>
    <n v="1"/>
    <x v="93"/>
    <m/>
    <m/>
    <m/>
  </r>
  <r>
    <m/>
    <m/>
    <m/>
    <m/>
    <m/>
    <x v="1"/>
    <m/>
    <m/>
    <m/>
    <m/>
    <m/>
    <m/>
    <m/>
    <m/>
    <m/>
    <m/>
    <m/>
    <m/>
    <m/>
    <m/>
    <m/>
    <s v=""/>
    <m/>
    <m/>
    <m/>
    <m/>
    <m/>
    <n v="2032"/>
    <e v="#N/A"/>
    <s v="1"/>
    <m/>
    <n v="1"/>
    <x v="93"/>
    <m/>
    <m/>
    <m/>
  </r>
  <r>
    <m/>
    <m/>
    <m/>
    <m/>
    <m/>
    <x v="7"/>
    <n v="14719000"/>
    <n v="5786000"/>
    <n v="2550000"/>
    <m/>
    <n v="29736000"/>
    <m/>
    <m/>
    <m/>
    <m/>
    <m/>
    <m/>
    <m/>
    <m/>
    <m/>
    <m/>
    <s v=""/>
    <m/>
    <m/>
    <m/>
    <s v="Regroupe Israel, République Dominiquaine, France et Portugal"/>
    <m/>
    <n v="2033"/>
    <e v="#N/A"/>
    <s v="12017"/>
    <m/>
    <n v="1"/>
    <x v="93"/>
    <m/>
    <m/>
    <m/>
  </r>
  <r>
    <m/>
    <m/>
    <m/>
    <m/>
    <m/>
    <x v="1"/>
    <n v="-4.2619401975375615E-3"/>
    <n v="-1.7280110592710063E-4"/>
    <n v="1.1503371677905605E-2"/>
    <e v="#DIV/0!"/>
    <m/>
    <m/>
    <m/>
    <m/>
    <m/>
    <m/>
    <m/>
    <m/>
    <m/>
    <m/>
    <m/>
    <s v=""/>
    <m/>
    <m/>
    <m/>
    <m/>
    <m/>
    <n v="2034"/>
    <e v="#N/A"/>
    <s v="1"/>
    <m/>
    <n v="1"/>
    <x v="93"/>
    <m/>
    <m/>
    <m/>
  </r>
  <r>
    <m/>
    <m/>
    <m/>
    <m/>
    <m/>
    <x v="8"/>
    <n v="14782000"/>
    <n v="5787000"/>
    <n v="2521000"/>
    <m/>
    <m/>
    <m/>
    <m/>
    <m/>
    <m/>
    <m/>
    <m/>
    <m/>
    <m/>
    <m/>
    <m/>
    <s v=""/>
    <m/>
    <m/>
    <m/>
    <m/>
    <m/>
    <n v="2035"/>
    <e v="#N/A"/>
    <s v="12016"/>
    <m/>
    <n v="1"/>
    <x v="93"/>
    <m/>
    <m/>
    <m/>
  </r>
  <r>
    <m/>
    <m/>
    <m/>
    <m/>
    <m/>
    <x v="1"/>
    <m/>
    <m/>
    <m/>
    <m/>
    <m/>
    <m/>
    <m/>
    <m/>
    <m/>
    <m/>
    <m/>
    <m/>
    <m/>
    <m/>
    <m/>
    <s v=""/>
    <m/>
    <m/>
    <m/>
    <m/>
    <m/>
    <n v="2036"/>
    <e v="#N/A"/>
    <s v="1"/>
    <m/>
    <n v="1"/>
    <x v="93"/>
    <m/>
    <m/>
    <m/>
  </r>
  <r>
    <m/>
    <m/>
    <m/>
    <m/>
    <m/>
    <x v="9"/>
    <m/>
    <n v="5790000"/>
    <n v="3150000"/>
    <m/>
    <m/>
    <m/>
    <m/>
    <m/>
    <m/>
    <m/>
    <m/>
    <m/>
    <m/>
    <m/>
    <m/>
    <s v=""/>
    <m/>
    <m/>
    <m/>
    <m/>
    <m/>
    <n v="2037"/>
    <e v="#N/A"/>
    <s v="12015"/>
    <m/>
    <n v="1"/>
    <x v="93"/>
    <m/>
    <m/>
    <m/>
  </r>
  <r>
    <m/>
    <m/>
    <m/>
    <m/>
    <m/>
    <x v="1"/>
    <m/>
    <m/>
    <m/>
    <m/>
    <m/>
    <m/>
    <m/>
    <m/>
    <m/>
    <m/>
    <m/>
    <m/>
    <m/>
    <m/>
    <m/>
    <s v=""/>
    <m/>
    <m/>
    <m/>
    <m/>
    <m/>
    <n v="2038"/>
    <e v="#N/A"/>
    <s v="1"/>
    <m/>
    <n v="1"/>
    <x v="93"/>
    <m/>
    <m/>
    <m/>
  </r>
  <r>
    <m/>
    <m/>
    <m/>
    <m/>
    <m/>
    <x v="1"/>
    <m/>
    <m/>
    <m/>
    <m/>
    <m/>
    <m/>
    <m/>
    <m/>
    <m/>
    <m/>
    <m/>
    <m/>
    <m/>
    <m/>
    <m/>
    <s v=""/>
    <m/>
    <m/>
    <m/>
    <m/>
    <m/>
    <n v="2039"/>
    <e v="#N/A"/>
    <s v="1"/>
    <m/>
    <n v="1"/>
    <x v="93"/>
    <m/>
    <m/>
    <m/>
  </r>
  <r>
    <m/>
    <m/>
    <m/>
    <m/>
    <m/>
    <x v="1"/>
    <m/>
    <m/>
    <m/>
    <m/>
    <m/>
    <m/>
    <m/>
    <m/>
    <m/>
    <m/>
    <m/>
    <m/>
    <m/>
    <m/>
    <m/>
    <s v=""/>
    <m/>
    <m/>
    <m/>
    <m/>
    <m/>
    <n v="2040"/>
    <e v="#N/A"/>
    <s v="1"/>
    <m/>
    <n v="1"/>
    <x v="93"/>
    <m/>
    <m/>
    <m/>
  </r>
  <r>
    <s v="BIC"/>
    <s v="Fabricant de bics, briquets et rasoirs"/>
    <s v="France"/>
    <s v="Euro"/>
    <m/>
    <x v="0"/>
    <m/>
    <m/>
    <m/>
    <m/>
    <m/>
    <m/>
    <m/>
    <m/>
    <m/>
    <m/>
    <m/>
    <m/>
    <m/>
    <m/>
    <m/>
    <s v=""/>
    <m/>
    <m/>
    <m/>
    <m/>
    <m/>
    <n v="2041"/>
    <n v="0"/>
    <s v="FR000012096612023"/>
    <s v="FR0000120966"/>
    <n v="1"/>
    <x v="94"/>
    <m/>
    <m/>
    <m/>
  </r>
  <r>
    <m/>
    <m/>
    <m/>
    <m/>
    <m/>
    <x v="1"/>
    <m/>
    <m/>
    <m/>
    <m/>
    <m/>
    <m/>
    <m/>
    <m/>
    <m/>
    <m/>
    <m/>
    <m/>
    <m/>
    <m/>
    <m/>
    <s v=""/>
    <m/>
    <m/>
    <m/>
    <m/>
    <m/>
    <n v="2042"/>
    <n v="0"/>
    <s v="FR00001209661"/>
    <s v="FR0000120966"/>
    <n v="1"/>
    <x v="94"/>
    <m/>
    <m/>
    <m/>
  </r>
  <r>
    <m/>
    <m/>
    <m/>
    <m/>
    <n v="62"/>
    <x v="2"/>
    <n v="2233900000"/>
    <n v="404500000"/>
    <n v="303500000"/>
    <n v="225200000"/>
    <m/>
    <m/>
    <m/>
    <m/>
    <m/>
    <n v="43952226"/>
    <n v="2725038012"/>
    <m/>
    <m/>
    <m/>
    <m/>
    <s v=""/>
    <m/>
    <m/>
    <m/>
    <m/>
    <m/>
    <n v="2043"/>
    <n v="0"/>
    <s v="FR000012096612022"/>
    <s v="FR0000120966"/>
    <n v="1"/>
    <x v="94"/>
    <m/>
    <m/>
    <m/>
  </r>
  <r>
    <m/>
    <m/>
    <m/>
    <m/>
    <m/>
    <x v="1"/>
    <n v="0.21944429281074296"/>
    <n v="-0.26360822865465139"/>
    <n v="-0.32853982300884954"/>
    <n v="0.17475221700573806"/>
    <m/>
    <m/>
    <m/>
    <m/>
    <m/>
    <m/>
    <m/>
    <m/>
    <m/>
    <m/>
    <m/>
    <s v=""/>
    <m/>
    <m/>
    <m/>
    <m/>
    <m/>
    <n v="2044"/>
    <n v="0"/>
    <s v="FR00001209661"/>
    <s v="FR0000120966"/>
    <n v="1"/>
    <x v="94"/>
    <m/>
    <m/>
    <m/>
  </r>
  <r>
    <m/>
    <m/>
    <m/>
    <m/>
    <n v="47.3"/>
    <x v="3"/>
    <n v="1831900000"/>
    <n v="549300000"/>
    <n v="452000000"/>
    <n v="191700000"/>
    <m/>
    <m/>
    <m/>
    <m/>
    <m/>
    <n v="43952226"/>
    <n v="2078940289.8"/>
    <m/>
    <m/>
    <m/>
    <m/>
    <s v=""/>
    <m/>
    <m/>
    <m/>
    <m/>
    <m/>
    <n v="2045"/>
    <n v="0"/>
    <s v="FR000012096612021"/>
    <s v="FR0000120966"/>
    <n v="1"/>
    <x v="94"/>
    <m/>
    <m/>
    <m/>
  </r>
  <r>
    <m/>
    <m/>
    <m/>
    <m/>
    <m/>
    <x v="1"/>
    <n v="-5.0782784239232326E-2"/>
    <n v="0.30785714285714283"/>
    <n v="0.43492063492063493"/>
    <n v="0.12764705882352945"/>
    <m/>
    <m/>
    <m/>
    <m/>
    <m/>
    <m/>
    <m/>
    <m/>
    <m/>
    <m/>
    <m/>
    <s v=""/>
    <m/>
    <m/>
    <m/>
    <m/>
    <m/>
    <n v="2046"/>
    <n v="0"/>
    <s v="FR00001209661"/>
    <s v="FR0000120966"/>
    <n v="1"/>
    <x v="94"/>
    <m/>
    <m/>
    <m/>
  </r>
  <r>
    <m/>
    <m/>
    <m/>
    <m/>
    <n v="46.26"/>
    <x v="4"/>
    <n v="1929906000"/>
    <n v="420000000"/>
    <n v="315000000"/>
    <n v="170000000"/>
    <n v="-140000000"/>
    <n v="1600000000"/>
    <n v="35.139936010176527"/>
    <n v="0.10625"/>
    <n v="0.13808219178082193"/>
    <n v="45532240"/>
    <n v="2106321422.3999999"/>
    <n v="1.316450889"/>
    <n v="4.6817176723809517"/>
    <m/>
    <m/>
    <s v=""/>
    <m/>
    <m/>
    <m/>
    <s v="Société familiale détenue par la famille Bich (à 43% environ)"/>
    <m/>
    <n v="2047"/>
    <n v="0"/>
    <s v="FR000012096612020"/>
    <s v="FR0000120966"/>
    <n v="1"/>
    <x v="94"/>
    <m/>
    <m/>
    <m/>
  </r>
  <r>
    <m/>
    <m/>
    <m/>
    <m/>
    <m/>
    <x v="1"/>
    <n v="-1.0000000000000009E-2"/>
    <n v="-2.3255813953488413E-2"/>
    <n v="-5.0632911392405111E-2"/>
    <n v="-3.4639409426462264E-2"/>
    <m/>
    <m/>
    <m/>
    <m/>
    <m/>
    <m/>
    <m/>
    <m/>
    <m/>
    <m/>
    <m/>
    <s v=""/>
    <m/>
    <m/>
    <m/>
    <s v="Rasoirs, Bics et briquets. Marge sur briquet (40%), rasoir (18%) et bic (11%)"/>
    <m/>
    <n v="2048"/>
    <n v="0"/>
    <s v="FR00001209661"/>
    <s v="FR0000120966"/>
    <n v="1"/>
    <x v="94"/>
    <m/>
    <m/>
    <m/>
  </r>
  <r>
    <m/>
    <m/>
    <m/>
    <m/>
    <n v="62"/>
    <x v="5"/>
    <n v="1949400000"/>
    <n v="430000000"/>
    <n v="331800000"/>
    <n v="176100000"/>
    <n v="-146900000"/>
    <n v="1608100000"/>
    <n v="35.317831936228046"/>
    <n v="0.10950811516696723"/>
    <n v="0.1453271283876266"/>
    <n v="45532240"/>
    <n v="2822998880"/>
    <n v="1.7554871463217461"/>
    <n v="6.2234857674418604"/>
    <m/>
    <m/>
    <s v=""/>
    <m/>
    <m/>
    <m/>
    <s v="La société subit le déclin de l'utilisation du rasoir notamment aux Etats-Unis et de la vente de lames sur le ne. Et aussi le déclin des briquets, division la plus rentable"/>
    <m/>
    <n v="2049"/>
    <n v="0"/>
    <s v="FR000012096612019"/>
    <s v="FR0000120966"/>
    <n v="1"/>
    <x v="94"/>
    <m/>
    <m/>
    <m/>
  </r>
  <r>
    <m/>
    <m/>
    <m/>
    <m/>
    <m/>
    <x v="1"/>
    <n v="-2.0514924607650808E-4"/>
    <n v="-4.4444444444444398E-2"/>
    <n v="-5.8456299659477851E-2"/>
    <n v="1.5570934256055269E-2"/>
    <m/>
    <m/>
    <m/>
    <m/>
    <m/>
    <m/>
    <m/>
    <m/>
    <m/>
    <m/>
    <m/>
    <s v=""/>
    <m/>
    <m/>
    <m/>
    <s v="Marge élevée, structure financière sans dettes. Rachat d'actions de 81,6 M euros en 2016 contre 26,3 M e en 2015"/>
    <m/>
    <n v="2050"/>
    <n v="0"/>
    <s v="FR00001209661"/>
    <s v="FR0000120966"/>
    <n v="1"/>
    <x v="94"/>
    <m/>
    <m/>
    <m/>
  </r>
  <r>
    <m/>
    <m/>
    <m/>
    <m/>
    <n v="79.650000000000006"/>
    <x v="6"/>
    <n v="1949800000"/>
    <n v="450000000"/>
    <n v="352400000"/>
    <n v="173400000"/>
    <n v="-161500000"/>
    <n v="1638100000"/>
    <n v="35.266813367194679"/>
    <n v="0.10782911510478205"/>
    <n v="0.15590764551361813"/>
    <n v="45598109"/>
    <n v="3631889381.8500004"/>
    <n v="2.2584972214725454"/>
    <n v="7.7119764041111116"/>
    <m/>
    <m/>
    <s v=""/>
    <m/>
    <m/>
    <m/>
    <s v="Les chiffres d'EBE ne sont pas communiquées par la société, estimation"/>
    <m/>
    <n v="2051"/>
    <n v="0"/>
    <s v="FR000012096612018"/>
    <s v="FR0000120966"/>
    <n v="1"/>
    <x v="94"/>
    <m/>
    <m/>
    <m/>
  </r>
  <r>
    <m/>
    <m/>
    <m/>
    <m/>
    <m/>
    <x v="1"/>
    <n v="-3.4895807553333658E-2"/>
    <n v="-6.25E-2"/>
    <n v="-0.12097779995011226"/>
    <n v="-0.39854318418314261"/>
    <m/>
    <m/>
    <m/>
    <m/>
    <m/>
    <m/>
    <m/>
    <m/>
    <m/>
    <m/>
    <m/>
    <s v=""/>
    <m/>
    <m/>
    <m/>
    <s v="Europe : 25% - Etats-Unis : 37% - Emergents : 38% (investissement de 75 M e en 2018 en Inde)"/>
    <m/>
    <n v="2052"/>
    <n v="0"/>
    <s v="FR00001209661"/>
    <s v="FR0000120966"/>
    <n v="1"/>
    <x v="94"/>
    <m/>
    <m/>
    <m/>
  </r>
  <r>
    <m/>
    <m/>
    <m/>
    <m/>
    <n v="92.76"/>
    <x v="7"/>
    <n v="2020300000"/>
    <n v="480000000"/>
    <n v="400900000"/>
    <n v="288300000"/>
    <n v="-204900000"/>
    <n v="1703900000"/>
    <n v="36.662525465974376"/>
    <n v="0.16920007042666824"/>
    <n v="0.17116477651767842"/>
    <n v="46475249"/>
    <n v="4311044097.2399998"/>
    <n v="2.5301039364047186"/>
    <n v="8.5544668692499997"/>
    <m/>
    <m/>
    <s v=""/>
    <m/>
    <m/>
    <m/>
    <s v="2017 : chiffres en ligne avec un bon T4. Flux net de trésorerie 400 M euros / 200 M e en investissement / 258 M euro en dividendes et rachats -100% du Résultat"/>
    <m/>
    <n v="2053"/>
    <n v="0"/>
    <s v="FR000012096612017"/>
    <s v="FR0000120966"/>
    <n v="1"/>
    <x v="94"/>
    <m/>
    <m/>
    <m/>
  </r>
  <r>
    <m/>
    <m/>
    <m/>
    <m/>
    <m/>
    <x v="1"/>
    <n v="-2.714976799289115E-3"/>
    <n v="-4.0000000000000036E-2"/>
    <n v="-2.0043999022243963E-2"/>
    <n v="0.15458550260312376"/>
    <m/>
    <m/>
    <m/>
    <m/>
    <m/>
    <m/>
    <m/>
    <m/>
    <m/>
    <m/>
    <m/>
    <s v=""/>
    <m/>
    <m/>
    <m/>
    <s v="2018 : chiffres d'affaires attendu stable et marge en baisse à 17-18%. "/>
    <m/>
    <n v="2054"/>
    <n v="0"/>
    <s v="FR00001209661"/>
    <s v="FR0000120966"/>
    <n v="1"/>
    <x v="94"/>
    <m/>
    <m/>
    <m/>
  </r>
  <r>
    <m/>
    <m/>
    <m/>
    <m/>
    <n v="129.55000000000001"/>
    <x v="8"/>
    <n v="2025800000"/>
    <n v="500000000"/>
    <n v="409100000"/>
    <n v="249700000"/>
    <n v="-222000000"/>
    <n v="1792600000"/>
    <n v="38.222704375953796"/>
    <n v="0.13929487894678122"/>
    <n v="0.16670317076276583"/>
    <n v="46898827"/>
    <n v="6075743037.8500004"/>
    <n v="3.3893467800122727"/>
    <n v="11.7074860757"/>
    <m/>
    <m/>
    <s v=""/>
    <m/>
    <m/>
    <m/>
    <s v="Nombre d'actions en circulation estimé après le rachat de 400 000 actions à venir en 2018 (1 Millions de titres en 2017). Nbre d'actions 46 629 007 (et 781 495actions auto détenues au 31/12/2017) potentiellemnt plus que 44 874 512 actions avant rachat 2018"/>
    <m/>
    <n v="2055"/>
    <n v="0"/>
    <s v="FR000012096612016"/>
    <s v="FR0000120966"/>
    <n v="1"/>
    <x v="94"/>
    <m/>
    <m/>
    <m/>
  </r>
  <r>
    <m/>
    <m/>
    <m/>
    <m/>
    <m/>
    <x v="1"/>
    <n v="1.6253637002106913E-2"/>
    <n v="-4.7619047619047672E-2"/>
    <n v="-3.6050895381715353E-2"/>
    <n v="-0.23192863734235625"/>
    <m/>
    <m/>
    <m/>
    <m/>
    <m/>
    <m/>
    <m/>
    <m/>
    <m/>
    <m/>
    <m/>
    <s v=""/>
    <m/>
    <m/>
    <m/>
    <s v="Nombre potentiel de titres fin 2018 : 44 Millions "/>
    <m/>
    <n v="2056"/>
    <n v="0"/>
    <s v="FR00001209661"/>
    <s v="FR0000120966"/>
    <n v="1"/>
    <x v="94"/>
    <m/>
    <m/>
    <m/>
  </r>
  <r>
    <m/>
    <m/>
    <m/>
    <m/>
    <n v="149.30000000000001"/>
    <x v="9"/>
    <n v="1993400000"/>
    <n v="525000000"/>
    <n v="424400000"/>
    <n v="325100000"/>
    <n v="-448000000"/>
    <n v="1849500000"/>
    <n v="39.206467873728421"/>
    <n v="0.17577723709110571"/>
    <n v="0.19380378166250445"/>
    <n v="47173339"/>
    <n v="7042979512.7000008"/>
    <n v="3.8080451542038394"/>
    <n v="12.561865738476191"/>
    <m/>
    <m/>
    <s v=""/>
    <m/>
    <m/>
    <m/>
    <s v="Prix cible : 75 euros ?"/>
    <m/>
    <n v="2057"/>
    <n v="0"/>
    <s v="FR000012096612015"/>
    <s v="FR0000120966"/>
    <n v="1"/>
    <x v="94"/>
    <m/>
    <m/>
    <m/>
  </r>
  <r>
    <m/>
    <m/>
    <m/>
    <m/>
    <m/>
    <x v="1"/>
    <n v="4.9876231105493218E-2"/>
    <n v="0.10806247361756016"/>
    <n v="0.13536650615302293"/>
    <n v="0.23565184340554923"/>
    <m/>
    <m/>
    <m/>
    <m/>
    <m/>
    <m/>
    <m/>
    <m/>
    <m/>
    <m/>
    <m/>
    <s v=""/>
    <m/>
    <m/>
    <m/>
    <s v="Marché du rasoir et briquet en baisse, papier stable. Croissance sur les émergents.  Contexte difficile. Flux de trésorerie positif couvre investissement et dividendes"/>
    <m/>
    <n v="2058"/>
    <n v="0"/>
    <s v="FR00001209661"/>
    <s v="FR0000120966"/>
    <n v="1"/>
    <x v="94"/>
    <m/>
    <m/>
    <m/>
  </r>
  <r>
    <m/>
    <m/>
    <m/>
    <m/>
    <n v="90.32"/>
    <x v="12"/>
    <n v="1898700000"/>
    <n v="473800000"/>
    <n v="373800000"/>
    <n v="263100000"/>
    <n v="-334500000"/>
    <n v="1495300000"/>
    <n v="31.586848666738405"/>
    <n v="0.17595131411756837"/>
    <n v="0.20609235010337698"/>
    <n v="47339322"/>
    <n v="4275687563.0399995"/>
    <n v="2.8594178847321605"/>
    <n v="8.3182515049387913"/>
    <m/>
    <m/>
    <s v=""/>
    <m/>
    <m/>
    <m/>
    <m/>
    <m/>
    <n v="2059"/>
    <n v="0"/>
    <s v="FR000012096612012"/>
    <s v="FR0000120966"/>
    <n v="1"/>
    <x v="94"/>
    <m/>
    <m/>
    <m/>
  </r>
  <r>
    <m/>
    <m/>
    <m/>
    <m/>
    <m/>
    <x v="1"/>
    <m/>
    <m/>
    <m/>
    <m/>
    <m/>
    <m/>
    <m/>
    <m/>
    <m/>
    <m/>
    <m/>
    <m/>
    <m/>
    <m/>
    <m/>
    <s v=""/>
    <m/>
    <m/>
    <m/>
    <m/>
    <m/>
    <n v="2060"/>
    <n v="0"/>
    <s v="FR00001209661"/>
    <s v="FR0000120966"/>
    <n v="1"/>
    <x v="94"/>
    <m/>
    <m/>
    <m/>
  </r>
  <r>
    <m/>
    <m/>
    <m/>
    <m/>
    <m/>
    <x v="1"/>
    <m/>
    <m/>
    <m/>
    <m/>
    <m/>
    <m/>
    <m/>
    <m/>
    <m/>
    <m/>
    <m/>
    <m/>
    <m/>
    <m/>
    <m/>
    <s v=""/>
    <m/>
    <m/>
    <m/>
    <m/>
    <m/>
    <n v="2061"/>
    <n v="0"/>
    <s v="FR00001209661"/>
    <s v="FR0000120966"/>
    <n v="1"/>
    <x v="94"/>
    <m/>
    <m/>
    <m/>
  </r>
  <r>
    <m/>
    <m/>
    <m/>
    <m/>
    <m/>
    <x v="1"/>
    <m/>
    <m/>
    <m/>
    <m/>
    <m/>
    <m/>
    <m/>
    <m/>
    <m/>
    <m/>
    <m/>
    <m/>
    <m/>
    <m/>
    <m/>
    <s v=""/>
    <m/>
    <m/>
    <m/>
    <m/>
    <m/>
    <n v="2062"/>
    <n v="0"/>
    <s v="FR00001209661"/>
    <s v="FR0000120966"/>
    <n v="1"/>
    <x v="94"/>
    <m/>
    <m/>
    <m/>
  </r>
  <r>
    <s v="Tarkett"/>
    <s v="Fabricant de parquets"/>
    <s v="France"/>
    <s v="Euro"/>
    <s v="Retrait de la cote à 20 euros le 23/04/2021 par la famille Deconinck et Wendel (TRA : -4,5%)"/>
    <x v="1"/>
    <m/>
    <m/>
    <m/>
    <m/>
    <m/>
    <m/>
    <m/>
    <m/>
    <m/>
    <m/>
    <m/>
    <m/>
    <m/>
    <m/>
    <m/>
    <s v=""/>
    <m/>
    <m/>
    <m/>
    <m/>
    <m/>
    <n v="2063"/>
    <n v="0"/>
    <s v="FR00041886701"/>
    <s v="FR0004188670"/>
    <n v="1"/>
    <x v="95"/>
    <m/>
    <m/>
    <m/>
  </r>
  <r>
    <m/>
    <m/>
    <m/>
    <m/>
    <m/>
    <x v="1"/>
    <m/>
    <m/>
    <m/>
    <m/>
    <m/>
    <m/>
    <m/>
    <m/>
    <m/>
    <m/>
    <m/>
    <m/>
    <m/>
    <m/>
    <m/>
    <s v=""/>
    <m/>
    <m/>
    <m/>
    <m/>
    <m/>
    <n v="2064"/>
    <n v="0"/>
    <s v="FR00041886701"/>
    <s v="FR0004188670"/>
    <n v="1"/>
    <x v="95"/>
    <m/>
    <m/>
    <m/>
  </r>
  <r>
    <m/>
    <m/>
    <m/>
    <m/>
    <n v="14.4"/>
    <x v="4"/>
    <n v="2966000000"/>
    <n v="257000000"/>
    <n v="98000000"/>
    <n v="40000000"/>
    <n v="781000000"/>
    <n v="900000000"/>
    <n v="14.123696210216844"/>
    <n v="4.4444444444444446E-2"/>
    <n v="3.73111243307555E-2"/>
    <n v="63722696"/>
    <n v="917606822.39999998"/>
    <n v="1.0195631359999999"/>
    <n v="6.6093650677042808"/>
    <m/>
    <m/>
    <s v=""/>
    <m/>
    <m/>
    <m/>
    <s v="Société détenue par la famille Deconinck à 50,2% spécialisée dans la fabrication et ventes de parquets, moquette, vinyl, revêtement de terrains sport et carrelage. CEO : Glenn Morrisson"/>
    <m/>
    <n v="2065"/>
    <n v="0"/>
    <s v="FR000418867012020"/>
    <s v="FR0004188670"/>
    <n v="1"/>
    <x v="95"/>
    <m/>
    <m/>
    <m/>
  </r>
  <r>
    <m/>
    <m/>
    <m/>
    <m/>
    <m/>
    <x v="1"/>
    <n v="0"/>
    <n v="0"/>
    <n v="0"/>
    <n v="0"/>
    <m/>
    <m/>
    <m/>
    <m/>
    <m/>
    <m/>
    <m/>
    <m/>
    <m/>
    <m/>
    <m/>
    <s v=""/>
    <m/>
    <m/>
    <m/>
    <s v="Marché pas très concurrentiel : leader Mohawk Industries, Shaw industries (W. Buffett), Tarkett , une entreprise allemande ( à vérifier) en France, Gerflor et en Suisse Forbo (à eux trois entre 65% et 85% du marché) en France"/>
    <m/>
    <n v="2066"/>
    <n v="0"/>
    <s v="FR00041886701"/>
    <s v="FR0004188670"/>
    <n v="1"/>
    <x v="95"/>
    <m/>
    <m/>
    <m/>
  </r>
  <r>
    <m/>
    <m/>
    <m/>
    <m/>
    <n v="19"/>
    <x v="5"/>
    <n v="2966000000"/>
    <n v="257000000"/>
    <n v="98000000"/>
    <n v="40000000"/>
    <n v="781000000"/>
    <n v="900000000"/>
    <n v="14.123696210216844"/>
    <n v="4.4444444444444446E-2"/>
    <n v="3.73111243307555E-2"/>
    <n v="63722696"/>
    <n v="1210731224"/>
    <n v="1.3452569155555556"/>
    <n v="7.7499269416342411"/>
    <m/>
    <m/>
    <s v=""/>
    <m/>
    <m/>
    <m/>
    <s v="Marché de renouvellement dans l'habitation (30% du CA) en Europe et aux Etats-Unis lié à 80% à la rénovation. Croissance en ligne avec le PIB et surtout croissance dans le revêtement des salles et terrains de sport "/>
    <m/>
    <n v="2067"/>
    <n v="0"/>
    <s v="FR000418867012019"/>
    <s v="FR0004188670"/>
    <n v="1"/>
    <x v="95"/>
    <m/>
    <m/>
    <m/>
  </r>
  <r>
    <m/>
    <m/>
    <m/>
    <m/>
    <m/>
    <x v="1"/>
    <n v="7.8545454545454474E-2"/>
    <n v="-8.2142857142857184E-2"/>
    <n v="-0.34666666666666668"/>
    <n v="-0.6"/>
    <m/>
    <m/>
    <m/>
    <m/>
    <m/>
    <m/>
    <m/>
    <m/>
    <m/>
    <m/>
    <m/>
    <s v=""/>
    <m/>
    <m/>
    <m/>
    <s v="Croissance dans le carrelage dans les pays émergents et le sport (pelouse du U Arena, Camp Nou, Amsterdam, USA….)"/>
    <m/>
    <n v="2068"/>
    <n v="0"/>
    <s v="FR00041886701"/>
    <s v="FR0004188670"/>
    <n v="1"/>
    <x v="95"/>
    <m/>
    <m/>
    <m/>
  </r>
  <r>
    <m/>
    <m/>
    <m/>
    <m/>
    <n v="20"/>
    <x v="6"/>
    <n v="2750000000"/>
    <n v="280000000"/>
    <n v="150000000"/>
    <n v="100000000"/>
    <n v="500000000"/>
    <n v="900000000"/>
    <n v="14.123696210216844"/>
    <n v="0.1111111111111111"/>
    <n v="6.8571428571428575E-2"/>
    <n v="63722696"/>
    <n v="1274453920"/>
    <n v="1.4160599111111112"/>
    <n v="6.3373354285714285"/>
    <m/>
    <m/>
    <s v=""/>
    <m/>
    <m/>
    <m/>
    <s v="Lourde amende à venir en 2017 (165 M euros) pour entente avec Gerflor et Forbo. Michel Giannuzzi (dirigeant)"/>
    <m/>
    <n v="2069"/>
    <n v="0"/>
    <s v="FR000418867012018"/>
    <s v="FR0004188670"/>
    <n v="1"/>
    <x v="95"/>
    <m/>
    <m/>
    <m/>
  </r>
  <r>
    <m/>
    <m/>
    <m/>
    <m/>
    <m/>
    <x v="1"/>
    <n v="-3.0324400564174847E-2"/>
    <n v="-9.9678456591639875E-2"/>
    <n v="-0.20634920634920639"/>
    <e v="#DIV/0!"/>
    <m/>
    <m/>
    <m/>
    <m/>
    <m/>
    <m/>
    <m/>
    <m/>
    <m/>
    <m/>
    <m/>
    <s v=""/>
    <m/>
    <m/>
    <m/>
    <s v="Pas de minoritaire dans les différentes sociétés détenues par le groupe"/>
    <m/>
    <n v="2070"/>
    <n v="0"/>
    <s v="FR00041886701"/>
    <s v="FR0004188670"/>
    <n v="1"/>
    <x v="95"/>
    <m/>
    <m/>
    <m/>
  </r>
  <r>
    <m/>
    <m/>
    <m/>
    <m/>
    <n v="34.979999999999997"/>
    <x v="7"/>
    <n v="2836000000"/>
    <n v="311000000"/>
    <n v="189000000"/>
    <n v="0"/>
    <n v="438000000"/>
    <n v="950000000"/>
    <n v="14.908345999673335"/>
    <n v="0"/>
    <n v="8.7146974063400579E-2"/>
    <n v="63722696"/>
    <n v="2229019906.0799999"/>
    <n v="2.3463367432421052"/>
    <n v="8.5756267076527326"/>
    <m/>
    <m/>
    <s v=""/>
    <m/>
    <m/>
    <m/>
    <s v="Marge EBE / CA stable sur longue période à 12%. Risque sur la hausse des matières premières. Covenant à 3 fois Dettes / EBE et 2,5 fois Ebit / charges fin"/>
    <m/>
    <n v="2071"/>
    <n v="0"/>
    <s v="FR000418867012017"/>
    <s v="FR0004188670"/>
    <n v="1"/>
    <x v="95"/>
    <m/>
    <m/>
    <m/>
  </r>
  <r>
    <m/>
    <m/>
    <m/>
    <m/>
    <m/>
    <x v="1"/>
    <n v="3.5300989303836738E-2"/>
    <n v="-6.9976076555023914E-2"/>
    <n v="-8.9145254326167267E-3"/>
    <n v="-1"/>
    <m/>
    <m/>
    <m/>
    <m/>
    <m/>
    <m/>
    <m/>
    <m/>
    <m/>
    <m/>
    <m/>
    <s v=""/>
    <m/>
    <m/>
    <m/>
    <s v="Objectif 2020 : CA : 3,5 Md euros et EBE : 420 M euros (marge 12%) et dettes à 2,5 fois soit 1 050 M euros et ROIC : &gt; 9%. Objectif cible : VE/EBE = 9  fois =&gt; 42 euros ?"/>
    <m/>
    <n v="2072"/>
    <n v="0"/>
    <s v="FR00041886701"/>
    <s v="FR0004188670"/>
    <n v="1"/>
    <x v="95"/>
    <m/>
    <m/>
    <m/>
  </r>
  <r>
    <m/>
    <m/>
    <m/>
    <m/>
    <n v="34.090000000000003"/>
    <x v="8"/>
    <n v="2739300000"/>
    <n v="334400000"/>
    <n v="190700000"/>
    <n v="119300000"/>
    <n v="378000000"/>
    <n v="935200000"/>
    <n v="14.676089661994213"/>
    <n v="0.12756629597946964"/>
    <n v="9.2939384709107523E-2"/>
    <n v="63722696"/>
    <n v="2172306706.6400003"/>
    <n v="2.3228258197604794"/>
    <n v="7.6265152710526323"/>
    <m/>
    <m/>
    <s v=""/>
    <m/>
    <m/>
    <m/>
    <s v="Cotation en novembre 2013 à 29 euros (7,25 fois VE/EBE).  La famille Deconinck a maintenu sa participation à 50,2% et KKR (18,9% après l'IPO) est sortie progressivement. Il y a eu un dividende exceptionnel"/>
    <m/>
    <n v="2073"/>
    <n v="0"/>
    <s v="FR000418867012016"/>
    <s v="FR0004188670"/>
    <n v="1"/>
    <x v="95"/>
    <m/>
    <m/>
    <m/>
  </r>
  <r>
    <m/>
    <m/>
    <m/>
    <m/>
    <m/>
    <x v="1"/>
    <n v="9.0246058641521021E-3"/>
    <n v="0.17209954433929187"/>
    <n v="0.15856622114216279"/>
    <n v="0.42874251497005988"/>
    <m/>
    <m/>
    <m/>
    <m/>
    <m/>
    <m/>
    <m/>
    <m/>
    <m/>
    <m/>
    <m/>
    <s v=""/>
    <m/>
    <m/>
    <m/>
    <s v="Baisse en 2014 suite aux problèmes de la Russie (20% du CA ? À vérifier)"/>
    <m/>
    <n v="2074"/>
    <n v="0"/>
    <s v="FR00041886701"/>
    <s v="FR0004188670"/>
    <n v="1"/>
    <x v="95"/>
    <m/>
    <m/>
    <m/>
  </r>
  <r>
    <m/>
    <m/>
    <m/>
    <m/>
    <n v="28.79"/>
    <x v="9"/>
    <n v="2714800000"/>
    <n v="285300000"/>
    <n v="164600000"/>
    <n v="83500000"/>
    <n v="482300000"/>
    <n v="834200000"/>
    <n v="13.0910970872921"/>
    <n v="0.10009590026372572"/>
    <n v="8.0018230155715908E-2"/>
    <n v="63722696"/>
    <n v="1834576417.8399999"/>
    <n v="2.1992045286981536"/>
    <n v="8.120842684332283"/>
    <m/>
    <m/>
    <s v=""/>
    <m/>
    <m/>
    <m/>
    <s v="1T2018 en légère baisse et impact des matières premières, EBE en baisse. Sport en croissance"/>
    <m/>
    <n v="2075"/>
    <n v="0"/>
    <s v="FR000418867012015"/>
    <s v="FR0004188670"/>
    <n v="1"/>
    <x v="95"/>
    <m/>
    <m/>
    <m/>
  </r>
  <r>
    <m/>
    <m/>
    <m/>
    <m/>
    <m/>
    <x v="1"/>
    <n v="0.12460646230323125"/>
    <n v="3.7454545454545407E-2"/>
    <e v="#DIV/0!"/>
    <n v="0.3643790849673203"/>
    <m/>
    <m/>
    <m/>
    <m/>
    <m/>
    <m/>
    <m/>
    <m/>
    <m/>
    <m/>
    <m/>
    <s v=""/>
    <m/>
    <m/>
    <m/>
    <s v="Acquisition d'une entreprise aux Etats-Unis de 150 M euros de CA dans la moquette pour les hôtels. Acquisition difficile"/>
    <m/>
    <n v="2076"/>
    <n v="0"/>
    <s v="FR00041886701"/>
    <s v="FR0004188670"/>
    <n v="1"/>
    <x v="95"/>
    <m/>
    <m/>
    <m/>
  </r>
  <r>
    <m/>
    <m/>
    <m/>
    <m/>
    <n v="17.899999999999999"/>
    <x v="10"/>
    <n v="2414000000"/>
    <n v="275000000"/>
    <m/>
    <n v="61200000"/>
    <n v="595000000"/>
    <n v="725800000"/>
    <n v="11.389976343750428"/>
    <n v="8.4320749517773491E-2"/>
    <n v="0"/>
    <n v="63722696"/>
    <n v="1140636258.3999999"/>
    <n v="1.5715572587489666"/>
    <n v="6.3114045759999993"/>
    <m/>
    <m/>
    <s v=""/>
    <m/>
    <m/>
    <m/>
    <s v="Prix d'achat : 18 euros mais problème éthique suite amende 2017"/>
    <m/>
    <n v="2077"/>
    <n v="0"/>
    <s v="FR000418867012014"/>
    <s v="FR0004188670"/>
    <n v="1"/>
    <x v="95"/>
    <m/>
    <m/>
    <m/>
  </r>
  <r>
    <m/>
    <m/>
    <m/>
    <m/>
    <m/>
    <x v="1"/>
    <n v="-4.0540540540540571E-2"/>
    <n v="-0.11290322580645162"/>
    <e v="#DIV/0!"/>
    <n v="-0.37295081967213117"/>
    <m/>
    <m/>
    <m/>
    <m/>
    <m/>
    <m/>
    <m/>
    <m/>
    <m/>
    <m/>
    <m/>
    <s v=""/>
    <m/>
    <m/>
    <m/>
    <m/>
    <m/>
    <n v="2078"/>
    <n v="0"/>
    <s v="FR00041886701"/>
    <s v="FR0004188670"/>
    <n v="1"/>
    <x v="95"/>
    <m/>
    <m/>
    <m/>
  </r>
  <r>
    <m/>
    <m/>
    <m/>
    <m/>
    <n v="28.52"/>
    <x v="11"/>
    <n v="2516000000"/>
    <n v="310000000"/>
    <m/>
    <n v="97600000"/>
    <n v="429000000"/>
    <m/>
    <n v="0"/>
    <e v="#DIV/0!"/>
    <n v="0"/>
    <n v="63722696"/>
    <n v="1817371289.9200001"/>
    <m/>
    <n v="7.2463589997419353"/>
    <m/>
    <m/>
    <s v=""/>
    <m/>
    <m/>
    <m/>
    <m/>
    <m/>
    <n v="2079"/>
    <n v="0"/>
    <s v="FR000418867012013"/>
    <s v="FR0004188670"/>
    <n v="1"/>
    <x v="95"/>
    <m/>
    <m/>
    <m/>
  </r>
  <r>
    <m/>
    <m/>
    <m/>
    <m/>
    <m/>
    <x v="1"/>
    <n v="9.7731239092495592E-2"/>
    <n v="0.18320610687022909"/>
    <e v="#DIV/0!"/>
    <e v="#DIV/0!"/>
    <m/>
    <m/>
    <m/>
    <m/>
    <m/>
    <m/>
    <m/>
    <m/>
    <m/>
    <m/>
    <m/>
    <s v=""/>
    <m/>
    <m/>
    <m/>
    <m/>
    <m/>
    <n v="2080"/>
    <n v="0"/>
    <s v="FR00041886701"/>
    <s v="FR0004188670"/>
    <n v="1"/>
    <x v="95"/>
    <m/>
    <m/>
    <m/>
  </r>
  <r>
    <m/>
    <m/>
    <m/>
    <m/>
    <s v="IPO en novembre 2013"/>
    <x v="12"/>
    <n v="2292000000"/>
    <n v="262000000"/>
    <m/>
    <m/>
    <m/>
    <m/>
    <m/>
    <m/>
    <m/>
    <m/>
    <m/>
    <m/>
    <m/>
    <m/>
    <m/>
    <s v=""/>
    <m/>
    <m/>
    <m/>
    <m/>
    <m/>
    <n v="2081"/>
    <n v="0"/>
    <s v="FR000418867012012"/>
    <s v="FR0004188670"/>
    <n v="1"/>
    <x v="95"/>
    <m/>
    <m/>
    <m/>
  </r>
  <r>
    <m/>
    <m/>
    <m/>
    <m/>
    <s v="à 29 euros "/>
    <x v="1"/>
    <n v="9.7701149425287293E-2"/>
    <n v="0.37172774869109948"/>
    <e v="#DIV/0!"/>
    <e v="#DIV/0!"/>
    <m/>
    <m/>
    <m/>
    <m/>
    <m/>
    <m/>
    <m/>
    <m/>
    <m/>
    <m/>
    <m/>
    <s v=""/>
    <m/>
    <m/>
    <m/>
    <m/>
    <m/>
    <n v="2082"/>
    <n v="0"/>
    <s v="FR00041886701"/>
    <s v="FR0004188670"/>
    <n v="1"/>
    <x v="95"/>
    <m/>
    <m/>
    <m/>
  </r>
  <r>
    <m/>
    <m/>
    <m/>
    <m/>
    <m/>
    <x v="17"/>
    <n v="2088000000"/>
    <n v="191000000"/>
    <m/>
    <m/>
    <m/>
    <m/>
    <m/>
    <m/>
    <m/>
    <m/>
    <m/>
    <m/>
    <m/>
    <m/>
    <m/>
    <s v=""/>
    <m/>
    <m/>
    <m/>
    <m/>
    <m/>
    <n v="2083"/>
    <n v="0"/>
    <s v="FR000418867012011"/>
    <s v="FR0004188670"/>
    <n v="1"/>
    <x v="95"/>
    <m/>
    <m/>
    <m/>
  </r>
  <r>
    <m/>
    <m/>
    <m/>
    <m/>
    <m/>
    <x v="1"/>
    <m/>
    <m/>
    <m/>
    <m/>
    <m/>
    <m/>
    <m/>
    <m/>
    <m/>
    <m/>
    <m/>
    <m/>
    <m/>
    <m/>
    <m/>
    <s v=""/>
    <m/>
    <m/>
    <m/>
    <m/>
    <m/>
    <n v="2084"/>
    <n v="0"/>
    <s v="FR00041886701"/>
    <s v="FR0004188670"/>
    <n v="1"/>
    <x v="95"/>
    <m/>
    <m/>
    <m/>
  </r>
  <r>
    <m/>
    <m/>
    <m/>
    <m/>
    <m/>
    <x v="1"/>
    <m/>
    <m/>
    <m/>
    <m/>
    <m/>
    <m/>
    <m/>
    <m/>
    <m/>
    <m/>
    <m/>
    <m/>
    <m/>
    <m/>
    <m/>
    <s v=""/>
    <m/>
    <m/>
    <m/>
    <m/>
    <m/>
    <n v="2085"/>
    <n v="0"/>
    <s v="FR00041886701"/>
    <s v="FR0004188670"/>
    <n v="1"/>
    <x v="95"/>
    <m/>
    <m/>
    <m/>
  </r>
  <r>
    <m/>
    <m/>
    <m/>
    <m/>
    <m/>
    <x v="1"/>
    <m/>
    <m/>
    <m/>
    <m/>
    <m/>
    <m/>
    <m/>
    <m/>
    <m/>
    <m/>
    <m/>
    <m/>
    <m/>
    <m/>
    <m/>
    <s v=""/>
    <m/>
    <m/>
    <m/>
    <m/>
    <m/>
    <n v="2086"/>
    <n v="0"/>
    <s v="FR00041886701"/>
    <s v="FR0004188670"/>
    <n v="1"/>
    <x v="95"/>
    <m/>
    <m/>
    <m/>
  </r>
  <r>
    <s v="Haulotte Group"/>
    <s v="Fabricants de nacelle"/>
    <s v="France"/>
    <s v="Euro"/>
    <n v="3.4649999999999999"/>
    <x v="2"/>
    <n v="594960000"/>
    <n v="10000000"/>
    <n v="2000000"/>
    <n v="0"/>
    <n v="190000000"/>
    <n v="224000000"/>
    <n v="7.1402901903186971"/>
    <n v="0"/>
    <n v="3.0917874396135265E-3"/>
    <n v="31371274"/>
    <n v="108701464.41"/>
    <n v="0.4852743946875"/>
    <n v="10.17063789744288"/>
    <s v="Non noté"/>
    <n v="1900"/>
    <n v="313136.84210526315"/>
    <n v="-50000000"/>
    <s v="E (structure) = -1"/>
    <m/>
    <s v="Fabricant de nacelles fondée en 1881 par Pinguely et détenue par la famille Saubot à 54,4% via la holding Solem. Alexandre Saubot (Directeur Général). Échéance 2021"/>
    <m/>
    <n v="2087"/>
    <n v="0"/>
    <s v="FR000006675512022"/>
    <s v="FR0000066755"/>
    <n v="1"/>
    <x v="96"/>
    <m/>
    <m/>
    <m/>
  </r>
  <r>
    <m/>
    <m/>
    <m/>
    <m/>
    <m/>
    <x v="1"/>
    <n v="0.19999999999999996"/>
    <n v="-0.65950492015390383"/>
    <n v="-0.83294353491480122"/>
    <n v="-1"/>
    <m/>
    <m/>
    <m/>
    <m/>
    <m/>
    <m/>
    <m/>
    <m/>
    <m/>
    <m/>
    <m/>
    <s v=""/>
    <m/>
    <s v="E (effort) = 1"/>
    <m/>
    <s v="Le modèle économique a souffert de la crise de 2008 et les clients optent plus pour la location. Tension sur les marges. Gros clients : loueurs"/>
    <m/>
    <n v="2088"/>
    <n v="0"/>
    <s v="FR00000667551"/>
    <s v="FR0000066755"/>
    <n v="1"/>
    <x v="96"/>
    <m/>
    <m/>
    <m/>
  </r>
  <r>
    <m/>
    <m/>
    <m/>
    <m/>
    <n v="4.8"/>
    <x v="3"/>
    <n v="495800000"/>
    <n v="29369000"/>
    <n v="11972000"/>
    <n v="8138000"/>
    <n v="140900000"/>
    <n v="224191000"/>
    <n v="7.1463785627577634"/>
    <n v="3.6299405417701873E-2"/>
    <n v="2.0986767682577769E-2"/>
    <n v="31371274"/>
    <n v="150582115.19999999"/>
    <n v="0.67166886806339232"/>
    <n v="12.874651731448763"/>
    <m/>
    <m/>
    <s v=""/>
    <n v="1756000"/>
    <s v="S = -1"/>
    <m/>
    <s v="Présent en Europe (57%), Amérique du Nord (16%) et du Sud (8%) et Asie Pacifique (19%). Chine : 50% du marché détenu par 3 loueurs dont un est client de Haulotte"/>
    <m/>
    <n v="2089"/>
    <n v="0"/>
    <s v="FR000006675512021"/>
    <s v="FR0000066755"/>
    <n v="1"/>
    <x v="96"/>
    <m/>
    <m/>
    <m/>
  </r>
  <r>
    <m/>
    <m/>
    <m/>
    <m/>
    <m/>
    <x v="1"/>
    <n v="0.1305593053376628"/>
    <n v="0.29721731448763244"/>
    <n v="2.0927408938258849"/>
    <n v="-1.3127954798785408"/>
    <m/>
    <m/>
    <m/>
    <m/>
    <m/>
    <m/>
    <m/>
    <m/>
    <m/>
    <m/>
    <m/>
    <s v=""/>
    <m/>
    <s v="G = 1"/>
    <m/>
    <s v="Prix des machines : 15 000 euros et plus. Peu de croissance externe historiquement (donc pas de survaleurs au bilan) mais ils y réflechissent"/>
    <m/>
    <n v="2090"/>
    <n v="0"/>
    <s v="FR00000667551"/>
    <s v="FR0000066755"/>
    <n v="1"/>
    <x v="96"/>
    <m/>
    <m/>
    <m/>
  </r>
  <r>
    <m/>
    <m/>
    <m/>
    <m/>
    <n v="6.07"/>
    <x v="4"/>
    <n v="438544000"/>
    <n v="22640000"/>
    <n v="3871000"/>
    <n v="-26017000"/>
    <n v="162179000"/>
    <n v="218881000"/>
    <n v="6.97711543369262"/>
    <n v="-0.11886367478218758"/>
    <n v="6.5014433422558131E-3"/>
    <n v="31371274"/>
    <n v="190423633.18000001"/>
    <n v="0.869987039441523"/>
    <n v="7.665274634347826"/>
    <m/>
    <m/>
    <s v=""/>
    <n v="4958000"/>
    <m/>
    <m/>
    <s v="Cherche à produire en Europe pour l'Europe, en Chine pour la Chine, et aux États-Unis pour les États-Unis"/>
    <m/>
    <n v="2091"/>
    <n v="0"/>
    <s v="FR000006675512020"/>
    <s v="FR0000066755"/>
    <n v="1"/>
    <x v="96"/>
    <m/>
    <m/>
    <m/>
  </r>
  <r>
    <m/>
    <m/>
    <m/>
    <m/>
    <m/>
    <x v="1"/>
    <n v="-0.28201702685003271"/>
    <n v="-0.50782608695652176"/>
    <n v="-0.86761285909712726"/>
    <n v="-2.3342051282051282"/>
    <m/>
    <m/>
    <m/>
    <m/>
    <m/>
    <m/>
    <m/>
    <m/>
    <m/>
    <m/>
    <m/>
    <s v=""/>
    <m/>
    <m/>
    <m/>
    <s v="Résultats 2017 un peu en dessous en terme de rentabilité. Valorisation trop généreuse"/>
    <m/>
    <n v="2092"/>
    <n v="0"/>
    <s v="FR00000667551"/>
    <s v="FR0000066755"/>
    <n v="1"/>
    <x v="96"/>
    <m/>
    <m/>
    <m/>
  </r>
  <r>
    <m/>
    <m/>
    <m/>
    <m/>
    <n v="4.84"/>
    <x v="5"/>
    <n v="610800000"/>
    <n v="46000000"/>
    <n v="29240000"/>
    <n v="19500000"/>
    <n v="150300000"/>
    <n v="264718000"/>
    <n v="8.4382283832436915"/>
    <n v="7.3663294524739534E-2"/>
    <n v="4.5091056291534343E-2"/>
    <n v="31371277"/>
    <n v="151836980.68000001"/>
    <n v="0.57358011423477062"/>
    <n v="6.358101445286195"/>
    <m/>
    <m/>
    <s v=""/>
    <m/>
    <m/>
    <m/>
    <s v="Chiffre d'affaires en hausse de plus de 10%, Europe bien mais pression sur les prix. Résultat d'exploitation stable. Résultat net en hausse suite cession et légère hausse de l'endettement. A suivre"/>
    <m/>
    <n v="2093"/>
    <n v="0"/>
    <s v="FR000006675512019"/>
    <s v="FR0000066755"/>
    <n v="1"/>
    <x v="96"/>
    <m/>
    <m/>
    <m/>
  </r>
  <r>
    <m/>
    <m/>
    <m/>
    <m/>
    <m/>
    <x v="1"/>
    <n v="9.8748886950108306E-2"/>
    <n v="-3.1986531986532007E-2"/>
    <n v="9.1806447159521465E-3"/>
    <n v="-0.18317764838939388"/>
    <m/>
    <m/>
    <m/>
    <m/>
    <m/>
    <m/>
    <m/>
    <m/>
    <m/>
    <m/>
    <m/>
    <s v=""/>
    <m/>
    <m/>
    <m/>
    <s v="Bonne dynamique commerciale, la société retrouve les niveaux d'activité de 2007 mais impact de la hausse des matières premières et mauvais mix géographique "/>
    <m/>
    <n v="2094"/>
    <n v="0"/>
    <s v="FR00000667551"/>
    <s v="FR0000066755"/>
    <n v="1"/>
    <x v="96"/>
    <m/>
    <m/>
    <m/>
  </r>
  <r>
    <m/>
    <m/>
    <m/>
    <m/>
    <n v="9"/>
    <x v="6"/>
    <n v="555905000"/>
    <n v="47520000"/>
    <n v="28974000"/>
    <n v="23873000"/>
    <n v="124000000"/>
    <n v="257337000"/>
    <n v="8.2029502531519753"/>
    <n v="9.2769403544768148E-2"/>
    <n v="4.8627224738223673E-2"/>
    <n v="31371274"/>
    <n v="282341466"/>
    <n v="1.0971662294967299"/>
    <n v="9.4060524537037029"/>
    <m/>
    <m/>
    <s v=""/>
    <m/>
    <m/>
    <m/>
    <s v="Haut de cycle en Europe au premier semestre 2019."/>
    <m/>
    <n v="2095"/>
    <n v="0"/>
    <s v="FR000006675512018"/>
    <s v="FR0000066755"/>
    <n v="1"/>
    <x v="96"/>
    <m/>
    <m/>
    <m/>
  </r>
  <r>
    <m/>
    <m/>
    <m/>
    <m/>
    <m/>
    <x v="1"/>
    <n v="0.11305216621749881"/>
    <n v="0.10000000000000009"/>
    <n v="-0.2169189189189189"/>
    <n v="0.34967209407507904"/>
    <m/>
    <m/>
    <m/>
    <m/>
    <m/>
    <m/>
    <m/>
    <m/>
    <m/>
    <m/>
    <m/>
    <s v=""/>
    <m/>
    <m/>
    <m/>
    <s v="En 2020, situation de crise gérée, l'activité redémarre en Asie (surtout en Chine), difficile en Europe et aux États-Unis, dure en Amérique Latine. Le chiffre d'affaires devrait croître de 10% en 2021, normalisation en 2022"/>
    <m/>
    <n v="2096"/>
    <n v="0"/>
    <s v="FR00000667551"/>
    <s v="FR0000066755"/>
    <n v="1"/>
    <x v="96"/>
    <m/>
    <m/>
    <m/>
  </r>
  <r>
    <m/>
    <m/>
    <m/>
    <m/>
    <n v="17"/>
    <x v="7"/>
    <n v="499442000"/>
    <n v="43200000"/>
    <n v="37000000"/>
    <n v="17688000"/>
    <n v="57800000"/>
    <n v="238723000"/>
    <n v="7.6096048888546894"/>
    <n v="7.4094243118593514E-2"/>
    <n v="7.9858897960697825E-2"/>
    <n v="31371274"/>
    <n v="533311658"/>
    <n v="2.2340187497643713"/>
    <n v="21.339771046931407"/>
    <m/>
    <m/>
    <s v=""/>
    <m/>
    <m/>
    <m/>
    <s v="Dépréciation de l'UGT aux États-Unis de 4,3 M euros "/>
    <m/>
    <n v="2097"/>
    <n v="0"/>
    <s v="FR000006675512017"/>
    <s v="FR0000066755"/>
    <n v="1"/>
    <x v="96"/>
    <m/>
    <m/>
    <m/>
  </r>
  <r>
    <m/>
    <m/>
    <m/>
    <m/>
    <m/>
    <x v="1"/>
    <n v="9.0961118392311135E-2"/>
    <n v="0.55956678700361007"/>
    <n v="0.41523867809057524"/>
    <n v="-0.23938937862825194"/>
    <m/>
    <m/>
    <m/>
    <m/>
    <m/>
    <m/>
    <m/>
    <m/>
    <m/>
    <m/>
    <m/>
    <s v=""/>
    <m/>
    <m/>
    <m/>
    <s v="En 2021, croissance du CA de 10% (revu à +15%) et marge opérationelle de 3-4%. Reprise forte, la marge est impacté par la hausse des composants, légère baisse de la dette. 2022 devrait permettre de se rapprocher des 600 M euros"/>
    <m/>
    <n v="2098"/>
    <n v="0"/>
    <s v="FR00000667551"/>
    <s v="FR0000066755"/>
    <n v="1"/>
    <x v="96"/>
    <m/>
    <m/>
    <m/>
  </r>
  <r>
    <m/>
    <m/>
    <m/>
    <m/>
    <n v="14.06"/>
    <x v="8"/>
    <n v="457800000"/>
    <n v="27700000"/>
    <n v="26144000"/>
    <n v="23255000"/>
    <n v="74792000"/>
    <n v="236634000"/>
    <n v="7.5430153075708688"/>
    <n v="9.8274127978227988E-2"/>
    <n v="5.3727562888133941E-2"/>
    <n v="31371274"/>
    <n v="441080112.44"/>
    <n v="1.8639760661612448"/>
    <n v="15.921978779012345"/>
    <m/>
    <m/>
    <s v=""/>
    <m/>
    <m/>
    <m/>
    <s v="En 2021, flux de trésorerie disponible à 10 Me sur le semestre. Ventes financées : 10%-15%. Dettes surtout un crédit syndiqué à échéance 2026 pour 130 M euros auprès de plusieurs banques"/>
    <m/>
    <n v="2099"/>
    <n v="0"/>
    <s v="FR000006675512016"/>
    <s v="FR0000066755"/>
    <n v="1"/>
    <x v="96"/>
    <m/>
    <m/>
    <m/>
  </r>
  <r>
    <m/>
    <m/>
    <m/>
    <m/>
    <m/>
    <x v="1"/>
    <n v="2.8070963395463666E-2"/>
    <n v="-0.14506172839506171"/>
    <n v="-0.23955788248981968"/>
    <n v="-0.16267598026860619"/>
    <m/>
    <m/>
    <m/>
    <m/>
    <m/>
    <m/>
    <m/>
    <m/>
    <m/>
    <m/>
    <m/>
    <s v=""/>
    <m/>
    <m/>
    <m/>
    <s v="En 2022, démarrage d'une usine en Chine impact à plein sur les chiffres en 2023. Croissance du CA attendu à +20% mais marge à 3,3% subit l'inflation des coûts. Waiver accordé par le pool bancaire"/>
    <m/>
    <n v="2100"/>
    <n v="0"/>
    <s v="FR00000667551"/>
    <s v="FR0000066755"/>
    <n v="1"/>
    <x v="96"/>
    <m/>
    <m/>
    <m/>
  </r>
  <r>
    <m/>
    <m/>
    <m/>
    <m/>
    <n v="13.99"/>
    <x v="9"/>
    <n v="445300000"/>
    <n v="32400000"/>
    <n v="34380000"/>
    <n v="27773000"/>
    <n v="68282000"/>
    <n v="221077000"/>
    <n v="7.0470124475746223"/>
    <n v="0.12562591314338442"/>
    <n v="7.6041180678672521E-2"/>
    <n v="31371734"/>
    <n v="438890558.66000003"/>
    <n v="1.9852384402719416"/>
    <n v="15.65347403271605"/>
    <m/>
    <m/>
    <s v=""/>
    <m/>
    <m/>
    <m/>
    <s v="Rythme de croisière des investissements à 20 M euros. Pourrait bénéficier d'une normalisation en 2023, de leur développement en Chine et de moindre investissement. Risque baisse des volumes en 2024"/>
    <m/>
    <n v="2101"/>
    <n v="0"/>
    <s v="FR000006675512015"/>
    <s v="FR0000066755"/>
    <n v="1"/>
    <x v="96"/>
    <m/>
    <m/>
    <m/>
  </r>
  <r>
    <m/>
    <m/>
    <m/>
    <m/>
    <m/>
    <x v="1"/>
    <m/>
    <m/>
    <m/>
    <m/>
    <m/>
    <m/>
    <m/>
    <m/>
    <m/>
    <m/>
    <m/>
    <m/>
    <m/>
    <m/>
    <m/>
    <s v=""/>
    <m/>
    <m/>
    <m/>
    <s v="Les pertubations de la chaîne d'approvisionnement et l'inflation des coûts rendent la situation difficiles avec l'absence de marge et la hausse de l'endettement proche des 200 Meuros "/>
    <m/>
    <n v="2102"/>
    <n v="0"/>
    <s v="FR00000667551"/>
    <s v="FR0000066755"/>
    <n v="1"/>
    <x v="96"/>
    <m/>
    <m/>
    <m/>
  </r>
  <r>
    <m/>
    <m/>
    <m/>
    <m/>
    <n v="6.4"/>
    <x v="38"/>
    <n v="202028000"/>
    <n v="-45943000"/>
    <n v="-63359000"/>
    <n v="-55326000"/>
    <n v="201391000"/>
    <n v="225042000"/>
    <n v="7.2148111086970053"/>
    <n v="-0.24584744181086196"/>
    <n v="-9.5090576948782105E-2"/>
    <n v="31191669"/>
    <n v="199626681.60000002"/>
    <n v="0.88706411069933622"/>
    <n v="-8.7285915503994076"/>
    <m/>
    <m/>
    <s v=""/>
    <m/>
    <m/>
    <m/>
    <s v="Pas de minoritaire "/>
    <m/>
    <n v="2103"/>
    <n v="0"/>
    <s v="FR000006675512009"/>
    <s v="FR0000066755"/>
    <n v="1"/>
    <x v="96"/>
    <m/>
    <m/>
    <m/>
  </r>
  <r>
    <m/>
    <m/>
    <m/>
    <m/>
    <m/>
    <x v="1"/>
    <n v="-0.55182572430010213"/>
    <n v="-1.6705930434528762"/>
    <n v="-2.2512639229007032"/>
    <n v="-2.7310472137918085"/>
    <m/>
    <m/>
    <m/>
    <m/>
    <m/>
    <m/>
    <m/>
    <m/>
    <m/>
    <m/>
    <m/>
    <s v=""/>
    <m/>
    <m/>
    <m/>
    <s v="CAC : Price et BM&amp;A"/>
    <m/>
    <n v="2104"/>
    <n v="0"/>
    <s v="FR00000667551"/>
    <s v="FR0000066755"/>
    <n v="1"/>
    <x v="96"/>
    <m/>
    <m/>
    <m/>
  </r>
  <r>
    <m/>
    <m/>
    <m/>
    <m/>
    <n v="3.98"/>
    <x v="20"/>
    <n v="450780000"/>
    <n v="68511000"/>
    <n v="50636000"/>
    <n v="31961000"/>
    <n v="217713000"/>
    <n v="286332000"/>
    <n v="8.7855714512068364"/>
    <n v="0.11162217286227177"/>
    <n v="6.429394200914601E-2"/>
    <n v="32591164"/>
    <n v="129712832.72"/>
    <n v="0.45301549501976723"/>
    <n v="5.071095630190773"/>
    <m/>
    <m/>
    <s v=""/>
    <m/>
    <m/>
    <m/>
    <s v="Pay-out ratio : 70% (dividende : 0,22 euro soit 7 M euros). Stable dans le temps. Pas de dividendes en 2021 et 40% en 2019"/>
    <m/>
    <n v="2105"/>
    <n v="0"/>
    <s v="FR000006675512008"/>
    <s v="FR0000066755"/>
    <n v="1"/>
    <x v="96"/>
    <m/>
    <m/>
    <m/>
  </r>
  <r>
    <m/>
    <m/>
    <m/>
    <m/>
    <m/>
    <x v="1"/>
    <m/>
    <m/>
    <m/>
    <m/>
    <m/>
    <m/>
    <m/>
    <m/>
    <m/>
    <m/>
    <m/>
    <m/>
    <m/>
    <m/>
    <m/>
    <s v=""/>
    <m/>
    <m/>
    <m/>
    <m/>
    <m/>
    <n v="2106"/>
    <n v="0"/>
    <s v="FR00000667551"/>
    <s v="FR0000066755"/>
    <n v="1"/>
    <x v="96"/>
    <m/>
    <m/>
    <m/>
  </r>
  <r>
    <m/>
    <m/>
    <m/>
    <m/>
    <m/>
    <x v="1"/>
    <m/>
    <m/>
    <m/>
    <m/>
    <m/>
    <m/>
    <m/>
    <m/>
    <m/>
    <m/>
    <m/>
    <m/>
    <m/>
    <m/>
    <m/>
    <s v=""/>
    <m/>
    <m/>
    <m/>
    <m/>
    <m/>
    <n v="2107"/>
    <n v="0"/>
    <s v="FR00000667551"/>
    <s v="FR0000066755"/>
    <n v="1"/>
    <x v="96"/>
    <m/>
    <m/>
    <m/>
  </r>
  <r>
    <m/>
    <m/>
    <m/>
    <m/>
    <m/>
    <x v="1"/>
    <m/>
    <m/>
    <m/>
    <m/>
    <m/>
    <m/>
    <m/>
    <m/>
    <m/>
    <m/>
    <m/>
    <m/>
    <m/>
    <m/>
    <m/>
    <s v=""/>
    <m/>
    <m/>
    <m/>
    <m/>
    <m/>
    <n v="2108"/>
    <n v="0"/>
    <s v="FR00000667551"/>
    <s v="FR0000066755"/>
    <n v="1"/>
    <x v="96"/>
    <m/>
    <m/>
    <m/>
  </r>
  <r>
    <m/>
    <m/>
    <m/>
    <m/>
    <m/>
    <x v="1"/>
    <m/>
    <m/>
    <m/>
    <m/>
    <m/>
    <m/>
    <m/>
    <m/>
    <m/>
    <m/>
    <m/>
    <m/>
    <m/>
    <m/>
    <m/>
    <s v=""/>
    <m/>
    <m/>
    <m/>
    <m/>
    <m/>
    <n v="2109"/>
    <n v="0"/>
    <s v="FR00000667551"/>
    <s v="FR0000066755"/>
    <n v="1"/>
    <x v="96"/>
    <m/>
    <m/>
    <m/>
  </r>
  <r>
    <s v="MANITOU"/>
    <s v="Fabricants de chariots élévateur"/>
    <s v="France"/>
    <s v="Euro"/>
    <m/>
    <x v="0"/>
    <m/>
    <m/>
    <m/>
    <m/>
    <m/>
    <m/>
    <m/>
    <m/>
    <m/>
    <m/>
    <m/>
    <m/>
    <m/>
    <m/>
    <m/>
    <s v=""/>
    <m/>
    <m/>
    <m/>
    <m/>
    <m/>
    <n v="2110"/>
    <n v="0"/>
    <s v="FR000003860612023"/>
    <s v="FR0000038606"/>
    <n v="1"/>
    <x v="97"/>
    <m/>
    <m/>
    <m/>
  </r>
  <r>
    <m/>
    <m/>
    <m/>
    <m/>
    <m/>
    <x v="1"/>
    <m/>
    <m/>
    <m/>
    <m/>
    <m/>
    <m/>
    <m/>
    <m/>
    <m/>
    <m/>
    <m/>
    <m/>
    <m/>
    <m/>
    <m/>
    <s v=""/>
    <m/>
    <m/>
    <m/>
    <m/>
    <m/>
    <n v="2111"/>
    <n v="0"/>
    <s v="FR00000386061"/>
    <s v="FR0000038606"/>
    <n v="1"/>
    <x v="97"/>
    <m/>
    <m/>
    <m/>
  </r>
  <r>
    <m/>
    <m/>
    <m/>
    <m/>
    <n v="24.8"/>
    <x v="2"/>
    <n v="2250000000"/>
    <n v="240000000"/>
    <n v="200000000"/>
    <n v="140000000"/>
    <m/>
    <n v="850000000"/>
    <n v="21.427635635105919"/>
    <n v="0.16470588235294117"/>
    <n v="0.15058823529411763"/>
    <n v="39668399"/>
    <n v="983776295.20000005"/>
    <n v="1.1573838767058824"/>
    <n v="4.0990678966666669"/>
    <m/>
    <n v="4354"/>
    <n v="516766.19200734957"/>
    <m/>
    <m/>
    <m/>
    <s v="Fabricant de chariots élévateurs, fondée en 1958 par Marcel Braud. C'est Marcel Braud qui imagine le premier chariot élévateur tout-terrain.  Siège Social Basé à Ancenis"/>
    <m/>
    <n v="2112"/>
    <n v="0"/>
    <s v="FR000003860612022"/>
    <s v="FR0000038606"/>
    <n v="1"/>
    <x v="97"/>
    <m/>
    <m/>
    <m/>
  </r>
  <r>
    <m/>
    <m/>
    <m/>
    <m/>
    <m/>
    <x v="1"/>
    <n v="0.19999999999999996"/>
    <n v="9.0909090909090828E-2"/>
    <n v="0.17647058823529416"/>
    <n v="0.12000000000000011"/>
    <m/>
    <m/>
    <m/>
    <m/>
    <m/>
    <m/>
    <m/>
    <m/>
    <m/>
    <m/>
    <m/>
    <s v=""/>
    <m/>
    <m/>
    <m/>
    <s v="Actionnariat : Famille Himsworth 32,5 %, Famille Braud 32,1 %, Flottant 25,1 %, YANMAR (entreprise japonnaise fabricant de moteur tracteurs..) 6,2 %, Autodétention 3,5 % et Salariés 0,6 %"/>
    <m/>
    <n v="2113"/>
    <n v="0"/>
    <s v="FR00000386061"/>
    <s v="FR0000038606"/>
    <n v="1"/>
    <x v="97"/>
    <m/>
    <m/>
    <m/>
  </r>
  <r>
    <m/>
    <m/>
    <m/>
    <m/>
    <n v="27.55"/>
    <x v="3"/>
    <n v="1875000000"/>
    <n v="220000000"/>
    <n v="170000000"/>
    <n v="125000000"/>
    <n v="-15000000"/>
    <n v="750000000"/>
    <n v="18.906737325093459"/>
    <n v="0.16666666666666666"/>
    <n v="0.14802721088435375"/>
    <n v="39668399"/>
    <n v="1092864392.45"/>
    <n v="1.4571525232666667"/>
    <n v="4.8993836020454546"/>
    <m/>
    <n v="4354"/>
    <n v="430638.49333945796"/>
    <m/>
    <m/>
    <m/>
    <s v="Le 24 avril 1984, introduction en bourse"/>
    <m/>
    <n v="2114"/>
    <n v="0"/>
    <s v="FR000003860612021"/>
    <s v="FR0000038606"/>
    <n v="1"/>
    <x v="97"/>
    <m/>
    <m/>
    <m/>
  </r>
  <r>
    <m/>
    <m/>
    <m/>
    <m/>
    <m/>
    <x v="1"/>
    <n v="0.18512993764636354"/>
    <n v="0.82876142975893607"/>
    <n v="1.2733047164386675"/>
    <n v="2.1579213298638305"/>
    <m/>
    <m/>
    <m/>
    <m/>
    <m/>
    <m/>
    <m/>
    <m/>
    <m/>
    <m/>
    <m/>
    <s v=""/>
    <m/>
    <m/>
    <m/>
    <s v="11 sites de production"/>
    <m/>
    <n v="2115"/>
    <n v="0"/>
    <s v="FR00000386061"/>
    <s v="FR0000038606"/>
    <n v="1"/>
    <x v="97"/>
    <m/>
    <m/>
    <m/>
  </r>
  <r>
    <m/>
    <m/>
    <m/>
    <m/>
    <n v="23.9"/>
    <x v="4"/>
    <n v="1582105000"/>
    <n v="120300000"/>
    <n v="74781000"/>
    <n v="39583000"/>
    <n v="39876000"/>
    <n v="659009000"/>
    <n v="16.612946743830019"/>
    <n v="6.0064430076068764E-2"/>
    <n v="6.8480279302031086E-2"/>
    <n v="39668399"/>
    <n v="948074736.0999999"/>
    <n v="1.4386370081440465"/>
    <n v="8.2123918212801321"/>
    <m/>
    <n v="4354"/>
    <n v="363368.16720257234"/>
    <m/>
    <m/>
    <m/>
    <s v="CA par marchés : 56 % Construction, 30 % Agriculture, 14 % Industries  ----- CA par zone Géographique : 37 % Europe du Nord, 35 % Europe du sud, 19 % Amériques et 9 % APAM (Asie Pacifique, Afrique, Moyen-orient)"/>
    <m/>
    <n v="2116"/>
    <n v="0"/>
    <s v="FR000003860612020"/>
    <s v="FR0000038606"/>
    <n v="1"/>
    <x v="97"/>
    <m/>
    <m/>
    <m/>
  </r>
  <r>
    <m/>
    <m/>
    <m/>
    <m/>
    <m/>
    <x v="1"/>
    <n v="-0.24430532051125897"/>
    <n v="-0.35153841178119405"/>
    <n v="-0.48806084587263987"/>
    <n v="-0.58606013071895424"/>
    <m/>
    <m/>
    <m/>
    <m/>
    <m/>
    <m/>
    <m/>
    <m/>
    <m/>
    <m/>
    <m/>
    <s v=""/>
    <m/>
    <m/>
    <m/>
    <s v="CA par division produit : 65 % MHA ( Manutention et Nacelles), 16 % CEP (Matériel Compact) et 19 % S&amp;S (Services et Solutions)"/>
    <m/>
    <n v="2117"/>
    <n v="0"/>
    <s v="FR00000386061"/>
    <s v="FR0000038606"/>
    <n v="1"/>
    <x v="97"/>
    <m/>
    <m/>
    <m/>
  </r>
  <r>
    <m/>
    <m/>
    <m/>
    <m/>
    <n v="21.45"/>
    <x v="5"/>
    <n v="2093577000"/>
    <n v="185516000"/>
    <n v="146074000"/>
    <n v="95625000"/>
    <n v="190181000"/>
    <n v="664646000"/>
    <n v="16.755049781565422"/>
    <n v="0.14387358082347596"/>
    <n v="0.10936407015688554"/>
    <n v="39668399"/>
    <n v="850887158.54999995"/>
    <n v="1.2802110575404049"/>
    <n v="5.6117432380495478"/>
    <m/>
    <n v="4600"/>
    <n v="455125.4347826087"/>
    <m/>
    <m/>
    <m/>
    <s v="Marge par division : MHA 15 %, CEP 11 % et S&amp;S 28 %"/>
    <m/>
    <n v="2118"/>
    <n v="0"/>
    <s v="FR000003860612019"/>
    <s v="FR0000038606"/>
    <n v="1"/>
    <x v="97"/>
    <m/>
    <m/>
    <m/>
  </r>
  <r>
    <m/>
    <m/>
    <m/>
    <m/>
    <m/>
    <x v="1"/>
    <n v="0.11124044585987258"/>
    <n v="0.1453867430603577"/>
    <n v="0.1593174603174603"/>
    <n v="0.13839285714285721"/>
    <m/>
    <m/>
    <m/>
    <m/>
    <m/>
    <m/>
    <m/>
    <m/>
    <m/>
    <m/>
    <m/>
    <s v=""/>
    <m/>
    <m/>
    <m/>
    <s v="En 2008, rachat de Gehl Company avant un effondrement de 54 % du CA"/>
    <m/>
    <n v="2119"/>
    <n v="0"/>
    <s v="FR00000386061"/>
    <s v="FR0000038606"/>
    <n v="1"/>
    <x v="97"/>
    <m/>
    <m/>
    <m/>
  </r>
  <r>
    <m/>
    <m/>
    <m/>
    <m/>
    <n v="22.4"/>
    <x v="6"/>
    <n v="1884000000"/>
    <n v="161968000"/>
    <n v="126000000"/>
    <n v="84000000"/>
    <n v="148000000"/>
    <n v="592000000"/>
    <n v="14.923717995273769"/>
    <n v="0.14189189189189189"/>
    <n v="0.10897297297297297"/>
    <n v="39668399"/>
    <n v="888572137.5999999"/>
    <n v="1.5009664486486485"/>
    <n v="6.3998576113800247"/>
    <m/>
    <n v="4425"/>
    <n v="425762.71186440677"/>
    <m/>
    <m/>
    <m/>
    <s v="En 2015, célébration de la 500.000 eme machine produite."/>
    <m/>
    <n v="2120"/>
    <n v="0"/>
    <s v="FR000003860612018"/>
    <s v="FR0000038606"/>
    <n v="1"/>
    <x v="97"/>
    <m/>
    <m/>
    <m/>
  </r>
  <r>
    <m/>
    <m/>
    <m/>
    <m/>
    <m/>
    <x v="1"/>
    <n v="0.18416090509113769"/>
    <n v="0.31284246020166639"/>
    <n v="0.39999999999999991"/>
    <n v="0.39999999999999991"/>
    <m/>
    <m/>
    <m/>
    <m/>
    <m/>
    <m/>
    <m/>
    <m/>
    <m/>
    <m/>
    <m/>
    <s v=""/>
    <m/>
    <m/>
    <m/>
    <s v="En 2017, Achat de Manitou Equipment India (ajout de la gamme tractopelles)"/>
    <m/>
    <n v="2121"/>
    <n v="0"/>
    <s v="FR00000386061"/>
    <s v="FR0000038606"/>
    <n v="1"/>
    <x v="97"/>
    <m/>
    <m/>
    <m/>
  </r>
  <r>
    <m/>
    <m/>
    <m/>
    <m/>
    <n v="30.5"/>
    <x v="7"/>
    <n v="1591000000"/>
    <n v="123372000"/>
    <n v="90000000"/>
    <n v="60000000"/>
    <n v="76000000"/>
    <n v="531000000"/>
    <n v="13.401781523299489"/>
    <n v="0.11299435028248588"/>
    <n v="9.4892915980230641E-2"/>
    <n v="39621598"/>
    <n v="1208458739"/>
    <n v="2.275816834274953"/>
    <n v="10.411266243556074"/>
    <m/>
    <n v="3900"/>
    <n v="407948.71794871794"/>
    <m/>
    <m/>
    <m/>
    <s v="En 2017, prise de participation majoritaire chez LiftRite (transpalettes)"/>
    <m/>
    <n v="2122"/>
    <n v="0"/>
    <s v="FR000003860612017"/>
    <s v="FR0000038606"/>
    <n v="1"/>
    <x v="97"/>
    <m/>
    <m/>
    <m/>
  </r>
  <r>
    <m/>
    <m/>
    <m/>
    <m/>
    <m/>
    <x v="1"/>
    <n v="0.19444444444444442"/>
    <n v="0.24005668968428662"/>
    <n v="0.28571428571428581"/>
    <n v="0.39534883720930236"/>
    <m/>
    <m/>
    <m/>
    <m/>
    <m/>
    <m/>
    <m/>
    <m/>
    <m/>
    <m/>
    <m/>
    <s v=""/>
    <m/>
    <m/>
    <m/>
    <s v="En 2017, Litige pour contrefaçon"/>
    <m/>
    <n v="2123"/>
    <n v="0"/>
    <s v="FR00000386061"/>
    <s v="FR0000038606"/>
    <n v="1"/>
    <x v="97"/>
    <m/>
    <m/>
    <m/>
  </r>
  <r>
    <m/>
    <m/>
    <m/>
    <m/>
    <n v="18.7"/>
    <x v="8"/>
    <n v="1332000000"/>
    <n v="99489000"/>
    <n v="70000000"/>
    <n v="43000000"/>
    <n v="59000000"/>
    <n v="512000000"/>
    <n v="12.943200659880773"/>
    <n v="8.3984375E-2"/>
    <n v="7.8458844133099823E-2"/>
    <n v="39557449"/>
    <n v="739724296.29999995"/>
    <n v="1.4447740162109375"/>
    <n v="8.0282674094623516"/>
    <m/>
    <n v="3301"/>
    <n v="403514.08664041199"/>
    <m/>
    <m/>
    <m/>
    <s v="En 2017, plusieurs opérations de ventes dirigeant. Rien depuis"/>
    <m/>
    <n v="2124"/>
    <n v="0"/>
    <s v="FR000003860612016"/>
    <s v="FR0000038606"/>
    <n v="1"/>
    <x v="97"/>
    <m/>
    <m/>
    <m/>
  </r>
  <r>
    <m/>
    <m/>
    <m/>
    <m/>
    <m/>
    <x v="1"/>
    <n v="3.4965034965035002E-2"/>
    <n v="0.10202928731252348"/>
    <n v="0.22807017543859653"/>
    <n v="0.33135178648832753"/>
    <m/>
    <m/>
    <m/>
    <m/>
    <m/>
    <m/>
    <m/>
    <m/>
    <m/>
    <m/>
    <m/>
    <s v=""/>
    <m/>
    <m/>
    <m/>
    <s v="En 2018, célébration de la 800.000 eme machine produite"/>
    <m/>
    <n v="2125"/>
    <n v="0"/>
    <s v="FR00000386061"/>
    <s v="FR0000038606"/>
    <n v="1"/>
    <x v="97"/>
    <m/>
    <m/>
    <m/>
  </r>
  <r>
    <m/>
    <m/>
    <m/>
    <m/>
    <n v="14.04"/>
    <x v="9"/>
    <n v="1287000000"/>
    <n v="90278000"/>
    <n v="57000000"/>
    <n v="32298000"/>
    <n v="66000000"/>
    <n v="494883000"/>
    <n v="12.512227905633678"/>
    <n v="6.5263910863779917E-2"/>
    <n v="6.5040302522986079E-2"/>
    <n v="39551949"/>
    <n v="555309363.95999992"/>
    <n v="1.1221023230945495"/>
    <n v="6.8821790908083909"/>
    <m/>
    <n v="3214"/>
    <n v="400435.59427504666"/>
    <m/>
    <m/>
    <m/>
    <s v="En 2018, premier prototype de chariot télescopique électrique au monde"/>
    <m/>
    <n v="2126"/>
    <n v="0"/>
    <s v="FR000003860612015"/>
    <s v="FR0000038606"/>
    <n v="1"/>
    <x v="97"/>
    <m/>
    <m/>
    <m/>
  </r>
  <r>
    <m/>
    <m/>
    <m/>
    <m/>
    <m/>
    <x v="1"/>
    <n v="3.2905296950240803E-2"/>
    <n v="0.16068398045770116"/>
    <n v="0.23913043478260865"/>
    <n v="6.2434210526315814E-2"/>
    <m/>
    <m/>
    <m/>
    <m/>
    <m/>
    <m/>
    <m/>
    <m/>
    <m/>
    <m/>
    <m/>
    <s v=""/>
    <m/>
    <m/>
    <m/>
    <s v="Minoritaires : très peu"/>
    <m/>
    <n v="2127"/>
    <n v="0"/>
    <s v="FR00000386061"/>
    <s v="FR0000038606"/>
    <n v="1"/>
    <x v="97"/>
    <m/>
    <m/>
    <m/>
  </r>
  <r>
    <m/>
    <m/>
    <m/>
    <m/>
    <n v="12.2"/>
    <x v="10"/>
    <n v="1246000000"/>
    <n v="77780000"/>
    <n v="46000000"/>
    <n v="30400000"/>
    <n v="97000000"/>
    <n v="456365000"/>
    <n v="11.539244696489911"/>
    <n v="6.6613346772868204E-2"/>
    <n v="5.3201774597236906E-2"/>
    <n v="39548949"/>
    <n v="482497177.79999995"/>
    <n v="1.0572615730829489"/>
    <n v="7.4504651298534323"/>
    <m/>
    <n v="3307"/>
    <n v="376776.53462352586"/>
    <m/>
    <m/>
    <m/>
    <s v="CAC : KPMG et RSM Ouest"/>
    <m/>
    <n v="2128"/>
    <n v="0"/>
    <s v="FR000003860612014"/>
    <s v="FR0000038606"/>
    <n v="1"/>
    <x v="97"/>
    <m/>
    <m/>
    <m/>
  </r>
  <r>
    <m/>
    <m/>
    <m/>
    <m/>
    <m/>
    <x v="1"/>
    <n v="5.9523809523809534E-2"/>
    <n v="0.62522462284257596"/>
    <n v="1.875"/>
    <n v="44.238095238095241"/>
    <m/>
    <m/>
    <m/>
    <m/>
    <m/>
    <m/>
    <m/>
    <m/>
    <m/>
    <m/>
    <m/>
    <s v=""/>
    <m/>
    <m/>
    <m/>
    <s v="Pay out ratio : historiquement 35 %, en 2020 60 % car n'a pas coupé son dividende"/>
    <m/>
    <n v="2129"/>
    <n v="0"/>
    <s v="FR00000386061"/>
    <s v="FR0000038606"/>
    <n v="1"/>
    <x v="97"/>
    <m/>
    <m/>
    <m/>
  </r>
  <r>
    <m/>
    <m/>
    <m/>
    <m/>
    <n v="13.8"/>
    <x v="11"/>
    <n v="1176000000"/>
    <n v="47858000"/>
    <n v="16000000"/>
    <n v="672000"/>
    <n v="85000000"/>
    <n v="413251000"/>
    <n v="10.449101947058063"/>
    <n v="1.6261303662907047E-3"/>
    <n v="2.0551890513014526E-2"/>
    <n v="39548949"/>
    <n v="545775496.20000005"/>
    <n v="1.3206876600419601"/>
    <n v="13.180147440344353"/>
    <m/>
    <n v="3242"/>
    <n v="362739.04996915482"/>
    <m/>
    <m/>
    <m/>
    <m/>
    <m/>
    <n v="2130"/>
    <n v="0"/>
    <s v="FR000003860612013"/>
    <s v="FR0000038606"/>
    <n v="1"/>
    <x v="97"/>
    <m/>
    <m/>
    <m/>
  </r>
  <r>
    <m/>
    <m/>
    <m/>
    <m/>
    <m/>
    <x v="1"/>
    <n v="-7.0355731225296481E-2"/>
    <n v="-0.36674826331458821"/>
    <n v="-0.65217391304347827"/>
    <n v="-0.9851881240494611"/>
    <m/>
    <m/>
    <m/>
    <m/>
    <m/>
    <m/>
    <m/>
    <m/>
    <m/>
    <m/>
    <m/>
    <s v=""/>
    <m/>
    <m/>
    <m/>
    <m/>
    <m/>
    <n v="2131"/>
    <n v="0"/>
    <s v="FR00000386061"/>
    <s v="FR0000038606"/>
    <n v="1"/>
    <x v="97"/>
    <m/>
    <m/>
    <m/>
  </r>
  <r>
    <m/>
    <m/>
    <m/>
    <m/>
    <n v="12.98"/>
    <x v="12"/>
    <n v="1265000000"/>
    <n v="75575000"/>
    <n v="46000000"/>
    <n v="45369000"/>
    <n v="103000000"/>
    <n v="435413000"/>
    <n v="11.009470820577306"/>
    <n v="0.10419762386515791"/>
    <n v="5.4679214654921038E-2"/>
    <n v="39548949"/>
    <n v="513345358.02000004"/>
    <n v="1.1789849132203218"/>
    <n v="8.1554132718491559"/>
    <m/>
    <n v="3219"/>
    <n v="392979.18608263438"/>
    <m/>
    <m/>
    <m/>
    <m/>
    <m/>
    <n v="2132"/>
    <n v="0"/>
    <s v="FR000003860612012"/>
    <s v="FR0000038606"/>
    <n v="1"/>
    <x v="97"/>
    <m/>
    <m/>
    <m/>
  </r>
  <r>
    <m/>
    <m/>
    <m/>
    <m/>
    <m/>
    <x v="1"/>
    <m/>
    <m/>
    <m/>
    <m/>
    <m/>
    <m/>
    <m/>
    <m/>
    <m/>
    <m/>
    <m/>
    <m/>
    <m/>
    <m/>
    <m/>
    <s v=""/>
    <m/>
    <m/>
    <m/>
    <m/>
    <m/>
    <n v="2133"/>
    <n v="0"/>
    <s v="FR00000386061"/>
    <s v="FR0000038606"/>
    <n v="1"/>
    <x v="97"/>
    <m/>
    <m/>
    <m/>
  </r>
  <r>
    <m/>
    <m/>
    <m/>
    <m/>
    <m/>
    <x v="22"/>
    <m/>
    <m/>
    <m/>
    <m/>
    <m/>
    <m/>
    <m/>
    <m/>
    <m/>
    <m/>
    <m/>
    <m/>
    <m/>
    <m/>
    <m/>
    <s v=""/>
    <m/>
    <m/>
    <m/>
    <m/>
    <m/>
    <n v="2134"/>
    <n v="0"/>
    <s v="FR00000386061…"/>
    <s v="FR0000038606"/>
    <n v="1"/>
    <x v="97"/>
    <m/>
    <m/>
    <m/>
  </r>
  <r>
    <m/>
    <m/>
    <m/>
    <m/>
    <m/>
    <x v="1"/>
    <m/>
    <m/>
    <m/>
    <m/>
    <m/>
    <m/>
    <m/>
    <m/>
    <m/>
    <m/>
    <m/>
    <m/>
    <m/>
    <m/>
    <m/>
    <s v=""/>
    <m/>
    <m/>
    <m/>
    <m/>
    <m/>
    <n v="2135"/>
    <n v="0"/>
    <s v="FR00000386061"/>
    <s v="FR0000038606"/>
    <n v="1"/>
    <x v="97"/>
    <m/>
    <m/>
    <m/>
  </r>
  <r>
    <m/>
    <m/>
    <m/>
    <m/>
    <n v="38"/>
    <x v="16"/>
    <n v="1128000000"/>
    <n v="154999000"/>
    <n v="135245000"/>
    <n v="87800000"/>
    <n v="152000000"/>
    <n v="505723000"/>
    <n v="13.375716495314348"/>
    <n v="0.17361282757557003"/>
    <n v="0.13160068904386801"/>
    <n v="37809040"/>
    <n v="1436743520"/>
    <n v="2.8409693053311793"/>
    <n v="10.250024322737566"/>
    <m/>
    <n v="2405"/>
    <n v="469022.86902286904"/>
    <m/>
    <m/>
    <m/>
    <m/>
    <m/>
    <n v="2136"/>
    <n v="0"/>
    <s v="FR000003860612006"/>
    <s v="FR0000038606"/>
    <n v="1"/>
    <x v="97"/>
    <m/>
    <m/>
    <m/>
  </r>
  <r>
    <m/>
    <m/>
    <m/>
    <m/>
    <m/>
    <x v="1"/>
    <m/>
    <m/>
    <m/>
    <m/>
    <m/>
    <m/>
    <m/>
    <m/>
    <m/>
    <m/>
    <m/>
    <m/>
    <m/>
    <m/>
    <m/>
    <s v=""/>
    <m/>
    <m/>
    <m/>
    <m/>
    <m/>
    <n v="2137"/>
    <n v="0"/>
    <s v="FR00000386061"/>
    <s v="FR0000038606"/>
    <n v="1"/>
    <x v="97"/>
    <m/>
    <m/>
    <m/>
  </r>
  <r>
    <m/>
    <m/>
    <m/>
    <m/>
    <m/>
    <x v="39"/>
    <m/>
    <m/>
    <m/>
    <m/>
    <m/>
    <m/>
    <m/>
    <m/>
    <m/>
    <m/>
    <m/>
    <m/>
    <m/>
    <m/>
    <m/>
    <s v=""/>
    <m/>
    <m/>
    <m/>
    <m/>
    <m/>
    <n v="2138"/>
    <n v="0"/>
    <s v="FR00000386061IPO en 1984"/>
    <s v="FR0000038606"/>
    <n v="1"/>
    <x v="97"/>
    <m/>
    <m/>
    <m/>
  </r>
  <r>
    <m/>
    <m/>
    <m/>
    <m/>
    <m/>
    <x v="1"/>
    <m/>
    <m/>
    <m/>
    <m/>
    <m/>
    <m/>
    <m/>
    <m/>
    <m/>
    <m/>
    <m/>
    <m/>
    <m/>
    <m/>
    <m/>
    <s v=""/>
    <m/>
    <m/>
    <m/>
    <m/>
    <m/>
    <n v="2139"/>
    <n v="0"/>
    <s v="FR00000386061"/>
    <s v="FR0000038606"/>
    <n v="1"/>
    <x v="97"/>
    <m/>
    <m/>
    <m/>
  </r>
  <r>
    <m/>
    <m/>
    <m/>
    <m/>
    <m/>
    <x v="1"/>
    <m/>
    <m/>
    <m/>
    <m/>
    <m/>
    <m/>
    <m/>
    <m/>
    <m/>
    <m/>
    <m/>
    <m/>
    <m/>
    <m/>
    <m/>
    <s v=""/>
    <m/>
    <m/>
    <m/>
    <m/>
    <m/>
    <n v="2140"/>
    <n v="0"/>
    <s v="FR00000386061"/>
    <s v="FR0000038606"/>
    <n v="1"/>
    <x v="97"/>
    <m/>
    <m/>
    <m/>
  </r>
  <r>
    <m/>
    <m/>
    <m/>
    <m/>
    <m/>
    <x v="1"/>
    <m/>
    <m/>
    <m/>
    <m/>
    <m/>
    <m/>
    <m/>
    <m/>
    <m/>
    <m/>
    <m/>
    <m/>
    <m/>
    <m/>
    <m/>
    <s v=""/>
    <m/>
    <m/>
    <m/>
    <m/>
    <m/>
    <n v="2141"/>
    <n v="0"/>
    <s v="FR00000386061"/>
    <s v="FR0000038606"/>
    <n v="1"/>
    <x v="97"/>
    <m/>
    <m/>
    <m/>
  </r>
  <r>
    <s v="Ontex"/>
    <s v="Produits d'hygiène "/>
    <s v="Belgique"/>
    <s v="Euro"/>
    <n v="7.7"/>
    <x v="0"/>
    <n v="1805760000"/>
    <n v="162518400"/>
    <n v="75000000"/>
    <n v="20000000"/>
    <n v="600000000"/>
    <n v="878000000"/>
    <n v="10.662169546517042"/>
    <n v="2.2779043280182234E-2"/>
    <n v="3.2476319350473612E-2"/>
    <n v="82347218"/>
    <n v="634073578.60000002"/>
    <n v="0.72217947448747155"/>
    <n v="7.5934391342764878"/>
    <s v="B+ / Négative (12/2021)"/>
    <n v="11000"/>
    <n v="164160"/>
    <n v="-54000000"/>
    <s v="E=-1"/>
    <m/>
    <s v="Fabricant de produits d'hygiène fondée en 1979 : enfants, femme et adulte. Leader en Europe, numéro 5 mondial présent dans une centaine de pays. 18 usines (une fermeture) dans 14 pays (sortie de l'Éthiopie)"/>
    <m/>
    <n v="2142"/>
    <s v="p"/>
    <s v="BE097427608212023"/>
    <s v="BE0974276082"/>
    <n v="1"/>
    <x v="98"/>
    <m/>
    <m/>
    <m/>
  </r>
  <r>
    <m/>
    <m/>
    <m/>
    <m/>
    <m/>
    <x v="1"/>
    <n v="-0.18989340702724045"/>
    <n v="0.20384000000000002"/>
    <n v="-2.0806916426512969"/>
    <n v="-1.0738279808047251"/>
    <m/>
    <m/>
    <m/>
    <m/>
    <m/>
    <m/>
    <m/>
    <m/>
    <m/>
    <s v="Négative"/>
    <m/>
    <s v=""/>
    <m/>
    <s v="S=0"/>
    <m/>
    <s v="Entre 1998 et 2003, l'entreprise était cotée à la bourse de Bruxelles"/>
    <m/>
    <n v="2143"/>
    <s v="p"/>
    <s v="BE09742760821"/>
    <s v="BE0974276082"/>
    <n v="1"/>
    <x v="98"/>
    <m/>
    <m/>
    <m/>
  </r>
  <r>
    <m/>
    <m/>
    <m/>
    <m/>
    <n v="6.24"/>
    <x v="2"/>
    <n v="2229040000"/>
    <n v="135000000"/>
    <n v="-69400000"/>
    <n v="-270900000"/>
    <n v="867400000"/>
    <n v="858400000"/>
    <n v="10.424153005387504"/>
    <n v="-0.31558713886300094"/>
    <n v="-2.5736470042878663E-2"/>
    <n v="82347218"/>
    <n v="513846640.31999999"/>
    <n v="0.5986097860205033"/>
    <n v="10.231456594962962"/>
    <d v="2021-03-05T00:00:00"/>
    <n v="11000"/>
    <n v="202640"/>
    <n v="60000000"/>
    <s v="G=2"/>
    <m/>
    <s v="En 2010, la structure était détenue par les fonds TPG et Goldman Sachs (valeur d'entreprise : 1,2 Md euros)."/>
    <m/>
    <n v="2144"/>
    <s v="p"/>
    <s v="BE097427608212022"/>
    <s v="BE0974276082"/>
    <n v="1"/>
    <x v="98"/>
    <m/>
    <m/>
    <m/>
  </r>
  <r>
    <m/>
    <m/>
    <m/>
    <m/>
    <m/>
    <x v="1"/>
    <n v="0.10000000000000009"/>
    <n v="-0.21511627906976749"/>
    <n v="-3.2459546925566345"/>
    <n v="3.3764135702746367"/>
    <m/>
    <m/>
    <m/>
    <m/>
    <m/>
    <m/>
    <m/>
    <m/>
    <m/>
    <s v="B3 par Moody's "/>
    <m/>
    <s v=""/>
    <m/>
    <m/>
    <m/>
    <s v="Introduite en bourse en juin 2014 à 18 euros soit une valeur d'entreprise de 1,9 Md euros avec une levée de fonds de 620 M euros pour se désendetter. "/>
    <m/>
    <n v="2145"/>
    <s v="p"/>
    <s v="BE09742760821"/>
    <s v="BE0974276082"/>
    <n v="1"/>
    <x v="98"/>
    <m/>
    <m/>
    <m/>
  </r>
  <r>
    <m/>
    <m/>
    <m/>
    <m/>
    <n v="6.99"/>
    <x v="3"/>
    <n v="2026400000"/>
    <n v="172000000"/>
    <n v="30900000"/>
    <n v="-61900000"/>
    <n v="725500000"/>
    <n v="1046300000"/>
    <n v="12.705954437950776"/>
    <n v="-5.9160852527955651E-2"/>
    <n v="1.1161530646799865E-2"/>
    <n v="82347218"/>
    <n v="575607053.82000005"/>
    <n v="0.55013576777214956"/>
    <n v="7.5645758943023269"/>
    <s v="Stable (11/2022)"/>
    <n v="11000"/>
    <n v="184218.18181818182"/>
    <n v="52900000"/>
    <m/>
    <m/>
    <s v="Détenue à 19,98% par GBL entré en 2015 (15% en 2017) et actionnariat institutionnelle (5% Harris, 5% Janus…)"/>
    <m/>
    <n v="2146"/>
    <s v="p"/>
    <s v="BE097427608212021"/>
    <s v="BE0974276082"/>
    <n v="1"/>
    <x v="98"/>
    <m/>
    <m/>
    <m/>
  </r>
  <r>
    <m/>
    <m/>
    <m/>
    <m/>
    <m/>
    <x v="1"/>
    <n v="-2.8943837454475707E-2"/>
    <n v="-0.2699490662139219"/>
    <n v="-0.7213706041478809"/>
    <n v="-2.1462962962962964"/>
    <m/>
    <m/>
    <m/>
    <m/>
    <m/>
    <m/>
    <m/>
    <m/>
    <m/>
    <m/>
    <m/>
    <s v=""/>
    <m/>
    <m/>
    <m/>
    <s v="Croissance des besoins et développement sur les pays émergents : acquisition au Brésil (Hypermarcas pour Bébés et Adultes) en mars 2017 pour 286 M euros d'euros (4 ème marché mondial) et 346 M euros de CA (EBE de 15 Me en 2017)"/>
    <m/>
    <n v="2147"/>
    <s v="p"/>
    <s v="BE09742760821"/>
    <s v="BE0974276082"/>
    <n v="1"/>
    <x v="98"/>
    <m/>
    <m/>
    <m/>
  </r>
  <r>
    <m/>
    <m/>
    <m/>
    <m/>
    <n v="11"/>
    <x v="4"/>
    <n v="2086800000"/>
    <n v="235600000"/>
    <n v="110900000"/>
    <n v="54000000"/>
    <n v="847600000"/>
    <n v="1098400000"/>
    <n v="13.338641264116536"/>
    <n v="4.9162418062636562E-2"/>
    <n v="3.6472764645426516E-2"/>
    <n v="82347218"/>
    <n v="905819398"/>
    <n v="0.82467170247632926"/>
    <n v="7.4423573769100173"/>
    <m/>
    <m/>
    <s v=""/>
    <n v="60000000"/>
    <m/>
    <m/>
    <s v="Acquisition au Brésil financé par augmentation de capital (220,8 M euros à 29,5 euros) et endettement. Finalement pas de dépréciation d'actifs au Brésil les années suivantes"/>
    <m/>
    <n v="2148"/>
    <s v="p"/>
    <s v="BE097427608212020"/>
    <s v="BE0974276082"/>
    <n v="1"/>
    <x v="98"/>
    <m/>
    <m/>
    <m/>
  </r>
  <r>
    <m/>
    <m/>
    <m/>
    <m/>
    <m/>
    <x v="1"/>
    <n v="-8.5258405295226436E-2"/>
    <n v="-3.8759689922480578E-2"/>
    <n v="0.27178899082568808"/>
    <n v="0.44772117962466496"/>
    <m/>
    <m/>
    <m/>
    <m/>
    <m/>
    <m/>
    <m/>
    <m/>
    <m/>
    <m/>
    <m/>
    <s v=""/>
    <m/>
    <m/>
    <m/>
    <s v="Produits pour la grande distribution (48%) et marque Ontex (52%). Autres clients : pharmacie et maison de retraite"/>
    <m/>
    <n v="2149"/>
    <s v="p"/>
    <s v="BE09742760821"/>
    <s v="BE0974276082"/>
    <n v="1"/>
    <x v="98"/>
    <m/>
    <m/>
    <m/>
  </r>
  <r>
    <m/>
    <m/>
    <m/>
    <m/>
    <n v="15"/>
    <x v="5"/>
    <n v="2281300000"/>
    <n v="245100000"/>
    <n v="87200000"/>
    <n v="37300000"/>
    <n v="861300000"/>
    <n v="1198200000"/>
    <n v="14.550582631704692"/>
    <n v="3.1130028375897179E-2"/>
    <n v="2.7097839281378974E-2"/>
    <n v="82347218"/>
    <n v="1235208270"/>
    <n v="1.0308865548322483"/>
    <n v="8.5536853121175032"/>
    <m/>
    <m/>
    <s v=""/>
    <n v="110000000"/>
    <m/>
    <m/>
    <s v="Babycare : 56% du CA; femme : 10% et adulte : 34%. Europe : 45% - Amérique : 29% - Europe de l'Est : 12% et Reste du Monde : 14%"/>
    <m/>
    <n v="2150"/>
    <s v="p"/>
    <s v="BE097427608212019"/>
    <s v="BE0974276082"/>
    <n v="1"/>
    <x v="98"/>
    <m/>
    <m/>
    <m/>
  </r>
  <r>
    <m/>
    <m/>
    <m/>
    <m/>
    <m/>
    <x v="1"/>
    <n v="-4.7552569583806381E-3"/>
    <n v="4.7435897435897489E-2"/>
    <n v="-0.4293193717277487"/>
    <n v="-0.61546391752577323"/>
    <m/>
    <m/>
    <m/>
    <m/>
    <m/>
    <m/>
    <m/>
    <m/>
    <m/>
    <m/>
    <m/>
    <s v=""/>
    <m/>
    <m/>
    <m/>
    <s v="Free cash flow : 110 Me en 2019 (proche de 50% de l'EBE les bonnes années)"/>
    <m/>
    <n v="2151"/>
    <s v="p"/>
    <s v="BE09742760821"/>
    <s v="BE0974276082"/>
    <n v="1"/>
    <x v="98"/>
    <m/>
    <m/>
    <m/>
  </r>
  <r>
    <m/>
    <m/>
    <m/>
    <m/>
    <n v="16"/>
    <x v="6"/>
    <n v="2292200000"/>
    <n v="234000000"/>
    <n v="152800000"/>
    <n v="97000000"/>
    <n v="760000000"/>
    <n v="1184200000"/>
    <n v="14.380570816612165"/>
    <n v="8.1911839216348592E-2"/>
    <n v="5.0299351918526899E-2"/>
    <n v="82347218"/>
    <n v="1317555488"/>
    <n v="1.1126123019760175"/>
    <n v="8.8784422564102563"/>
    <m/>
    <m/>
    <s v=""/>
    <m/>
    <m/>
    <m/>
    <s v="Baisse de la marge d'EBE (de 12,5% à 11,3% suite hausse des prix des matières premières et problème au Brésil)"/>
    <m/>
    <n v="2152"/>
    <s v="p"/>
    <s v="BE097427608212018"/>
    <s v="BE0974276082"/>
    <n v="1"/>
    <x v="98"/>
    <m/>
    <m/>
    <m/>
  </r>
  <r>
    <m/>
    <m/>
    <m/>
    <m/>
    <m/>
    <x v="1"/>
    <n v="-2.6831960601171767E-2"/>
    <n v="-0.1216216216216216"/>
    <n v="-0.26644263082093134"/>
    <n v="-0.24454828660436134"/>
    <m/>
    <m/>
    <m/>
    <m/>
    <m/>
    <m/>
    <m/>
    <m/>
    <m/>
    <m/>
    <m/>
    <s v=""/>
    <m/>
    <m/>
    <m/>
    <s v="En 2018, PAI propose de racheter l'entreprise à 27,5 euros soit 2,2 Md euros alors que le titre était tombé à 19 euros le 5/7/2018. Offre rejetée par le CA"/>
    <m/>
    <n v="2153"/>
    <s v="p"/>
    <s v="BE09742760821"/>
    <s v="BE0974276082"/>
    <n v="1"/>
    <x v="98"/>
    <m/>
    <m/>
    <m/>
  </r>
  <r>
    <m/>
    <m/>
    <m/>
    <m/>
    <n v="28.64"/>
    <x v="7"/>
    <n v="2355400000"/>
    <n v="266400000"/>
    <n v="208300000"/>
    <n v="128400000"/>
    <n v="744200000"/>
    <n v="1178000000"/>
    <n v="12.1327717470674"/>
    <n v="0.12851566409768791"/>
    <n v="7.6471060632134463E-2"/>
    <n v="82347218"/>
    <n v="2358424323.52"/>
    <n v="2.0020579995925298"/>
    <n v="11.6464877009009"/>
    <m/>
    <m/>
    <s v=""/>
    <m/>
    <m/>
    <m/>
    <s v="En 2020, changement de CEO avec l'arrivée Mrs Esther Berrozpe Galindo (ex-Whirlpool) en décembre après Thierry Navarre qui a assuré l'interim quelques mois après le depart Charles Bouaziz (7 ans). Départ du CFO à la retraite en 2021"/>
    <m/>
    <n v="2154"/>
    <s v="p"/>
    <s v="BE097427608212017"/>
    <s v="BE0974276082"/>
    <n v="1"/>
    <x v="98"/>
    <m/>
    <m/>
    <m/>
  </r>
  <r>
    <m/>
    <m/>
    <m/>
    <m/>
    <m/>
    <x v="1"/>
    <n v="0.18183642749623674"/>
    <n v="7.1170084439083237E-2"/>
    <n v="7.6485788113695108E-2"/>
    <n v="7.268170426065157E-2"/>
    <m/>
    <m/>
    <m/>
    <m/>
    <m/>
    <m/>
    <m/>
    <m/>
    <m/>
    <m/>
    <m/>
    <s v=""/>
    <m/>
    <m/>
    <m/>
    <s v="Croissance : émergents et troisième âge. Mature : Occident, enfant et femme. Le business des couches-culottes pour enfant est en déclin"/>
    <m/>
    <n v="2155"/>
    <s v="p"/>
    <s v="BE09742760821"/>
    <s v="BE0974276082"/>
    <n v="1"/>
    <x v="98"/>
    <m/>
    <m/>
    <m/>
  </r>
  <r>
    <m/>
    <m/>
    <m/>
    <m/>
    <n v="28.25"/>
    <x v="8"/>
    <n v="1993000000"/>
    <n v="248700000"/>
    <n v="193500000"/>
    <n v="119700000"/>
    <n v="664900000"/>
    <n v="999100000"/>
    <n v="11.383748153981371"/>
    <n v="0.14045998591879841"/>
    <n v="8.1629424560015817E-2"/>
    <n v="74861108"/>
    <n v="2114826301"/>
    <n v="2.116731359223301"/>
    <n v="11.17702573783675"/>
    <m/>
    <m/>
    <s v=""/>
    <m/>
    <m/>
    <m/>
    <s v="En 2021, Ontex reçoit 81 M euros du vendeur de la société brésilienne acquise en mars 2017 soit 50% du prix d'achat en garantie de passif. Cela réduira l'endettement d'autant"/>
    <m/>
    <n v="2156"/>
    <s v="p"/>
    <s v="BE097427608212016"/>
    <s v="BE0974276082"/>
    <n v="1"/>
    <x v="98"/>
    <m/>
    <m/>
    <m/>
  </r>
  <r>
    <m/>
    <m/>
    <m/>
    <m/>
    <m/>
    <x v="1"/>
    <n v="0.17977860652341215"/>
    <n v="0.18938307030129131"/>
    <n v="0.1449704142011834"/>
    <n v="0.21399594320486814"/>
    <m/>
    <m/>
    <m/>
    <m/>
    <m/>
    <m/>
    <m/>
    <m/>
    <m/>
    <m/>
    <m/>
    <s v=""/>
    <m/>
    <m/>
    <m/>
    <s v="Amélioration de l'activité depuis le 2T21 (510 M euros par trimestre - 530 M euros en 2022) notamment segment adultes. Refinancement de la dette brute de 1,05 Md euros à 3,5%, coût annuel proche 48 M euros. Échéance 2026"/>
    <m/>
    <n v="2157"/>
    <s v="p"/>
    <s v="BE09742760821"/>
    <s v="BE0974276082"/>
    <n v="1"/>
    <x v="98"/>
    <m/>
    <m/>
    <m/>
  </r>
  <r>
    <m/>
    <m/>
    <m/>
    <m/>
    <n v="32.76"/>
    <x v="9"/>
    <n v="1689300000"/>
    <n v="209100000"/>
    <n v="169000000"/>
    <n v="98600000"/>
    <n v="405500000"/>
    <n v="852200000"/>
    <n v="11.813323374395837"/>
    <n v="0.14694485842026825"/>
    <n v="8.5998250775224619E-2"/>
    <n v="72138887"/>
    <n v="2363269938.1199999"/>
    <n v="2.773140035343816"/>
    <n v="13.241367470683883"/>
    <m/>
    <m/>
    <s v=""/>
    <m/>
    <m/>
    <m/>
    <s v="Recentrage sur l'Europe et les États-Unis et cession à venir de l'Amérique du Sud (Brésil et Mexique) et Moyen-Orient. Retour où le groupe était en 2014 à l'IPO mais activité plus mature. Le groupe réalisera 1,4 Md euros de CA, 13% d'EBE et dettes ramené à 3 fois l'EBE soit 560 Meuros en 2023"/>
    <m/>
    <n v="2158"/>
    <s v="p"/>
    <s v="BE097427608212015"/>
    <s v="BE0974276082"/>
    <n v="1"/>
    <x v="98"/>
    <m/>
    <m/>
    <m/>
  </r>
  <r>
    <m/>
    <m/>
    <m/>
    <m/>
    <m/>
    <x v="1"/>
    <n v="4.5423602945726893E-2"/>
    <n v="6.6292707802141804E-2"/>
    <n v="0.57063197026022294"/>
    <n v="10.465116279069768"/>
    <m/>
    <m/>
    <m/>
    <m/>
    <m/>
    <m/>
    <m/>
    <m/>
    <m/>
    <m/>
    <m/>
    <s v=""/>
    <m/>
    <m/>
    <m/>
    <s v="La hausse des matières premières est très forte pour Ontex, EBE à 31 M e (6-7% de marge) au 4T 21 (contre 52,5 Me au 4T20) et cession à venir sur les émergents (30% du CA). Par contre, retour de la croissance sur l'adulte, effort significatifs sur les coûts et la dette. "/>
    <m/>
    <n v="2159"/>
    <s v="p"/>
    <s v="BE09742760821"/>
    <s v="BE0974276082"/>
    <n v="1"/>
    <x v="98"/>
    <m/>
    <m/>
    <m/>
  </r>
  <r>
    <m/>
    <m/>
    <m/>
    <m/>
    <n v="23"/>
    <x v="10"/>
    <n v="1615900000"/>
    <n v="196100000"/>
    <n v="107600000"/>
    <n v="8600000"/>
    <n v="585100000"/>
    <n v="671000000"/>
    <n v="9.8595919172211577"/>
    <n v="1.2816691505216096E-2"/>
    <n v="5.4823660536581484E-2"/>
    <n v="68055555"/>
    <n v="1565277765"/>
    <n v="2.332753748137109"/>
    <n v="10.965720372259051"/>
    <m/>
    <m/>
    <s v=""/>
    <m/>
    <m/>
    <m/>
    <s v="En 2021, sur l'année les volumes baissent de 1,5%. Dépréciation 121 M euros sur l'acquisition du Brésil et 81 Me de garantie de passif reçu"/>
    <m/>
    <n v="2160"/>
    <s v="p"/>
    <s v="BE097427608212014"/>
    <s v="BE0974276082"/>
    <n v="1"/>
    <x v="98"/>
    <m/>
    <m/>
    <m/>
  </r>
  <r>
    <m/>
    <m/>
    <m/>
    <m/>
    <m/>
    <x v="1"/>
    <m/>
    <m/>
    <m/>
    <m/>
    <m/>
    <m/>
    <m/>
    <m/>
    <m/>
    <m/>
    <m/>
    <m/>
    <m/>
    <m/>
    <m/>
    <s v=""/>
    <m/>
    <m/>
    <m/>
    <s v="Ratio dettes / EBE à 5, frais financiers (41 Me en 2021 mais retour à 30 Me puis moins après cession des émergents) à 2% du  CA et 1/4 de l'EBE mais peut-être temporaire et covenant revu avec les banques jusqu'en juin 2023 contre l'abscence de dividendes"/>
    <m/>
    <n v="2161"/>
    <s v="p"/>
    <s v="BE09742760821"/>
    <s v="BE0974276082"/>
    <n v="1"/>
    <x v="98"/>
    <m/>
    <m/>
    <m/>
  </r>
  <r>
    <m/>
    <m/>
    <m/>
    <m/>
    <s v="IPO le 24 juin 2014 à 18 euros"/>
    <x v="1"/>
    <m/>
    <n v="173000000"/>
    <m/>
    <m/>
    <n v="849200000"/>
    <m/>
    <m/>
    <m/>
    <m/>
    <m/>
    <m/>
    <m/>
    <m/>
    <m/>
    <m/>
    <s v=""/>
    <m/>
    <m/>
    <m/>
    <s v="En 2022, impact fort de l'inflation au 1T puis amélioration. Inflation en 2022 : + 100 M e par rapport à 2021 et économie 60 M e = &gt; - 40 Me. Outils en industriels en bon état mais avec des pistes d'amélioration"/>
    <m/>
    <n v="2162"/>
    <s v="p"/>
    <s v="BE09742760821"/>
    <s v="BE0974276082"/>
    <n v="1"/>
    <x v="98"/>
    <m/>
    <m/>
    <m/>
  </r>
  <r>
    <m/>
    <m/>
    <m/>
    <m/>
    <m/>
    <x v="1"/>
    <m/>
    <m/>
    <m/>
    <m/>
    <m/>
    <m/>
    <m/>
    <m/>
    <m/>
    <m/>
    <m/>
    <m/>
    <m/>
    <m/>
    <m/>
    <s v=""/>
    <m/>
    <m/>
    <m/>
    <s v="Dépréciation de la Russie 84 M euros et du Mexique 60 M euros"/>
    <m/>
    <n v="2163"/>
    <s v="p"/>
    <s v="BE09742760821"/>
    <s v="BE0974276082"/>
    <n v="1"/>
    <x v="98"/>
    <m/>
    <m/>
    <m/>
  </r>
  <r>
    <m/>
    <m/>
    <m/>
    <m/>
    <m/>
    <x v="38"/>
    <n v="1104000000"/>
    <n v="150300000"/>
    <m/>
    <m/>
    <m/>
    <m/>
    <m/>
    <m/>
    <m/>
    <m/>
    <m/>
    <m/>
    <m/>
    <m/>
    <m/>
    <s v=""/>
    <m/>
    <m/>
    <m/>
    <s v="Cession du Mexique pour 250 Me, reste le Brésil à vendre et le rapprochement à venir avec l'acteur américain Attindas détenu par AIP"/>
    <m/>
    <n v="2164"/>
    <s v="p"/>
    <s v="BE097427608212009"/>
    <s v="BE0974276082"/>
    <n v="1"/>
    <x v="98"/>
    <m/>
    <m/>
    <m/>
  </r>
  <r>
    <m/>
    <m/>
    <m/>
    <m/>
    <m/>
    <x v="1"/>
    <m/>
    <m/>
    <m/>
    <m/>
    <m/>
    <m/>
    <m/>
    <m/>
    <m/>
    <m/>
    <m/>
    <m/>
    <m/>
    <m/>
    <m/>
    <s v=""/>
    <m/>
    <m/>
    <m/>
    <s v="Objectif 2023 : croissance de l'activité (organique 2%/an), cession des émergents (en 2023) et EBE à 12-13% avec une dette à 3 fois l'EBE. EBE peut-être à 15% au-delà de 2023 avec un CA à 1,6 Md e"/>
    <m/>
    <n v="2165"/>
    <s v="p"/>
    <s v="BE09742760821"/>
    <s v="BE0974276082"/>
    <n v="1"/>
    <x v="98"/>
    <m/>
    <m/>
    <m/>
  </r>
  <r>
    <m/>
    <m/>
    <m/>
    <m/>
    <m/>
    <x v="1"/>
    <m/>
    <m/>
    <m/>
    <m/>
    <m/>
    <m/>
    <m/>
    <m/>
    <m/>
    <m/>
    <m/>
    <m/>
    <m/>
    <m/>
    <m/>
    <s v=""/>
    <m/>
    <m/>
    <m/>
    <s v="CAC : PwC"/>
    <m/>
    <n v="2166"/>
    <s v="p"/>
    <s v="BE09742760821"/>
    <s v="BE0974276082"/>
    <n v="1"/>
    <x v="98"/>
    <m/>
    <m/>
    <m/>
  </r>
  <r>
    <m/>
    <m/>
    <m/>
    <m/>
    <m/>
    <x v="1"/>
    <m/>
    <m/>
    <m/>
    <m/>
    <m/>
    <m/>
    <m/>
    <m/>
    <m/>
    <m/>
    <m/>
    <m/>
    <m/>
    <m/>
    <m/>
    <s v=""/>
    <m/>
    <m/>
    <m/>
    <s v="Pas de minoritaires"/>
    <m/>
    <n v="2167"/>
    <s v="p"/>
    <s v="BE09742760821"/>
    <s v="BE0974276082"/>
    <n v="1"/>
    <x v="98"/>
    <m/>
    <m/>
    <m/>
  </r>
  <r>
    <m/>
    <m/>
    <m/>
    <m/>
    <m/>
    <x v="1"/>
    <m/>
    <m/>
    <m/>
    <m/>
    <m/>
    <m/>
    <m/>
    <m/>
    <m/>
    <m/>
    <m/>
    <m/>
    <m/>
    <m/>
    <m/>
    <s v=""/>
    <m/>
    <m/>
    <m/>
    <s v="Pay-out ratio : pas de dividendes en 2021 et 2020 - 35% auparavant"/>
    <m/>
    <n v="2168"/>
    <s v="p"/>
    <s v="BE09742760821"/>
    <s v="BE0974276082"/>
    <n v="1"/>
    <x v="98"/>
    <m/>
    <m/>
    <m/>
  </r>
  <r>
    <m/>
    <m/>
    <m/>
    <m/>
    <m/>
    <x v="1"/>
    <m/>
    <m/>
    <m/>
    <m/>
    <m/>
    <m/>
    <m/>
    <m/>
    <m/>
    <m/>
    <m/>
    <m/>
    <m/>
    <m/>
    <m/>
    <s v=""/>
    <m/>
    <m/>
    <m/>
    <m/>
    <m/>
    <n v="2169"/>
    <s v="p"/>
    <s v="BE09742760821"/>
    <s v="BE0974276082"/>
    <n v="1"/>
    <x v="98"/>
    <m/>
    <m/>
    <m/>
  </r>
  <r>
    <m/>
    <m/>
    <m/>
    <m/>
    <m/>
    <x v="1"/>
    <m/>
    <m/>
    <m/>
    <m/>
    <m/>
    <m/>
    <m/>
    <m/>
    <m/>
    <m/>
    <m/>
    <m/>
    <m/>
    <m/>
    <m/>
    <s v=""/>
    <m/>
    <m/>
    <m/>
    <m/>
    <m/>
    <n v="2170"/>
    <s v="p"/>
    <s v="BE09742760821"/>
    <s v="BE0974276082"/>
    <n v="1"/>
    <x v="98"/>
    <m/>
    <m/>
    <m/>
  </r>
  <r>
    <m/>
    <m/>
    <m/>
    <m/>
    <m/>
    <x v="1"/>
    <m/>
    <m/>
    <m/>
    <m/>
    <m/>
    <m/>
    <m/>
    <m/>
    <m/>
    <m/>
    <m/>
    <m/>
    <m/>
    <m/>
    <m/>
    <s v=""/>
    <m/>
    <m/>
    <m/>
    <m/>
    <m/>
    <n v="2171"/>
    <s v="p"/>
    <s v="BE09742760821"/>
    <s v="BE0974276082"/>
    <n v="1"/>
    <x v="98"/>
    <m/>
    <m/>
    <m/>
  </r>
  <r>
    <m/>
    <m/>
    <m/>
    <m/>
    <m/>
    <x v="1"/>
    <m/>
    <m/>
    <m/>
    <m/>
    <m/>
    <m/>
    <m/>
    <m/>
    <m/>
    <m/>
    <m/>
    <m/>
    <m/>
    <m/>
    <m/>
    <s v=""/>
    <m/>
    <m/>
    <m/>
    <m/>
    <m/>
    <n v="2172"/>
    <s v="p"/>
    <s v="BE09742760821"/>
    <s v="BE0974276082"/>
    <n v="1"/>
    <x v="98"/>
    <m/>
    <m/>
    <m/>
  </r>
  <r>
    <s v="Goldman Sachs Group"/>
    <s v="Banque d'investissement"/>
    <s v="États-Unis"/>
    <s v="Dollar"/>
    <n v="382.55"/>
    <x v="3"/>
    <m/>
    <m/>
    <m/>
    <m/>
    <m/>
    <m/>
    <m/>
    <m/>
    <m/>
    <m/>
    <m/>
    <m/>
    <m/>
    <m/>
    <n v="49500"/>
    <n v="0"/>
    <m/>
    <m/>
    <m/>
    <s v="Structure d'associés passée en bourse en 2000"/>
    <m/>
    <n v="2173"/>
    <n v="0"/>
    <s v="US38141G104012021"/>
    <s v="US38141G1040"/>
    <n v="1"/>
    <x v="99"/>
    <m/>
    <m/>
    <m/>
  </r>
  <r>
    <m/>
    <m/>
    <m/>
    <m/>
    <m/>
    <x v="1"/>
    <m/>
    <m/>
    <m/>
    <m/>
    <m/>
    <m/>
    <m/>
    <m/>
    <m/>
    <m/>
    <m/>
    <m/>
    <m/>
    <m/>
    <m/>
    <s v=""/>
    <m/>
    <m/>
    <m/>
    <s v="Activité de courtage obligations, actions, matières premières et devises (concentration sur ce dernier marché)"/>
    <m/>
    <n v="2174"/>
    <n v="0"/>
    <s v="US38141G10401"/>
    <s v="US38141G1040"/>
    <n v="1"/>
    <x v="99"/>
    <m/>
    <m/>
    <m/>
  </r>
  <r>
    <m/>
    <m/>
    <m/>
    <m/>
    <n v="263.70999999999998"/>
    <x v="6"/>
    <m/>
    <m/>
    <m/>
    <m/>
    <m/>
    <m/>
    <m/>
    <m/>
    <m/>
    <m/>
    <m/>
    <m/>
    <m/>
    <m/>
    <m/>
    <s v=""/>
    <m/>
    <m/>
    <m/>
    <s v="Activité de conseil"/>
    <m/>
    <n v="2175"/>
    <n v="0"/>
    <s v="US38141G104012018"/>
    <s v="US38141G1040"/>
    <n v="1"/>
    <x v="99"/>
    <m/>
    <m/>
    <m/>
  </r>
  <r>
    <m/>
    <m/>
    <m/>
    <m/>
    <m/>
    <x v="1"/>
    <m/>
    <m/>
    <m/>
    <m/>
    <m/>
    <m/>
    <m/>
    <m/>
    <m/>
    <m/>
    <m/>
    <m/>
    <m/>
    <m/>
    <m/>
    <s v=""/>
    <m/>
    <m/>
    <m/>
    <s v="Activité d'asset management et de banque privée"/>
    <m/>
    <n v="2176"/>
    <n v="0"/>
    <s v="US38141G10401"/>
    <s v="US38141G1040"/>
    <n v="1"/>
    <x v="99"/>
    <m/>
    <m/>
    <m/>
  </r>
  <r>
    <m/>
    <m/>
    <m/>
    <m/>
    <m/>
    <x v="1"/>
    <m/>
    <m/>
    <m/>
    <m/>
    <m/>
    <m/>
    <m/>
    <m/>
    <m/>
    <m/>
    <m/>
    <m/>
    <m/>
    <m/>
    <m/>
    <s v=""/>
    <m/>
    <m/>
    <m/>
    <s v="Blankfein part à la retraite remplacé par Salomon, plus discuté. L'aventure sur le particulier et le crédit coûte"/>
    <m/>
    <n v="2177"/>
    <n v="0"/>
    <s v="US38141G10401"/>
    <s v="US38141G1040"/>
    <n v="1"/>
    <x v="99"/>
    <m/>
    <m/>
    <m/>
  </r>
  <r>
    <m/>
    <m/>
    <m/>
    <m/>
    <m/>
    <x v="1"/>
    <m/>
    <m/>
    <m/>
    <m/>
    <m/>
    <m/>
    <m/>
    <m/>
    <m/>
    <m/>
    <m/>
    <m/>
    <m/>
    <m/>
    <m/>
    <s v=""/>
    <m/>
    <m/>
    <m/>
    <s v="8-9 Md euros de profits par an et valorisation à 130 % des fonds propres. Suivre pour son rôle incontournable"/>
    <m/>
    <n v="2178"/>
    <n v="0"/>
    <s v="US38141G10401"/>
    <s v="US38141G1040"/>
    <n v="1"/>
    <x v="99"/>
    <m/>
    <m/>
    <m/>
  </r>
  <r>
    <m/>
    <m/>
    <m/>
    <m/>
    <m/>
    <x v="1"/>
    <m/>
    <m/>
    <m/>
    <m/>
    <m/>
    <m/>
    <m/>
    <m/>
    <m/>
    <m/>
    <m/>
    <m/>
    <m/>
    <m/>
    <m/>
    <s v=""/>
    <m/>
    <m/>
    <m/>
    <m/>
    <m/>
    <n v="2179"/>
    <n v="0"/>
    <s v="US38141G10401"/>
    <s v="US38141G1040"/>
    <n v="1"/>
    <x v="99"/>
    <m/>
    <m/>
    <m/>
  </r>
  <r>
    <m/>
    <m/>
    <m/>
    <m/>
    <m/>
    <x v="1"/>
    <m/>
    <m/>
    <m/>
    <m/>
    <m/>
    <m/>
    <m/>
    <m/>
    <m/>
    <m/>
    <m/>
    <m/>
    <m/>
    <m/>
    <m/>
    <s v=""/>
    <m/>
    <m/>
    <m/>
    <m/>
    <m/>
    <n v="2180"/>
    <n v="0"/>
    <s v="US38141G10401"/>
    <s v="US38141G1040"/>
    <n v="1"/>
    <x v="99"/>
    <m/>
    <m/>
    <m/>
  </r>
  <r>
    <m/>
    <m/>
    <m/>
    <m/>
    <m/>
    <x v="1"/>
    <m/>
    <m/>
    <m/>
    <m/>
    <m/>
    <m/>
    <m/>
    <m/>
    <m/>
    <m/>
    <m/>
    <m/>
    <m/>
    <m/>
    <m/>
    <s v=""/>
    <m/>
    <m/>
    <m/>
    <m/>
    <m/>
    <n v="2181"/>
    <n v="0"/>
    <s v="US38141G10401"/>
    <s v="US38141G1040"/>
    <n v="1"/>
    <x v="99"/>
    <m/>
    <m/>
    <m/>
  </r>
  <r>
    <m/>
    <m/>
    <m/>
    <m/>
    <s v="Rachat par Essilor Luxottica pour 28,42 euros par action en juillet 2021"/>
    <x v="1"/>
    <m/>
    <m/>
    <m/>
    <m/>
    <m/>
    <m/>
    <m/>
    <m/>
    <m/>
    <m/>
    <m/>
    <m/>
    <m/>
    <m/>
    <m/>
    <s v=""/>
    <m/>
    <m/>
    <m/>
    <m/>
    <m/>
    <n v="2182"/>
    <n v="0"/>
    <s v="US38141G10401"/>
    <s v="US38141G1040"/>
    <n v="1"/>
    <x v="99"/>
    <m/>
    <m/>
    <m/>
  </r>
  <r>
    <m/>
    <m/>
    <m/>
    <m/>
    <m/>
    <x v="1"/>
    <m/>
    <m/>
    <m/>
    <m/>
    <m/>
    <m/>
    <m/>
    <m/>
    <m/>
    <m/>
    <m/>
    <m/>
    <m/>
    <m/>
    <m/>
    <s v=""/>
    <m/>
    <m/>
    <m/>
    <m/>
    <m/>
    <n v="2183"/>
    <n v="0"/>
    <s v="US38141G10401"/>
    <s v="US38141G1040"/>
    <n v="1"/>
    <x v="99"/>
    <m/>
    <m/>
    <m/>
  </r>
  <r>
    <s v="Grandvision"/>
    <s v="Optique"/>
    <s v="Pays-Bas"/>
    <s v="Euro"/>
    <n v="25.5"/>
    <x v="6"/>
    <n v="3726000000.0000005"/>
    <n v="590640000"/>
    <n v="353160000"/>
    <n v="250000000"/>
    <n v="832000000"/>
    <n v="1039000000"/>
    <n v="4.0838357162492382"/>
    <n v="0.24061597690086622"/>
    <n v="0.12080299305184393"/>
    <n v="254417677.93594307"/>
    <n v="6487650787.3665485"/>
    <n v="6.2441297279755039"/>
    <n v="12.392744797789767"/>
    <m/>
    <m/>
    <s v=""/>
    <m/>
    <m/>
    <m/>
    <s v="Acteur de l'optique avec 7000 magasins en Europe, en Asie et aux Etats-Unis. 6% de part de marché. Marché de 153 M d euros dans le Monde. La société était sortie de la bourse dans les années 2005-2007 avant de revenir en 2015 à la bourse d'Amsterdam"/>
    <m/>
    <n v="2184"/>
    <e v="#N/A"/>
    <s v="Grandvision12018"/>
    <s v="Grandvision"/>
    <n v="1"/>
    <x v="100"/>
    <m/>
    <m/>
    <m/>
  </r>
  <r>
    <m/>
    <m/>
    <m/>
    <m/>
    <m/>
    <x v="1"/>
    <n v="8.0000000000000071E-2"/>
    <n v="7.0000000000000062E-2"/>
    <n v="8.0000000000000071E-2"/>
    <n v="9.6491228070175517E-2"/>
    <m/>
    <m/>
    <m/>
    <m/>
    <m/>
    <m/>
    <m/>
    <m/>
    <m/>
    <m/>
    <m/>
    <s v=""/>
    <m/>
    <m/>
    <m/>
    <s v="Croissance du marché avec le vieillissement de la population et résistance à Internet"/>
    <m/>
    <n v="2185"/>
    <e v="#N/A"/>
    <s v="1"/>
    <m/>
    <n v="1"/>
    <x v="100"/>
    <m/>
    <m/>
    <m/>
  </r>
  <r>
    <m/>
    <m/>
    <m/>
    <m/>
    <n v="21.3"/>
    <x v="7"/>
    <n v="3450000000"/>
    <n v="552000000"/>
    <n v="327000000"/>
    <n v="228000000"/>
    <n v="832000000"/>
    <n v="1039000000"/>
    <n v="4.0838357162492382"/>
    <n v="0.21944177093358999"/>
    <n v="0.11185462319615179"/>
    <n v="254417677.93594307"/>
    <n v="5419096540.0355873"/>
    <n v="5.2156848316030677"/>
    <n v="11.324450253687658"/>
    <m/>
    <m/>
    <s v=""/>
    <m/>
    <m/>
    <m/>
    <s v="Marché en croissance de 5,3% d'ici à 2022 dont 6,5% pour les lunettes de soleil"/>
    <m/>
    <n v="2186"/>
    <e v="#N/A"/>
    <s v="12017"/>
    <m/>
    <n v="1"/>
    <x v="100"/>
    <m/>
    <m/>
    <m/>
  </r>
  <r>
    <m/>
    <m/>
    <m/>
    <m/>
    <m/>
    <x v="1"/>
    <n v="4.0410132689987943E-2"/>
    <n v="2.7932960893854775E-2"/>
    <n v="-8.6592178770949713E-2"/>
    <n v="-1.2987012987012991E-2"/>
    <m/>
    <m/>
    <m/>
    <m/>
    <m/>
    <m/>
    <m/>
    <m/>
    <m/>
    <m/>
    <m/>
    <s v=""/>
    <m/>
    <m/>
    <m/>
    <s v="CEO : Kiesselbach (1 006 983 actions en portefeuille)"/>
    <m/>
    <n v="2187"/>
    <e v="#N/A"/>
    <s v="1"/>
    <m/>
    <n v="1"/>
    <x v="100"/>
    <m/>
    <m/>
    <m/>
  </r>
  <r>
    <m/>
    <m/>
    <m/>
    <m/>
    <n v="20.91"/>
    <x v="8"/>
    <n v="3316000000"/>
    <n v="537000000"/>
    <n v="358000000"/>
    <n v="231000000"/>
    <n v="750000000"/>
    <n v="947000000"/>
    <n v="3.7222256239538289"/>
    <n v="0.24392819429778248"/>
    <n v="0.13501473187978785"/>
    <n v="254417677.93594307"/>
    <n v="5319873645.6405697"/>
    <n v="5.6176068063786371"/>
    <n v="11.303302878287839"/>
    <m/>
    <m/>
    <s v=""/>
    <m/>
    <m/>
    <m/>
    <s v="HAL Optical détient 76,7% du capital - Flottant de 22,48%. IPO le 6 février 2015"/>
    <m/>
    <n v="2188"/>
    <e v="#N/A"/>
    <s v="12016"/>
    <m/>
    <n v="1"/>
    <x v="100"/>
    <m/>
    <m/>
    <m/>
  </r>
  <r>
    <m/>
    <m/>
    <m/>
    <m/>
    <m/>
    <x v="1"/>
    <n v="3.4633385335413491E-2"/>
    <n v="4.8828125E-2"/>
    <n v="1.4164305949008416E-2"/>
    <e v="#DIV/0!"/>
    <m/>
    <m/>
    <m/>
    <m/>
    <m/>
    <m/>
    <m/>
    <m/>
    <m/>
    <m/>
    <m/>
    <s v=""/>
    <m/>
    <m/>
    <m/>
    <s v="31 802 salariés soit moins de 110 K euros par salarié"/>
    <m/>
    <n v="2189"/>
    <e v="#N/A"/>
    <s v="1"/>
    <m/>
    <n v="1"/>
    <x v="100"/>
    <m/>
    <m/>
    <m/>
  </r>
  <r>
    <m/>
    <m/>
    <m/>
    <m/>
    <n v="27.66"/>
    <x v="9"/>
    <n v="3205000000"/>
    <n v="512000000"/>
    <n v="353000000"/>
    <m/>
    <n v="941000000"/>
    <m/>
    <m/>
    <m/>
    <m/>
    <n v="254417677.93594307"/>
    <n v="7037192971.7081852"/>
    <m/>
    <n v="15.582408147867548"/>
    <m/>
    <m/>
    <s v=""/>
    <m/>
    <m/>
    <m/>
    <s v="Peut-être un peu plus mature comme business le meilleur était probablement de 2006-2016. Résutat net stable"/>
    <m/>
    <n v="2190"/>
    <e v="#N/A"/>
    <s v="12015"/>
    <m/>
    <n v="1"/>
    <x v="100"/>
    <m/>
    <m/>
    <m/>
  </r>
  <r>
    <m/>
    <m/>
    <m/>
    <m/>
    <m/>
    <x v="1"/>
    <n v="0.13773517926872558"/>
    <n v="0.14031180400890864"/>
    <e v="#DIV/0!"/>
    <e v="#DIV/0!"/>
    <m/>
    <m/>
    <m/>
    <m/>
    <m/>
    <m/>
    <m/>
    <m/>
    <m/>
    <m/>
    <m/>
    <s v=""/>
    <m/>
    <m/>
    <m/>
    <s v="Nouveau CEO. A suivre"/>
    <m/>
    <n v="2191"/>
    <e v="#N/A"/>
    <s v="1"/>
    <m/>
    <n v="1"/>
    <x v="100"/>
    <m/>
    <m/>
    <m/>
  </r>
  <r>
    <m/>
    <m/>
    <m/>
    <m/>
    <s v="IPO le 6 février 2015"/>
    <x v="10"/>
    <n v="2817000000"/>
    <n v="449000000"/>
    <m/>
    <m/>
    <n v="922000000"/>
    <m/>
    <m/>
    <m/>
    <m/>
    <m/>
    <m/>
    <m/>
    <m/>
    <m/>
    <m/>
    <s v=""/>
    <m/>
    <m/>
    <m/>
    <m/>
    <m/>
    <n v="2192"/>
    <e v="#N/A"/>
    <s v="12014"/>
    <m/>
    <n v="1"/>
    <x v="100"/>
    <m/>
    <m/>
    <m/>
  </r>
  <r>
    <m/>
    <m/>
    <m/>
    <m/>
    <m/>
    <x v="1"/>
    <n v="7.5190839694656564E-2"/>
    <n v="0.12250000000000005"/>
    <e v="#DIV/0!"/>
    <e v="#DIV/0!"/>
    <m/>
    <m/>
    <m/>
    <m/>
    <m/>
    <m/>
    <m/>
    <m/>
    <m/>
    <m/>
    <m/>
    <s v=""/>
    <m/>
    <m/>
    <m/>
    <m/>
    <m/>
    <n v="2193"/>
    <e v="#N/A"/>
    <s v="1"/>
    <m/>
    <n v="1"/>
    <x v="100"/>
    <m/>
    <m/>
    <m/>
  </r>
  <r>
    <m/>
    <m/>
    <m/>
    <m/>
    <m/>
    <x v="11"/>
    <n v="2620000000"/>
    <n v="400000000"/>
    <m/>
    <m/>
    <n v="837000000"/>
    <m/>
    <m/>
    <m/>
    <m/>
    <m/>
    <m/>
    <m/>
    <m/>
    <m/>
    <m/>
    <s v=""/>
    <m/>
    <m/>
    <m/>
    <m/>
    <m/>
    <n v="2194"/>
    <e v="#N/A"/>
    <s v="12013"/>
    <m/>
    <n v="1"/>
    <x v="100"/>
    <m/>
    <m/>
    <m/>
  </r>
  <r>
    <m/>
    <m/>
    <m/>
    <m/>
    <m/>
    <x v="1"/>
    <m/>
    <m/>
    <m/>
    <m/>
    <m/>
    <m/>
    <m/>
    <m/>
    <m/>
    <m/>
    <m/>
    <m/>
    <m/>
    <m/>
    <m/>
    <s v=""/>
    <m/>
    <m/>
    <m/>
    <m/>
    <m/>
    <n v="2195"/>
    <e v="#N/A"/>
    <s v="1"/>
    <m/>
    <n v="1"/>
    <x v="100"/>
    <m/>
    <m/>
    <m/>
  </r>
  <r>
    <m/>
    <m/>
    <m/>
    <m/>
    <m/>
    <x v="12"/>
    <n v="2518000000"/>
    <n v="372000000"/>
    <m/>
    <m/>
    <n v="1017000000"/>
    <m/>
    <m/>
    <m/>
    <m/>
    <m/>
    <m/>
    <m/>
    <m/>
    <m/>
    <m/>
    <s v=""/>
    <m/>
    <m/>
    <m/>
    <m/>
    <m/>
    <n v="2196"/>
    <e v="#N/A"/>
    <s v="12012"/>
    <m/>
    <n v="1"/>
    <x v="100"/>
    <m/>
    <m/>
    <m/>
  </r>
  <r>
    <m/>
    <m/>
    <m/>
    <m/>
    <m/>
    <x v="1"/>
    <m/>
    <m/>
    <m/>
    <m/>
    <m/>
    <m/>
    <m/>
    <m/>
    <m/>
    <m/>
    <m/>
    <m/>
    <m/>
    <m/>
    <m/>
    <s v=""/>
    <m/>
    <m/>
    <m/>
    <m/>
    <m/>
    <n v="2197"/>
    <e v="#N/A"/>
    <s v="1"/>
    <m/>
    <n v="1"/>
    <x v="100"/>
    <m/>
    <m/>
    <m/>
  </r>
  <r>
    <m/>
    <m/>
    <m/>
    <m/>
    <m/>
    <x v="17"/>
    <m/>
    <n v="348000000"/>
    <m/>
    <m/>
    <m/>
    <m/>
    <m/>
    <m/>
    <m/>
    <m/>
    <m/>
    <m/>
    <m/>
    <m/>
    <m/>
    <s v=""/>
    <m/>
    <m/>
    <m/>
    <m/>
    <m/>
    <n v="2198"/>
    <e v="#N/A"/>
    <s v="12011"/>
    <m/>
    <n v="1"/>
    <x v="100"/>
    <m/>
    <m/>
    <m/>
  </r>
  <r>
    <m/>
    <m/>
    <m/>
    <m/>
    <m/>
    <x v="1"/>
    <m/>
    <m/>
    <m/>
    <m/>
    <m/>
    <m/>
    <m/>
    <m/>
    <m/>
    <m/>
    <m/>
    <m/>
    <m/>
    <m/>
    <m/>
    <s v=""/>
    <m/>
    <m/>
    <m/>
    <m/>
    <m/>
    <n v="2199"/>
    <e v="#N/A"/>
    <s v="1"/>
    <m/>
    <n v="1"/>
    <x v="100"/>
    <m/>
    <m/>
    <m/>
  </r>
  <r>
    <m/>
    <m/>
    <m/>
    <m/>
    <m/>
    <x v="1"/>
    <m/>
    <m/>
    <m/>
    <m/>
    <m/>
    <m/>
    <m/>
    <m/>
    <m/>
    <m/>
    <m/>
    <m/>
    <m/>
    <m/>
    <m/>
    <s v=""/>
    <m/>
    <m/>
    <m/>
    <m/>
    <m/>
    <n v="2200"/>
    <e v="#N/A"/>
    <s v="1"/>
    <m/>
    <n v="1"/>
    <x v="100"/>
    <m/>
    <m/>
    <m/>
  </r>
  <r>
    <m/>
    <m/>
    <m/>
    <m/>
    <m/>
    <x v="1"/>
    <m/>
    <m/>
    <m/>
    <m/>
    <m/>
    <m/>
    <m/>
    <m/>
    <m/>
    <m/>
    <m/>
    <m/>
    <m/>
    <m/>
    <m/>
    <s v=""/>
    <m/>
    <m/>
    <m/>
    <m/>
    <m/>
    <n v="2201"/>
    <e v="#N/A"/>
    <s v="1"/>
    <m/>
    <n v="1"/>
    <x v="100"/>
    <m/>
    <m/>
    <m/>
  </r>
  <r>
    <s v="Deere &amp; CO"/>
    <s v="Tracteurs"/>
    <s v="États-Unis"/>
    <s v="Dollar"/>
    <m/>
    <x v="0"/>
    <m/>
    <m/>
    <m/>
    <m/>
    <m/>
    <m/>
    <m/>
    <m/>
    <m/>
    <m/>
    <m/>
    <m/>
    <m/>
    <m/>
    <m/>
    <s v=""/>
    <m/>
    <m/>
    <m/>
    <s v="Fabricant de machines agricoles fondé au XIX siècle (1837) Bien géré, réputation exceptionnelle "/>
    <m/>
    <n v="2202"/>
    <n v="0"/>
    <s v="US244199105412023"/>
    <s v="US2441991054"/>
    <n v="1"/>
    <x v="101"/>
    <m/>
    <m/>
    <m/>
  </r>
  <r>
    <m/>
    <m/>
    <m/>
    <m/>
    <m/>
    <x v="1"/>
    <m/>
    <m/>
    <m/>
    <m/>
    <m/>
    <m/>
    <m/>
    <m/>
    <m/>
    <m/>
    <m/>
    <m/>
    <m/>
    <m/>
    <m/>
    <s v=""/>
    <m/>
    <m/>
    <m/>
    <s v="Actionnaires : 8,7% Cascade (holding de Bill Gates ) "/>
    <m/>
    <n v="2203"/>
    <n v="0"/>
    <s v="US24419910541"/>
    <s v="US2441991054"/>
    <n v="1"/>
    <x v="101"/>
    <m/>
    <m/>
    <m/>
  </r>
  <r>
    <m/>
    <m/>
    <m/>
    <m/>
    <n v="428.76"/>
    <x v="2"/>
    <n v="52577000000"/>
    <m/>
    <n v="9508000000"/>
    <n v="7131000000"/>
    <m/>
    <n v="20262000000"/>
    <n v="66.651315789473685"/>
    <n v="0.35193959135327213"/>
    <n v="0.30032178462145886"/>
    <n v="304000000"/>
    <n v="130343040000"/>
    <n v="6.4328812555522656"/>
    <e v="#DIV/0!"/>
    <s v="A / Stable"/>
    <n v="75600"/>
    <n v="695462.96296296292"/>
    <n v="5600000000"/>
    <m/>
    <m/>
    <s v="Basé à Moline (Illinois), au sud de Chicago"/>
    <m/>
    <n v="2204"/>
    <n v="0"/>
    <s v="US244199105412022"/>
    <s v="US2441991054"/>
    <n v="1"/>
    <x v="101"/>
    <m/>
    <m/>
    <m/>
  </r>
  <r>
    <m/>
    <m/>
    <m/>
    <m/>
    <m/>
    <x v="1"/>
    <n v="0.19428039251317464"/>
    <m/>
    <n v="0.25072349381741654"/>
    <n v="0.19587455978534285"/>
    <m/>
    <m/>
    <m/>
    <m/>
    <m/>
    <m/>
    <m/>
    <m/>
    <m/>
    <m/>
    <m/>
    <s v=""/>
    <m/>
    <m/>
    <m/>
    <s v="CEO &amp; Chairman : May"/>
    <m/>
    <n v="2205"/>
    <n v="0"/>
    <s v="US24419910541"/>
    <s v="US2441991054"/>
    <n v="1"/>
    <x v="101"/>
    <m/>
    <m/>
    <m/>
  </r>
  <r>
    <m/>
    <m/>
    <m/>
    <m/>
    <n v="342.89"/>
    <x v="3"/>
    <n v="44024000000"/>
    <m/>
    <n v="7602000000"/>
    <n v="5963000000"/>
    <m/>
    <n v="18431000000"/>
    <n v="58.697452229299365"/>
    <n v="0.32353100754164182"/>
    <n v="0.26397265476642612"/>
    <n v="314000000"/>
    <n v="107667460000"/>
    <n v="5.8416504801692799"/>
    <e v="#DIV/0!"/>
    <s v="A / Stable"/>
    <n v="75000"/>
    <n v="586986.66666666663"/>
    <m/>
    <m/>
    <m/>
    <s v="700-800 000 tracteurs vendus par an "/>
    <m/>
    <n v="2206"/>
    <n v="0"/>
    <s v="US244199105412021"/>
    <s v="US2441991054"/>
    <n v="1"/>
    <x v="101"/>
    <m/>
    <m/>
    <m/>
  </r>
  <r>
    <m/>
    <m/>
    <m/>
    <m/>
    <m/>
    <x v="1"/>
    <n v="0.23871693866066401"/>
    <m/>
    <n v="0.95776461498841092"/>
    <n v="1.1675754271174119"/>
    <m/>
    <m/>
    <m/>
    <m/>
    <m/>
    <m/>
    <m/>
    <m/>
    <m/>
    <m/>
    <m/>
    <s v=""/>
    <m/>
    <m/>
    <m/>
    <s v="Présent dans 100 pays : Amérique du Nord (57%) - Europe (22%) - Asie, Afrique et Australie Nouvelle Zélande (11%) - Amérique Latine (10%)"/>
    <m/>
    <n v="2207"/>
    <n v="0"/>
    <s v="US24419910541"/>
    <s v="US2441991054"/>
    <n v="1"/>
    <x v="101"/>
    <m/>
    <m/>
    <m/>
  </r>
  <r>
    <m/>
    <m/>
    <m/>
    <m/>
    <n v="269.05"/>
    <x v="4"/>
    <n v="35540000000"/>
    <m/>
    <n v="3883000000"/>
    <n v="2751000000"/>
    <m/>
    <n v="12937000000"/>
    <n v="40.86228679722047"/>
    <n v="0.21264589935842931"/>
    <n v="0.19209399397078147"/>
    <n v="316600000"/>
    <n v="85181230000"/>
    <n v="6.5843108912421737"/>
    <e v="#DIV/0!"/>
    <m/>
    <n v="60476"/>
    <n v="587671.14227131428"/>
    <m/>
    <m/>
    <m/>
    <s v="Une année de chiffre d'affaires en crédit vendeur soit 35-40 Md $ en face 3,5-3,7 Md $ de trésorerie, taux d'impayé assez faible monte forcément lors des crises"/>
    <m/>
    <n v="2208"/>
    <n v="0"/>
    <s v="US244199105412020"/>
    <s v="US2441991054"/>
    <n v="1"/>
    <x v="101"/>
    <m/>
    <m/>
    <m/>
  </r>
  <r>
    <m/>
    <m/>
    <m/>
    <m/>
    <m/>
    <x v="1"/>
    <n v="-9.47068113505527E-2"/>
    <m/>
    <n v="-5.0146771037182014E-2"/>
    <n v="-0.15431909007070399"/>
    <m/>
    <m/>
    <m/>
    <m/>
    <m/>
    <m/>
    <m/>
    <m/>
    <m/>
    <m/>
    <m/>
    <s v=""/>
    <m/>
    <m/>
    <m/>
    <s v="Services financiers : 3,7 Md $ de revenus et 881 M$ en 2021 de résultat net soit 15% du RN global"/>
    <m/>
    <n v="2209"/>
    <n v="0"/>
    <s v="US24419910541"/>
    <s v="US2441991054"/>
    <n v="1"/>
    <x v="101"/>
    <m/>
    <m/>
    <m/>
  </r>
  <r>
    <m/>
    <m/>
    <m/>
    <m/>
    <n v="175.6"/>
    <x v="5"/>
    <n v="39258000000"/>
    <m/>
    <n v="4088000000"/>
    <n v="3253000000"/>
    <m/>
    <n v="11413000000"/>
    <n v="35.598877105427327"/>
    <n v="0.2850258477175151"/>
    <n v="0.22924033996319981"/>
    <n v="320600000"/>
    <n v="56297360000"/>
    <n v="4.9327398580566024"/>
    <e v="#DIV/0!"/>
    <m/>
    <n v="60476"/>
    <n v="649150.07606323168"/>
    <m/>
    <m/>
    <m/>
    <s v="Total Bilan à 90 Md euros et 20 Md de fonds propres à fin 2022 (22%) car 34 Md $ de crédit vendeur (moins d'un an de CA)"/>
    <m/>
    <n v="2210"/>
    <n v="0"/>
    <s v="US244199105412019"/>
    <s v="US2441991054"/>
    <n v="1"/>
    <x v="101"/>
    <m/>
    <m/>
    <m/>
  </r>
  <r>
    <m/>
    <m/>
    <m/>
    <m/>
    <m/>
    <x v="1"/>
    <n v="5.0859253707371987E-2"/>
    <m/>
    <n v="4.1758781626135555E-3"/>
    <n v="5.8574682720468507E-2"/>
    <m/>
    <m/>
    <m/>
    <m/>
    <m/>
    <m/>
    <m/>
    <m/>
    <m/>
    <m/>
    <m/>
    <s v=""/>
    <m/>
    <m/>
    <m/>
    <s v="Fondation Deere : 200 Me sur 10 ans pour les minorités"/>
    <m/>
    <n v="2211"/>
    <n v="0"/>
    <s v="US24419910541"/>
    <s v="US2441991054"/>
    <n v="1"/>
    <x v="101"/>
    <m/>
    <m/>
    <m/>
  </r>
  <r>
    <m/>
    <m/>
    <m/>
    <m/>
    <n v="146"/>
    <x v="6"/>
    <n v="37358000000"/>
    <m/>
    <n v="4071000000"/>
    <n v="3073000000"/>
    <m/>
    <n v="11287800000"/>
    <n v="35.440502354788066"/>
    <n v="0.27224082637892238"/>
    <n v="0.23081911444214112"/>
    <n v="318500000"/>
    <n v="46501000000"/>
    <n v="4.1195804319708005"/>
    <e v="#DIV/0!"/>
    <m/>
    <m/>
    <s v=""/>
    <m/>
    <m/>
    <m/>
    <s v="Investissement de long terme. Potentiel sur les émergents. Marché mature en Europe et aux États-Unis"/>
    <m/>
    <n v="2212"/>
    <n v="0"/>
    <s v="US244199105412018"/>
    <s v="US2441991054"/>
    <n v="1"/>
    <x v="101"/>
    <m/>
    <m/>
    <m/>
  </r>
  <r>
    <m/>
    <m/>
    <m/>
    <m/>
    <m/>
    <x v="1"/>
    <n v="0.25625048339313405"/>
    <m/>
    <n v="0.29082376815270461"/>
    <n v="0.42327821777592511"/>
    <m/>
    <m/>
    <m/>
    <m/>
    <m/>
    <m/>
    <m/>
    <m/>
    <m/>
    <m/>
    <m/>
    <s v=""/>
    <m/>
    <m/>
    <m/>
    <s v="Objectif long terme 200 $"/>
    <m/>
    <n v="2213"/>
    <n v="0"/>
    <s v="US24419910541"/>
    <s v="US2441991054"/>
    <n v="1"/>
    <x v="101"/>
    <m/>
    <m/>
    <m/>
  </r>
  <r>
    <m/>
    <m/>
    <m/>
    <m/>
    <n v="156.5"/>
    <x v="7"/>
    <n v="29737700000"/>
    <m/>
    <n v="3153800000"/>
    <n v="2159100000"/>
    <m/>
    <n v="9557300000"/>
    <n v="29.913302034428796"/>
    <n v="0.22591108367425947"/>
    <n v="0.2111927008673998"/>
    <n v="319500000"/>
    <n v="50001750000"/>
    <n v="5.2317861739194127"/>
    <e v="#DIV/0!"/>
    <m/>
    <m/>
    <s v=""/>
    <m/>
    <m/>
    <m/>
    <s v="En 2017, achète pour 5,2 Md $ l'entreprise allemande Wirtgen : machines pour les travaux sur route. 8 500 personnes et 3,5 Md euros de CA (410 Ke / salarié)"/>
    <m/>
    <n v="2214"/>
    <n v="0"/>
    <s v="US244199105412017"/>
    <s v="US2441991054"/>
    <n v="1"/>
    <x v="101"/>
    <m/>
    <m/>
    <m/>
  </r>
  <r>
    <m/>
    <m/>
    <m/>
    <m/>
    <m/>
    <x v="1"/>
    <n v="0.1161124455787419"/>
    <m/>
    <n v="0.41807553956834531"/>
    <n v="0.41682525100072176"/>
    <m/>
    <m/>
    <m/>
    <m/>
    <m/>
    <m/>
    <m/>
    <m/>
    <m/>
    <m/>
    <m/>
    <s v=""/>
    <m/>
    <m/>
    <m/>
    <s v="En 2022, répartition du CA : agriculuture (71%) - construction &amp; forêts (29%). Résultats et perspectives exceptionnelles. PER de 17 "/>
    <m/>
    <n v="2215"/>
    <n v="0"/>
    <s v="US24419910541"/>
    <s v="US2441991054"/>
    <n v="1"/>
    <x v="101"/>
    <m/>
    <m/>
    <m/>
  </r>
  <r>
    <m/>
    <m/>
    <m/>
    <m/>
    <n v="106.49"/>
    <x v="8"/>
    <n v="26644000000"/>
    <m/>
    <n v="2224000000"/>
    <n v="1523900000"/>
    <m/>
    <n v="6520000000"/>
    <n v="19.544364508393286"/>
    <n v="0.23372699386503068"/>
    <n v="0.21830674846625767"/>
    <n v="315200000"/>
    <n v="33565648000"/>
    <n v="5.1481055214723925"/>
    <e v="#DIV/0!"/>
    <m/>
    <m/>
    <s v=""/>
    <m/>
    <m/>
    <m/>
    <s v="Taux d'IS : 22-24%"/>
    <m/>
    <n v="2216"/>
    <n v="0"/>
    <s v="US244199105412016"/>
    <s v="US2441991054"/>
    <n v="1"/>
    <x v="101"/>
    <m/>
    <m/>
    <m/>
  </r>
  <r>
    <m/>
    <m/>
    <m/>
    <m/>
    <m/>
    <x v="1"/>
    <n v="-7.6874038554818003E-2"/>
    <m/>
    <n v="-0.20002877594331137"/>
    <n v="-0.2144845360824742"/>
    <m/>
    <m/>
    <m/>
    <m/>
    <m/>
    <m/>
    <m/>
    <m/>
    <m/>
    <m/>
    <m/>
    <s v=""/>
    <m/>
    <m/>
    <m/>
    <s v="CAC : Deloitte"/>
    <m/>
    <n v="2217"/>
    <n v="0"/>
    <s v="US24419910541"/>
    <s v="US2441991054"/>
    <n v="1"/>
    <x v="101"/>
    <m/>
    <m/>
    <m/>
  </r>
  <r>
    <m/>
    <m/>
    <m/>
    <m/>
    <n v="76.27"/>
    <x v="9"/>
    <n v="28862800000"/>
    <m/>
    <n v="2780100000"/>
    <n v="1940000000"/>
    <m/>
    <n v="6743000000"/>
    <n v="20.212829736211031"/>
    <n v="0.2877057689455732"/>
    <n v="0.26386830787483317"/>
    <n v="333600000"/>
    <n v="25443672000"/>
    <n v="3.7733459884324483"/>
    <e v="#DIV/0!"/>
    <m/>
    <m/>
    <s v=""/>
    <m/>
    <m/>
    <m/>
    <s v="Pas de Minoritaires"/>
    <m/>
    <n v="2218"/>
    <n v="0"/>
    <s v="US244199105412015"/>
    <s v="US2441991054"/>
    <n v="1"/>
    <x v="101"/>
    <m/>
    <m/>
    <m/>
  </r>
  <r>
    <m/>
    <m/>
    <m/>
    <m/>
    <m/>
    <x v="1"/>
    <n v="-0.19974491917819615"/>
    <m/>
    <n v="-0.42049860341018053"/>
    <n v="-0.38646426312460469"/>
    <m/>
    <m/>
    <m/>
    <m/>
    <m/>
    <m/>
    <m/>
    <m/>
    <m/>
    <m/>
    <m/>
    <s v=""/>
    <m/>
    <m/>
    <m/>
    <s v="Pay-out ratio : 25-30%"/>
    <m/>
    <n v="2219"/>
    <n v="0"/>
    <s v="US24419910541"/>
    <s v="US2441991054"/>
    <n v="1"/>
    <x v="101"/>
    <m/>
    <m/>
    <m/>
  </r>
  <r>
    <m/>
    <m/>
    <m/>
    <m/>
    <n v="90.24"/>
    <x v="10"/>
    <n v="36067000000"/>
    <m/>
    <n v="4797400000"/>
    <n v="3162000000"/>
    <m/>
    <n v="9063000000"/>
    <n v="24.966942148760332"/>
    <n v="0.34889109566368753"/>
    <n v="0.33877700540659827"/>
    <n v="363000000"/>
    <n v="32757120000"/>
    <n v="3.6143793445878849"/>
    <e v="#DIV/0!"/>
    <m/>
    <m/>
    <s v=""/>
    <m/>
    <m/>
    <m/>
    <m/>
    <m/>
    <n v="2220"/>
    <n v="0"/>
    <s v="US244199105412014"/>
    <s v="US2441991054"/>
    <n v="1"/>
    <x v="101"/>
    <m/>
    <m/>
    <m/>
  </r>
  <r>
    <m/>
    <m/>
    <m/>
    <m/>
    <m/>
    <x v="1"/>
    <n v="-4.5720333377430866E-2"/>
    <m/>
    <n v="-0.12510486194696724"/>
    <n v="-0.10602205258693809"/>
    <m/>
    <m/>
    <m/>
    <m/>
    <m/>
    <m/>
    <m/>
    <m/>
    <m/>
    <m/>
    <m/>
    <s v=""/>
    <m/>
    <m/>
    <m/>
    <m/>
    <m/>
    <n v="2221"/>
    <n v="0"/>
    <s v="US24419910541"/>
    <s v="US2441991054"/>
    <n v="1"/>
    <x v="101"/>
    <m/>
    <m/>
    <m/>
  </r>
  <r>
    <m/>
    <m/>
    <m/>
    <m/>
    <n v="90.66"/>
    <x v="11"/>
    <n v="37795000000"/>
    <m/>
    <n v="5483400000"/>
    <n v="3537000000"/>
    <m/>
    <n v="10266000000"/>
    <n v="26.64417337139891"/>
    <n v="0.3445353594389246"/>
    <n v="0.34184453535943893"/>
    <n v="385300000"/>
    <n v="34931298000"/>
    <n v="3.4026201052016365"/>
    <e v="#DIV/0!"/>
    <m/>
    <m/>
    <s v=""/>
    <m/>
    <m/>
    <m/>
    <m/>
    <m/>
    <n v="2222"/>
    <n v="0"/>
    <s v="US244199105412013"/>
    <s v="US2441991054"/>
    <n v="1"/>
    <x v="101"/>
    <m/>
    <m/>
    <m/>
  </r>
  <r>
    <m/>
    <m/>
    <m/>
    <m/>
    <m/>
    <x v="1"/>
    <n v="4.2419394875472305E-2"/>
    <m/>
    <n v="0.15820378506252109"/>
    <n v="0.15399673735725927"/>
    <m/>
    <m/>
    <m/>
    <m/>
    <m/>
    <m/>
    <m/>
    <m/>
    <m/>
    <m/>
    <m/>
    <s v=""/>
    <m/>
    <m/>
    <m/>
    <m/>
    <m/>
    <n v="2223"/>
    <n v="0"/>
    <s v="US24419910541"/>
    <s v="US2441991054"/>
    <n v="1"/>
    <x v="101"/>
    <m/>
    <m/>
    <m/>
  </r>
  <r>
    <m/>
    <m/>
    <m/>
    <m/>
    <n v="84.55"/>
    <x v="12"/>
    <n v="36257000000"/>
    <m/>
    <n v="4734400000"/>
    <n v="3065000000"/>
    <m/>
    <n v="6842000000"/>
    <n v="17.229916897506925"/>
    <n v="0.44796843028354283"/>
    <n v="0.44285530546623797"/>
    <n v="397100000"/>
    <n v="33574805000"/>
    <n v="4.907162379421222"/>
    <e v="#DIV/0!"/>
    <m/>
    <m/>
    <s v=""/>
    <m/>
    <m/>
    <m/>
    <m/>
    <m/>
    <n v="2224"/>
    <n v="0"/>
    <s v="US244199105412012"/>
    <s v="US2441991054"/>
    <n v="1"/>
    <x v="101"/>
    <m/>
    <m/>
    <m/>
  </r>
  <r>
    <m/>
    <m/>
    <m/>
    <m/>
    <m/>
    <x v="1"/>
    <n v="0.13257114297316708"/>
    <m/>
    <n v="0.12115184237946397"/>
    <n v="9.4642857142857251E-2"/>
    <m/>
    <m/>
    <m/>
    <m/>
    <m/>
    <m/>
    <m/>
    <m/>
    <m/>
    <m/>
    <m/>
    <s v=""/>
    <m/>
    <m/>
    <m/>
    <m/>
    <m/>
    <n v="2225"/>
    <n v="0"/>
    <s v="US24419910541"/>
    <s v="US2441991054"/>
    <n v="1"/>
    <x v="101"/>
    <m/>
    <m/>
    <m/>
  </r>
  <r>
    <m/>
    <m/>
    <m/>
    <m/>
    <n v="82.3"/>
    <x v="17"/>
    <n v="32013000000"/>
    <m/>
    <n v="4222800000"/>
    <n v="2800000000"/>
    <m/>
    <n v="6800000000"/>
    <n v="16.291327264015333"/>
    <n v="0.41176470588235292"/>
    <n v="0.39744000000000002"/>
    <n v="417400000"/>
    <n v="34352020000"/>
    <n v="5.0517676470588233"/>
    <e v="#DIV/0!"/>
    <m/>
    <m/>
    <s v=""/>
    <m/>
    <m/>
    <m/>
    <m/>
    <m/>
    <n v="2226"/>
    <n v="0"/>
    <s v="US244199105412011"/>
    <s v="US2441991054"/>
    <n v="1"/>
    <x v="101"/>
    <m/>
    <m/>
    <m/>
  </r>
  <r>
    <m/>
    <m/>
    <m/>
    <m/>
    <m/>
    <x v="1"/>
    <n v="0.23103249375120161"/>
    <m/>
    <e v="#DIV/0!"/>
    <n v="0.50134048257372643"/>
    <m/>
    <m/>
    <m/>
    <m/>
    <m/>
    <m/>
    <m/>
    <m/>
    <m/>
    <m/>
    <m/>
    <s v=""/>
    <m/>
    <m/>
    <m/>
    <m/>
    <m/>
    <n v="2227"/>
    <n v="0"/>
    <s v="US24419910541"/>
    <s v="US2441991054"/>
    <n v="1"/>
    <x v="101"/>
    <m/>
    <m/>
    <m/>
  </r>
  <r>
    <m/>
    <m/>
    <m/>
    <m/>
    <n v="83.58"/>
    <x v="18"/>
    <n v="26005000000"/>
    <m/>
    <m/>
    <n v="1865000000"/>
    <m/>
    <n v="6290000000"/>
    <n v="14.834905660377359"/>
    <n v="0.29650238473767887"/>
    <n v="0"/>
    <n v="424000000"/>
    <n v="35437920000"/>
    <n v="5.634009538950715"/>
    <e v="#DIV/0!"/>
    <m/>
    <m/>
    <s v=""/>
    <m/>
    <m/>
    <m/>
    <m/>
    <m/>
    <n v="2228"/>
    <n v="0"/>
    <s v="US244199105412010"/>
    <s v="US2441991054"/>
    <n v="1"/>
    <x v="101"/>
    <m/>
    <m/>
    <m/>
  </r>
  <r>
    <m/>
    <m/>
    <m/>
    <m/>
    <m/>
    <x v="1"/>
    <n v="0.12517307026652813"/>
    <m/>
    <e v="#DIV/0!"/>
    <n v="1.13631156930126"/>
    <m/>
    <m/>
    <m/>
    <m/>
    <m/>
    <m/>
    <m/>
    <m/>
    <m/>
    <m/>
    <m/>
    <s v=""/>
    <m/>
    <m/>
    <m/>
    <m/>
    <m/>
    <n v="2229"/>
    <n v="0"/>
    <s v="US24419910541"/>
    <s v="US2441991054"/>
    <n v="1"/>
    <x v="101"/>
    <m/>
    <m/>
    <m/>
  </r>
  <r>
    <m/>
    <m/>
    <m/>
    <m/>
    <n v="54.09"/>
    <x v="38"/>
    <n v="23112000000"/>
    <m/>
    <m/>
    <n v="873000000"/>
    <m/>
    <n v="4819000000"/>
    <n v="11.397824030274361"/>
    <n v="0.18115791658020336"/>
    <n v="0"/>
    <n v="422800000"/>
    <n v="22869252000"/>
    <n v="4.7456426644532064"/>
    <e v="#DIV/0!"/>
    <m/>
    <m/>
    <s v=""/>
    <m/>
    <m/>
    <m/>
    <m/>
    <m/>
    <n v="2230"/>
    <n v="0"/>
    <s v="US244199105412009"/>
    <s v="US2441991054"/>
    <n v="1"/>
    <x v="101"/>
    <m/>
    <m/>
    <m/>
  </r>
  <r>
    <m/>
    <m/>
    <m/>
    <m/>
    <m/>
    <x v="1"/>
    <n v="-0.18152843685813447"/>
    <m/>
    <e v="#DIV/0!"/>
    <n v="-0.57476863127131028"/>
    <m/>
    <m/>
    <m/>
    <m/>
    <m/>
    <m/>
    <m/>
    <m/>
    <m/>
    <m/>
    <m/>
    <s v=""/>
    <m/>
    <m/>
    <m/>
    <m/>
    <m/>
    <n v="2231"/>
    <n v="0"/>
    <s v="US24419910541"/>
    <s v="US2441991054"/>
    <n v="1"/>
    <x v="101"/>
    <m/>
    <m/>
    <m/>
  </r>
  <r>
    <m/>
    <m/>
    <m/>
    <m/>
    <n v="38.47"/>
    <x v="20"/>
    <n v="28238000000"/>
    <m/>
    <m/>
    <n v="2053000000"/>
    <m/>
    <n v="6533000000"/>
    <n v="15.154256553003943"/>
    <n v="0.31425072707791213"/>
    <n v="0"/>
    <n v="431100000"/>
    <n v="16584417000"/>
    <n v="2.5385606918720343"/>
    <e v="#DIV/0!"/>
    <m/>
    <m/>
    <s v=""/>
    <m/>
    <m/>
    <m/>
    <m/>
    <m/>
    <n v="2232"/>
    <n v="0"/>
    <s v="US244199105412008"/>
    <s v="US2441991054"/>
    <n v="1"/>
    <x v="101"/>
    <m/>
    <m/>
    <m/>
  </r>
  <r>
    <m/>
    <m/>
    <m/>
    <m/>
    <m/>
    <x v="1"/>
    <m/>
    <m/>
    <m/>
    <m/>
    <m/>
    <m/>
    <m/>
    <m/>
    <m/>
    <m/>
    <m/>
    <m/>
    <m/>
    <m/>
    <m/>
    <s v=""/>
    <m/>
    <m/>
    <m/>
    <m/>
    <m/>
    <n v="2233"/>
    <n v="0"/>
    <s v="US24419910541"/>
    <s v="US2441991054"/>
    <n v="1"/>
    <x v="101"/>
    <m/>
    <m/>
    <m/>
  </r>
  <r>
    <m/>
    <m/>
    <m/>
    <m/>
    <m/>
    <x v="1"/>
    <m/>
    <m/>
    <m/>
    <m/>
    <m/>
    <m/>
    <m/>
    <m/>
    <m/>
    <m/>
    <m/>
    <m/>
    <m/>
    <m/>
    <m/>
    <s v=""/>
    <m/>
    <m/>
    <m/>
    <m/>
    <m/>
    <n v="2234"/>
    <n v="0"/>
    <s v="US24419910541"/>
    <s v="US2441991054"/>
    <n v="1"/>
    <x v="101"/>
    <m/>
    <m/>
    <m/>
  </r>
  <r>
    <m/>
    <m/>
    <m/>
    <m/>
    <m/>
    <x v="1"/>
    <m/>
    <m/>
    <m/>
    <m/>
    <m/>
    <m/>
    <m/>
    <m/>
    <m/>
    <m/>
    <m/>
    <m/>
    <m/>
    <m/>
    <m/>
    <s v=""/>
    <m/>
    <m/>
    <m/>
    <m/>
    <m/>
    <n v="2235"/>
    <n v="0"/>
    <s v="US24419910541"/>
    <s v="US2441991054"/>
    <n v="1"/>
    <x v="101"/>
    <m/>
    <m/>
    <m/>
  </r>
  <r>
    <s v="Vinci"/>
    <s v="Construction"/>
    <s v="France"/>
    <s v="Euro"/>
    <m/>
    <x v="0"/>
    <m/>
    <m/>
    <m/>
    <m/>
    <m/>
    <m/>
    <m/>
    <m/>
    <m/>
    <m/>
    <m/>
    <m/>
    <m/>
    <m/>
    <m/>
    <s v=""/>
    <m/>
    <m/>
    <m/>
    <m/>
    <m/>
    <n v="2236"/>
    <n v="0"/>
    <s v="FR000012548612023"/>
    <s v="FR0000125486"/>
    <n v="1"/>
    <x v="102"/>
    <m/>
    <m/>
    <m/>
  </r>
  <r>
    <m/>
    <m/>
    <m/>
    <m/>
    <m/>
    <x v="1"/>
    <m/>
    <m/>
    <m/>
    <m/>
    <m/>
    <m/>
    <m/>
    <m/>
    <m/>
    <m/>
    <m/>
    <m/>
    <m/>
    <m/>
    <m/>
    <s v=""/>
    <m/>
    <m/>
    <m/>
    <m/>
    <m/>
    <n v="2237"/>
    <n v="0"/>
    <s v="FR00001254861"/>
    <s v="FR0000125486"/>
    <n v="1"/>
    <x v="102"/>
    <m/>
    <m/>
    <m/>
  </r>
  <r>
    <m/>
    <m/>
    <m/>
    <m/>
    <n v="93.29"/>
    <x v="2"/>
    <n v="61675000000"/>
    <n v="10215000000"/>
    <n v="6481000000"/>
    <n v="4259000000"/>
    <n v="18536000000"/>
    <m/>
    <m/>
    <m/>
    <m/>
    <m/>
    <m/>
    <m/>
    <m/>
    <m/>
    <m/>
    <s v=""/>
    <n v="5433000000"/>
    <m/>
    <m/>
    <s v="Un des leaders mondiaux de la conception, construction et exploitation de bâtiments, routes, autoroutes, aéroports et programme immbilier"/>
    <m/>
    <n v="2238"/>
    <n v="0"/>
    <s v="FR000012548612022"/>
    <s v="FR0000125486"/>
    <n v="1"/>
    <x v="102"/>
    <m/>
    <m/>
    <m/>
  </r>
  <r>
    <m/>
    <m/>
    <m/>
    <m/>
    <m/>
    <x v="1"/>
    <n v="0.24858288120495597"/>
    <n v="0.29566210045662111"/>
    <n v="0.45183691756272393"/>
    <n v="0.63996919522525997"/>
    <m/>
    <m/>
    <m/>
    <m/>
    <m/>
    <m/>
    <m/>
    <m/>
    <m/>
    <m/>
    <m/>
    <s v=""/>
    <m/>
    <m/>
    <m/>
    <s v="La société a vendu les parkings en ville avec le déclin de la voiture en ville d'ici 2030 (2012-2013 ? À vérifier) et investi dans l'exploitation des aéroports (Lisbonne, Gatwick, Turquie…)"/>
    <m/>
    <n v="2239"/>
    <n v="0"/>
    <s v="FR00001254861"/>
    <s v="FR0000125486"/>
    <n v="1"/>
    <x v="102"/>
    <m/>
    <m/>
    <m/>
  </r>
  <r>
    <m/>
    <m/>
    <m/>
    <m/>
    <n v="92.9"/>
    <x v="3"/>
    <n v="49396000000"/>
    <n v="7884000000"/>
    <n v="4464000000"/>
    <n v="2597000000"/>
    <n v="19500000000"/>
    <m/>
    <m/>
    <m/>
    <m/>
    <n v="605237689"/>
    <n v="56226581308.100006"/>
    <m/>
    <m/>
    <m/>
    <m/>
    <s v=""/>
    <m/>
    <m/>
    <m/>
    <s v="Bonne société bien gérée avec un peu d'endettement mais cycle long. Investissement de long terme"/>
    <m/>
    <n v="2240"/>
    <n v="0"/>
    <s v="FR000012548612021"/>
    <s v="FR0000125486"/>
    <n v="1"/>
    <x v="102"/>
    <m/>
    <m/>
    <m/>
  </r>
  <r>
    <m/>
    <m/>
    <m/>
    <m/>
    <m/>
    <x v="1"/>
    <n v="0.14252671508534953"/>
    <n v="1.7576075550891921"/>
    <n v="0.77777777777777768"/>
    <n v="1.0909822866344605"/>
    <m/>
    <m/>
    <m/>
    <m/>
    <m/>
    <m/>
    <m/>
    <m/>
    <m/>
    <m/>
    <m/>
    <s v=""/>
    <m/>
    <m/>
    <m/>
    <s v="En 2021, acquisition des activités d'ACS Énergie pour 4,9 Md euros"/>
    <m/>
    <n v="2241"/>
    <n v="0"/>
    <s v="FR00001254861"/>
    <s v="FR0000125486"/>
    <n v="1"/>
    <x v="102"/>
    <m/>
    <m/>
    <m/>
  </r>
  <r>
    <m/>
    <m/>
    <m/>
    <m/>
    <n v="81.36"/>
    <x v="4"/>
    <n v="43234000000"/>
    <n v="2859000000"/>
    <n v="2511000000"/>
    <n v="1242000000"/>
    <n v="17989000000"/>
    <n v="20863000000"/>
    <n v="34.470754844217907"/>
    <n v="5.9531227531994441E-2"/>
    <n v="4.1363121589622152E-2"/>
    <n v="605237689"/>
    <n v="49242138377.040001"/>
    <n v="2.3602616295374585"/>
    <n v="23.515613283329834"/>
    <m/>
    <n v="194428"/>
    <n v="222365.09144773387"/>
    <m/>
    <m/>
    <m/>
    <s v="En 2022, Acquisition de COBRA IS, avec le développement d'une activité de production d'énergie renouvelable, Portefeuille de (0,6 Gw en 2022, porté à 2 GW fin 2023)"/>
    <m/>
    <n v="2242"/>
    <n v="0"/>
    <s v="FR000012548612020"/>
    <s v="FR0000125486"/>
    <n v="1"/>
    <x v="102"/>
    <m/>
    <m/>
    <m/>
  </r>
  <r>
    <m/>
    <m/>
    <m/>
    <m/>
    <m/>
    <x v="1"/>
    <n v="-0.10028510186668882"/>
    <n v="-0.66352830410733199"/>
    <n v="-0.55978260869565211"/>
    <n v="-0.61901840490797544"/>
    <m/>
    <m/>
    <m/>
    <m/>
    <m/>
    <m/>
    <m/>
    <m/>
    <m/>
    <m/>
    <m/>
    <s v=""/>
    <m/>
    <m/>
    <m/>
    <m/>
    <m/>
    <n v="2243"/>
    <n v="0"/>
    <s v="FR00001254861"/>
    <s v="FR0000125486"/>
    <n v="1"/>
    <x v="102"/>
    <m/>
    <m/>
    <m/>
  </r>
  <r>
    <m/>
    <m/>
    <m/>
    <m/>
    <n v="96.1"/>
    <x v="5"/>
    <n v="48053000000"/>
    <n v="8497000000"/>
    <n v="5704000000"/>
    <n v="3260000000"/>
    <n v="21654000000"/>
    <n v="20438000000"/>
    <n v="33.768551383124461"/>
    <n v="0.15950680105685489"/>
    <n v="8.6728119357597638E-2"/>
    <n v="605237689"/>
    <n v="58163341912.899994"/>
    <n v="2.845843131074469"/>
    <n v="9.393590904189713"/>
    <m/>
    <m/>
    <s v=""/>
    <m/>
    <m/>
    <m/>
    <m/>
    <m/>
    <n v="2244"/>
    <n v="0"/>
    <s v="FR000012548612019"/>
    <s v="FR0000125486"/>
    <n v="1"/>
    <x v="102"/>
    <m/>
    <m/>
    <m/>
  </r>
  <r>
    <m/>
    <m/>
    <m/>
    <m/>
    <m/>
    <x v="1"/>
    <n v="0.10446131303218831"/>
    <n v="0.23180632067265883"/>
    <n v="0.15840779853777409"/>
    <n v="9.2859537378477963E-2"/>
    <m/>
    <m/>
    <m/>
    <m/>
    <m/>
    <m/>
    <m/>
    <m/>
    <m/>
    <m/>
    <m/>
    <s v=""/>
    <m/>
    <m/>
    <m/>
    <s v="Taux d'IS "/>
    <m/>
    <n v="2245"/>
    <n v="0"/>
    <s v="FR00001254861"/>
    <s v="FR0000125486"/>
    <n v="1"/>
    <x v="102"/>
    <m/>
    <m/>
    <m/>
  </r>
  <r>
    <m/>
    <m/>
    <m/>
    <m/>
    <n v="81.36"/>
    <x v="6"/>
    <n v="43508088000"/>
    <n v="6898000000"/>
    <n v="4924000000"/>
    <n v="2983000000"/>
    <n v="15600000000"/>
    <n v="19800000000"/>
    <n v="33.137188845478654"/>
    <n v="0.15065656565656566"/>
    <n v="8.9021468926553673E-2"/>
    <n v="597515984"/>
    <n v="48613900458.239998"/>
    <n v="2.4552474978909089"/>
    <n v="9.3090606637054218"/>
    <m/>
    <m/>
    <s v=""/>
    <m/>
    <m/>
    <m/>
    <s v="Minoritaires"/>
    <m/>
    <n v="2246"/>
    <n v="0"/>
    <s v="FR000012548612018"/>
    <s v="FR0000125486"/>
    <n v="1"/>
    <x v="102"/>
    <m/>
    <m/>
    <m/>
  </r>
  <r>
    <m/>
    <m/>
    <m/>
    <m/>
    <m/>
    <x v="1"/>
    <n v="8.0999999999999961E-2"/>
    <n v="6.12307692307692E-2"/>
    <n v="6.8808335142174881E-2"/>
    <n v="5.1462812830454618E-2"/>
    <m/>
    <m/>
    <m/>
    <m/>
    <m/>
    <m/>
    <m/>
    <m/>
    <m/>
    <m/>
    <m/>
    <s v=""/>
    <m/>
    <m/>
    <m/>
    <s v="CAC "/>
    <m/>
    <n v="2247"/>
    <n v="0"/>
    <s v="FR00001254861"/>
    <s v="FR0000125486"/>
    <n v="1"/>
    <x v="102"/>
    <m/>
    <m/>
    <m/>
  </r>
  <r>
    <m/>
    <m/>
    <m/>
    <m/>
    <n v="88.24"/>
    <x v="7"/>
    <n v="40248000000"/>
    <n v="6500000000"/>
    <n v="4607000000"/>
    <n v="2837000000"/>
    <n v="14001000000"/>
    <n v="18383000000"/>
    <n v="31.093492942289604"/>
    <n v="0.15432736767665778"/>
    <n v="9.1047430830039522E-2"/>
    <n v="591216948"/>
    <n v="52168983491.519997"/>
    <n v="2.8378928081118424"/>
    <n v="10.179997460233846"/>
    <m/>
    <m/>
    <s v=""/>
    <m/>
    <m/>
    <m/>
    <s v="Pay-out ratio :"/>
    <m/>
    <n v="2248"/>
    <n v="0"/>
    <s v="FR000012548612017"/>
    <s v="FR0000125486"/>
    <n v="1"/>
    <x v="102"/>
    <m/>
    <m/>
    <m/>
  </r>
  <r>
    <m/>
    <m/>
    <m/>
    <m/>
    <m/>
    <x v="1"/>
    <n v="5.712709794342441E-2"/>
    <n v="8.9507207509218922E-2"/>
    <n v="0.10373742213703885"/>
    <n v="0.11473477406679766"/>
    <m/>
    <m/>
    <m/>
    <m/>
    <m/>
    <m/>
    <m/>
    <m/>
    <m/>
    <m/>
    <m/>
    <s v=""/>
    <m/>
    <m/>
    <m/>
    <m/>
    <m/>
    <n v="2249"/>
    <n v="0"/>
    <s v="FR00001254861"/>
    <s v="FR0000125486"/>
    <n v="1"/>
    <x v="102"/>
    <m/>
    <m/>
    <m/>
  </r>
  <r>
    <m/>
    <m/>
    <m/>
    <m/>
    <n v="64.7"/>
    <x v="8"/>
    <n v="38073000000"/>
    <n v="5966000000"/>
    <n v="4174000000"/>
    <n v="2545000000"/>
    <n v="13938000000"/>
    <n v="17006000000"/>
    <n v="28.857696768223043"/>
    <n v="0.14965306362460309"/>
    <n v="8.6328852119958638E-2"/>
    <n v="589305520"/>
    <n v="38128067144"/>
    <n v="2.2420361721745268"/>
    <n v="8.7271316030841426"/>
    <m/>
    <m/>
    <s v=""/>
    <m/>
    <m/>
    <m/>
    <m/>
    <m/>
    <n v="2250"/>
    <n v="0"/>
    <s v="FR000012548612016"/>
    <s v="FR0000125486"/>
    <n v="1"/>
    <x v="102"/>
    <m/>
    <m/>
    <m/>
  </r>
  <r>
    <m/>
    <m/>
    <m/>
    <m/>
    <m/>
    <x v="1"/>
    <n v="-1.1553040137078807E-2"/>
    <n v="5.331920903954801E-2"/>
    <n v="0.11069717935071854"/>
    <n v="0.2241462241462242"/>
    <m/>
    <m/>
    <m/>
    <m/>
    <m/>
    <m/>
    <m/>
    <m/>
    <m/>
    <m/>
    <m/>
    <s v=""/>
    <m/>
    <m/>
    <m/>
    <m/>
    <m/>
    <n v="2251"/>
    <n v="0"/>
    <s v="FR00001254861"/>
    <s v="FR0000125486"/>
    <n v="1"/>
    <x v="102"/>
    <m/>
    <m/>
    <m/>
  </r>
  <r>
    <m/>
    <m/>
    <m/>
    <m/>
    <n v="59.48"/>
    <x v="9"/>
    <n v="38518000000"/>
    <n v="5664000000"/>
    <n v="3758000000"/>
    <n v="2079000000"/>
    <n v="12436000000"/>
    <n v="15256000000"/>
    <n v="25.925601585265568"/>
    <n v="0.13627425275301522"/>
    <n v="8.6852520583562035E-2"/>
    <n v="588453076"/>
    <n v="35001188960.479996"/>
    <n v="2.294257273235448"/>
    <n v="8.3752099153389832"/>
    <m/>
    <m/>
    <s v=""/>
    <m/>
    <m/>
    <m/>
    <m/>
    <m/>
    <n v="2252"/>
    <n v="0"/>
    <s v="FR000012548612015"/>
    <s v="FR0000125486"/>
    <n v="1"/>
    <x v="102"/>
    <m/>
    <m/>
    <m/>
  </r>
  <r>
    <m/>
    <m/>
    <m/>
    <m/>
    <m/>
    <x v="1"/>
    <n v="-4.7799912151512691E-3"/>
    <n v="1.8521848588383349E-2"/>
    <n v="3.1850631521142203E-2"/>
    <n v="-0.16371681415929207"/>
    <m/>
    <m/>
    <m/>
    <m/>
    <m/>
    <m/>
    <m/>
    <m/>
    <m/>
    <m/>
    <m/>
    <s v=""/>
    <m/>
    <m/>
    <m/>
    <m/>
    <m/>
    <n v="2253"/>
    <n v="0"/>
    <s v="FR00001254861"/>
    <s v="FR0000125486"/>
    <n v="1"/>
    <x v="102"/>
    <m/>
    <m/>
    <m/>
  </r>
  <r>
    <m/>
    <m/>
    <m/>
    <m/>
    <n v="45.99"/>
    <x v="10"/>
    <n v="38703000000"/>
    <n v="5561000000"/>
    <n v="3642000000"/>
    <n v="2486000000"/>
    <n v="13281000000"/>
    <n v="14868000000"/>
    <n v="24.603760760291685"/>
    <n v="0.16720473500134517"/>
    <n v="8.2805073004369609E-2"/>
    <n v="604297861"/>
    <n v="27791658627.389999"/>
    <n v="1.8692264344491525"/>
    <n v="7.3858404293094768"/>
    <m/>
    <m/>
    <s v=""/>
    <m/>
    <m/>
    <m/>
    <m/>
    <m/>
    <n v="2254"/>
    <n v="0"/>
    <s v="FR000012548612014"/>
    <s v="FR0000125486"/>
    <n v="1"/>
    <x v="102"/>
    <m/>
    <m/>
    <m/>
  </r>
  <r>
    <m/>
    <m/>
    <m/>
    <m/>
    <m/>
    <x v="1"/>
    <n v="-4.0532500371857849E-2"/>
    <n v="-6.2544674767691655E-3"/>
    <n v="-7.629427792915533E-3"/>
    <n v="0.21505376344086025"/>
    <m/>
    <m/>
    <m/>
    <m/>
    <m/>
    <m/>
    <m/>
    <m/>
    <m/>
    <m/>
    <m/>
    <s v=""/>
    <m/>
    <m/>
    <m/>
    <m/>
    <m/>
    <n v="2255"/>
    <n v="0"/>
    <s v="FR00001254861"/>
    <s v="FR0000125486"/>
    <n v="1"/>
    <x v="102"/>
    <m/>
    <m/>
    <m/>
  </r>
  <r>
    <m/>
    <m/>
    <m/>
    <m/>
    <n v="47.67"/>
    <x v="11"/>
    <n v="40338000000"/>
    <n v="5596000000"/>
    <n v="3670000000"/>
    <n v="2046000000"/>
    <n v="14104000000"/>
    <n v="14260000000"/>
    <n v="24.08959959326755"/>
    <n v="0.14347826086956522"/>
    <n v="8.2809194753913407E-2"/>
    <n v="591956705"/>
    <n v="28218576127.350002"/>
    <n v="1.9788622810203367"/>
    <n v="7.5630050263313091"/>
    <m/>
    <m/>
    <s v=""/>
    <m/>
    <m/>
    <m/>
    <m/>
    <m/>
    <n v="2256"/>
    <n v="0"/>
    <s v="FR000012548612013"/>
    <s v="FR0000125486"/>
    <n v="1"/>
    <x v="102"/>
    <m/>
    <m/>
    <m/>
  </r>
  <r>
    <m/>
    <m/>
    <m/>
    <m/>
    <m/>
    <x v="1"/>
    <n v="4.4106227675104748E-2"/>
    <n v="3.28534514581027E-2"/>
    <n v="-2.4463169339494772E-3"/>
    <n v="9.8716683119446369E-3"/>
    <m/>
    <m/>
    <m/>
    <m/>
    <m/>
    <m/>
    <m/>
    <m/>
    <m/>
    <m/>
    <m/>
    <s v=""/>
    <m/>
    <m/>
    <m/>
    <m/>
    <m/>
    <n v="2257"/>
    <n v="0"/>
    <s v="FR00001254861"/>
    <s v="FR0000125486"/>
    <n v="1"/>
    <x v="102"/>
    <m/>
    <m/>
    <m/>
  </r>
  <r>
    <m/>
    <m/>
    <m/>
    <m/>
    <n v="36.020000000000003"/>
    <x v="12"/>
    <n v="38634000000"/>
    <n v="5418000000"/>
    <n v="3679000000"/>
    <n v="2026000000"/>
    <n v="12527000000"/>
    <n v="13768000000"/>
    <n v="23.846996010817417"/>
    <n v="0.14715281812899478"/>
    <n v="8.9544019775622735E-2"/>
    <n v="577347352"/>
    <n v="20796051619.040001"/>
    <n v="1.5104627846484602"/>
    <n v="6.1504340382133629"/>
    <m/>
    <m/>
    <s v=""/>
    <m/>
    <m/>
    <m/>
    <m/>
    <m/>
    <n v="2258"/>
    <n v="0"/>
    <s v="FR000012548612012"/>
    <s v="FR0000125486"/>
    <n v="1"/>
    <x v="102"/>
    <m/>
    <m/>
    <m/>
  </r>
  <r>
    <m/>
    <m/>
    <m/>
    <m/>
    <m/>
    <x v="1"/>
    <m/>
    <m/>
    <m/>
    <m/>
    <m/>
    <m/>
    <m/>
    <m/>
    <m/>
    <m/>
    <m/>
    <m/>
    <m/>
    <m/>
    <m/>
    <s v=""/>
    <m/>
    <m/>
    <m/>
    <m/>
    <m/>
    <n v="2259"/>
    <n v="0"/>
    <s v="FR00001254861"/>
    <s v="FR0000125486"/>
    <n v="1"/>
    <x v="102"/>
    <m/>
    <m/>
    <m/>
  </r>
  <r>
    <m/>
    <m/>
    <m/>
    <m/>
    <n v="33.74"/>
    <x v="17"/>
    <m/>
    <m/>
    <m/>
    <m/>
    <m/>
    <m/>
    <m/>
    <m/>
    <m/>
    <m/>
    <m/>
    <m/>
    <m/>
    <m/>
    <m/>
    <s v=""/>
    <m/>
    <m/>
    <m/>
    <m/>
    <m/>
    <n v="2260"/>
    <n v="0"/>
    <s v="FR000012548612011"/>
    <s v="FR0000125486"/>
    <n v="1"/>
    <x v="102"/>
    <m/>
    <m/>
    <m/>
  </r>
  <r>
    <m/>
    <m/>
    <m/>
    <m/>
    <m/>
    <x v="1"/>
    <m/>
    <m/>
    <m/>
    <m/>
    <m/>
    <m/>
    <m/>
    <m/>
    <m/>
    <m/>
    <m/>
    <m/>
    <m/>
    <m/>
    <m/>
    <s v=""/>
    <m/>
    <m/>
    <m/>
    <m/>
    <m/>
    <n v="2261"/>
    <n v="0"/>
    <s v="FR00001254861"/>
    <s v="FR0000125486"/>
    <n v="1"/>
    <x v="102"/>
    <m/>
    <m/>
    <m/>
  </r>
  <r>
    <m/>
    <m/>
    <m/>
    <m/>
    <n v="39.99"/>
    <x v="18"/>
    <m/>
    <m/>
    <m/>
    <m/>
    <m/>
    <m/>
    <m/>
    <m/>
    <m/>
    <m/>
    <m/>
    <m/>
    <m/>
    <m/>
    <m/>
    <s v=""/>
    <m/>
    <m/>
    <m/>
    <m/>
    <m/>
    <n v="2262"/>
    <n v="0"/>
    <s v="FR000012548612010"/>
    <s v="FR0000125486"/>
    <n v="1"/>
    <x v="102"/>
    <m/>
    <m/>
    <m/>
  </r>
  <r>
    <m/>
    <m/>
    <m/>
    <m/>
    <m/>
    <x v="1"/>
    <m/>
    <m/>
    <m/>
    <m/>
    <m/>
    <m/>
    <m/>
    <m/>
    <m/>
    <m/>
    <m/>
    <m/>
    <m/>
    <m/>
    <m/>
    <s v=""/>
    <m/>
    <m/>
    <m/>
    <m/>
    <m/>
    <n v="2263"/>
    <n v="0"/>
    <s v="FR00001254861"/>
    <s v="FR0000125486"/>
    <n v="1"/>
    <x v="102"/>
    <m/>
    <m/>
    <m/>
  </r>
  <r>
    <m/>
    <m/>
    <m/>
    <m/>
    <n v="39.47"/>
    <x v="38"/>
    <m/>
    <m/>
    <m/>
    <m/>
    <m/>
    <m/>
    <m/>
    <m/>
    <m/>
    <m/>
    <m/>
    <m/>
    <m/>
    <m/>
    <m/>
    <s v=""/>
    <m/>
    <m/>
    <m/>
    <m/>
    <m/>
    <n v="2264"/>
    <n v="0"/>
    <s v="FR000012548612009"/>
    <s v="FR0000125486"/>
    <n v="1"/>
    <x v="102"/>
    <m/>
    <m/>
    <m/>
  </r>
  <r>
    <m/>
    <m/>
    <m/>
    <m/>
    <m/>
    <x v="1"/>
    <m/>
    <m/>
    <m/>
    <m/>
    <m/>
    <m/>
    <m/>
    <m/>
    <m/>
    <m/>
    <m/>
    <m/>
    <m/>
    <m/>
    <m/>
    <s v=""/>
    <m/>
    <m/>
    <m/>
    <m/>
    <m/>
    <n v="2265"/>
    <n v="0"/>
    <s v="FR00001254861"/>
    <s v="FR0000125486"/>
    <n v="1"/>
    <x v="102"/>
    <m/>
    <m/>
    <m/>
  </r>
  <r>
    <m/>
    <m/>
    <m/>
    <m/>
    <n v="30.92"/>
    <x v="20"/>
    <m/>
    <m/>
    <m/>
    <m/>
    <m/>
    <m/>
    <m/>
    <m/>
    <m/>
    <m/>
    <m/>
    <m/>
    <m/>
    <m/>
    <m/>
    <s v=""/>
    <m/>
    <m/>
    <m/>
    <m/>
    <m/>
    <n v="2266"/>
    <n v="0"/>
    <s v="FR000012548612008"/>
    <s v="FR0000125486"/>
    <n v="1"/>
    <x v="102"/>
    <m/>
    <m/>
    <m/>
  </r>
  <r>
    <m/>
    <m/>
    <m/>
    <m/>
    <m/>
    <x v="1"/>
    <m/>
    <m/>
    <m/>
    <m/>
    <m/>
    <m/>
    <m/>
    <m/>
    <m/>
    <m/>
    <m/>
    <m/>
    <m/>
    <m/>
    <m/>
    <s v=""/>
    <m/>
    <m/>
    <m/>
    <m/>
    <m/>
    <n v="2267"/>
    <n v="0"/>
    <s v="FR00001254861"/>
    <s v="FR0000125486"/>
    <n v="1"/>
    <x v="102"/>
    <m/>
    <m/>
    <m/>
  </r>
  <r>
    <m/>
    <m/>
    <m/>
    <m/>
    <m/>
    <x v="1"/>
    <m/>
    <m/>
    <m/>
    <m/>
    <m/>
    <m/>
    <m/>
    <m/>
    <m/>
    <m/>
    <m/>
    <m/>
    <m/>
    <m/>
    <m/>
    <s v=""/>
    <m/>
    <m/>
    <m/>
    <m/>
    <m/>
    <n v="2268"/>
    <n v="0"/>
    <s v="FR00001254861"/>
    <s v="FR0000125486"/>
    <n v="1"/>
    <x v="102"/>
    <m/>
    <m/>
    <m/>
  </r>
  <r>
    <m/>
    <m/>
    <m/>
    <m/>
    <m/>
    <x v="1"/>
    <m/>
    <m/>
    <m/>
    <m/>
    <m/>
    <m/>
    <m/>
    <m/>
    <m/>
    <m/>
    <m/>
    <m/>
    <m/>
    <m/>
    <m/>
    <s v=""/>
    <m/>
    <m/>
    <m/>
    <m/>
    <m/>
    <n v="2269"/>
    <n v="0"/>
    <s v="FR00001254861"/>
    <s v="FR0000125486"/>
    <n v="1"/>
    <x v="102"/>
    <m/>
    <m/>
    <m/>
  </r>
  <r>
    <s v="Bouygues"/>
    <s v="BTP / Média"/>
    <s v="France"/>
    <s v="Euro"/>
    <n v="32"/>
    <x v="0"/>
    <n v="54400000000"/>
    <n v="4500000000"/>
    <n v="2164000000"/>
    <n v="1300000000"/>
    <n v="6800000000"/>
    <n v="12700000000"/>
    <n v="33.913079926984977"/>
    <n v="0.10236220472440945"/>
    <n v="7.7682051282051287E-2"/>
    <n v="374486777"/>
    <n v="11983576864"/>
    <n v="0.94358872944881889"/>
    <n v="4.1741281920000004"/>
    <s v=" A- / Négative "/>
    <n v="196000"/>
    <n v="277551.02040816325"/>
    <n v="850000000"/>
    <m/>
    <m/>
    <s v="Fondée en 1952 et toujours détenue par la famille Bouygues à 25% via SCDMs (montée en 2022 de 21% à 25%) et 19,8% par les salariés. 80 sociétés contrôlées"/>
    <m/>
    <n v="2270"/>
    <s v="p"/>
    <s v="FR000012050312023"/>
    <s v="FR0000120503"/>
    <n v="1"/>
    <x v="103"/>
    <m/>
    <m/>
    <m/>
  </r>
  <r>
    <m/>
    <m/>
    <m/>
    <m/>
    <m/>
    <x v="1"/>
    <n v="0.22738143585578263"/>
    <n v="0.12810793736744741"/>
    <n v="0.10295616717635059"/>
    <n v="0.33607399794450155"/>
    <m/>
    <m/>
    <m/>
    <m/>
    <m/>
    <m/>
    <m/>
    <m/>
    <m/>
    <d v="2022-12-01T00:00:00"/>
    <m/>
    <s v=""/>
    <m/>
    <m/>
    <m/>
    <s v="Bouygues Telecom créée en 1994 détenue à 90,5%, Construction à 100%, Immobilier à 100%, TF1 (achetée en 1987) à 43,73% (solde : salariés et public) et Colas à 96,6%. Le groupe a cédé sa participation dans Alstom (13% en septembre 2019)"/>
    <m/>
    <n v="2271"/>
    <s v="p"/>
    <s v="FR00001205031"/>
    <s v="FR0000120503"/>
    <n v="1"/>
    <x v="103"/>
    <m/>
    <m/>
    <m/>
  </r>
  <r>
    <m/>
    <m/>
    <m/>
    <m/>
    <n v="28"/>
    <x v="2"/>
    <n v="44322000000"/>
    <n v="3988980000"/>
    <n v="1962000000"/>
    <n v="973000000"/>
    <n v="7440000000"/>
    <n v="12212000000"/>
    <n v="32.609963154987447"/>
    <n v="7.9675728791352762E-2"/>
    <n v="6.9886016690413194E-2"/>
    <n v="374486777"/>
    <n v="10485629756"/>
    <n v="0.85863329151654111"/>
    <n v="4.4937878244563771"/>
    <m/>
    <n v="124651"/>
    <n v="355568.74794426037"/>
    <n v="795000000"/>
    <m/>
    <m/>
    <s v="Actions détenus par Martin Bouygues : 369 297 et 79 992 925 via SCDM et SCDM Participations "/>
    <m/>
    <n v="2272"/>
    <s v="p"/>
    <s v="FR000012050312022"/>
    <s v="FR0000120503"/>
    <n v="1"/>
    <x v="103"/>
    <m/>
    <m/>
    <m/>
  </r>
  <r>
    <m/>
    <m/>
    <m/>
    <m/>
    <m/>
    <x v="1"/>
    <n v="0.17912155151773135"/>
    <n v="8.7804745023179809E-2"/>
    <n v="0.13214079630698206"/>
    <n v="-0.13511111111111107"/>
    <m/>
    <m/>
    <m/>
    <m/>
    <m/>
    <m/>
    <m/>
    <m/>
    <m/>
    <m/>
    <m/>
    <s v=""/>
    <m/>
    <m/>
    <m/>
    <s v="Gouvernance : CEO (DG) et président du conseil d'administration Martin Bouygues. Échéance du mandat en 2021. Né en 1952"/>
    <m/>
    <n v="2273"/>
    <s v="p"/>
    <s v="FR00001205031"/>
    <s v="FR0000120503"/>
    <n v="1"/>
    <x v="103"/>
    <m/>
    <m/>
    <m/>
  </r>
  <r>
    <m/>
    <m/>
    <m/>
    <m/>
    <n v="31.49"/>
    <x v="3"/>
    <n v="37589000000"/>
    <n v="3667000000"/>
    <n v="1733000000"/>
    <n v="1125000000"/>
    <n v="941000000"/>
    <n v="11144000000"/>
    <n v="29.134275297124052"/>
    <n v="0.10095118449389806"/>
    <n v="0.10038063715349607"/>
    <n v="382504795"/>
    <n v="12045075994.549999"/>
    <n v="1.0808575013056352"/>
    <n v="3.5413351498636487"/>
    <m/>
    <m/>
    <s v=""/>
    <n v="830000000"/>
    <m/>
    <m/>
    <s v="Participation d'Alstom réduite en 2019 à 14,5% (contre 27,7% à 37 euros soit 1,079 Md euros) puis réduite en 2020 à moins de 10% soit 440 M euros récupérés (à 42 Euros par action Alstom). "/>
    <m/>
    <n v="2274"/>
    <s v="p"/>
    <s v="FR000012050312021"/>
    <s v="FR0000120503"/>
    <n v="1"/>
    <x v="103"/>
    <m/>
    <m/>
    <m/>
  </r>
  <r>
    <m/>
    <m/>
    <m/>
    <m/>
    <m/>
    <x v="1"/>
    <n v="8.3443823139447648E-2"/>
    <n v="0.1342406433652954"/>
    <n v="0.54181494661921703"/>
    <n v="0.61637931034482762"/>
    <m/>
    <m/>
    <m/>
    <m/>
    <m/>
    <m/>
    <m/>
    <m/>
    <m/>
    <m/>
    <m/>
    <s v=""/>
    <m/>
    <m/>
    <m/>
    <s v="Nouvelle cession d'actions Alstom (3,12% du capital soit 12 millions de titres et 500 M euros). Reste 3,12% du capital au 10 mars 2021. "/>
    <m/>
    <n v="2275"/>
    <s v="p"/>
    <s v="FR00001205031"/>
    <s v="FR0000120503"/>
    <n v="1"/>
    <x v="103"/>
    <m/>
    <m/>
    <m/>
  </r>
  <r>
    <m/>
    <m/>
    <m/>
    <m/>
    <n v="33.65"/>
    <x v="4"/>
    <n v="34694000000"/>
    <n v="3233000000"/>
    <n v="1124000000"/>
    <n v="696000000"/>
    <n v="1981000000"/>
    <n v="10340000000"/>
    <n v="27.164428280996621"/>
    <n v="6.7311411992263051E-2"/>
    <n v="6.3858453047642233E-2"/>
    <n v="380644860"/>
    <n v="12808699539"/>
    <n v="1.2387523732108316"/>
    <n v="4.5746054868543151"/>
    <m/>
    <m/>
    <s v=""/>
    <n v="725000000"/>
    <m/>
    <m/>
    <s v="Construction : 29,6 Md euros (78% du CA  et 55% du résultat opérationnel) / Télécoms : 6,1 Md euros (16% et 32% du résultat opérationnel proche de celui d'Iliad) / Médias (TF1 - Intégration globale) : 2,3 Md euros (6% du CA et 23% du résultat opérationnel mais 4,6% du RNPG)"/>
    <m/>
    <n v="2276"/>
    <s v="p"/>
    <s v="FR000012050312020"/>
    <s v="FR0000120503"/>
    <n v="1"/>
    <x v="103"/>
    <m/>
    <m/>
    <m/>
  </r>
  <r>
    <m/>
    <m/>
    <m/>
    <m/>
    <m/>
    <x v="1"/>
    <n v="-8.5290938332146959E-2"/>
    <n v="-8.8782412626832063E-2"/>
    <n v="-0.33726415094339623"/>
    <n v="-0.41216216216216217"/>
    <m/>
    <m/>
    <m/>
    <m/>
    <m/>
    <m/>
    <m/>
    <m/>
    <m/>
    <m/>
    <m/>
    <s v=""/>
    <m/>
    <m/>
    <m/>
    <s v="Litiges : 323 M euros en 2017 puis 286 M euros en 2018 puis 252 M euros en 2019  puis 248 M euros au 30/06/2020. Moyenne à 220 M euros soit 0,6% du CA"/>
    <m/>
    <n v="2277"/>
    <s v="p"/>
    <s v="FR00001205031"/>
    <s v="FR0000120503"/>
    <n v="1"/>
    <x v="103"/>
    <m/>
    <m/>
    <m/>
  </r>
  <r>
    <m/>
    <m/>
    <m/>
    <m/>
    <n v="37.770000000000003"/>
    <x v="5"/>
    <n v="37929000000"/>
    <n v="3548000000"/>
    <n v="1696000000"/>
    <n v="1184000000"/>
    <n v="2222000000"/>
    <n v="10405000000"/>
    <n v="27.393969672387605"/>
    <n v="0.11379144641999039"/>
    <n v="9.4020749188247404E-2"/>
    <n v="379828120"/>
    <n v="14346108092.400002"/>
    <n v="1.3787705999423356"/>
    <n v="4.669703520969561"/>
    <m/>
    <m/>
    <s v=""/>
    <m/>
    <m/>
    <m/>
    <s v="En 2020, l'international représente 62% du carnet de commandes (métro à Edmonton au Canada, tunnel à Pauwtucket aux États-Unis….)"/>
    <m/>
    <n v="2278"/>
    <s v="p"/>
    <s v="FR000012050312019"/>
    <s v="FR0000120503"/>
    <n v="1"/>
    <x v="103"/>
    <m/>
    <m/>
    <m/>
  </r>
  <r>
    <m/>
    <m/>
    <m/>
    <m/>
    <m/>
    <x v="1"/>
    <n v="6.6769793278020018E-2"/>
    <n v="0.12849872773536886"/>
    <n v="-4.5045045045045029E-2"/>
    <n v="-9.687261632341726E-2"/>
    <m/>
    <m/>
    <m/>
    <m/>
    <m/>
    <m/>
    <m/>
    <m/>
    <m/>
    <m/>
    <m/>
    <s v=""/>
    <m/>
    <m/>
    <m/>
    <s v="Conglomérat : valeur de TF1 : 700 - 800 Me (pour une valeur de TF1 Groupe à 1,5 -2 Md euros) - Bouygues Telecom (18% de part de marché) : 8 Md euros (Iliad : 10 Md euros) et Construction : 7-8 Md euros. "/>
    <m/>
    <n v="2279"/>
    <s v="p"/>
    <s v="FR00001205031"/>
    <s v="FR0000120503"/>
    <n v="1"/>
    <x v="103"/>
    <m/>
    <m/>
    <m/>
  </r>
  <r>
    <m/>
    <m/>
    <m/>
    <m/>
    <n v="30.99"/>
    <x v="6"/>
    <n v="35555000000"/>
    <n v="3144000000"/>
    <n v="1776000000"/>
    <n v="1311000000"/>
    <n v="3657000000"/>
    <n v="9726000000"/>
    <n v="26.118625679380003"/>
    <n v="0.13479333744602098"/>
    <n v="9.2893969961891948E-2"/>
    <n v="372377939"/>
    <n v="11539992329.609999"/>
    <n v="1.1865095958883405"/>
    <n v="4.8336489597996177"/>
    <m/>
    <m/>
    <s v=""/>
    <m/>
    <m/>
    <m/>
    <s v="Finalement retour aux résultats de 2019 en 2021 (contre 2022 initialement prévu). Acquisition d'Equans (services multitechniques d'ENGIE) pour 7,1 Md euros en novembre 2021 (pas d'augmentation de capital en vue)"/>
    <m/>
    <n v="2280"/>
    <s v="p"/>
    <s v="FR000012050312018"/>
    <s v="FR0000120503"/>
    <n v="1"/>
    <x v="103"/>
    <m/>
    <m/>
    <m/>
  </r>
  <r>
    <m/>
    <m/>
    <m/>
    <m/>
    <m/>
    <x v="1"/>
    <n v="8.0567712132263658E-2"/>
    <n v="5.9299191374662996E-2"/>
    <n v="0.15851272015655571"/>
    <n v="0.20829493087557593"/>
    <m/>
    <m/>
    <m/>
    <m/>
    <m/>
    <m/>
    <m/>
    <m/>
    <m/>
    <m/>
    <m/>
    <s v=""/>
    <m/>
    <m/>
    <m/>
    <s v="En 2022, intégration d'Equans au second semestre. Montée de la famille Bouygues de 21% à 25% du capital"/>
    <m/>
    <n v="2281"/>
    <s v="p"/>
    <s v="FR00001205031"/>
    <s v="FR0000120503"/>
    <n v="1"/>
    <x v="103"/>
    <m/>
    <m/>
    <m/>
  </r>
  <r>
    <m/>
    <m/>
    <m/>
    <m/>
    <n v="43.22"/>
    <x v="7"/>
    <n v="32904000000"/>
    <n v="2968000000"/>
    <n v="1533000000"/>
    <n v="1085000000"/>
    <n v="1914000000"/>
    <n v="8851000000"/>
    <n v="24.174784869064698"/>
    <n v="0.12258501864196136"/>
    <n v="9.9684161634927992E-2"/>
    <n v="366125285"/>
    <n v="15823934817.699999"/>
    <n v="1.7878132208451021"/>
    <n v="5.9763931326482469"/>
    <m/>
    <m/>
    <s v=""/>
    <m/>
    <m/>
    <m/>
    <s v="Effectifs : 130 500  personnes. Chiffre d'affaires par salarié : 270 000 euros (plus en Média &amp; Télécom que dans la construction)"/>
    <m/>
    <n v="2282"/>
    <s v="p"/>
    <s v="FR000012050312017"/>
    <s v="FR0000120503"/>
    <n v="1"/>
    <x v="103"/>
    <m/>
    <m/>
    <m/>
  </r>
  <r>
    <m/>
    <m/>
    <m/>
    <m/>
    <m/>
    <x v="1"/>
    <n v="3.5759254595819634E-2"/>
    <n v="7.6532462821907954E-2"/>
    <n v="0.61879619852164724"/>
    <n v="0.48224043715846987"/>
    <m/>
    <m/>
    <m/>
    <m/>
    <m/>
    <m/>
    <m/>
    <m/>
    <m/>
    <m/>
    <m/>
    <s v=""/>
    <m/>
    <m/>
    <m/>
    <s v="Total : 16-17 Md euros soit 42-43 euros par action. Valorisation en mai 2020 : 90 % des FP à 25 euros cela vaut 38-42 euros. Création de valeur moyenne dans la durée. "/>
    <m/>
    <n v="2283"/>
    <s v="p"/>
    <s v="FR00001205031"/>
    <s v="FR0000120503"/>
    <n v="1"/>
    <x v="103"/>
    <m/>
    <m/>
    <m/>
  </r>
  <r>
    <m/>
    <m/>
    <m/>
    <m/>
    <n v="34"/>
    <x v="8"/>
    <n v="31768000000"/>
    <n v="2757000000"/>
    <n v="947000000"/>
    <n v="732000000"/>
    <n v="1866000000"/>
    <n v="8140000000"/>
    <n v="22.935485969009363"/>
    <n v="8.9926289926289926E-2"/>
    <n v="6.625024985008994E-2"/>
    <n v="354908547"/>
    <n v="12066890598"/>
    <n v="1.4824189923832924"/>
    <n v="5.0536418563656147"/>
    <m/>
    <m/>
    <s v=""/>
    <m/>
    <m/>
    <m/>
    <s v="CAC : Mazars et Ernst Young Audit"/>
    <m/>
    <n v="2284"/>
    <s v="p"/>
    <s v="FR000012050312016"/>
    <s v="FR0000120503"/>
    <n v="1"/>
    <x v="103"/>
    <m/>
    <m/>
    <m/>
  </r>
  <r>
    <m/>
    <m/>
    <m/>
    <m/>
    <m/>
    <x v="1"/>
    <n v="-2.0352781546811416E-2"/>
    <n v="0.14350891746163419"/>
    <n v="0.42021595680863832"/>
    <n v="0.81637717121588094"/>
    <m/>
    <m/>
    <m/>
    <m/>
    <m/>
    <m/>
    <m/>
    <m/>
    <m/>
    <m/>
    <m/>
    <s v=""/>
    <m/>
    <m/>
    <m/>
    <s v="Minoritaires : 12,5% avec TF1 principalement et Colas"/>
    <m/>
    <n v="2285"/>
    <s v="p"/>
    <s v="FR00001205031"/>
    <s v="FR0000120503"/>
    <n v="1"/>
    <x v="103"/>
    <m/>
    <m/>
    <m/>
  </r>
  <r>
    <m/>
    <m/>
    <m/>
    <m/>
    <n v="36.54"/>
    <x v="9"/>
    <n v="32428000000"/>
    <n v="2411000000"/>
    <n v="666800000"/>
    <n v="403000000"/>
    <n v="2561000000"/>
    <n v="7865000000"/>
    <n v="22.78816346919421"/>
    <n v="5.1239669421487603E-2"/>
    <n v="4.4768847112986766E-2"/>
    <n v="345135316"/>
    <n v="12611244446.639999"/>
    <n v="1.6034640110158931"/>
    <n v="6.2929259421982575"/>
    <m/>
    <m/>
    <s v=""/>
    <m/>
    <m/>
    <m/>
    <s v="Pay out ratio : 53%  "/>
    <m/>
    <n v="2286"/>
    <s v="p"/>
    <s v="FR000012050312015"/>
    <s v="FR0000120503"/>
    <n v="1"/>
    <x v="103"/>
    <m/>
    <m/>
    <m/>
  </r>
  <r>
    <m/>
    <m/>
    <m/>
    <m/>
    <m/>
    <x v="1"/>
    <n v="-2.1425553744945369E-2"/>
    <n v="-2.8949545078577055E-3"/>
    <n v="-0.41147396293027361"/>
    <n v="-0.50061957868649321"/>
    <m/>
    <m/>
    <m/>
    <m/>
    <m/>
    <m/>
    <m/>
    <m/>
    <m/>
    <m/>
    <m/>
    <s v=""/>
    <m/>
    <m/>
    <m/>
    <m/>
    <m/>
    <n v="2287"/>
    <s v="p"/>
    <s v="FR00001205031"/>
    <s v="FR0000120503"/>
    <n v="1"/>
    <x v="103"/>
    <m/>
    <m/>
    <m/>
  </r>
  <r>
    <m/>
    <m/>
    <m/>
    <m/>
    <n v="30.17"/>
    <x v="10"/>
    <n v="33138000000"/>
    <n v="2418000000"/>
    <n v="1133000000"/>
    <n v="807000000"/>
    <n v="3216000000"/>
    <n v="7854000000"/>
    <n v="23.368986798033976"/>
    <n v="0.1027501909854851"/>
    <n v="7.1644083107497744E-2"/>
    <n v="336086458"/>
    <n v="10139728437.860001"/>
    <n v="1.2910273030124777"/>
    <n v="5.5234608924152191"/>
    <m/>
    <m/>
    <s v=""/>
    <m/>
    <m/>
    <m/>
    <m/>
    <m/>
    <n v="2288"/>
    <s v="p"/>
    <s v="FR000012050312014"/>
    <s v="FR0000120503"/>
    <n v="1"/>
    <x v="103"/>
    <m/>
    <m/>
    <m/>
  </r>
  <r>
    <m/>
    <m/>
    <m/>
    <m/>
    <m/>
    <x v="1"/>
    <m/>
    <m/>
    <m/>
    <m/>
    <m/>
    <m/>
    <m/>
    <m/>
    <m/>
    <m/>
    <m/>
    <m/>
    <m/>
    <m/>
    <m/>
    <s v=""/>
    <m/>
    <m/>
    <m/>
    <m/>
    <m/>
    <n v="2289"/>
    <s v="p"/>
    <s v="FR00001205031"/>
    <s v="FR0000120503"/>
    <n v="1"/>
    <x v="103"/>
    <m/>
    <m/>
    <m/>
  </r>
  <r>
    <m/>
    <m/>
    <m/>
    <m/>
    <m/>
    <x v="1"/>
    <m/>
    <m/>
    <m/>
    <m/>
    <m/>
    <m/>
    <m/>
    <m/>
    <m/>
    <m/>
    <m/>
    <m/>
    <m/>
    <m/>
    <m/>
    <s v=""/>
    <m/>
    <m/>
    <m/>
    <m/>
    <m/>
    <n v="2290"/>
    <s v="p"/>
    <s v="FR00001205031"/>
    <s v="FR0000120503"/>
    <n v="1"/>
    <x v="103"/>
    <m/>
    <m/>
    <m/>
  </r>
  <r>
    <m/>
    <m/>
    <m/>
    <m/>
    <m/>
    <x v="1"/>
    <m/>
    <m/>
    <m/>
    <m/>
    <m/>
    <m/>
    <m/>
    <m/>
    <m/>
    <m/>
    <m/>
    <m/>
    <m/>
    <m/>
    <m/>
    <s v=""/>
    <m/>
    <m/>
    <m/>
    <m/>
    <m/>
    <n v="2291"/>
    <s v="p"/>
    <s v="FR00001205031"/>
    <s v="FR0000120503"/>
    <n v="1"/>
    <x v="103"/>
    <m/>
    <m/>
    <m/>
  </r>
  <r>
    <m/>
    <m/>
    <m/>
    <m/>
    <m/>
    <x v="1"/>
    <m/>
    <m/>
    <m/>
    <m/>
    <m/>
    <m/>
    <m/>
    <m/>
    <m/>
    <m/>
    <m/>
    <m/>
    <m/>
    <m/>
    <m/>
    <s v=""/>
    <m/>
    <m/>
    <m/>
    <m/>
    <m/>
    <n v="2292"/>
    <s v="p"/>
    <s v="FR00001205031"/>
    <s v="FR0000120503"/>
    <n v="1"/>
    <x v="103"/>
    <m/>
    <m/>
    <m/>
  </r>
  <r>
    <m/>
    <m/>
    <m/>
    <m/>
    <m/>
    <x v="1"/>
    <m/>
    <m/>
    <m/>
    <m/>
    <m/>
    <m/>
    <m/>
    <m/>
    <m/>
    <m/>
    <m/>
    <m/>
    <m/>
    <m/>
    <m/>
    <s v=""/>
    <m/>
    <m/>
    <m/>
    <m/>
    <m/>
    <n v="2293"/>
    <s v="p"/>
    <s v="FR00001205031"/>
    <s v="FR0000120503"/>
    <n v="1"/>
    <x v="103"/>
    <m/>
    <m/>
    <m/>
  </r>
  <r>
    <s v="Eiffage"/>
    <s v="Construction "/>
    <s v="France"/>
    <s v="Euro"/>
    <m/>
    <x v="0"/>
    <m/>
    <m/>
    <m/>
    <m/>
    <m/>
    <m/>
    <m/>
    <m/>
    <m/>
    <m/>
    <m/>
    <m/>
    <m/>
    <m/>
    <m/>
    <s v=""/>
    <m/>
    <m/>
    <m/>
    <m/>
    <m/>
    <n v="2294"/>
    <n v="0"/>
    <s v="FR000013045212023"/>
    <s v="FR0000130452"/>
    <n v="1"/>
    <x v="104"/>
    <m/>
    <m/>
    <m/>
  </r>
  <r>
    <m/>
    <m/>
    <m/>
    <m/>
    <m/>
    <x v="1"/>
    <m/>
    <m/>
    <m/>
    <m/>
    <m/>
    <m/>
    <m/>
    <m/>
    <m/>
    <m/>
    <m/>
    <m/>
    <m/>
    <m/>
    <m/>
    <s v=""/>
    <m/>
    <m/>
    <m/>
    <m/>
    <m/>
    <n v="2295"/>
    <n v="0"/>
    <s v="FR00001304521"/>
    <s v="FR0000130452"/>
    <n v="1"/>
    <x v="104"/>
    <m/>
    <m/>
    <m/>
  </r>
  <r>
    <m/>
    <m/>
    <m/>
    <m/>
    <n v="91.92"/>
    <x v="2"/>
    <m/>
    <m/>
    <m/>
    <m/>
    <m/>
    <m/>
    <m/>
    <m/>
    <m/>
    <m/>
    <m/>
    <m/>
    <m/>
    <m/>
    <m/>
    <s v=""/>
    <m/>
    <m/>
    <m/>
    <m/>
    <m/>
    <n v="2296"/>
    <n v="0"/>
    <s v="FR000013045212022"/>
    <s v="FR0000130452"/>
    <n v="1"/>
    <x v="104"/>
    <m/>
    <m/>
    <m/>
  </r>
  <r>
    <m/>
    <m/>
    <m/>
    <m/>
    <m/>
    <x v="1"/>
    <m/>
    <m/>
    <m/>
    <m/>
    <m/>
    <m/>
    <m/>
    <m/>
    <m/>
    <m/>
    <m/>
    <m/>
    <m/>
    <m/>
    <m/>
    <s v=""/>
    <m/>
    <m/>
    <m/>
    <m/>
    <m/>
    <n v="2297"/>
    <n v="0"/>
    <s v="FR00001304521"/>
    <s v="FR0000130452"/>
    <n v="1"/>
    <x v="104"/>
    <m/>
    <m/>
    <m/>
  </r>
  <r>
    <m/>
    <m/>
    <m/>
    <m/>
    <n v="90.5"/>
    <x v="3"/>
    <n v="17400000000"/>
    <n v="2500000000"/>
    <n v="1500000000"/>
    <n v="520000000"/>
    <n v="10200000000"/>
    <n v="5403000000"/>
    <n v="55.132653061224488"/>
    <n v="9.6242828058486024E-2"/>
    <n v="6.7294751009421255E-2"/>
    <n v="98000000"/>
    <n v="8869000000"/>
    <n v="1.6414954654821396"/>
    <n v="7.6276000000000002"/>
    <s v="A-"/>
    <m/>
    <s v=""/>
    <m/>
    <m/>
    <m/>
    <s v="Issue d'une fusion de Fougerolle et SAE en 1993. Présent dans la construction, concession (APRR, depuis 2006, Est de la France acheté pour 5,4 Md euros) et énergie système"/>
    <m/>
    <n v="2298"/>
    <n v="0"/>
    <s v="FR000013045212021"/>
    <s v="FR0000130452"/>
    <n v="1"/>
    <x v="104"/>
    <m/>
    <m/>
    <m/>
  </r>
  <r>
    <m/>
    <m/>
    <m/>
    <m/>
    <m/>
    <x v="1"/>
    <n v="0.10126582278481022"/>
    <n v="0.25"/>
    <n v="0.5"/>
    <n v="0.73333333333333339"/>
    <m/>
    <m/>
    <m/>
    <m/>
    <m/>
    <m/>
    <m/>
    <m/>
    <m/>
    <m/>
    <m/>
    <s v=""/>
    <m/>
    <m/>
    <m/>
    <s v="Capital : 17% salariés et 83% investisseurs institutuionnels"/>
    <m/>
    <n v="2299"/>
    <n v="0"/>
    <s v="FR00001304521"/>
    <s v="FR0000130452"/>
    <n v="1"/>
    <x v="104"/>
    <m/>
    <m/>
    <m/>
  </r>
  <r>
    <m/>
    <m/>
    <m/>
    <m/>
    <n v="79.040000000000006"/>
    <x v="4"/>
    <n v="15800000000"/>
    <n v="2000000000"/>
    <n v="1000000000"/>
    <n v="300000000"/>
    <n v="10900000000"/>
    <n v="5150000000"/>
    <n v="51.705849258835308"/>
    <n v="5.8252427184466021E-2"/>
    <n v="4.3613707165109032E-2"/>
    <n v="99601884"/>
    <n v="7872532911.3600006"/>
    <n v="1.5286471672543691"/>
    <n v="9.3862664556799995"/>
    <m/>
    <m/>
    <s v=""/>
    <m/>
    <m/>
    <m/>
    <s v="CEO et président du conseil d'administration depuis 2016 : Benoît de Ruffray née en 1966. Il possède 25 638 actions soit 2 M euros"/>
    <m/>
    <n v="2300"/>
    <n v="0"/>
    <s v="FR000013045212020"/>
    <s v="FR0000130452"/>
    <n v="1"/>
    <x v="104"/>
    <m/>
    <m/>
    <m/>
  </r>
  <r>
    <m/>
    <m/>
    <m/>
    <m/>
    <m/>
    <x v="1"/>
    <n v="-0.12914071542743755"/>
    <n v="-0.34340118187787261"/>
    <n v="-0.48373773877129578"/>
    <n v="-0.5862068965517242"/>
    <m/>
    <m/>
    <m/>
    <m/>
    <m/>
    <m/>
    <m/>
    <m/>
    <m/>
    <m/>
    <m/>
    <s v=""/>
    <m/>
    <m/>
    <m/>
    <s v="Carnet de commande à 16,4Md euros (au 30 septembre 2020) soit 14 mois d'activité"/>
    <m/>
    <n v="2301"/>
    <n v="0"/>
    <s v="FR00001304521"/>
    <s v="FR0000130452"/>
    <n v="1"/>
    <x v="104"/>
    <m/>
    <m/>
    <m/>
  </r>
  <r>
    <m/>
    <m/>
    <m/>
    <m/>
    <n v="102"/>
    <x v="5"/>
    <n v="18143000000"/>
    <n v="3046000000"/>
    <n v="1937000000"/>
    <n v="725000000"/>
    <n v="10200000000"/>
    <n v="5248000000"/>
    <n v="53.551020408163268"/>
    <n v="0.13814786585365854"/>
    <n v="8.7771879854997417E-2"/>
    <n v="98000000"/>
    <n v="9996000000"/>
    <n v="1.9047256097560976"/>
    <n v="6.6303348653972423"/>
    <m/>
    <m/>
    <s v=""/>
    <m/>
    <m/>
    <m/>
    <s v="Répartition du CA en 2020 : 75% France, 21% Europe hors France et 4% hors Europe"/>
    <m/>
    <n v="2302"/>
    <n v="0"/>
    <s v="FR000013045212019"/>
    <s v="FR0000130452"/>
    <n v="1"/>
    <x v="104"/>
    <m/>
    <m/>
    <m/>
  </r>
  <r>
    <m/>
    <m/>
    <m/>
    <m/>
    <m/>
    <x v="1"/>
    <n v="9.4468239126500597E-2"/>
    <n v="0.11944138184491004"/>
    <n v="7.2535991140642242E-2"/>
    <n v="0.15262321144674096"/>
    <m/>
    <m/>
    <m/>
    <m/>
    <m/>
    <m/>
    <m/>
    <m/>
    <m/>
    <m/>
    <m/>
    <s v=""/>
    <m/>
    <m/>
    <m/>
    <s v="Chiffre d'affaires en 2019 : 36% Infrastructure, 24% Construction, 24% Énergie Système, 18% Concession, 1% Holding et - 3% "/>
    <m/>
    <n v="2303"/>
    <n v="0"/>
    <s v="FR00001304521"/>
    <s v="FR0000130452"/>
    <n v="1"/>
    <x v="104"/>
    <m/>
    <m/>
    <m/>
  </r>
  <r>
    <m/>
    <m/>
    <m/>
    <m/>
    <n v="72.2"/>
    <x v="6"/>
    <n v="16577000000"/>
    <n v="2721000000"/>
    <n v="1806000000"/>
    <n v="629000000"/>
    <n v="10544000000"/>
    <n v="4756000000"/>
    <n v="48.530612244897959"/>
    <n v="0.13225399495374265"/>
    <n v="8.2627450980392161E-2"/>
    <n v="98000000"/>
    <n v="7075600000"/>
    <n v="1.4877207737594618"/>
    <n v="6.4754134509371557"/>
    <m/>
    <m/>
    <s v=""/>
    <m/>
    <m/>
    <m/>
    <s v="Résultats d'exploitation en 2019 : 76% Concession, 10% Énergie Système, 9% Infrastructure, 7% Construction et -2% Holding "/>
    <m/>
    <n v="2304"/>
    <n v="0"/>
    <s v="FR000013045212018"/>
    <s v="FR0000130452"/>
    <n v="1"/>
    <x v="104"/>
    <m/>
    <m/>
    <m/>
  </r>
  <r>
    <m/>
    <m/>
    <m/>
    <m/>
    <m/>
    <x v="1"/>
    <n v="0.10690438034188032"/>
    <n v="5.9579439252336552E-2"/>
    <n v="7.9497907949790836E-2"/>
    <n v="0.15412844036697249"/>
    <m/>
    <m/>
    <m/>
    <m/>
    <m/>
    <m/>
    <m/>
    <m/>
    <m/>
    <m/>
    <m/>
    <s v=""/>
    <m/>
    <m/>
    <m/>
    <s v="Exploite les aéroports de Toulouse, de Lille et 5% du capital de Getlink (Tunnel sous la Manche)"/>
    <m/>
    <n v="2305"/>
    <n v="0"/>
    <s v="FR00001304521"/>
    <s v="FR0000130452"/>
    <n v="1"/>
    <x v="104"/>
    <m/>
    <m/>
    <m/>
  </r>
  <r>
    <m/>
    <m/>
    <m/>
    <m/>
    <n v="91.4"/>
    <x v="7"/>
    <n v="14976000000"/>
    <n v="2568000000"/>
    <n v="1673000000"/>
    <n v="545000000"/>
    <n v="10374000000"/>
    <n v="4285000000"/>
    <n v="43.722809590806946"/>
    <n v="0.12718786464410736"/>
    <n v="7.988948768674535E-2"/>
    <n v="98003766"/>
    <n v="8957544212.3999996"/>
    <n v="2.0904420565694282"/>
    <n v="7.5278598957943927"/>
    <m/>
    <m/>
    <s v=""/>
    <m/>
    <m/>
    <m/>
    <s v="Croissance annuel du CA de 2014 à 2019 : 5,15%.  Vinci : 2% et Bouygues : 2,5% "/>
    <m/>
    <n v="2306"/>
    <n v="0"/>
    <s v="FR000013045212017"/>
    <s v="FR0000130452"/>
    <n v="1"/>
    <x v="104"/>
    <m/>
    <m/>
    <m/>
  </r>
  <r>
    <m/>
    <m/>
    <m/>
    <m/>
    <m/>
    <x v="1"/>
    <n v="6.910336950314111E-2"/>
    <n v="6.2474141497724345E-2"/>
    <n v="9.6330275229357776E-2"/>
    <n v="0.14736842105263159"/>
    <m/>
    <m/>
    <m/>
    <m/>
    <m/>
    <m/>
    <m/>
    <m/>
    <m/>
    <m/>
    <m/>
    <s v=""/>
    <m/>
    <m/>
    <m/>
    <s v="En 2021, activité Travaux en croissance par rapport à 2019, Concessions en-dessous sauf Autoroute, reste le problème des aéroports et de Getlink. "/>
    <m/>
    <n v="2307"/>
    <n v="0"/>
    <s v="FR00001304521"/>
    <s v="FR0000130452"/>
    <n v="1"/>
    <x v="104"/>
    <m/>
    <m/>
    <m/>
  </r>
  <r>
    <m/>
    <m/>
    <m/>
    <m/>
    <n v="66.3"/>
    <x v="8"/>
    <n v="14008000000"/>
    <n v="2417000000"/>
    <n v="1526000000"/>
    <n v="475000000"/>
    <n v="11213000000"/>
    <n v="3642000000"/>
    <n v="37.132095185607717"/>
    <n v="0.13042284459088413"/>
    <n v="7.1908448333894301E-2"/>
    <n v="98082265"/>
    <n v="6502854169.5"/>
    <n v="1.7855173447281714"/>
    <n v="7.3296872856847335"/>
    <m/>
    <m/>
    <s v=""/>
    <m/>
    <m/>
    <m/>
    <s v="Retour des résultats au-dessus de 2019. Carnet de commandes à 16,6 Md euros en juin 2021. Eiffage a dépose une offre ferme de rachat d'Equans"/>
    <m/>
    <n v="2308"/>
    <n v="0"/>
    <s v="FR000013045212016"/>
    <s v="FR0000130452"/>
    <n v="1"/>
    <x v="104"/>
    <m/>
    <m/>
    <m/>
  </r>
  <r>
    <m/>
    <m/>
    <m/>
    <m/>
    <m/>
    <x v="1"/>
    <n v="7.1176935796966045E-3"/>
    <n v="6.7579505300353393E-2"/>
    <n v="0.1413612565445026"/>
    <n v="0.52243589743589736"/>
    <m/>
    <m/>
    <m/>
    <m/>
    <m/>
    <m/>
    <m/>
    <m/>
    <m/>
    <m/>
    <m/>
    <s v=""/>
    <m/>
    <m/>
    <m/>
    <s v="Échéance de la concession chez APRR en 2036"/>
    <m/>
    <n v="2309"/>
    <n v="0"/>
    <s v="FR00001304521"/>
    <s v="FR0000130452"/>
    <n v="1"/>
    <x v="104"/>
    <m/>
    <m/>
    <m/>
  </r>
  <r>
    <m/>
    <m/>
    <m/>
    <m/>
    <n v="59.5"/>
    <x v="9"/>
    <n v="13909000000"/>
    <n v="2264000000"/>
    <n v="1337000000"/>
    <n v="312000000"/>
    <n v="11591000000"/>
    <n v="3197000000"/>
    <n v="33.499594499825541"/>
    <n v="9.7591492023772292E-2"/>
    <n v="6.32878009196646E-2"/>
    <n v="95433991"/>
    <n v="5678322464.5"/>
    <n v="1.7761409022521113"/>
    <n v="7.6277926079946994"/>
    <m/>
    <m/>
    <s v=""/>
    <m/>
    <m/>
    <m/>
    <s v="72 500 employés soit 240 K euros par salarié"/>
    <m/>
    <n v="2310"/>
    <n v="0"/>
    <s v="FR000013045212015"/>
    <s v="FR0000130452"/>
    <n v="1"/>
    <x v="104"/>
    <m/>
    <m/>
    <m/>
  </r>
  <r>
    <m/>
    <m/>
    <m/>
    <m/>
    <m/>
    <x v="1"/>
    <n v="-5.576606849217125E-3"/>
    <n v="2.6757369614512472E-2"/>
    <n v="4.4531249999999911E-2"/>
    <n v="0.13454545454545452"/>
    <m/>
    <m/>
    <m/>
    <m/>
    <m/>
    <m/>
    <m/>
    <m/>
    <m/>
    <m/>
    <m/>
    <s v=""/>
    <m/>
    <m/>
    <m/>
    <s v="Effarie est possédée à 50,1% par Eiffage, le reste par Macquarie. APRR génère 600M euros par an"/>
    <m/>
    <n v="2311"/>
    <n v="0"/>
    <s v="FR00001304521"/>
    <s v="FR0000130452"/>
    <n v="1"/>
    <x v="104"/>
    <m/>
    <m/>
    <m/>
  </r>
  <r>
    <m/>
    <m/>
    <m/>
    <m/>
    <n v="42.1"/>
    <x v="10"/>
    <n v="13987000000"/>
    <n v="2205000000"/>
    <n v="1280000000"/>
    <n v="275000000"/>
    <n v="12014000000"/>
    <n v="2902000000"/>
    <n v="31.450676203627239"/>
    <n v="9.4762232942798064E-2"/>
    <n v="6.0069723786537944E-2"/>
    <n v="92271466"/>
    <n v="3884628718.5999999"/>
    <n v="1.3386039691936595"/>
    <n v="7.2102624574149665"/>
    <m/>
    <m/>
    <s v=""/>
    <m/>
    <m/>
    <m/>
    <s v="Minoritaires : 20% soit 1 Md euros qui donne accès à 35% du résultat (Macquarie)"/>
    <m/>
    <n v="2312"/>
    <n v="0"/>
    <s v="FR000013045212014"/>
    <s v="FR0000130452"/>
    <n v="1"/>
    <x v="104"/>
    <m/>
    <m/>
    <m/>
  </r>
  <r>
    <m/>
    <m/>
    <m/>
    <m/>
    <m/>
    <x v="1"/>
    <n v="-1.941951766685357E-2"/>
    <n v="1.9417475728155331E-2"/>
    <n v="1.4263074484944571E-2"/>
    <n v="7.0038910505836549E-2"/>
    <m/>
    <m/>
    <m/>
    <m/>
    <m/>
    <m/>
    <m/>
    <m/>
    <m/>
    <m/>
    <m/>
    <s v=""/>
    <m/>
    <m/>
    <m/>
    <s v="CAC : KPMG Audit et Mazars"/>
    <m/>
    <n v="2313"/>
    <n v="0"/>
    <s v="FR00001304521"/>
    <s v="FR0000130452"/>
    <n v="1"/>
    <x v="104"/>
    <m/>
    <m/>
    <m/>
  </r>
  <r>
    <m/>
    <m/>
    <m/>
    <m/>
    <n v="41.7"/>
    <x v="11"/>
    <n v="14264000000"/>
    <n v="2163000000"/>
    <n v="1262000000"/>
    <n v="257000000"/>
    <n v="12579000000"/>
    <n v="2704000000"/>
    <n v="30.233021234784118"/>
    <n v="9.5044378698224852E-2"/>
    <n v="5.7802787410848655E-2"/>
    <n v="89438630"/>
    <n v="3729590871.0000005"/>
    <n v="1.3792865647189352"/>
    <n v="7.5398016047156728"/>
    <m/>
    <m/>
    <s v=""/>
    <m/>
    <m/>
    <m/>
    <s v="Pay out ratio : entre 35 et 40%"/>
    <m/>
    <n v="2314"/>
    <n v="0"/>
    <s v="FR000013045212013"/>
    <s v="FR0000130452"/>
    <n v="1"/>
    <x v="104"/>
    <m/>
    <m/>
    <m/>
  </r>
  <r>
    <m/>
    <m/>
    <m/>
    <m/>
    <m/>
    <x v="1"/>
    <m/>
    <m/>
    <m/>
    <m/>
    <m/>
    <m/>
    <m/>
    <m/>
    <m/>
    <m/>
    <m/>
    <m/>
    <m/>
    <m/>
    <m/>
    <s v=""/>
    <m/>
    <m/>
    <m/>
    <m/>
    <m/>
    <n v="2315"/>
    <n v="0"/>
    <s v="FR00001304521"/>
    <s v="FR0000130452"/>
    <n v="1"/>
    <x v="104"/>
    <m/>
    <m/>
    <m/>
  </r>
  <r>
    <m/>
    <m/>
    <m/>
    <m/>
    <m/>
    <x v="1"/>
    <m/>
    <m/>
    <m/>
    <m/>
    <m/>
    <m/>
    <m/>
    <m/>
    <m/>
    <m/>
    <m/>
    <m/>
    <m/>
    <m/>
    <m/>
    <s v=""/>
    <m/>
    <m/>
    <m/>
    <m/>
    <m/>
    <n v="2316"/>
    <n v="0"/>
    <s v="FR00001304521"/>
    <s v="FR0000130452"/>
    <n v="1"/>
    <x v="104"/>
    <m/>
    <m/>
    <m/>
  </r>
  <r>
    <m/>
    <m/>
    <m/>
    <m/>
    <m/>
    <x v="1"/>
    <m/>
    <m/>
    <m/>
    <m/>
    <m/>
    <m/>
    <m/>
    <m/>
    <m/>
    <m/>
    <m/>
    <m/>
    <m/>
    <m/>
    <m/>
    <s v=""/>
    <m/>
    <m/>
    <m/>
    <m/>
    <m/>
    <n v="2317"/>
    <n v="0"/>
    <s v="FR00001304521"/>
    <s v="FR0000130452"/>
    <n v="1"/>
    <x v="104"/>
    <m/>
    <m/>
    <m/>
  </r>
  <r>
    <m/>
    <m/>
    <m/>
    <m/>
    <m/>
    <x v="1"/>
    <m/>
    <m/>
    <m/>
    <m/>
    <m/>
    <m/>
    <m/>
    <m/>
    <m/>
    <m/>
    <m/>
    <m/>
    <m/>
    <m/>
    <m/>
    <s v=""/>
    <m/>
    <m/>
    <m/>
    <m/>
    <m/>
    <n v="2318"/>
    <n v="0"/>
    <s v="FR00001304521"/>
    <s v="FR0000130452"/>
    <n v="1"/>
    <x v="104"/>
    <m/>
    <m/>
    <m/>
  </r>
  <r>
    <s v="Orchestra premaman"/>
    <s v="Vêtements  pour enfant en magasin"/>
    <s v="France"/>
    <s v="Euro"/>
    <n v="0.17"/>
    <x v="5"/>
    <n v="600000000"/>
    <n v="30000000"/>
    <n v="0"/>
    <n v="-20000000"/>
    <n v="168517000"/>
    <n v="100000000"/>
    <n v="2.4671407688844207"/>
    <n v="-0.2"/>
    <n v="0"/>
    <n v="40532750"/>
    <n v="6890567.5000000009"/>
    <n v="6.8905675000000013E-2"/>
    <n v="5.8469189166666666"/>
    <m/>
    <m/>
    <s v=""/>
    <m/>
    <m/>
    <m/>
    <s v="Fournitures pour bébé nourriture, vêtements, poussettes, chaussures etc."/>
    <m/>
    <n v="2319"/>
    <e v="#N/A"/>
    <s v="Orchestra premaman12019"/>
    <s v="Orchestra premaman"/>
    <n v="1"/>
    <x v="105"/>
    <m/>
    <m/>
    <m/>
  </r>
  <r>
    <m/>
    <m/>
    <m/>
    <m/>
    <m/>
    <x v="1"/>
    <n v="-2.0759890325107722E-2"/>
    <n v="-0.21433060967944684"/>
    <n v="-1"/>
    <n v="-1.9873130275953992"/>
    <m/>
    <m/>
    <m/>
    <m/>
    <m/>
    <m/>
    <m/>
    <m/>
    <m/>
    <m/>
    <m/>
    <s v=""/>
    <m/>
    <m/>
    <m/>
    <s v="Yeled Investissement 68% du capital"/>
    <m/>
    <n v="2320"/>
    <e v="#N/A"/>
    <s v="1"/>
    <m/>
    <n v="1"/>
    <x v="105"/>
    <m/>
    <m/>
    <m/>
  </r>
  <r>
    <m/>
    <m/>
    <m/>
    <m/>
    <n v="3.24"/>
    <x v="6"/>
    <n v="612720000"/>
    <n v="38184000"/>
    <n v="15623000"/>
    <n v="20257000"/>
    <n v="191017000"/>
    <n v="98605000"/>
    <n v="5.3190427718899072"/>
    <n v="0.20543582982607372"/>
    <n v="3.452334422108818E-2"/>
    <n v="18538110"/>
    <n v="60063476.400000006"/>
    <n v="0.60913215759849915"/>
    <n v="6.5755414938194008"/>
    <m/>
    <m/>
    <s v=""/>
    <m/>
    <m/>
    <m/>
    <s v="Clôture le 28 février "/>
    <m/>
    <n v="2321"/>
    <e v="#N/A"/>
    <s v="12018"/>
    <m/>
    <n v="1"/>
    <x v="105"/>
    <m/>
    <m/>
    <m/>
  </r>
  <r>
    <m/>
    <m/>
    <m/>
    <m/>
    <m/>
    <x v="1"/>
    <n v="7.1916428999991844E-3"/>
    <n v="1.9735612231272626E-2"/>
    <n v="-0.28697914289626214"/>
    <n v="-0.39259370314842579"/>
    <m/>
    <m/>
    <m/>
    <m/>
    <m/>
    <m/>
    <m/>
    <m/>
    <m/>
    <m/>
    <m/>
    <s v=""/>
    <m/>
    <m/>
    <m/>
    <s v="3 051 employés"/>
    <m/>
    <n v="2322"/>
    <e v="#N/A"/>
    <s v="1"/>
    <m/>
    <n v="1"/>
    <x v="105"/>
    <m/>
    <m/>
    <m/>
  </r>
  <r>
    <m/>
    <m/>
    <m/>
    <m/>
    <n v="10.75"/>
    <x v="7"/>
    <n v="608345000"/>
    <n v="37445000"/>
    <n v="21911000"/>
    <n v="33350000"/>
    <n v="125486000"/>
    <n v="135846000"/>
    <n v="7.3279314881614148"/>
    <n v="0.2454985792735892"/>
    <n v="8.122082255521712E-2"/>
    <n v="18538110"/>
    <n v="199284682.5"/>
    <n v="1.4669896978932027"/>
    <n v="8.6732723327547063"/>
    <m/>
    <m/>
    <s v=""/>
    <m/>
    <m/>
    <m/>
    <s v="200 825 euros de chiffre d'affaires par employé"/>
    <m/>
    <n v="2323"/>
    <e v="#N/A"/>
    <s v="12017"/>
    <m/>
    <n v="1"/>
    <x v="105"/>
    <m/>
    <m/>
    <m/>
  </r>
  <r>
    <m/>
    <m/>
    <m/>
    <m/>
    <m/>
    <x v="1"/>
    <n v="8.7184573593537706E-2"/>
    <n v="-0.26043333135825875"/>
    <n v="-0.33933363485602297"/>
    <n v="0.43725219789691439"/>
    <m/>
    <m/>
    <m/>
    <m/>
    <m/>
    <m/>
    <m/>
    <m/>
    <m/>
    <m/>
    <m/>
    <s v=""/>
    <m/>
    <m/>
    <m/>
    <s v="Arrêt de la fusion avec l'américain Destination Maternity"/>
    <m/>
    <n v="2324"/>
    <e v="#N/A"/>
    <s v="1"/>
    <m/>
    <n v="1"/>
    <x v="105"/>
    <m/>
    <m/>
    <m/>
  </r>
  <r>
    <m/>
    <m/>
    <m/>
    <m/>
    <n v="19.07"/>
    <x v="8"/>
    <n v="559560000"/>
    <n v="50631000"/>
    <n v="33165000"/>
    <n v="23204000"/>
    <n v="144759000"/>
    <n v="111676000"/>
    <n v="34.892284023616874"/>
    <n v="0.20777964826820444"/>
    <n v="8.2771852516232189E-2"/>
    <n v="3200593"/>
    <n v="61035308.509999998"/>
    <n v="0.54653917144238684"/>
    <n v="4.0645910313839346"/>
    <m/>
    <m/>
    <s v=""/>
    <m/>
    <m/>
    <m/>
    <s v="Valorisation de Carrefour : 15% du CA"/>
    <m/>
    <n v="2325"/>
    <e v="#N/A"/>
    <s v="12016"/>
    <m/>
    <n v="1"/>
    <x v="105"/>
    <m/>
    <m/>
    <m/>
  </r>
  <r>
    <m/>
    <m/>
    <m/>
    <m/>
    <m/>
    <x v="1"/>
    <n v="0.17046355427168169"/>
    <n v="3.9714972174877294E-2"/>
    <n v="-0.22649034424853065"/>
    <n v="3.4369009940712347E-2"/>
    <m/>
    <m/>
    <m/>
    <m/>
    <m/>
    <m/>
    <m/>
    <m/>
    <m/>
    <m/>
    <m/>
    <s v=""/>
    <m/>
    <m/>
    <m/>
    <s v="Orchestra : 10-12% soit 60-70 Me"/>
    <m/>
    <n v="2326"/>
    <e v="#N/A"/>
    <s v="1"/>
    <m/>
    <n v="1"/>
    <x v="105"/>
    <m/>
    <m/>
    <m/>
  </r>
  <r>
    <m/>
    <m/>
    <m/>
    <m/>
    <n v="10.41"/>
    <x v="9"/>
    <n v="478067000"/>
    <n v="48697000"/>
    <n v="42876000"/>
    <n v="22433000"/>
    <n v="124445000"/>
    <n v="112225000"/>
    <n v="35.063814736831581"/>
    <n v="0.19989307195366451"/>
    <n v="0.11594473317277222"/>
    <n v="3200593"/>
    <n v="33318173.129999999"/>
    <n v="0.29688726335486743"/>
    <n v="3.2396897782204244"/>
    <m/>
    <m/>
    <s v=""/>
    <m/>
    <m/>
    <m/>
    <m/>
    <m/>
    <n v="2327"/>
    <e v="#N/A"/>
    <s v="12015"/>
    <m/>
    <n v="1"/>
    <x v="105"/>
    <m/>
    <m/>
    <m/>
  </r>
  <r>
    <m/>
    <m/>
    <m/>
    <m/>
    <m/>
    <x v="1"/>
    <n v="-6.8640171439703912E-2"/>
    <n v="-0.20946428571428577"/>
    <n v="-0.19857943925233645"/>
    <n v="-0.44196517412935321"/>
    <m/>
    <m/>
    <m/>
    <m/>
    <m/>
    <m/>
    <m/>
    <m/>
    <m/>
    <m/>
    <m/>
    <s v=""/>
    <m/>
    <m/>
    <m/>
    <m/>
    <m/>
    <n v="2328"/>
    <e v="#N/A"/>
    <s v="1"/>
    <m/>
    <n v="1"/>
    <x v="105"/>
    <m/>
    <m/>
    <m/>
  </r>
  <r>
    <m/>
    <m/>
    <m/>
    <m/>
    <n v="7.56"/>
    <x v="10"/>
    <n v="513300000"/>
    <n v="61600000"/>
    <n v="53500000"/>
    <n v="40200000"/>
    <n v="128200000"/>
    <n v="74674000"/>
    <n v="19.098116914521388"/>
    <n v="0.53833998446581144"/>
    <n v="0.16877470745388765"/>
    <n v="3910019"/>
    <n v="29559743.639999997"/>
    <n v="0.39585054557141708"/>
    <n v="2.561034799350649"/>
    <m/>
    <m/>
    <s v=""/>
    <m/>
    <m/>
    <m/>
    <m/>
    <m/>
    <n v="2329"/>
    <e v="#N/A"/>
    <s v="12014"/>
    <m/>
    <n v="1"/>
    <x v="105"/>
    <m/>
    <m/>
    <m/>
  </r>
  <r>
    <m/>
    <m/>
    <m/>
    <m/>
    <m/>
    <x v="1"/>
    <n v="0.11830065359477127"/>
    <n v="0.33622559652928419"/>
    <n v="1.3672566371681416"/>
    <n v="1.9325941056317477"/>
    <m/>
    <m/>
    <m/>
    <m/>
    <m/>
    <m/>
    <m/>
    <m/>
    <m/>
    <m/>
    <m/>
    <s v=""/>
    <m/>
    <m/>
    <m/>
    <m/>
    <m/>
    <n v="2330"/>
    <e v="#N/A"/>
    <s v="1"/>
    <m/>
    <n v="1"/>
    <x v="105"/>
    <m/>
    <m/>
    <m/>
  </r>
  <r>
    <m/>
    <m/>
    <m/>
    <m/>
    <n v="2.77"/>
    <x v="11"/>
    <n v="459000000"/>
    <n v="46100000"/>
    <n v="22600000"/>
    <n v="13708000"/>
    <n v="61100000"/>
    <n v="79421000"/>
    <n v="20.312177511157874"/>
    <n v="0.17259918661311241"/>
    <n v="0.10293123447740907"/>
    <n v="3910019"/>
    <n v="10830752.630000001"/>
    <n v="0.13637139585248234"/>
    <n v="1.5603200136659434"/>
    <m/>
    <m/>
    <s v=""/>
    <m/>
    <m/>
    <m/>
    <m/>
    <m/>
    <n v="2331"/>
    <e v="#N/A"/>
    <s v="12013"/>
    <m/>
    <n v="1"/>
    <x v="105"/>
    <m/>
    <m/>
    <m/>
  </r>
  <r>
    <m/>
    <m/>
    <m/>
    <m/>
    <m/>
    <x v="1"/>
    <m/>
    <m/>
    <m/>
    <m/>
    <m/>
    <m/>
    <m/>
    <m/>
    <m/>
    <m/>
    <m/>
    <m/>
    <m/>
    <m/>
    <m/>
    <s v=""/>
    <m/>
    <m/>
    <m/>
    <m/>
    <m/>
    <n v="2332"/>
    <e v="#N/A"/>
    <s v="1"/>
    <m/>
    <n v="1"/>
    <x v="105"/>
    <m/>
    <m/>
    <m/>
  </r>
  <r>
    <m/>
    <m/>
    <m/>
    <m/>
    <m/>
    <x v="1"/>
    <m/>
    <m/>
    <m/>
    <m/>
    <m/>
    <m/>
    <m/>
    <m/>
    <m/>
    <m/>
    <m/>
    <m/>
    <m/>
    <m/>
    <m/>
    <s v=""/>
    <m/>
    <m/>
    <m/>
    <m/>
    <m/>
    <n v="2333"/>
    <e v="#N/A"/>
    <s v="1"/>
    <m/>
    <n v="1"/>
    <x v="105"/>
    <m/>
    <m/>
    <m/>
  </r>
  <r>
    <m/>
    <m/>
    <m/>
    <m/>
    <m/>
    <x v="1"/>
    <m/>
    <m/>
    <m/>
    <m/>
    <m/>
    <m/>
    <m/>
    <m/>
    <m/>
    <m/>
    <m/>
    <m/>
    <m/>
    <m/>
    <m/>
    <s v=""/>
    <m/>
    <m/>
    <m/>
    <m/>
    <m/>
    <n v="2334"/>
    <e v="#N/A"/>
    <s v="1"/>
    <m/>
    <n v="1"/>
    <x v="105"/>
    <m/>
    <m/>
    <m/>
  </r>
  <r>
    <s v="BNP Paribas"/>
    <s v="Banque"/>
    <s v="France"/>
    <s v="Euro"/>
    <n v="61"/>
    <x v="0"/>
    <n v="52435760000"/>
    <n v="17385680000"/>
    <n v="14302080000"/>
    <n v="10603840000"/>
    <s v="NS"/>
    <n v="125000000000"/>
    <n v="85"/>
    <n v="8.7065160273252756E-2"/>
    <s v="NS"/>
    <n v="1249798561"/>
    <n v="76237712221"/>
    <n v="0.71764705882352942"/>
    <s v="NS"/>
    <s v="A+ / Stable"/>
    <n v="190000"/>
    <n v="275977.68421052629"/>
    <m/>
    <s v="E = 0"/>
    <m/>
    <s v="Introduction en bourse le 18 octobre 1993 à 36,59 euros "/>
    <m/>
    <n v="2335"/>
    <s v="p"/>
    <s v="FR000013110412023"/>
    <s v="FR0000131104"/>
    <n v="1"/>
    <x v="106"/>
    <m/>
    <m/>
    <m/>
  </r>
  <r>
    <m/>
    <m/>
    <m/>
    <m/>
    <m/>
    <x v="1"/>
    <n v="4.0000000000000036E-2"/>
    <n v="4.0000000000000036E-2"/>
    <n v="4.0000000000000036E-2"/>
    <n v="4.0000000000000036E-2"/>
    <m/>
    <m/>
    <m/>
    <m/>
    <m/>
    <m/>
    <m/>
    <m/>
    <m/>
    <d v="2022-04-01T00:00:00"/>
    <m/>
    <s v=""/>
    <m/>
    <s v="S = 1"/>
    <m/>
    <s v="Fusion avec Paribas le 1/09/1999"/>
    <m/>
    <n v="2336"/>
    <s v="p"/>
    <s v="FR00001311041"/>
    <s v="FR0000131104"/>
    <n v="1"/>
    <x v="106"/>
    <m/>
    <m/>
    <m/>
  </r>
  <r>
    <m/>
    <m/>
    <m/>
    <m/>
    <n v="53.25"/>
    <x v="2"/>
    <n v="50419000000"/>
    <n v="16717000000"/>
    <n v="13752000000"/>
    <n v="10196000000"/>
    <s v="NS"/>
    <n v="121792000000"/>
    <n v="79.3"/>
    <n v="8.6490338123271629E-2"/>
    <s v="NS"/>
    <n v="1249798561"/>
    <n v="66551773373.25"/>
    <n v="0.67150063051702402"/>
    <s v="NS"/>
    <m/>
    <n v="193319"/>
    <n v="260807.26674563804"/>
    <m/>
    <s v="G = 2"/>
    <m/>
    <s v="Achat de BNL en Italie le 6/2/2006 pour 9 Md euros"/>
    <m/>
    <n v="2337"/>
    <s v="p"/>
    <s v="FR000013110412022"/>
    <s v="FR0000131104"/>
    <n v="1"/>
    <x v="106"/>
    <m/>
    <m/>
    <m/>
  </r>
  <r>
    <m/>
    <m/>
    <m/>
    <m/>
    <m/>
    <x v="1"/>
    <n v="7.4310431160307999E-2"/>
    <n v="7.851612903225802E-2"/>
    <n v="0.10016000000000003"/>
    <n v="7.3263157894736919E-2"/>
    <m/>
    <m/>
    <m/>
    <m/>
    <m/>
    <m/>
    <m/>
    <m/>
    <m/>
    <m/>
    <m/>
    <s v=""/>
    <m/>
    <m/>
    <m/>
    <s v="Achat de Fortis en 2008 "/>
    <m/>
    <n v="2338"/>
    <s v="p"/>
    <s v="FR00001311041"/>
    <s v="FR0000131104"/>
    <n v="1"/>
    <x v="106"/>
    <m/>
    <m/>
    <m/>
  </r>
  <r>
    <m/>
    <m/>
    <m/>
    <m/>
    <n v="60.77"/>
    <x v="3"/>
    <n v="46931500000"/>
    <n v="15500000000"/>
    <n v="12500000000"/>
    <n v="9500000000"/>
    <s v="NS"/>
    <n v="117886000000"/>
    <n v="73.2"/>
    <n v="8.3851891080806748E-2"/>
    <s v="NS"/>
    <n v="1249798561"/>
    <n v="75950258551.970001"/>
    <n v="0.83019125683060113"/>
    <s v="NS"/>
    <m/>
    <n v="193319"/>
    <n v="242767.13618423435"/>
    <m/>
    <m/>
    <m/>
    <s v="Retrait du rétail aux États-Unis fin 2021 avec la cession de Bank of the West"/>
    <m/>
    <n v="2339"/>
    <s v="p"/>
    <s v="FR000013110412021"/>
    <s v="FR0000131104"/>
    <n v="1"/>
    <x v="106"/>
    <m/>
    <m/>
    <m/>
  </r>
  <r>
    <m/>
    <m/>
    <m/>
    <m/>
    <m/>
    <x v="1"/>
    <n v="6.0000000000000053E-2"/>
    <n v="0.10077409274909455"/>
    <n v="0.49450023912003815"/>
    <n v="0.34427621338616099"/>
    <m/>
    <m/>
    <m/>
    <m/>
    <m/>
    <m/>
    <m/>
    <m/>
    <m/>
    <m/>
    <m/>
    <s v=""/>
    <m/>
    <m/>
    <m/>
    <s v="Présent dans 65 pays. La banque commerciale (55% du PNB) en France, Belgique, Luxembourg (ex Fortis), Italie (BNL), Pologne et Turquie. BFI (32% du PNB) grandes places financières et les Services (13% du PNB)"/>
    <m/>
    <n v="2340"/>
    <s v="p"/>
    <s v="FR00001311041"/>
    <s v="FR0000131104"/>
    <n v="1"/>
    <x v="106"/>
    <m/>
    <m/>
    <m/>
  </r>
  <r>
    <m/>
    <m/>
    <m/>
    <m/>
    <n v="43.104999999999997"/>
    <x v="4"/>
    <n v="44275000000"/>
    <n v="14081000000"/>
    <n v="8364000000"/>
    <n v="7067000000"/>
    <s v="NS"/>
    <n v="113295000000"/>
    <n v="73.2"/>
    <n v="6.5949961271778795E-2"/>
    <s v="NS"/>
    <n v="1249798561"/>
    <n v="53872566971.904999"/>
    <n v="0.5888661202185792"/>
    <s v="NS"/>
    <m/>
    <m/>
    <s v=""/>
    <m/>
    <m/>
    <m/>
    <s v="Actionnaire : État belge (7,7% suite Fortis 2008), BlackRock (6,1%), Salariés (4,4%) et particuliers (3,5%)"/>
    <m/>
    <n v="2341"/>
    <s v="p"/>
    <s v="FR000013110412020"/>
    <s v="FR0000131104"/>
    <n v="1"/>
    <x v="106"/>
    <m/>
    <m/>
    <m/>
  </r>
  <r>
    <m/>
    <m/>
    <m/>
    <m/>
    <m/>
    <x v="1"/>
    <n v="-7.2202166064981865E-3"/>
    <n v="6.1915535444947212E-2"/>
    <n v="-0.16834045938152531"/>
    <n v="-0.13532362657530894"/>
    <m/>
    <m/>
    <m/>
    <m/>
    <m/>
    <m/>
    <m/>
    <m/>
    <m/>
    <m/>
    <m/>
    <s v=""/>
    <m/>
    <m/>
    <m/>
    <s v="Président du CA : Lemierre et DG : Bonnafé depuis 1/10/2011, échéance 2025. Gouvernance de qualité (Bonnafé contenu)"/>
    <m/>
    <n v="2342"/>
    <s v="p"/>
    <s v="FR00001311041"/>
    <s v="FR0000131104"/>
    <n v="1"/>
    <x v="106"/>
    <m/>
    <m/>
    <m/>
  </r>
  <r>
    <m/>
    <m/>
    <m/>
    <m/>
    <n v="51.5"/>
    <x v="5"/>
    <n v="44597000000"/>
    <n v="13260000000"/>
    <n v="10057000000"/>
    <n v="8173000000"/>
    <s v="NS"/>
    <n v="107157000000"/>
    <n v="69"/>
    <n v="7.6234271376470264E-2"/>
    <s v="NS"/>
    <n v="1249798561"/>
    <n v="64364625891.5"/>
    <n v="0.74637681159420288"/>
    <s v="NS"/>
    <m/>
    <m/>
    <s v=""/>
    <m/>
    <m/>
    <m/>
    <s v="Souffre de l'exigence réglementaire en fonds propres (4% du total bilan), de la réduction des activités de marchés, de la baisse des marges dans l'asset management, l'arrivée des fintech et de la fermeture des agences"/>
    <m/>
    <n v="2343"/>
    <s v="p"/>
    <s v="FR000013110412019"/>
    <s v="FR0000131104"/>
    <n v="1"/>
    <x v="106"/>
    <m/>
    <m/>
    <m/>
  </r>
  <r>
    <m/>
    <m/>
    <m/>
    <m/>
    <m/>
    <x v="1"/>
    <n v="3.3270776858738138E-2"/>
    <n v="3.2533857910266306E-3"/>
    <n v="-2.4539282250242489E-2"/>
    <n v="-4.1428049226269748E-3"/>
    <m/>
    <m/>
    <m/>
    <m/>
    <m/>
    <m/>
    <m/>
    <m/>
    <m/>
    <m/>
    <m/>
    <s v=""/>
    <m/>
    <m/>
    <m/>
    <s v="Coeff. d'exploitation à 65% (même niveau qu'il y a 20 ans)"/>
    <m/>
    <n v="2344"/>
    <s v="p"/>
    <s v="FR00001311041"/>
    <s v="FR0000131104"/>
    <n v="1"/>
    <x v="106"/>
    <m/>
    <m/>
    <m/>
  </r>
  <r>
    <m/>
    <m/>
    <m/>
    <m/>
    <n v="45"/>
    <x v="6"/>
    <n v="43161000000"/>
    <n v="13217000000"/>
    <n v="10310000000"/>
    <n v="8207000000"/>
    <s v="NS"/>
    <n v="107209000000"/>
    <n v="85.845533293689797"/>
    <n v="7.6551408930220416E-2"/>
    <s v="NS"/>
    <n v="1248859386"/>
    <n v="56198672370"/>
    <n v="0.52419733763023624"/>
    <s v="NS"/>
    <m/>
    <m/>
    <s v=""/>
    <m/>
    <m/>
    <m/>
    <s v="En 2019, actif net à 75,7 euros au 2T19 probablement à 78 euros fin 2019 "/>
    <m/>
    <n v="2345"/>
    <s v="p"/>
    <s v="FR000013110412018"/>
    <s v="FR0000131104"/>
    <n v="1"/>
    <x v="106"/>
    <m/>
    <m/>
    <m/>
  </r>
  <r>
    <m/>
    <m/>
    <m/>
    <m/>
    <m/>
    <x v="1"/>
    <n v="0"/>
    <n v="0"/>
    <n v="0"/>
    <n v="0"/>
    <m/>
    <m/>
    <m/>
    <m/>
    <m/>
    <m/>
    <m/>
    <m/>
    <m/>
    <m/>
    <m/>
    <s v=""/>
    <m/>
    <m/>
    <m/>
    <s v="Retail stable, BFI mieux, Asset Management difficile"/>
    <m/>
    <n v="2346"/>
    <s v="p"/>
    <s v="FR00001311041"/>
    <s v="FR0000131104"/>
    <n v="1"/>
    <x v="106"/>
    <m/>
    <m/>
    <m/>
  </r>
  <r>
    <m/>
    <m/>
    <m/>
    <m/>
    <n v="62.25"/>
    <x v="7"/>
    <n v="43161000000"/>
    <n v="13217000000"/>
    <n v="10310000000"/>
    <n v="8207000000"/>
    <s v="NS"/>
    <n v="107209000000"/>
    <n v="85.845533293689797"/>
    <n v="7.7998479376544388E-2"/>
    <s v="NS"/>
    <n v="1248859386"/>
    <n v="77741496778.5"/>
    <n v="0.72513965038849348"/>
    <s v="NS"/>
    <m/>
    <m/>
    <s v=""/>
    <m/>
    <m/>
    <m/>
    <s v="Coût du risque contenu à 30 bp : à suivre Bourbon, Rallye…"/>
    <m/>
    <n v="2347"/>
    <s v="p"/>
    <s v="FR000013110412017"/>
    <s v="FR0000131104"/>
    <n v="1"/>
    <x v="106"/>
    <m/>
    <m/>
    <m/>
  </r>
  <r>
    <m/>
    <m/>
    <m/>
    <m/>
    <m/>
    <x v="1"/>
    <n v="-5.7589090322729408E-3"/>
    <n v="-5.8148649611629688E-2"/>
    <n v="-4.2800111410268293E-2"/>
    <n v="1.1337030191004294E-2"/>
    <m/>
    <m/>
    <m/>
    <m/>
    <m/>
    <m/>
    <m/>
    <m/>
    <m/>
    <m/>
    <m/>
    <s v=""/>
    <m/>
    <m/>
    <m/>
    <s v="Le coût du risque reste bas à 41 bp. RN du 3T : 1,93 Md / Tier one à 12% / Levier 4% de Fonds propres /  CIB et IFS bien / Retail résiste / BNL et AM en transformation. Actif net à 78 euros"/>
    <m/>
    <n v="2348"/>
    <s v="p"/>
    <s v="FR00001311041"/>
    <s v="FR0000131104"/>
    <n v="1"/>
    <x v="106"/>
    <m/>
    <m/>
    <m/>
  </r>
  <r>
    <m/>
    <m/>
    <m/>
    <m/>
    <n v="61.17"/>
    <x v="8"/>
    <n v="43411000000"/>
    <n v="14033000000"/>
    <n v="10771000000"/>
    <n v="8115000000"/>
    <s v="NS"/>
    <n v="105220000000"/>
    <n v="84.42013269071731"/>
    <n v="8.1087562576815847E-2"/>
    <s v="NS"/>
    <n v="1246385153"/>
    <n v="76241379809.009995"/>
    <n v="0.72459019016356208"/>
    <s v="NS"/>
    <m/>
    <m/>
    <s v=""/>
    <m/>
    <m/>
    <m/>
    <s v="En 2019, le coût du risque tombe à 0,39%. Hausse du CA plus forte que les coûts et risque de crédit maîtrisé. RN : 8 Mde ROE : 10% et actif net 70 euros "/>
    <m/>
    <n v="2349"/>
    <s v="p"/>
    <s v="FR000013110412016"/>
    <s v="FR0000131104"/>
    <n v="1"/>
    <x v="106"/>
    <m/>
    <m/>
    <m/>
  </r>
  <r>
    <m/>
    <m/>
    <m/>
    <m/>
    <m/>
    <x v="1"/>
    <n v="1.1015883366714885E-2"/>
    <n v="2.5504238526746548E-2"/>
    <n v="-0.20702348523890157"/>
    <n v="0.15204429301533229"/>
    <m/>
    <m/>
    <m/>
    <m/>
    <m/>
    <m/>
    <m/>
    <m/>
    <m/>
    <m/>
    <m/>
    <s v=""/>
    <m/>
    <m/>
    <m/>
    <s v="En 2020, dividendes supprimés, coût du risque en hausse à 0,66% (0,5% sur encours douteux et 0,16% sur encours sains) et 0,74% au 4T2020 (soit 5,7 Md euros sur l'année 2020) entre RBE et résultat d'exploitation et résultat net en baisse à 7,07 Md euros (exceptionnel positif lié aux cessions : immeuble et activité satellite) et Tiers one à 12,8%"/>
    <m/>
    <n v="2350"/>
    <s v="p"/>
    <s v="FR00001311041"/>
    <s v="FR0000131104"/>
    <n v="1"/>
    <x v="106"/>
    <m/>
    <m/>
    <m/>
  </r>
  <r>
    <m/>
    <m/>
    <m/>
    <m/>
    <n v="53.3"/>
    <x v="9"/>
    <n v="42938000000"/>
    <n v="13684000000"/>
    <n v="13583000000"/>
    <n v="7044000000"/>
    <s v="NS"/>
    <n v="100077000000"/>
    <n v="80.305247921029959"/>
    <n v="7.5184920321489185E-2"/>
    <s v="NS"/>
    <n v="1246207472"/>
    <n v="66422858257.599998"/>
    <n v="0.66371752008553409"/>
    <s v="NS"/>
    <m/>
    <m/>
    <s v=""/>
    <m/>
    <m/>
    <m/>
    <s v="Résultat net part du groupe hors exceptionnel à 6,8 Md euros en 2020"/>
    <m/>
    <n v="2351"/>
    <s v="p"/>
    <s v="FR000013110412015"/>
    <s v="FR0000131104"/>
    <n v="1"/>
    <x v="106"/>
    <m/>
    <m/>
    <m/>
  </r>
  <r>
    <m/>
    <m/>
    <m/>
    <m/>
    <m/>
    <x v="1"/>
    <n v="9.625204248366015E-2"/>
    <n v="8.2252451755773448E-2"/>
    <n v="8.7771282133418671E-2"/>
    <n v="12.893491124260356"/>
    <m/>
    <m/>
    <m/>
    <m/>
    <m/>
    <m/>
    <m/>
    <m/>
    <m/>
    <m/>
    <m/>
    <s v=""/>
    <m/>
    <m/>
    <m/>
    <s v="En 2021, coût du risque à 42 bp au 1T21, bonne année probablement, et 32 bp au 3T21"/>
    <m/>
    <n v="2352"/>
    <s v="p"/>
    <s v="FR00001311041"/>
    <s v="FR0000131104"/>
    <n v="1"/>
    <x v="106"/>
    <m/>
    <m/>
    <m/>
  </r>
  <r>
    <m/>
    <m/>
    <m/>
    <m/>
    <n v="49.43"/>
    <x v="10"/>
    <n v="39168000000"/>
    <n v="12644000000"/>
    <n v="12487000000"/>
    <n v="507000000"/>
    <s v="NS"/>
    <n v="93689000000"/>
    <n v="75.179295667070107"/>
    <n v="5.5615278295781138E-3"/>
    <s v="NS"/>
    <n v="1246207472"/>
    <n v="61600035340.959999"/>
    <n v="0.65749485362166327"/>
    <s v="NS"/>
    <m/>
    <m/>
    <s v=""/>
    <m/>
    <m/>
    <m/>
    <s v="Cession fin 2021 de Bank of the West à la Banque de Montréal pour 16,3 Md de dollars (14,4 Md euros) soit 20,5% de la capitalisation boursière de BNP P et 1,72 fois l'actif net pour 5% du résultat courant avant impôts du groupe. Plus-value de 2,9 Md euros et amélioration du tiers one de 170 bp"/>
    <m/>
    <n v="2353"/>
    <s v="p"/>
    <s v="FR000013110412014"/>
    <s v="FR0000131104"/>
    <n v="1"/>
    <x v="106"/>
    <m/>
    <m/>
    <m/>
  </r>
  <r>
    <m/>
    <m/>
    <m/>
    <m/>
    <m/>
    <x v="1"/>
    <n v="8.9124723095153069E-3"/>
    <n v="-3.1535793125196943E-3"/>
    <n v="-4.0715986786509895E-2"/>
    <n v="-0.90678433535576397"/>
    <m/>
    <m/>
    <m/>
    <m/>
    <m/>
    <m/>
    <m/>
    <m/>
    <m/>
    <m/>
    <m/>
    <s v=""/>
    <m/>
    <m/>
    <m/>
    <s v="Cession de participation périphérique au plus haut : Euronext (à 100 euros) et Allfunds (au-dessus de 10 euros et 444 M euros de plus-value)"/>
    <m/>
    <n v="2354"/>
    <s v="p"/>
    <s v="FR00001311041"/>
    <s v="FR0000131104"/>
    <n v="1"/>
    <x v="106"/>
    <m/>
    <m/>
    <m/>
  </r>
  <r>
    <m/>
    <m/>
    <m/>
    <m/>
    <n v="55.68"/>
    <x v="11"/>
    <n v="38822000000"/>
    <n v="12684000000"/>
    <n v="13017000000"/>
    <n v="5439000000"/>
    <s v="NS"/>
    <n v="91162000000"/>
    <n v="73.254098720986349"/>
    <n v="5.760310097223105E-2"/>
    <s v="NS"/>
    <n v="1244462789"/>
    <n v="69291688091.520004"/>
    <n v="0.76009398753340207"/>
    <s v="NS"/>
    <m/>
    <m/>
    <s v=""/>
    <m/>
    <m/>
    <m/>
    <s v="En 2022, l'engagement brute est de 0,09% (1,7 Md euros) pour l'Ukraine et 0,07% (1,3 Md euros) pour la Russie entraînant un engagement net de 500 M euros"/>
    <m/>
    <n v="2355"/>
    <s v="p"/>
    <s v="FR000013110412013"/>
    <s v="FR0000131104"/>
    <n v="1"/>
    <x v="106"/>
    <m/>
    <m/>
    <m/>
  </r>
  <r>
    <m/>
    <m/>
    <m/>
    <m/>
    <m/>
    <x v="1"/>
    <n v="-6.3984438984439063E-3"/>
    <n v="1.2937230474365125E-2"/>
    <n v="0.30170000000000008"/>
    <n v="-0.25625598249692327"/>
    <m/>
    <m/>
    <m/>
    <m/>
    <m/>
    <m/>
    <m/>
    <m/>
    <m/>
    <m/>
    <m/>
    <s v=""/>
    <m/>
    <m/>
    <m/>
    <s v="Le total engagement de BNP Paribas est de 1875 Md euros "/>
    <m/>
    <n v="2356"/>
    <s v="p"/>
    <s v="FR00001311041"/>
    <s v="FR0000131104"/>
    <n v="1"/>
    <x v="106"/>
    <m/>
    <m/>
    <m/>
  </r>
  <r>
    <m/>
    <m/>
    <m/>
    <m/>
    <n v="42.33"/>
    <x v="12"/>
    <n v="39072000000"/>
    <n v="12522000000"/>
    <n v="10000000000"/>
    <n v="7313000000"/>
    <s v="NS"/>
    <n v="94422000000"/>
    <n v="75.313166763046127"/>
    <n v="8.5406301824212272E-2"/>
    <s v="NS"/>
    <n v="1253725000"/>
    <n v="53070179250"/>
    <n v="0.56205311526974644"/>
    <s v="NS"/>
    <m/>
    <m/>
    <s v=""/>
    <m/>
    <m/>
    <m/>
    <s v="En 2022, la société passe la barre des 50 Md euros de PNB et 10 Md de résultat net avec une progression de l'activité à + 9% (+6,6% à pcc) et un coût du risque à 31 bp (France banque commerciale : 11 bp, Belgique : 3 bp et Italie : 58 bp) "/>
    <m/>
    <n v="2357"/>
    <s v="p"/>
    <s v="FR000013110412012"/>
    <s v="FR0000131104"/>
    <n v="1"/>
    <x v="106"/>
    <m/>
    <m/>
    <m/>
  </r>
  <r>
    <m/>
    <m/>
    <m/>
    <m/>
    <m/>
    <x v="1"/>
    <n v="-7.8142695356738345E-2"/>
    <n v="-0.23026801081878534"/>
    <n v="5.5854714391299742E-2"/>
    <n v="6.0777487670438113E-2"/>
    <m/>
    <m/>
    <m/>
    <m/>
    <m/>
    <m/>
    <m/>
    <m/>
    <m/>
    <m/>
    <m/>
    <s v=""/>
    <m/>
    <m/>
    <m/>
    <s v="Ratio réglementaire 12,3%, Levier : 4,4%. Encours de prêt proche 1 000 Md euros et dépôt légèrement en-dessous des prêts.  Actif net à 79,3 euros. Total bilan : 2539 Md euros"/>
    <m/>
    <n v="2358"/>
    <s v="p"/>
    <s v="FR00001311041"/>
    <s v="FR0000131104"/>
    <n v="1"/>
    <x v="106"/>
    <m/>
    <m/>
    <m/>
  </r>
  <r>
    <m/>
    <m/>
    <m/>
    <m/>
    <n v="30.35"/>
    <x v="17"/>
    <n v="42384000000"/>
    <n v="16268000000"/>
    <n v="9471000000"/>
    <n v="6894000000"/>
    <s v="NS"/>
    <n v="85626000000"/>
    <n v="68.297274123113127"/>
    <n v="8.0510107557019234E-2"/>
    <s v="NS"/>
    <n v="1253725000"/>
    <n v="38050553750"/>
    <n v="0.4443808393478616"/>
    <s v="NS"/>
    <m/>
    <m/>
    <s v=""/>
    <m/>
    <m/>
    <m/>
    <s v="Progression attendue en 2023"/>
    <m/>
    <n v="2359"/>
    <s v="p"/>
    <s v="FR000013110412011"/>
    <s v="FR0000131104"/>
    <n v="1"/>
    <x v="106"/>
    <m/>
    <m/>
    <m/>
  </r>
  <r>
    <m/>
    <m/>
    <m/>
    <m/>
    <m/>
    <x v="1"/>
    <n v="-3.4092980856882393E-2"/>
    <n v="-6.306513851292983E-2"/>
    <n v="-0.24599952233102462"/>
    <n v="-0.24770842426887818"/>
    <m/>
    <m/>
    <m/>
    <m/>
    <m/>
    <m/>
    <m/>
    <m/>
    <m/>
    <m/>
    <m/>
    <s v=""/>
    <m/>
    <m/>
    <m/>
    <s v="En 2025,  fin du mandat de Bonnafé, le plan est calé sur son mandat. Projection du BPA à 10 euros (12 Md de RN et 1,2 Md actions). Multiple de PER de 8 possible (JP Morgan : 10-11)"/>
    <m/>
    <n v="2360"/>
    <s v="p"/>
    <s v="FR00001311041"/>
    <s v="FR0000131104"/>
    <n v="1"/>
    <x v="106"/>
    <m/>
    <m/>
    <m/>
  </r>
  <r>
    <m/>
    <m/>
    <m/>
    <m/>
    <n v="47.61"/>
    <x v="18"/>
    <n v="43880000000"/>
    <n v="17363000000"/>
    <n v="12561000000"/>
    <n v="9164000000"/>
    <s v="NS"/>
    <n v="85629000000"/>
    <n v="68.299666992362759"/>
    <n v="0.11405954396096783"/>
    <s v="NS"/>
    <n v="1253725000"/>
    <n v="59689847250"/>
    <n v="0.69707514101531021"/>
    <s v="NS"/>
    <m/>
    <m/>
    <s v=""/>
    <m/>
    <m/>
    <m/>
    <s v="Taux d'IS : 26,6%"/>
    <m/>
    <n v="2361"/>
    <s v="p"/>
    <s v="FR000013110412010"/>
    <s v="FR0000131104"/>
    <n v="1"/>
    <x v="106"/>
    <m/>
    <m/>
    <m/>
  </r>
  <r>
    <m/>
    <m/>
    <m/>
    <m/>
    <m/>
    <x v="1"/>
    <n v="9.1786718419546665E-2"/>
    <n v="3.0383953474571346E-2"/>
    <n v="0.48090073095967933"/>
    <n v="0.41550818659252386"/>
    <m/>
    <m/>
    <m/>
    <m/>
    <m/>
    <m/>
    <m/>
    <m/>
    <m/>
    <m/>
    <m/>
    <s v=""/>
    <m/>
    <m/>
    <m/>
    <s v="Minoritaires : 4%"/>
    <m/>
    <n v="2362"/>
    <s v="p"/>
    <s v="FR00001311041"/>
    <s v="FR0000131104"/>
    <n v="1"/>
    <x v="106"/>
    <m/>
    <m/>
    <m/>
  </r>
  <r>
    <m/>
    <m/>
    <m/>
    <m/>
    <n v="55.55"/>
    <x v="38"/>
    <n v="40191000000"/>
    <n v="16851000000"/>
    <n v="8482000000"/>
    <n v="6474000000"/>
    <s v="NS"/>
    <n v="80344000000"/>
    <n v="64.084228997587189"/>
    <n v="8.057851239669421E-2"/>
    <s v="NS"/>
    <n v="1253725000"/>
    <n v="69644423750"/>
    <n v="0.86682793674698788"/>
    <s v="NS"/>
    <m/>
    <m/>
    <s v=""/>
    <m/>
    <m/>
    <m/>
    <s v="CAC : Pricewaterhouse et Deloitte &amp; Associés "/>
    <m/>
    <n v="2363"/>
    <s v="p"/>
    <s v="FR000013110412009"/>
    <s v="FR0000131104"/>
    <n v="1"/>
    <x v="106"/>
    <m/>
    <m/>
    <m/>
  </r>
  <r>
    <m/>
    <m/>
    <m/>
    <m/>
    <m/>
    <x v="1"/>
    <m/>
    <m/>
    <m/>
    <m/>
    <m/>
    <m/>
    <m/>
    <m/>
    <m/>
    <m/>
    <m/>
    <m/>
    <m/>
    <m/>
    <m/>
    <s v=""/>
    <m/>
    <m/>
    <m/>
    <s v="Pay out ratio : 50% depuis 2021 et 60% avec le rachat d'actions"/>
    <m/>
    <n v="2364"/>
    <s v="p"/>
    <s v="FR00001311041"/>
    <s v="FR0000131104"/>
    <n v="1"/>
    <x v="106"/>
    <m/>
    <m/>
    <m/>
  </r>
  <r>
    <m/>
    <m/>
    <m/>
    <m/>
    <n v="29.5"/>
    <x v="20"/>
    <m/>
    <m/>
    <m/>
    <m/>
    <m/>
    <m/>
    <m/>
    <m/>
    <m/>
    <m/>
    <m/>
    <m/>
    <m/>
    <m/>
    <m/>
    <s v=""/>
    <m/>
    <m/>
    <m/>
    <m/>
    <m/>
    <n v="2365"/>
    <s v="p"/>
    <s v="FR000013110412008"/>
    <s v="FR0000131104"/>
    <n v="1"/>
    <x v="106"/>
    <m/>
    <m/>
    <m/>
  </r>
  <r>
    <m/>
    <m/>
    <m/>
    <m/>
    <m/>
    <x v="1"/>
    <m/>
    <m/>
    <m/>
    <m/>
    <m/>
    <m/>
    <m/>
    <m/>
    <m/>
    <m/>
    <m/>
    <m/>
    <m/>
    <m/>
    <m/>
    <s v=""/>
    <m/>
    <m/>
    <m/>
    <m/>
    <m/>
    <n v="2366"/>
    <s v="p"/>
    <s v="FR00001311041"/>
    <s v="FR0000131104"/>
    <n v="1"/>
    <x v="106"/>
    <m/>
    <m/>
    <m/>
  </r>
  <r>
    <m/>
    <m/>
    <m/>
    <m/>
    <s v="IPO le 5 octobre 1993 à 36,58 euros (240 francs)"/>
    <x v="1"/>
    <m/>
    <m/>
    <m/>
    <m/>
    <m/>
    <m/>
    <m/>
    <m/>
    <m/>
    <m/>
    <m/>
    <m/>
    <m/>
    <m/>
    <m/>
    <s v=""/>
    <m/>
    <m/>
    <m/>
    <m/>
    <m/>
    <n v="2367"/>
    <s v="p"/>
    <s v="FR00001311041"/>
    <s v="FR0000131104"/>
    <n v="1"/>
    <x v="106"/>
    <m/>
    <m/>
    <m/>
  </r>
  <r>
    <m/>
    <m/>
    <m/>
    <m/>
    <m/>
    <x v="1"/>
    <m/>
    <m/>
    <m/>
    <m/>
    <m/>
    <m/>
    <m/>
    <m/>
    <m/>
    <m/>
    <m/>
    <m/>
    <m/>
    <m/>
    <m/>
    <s v=""/>
    <m/>
    <m/>
    <m/>
    <m/>
    <m/>
    <n v="2368"/>
    <s v="p"/>
    <s v="FR00001311041"/>
    <s v="FR0000131104"/>
    <n v="1"/>
    <x v="106"/>
    <m/>
    <m/>
    <m/>
  </r>
  <r>
    <m/>
    <m/>
    <m/>
    <m/>
    <m/>
    <x v="1"/>
    <m/>
    <m/>
    <m/>
    <m/>
    <m/>
    <m/>
    <m/>
    <m/>
    <m/>
    <m/>
    <m/>
    <m/>
    <m/>
    <m/>
    <m/>
    <s v=""/>
    <m/>
    <m/>
    <m/>
    <m/>
    <m/>
    <n v="2369"/>
    <s v="p"/>
    <s v="FR00001311041"/>
    <s v="FR0000131104"/>
    <n v="1"/>
    <x v="106"/>
    <m/>
    <m/>
    <m/>
  </r>
  <r>
    <m/>
    <m/>
    <m/>
    <m/>
    <m/>
    <x v="1"/>
    <m/>
    <m/>
    <m/>
    <m/>
    <m/>
    <m/>
    <m/>
    <m/>
    <m/>
    <m/>
    <m/>
    <m/>
    <m/>
    <m/>
    <m/>
    <s v=""/>
    <m/>
    <m/>
    <m/>
    <m/>
    <m/>
    <n v="2370"/>
    <s v="p"/>
    <s v="FR00001311041"/>
    <s v="FR0000131104"/>
    <n v="1"/>
    <x v="106"/>
    <m/>
    <m/>
    <m/>
  </r>
  <r>
    <s v="MTU aéro engine"/>
    <s v="Aéronautique"/>
    <s v="Allemagne"/>
    <s v="Euro"/>
    <n v="179.35"/>
    <x v="3"/>
    <m/>
    <m/>
    <m/>
    <m/>
    <m/>
    <m/>
    <m/>
    <m/>
    <m/>
    <m/>
    <m/>
    <m/>
    <m/>
    <m/>
    <m/>
    <s v=""/>
    <m/>
    <m/>
    <m/>
    <m/>
    <m/>
    <n v="2371"/>
    <n v="0"/>
    <s v="DE000A0D9PT012021"/>
    <s v="DE000A0D9PT0"/>
    <n v="1"/>
    <x v="107"/>
    <m/>
    <m/>
    <m/>
  </r>
  <r>
    <m/>
    <m/>
    <m/>
    <m/>
    <m/>
    <x v="1"/>
    <m/>
    <m/>
    <m/>
    <m/>
    <m/>
    <m/>
    <m/>
    <m/>
    <m/>
    <m/>
    <m/>
    <m/>
    <m/>
    <m/>
    <m/>
    <s v=""/>
    <m/>
    <m/>
    <m/>
    <m/>
    <m/>
    <n v="2372"/>
    <e v="#N/A"/>
    <s v="DE000A0D9PT11"/>
    <s v="DE000A0D9PT1"/>
    <n v="1"/>
    <x v="107"/>
    <m/>
    <m/>
    <m/>
  </r>
  <r>
    <m/>
    <m/>
    <m/>
    <m/>
    <m/>
    <x v="6"/>
    <m/>
    <m/>
    <m/>
    <m/>
    <m/>
    <m/>
    <m/>
    <m/>
    <m/>
    <m/>
    <m/>
    <m/>
    <m/>
    <m/>
    <m/>
    <s v=""/>
    <m/>
    <m/>
    <m/>
    <m/>
    <m/>
    <n v="2373"/>
    <e v="#N/A"/>
    <s v="DE000A0D9PT212018"/>
    <s v="DE000A0D9PT2"/>
    <n v="1"/>
    <x v="107"/>
    <m/>
    <m/>
    <m/>
  </r>
  <r>
    <m/>
    <m/>
    <m/>
    <m/>
    <m/>
    <x v="1"/>
    <m/>
    <m/>
    <m/>
    <m/>
    <m/>
    <m/>
    <m/>
    <m/>
    <m/>
    <m/>
    <m/>
    <m/>
    <m/>
    <m/>
    <m/>
    <s v=""/>
    <m/>
    <m/>
    <m/>
    <m/>
    <m/>
    <n v="2374"/>
    <e v="#N/A"/>
    <s v="DE000A0D9PT31"/>
    <s v="DE000A0D9PT3"/>
    <n v="1"/>
    <x v="107"/>
    <m/>
    <m/>
    <m/>
  </r>
  <r>
    <m/>
    <m/>
    <m/>
    <m/>
    <m/>
    <x v="7"/>
    <m/>
    <m/>
    <m/>
    <m/>
    <m/>
    <m/>
    <m/>
    <m/>
    <m/>
    <m/>
    <m/>
    <m/>
    <m/>
    <m/>
    <m/>
    <s v=""/>
    <m/>
    <m/>
    <m/>
    <m/>
    <m/>
    <n v="2375"/>
    <e v="#N/A"/>
    <s v="DE000A0D9PT412017"/>
    <s v="DE000A0D9PT4"/>
    <n v="1"/>
    <x v="107"/>
    <m/>
    <m/>
    <m/>
  </r>
  <r>
    <m/>
    <m/>
    <m/>
    <m/>
    <m/>
    <x v="1"/>
    <m/>
    <m/>
    <m/>
    <m/>
    <m/>
    <m/>
    <m/>
    <m/>
    <m/>
    <m/>
    <m/>
    <m/>
    <m/>
    <m/>
    <m/>
    <s v=""/>
    <m/>
    <m/>
    <m/>
    <m/>
    <m/>
    <n v="2376"/>
    <e v="#N/A"/>
    <s v="DE000A0D9PT51"/>
    <s v="DE000A0D9PT5"/>
    <n v="1"/>
    <x v="107"/>
    <m/>
    <m/>
    <m/>
  </r>
  <r>
    <m/>
    <m/>
    <m/>
    <m/>
    <m/>
    <x v="8"/>
    <m/>
    <m/>
    <m/>
    <m/>
    <m/>
    <m/>
    <m/>
    <m/>
    <m/>
    <m/>
    <m/>
    <m/>
    <m/>
    <m/>
    <m/>
    <s v=""/>
    <m/>
    <m/>
    <m/>
    <m/>
    <m/>
    <n v="2377"/>
    <e v="#N/A"/>
    <s v="DE000A0D9PT612016"/>
    <s v="DE000A0D9PT6"/>
    <n v="1"/>
    <x v="107"/>
    <m/>
    <m/>
    <m/>
  </r>
  <r>
    <m/>
    <m/>
    <m/>
    <m/>
    <m/>
    <x v="1"/>
    <m/>
    <m/>
    <m/>
    <m/>
    <m/>
    <m/>
    <m/>
    <m/>
    <m/>
    <m/>
    <m/>
    <m/>
    <m/>
    <m/>
    <m/>
    <s v=""/>
    <m/>
    <m/>
    <m/>
    <m/>
    <m/>
    <n v="2378"/>
    <e v="#N/A"/>
    <s v="DE000A0D9PT71"/>
    <s v="DE000A0D9PT7"/>
    <n v="1"/>
    <x v="107"/>
    <m/>
    <m/>
    <m/>
  </r>
  <r>
    <m/>
    <m/>
    <m/>
    <m/>
    <m/>
    <x v="1"/>
    <m/>
    <m/>
    <m/>
    <m/>
    <m/>
    <m/>
    <m/>
    <m/>
    <m/>
    <m/>
    <m/>
    <m/>
    <m/>
    <m/>
    <m/>
    <s v=""/>
    <m/>
    <m/>
    <m/>
    <m/>
    <m/>
    <n v="2379"/>
    <e v="#N/A"/>
    <s v="DE000A0D9PT81"/>
    <s v="DE000A0D9PT8"/>
    <n v="1"/>
    <x v="107"/>
    <m/>
    <m/>
    <m/>
  </r>
  <r>
    <m/>
    <m/>
    <m/>
    <m/>
    <m/>
    <x v="1"/>
    <m/>
    <m/>
    <m/>
    <m/>
    <m/>
    <m/>
    <m/>
    <m/>
    <m/>
    <m/>
    <m/>
    <m/>
    <m/>
    <m/>
    <m/>
    <s v=""/>
    <m/>
    <m/>
    <m/>
    <m/>
    <m/>
    <n v="2380"/>
    <e v="#N/A"/>
    <s v="DE000A0D9PT91"/>
    <s v="DE000A0D9PT9"/>
    <n v="1"/>
    <x v="107"/>
    <m/>
    <m/>
    <m/>
  </r>
  <r>
    <s v="Accor"/>
    <s v="Hôtellerie"/>
    <s v="France"/>
    <s v="Euro"/>
    <n v="29.6"/>
    <x v="9"/>
    <m/>
    <m/>
    <m/>
    <m/>
    <m/>
    <m/>
    <m/>
    <m/>
    <m/>
    <n v="234387000"/>
    <m/>
    <m/>
    <m/>
    <m/>
    <m/>
    <s v=""/>
    <m/>
    <m/>
    <m/>
    <s v="Accor fondé par Dubrule et Pellison dans les années 60. Ils détiennent que quelques pourcentages aujourd'hui"/>
    <m/>
    <n v="2381"/>
    <n v="0"/>
    <s v="FR000012040412015"/>
    <s v="FR0000120404"/>
    <n v="1"/>
    <x v="108"/>
    <m/>
    <m/>
    <m/>
  </r>
  <r>
    <m/>
    <m/>
    <m/>
    <m/>
    <m/>
    <x v="1"/>
    <m/>
    <m/>
    <m/>
    <m/>
    <m/>
    <m/>
    <m/>
    <m/>
    <m/>
    <m/>
    <m/>
    <m/>
    <m/>
    <m/>
    <m/>
    <s v=""/>
    <m/>
    <m/>
    <m/>
    <s v="Séparation de l'activité hôtelière et ticket restaurant en juillet 2010 avec l'IPO d'Edenred "/>
    <m/>
    <n v="2382"/>
    <n v="0"/>
    <s v="FR00001204041"/>
    <s v="FR0000120404"/>
    <n v="1"/>
    <x v="108"/>
    <m/>
    <m/>
    <m/>
  </r>
  <r>
    <m/>
    <m/>
    <m/>
    <m/>
    <n v="40"/>
    <x v="10"/>
    <n v="7000000000"/>
    <m/>
    <n v="574000000"/>
    <m/>
    <m/>
    <m/>
    <m/>
    <m/>
    <m/>
    <n v="230158771"/>
    <n v="9206350840"/>
    <m/>
    <m/>
    <m/>
    <m/>
    <s v=""/>
    <m/>
    <m/>
    <m/>
    <s v="A subi la montée en puissance de Airbnb (diminuant l'activité) et de Booking (diminuant la marge)"/>
    <m/>
    <n v="2383"/>
    <n v="0"/>
    <s v="FR000012040412014"/>
    <s v="FR0000120404"/>
    <n v="1"/>
    <x v="108"/>
    <m/>
    <m/>
    <m/>
  </r>
  <r>
    <m/>
    <m/>
    <m/>
    <m/>
    <m/>
    <x v="1"/>
    <m/>
    <m/>
    <m/>
    <m/>
    <m/>
    <m/>
    <m/>
    <m/>
    <m/>
    <m/>
    <m/>
    <m/>
    <m/>
    <m/>
    <m/>
    <s v=""/>
    <m/>
    <m/>
    <m/>
    <s v="En 2010, l'EBE était de 593 M euros en France, il tombe à 524 M euros en 2014 avec la montée en puissance de Airbnb"/>
    <m/>
    <n v="2384"/>
    <n v="0"/>
    <s v="FR00001204041"/>
    <s v="FR0000120404"/>
    <n v="1"/>
    <x v="108"/>
    <m/>
    <m/>
    <m/>
  </r>
  <r>
    <m/>
    <m/>
    <m/>
    <m/>
    <m/>
    <x v="11"/>
    <n v="6600000000"/>
    <m/>
    <n v="540000000"/>
    <m/>
    <n v="-500000000"/>
    <m/>
    <m/>
    <m/>
    <m/>
    <n v="227480960"/>
    <m/>
    <m/>
    <m/>
    <m/>
    <m/>
    <s v=""/>
    <m/>
    <m/>
    <m/>
    <s v="Dirigé par Sébastien Bazin (ex Colony - PSG ..) depuis août 2013. Gouvernance Qatar, Sarkozy (faible)"/>
    <m/>
    <n v="2385"/>
    <n v="0"/>
    <s v="FR000012040412013"/>
    <s v="FR0000120404"/>
    <n v="1"/>
    <x v="108"/>
    <m/>
    <m/>
    <m/>
  </r>
  <r>
    <m/>
    <m/>
    <m/>
    <m/>
    <m/>
    <x v="1"/>
    <m/>
    <m/>
    <m/>
    <m/>
    <m/>
    <m/>
    <m/>
    <m/>
    <m/>
    <m/>
    <m/>
    <m/>
    <m/>
    <m/>
    <m/>
    <s v=""/>
    <m/>
    <m/>
    <m/>
    <s v="Eurazeo entré au capital en mai 2008 est sortie définitevement d'Accor en mars 2018 à 45 euros pour 4,2% du capital (précédente sortie pour 4,7% du capital à 48,75 euros) et d'Edenred (à 26 euros en mars 2013)"/>
    <m/>
    <n v="2386"/>
    <n v="0"/>
    <s v="FR00001204041"/>
    <s v="FR0000120404"/>
    <n v="1"/>
    <x v="108"/>
    <m/>
    <m/>
    <m/>
  </r>
  <r>
    <m/>
    <m/>
    <m/>
    <m/>
    <m/>
    <x v="12"/>
    <n v="6300000000"/>
    <m/>
    <n v="560000000"/>
    <m/>
    <n v="-320000000"/>
    <m/>
    <m/>
    <m/>
    <m/>
    <n v="227251446"/>
    <m/>
    <m/>
    <m/>
    <m/>
    <m/>
    <s v=""/>
    <m/>
    <m/>
    <m/>
    <s v="Investissement passé de 2008 à 2014. Sans intérêt aujourd'hui"/>
    <m/>
    <n v="2387"/>
    <n v="0"/>
    <s v="FR000012040412012"/>
    <s v="FR0000120404"/>
    <n v="1"/>
    <x v="108"/>
    <m/>
    <m/>
    <m/>
  </r>
  <r>
    <m/>
    <m/>
    <m/>
    <m/>
    <m/>
    <x v="1"/>
    <m/>
    <m/>
    <m/>
    <m/>
    <m/>
    <m/>
    <m/>
    <m/>
    <m/>
    <m/>
    <m/>
    <m/>
    <m/>
    <m/>
    <m/>
    <s v=""/>
    <m/>
    <m/>
    <m/>
    <m/>
    <m/>
    <n v="2388"/>
    <n v="0"/>
    <s v="FR00001204041"/>
    <s v="FR0000120404"/>
    <n v="1"/>
    <x v="108"/>
    <m/>
    <m/>
    <m/>
  </r>
  <r>
    <m/>
    <m/>
    <m/>
    <m/>
    <m/>
    <x v="17"/>
    <n v="6100000000"/>
    <m/>
    <n v="530000000"/>
    <m/>
    <n v="-80000000"/>
    <m/>
    <m/>
    <m/>
    <m/>
    <n v="227251446"/>
    <m/>
    <m/>
    <m/>
    <m/>
    <m/>
    <s v=""/>
    <m/>
    <m/>
    <m/>
    <m/>
    <m/>
    <n v="2389"/>
    <n v="0"/>
    <s v="FR000012040412011"/>
    <s v="FR0000120404"/>
    <n v="1"/>
    <x v="108"/>
    <m/>
    <m/>
    <m/>
  </r>
  <r>
    <m/>
    <m/>
    <m/>
    <m/>
    <m/>
    <x v="1"/>
    <m/>
    <m/>
    <m/>
    <m/>
    <m/>
    <m/>
    <m/>
    <m/>
    <m/>
    <m/>
    <m/>
    <m/>
    <m/>
    <m/>
    <m/>
    <s v=""/>
    <m/>
    <m/>
    <m/>
    <m/>
    <m/>
    <n v="2390"/>
    <n v="0"/>
    <s v="FR00001204041"/>
    <s v="FR0000120404"/>
    <n v="1"/>
    <x v="108"/>
    <m/>
    <m/>
    <m/>
  </r>
  <r>
    <m/>
    <m/>
    <m/>
    <m/>
    <m/>
    <x v="18"/>
    <n v="6050000000"/>
    <m/>
    <m/>
    <m/>
    <n v="226000000"/>
    <m/>
    <m/>
    <m/>
    <m/>
    <n v="227251446"/>
    <m/>
    <m/>
    <m/>
    <m/>
    <m/>
    <s v=""/>
    <m/>
    <m/>
    <m/>
    <m/>
    <m/>
    <n v="2391"/>
    <n v="0"/>
    <s v="FR000012040412010"/>
    <s v="FR0000120404"/>
    <n v="1"/>
    <x v="108"/>
    <m/>
    <m/>
    <m/>
  </r>
  <r>
    <m/>
    <m/>
    <m/>
    <m/>
    <m/>
    <x v="1"/>
    <m/>
    <m/>
    <m/>
    <m/>
    <m/>
    <m/>
    <m/>
    <m/>
    <m/>
    <m/>
    <m/>
    <m/>
    <m/>
    <m/>
    <m/>
    <s v=""/>
    <m/>
    <m/>
    <m/>
    <m/>
    <m/>
    <n v="2392"/>
    <n v="0"/>
    <s v="FR00001204041"/>
    <s v="FR0000120404"/>
    <n v="1"/>
    <x v="108"/>
    <m/>
    <m/>
    <m/>
  </r>
  <r>
    <m/>
    <m/>
    <m/>
    <m/>
    <m/>
    <x v="1"/>
    <m/>
    <m/>
    <m/>
    <m/>
    <m/>
    <m/>
    <m/>
    <m/>
    <m/>
    <m/>
    <m/>
    <m/>
    <m/>
    <m/>
    <m/>
    <s v=""/>
    <m/>
    <m/>
    <m/>
    <m/>
    <m/>
    <n v="2393"/>
    <n v="0"/>
    <s v="FR00001204041"/>
    <s v="FR0000120404"/>
    <n v="1"/>
    <x v="108"/>
    <m/>
    <m/>
    <m/>
  </r>
  <r>
    <m/>
    <m/>
    <m/>
    <m/>
    <m/>
    <x v="1"/>
    <m/>
    <m/>
    <m/>
    <m/>
    <m/>
    <m/>
    <m/>
    <m/>
    <m/>
    <m/>
    <m/>
    <m/>
    <m/>
    <m/>
    <m/>
    <s v=""/>
    <m/>
    <m/>
    <m/>
    <m/>
    <m/>
    <n v="2394"/>
    <n v="0"/>
    <s v="FR00001204041"/>
    <s v="FR0000120404"/>
    <n v="1"/>
    <x v="108"/>
    <m/>
    <m/>
    <m/>
  </r>
  <r>
    <m/>
    <m/>
    <m/>
    <m/>
    <m/>
    <x v="1"/>
    <m/>
    <m/>
    <m/>
    <m/>
    <m/>
    <m/>
    <m/>
    <m/>
    <m/>
    <m/>
    <m/>
    <m/>
    <m/>
    <m/>
    <m/>
    <s v=""/>
    <m/>
    <m/>
    <m/>
    <m/>
    <m/>
    <n v="2395"/>
    <n v="0"/>
    <s v="FR00001204041"/>
    <s v="FR0000120404"/>
    <n v="1"/>
    <x v="108"/>
    <m/>
    <m/>
    <m/>
  </r>
  <r>
    <s v="Lagardère"/>
    <s v="Média"/>
    <s v="France"/>
    <s v="Euro"/>
    <n v="24.38"/>
    <x v="3"/>
    <m/>
    <m/>
    <m/>
    <m/>
    <m/>
    <m/>
    <m/>
    <m/>
    <m/>
    <n v="131133286"/>
    <n v="3197029512.6799998"/>
    <m/>
    <m/>
    <m/>
    <m/>
    <s v=""/>
    <m/>
    <m/>
    <m/>
    <s v="Société en commandite dirigée par Arnaud Lagardère (né en 1961) depuis le décès de son père en mars 2003. Il détient 7% du capital. Il aurait emprunté auprès du Crédit Agricole d'où des ventes contraintes d'actions et d'actifs de Lagardère"/>
    <m/>
    <n v="2396"/>
    <n v="0"/>
    <s v="FR000013021312021"/>
    <s v="FR0000130213"/>
    <n v="1"/>
    <x v="109"/>
    <m/>
    <m/>
    <m/>
  </r>
  <r>
    <m/>
    <m/>
    <m/>
    <m/>
    <m/>
    <x v="1"/>
    <m/>
    <m/>
    <m/>
    <m/>
    <m/>
    <m/>
    <m/>
    <m/>
    <m/>
    <m/>
    <m/>
    <m/>
    <m/>
    <m/>
    <m/>
    <s v=""/>
    <m/>
    <m/>
    <m/>
    <s v="Sortie en 2007, 2008, 2009 puis totalement en 2013 des 15% d'EADS autour de 40 euros pour 2,5 Md euros"/>
    <m/>
    <n v="2397"/>
    <n v="0"/>
    <s v="FR00001302131"/>
    <s v="FR0000130213"/>
    <n v="1"/>
    <x v="109"/>
    <m/>
    <m/>
    <m/>
  </r>
  <r>
    <m/>
    <m/>
    <m/>
    <m/>
    <n v="20.5"/>
    <x v="4"/>
    <n v="6400000000"/>
    <m/>
    <n v="375000000"/>
    <n v="200000000"/>
    <n v="1500000000"/>
    <n v="1700000000"/>
    <n v="12.963909102376951"/>
    <n v="0.11764705882352941"/>
    <n v="7.4999999999999997E-2"/>
    <n v="131133286"/>
    <n v="2688232363"/>
    <n v="1.5813131547058823"/>
    <n v="11.168619634666667"/>
    <m/>
    <m/>
    <s v=""/>
    <m/>
    <m/>
    <m/>
    <s v="Recentrage sur l'édition et le travel. Le sport acheté en 2007 pour 1 Md va sortir, et les médias (TV, journaux) sont en cours de cession"/>
    <m/>
    <n v="2398"/>
    <n v="0"/>
    <s v="FR000013021312020"/>
    <s v="FR0000130213"/>
    <n v="1"/>
    <x v="109"/>
    <m/>
    <m/>
    <m/>
  </r>
  <r>
    <m/>
    <m/>
    <m/>
    <m/>
    <m/>
    <x v="1"/>
    <m/>
    <m/>
    <m/>
    <m/>
    <m/>
    <m/>
    <m/>
    <m/>
    <m/>
    <m/>
    <m/>
    <m/>
    <m/>
    <m/>
    <m/>
    <s v=""/>
    <m/>
    <m/>
    <m/>
    <s v="Baisse des recettes publicitaires via ses supports avec la concurrence de Facebook et Google qui capte la moitié de la publicité"/>
    <m/>
    <n v="2399"/>
    <n v="0"/>
    <s v="FR00001302131"/>
    <s v="FR0000130213"/>
    <n v="1"/>
    <x v="109"/>
    <m/>
    <m/>
    <m/>
  </r>
  <r>
    <m/>
    <m/>
    <m/>
    <m/>
    <n v="22"/>
    <x v="5"/>
    <n v="7211000000"/>
    <m/>
    <n v="378000000"/>
    <n v="-15000000"/>
    <n v="1461000000"/>
    <n v="1700000000"/>
    <n v="12.963909102376951"/>
    <n v="-8.8235294117647058E-3"/>
    <n v="7.6532742802910475E-2"/>
    <n v="131133286"/>
    <n v="2884932292"/>
    <n v="1.6970189952941177"/>
    <n v="11.497175375661376"/>
    <m/>
    <m/>
    <s v=""/>
    <m/>
    <m/>
    <m/>
    <s v="L'édition baisse aussi, le résultat d'exploitation tourne autour de 400 M e contre 500-550 M euros en 2006"/>
    <m/>
    <n v="2400"/>
    <n v="0"/>
    <s v="FR000013021312019"/>
    <s v="FR0000130213"/>
    <n v="1"/>
    <x v="109"/>
    <m/>
    <m/>
    <m/>
  </r>
  <r>
    <m/>
    <m/>
    <m/>
    <m/>
    <m/>
    <x v="1"/>
    <n v="-6.4756131165610853E-3"/>
    <m/>
    <n v="-7.5794621026894826E-2"/>
    <n v="-1.0773195876288659"/>
    <m/>
    <m/>
    <m/>
    <m/>
    <m/>
    <m/>
    <m/>
    <m/>
    <m/>
    <m/>
    <m/>
    <s v=""/>
    <m/>
    <m/>
    <m/>
    <s v="Le travel, emplacement dans les aéroports, bénéficient du trafic mais faible valeur ajoutée et baisse du papier. Par contre pas trop capitalistique"/>
    <m/>
    <n v="2401"/>
    <n v="0"/>
    <s v="FR00001302131"/>
    <s v="FR0000130213"/>
    <n v="1"/>
    <x v="109"/>
    <m/>
    <m/>
    <m/>
  </r>
  <r>
    <m/>
    <m/>
    <m/>
    <m/>
    <n v="22"/>
    <x v="6"/>
    <n v="7258000000"/>
    <m/>
    <n v="409000000"/>
    <n v="194000000"/>
    <n v="1367000000"/>
    <n v="1689000000"/>
    <n v="12.880024984655689"/>
    <n v="0.11486086441681469"/>
    <n v="8.5654450261780105E-2"/>
    <n v="131133286"/>
    <n v="2884932292"/>
    <n v="1.7080712208407343"/>
    <n v="10.395922474327628"/>
    <m/>
    <m/>
    <s v=""/>
    <m/>
    <m/>
    <m/>
    <s v="Beaucoup d'acquisitions et de survaleur dans le temps"/>
    <m/>
    <n v="2402"/>
    <n v="0"/>
    <s v="FR000013021312018"/>
    <s v="FR0000130213"/>
    <n v="1"/>
    <x v="109"/>
    <m/>
    <m/>
    <m/>
  </r>
  <r>
    <m/>
    <m/>
    <m/>
    <m/>
    <m/>
    <x v="1"/>
    <n v="2.4562394127611409E-2"/>
    <m/>
    <n v="0.4872727272727273"/>
    <n v="0.10227272727272729"/>
    <m/>
    <m/>
    <m/>
    <m/>
    <m/>
    <m/>
    <m/>
    <m/>
    <m/>
    <m/>
    <m/>
    <s v=""/>
    <m/>
    <m/>
    <m/>
    <s v="Fin de la commandite en 2021 ou 2022"/>
    <m/>
    <n v="2403"/>
    <n v="0"/>
    <s v="FR00001302131"/>
    <s v="FR0000130213"/>
    <n v="1"/>
    <x v="109"/>
    <m/>
    <m/>
    <m/>
  </r>
  <r>
    <m/>
    <m/>
    <m/>
    <m/>
    <n v="26.7"/>
    <x v="7"/>
    <n v="7084000000"/>
    <m/>
    <n v="275000000"/>
    <n v="176000000"/>
    <n v="1368000000"/>
    <n v="1646000000"/>
    <n v="12.55211434265439"/>
    <n v="0.10692588092345079"/>
    <n v="5.8394160583941604E-2"/>
    <n v="131133286"/>
    <n v="3501258736.1999998"/>
    <n v="2.1271316744835964"/>
    <n v="17.706395404363636"/>
    <m/>
    <m/>
    <s v=""/>
    <m/>
    <m/>
    <m/>
    <s v="Peu ou pas de minoritaires (20% sur la filiale Asiatique de droit sportif)"/>
    <m/>
    <n v="2404"/>
    <n v="0"/>
    <s v="FR000013021312017"/>
    <s v="FR0000130213"/>
    <n v="1"/>
    <x v="109"/>
    <m/>
    <m/>
    <m/>
  </r>
  <r>
    <m/>
    <m/>
    <m/>
    <m/>
    <m/>
    <x v="1"/>
    <n v="-4.1537004464889726E-2"/>
    <m/>
    <n v="-0.30379746835443033"/>
    <n v="-0.26050420168067223"/>
    <m/>
    <m/>
    <m/>
    <m/>
    <m/>
    <m/>
    <m/>
    <m/>
    <m/>
    <m/>
    <m/>
    <s v=""/>
    <m/>
    <m/>
    <m/>
    <s v="Dividendes trop élevées : 1,3 euro pour 1,7 euro de BPA"/>
    <m/>
    <n v="2405"/>
    <n v="0"/>
    <s v="FR00001302131"/>
    <s v="FR0000130213"/>
    <n v="1"/>
    <x v="109"/>
    <m/>
    <m/>
    <m/>
  </r>
  <r>
    <m/>
    <m/>
    <m/>
    <m/>
    <n v="26.4"/>
    <x v="8"/>
    <n v="7391000000"/>
    <m/>
    <n v="395000000"/>
    <n v="238000000"/>
    <n v="1389000000"/>
    <n v="1865000000"/>
    <n v="14.22217086819589"/>
    <n v="0.12761394101876675"/>
    <n v="7.7688998156115546E-2"/>
    <n v="131133286"/>
    <n v="3461918750.3999996"/>
    <n v="1.8562567026273455"/>
    <n v="12.280806963037973"/>
    <m/>
    <m/>
    <s v=""/>
    <m/>
    <m/>
    <m/>
    <s v="CAC : Mazars &amp; Ersnt Young"/>
    <m/>
    <n v="2406"/>
    <n v="0"/>
    <s v="FR000013021312016"/>
    <s v="FR0000130213"/>
    <n v="1"/>
    <x v="109"/>
    <m/>
    <m/>
    <m/>
  </r>
  <r>
    <m/>
    <m/>
    <m/>
    <m/>
    <m/>
    <x v="1"/>
    <n v="2.7526762129848503E-2"/>
    <m/>
    <n v="1.2701149425287355"/>
    <n v="2.2162162162162162"/>
    <m/>
    <m/>
    <m/>
    <m/>
    <m/>
    <m/>
    <m/>
    <m/>
    <m/>
    <m/>
    <m/>
    <s v=""/>
    <m/>
    <m/>
    <m/>
    <s v="VE / EBIT (EBITDA pas utilisé)"/>
    <m/>
    <n v="2407"/>
    <n v="0"/>
    <s v="FR00001302131"/>
    <s v="FR0000130213"/>
    <n v="1"/>
    <x v="109"/>
    <m/>
    <m/>
    <m/>
  </r>
  <r>
    <m/>
    <m/>
    <m/>
    <m/>
    <n v="27.5"/>
    <x v="9"/>
    <n v="7193000000"/>
    <m/>
    <n v="174000000"/>
    <n v="74000000"/>
    <n v="1551000000"/>
    <n v="2135000000"/>
    <n v="16.2811446668087"/>
    <n v="3.4660421545667446E-2"/>
    <n v="0.37069994574064025"/>
    <n v="131133286"/>
    <n v="3606165365"/>
    <n v="1.6890704285714286"/>
    <n v="29.638881408045975"/>
    <m/>
    <m/>
    <s v=""/>
    <m/>
    <m/>
    <m/>
    <s v="Arnaud Lagardère ne serait pas toujours présent. Souvent en Floride et pas joignable"/>
    <m/>
    <n v="2408"/>
    <n v="0"/>
    <s v="FR000013021312015"/>
    <s v="FR0000130213"/>
    <n v="1"/>
    <x v="109"/>
    <m/>
    <m/>
    <m/>
  </r>
  <r>
    <m/>
    <m/>
    <m/>
    <m/>
    <m/>
    <x v="1"/>
    <m/>
    <m/>
    <m/>
    <m/>
    <m/>
    <m/>
    <m/>
    <m/>
    <m/>
    <m/>
    <m/>
    <m/>
    <m/>
    <m/>
    <m/>
    <s v=""/>
    <m/>
    <m/>
    <m/>
    <s v="Avec le recentrage, l'EBIt devrait passer à 310 M euros en 2019. Les activités cédées représentent 80-90 M euros"/>
    <m/>
    <n v="2409"/>
    <n v="0"/>
    <s v="FR00001302131"/>
    <s v="FR0000130213"/>
    <n v="1"/>
    <x v="109"/>
    <m/>
    <m/>
    <m/>
  </r>
  <r>
    <m/>
    <m/>
    <m/>
    <m/>
    <n v="47.36"/>
    <x v="15"/>
    <n v="8582000000"/>
    <m/>
    <n v="867000000"/>
    <n v="534000000"/>
    <n v="2570000000"/>
    <n v="4659000000"/>
    <n v="35.528736769396595"/>
    <n v="0.11461687057308435"/>
    <n v="7.6757504495780879E-2"/>
    <n v="131133286"/>
    <n v="6210472424.96"/>
    <n v="1.3330054571710668"/>
    <n v="10.127419175271049"/>
    <m/>
    <m/>
    <s v=""/>
    <m/>
    <m/>
    <m/>
    <s v="Le travel est renforcé avec l'acquisition en Belgique de IHF, pour 250 M e (CA : 1,3 Md e à vérifier) Prix des transactions dans le Travel 20% du CA. Marge d'exploitation : 2,5% un peu plus avec les synergies"/>
    <m/>
    <n v="2410"/>
    <n v="0"/>
    <s v="FR000013021312007"/>
    <s v="FR0000130213"/>
    <n v="1"/>
    <x v="109"/>
    <m/>
    <m/>
    <m/>
  </r>
  <r>
    <m/>
    <m/>
    <m/>
    <m/>
    <m/>
    <x v="1"/>
    <m/>
    <m/>
    <m/>
    <m/>
    <m/>
    <m/>
    <m/>
    <m/>
    <m/>
    <m/>
    <m/>
    <m/>
    <m/>
    <m/>
    <m/>
    <s v=""/>
    <m/>
    <m/>
    <m/>
    <m/>
    <m/>
    <n v="2411"/>
    <n v="0"/>
    <s v="FR00001302131"/>
    <s v="FR0000130213"/>
    <n v="1"/>
    <x v="109"/>
    <m/>
    <m/>
    <m/>
  </r>
  <r>
    <m/>
    <m/>
    <m/>
    <m/>
    <m/>
    <x v="1"/>
    <m/>
    <m/>
    <m/>
    <m/>
    <m/>
    <m/>
    <m/>
    <m/>
    <m/>
    <m/>
    <m/>
    <m/>
    <m/>
    <m/>
    <m/>
    <s v=""/>
    <m/>
    <m/>
    <m/>
    <m/>
    <m/>
    <n v="2412"/>
    <n v="0"/>
    <s v="FR00001302131"/>
    <s v="FR0000130213"/>
    <n v="1"/>
    <x v="109"/>
    <m/>
    <m/>
    <m/>
  </r>
  <r>
    <m/>
    <m/>
    <m/>
    <m/>
    <m/>
    <x v="1"/>
    <m/>
    <m/>
    <m/>
    <m/>
    <m/>
    <m/>
    <m/>
    <m/>
    <m/>
    <m/>
    <m/>
    <m/>
    <m/>
    <m/>
    <m/>
    <s v=""/>
    <m/>
    <m/>
    <m/>
    <m/>
    <m/>
    <n v="2413"/>
    <n v="0"/>
    <s v="FR00001302131"/>
    <s v="FR0000130213"/>
    <n v="1"/>
    <x v="109"/>
    <m/>
    <m/>
    <m/>
  </r>
  <r>
    <m/>
    <m/>
    <m/>
    <m/>
    <m/>
    <x v="1"/>
    <m/>
    <m/>
    <m/>
    <m/>
    <m/>
    <m/>
    <m/>
    <m/>
    <m/>
    <m/>
    <m/>
    <m/>
    <m/>
    <m/>
    <m/>
    <s v=""/>
    <m/>
    <m/>
    <m/>
    <m/>
    <m/>
    <n v="2414"/>
    <n v="0"/>
    <s v="FR00001302131"/>
    <s v="FR0000130213"/>
    <n v="1"/>
    <x v="109"/>
    <m/>
    <m/>
    <m/>
  </r>
  <r>
    <m/>
    <m/>
    <m/>
    <m/>
    <m/>
    <x v="1"/>
    <m/>
    <m/>
    <m/>
    <m/>
    <m/>
    <m/>
    <m/>
    <m/>
    <m/>
    <m/>
    <m/>
    <m/>
    <m/>
    <m/>
    <m/>
    <s v=""/>
    <m/>
    <m/>
    <m/>
    <m/>
    <m/>
    <n v="2415"/>
    <n v="0"/>
    <s v="FR00001302131"/>
    <s v="FR0000130213"/>
    <n v="1"/>
    <x v="109"/>
    <m/>
    <m/>
    <m/>
  </r>
  <r>
    <s v="Imerys"/>
    <s v="Spécialités minérales"/>
    <s v="France"/>
    <s v="Euro"/>
    <n v="42"/>
    <x v="0"/>
    <n v="3952000000"/>
    <n v="671840000"/>
    <n v="340000000"/>
    <n v="250000000"/>
    <n v="700000000"/>
    <n v="3250000000"/>
    <n v="38.261872614924094"/>
    <n v="7.4897390574912376E-2"/>
    <n v="4.9601310977437599E-2"/>
    <n v="84940955"/>
    <n v="3567520110"/>
    <n v="1.0976984953846154"/>
    <n v="6.3519887324362942"/>
    <s v="BBB- / Stable (12/2021)"/>
    <n v="14000"/>
    <n v="282285.71428571426"/>
    <n v="200000000"/>
    <s v="E=0"/>
    <m/>
    <s v="Fondée en 1880. Leader mondial des spécialités minérales pour l'industrie. Minéraux extrait et vendu par Imerys aux industriels qu'ils utilisent dans la fabrication des produits. Leader dans 75% de ses activités"/>
    <m/>
    <n v="2416"/>
    <s v="p"/>
    <s v="FR000012085912023"/>
    <s v="FR0000120859"/>
    <n v="1"/>
    <x v="110"/>
    <m/>
    <m/>
    <m/>
  </r>
  <r>
    <m/>
    <m/>
    <m/>
    <m/>
    <m/>
    <x v="1"/>
    <n v="-7.7066791219056463E-2"/>
    <n v="-6.6888888888888887E-2"/>
    <n v="6.9182389937106903E-2"/>
    <n v="5.4852320675105481E-2"/>
    <m/>
    <m/>
    <m/>
    <m/>
    <m/>
    <m/>
    <m/>
    <m/>
    <m/>
    <m/>
    <m/>
    <s v=""/>
    <m/>
    <s v="S=1"/>
    <m/>
    <s v="Détenue à 54,64% par GBL depuis la fin des années 90"/>
    <m/>
    <n v="2417"/>
    <s v="p"/>
    <s v="FR00001208591"/>
    <s v="FR0000120859"/>
    <n v="1"/>
    <x v="110"/>
    <m/>
    <m/>
    <m/>
  </r>
  <r>
    <m/>
    <m/>
    <m/>
    <m/>
    <n v="36.340000000000003"/>
    <x v="2"/>
    <n v="4282000000"/>
    <n v="720000000"/>
    <n v="318000000"/>
    <n v="237000000"/>
    <n v="1666000000"/>
    <n v="3337900000"/>
    <n v="39.296709108109276"/>
    <n v="7.4215569612325422E-2"/>
    <n v="4.9982774954784259E-2"/>
    <n v="84940955"/>
    <n v="3086754304.7000003"/>
    <n v="0.92475937107163197"/>
    <n v="6.601047645416668"/>
    <m/>
    <n v="17000"/>
    <n v="251882.35294117648"/>
    <n v="20000000"/>
    <s v="G=3"/>
    <m/>
    <s v="Alessandro Dazza nommé DG à partir de févier 2020 (50 ans, il a travaillé chez Imerys de 2002- 2018)"/>
    <m/>
    <n v="2418"/>
    <s v="p"/>
    <s v="FR000012085912022"/>
    <s v="FR0000120859"/>
    <n v="1"/>
    <x v="110"/>
    <m/>
    <m/>
    <m/>
  </r>
  <r>
    <m/>
    <m/>
    <m/>
    <m/>
    <m/>
    <x v="1"/>
    <n v="-2.304357745836183E-2"/>
    <n v="-5.3876478318002574E-2"/>
    <n v="-0.17402597402597397"/>
    <n v="-1.2499999999999956E-2"/>
    <m/>
    <m/>
    <m/>
    <m/>
    <m/>
    <m/>
    <m/>
    <m/>
    <m/>
    <m/>
    <m/>
    <s v=""/>
    <m/>
    <m/>
    <m/>
    <s v="Une centaine de sites / mines dans 42 pays et 20 ans de réserve. Une usine peut être gérée par une centaine de salariés. Présent dans 140 pays "/>
    <m/>
    <n v="2419"/>
    <s v="p"/>
    <s v="FR00001208591"/>
    <s v="FR0000120859"/>
    <n v="1"/>
    <x v="110"/>
    <m/>
    <m/>
    <m/>
  </r>
  <r>
    <m/>
    <m/>
    <m/>
    <m/>
    <n v="36.54"/>
    <x v="3"/>
    <n v="4383000000"/>
    <n v="761000000"/>
    <n v="385000000"/>
    <n v="240000000"/>
    <n v="1451000000"/>
    <n v="3193400000"/>
    <n v="37.595527387230341"/>
    <n v="8.2715836636222645E-2"/>
    <n v="6.3737385191064741E-2"/>
    <n v="84940955"/>
    <n v="3103742495.6999998"/>
    <n v="0.97192412341078471"/>
    <n v="5.9852069588699077"/>
    <m/>
    <n v="17000"/>
    <n v="257823.5294117647"/>
    <n v="255000000"/>
    <m/>
    <m/>
    <s v="Minéraux : talc, Bentonite, Kaolin, Perlite &amp; Diatomite, Argiles rouges et lithium (Mines de Beauvoir, de Cornouaille en Angleterre et de Ranong en Thaïlande)"/>
    <m/>
    <n v="2420"/>
    <s v="p"/>
    <s v="FR000012085912021"/>
    <s v="FR0000120859"/>
    <n v="1"/>
    <x v="110"/>
    <m/>
    <m/>
    <m/>
  </r>
  <r>
    <m/>
    <m/>
    <m/>
    <m/>
    <m/>
    <x v="1"/>
    <n v="0.15372466438536447"/>
    <n v="0.20602218700475428"/>
    <n v="0.2876254180602007"/>
    <n v="7"/>
    <m/>
    <m/>
    <m/>
    <m/>
    <m/>
    <m/>
    <m/>
    <m/>
    <m/>
    <m/>
    <m/>
    <s v=""/>
    <m/>
    <m/>
    <m/>
    <s v="Répartition géographique : 48% en Europe et Afrique, Asie : 29% et Amérique : 23% "/>
    <m/>
    <n v="2421"/>
    <s v="p"/>
    <s v="FR00001208591"/>
    <s v="FR0000120859"/>
    <n v="1"/>
    <x v="110"/>
    <m/>
    <m/>
    <m/>
  </r>
  <r>
    <m/>
    <m/>
    <m/>
    <m/>
    <n v="38.659999999999997"/>
    <x v="4"/>
    <n v="3799000000"/>
    <n v="631000000"/>
    <n v="299000000"/>
    <n v="30000000"/>
    <n v="1508000000"/>
    <n v="2901500000"/>
    <n v="34.159022582216082"/>
    <n v="9.6348395799209941E-3"/>
    <n v="4.5485235584637504E-2"/>
    <n v="84940955"/>
    <n v="3283817320.2999997"/>
    <n v="1.1317654042047216"/>
    <n v="7.5940052619651333"/>
    <m/>
    <n v="16400"/>
    <n v="231646.34146341463"/>
    <n v="373000000"/>
    <m/>
    <m/>
    <s v="Acquisition en 2007 et au fil des années. Dettes 100% des FP et 2,5 fois l'EBE, augmentation de capital au printemps 2009 de 252 M euros, d’où hausse du nombre d'actions"/>
    <m/>
    <n v="2422"/>
    <s v="p"/>
    <s v="FR000012085912020"/>
    <s v="FR0000120859"/>
    <n v="1"/>
    <x v="110"/>
    <m/>
    <m/>
    <m/>
  </r>
  <r>
    <m/>
    <m/>
    <m/>
    <m/>
    <m/>
    <x v="1"/>
    <n v="-0.12746899402847955"/>
    <n v="-0.17473188595343969"/>
    <n v="-0.31859617137648133"/>
    <n v="-0.75247524752475248"/>
    <m/>
    <m/>
    <m/>
    <m/>
    <m/>
    <m/>
    <m/>
    <m/>
    <m/>
    <m/>
    <m/>
    <s v=""/>
    <m/>
    <m/>
    <m/>
    <s v="Croissance du CA de 1,4% par an de fin 2007 à fin 2021"/>
    <m/>
    <n v="2423"/>
    <s v="p"/>
    <s v="FR00001208591"/>
    <s v="FR0000120859"/>
    <n v="1"/>
    <x v="110"/>
    <m/>
    <m/>
    <m/>
  </r>
  <r>
    <m/>
    <m/>
    <m/>
    <m/>
    <n v="37.64"/>
    <x v="5"/>
    <n v="4354000000"/>
    <n v="764600000"/>
    <n v="438800000"/>
    <n v="121200000"/>
    <n v="1685000000"/>
    <n v="3113700000"/>
    <n v="39.165812594008109"/>
    <n v="3.8139593429416578E-2"/>
    <n v="7.157758312477655E-2"/>
    <n v="79500457"/>
    <n v="2992397201.48"/>
    <n v="0.96104223318881077"/>
    <n v="6.1174433710175249"/>
    <m/>
    <n v="16300"/>
    <n v="267116.56441717793"/>
    <n v="348000000"/>
    <m/>
    <m/>
    <s v="En juillet 2017, acquisition de Kerneos pour 880 M euros (8,9 fois VE/EBE 2016 et 7,2 fois après synergie) pour 415 M e de chiffre d'affaires"/>
    <m/>
    <n v="2424"/>
    <s v="p"/>
    <s v="FR000012085912019"/>
    <s v="FR0000120859"/>
    <n v="1"/>
    <x v="110"/>
    <m/>
    <m/>
    <m/>
  </r>
  <r>
    <m/>
    <m/>
    <m/>
    <m/>
    <m/>
    <x v="1"/>
    <n v="-5.1416122004357301E-2"/>
    <n v="-3.6056480080685849E-2"/>
    <n v="-0.21935598647927412"/>
    <s v="NS"/>
    <m/>
    <m/>
    <m/>
    <m/>
    <m/>
    <m/>
    <m/>
    <m/>
    <m/>
    <m/>
    <m/>
    <s v=""/>
    <m/>
    <m/>
    <m/>
    <s v="En 2018, vente de la division toiture (740 M e de PV gonflant RN et FP) mais provisions de 585 M e dont 250 Me sur la filiale US de Talc, arrêt du proppant aux US (150 M e),  Namibie 78 M et autres charges de restructuration (-91,6 Me)  "/>
    <m/>
    <n v="2425"/>
    <s v="p"/>
    <s v="FR00001208591"/>
    <s v="FR0000120859"/>
    <n v="1"/>
    <x v="110"/>
    <m/>
    <m/>
    <m/>
  </r>
  <r>
    <m/>
    <m/>
    <m/>
    <m/>
    <n v="42"/>
    <x v="6"/>
    <n v="4590000000"/>
    <n v="793200000"/>
    <n v="562100000"/>
    <m/>
    <n v="1297400000"/>
    <n v="3177800000"/>
    <n v="39.979521346319252"/>
    <s v="NS"/>
    <n v="8.0068100218545116E-2"/>
    <n v="79485694"/>
    <n v="3338399148"/>
    <n v="1.0505378400151049"/>
    <n v="5.8444265607665153"/>
    <m/>
    <n v="17769"/>
    <n v="258315.04305250719"/>
    <n v="286000000"/>
    <m/>
    <m/>
    <s v="Dépréciation d'actifs, voir ci-dessus, et en 2015 : 210 Me sur la  partie pétrolière"/>
    <m/>
    <n v="2426"/>
    <s v="p"/>
    <s v="FR000012085912018"/>
    <s v="FR0000120859"/>
    <n v="1"/>
    <x v="110"/>
    <m/>
    <m/>
    <m/>
  </r>
  <r>
    <m/>
    <m/>
    <m/>
    <m/>
    <m/>
    <x v="1"/>
    <n v="6.7690160502442476E-2"/>
    <n v="2.0849420849420763E-2"/>
    <n v="1.9775036284470193E-2"/>
    <s v="NS"/>
    <m/>
    <m/>
    <m/>
    <m/>
    <m/>
    <m/>
    <m/>
    <m/>
    <m/>
    <m/>
    <m/>
    <s v=""/>
    <m/>
    <m/>
    <m/>
    <s v="En 2019, situation plus difficile et changement de dirigeant."/>
    <m/>
    <n v="2427"/>
    <s v="p"/>
    <s v="FR00001208591"/>
    <s v="FR0000120859"/>
    <n v="1"/>
    <x v="110"/>
    <m/>
    <m/>
    <m/>
  </r>
  <r>
    <m/>
    <m/>
    <m/>
    <m/>
    <n v="78.5"/>
    <x v="7"/>
    <n v="4299000000"/>
    <n v="777000000"/>
    <n v="551200000"/>
    <n v="368200000"/>
    <n v="2246600000"/>
    <n v="2878200000"/>
    <n v="36.156345101271874"/>
    <n v="0.12867377249694217"/>
    <n v="9.5158093886721057E-2"/>
    <n v="79604285"/>
    <n v="6248936372.5"/>
    <n v="2.1711265278646374"/>
    <n v="10.933766245173745"/>
    <m/>
    <m/>
    <s v=""/>
    <n v="294000000"/>
    <m/>
    <m/>
    <s v="Procès aux États-Unis liés au Talc, filiale sous chapitre 11 en 2018. Chiffre d'affaires US : 143 M e et résultat net de 16 M euros. Provision de 250 M euros passée"/>
    <m/>
    <n v="2428"/>
    <s v="p"/>
    <s v="FR000012085912017"/>
    <s v="FR0000120859"/>
    <n v="1"/>
    <x v="110"/>
    <m/>
    <m/>
    <m/>
  </r>
  <r>
    <m/>
    <m/>
    <m/>
    <m/>
    <m/>
    <x v="1"/>
    <n v="3.2123307404206214E-2"/>
    <n v="-5.1166198559042586E-2"/>
    <n v="-5.2920962199312749E-2"/>
    <n v="0.25751366120218577"/>
    <m/>
    <m/>
    <m/>
    <m/>
    <m/>
    <m/>
    <m/>
    <m/>
    <m/>
    <m/>
    <m/>
    <s v=""/>
    <m/>
    <m/>
    <m/>
    <s v="En 2019, IFRS 16 : dettes 275 Me en plus "/>
    <m/>
    <n v="2429"/>
    <s v="p"/>
    <s v="FR00001208591"/>
    <s v="FR0000120859"/>
    <n v="1"/>
    <x v="110"/>
    <m/>
    <m/>
    <m/>
  </r>
  <r>
    <m/>
    <m/>
    <m/>
    <m/>
    <n v="72.099999999999994"/>
    <x v="8"/>
    <n v="4165200000"/>
    <n v="818900000"/>
    <n v="582000000"/>
    <n v="292800000"/>
    <n v="1367000000"/>
    <n v="2861500000"/>
    <n v="35.963006878881799"/>
    <n v="0.11073711281721568"/>
    <n v="0.10300884955752213"/>
    <n v="79567874"/>
    <n v="5736843715.3999996"/>
    <n v="2.0048379225580986"/>
    <n v="8.6748610518988887"/>
    <m/>
    <m/>
    <s v=""/>
    <m/>
    <m/>
    <m/>
    <s v="Hors restructuration, résultat d'exploitation proche de 500  M euros minimum"/>
    <m/>
    <n v="2430"/>
    <s v="p"/>
    <s v="FR000012085912016"/>
    <s v="FR0000120859"/>
    <n v="1"/>
    <x v="110"/>
    <m/>
    <m/>
    <m/>
  </r>
  <r>
    <m/>
    <m/>
    <m/>
    <m/>
    <m/>
    <x v="1"/>
    <n v="1.9208652457973319E-2"/>
    <n v="9.8604775959216573E-2"/>
    <n v="8.1784386617100413E-2"/>
    <n v="3.2807017543859649"/>
    <m/>
    <m/>
    <m/>
    <m/>
    <m/>
    <m/>
    <m/>
    <m/>
    <m/>
    <m/>
    <m/>
    <s v=""/>
    <m/>
    <m/>
    <m/>
    <s v="Cash flow libre (après investissement) en hausse à 347 Meuros en 2019 et 373 M euros en 2020"/>
    <m/>
    <n v="2431"/>
    <s v="p"/>
    <s v="FR00001208591"/>
    <s v="FR0000120859"/>
    <n v="1"/>
    <x v="110"/>
    <m/>
    <m/>
    <m/>
  </r>
  <r>
    <m/>
    <m/>
    <m/>
    <m/>
    <n v="62.4"/>
    <x v="9"/>
    <n v="4086700000"/>
    <n v="745400000"/>
    <n v="538000000"/>
    <n v="68400000"/>
    <n v="1480400000"/>
    <n v="2644100000"/>
    <n v="33.35316030559926"/>
    <n v="2.7982326951399118E-2"/>
    <n v="0.11849862716108982"/>
    <n v="79275846"/>
    <n v="4946812790.3999996"/>
    <n v="1.870887179153587"/>
    <n v="8.6225017311510594"/>
    <m/>
    <m/>
    <s v=""/>
    <m/>
    <m/>
    <m/>
    <s v="Résolution en vue des filiales de Talc aux États-Unis. Vente des actifs de la filiale et le passif dans un trust. Coût provisionné 115 M euros. Fin du problème au 4 T 2020"/>
    <m/>
    <n v="2432"/>
    <s v="p"/>
    <s v="FR000012085912015"/>
    <s v="FR0000120859"/>
    <n v="1"/>
    <x v="110"/>
    <m/>
    <m/>
    <m/>
  </r>
  <r>
    <m/>
    <m/>
    <m/>
    <m/>
    <m/>
    <x v="1"/>
    <n v="0.10804728593894031"/>
    <n v="0.10626298604927276"/>
    <n v="8.7747674888799088E-2"/>
    <n v="-0.74972557628979142"/>
    <m/>
    <m/>
    <m/>
    <m/>
    <m/>
    <m/>
    <m/>
    <m/>
    <m/>
    <m/>
    <m/>
    <s v=""/>
    <m/>
    <m/>
    <m/>
    <s v="En 2020, dépréciation d'actifs de 137 Me d'où un faible résultat net. 350 Me d'investissements beaucoup d'innovation (70 en 2020) et d'acquisition ciblées"/>
    <m/>
    <n v="2433"/>
    <s v="p"/>
    <s v="FR00001208591"/>
    <s v="FR0000120859"/>
    <n v="1"/>
    <x v="110"/>
    <m/>
    <m/>
    <m/>
  </r>
  <r>
    <m/>
    <m/>
    <m/>
    <m/>
    <n v="68.349999999999994"/>
    <x v="10"/>
    <n v="3688200000"/>
    <n v="673800000"/>
    <n v="494600000"/>
    <n v="273300000"/>
    <n v="869900000"/>
    <n v="2444400000"/>
    <n v="32.106167757169565"/>
    <n v="0.14726802457161331"/>
    <n v="0.12803021169462075"/>
    <n v="76134904"/>
    <n v="5203820688.3999996"/>
    <n v="2.1288744429716902"/>
    <n v="9.0141298432769368"/>
    <m/>
    <m/>
    <s v=""/>
    <m/>
    <m/>
    <m/>
    <s v="En 2021, poursuite du redressement de l'activité et de l'amélioration de la marge. Cession de l'activité Kaolin pour papiers en Amérique du Nord pour 100 M euros (cession à venir) et d'une activité graphite en Namibie pour 40 M euros (15 M euros de CA et 50 salariés)"/>
    <m/>
    <n v="2434"/>
    <s v="p"/>
    <s v="FR000012085912014"/>
    <s v="FR0000120859"/>
    <n v="1"/>
    <x v="110"/>
    <m/>
    <m/>
    <m/>
  </r>
  <r>
    <m/>
    <m/>
    <m/>
    <m/>
    <m/>
    <x v="1"/>
    <m/>
    <m/>
    <m/>
    <m/>
    <m/>
    <m/>
    <m/>
    <m/>
    <m/>
    <m/>
    <m/>
    <m/>
    <m/>
    <m/>
    <m/>
    <s v=""/>
    <m/>
    <m/>
    <m/>
    <s v="En 2022, année de croissance, reprise espérée dans l'automobile et l'Asie (qui ont pesé au 4T21), l'inflation pèse un peu sur les marges. 400 M e d'investissements (contre 330 M euros en 2021). Potentiel intact à moyen terme"/>
    <m/>
    <n v="2435"/>
    <s v="p"/>
    <s v="FR00001208591"/>
    <s v="FR0000120859"/>
    <n v="1"/>
    <x v="110"/>
    <m/>
    <m/>
    <m/>
  </r>
  <r>
    <m/>
    <m/>
    <m/>
    <m/>
    <n v="45.6"/>
    <x v="38"/>
    <n v="2773700000"/>
    <n v="416600000"/>
    <n v="248900000"/>
    <n v="41300000"/>
    <n v="964300000"/>
    <n v="1855800000"/>
    <n v="25.755683237571819"/>
    <n v="2.6708918062471707E-2"/>
    <n v="5.8372795322388926E-2"/>
    <n v="72054000"/>
    <n v="3285662400"/>
    <n v="1.7704830261881668"/>
    <n v="10.201542006721075"/>
    <m/>
    <m/>
    <s v=""/>
    <m/>
    <m/>
    <m/>
    <s v="Cession à venir de la partie HTS (High Temperature Solution pour l'industrie) à Platinum Equity pour 930 M euros avec un CA de 801 M euros (6000 clients, 2800 salairés, 36 sites et 16 pays). Cession d'une activité de Kaollin représentant 60 Me de CA "/>
    <m/>
    <n v="2436"/>
    <s v="p"/>
    <s v="FR000012085912009"/>
    <s v="FR0000120859"/>
    <n v="1"/>
    <x v="110"/>
    <m/>
    <m/>
    <m/>
  </r>
  <r>
    <m/>
    <m/>
    <m/>
    <m/>
    <m/>
    <x v="1"/>
    <n v="-0.1958425142061927"/>
    <n v="-0.27345657481688179"/>
    <n v="-0.38299454635597419"/>
    <n v="-0.74395536267823936"/>
    <m/>
    <m/>
    <m/>
    <m/>
    <m/>
    <m/>
    <m/>
    <m/>
    <m/>
    <m/>
    <m/>
    <s v=""/>
    <m/>
    <m/>
    <m/>
    <s v="Cession de la partie Kaolin, Carbonate de Calcium destiné au papier pour 400 M euros de CA présent en Asie, États-Unis et Europe avec 950 salariés et 24 usines pour 390 M euros"/>
    <m/>
    <n v="2437"/>
    <s v="p"/>
    <s v="FR00001208591"/>
    <s v="FR0000120859"/>
    <n v="1"/>
    <x v="110"/>
    <m/>
    <m/>
    <m/>
  </r>
  <r>
    <m/>
    <m/>
    <m/>
    <m/>
    <n v="25.4"/>
    <x v="20"/>
    <n v="3449200000"/>
    <n v="573400000"/>
    <n v="403400000"/>
    <n v="161300000"/>
    <n v="1566400000"/>
    <n v="1546300000"/>
    <n v="24.622219391410965"/>
    <n v="9.837165335122279E-2"/>
    <n v="9.8730009722734435E-2"/>
    <n v="62801000"/>
    <n v="1595145400"/>
    <n v="1.0315885662549311"/>
    <n v="5.5136822462504362"/>
    <m/>
    <m/>
    <s v=""/>
    <m/>
    <m/>
    <m/>
    <s v="Total cession : 1,42 Md euros pour 1,2 Md euros de CA à des VE/EBE de 7 à 9 fois. En 2023, 3,8 Md euros de CA et pas de dettes ou presque et 600 M euros d'EBE"/>
    <m/>
    <n v="2438"/>
    <s v="p"/>
    <s v="FR000012085912008"/>
    <s v="FR0000120859"/>
    <n v="1"/>
    <x v="110"/>
    <m/>
    <m/>
    <m/>
  </r>
  <r>
    <m/>
    <m/>
    <m/>
    <m/>
    <m/>
    <x v="1"/>
    <n v="1.3903994826420574E-2"/>
    <n v="-0.11730295566502458"/>
    <n v="-0.15659627848630564"/>
    <n v="-0.432441942294159"/>
    <m/>
    <m/>
    <m/>
    <m/>
    <m/>
    <m/>
    <m/>
    <m/>
    <m/>
    <m/>
    <m/>
    <s v=""/>
    <m/>
    <m/>
    <m/>
    <s v="Réserve de lithium avec une mine à Beauvoir dans l'Allier avec galerie souterraine : 1 Md euros d'investissement. Production potentielle : 34 000 tonnes par an avec un coût de production de 9000 euros la tonne soit 306 M euros, le prix de vente est à 50-70 000 euros la tonne"/>
    <m/>
    <n v="2439"/>
    <s v="p"/>
    <s v="FR00001208591"/>
    <s v="FR0000120859"/>
    <n v="1"/>
    <x v="110"/>
    <m/>
    <m/>
    <m/>
  </r>
  <r>
    <m/>
    <m/>
    <m/>
    <m/>
    <n v="53.6"/>
    <x v="15"/>
    <n v="3401900000"/>
    <n v="649600000"/>
    <n v="478300000"/>
    <n v="284200000"/>
    <n v="1343000000"/>
    <n v="1639700000"/>
    <n v="25.974681837473419"/>
    <n v="0.17332438860767213"/>
    <n v="0.1170613873336239"/>
    <n v="63126856"/>
    <n v="3383599481.5999999"/>
    <n v="2.0635478938830274"/>
    <n v="7.2761691527093602"/>
    <m/>
    <m/>
    <s v=""/>
    <m/>
    <m/>
    <m/>
    <s v="CA 2023 à 4,2 Md euros et 18% de marge d'EBE"/>
    <m/>
    <n v="2440"/>
    <s v="p"/>
    <s v="FR000012085912007"/>
    <s v="FR0000120859"/>
    <n v="1"/>
    <x v="110"/>
    <m/>
    <m/>
    <m/>
  </r>
  <r>
    <m/>
    <m/>
    <m/>
    <m/>
    <m/>
    <x v="1"/>
    <m/>
    <m/>
    <m/>
    <m/>
    <m/>
    <m/>
    <m/>
    <m/>
    <m/>
    <m/>
    <m/>
    <m/>
    <m/>
    <m/>
    <m/>
    <s v=""/>
    <m/>
    <m/>
    <m/>
    <s v="Taux d'IS : 27%"/>
    <m/>
    <n v="2441"/>
    <s v="p"/>
    <s v="FR00001208591"/>
    <s v="FR0000120859"/>
    <n v="1"/>
    <x v="110"/>
    <m/>
    <m/>
    <m/>
  </r>
  <r>
    <m/>
    <m/>
    <m/>
    <m/>
    <n v="29.4"/>
    <x v="40"/>
    <m/>
    <m/>
    <m/>
    <m/>
    <m/>
    <m/>
    <m/>
    <m/>
    <m/>
    <m/>
    <m/>
    <m/>
    <m/>
    <m/>
    <m/>
    <s v=""/>
    <m/>
    <m/>
    <m/>
    <s v="Minoritaires : 2%"/>
    <m/>
    <n v="2442"/>
    <s v="p"/>
    <s v="FR000012085911999"/>
    <s v="FR0000120859"/>
    <n v="1"/>
    <x v="110"/>
    <m/>
    <m/>
    <m/>
  </r>
  <r>
    <m/>
    <m/>
    <m/>
    <m/>
    <m/>
    <x v="1"/>
    <m/>
    <m/>
    <m/>
    <m/>
    <m/>
    <m/>
    <m/>
    <m/>
    <m/>
    <m/>
    <m/>
    <m/>
    <m/>
    <m/>
    <m/>
    <s v=""/>
    <m/>
    <m/>
    <m/>
    <s v="CAC : Deloitte et Ernst &amp; Young"/>
    <m/>
    <n v="2443"/>
    <s v="p"/>
    <s v="FR00001208591"/>
    <s v="FR0000120859"/>
    <n v="1"/>
    <x v="110"/>
    <m/>
    <m/>
    <m/>
  </r>
  <r>
    <m/>
    <m/>
    <m/>
    <m/>
    <m/>
    <x v="1"/>
    <m/>
    <m/>
    <m/>
    <m/>
    <m/>
    <m/>
    <m/>
    <m/>
    <m/>
    <m/>
    <m/>
    <m/>
    <m/>
    <m/>
    <m/>
    <s v=""/>
    <m/>
    <m/>
    <m/>
    <s v="Pay-out ratio : autour de 50 % en 2023 (en 2023, dividendes exceptionnels suite cession et en 2020, payé à 88 % en actions)  "/>
    <m/>
    <n v="2444"/>
    <s v="p"/>
    <s v="FR00001208591"/>
    <s v="FR0000120859"/>
    <n v="1"/>
    <x v="110"/>
    <m/>
    <m/>
    <m/>
  </r>
  <r>
    <m/>
    <m/>
    <m/>
    <m/>
    <m/>
    <x v="1"/>
    <m/>
    <m/>
    <m/>
    <m/>
    <m/>
    <m/>
    <m/>
    <m/>
    <m/>
    <m/>
    <m/>
    <m/>
    <m/>
    <m/>
    <m/>
    <s v=""/>
    <m/>
    <m/>
    <m/>
    <m/>
    <m/>
    <n v="2445"/>
    <s v="p"/>
    <s v="FR00001208591"/>
    <s v="FR0000120859"/>
    <n v="1"/>
    <x v="110"/>
    <m/>
    <m/>
    <m/>
  </r>
  <r>
    <m/>
    <m/>
    <m/>
    <m/>
    <m/>
    <x v="1"/>
    <m/>
    <m/>
    <m/>
    <m/>
    <m/>
    <m/>
    <m/>
    <m/>
    <m/>
    <m/>
    <m/>
    <m/>
    <m/>
    <m/>
    <m/>
    <s v=""/>
    <m/>
    <m/>
    <m/>
    <m/>
    <m/>
    <n v="2446"/>
    <s v="p"/>
    <s v="FR00001208591"/>
    <s v="FR0000120859"/>
    <n v="1"/>
    <x v="110"/>
    <m/>
    <m/>
    <m/>
  </r>
  <r>
    <m/>
    <m/>
    <m/>
    <m/>
    <m/>
    <x v="1"/>
    <m/>
    <m/>
    <m/>
    <m/>
    <m/>
    <m/>
    <m/>
    <m/>
    <m/>
    <m/>
    <m/>
    <m/>
    <m/>
    <m/>
    <m/>
    <s v=""/>
    <m/>
    <m/>
    <m/>
    <m/>
    <m/>
    <n v="2447"/>
    <s v="p"/>
    <s v="FR00001208591"/>
    <s v="FR0000120859"/>
    <n v="1"/>
    <x v="110"/>
    <m/>
    <m/>
    <m/>
  </r>
  <r>
    <m/>
    <m/>
    <m/>
    <m/>
    <s v="Retrait de la cote à 47 euros en 2023 par la famille"/>
    <x v="1"/>
    <m/>
    <m/>
    <m/>
    <m/>
    <m/>
    <m/>
    <m/>
    <m/>
    <m/>
    <m/>
    <m/>
    <m/>
    <m/>
    <m/>
    <m/>
    <s v=""/>
    <m/>
    <m/>
    <m/>
    <m/>
    <m/>
    <n v="2448"/>
    <s v="p"/>
    <s v="FR00001208591"/>
    <s v="FR0000120859"/>
    <n v="1"/>
    <x v="110"/>
    <m/>
    <m/>
    <m/>
  </r>
  <r>
    <m/>
    <m/>
    <m/>
    <m/>
    <m/>
    <x v="1"/>
    <m/>
    <m/>
    <m/>
    <m/>
    <m/>
    <m/>
    <m/>
    <m/>
    <m/>
    <m/>
    <m/>
    <m/>
    <m/>
    <m/>
    <m/>
    <s v=""/>
    <m/>
    <m/>
    <m/>
    <m/>
    <m/>
    <n v="2449"/>
    <s v="p"/>
    <s v="FR00001208591"/>
    <s v="FR0000120859"/>
    <n v="1"/>
    <x v="110"/>
    <m/>
    <m/>
    <m/>
  </r>
  <r>
    <s v="Rothschild &amp; Co"/>
    <s v="Banque &amp; Asset Management"/>
    <s v="France"/>
    <s v="Euro"/>
    <n v="47"/>
    <x v="0"/>
    <m/>
    <m/>
    <m/>
    <m/>
    <m/>
    <m/>
    <m/>
    <m/>
    <m/>
    <m/>
    <m/>
    <m/>
    <m/>
    <m/>
    <m/>
    <s v=""/>
    <m/>
    <m/>
    <m/>
    <m/>
    <m/>
    <n v="2450"/>
    <n v="0"/>
    <s v="FR0000031684 12023"/>
    <s v="FR0000031684 "/>
    <n v="1"/>
    <x v="111"/>
    <m/>
    <m/>
    <m/>
  </r>
  <r>
    <m/>
    <m/>
    <m/>
    <m/>
    <m/>
    <x v="1"/>
    <m/>
    <m/>
    <m/>
    <m/>
    <m/>
    <m/>
    <m/>
    <m/>
    <m/>
    <m/>
    <m/>
    <m/>
    <m/>
    <m/>
    <m/>
    <s v=""/>
    <m/>
    <m/>
    <m/>
    <m/>
    <m/>
    <n v="2451"/>
    <n v="0"/>
    <s v="FR0000031684 1"/>
    <s v="FR0000031684 "/>
    <n v="1"/>
    <x v="111"/>
    <m/>
    <m/>
    <m/>
  </r>
  <r>
    <m/>
    <m/>
    <m/>
    <m/>
    <n v="37.35"/>
    <x v="2"/>
    <m/>
    <m/>
    <m/>
    <m/>
    <m/>
    <m/>
    <m/>
    <m/>
    <m/>
    <m/>
    <m/>
    <m/>
    <m/>
    <m/>
    <m/>
    <s v=""/>
    <m/>
    <m/>
    <m/>
    <m/>
    <m/>
    <n v="2452"/>
    <n v="0"/>
    <s v="FR0000031684 12022"/>
    <s v="FR0000031684 "/>
    <n v="1"/>
    <x v="111"/>
    <m/>
    <m/>
    <m/>
  </r>
  <r>
    <m/>
    <m/>
    <m/>
    <m/>
    <m/>
    <x v="1"/>
    <m/>
    <m/>
    <m/>
    <m/>
    <m/>
    <m/>
    <m/>
    <m/>
    <m/>
    <m/>
    <m/>
    <m/>
    <m/>
    <m/>
    <m/>
    <s v=""/>
    <m/>
    <m/>
    <m/>
    <m/>
    <m/>
    <n v="2453"/>
    <n v="0"/>
    <s v="FR0000031684 1"/>
    <s v="FR0000031684 "/>
    <n v="1"/>
    <x v="111"/>
    <m/>
    <m/>
    <m/>
  </r>
  <r>
    <m/>
    <m/>
    <m/>
    <m/>
    <n v="40.4"/>
    <x v="3"/>
    <m/>
    <m/>
    <m/>
    <m/>
    <m/>
    <m/>
    <m/>
    <m/>
    <m/>
    <n v="77567512"/>
    <n v="3133727484.7999997"/>
    <m/>
    <m/>
    <m/>
    <m/>
    <s v=""/>
    <m/>
    <m/>
    <m/>
    <s v="Banque, société de gestion et conseil détenue par la famille Rothschild à plus de 50%"/>
    <m/>
    <n v="2454"/>
    <n v="0"/>
    <s v="FR0000031684 12021"/>
    <s v="FR0000031684 "/>
    <n v="1"/>
    <x v="111"/>
    <m/>
    <m/>
    <m/>
  </r>
  <r>
    <m/>
    <m/>
    <m/>
    <m/>
    <m/>
    <x v="1"/>
    <m/>
    <m/>
    <m/>
    <m/>
    <m/>
    <m/>
    <m/>
    <m/>
    <m/>
    <m/>
    <m/>
    <m/>
    <m/>
    <m/>
    <m/>
    <s v=""/>
    <m/>
    <m/>
    <m/>
    <s v="2 Md euros de CA, 250 M euros de résultat net, faible valorisation"/>
    <m/>
    <n v="2455"/>
    <n v="0"/>
    <s v="FR0000031684 1"/>
    <s v="FR0000031684 "/>
    <n v="1"/>
    <x v="111"/>
    <m/>
    <m/>
    <m/>
  </r>
  <r>
    <m/>
    <m/>
    <m/>
    <m/>
    <n v="25.9"/>
    <x v="5"/>
    <n v="1872000000"/>
    <m/>
    <n v="446000000"/>
    <n v="243000000"/>
    <m/>
    <n v="2200000000"/>
    <n v="28.362389656123042"/>
    <n v="0.11045454545454546"/>
    <m/>
    <n v="77567512"/>
    <n v="2008998560.8"/>
    <n v="0.91318116399999993"/>
    <s v="NS"/>
    <m/>
    <m/>
    <s v=""/>
    <m/>
    <m/>
    <m/>
    <s v="Minoritaires significatifs"/>
    <m/>
    <n v="2456"/>
    <n v="0"/>
    <s v="FR0000031684 12019"/>
    <s v="FR0000031684 "/>
    <n v="1"/>
    <x v="111"/>
    <m/>
    <m/>
    <m/>
  </r>
  <r>
    <m/>
    <m/>
    <m/>
    <m/>
    <m/>
    <x v="1"/>
    <m/>
    <m/>
    <m/>
    <m/>
    <m/>
    <m/>
    <m/>
    <m/>
    <m/>
    <m/>
    <m/>
    <m/>
    <m/>
    <m/>
    <m/>
    <s v=""/>
    <m/>
    <m/>
    <m/>
    <m/>
    <m/>
    <n v="2457"/>
    <n v="0"/>
    <s v="FR0000031684 1"/>
    <s v="FR0000031684 "/>
    <n v="1"/>
    <x v="111"/>
    <m/>
    <m/>
    <m/>
  </r>
  <r>
    <m/>
    <m/>
    <m/>
    <m/>
    <m/>
    <x v="6"/>
    <n v="1976000000"/>
    <m/>
    <n v="535000000"/>
    <n v="286000000"/>
    <m/>
    <n v="2000000000"/>
    <n v="25.783990596475494"/>
    <n v="0.14299999999999999"/>
    <m/>
    <n v="77567512"/>
    <n v="0"/>
    <n v="0"/>
    <m/>
    <m/>
    <m/>
    <s v=""/>
    <m/>
    <m/>
    <m/>
    <m/>
    <m/>
    <n v="2458"/>
    <n v="0"/>
    <s v="FR0000031684 12018"/>
    <s v="FR0000031684 "/>
    <n v="1"/>
    <x v="111"/>
    <m/>
    <m/>
    <m/>
  </r>
  <r>
    <m/>
    <m/>
    <m/>
    <m/>
    <m/>
    <x v="1"/>
    <m/>
    <m/>
    <m/>
    <m/>
    <m/>
    <m/>
    <m/>
    <m/>
    <m/>
    <m/>
    <m/>
    <m/>
    <m/>
    <m/>
    <m/>
    <s v=""/>
    <m/>
    <m/>
    <m/>
    <m/>
    <m/>
    <n v="2459"/>
    <n v="0"/>
    <s v="FR0000031684 1"/>
    <s v="FR0000031684 "/>
    <n v="1"/>
    <x v="111"/>
    <m/>
    <m/>
    <m/>
  </r>
  <r>
    <m/>
    <m/>
    <m/>
    <m/>
    <m/>
    <x v="1"/>
    <m/>
    <m/>
    <m/>
    <m/>
    <m/>
    <m/>
    <m/>
    <m/>
    <m/>
    <m/>
    <m/>
    <m/>
    <m/>
    <m/>
    <m/>
    <s v=""/>
    <m/>
    <m/>
    <m/>
    <m/>
    <m/>
    <n v="2460"/>
    <n v="0"/>
    <s v="FR0000031684 1"/>
    <s v="FR0000031684 "/>
    <n v="1"/>
    <x v="111"/>
    <m/>
    <m/>
    <m/>
  </r>
  <r>
    <m/>
    <m/>
    <m/>
    <m/>
    <m/>
    <x v="1"/>
    <m/>
    <m/>
    <m/>
    <m/>
    <m/>
    <m/>
    <m/>
    <m/>
    <m/>
    <m/>
    <m/>
    <m/>
    <m/>
    <m/>
    <m/>
    <s v=""/>
    <m/>
    <m/>
    <m/>
    <m/>
    <m/>
    <n v="2461"/>
    <n v="0"/>
    <s v="FR0000031684 1"/>
    <s v="FR0000031684 "/>
    <n v="1"/>
    <x v="111"/>
    <m/>
    <m/>
    <m/>
  </r>
  <r>
    <s v="La Française des Jeux (FDJ)"/>
    <s v="Jeux"/>
    <s v="France"/>
    <s v="Euro"/>
    <n v="38.9"/>
    <x v="3"/>
    <m/>
    <m/>
    <m/>
    <m/>
    <m/>
    <m/>
    <m/>
    <m/>
    <m/>
    <n v="191000000"/>
    <n v="7429900000"/>
    <m/>
    <m/>
    <m/>
    <m/>
    <s v=""/>
    <m/>
    <m/>
    <m/>
    <m/>
    <m/>
    <n v="2462"/>
    <n v="0"/>
    <s v="FR001345133312021"/>
    <s v="FR0013451333"/>
    <n v="1"/>
    <x v="112"/>
    <m/>
    <m/>
    <m/>
  </r>
  <r>
    <m/>
    <m/>
    <m/>
    <m/>
    <m/>
    <x v="1"/>
    <m/>
    <m/>
    <m/>
    <m/>
    <m/>
    <m/>
    <m/>
    <m/>
    <m/>
    <m/>
    <m/>
    <m/>
    <m/>
    <m/>
    <m/>
    <s v=""/>
    <m/>
    <m/>
    <m/>
    <m/>
    <m/>
    <n v="2463"/>
    <n v="0"/>
    <s v="FR00134513331"/>
    <s v="FR0013451333"/>
    <n v="1"/>
    <x v="112"/>
    <m/>
    <m/>
    <m/>
  </r>
  <r>
    <m/>
    <m/>
    <m/>
    <m/>
    <n v="37.409999999999997"/>
    <x v="5"/>
    <n v="1829638999.9999998"/>
    <m/>
    <n v="256700000"/>
    <n v="170400000"/>
    <n v="0"/>
    <n v="580000000"/>
    <n v="3.0366492146596857"/>
    <n v="0.29379310344827586"/>
    <n v="0.31423620689655174"/>
    <n v="191000000"/>
    <n v="7145309999.999999"/>
    <n v="12.319499999999998"/>
    <e v="#DIV/0!"/>
    <m/>
    <m/>
    <s v=""/>
    <m/>
    <m/>
    <m/>
    <s v="IPO en novembre 2019, l'État va passer de 72% à 20% du capital, valorisation autour de 3 Md euros"/>
    <m/>
    <n v="2464"/>
    <n v="0"/>
    <s v="FR001345133312019"/>
    <s v="FR0013451333"/>
    <n v="1"/>
    <x v="112"/>
    <m/>
    <m/>
    <m/>
  </r>
  <r>
    <m/>
    <m/>
    <m/>
    <m/>
    <m/>
    <x v="1"/>
    <m/>
    <m/>
    <m/>
    <m/>
    <m/>
    <m/>
    <m/>
    <m/>
    <m/>
    <m/>
    <m/>
    <m/>
    <m/>
    <m/>
    <m/>
    <s v=""/>
    <m/>
    <m/>
    <m/>
    <s v="Lancé en 1933, FDJ s'occupe du loto, des jeux de grattage et des paris sportifs"/>
    <m/>
    <n v="2465"/>
    <n v="0"/>
    <s v="FR00134513331"/>
    <s v="FR0013451333"/>
    <n v="1"/>
    <x v="112"/>
    <m/>
    <m/>
    <m/>
  </r>
  <r>
    <m/>
    <m/>
    <m/>
    <m/>
    <m/>
    <x v="6"/>
    <n v="1802600000"/>
    <m/>
    <n v="256700000"/>
    <n v="170400000"/>
    <n v="0"/>
    <n v="563900000"/>
    <m/>
    <n v="0.30218123780812201"/>
    <n v="0.3232080156056038"/>
    <m/>
    <m/>
    <m/>
    <m/>
    <m/>
    <m/>
    <s v=""/>
    <m/>
    <m/>
    <m/>
    <s v="Loto, FJD reverse 50%-60% aux joueurs, paris sportifs (concurrence) jusqu'à 85% aux joueurs. En moyenne, sur 100 euros 66% aux joueurs, 22% à l'État et 11-12% à la FDJ"/>
    <m/>
    <n v="2466"/>
    <n v="0"/>
    <s v="FR001345133312018"/>
    <s v="FR0013451333"/>
    <n v="1"/>
    <x v="112"/>
    <m/>
    <m/>
    <m/>
  </r>
  <r>
    <m/>
    <m/>
    <m/>
    <m/>
    <m/>
    <x v="1"/>
    <n v="2.3041997729852381E-2"/>
    <m/>
    <n v="-5.0387596899225118E-3"/>
    <n v="-5.7000553403431131E-2"/>
    <m/>
    <m/>
    <m/>
    <m/>
    <m/>
    <m/>
    <m/>
    <m/>
    <m/>
    <m/>
    <m/>
    <s v=""/>
    <m/>
    <m/>
    <m/>
    <s v="Concession sur 25 ans pour l'exclusivité du loto moyennant 380 M euros"/>
    <m/>
    <n v="2467"/>
    <n v="0"/>
    <s v="FR00134513331"/>
    <s v="FR0013451333"/>
    <n v="1"/>
    <x v="112"/>
    <m/>
    <m/>
    <m/>
  </r>
  <r>
    <m/>
    <m/>
    <m/>
    <m/>
    <m/>
    <x v="7"/>
    <n v="1762000000"/>
    <m/>
    <n v="258000000"/>
    <n v="180700000"/>
    <n v="0"/>
    <n v="519800000"/>
    <m/>
    <n v="0.3476337052712582"/>
    <n v="0.35240477106579454"/>
    <m/>
    <m/>
    <m/>
    <m/>
    <m/>
    <m/>
    <s v=""/>
    <m/>
    <m/>
    <m/>
    <s v="Plan 2020 - 2025 : chiffre d'affaires : 2 Md euros / EBE 400 Me / Rex 290 et RN : 200 Me avec un plan d'investissement de 600 Me (digitalisation : 15% des paris en ligne en 2019….)"/>
    <m/>
    <n v="2468"/>
    <n v="0"/>
    <s v="FR001345133312017"/>
    <s v="FR0013451333"/>
    <n v="1"/>
    <x v="112"/>
    <m/>
    <m/>
    <m/>
  </r>
  <r>
    <m/>
    <m/>
    <m/>
    <m/>
    <m/>
    <x v="1"/>
    <n v="3.9037622361127511E-2"/>
    <m/>
    <n v="6.2602965403624422E-2"/>
    <n v="2.670454545454537E-2"/>
    <m/>
    <m/>
    <m/>
    <m/>
    <m/>
    <m/>
    <m/>
    <m/>
    <m/>
    <m/>
    <m/>
    <s v=""/>
    <m/>
    <m/>
    <m/>
    <s v="Pas de minoritaires, pas de dettes, rente avec ROE de 33%. Dividendes : 80% du RN à terme"/>
    <m/>
    <n v="2469"/>
    <n v="0"/>
    <s v="FR00134513331"/>
    <s v="FR0013451333"/>
    <n v="1"/>
    <x v="112"/>
    <m/>
    <m/>
    <m/>
  </r>
  <r>
    <m/>
    <m/>
    <m/>
    <m/>
    <m/>
    <x v="8"/>
    <n v="1695800000"/>
    <m/>
    <n v="242800000"/>
    <n v="176000000"/>
    <n v="0"/>
    <n v="461700000"/>
    <m/>
    <n v="0.38119991336365605"/>
    <n v="0.37337665150530647"/>
    <m/>
    <m/>
    <m/>
    <m/>
    <m/>
    <m/>
    <s v=""/>
    <m/>
    <m/>
    <m/>
    <s v="2 100 salariés soit 880 K euros par salarié (levier grâce au réseau de buraliste)"/>
    <m/>
    <n v="2470"/>
    <n v="0"/>
    <s v="FR001345133312016"/>
    <s v="FR0013451333"/>
    <n v="1"/>
    <x v="112"/>
    <m/>
    <m/>
    <m/>
  </r>
  <r>
    <m/>
    <m/>
    <m/>
    <m/>
    <m/>
    <x v="1"/>
    <m/>
    <m/>
    <m/>
    <m/>
    <m/>
    <m/>
    <m/>
    <m/>
    <m/>
    <m/>
    <m/>
    <m/>
    <m/>
    <m/>
    <m/>
    <s v=""/>
    <m/>
    <m/>
    <m/>
    <m/>
    <m/>
    <n v="2471"/>
    <n v="0"/>
    <s v="FR00134513331"/>
    <s v="FR0013451333"/>
    <n v="1"/>
    <x v="112"/>
    <m/>
    <m/>
    <m/>
  </r>
  <r>
    <m/>
    <m/>
    <m/>
    <m/>
    <s v="IPO à 19,9 euros en novembre 2019"/>
    <x v="1"/>
    <m/>
    <m/>
    <m/>
    <m/>
    <m/>
    <m/>
    <m/>
    <m/>
    <m/>
    <m/>
    <m/>
    <m/>
    <m/>
    <m/>
    <m/>
    <s v=""/>
    <m/>
    <m/>
    <m/>
    <m/>
    <m/>
    <n v="2472"/>
    <n v="0"/>
    <s v="FR00134513331"/>
    <s v="FR0013451333"/>
    <n v="1"/>
    <x v="112"/>
    <m/>
    <m/>
    <m/>
  </r>
  <r>
    <m/>
    <m/>
    <m/>
    <m/>
    <m/>
    <x v="1"/>
    <m/>
    <m/>
    <m/>
    <m/>
    <m/>
    <m/>
    <m/>
    <m/>
    <m/>
    <m/>
    <m/>
    <m/>
    <m/>
    <m/>
    <m/>
    <s v=""/>
    <m/>
    <m/>
    <m/>
    <m/>
    <m/>
    <n v="2473"/>
    <n v="0"/>
    <s v="FR00134513331"/>
    <s v="FR0013451333"/>
    <n v="1"/>
    <x v="112"/>
    <m/>
    <m/>
    <m/>
  </r>
  <r>
    <m/>
    <m/>
    <m/>
    <m/>
    <m/>
    <x v="1"/>
    <m/>
    <m/>
    <m/>
    <m/>
    <m/>
    <m/>
    <m/>
    <m/>
    <m/>
    <m/>
    <m/>
    <m/>
    <s v="Multiple de loyers"/>
    <m/>
    <m/>
    <s v=""/>
    <m/>
    <m/>
    <m/>
    <m/>
    <m/>
    <n v="2474"/>
    <n v="0"/>
    <s v="FR00134513331"/>
    <s v="FR0013451333"/>
    <n v="1"/>
    <x v="112"/>
    <m/>
    <m/>
    <m/>
  </r>
  <r>
    <m/>
    <m/>
    <m/>
    <m/>
    <m/>
    <x v="1"/>
    <m/>
    <m/>
    <m/>
    <m/>
    <m/>
    <m/>
    <m/>
    <m/>
    <m/>
    <m/>
    <m/>
    <m/>
    <m/>
    <m/>
    <m/>
    <s v=""/>
    <m/>
    <m/>
    <m/>
    <m/>
    <m/>
    <n v="2475"/>
    <n v="0"/>
    <s v="FR00134513331"/>
    <s v="FR0013451333"/>
    <n v="1"/>
    <x v="112"/>
    <m/>
    <m/>
    <m/>
  </r>
  <r>
    <s v="Unibail Rodamco Westfield"/>
    <s v="Immobilier"/>
    <s v="France "/>
    <s v="Euro"/>
    <n v="62"/>
    <x v="0"/>
    <n v="2350000000"/>
    <m/>
    <n v="800000000"/>
    <n v="300000000"/>
    <n v="18000000000"/>
    <n v="17900000000"/>
    <n v="128.99312263438142"/>
    <n v="1.6759776536312849E-2"/>
    <n v="1.5821727019498608E-2"/>
    <n v="138767088"/>
    <n v="8603559456"/>
    <n v="0.48064577966480448"/>
    <n v="11.320663598297873"/>
    <s v="BBB+ / Stable (03/2022)"/>
    <n v="2900"/>
    <n v="810344.82758620684"/>
    <m/>
    <m/>
    <m/>
    <s v="Foncières cotées de centres commerciaux sans actionnaire de référence : 100% institutionnels dirigé depuis 2013 par Christophe Cuvillier (investis dans la société avec plus de 100 000 actions) et qui connaît bien la problèmatique du e commerce (ancien FNAC)"/>
    <m/>
    <n v="2476"/>
    <s v="p"/>
    <s v="FR001332624612023"/>
    <s v="FR0013326246"/>
    <n v="1"/>
    <x v="113"/>
    <m/>
    <m/>
    <m/>
  </r>
  <r>
    <m/>
    <m/>
    <m/>
    <m/>
    <m/>
    <x v="1"/>
    <n v="5.3197687446779884E-2"/>
    <m/>
    <m/>
    <m/>
    <m/>
    <m/>
    <m/>
    <m/>
    <m/>
    <m/>
    <m/>
    <m/>
    <m/>
    <s v="le 12/11/2020"/>
    <m/>
    <s v=""/>
    <m/>
    <m/>
    <m/>
    <s v="Créé en 1968 par Worms et Cie et coté en 1972. Bressler dirigeant de 1992 - 2006 puis Poitrinal 2006-2013 puis Cuvilier jus'en 2020"/>
    <m/>
    <n v="2477"/>
    <s v="p"/>
    <s v="FR00133262461"/>
    <s v="FR0013326246"/>
    <n v="1"/>
    <x v="113"/>
    <m/>
    <m/>
    <m/>
  </r>
  <r>
    <m/>
    <m/>
    <m/>
    <m/>
    <n v="48.63"/>
    <x v="2"/>
    <n v="2231300000"/>
    <m/>
    <n v="545000000"/>
    <n v="178200000"/>
    <n v="20700000000"/>
    <n v="17636700000"/>
    <n v="127.09569865730698"/>
    <n v="1.0103931007501404E-2"/>
    <n v="1.0093461356872136E-2"/>
    <n v="138767088"/>
    <n v="6748243489.4400005"/>
    <n v="0.38262506531493989"/>
    <n v="12.301458113852911"/>
    <m/>
    <n v="2900"/>
    <n v="769413.79310344823"/>
    <m/>
    <m/>
    <m/>
    <s v="Xavier Niel détient 26 % du capital"/>
    <m/>
    <n v="2478"/>
    <s v="p"/>
    <s v="FR001332624612022"/>
    <s v="FR0013326246"/>
    <n v="1"/>
    <x v="113"/>
    <m/>
    <m/>
    <m/>
  </r>
  <r>
    <m/>
    <m/>
    <m/>
    <m/>
    <m/>
    <x v="1"/>
    <n v="0.2170284716919384"/>
    <m/>
    <m/>
    <n v="-1.183314473819566"/>
    <m/>
    <m/>
    <m/>
    <m/>
    <m/>
    <m/>
    <m/>
    <m/>
    <m/>
    <m/>
    <m/>
    <s v=""/>
    <m/>
    <m/>
    <m/>
    <s v="Président du directoire : Tritant qui a remplacé Cuvillier fin 2020  (et vendu des titres fin 2020)"/>
    <m/>
    <n v="2479"/>
    <s v="p"/>
    <s v="FR00133262461"/>
    <s v="FR0013326246"/>
    <n v="1"/>
    <x v="113"/>
    <m/>
    <m/>
    <m/>
  </r>
  <r>
    <m/>
    <m/>
    <m/>
    <m/>
    <n v="61.6"/>
    <x v="3"/>
    <n v="1833400000"/>
    <m/>
    <n v="-465700000"/>
    <n v="-972100000"/>
    <n v="22600000000"/>
    <n v="17320600000"/>
    <n v="124.97328896713992"/>
    <n v="-5.6123921804094548E-2"/>
    <n v="-8.2826159927455994E-3"/>
    <n v="138594416"/>
    <n v="8537416025.6000004"/>
    <n v="0.49290532808332277"/>
    <n v="16.983427525689976"/>
    <m/>
    <n v="2800"/>
    <n v="654785.71428571432"/>
    <m/>
    <m/>
    <m/>
    <s v="En 2007, rapprochement avec Rodamco"/>
    <m/>
    <n v="2480"/>
    <s v="p"/>
    <s v="FR001332624612021"/>
    <s v="FR0013326246"/>
    <n v="1"/>
    <x v="113"/>
    <m/>
    <m/>
    <m/>
  </r>
  <r>
    <m/>
    <m/>
    <m/>
    <m/>
    <m/>
    <x v="1"/>
    <n v="-3.3883121673604855E-2"/>
    <m/>
    <n v="-0.93305445345293547"/>
    <n v="-0.86522197265895795"/>
    <m/>
    <m/>
    <m/>
    <m/>
    <m/>
    <m/>
    <m/>
    <m/>
    <m/>
    <m/>
    <m/>
    <s v=""/>
    <m/>
    <m/>
    <m/>
    <s v="En 2018, achat de Westfield en juin aux États-Unis pour 20 Md euros d'où la dette à 25 M d'euros pour 65 Md euros d'actifs et une capitalisation boursière à 19,6 Md/ Décote avec un cours à 65 -75 % de l'actif et capitalisation proche de la dette"/>
    <m/>
    <n v="2481"/>
    <s v="p"/>
    <s v="FR00133262461"/>
    <s v="FR0013326246"/>
    <n v="1"/>
    <x v="113"/>
    <m/>
    <m/>
    <m/>
  </r>
  <r>
    <m/>
    <m/>
    <m/>
    <m/>
    <n v="64.58"/>
    <x v="4"/>
    <n v="1897700000"/>
    <m/>
    <n v="-6956400000"/>
    <n v="-7212600000"/>
    <n v="24248000000"/>
    <n v="17375300000"/>
    <n v="125.51027261631863"/>
    <n v="-0.41510650175824304"/>
    <n v="-0.11866055790867135"/>
    <n v="138437274"/>
    <n v="8940279154.9200001"/>
    <n v="0.51453955643470906"/>
    <n v="17.488685859155819"/>
    <m/>
    <m/>
    <s v=""/>
    <m/>
    <m/>
    <m/>
    <s v="Unibail détient 85 centres commerciaux, 11 immeubles de bureaux et 10 centres d'expositions entre l'Europe et les États-Unis dans des endroits premium : Paris, Londres, Californie et côte Est des États-Unis"/>
    <m/>
    <n v="2482"/>
    <s v="p"/>
    <s v="FR001332624612020"/>
    <s v="FR0013326246"/>
    <n v="1"/>
    <x v="113"/>
    <m/>
    <m/>
    <m/>
  </r>
  <r>
    <m/>
    <m/>
    <m/>
    <m/>
    <m/>
    <x v="1"/>
    <n v="-0.21504798146922566"/>
    <m/>
    <m/>
    <m/>
    <m/>
    <m/>
    <m/>
    <m/>
    <m/>
    <m/>
    <m/>
    <m/>
    <m/>
    <m/>
    <m/>
    <s v=""/>
    <m/>
    <m/>
    <m/>
    <s v="Ils travaillent en permanence l'optimisation du portefeuille et l'évolution de la fréquentation des sites avec une bonne vision long terme"/>
    <m/>
    <n v="2483"/>
    <s v="p"/>
    <s v="FR00133262461"/>
    <s v="FR0013326246"/>
    <n v="1"/>
    <x v="113"/>
    <m/>
    <m/>
    <m/>
  </r>
  <r>
    <m/>
    <m/>
    <m/>
    <m/>
    <n v="132"/>
    <x v="5"/>
    <n v="2417600000"/>
    <m/>
    <n v="781800000"/>
    <n v="1103300000"/>
    <n v="26939200000"/>
    <n v="24334400000"/>
    <n v="175.88920437290642"/>
    <n v="4.5339108422644485E-2"/>
    <n v="1.0825805092679273E-2"/>
    <n v="138350731"/>
    <n v="18262296492"/>
    <n v="0.75047243786573736"/>
    <n v="18.696846662806088"/>
    <m/>
    <m/>
    <s v=""/>
    <m/>
    <m/>
    <m/>
    <s v="Commerce en ligne : UK : 17%, France : 8,8% ça dépend des produits. À part Amazon pas de géant, de grands acteurs par pays (C Discount, Zalando). A terme, 25-30% de pdm"/>
    <m/>
    <n v="2484"/>
    <s v="p"/>
    <s v="FR001332624612019"/>
    <s v="FR0013326246"/>
    <n v="1"/>
    <x v="113"/>
    <m/>
    <m/>
    <m/>
  </r>
  <r>
    <m/>
    <m/>
    <m/>
    <m/>
    <m/>
    <x v="1"/>
    <n v="9.3293537737982213E-2"/>
    <m/>
    <n v="-0.60471230660329667"/>
    <n v="-0.11224654007080781"/>
    <m/>
    <m/>
    <m/>
    <m/>
    <m/>
    <m/>
    <m/>
    <m/>
    <m/>
    <m/>
    <m/>
    <s v=""/>
    <m/>
    <m/>
    <m/>
    <s v="La société est passé d'un modèle créateur de valeur dans les années 90-2000 à un business challengé en transformation. "/>
    <m/>
    <n v="2485"/>
    <s v="p"/>
    <s v="FR00133262461"/>
    <s v="FR0013326246"/>
    <n v="1"/>
    <x v="113"/>
    <m/>
    <m/>
    <m/>
  </r>
  <r>
    <m/>
    <m/>
    <m/>
    <m/>
    <n v="143"/>
    <x v="6"/>
    <n v="2211300000"/>
    <m/>
    <n v="1977800000"/>
    <n v="1242800000"/>
    <n v="25384400000"/>
    <n v="24594800000"/>
    <n v="200.92944450804018"/>
    <n v="5.0531006554230977E-2"/>
    <n v="2.8096448122418925E-2"/>
    <n v="122405156"/>
    <n v="17503937308"/>
    <n v="0.71169260607933382"/>
    <n v="19.395078599918598"/>
    <m/>
    <m/>
    <s v=""/>
    <m/>
    <m/>
    <m/>
    <s v="Problème de la digestion de Westfield, de la dette et des arbitrages d'actifs qui devraient permettre une revalorisation du titre"/>
    <m/>
    <n v="2486"/>
    <s v="p"/>
    <s v="FR001332624612018"/>
    <s v="FR0013326246"/>
    <n v="1"/>
    <x v="113"/>
    <m/>
    <m/>
    <m/>
  </r>
  <r>
    <m/>
    <m/>
    <m/>
    <m/>
    <m/>
    <x v="1"/>
    <n v="0.21346649838116671"/>
    <m/>
    <n v="-0.34609535145143155"/>
    <n v="-0.49055134248821475"/>
    <m/>
    <m/>
    <m/>
    <m/>
    <m/>
    <m/>
    <m/>
    <m/>
    <m/>
    <m/>
    <m/>
    <s v=""/>
    <m/>
    <m/>
    <m/>
    <s v="Suspension du dividende en 2020, 2021 et 2022, priorité à la diminution du levier avec les cessions d'actifs programmés (4 Md euros) et aux États-Unis (un peu flou et en 2022)"/>
    <m/>
    <n v="2487"/>
    <s v="p"/>
    <s v="FR00133262461"/>
    <s v="FR0013326246"/>
    <n v="1"/>
    <x v="113"/>
    <m/>
    <m/>
    <m/>
  </r>
  <r>
    <m/>
    <m/>
    <m/>
    <m/>
    <n v="205"/>
    <x v="7"/>
    <n v="1822300000"/>
    <m/>
    <n v="3024600000"/>
    <n v="2439500000"/>
    <n v="16567200000"/>
    <n v="18916200000"/>
    <n v="189.43350367480687"/>
    <n v="0.12896353390215795"/>
    <n v="6.0520299633067855E-2"/>
    <n v="99856676"/>
    <n v="20470618580"/>
    <n v="1.0821739345111598"/>
    <n v="20.324764627119574"/>
    <m/>
    <m/>
    <s v=""/>
    <m/>
    <m/>
    <m/>
    <s v="À fin 2020, actif net comptable à 124 euros et réévalué à 166,8 euros. Frais financiers à 679 M euros par an (Taux d'intérêt : 1,7%). Les frais financiers se rapprochent du résultat d'exploitation"/>
    <m/>
    <n v="2488"/>
    <s v="p"/>
    <s v="FR001332624612017"/>
    <s v="FR0013326246"/>
    <n v="1"/>
    <x v="113"/>
    <m/>
    <m/>
    <m/>
  </r>
  <r>
    <m/>
    <m/>
    <m/>
    <m/>
    <m/>
    <x v="1"/>
    <n v="2.9373552505224998E-2"/>
    <m/>
    <n v="-0.1576103606740008"/>
    <n v="-0.10394857667584945"/>
    <m/>
    <m/>
    <m/>
    <m/>
    <m/>
    <m/>
    <m/>
    <m/>
    <m/>
    <m/>
    <m/>
    <s v=""/>
    <m/>
    <m/>
    <m/>
    <s v="Investissement réduit de manière drastique : 1 Md euros par an"/>
    <m/>
    <n v="2489"/>
    <s v="p"/>
    <s v="FR00133262461"/>
    <s v="FR0013326246"/>
    <n v="1"/>
    <x v="113"/>
    <m/>
    <m/>
    <m/>
  </r>
  <r>
    <m/>
    <m/>
    <m/>
    <m/>
    <n v="221"/>
    <x v="8"/>
    <n v="1770300000"/>
    <m/>
    <n v="3590500000"/>
    <n v="2722500000"/>
    <n v="15640300000"/>
    <n v="17465300000"/>
    <n v="175.71823026962903"/>
    <n v="0.15588051736872541"/>
    <n v="7.7003739548596004E-2"/>
    <n v="99393785"/>
    <n v="21966026485"/>
    <n v="1.2576953436242149"/>
    <n v="21.242911644918941"/>
    <m/>
    <m/>
    <s v=""/>
    <m/>
    <m/>
    <m/>
    <s v="En 2021, 55 Md euros d'actifs et 23 Md euros de dettes. Les cessions entraîneront des pertes. Actif net au 30 juin à et réévalué à 164 euros"/>
    <m/>
    <n v="2490"/>
    <s v="p"/>
    <s v="FR001332624612016"/>
    <s v="FR0013326246"/>
    <n v="1"/>
    <x v="113"/>
    <m/>
    <m/>
    <m/>
  </r>
  <r>
    <m/>
    <m/>
    <m/>
    <m/>
    <m/>
    <x v="1"/>
    <n v="5.0623145400593428E-2"/>
    <m/>
    <n v="0.10538144202943167"/>
    <n v="-3.3683538013771552E-2"/>
    <m/>
    <m/>
    <m/>
    <m/>
    <m/>
    <m/>
    <m/>
    <m/>
    <m/>
    <m/>
    <m/>
    <s v=""/>
    <m/>
    <m/>
    <m/>
    <s v="En 2021, pas de dépréciation d'actifs au 30 juin mais les ventes d'actifs pourraient entraîner des moins-values. Activité à fin septembre en baisse de 15,6%"/>
    <m/>
    <n v="2491"/>
    <s v="p"/>
    <s v="FR00133262461"/>
    <s v="FR0013326246"/>
    <n v="1"/>
    <x v="113"/>
    <m/>
    <m/>
    <m/>
  </r>
  <r>
    <m/>
    <m/>
    <m/>
    <m/>
    <n v="223"/>
    <x v="9"/>
    <n v="1685000000"/>
    <m/>
    <n v="3248200000"/>
    <n v="2817400000"/>
    <n v="15425700000"/>
    <n v="9163358000"/>
    <n v="92.8501566049286"/>
    <n v="0.30746370489944841"/>
    <n v="9.3790579533384322E-2"/>
    <n v="98689742"/>
    <n v="22007812466"/>
    <n v="2.4017191586315847"/>
    <n v="22.215734401186943"/>
    <m/>
    <m/>
    <s v=""/>
    <m/>
    <m/>
    <m/>
    <s v="En 2021, activité en repli à -3,7%. Retour sur les niveaux de 2019 aux États-Unis (Westfield 50% des loyers) et -10% en Europe. Prix de l'immobilier en hausse de 70% - 90 % aux États-Unis en 2021. Résultat net supérieur aux prévisions (réduction du taux de vacance sur l'ensemble des marchés)"/>
    <m/>
    <n v="2492"/>
    <s v="p"/>
    <s v="FR001332624612015"/>
    <s v="FR0013326246"/>
    <n v="1"/>
    <x v="113"/>
    <m/>
    <m/>
    <m/>
  </r>
  <r>
    <m/>
    <m/>
    <m/>
    <m/>
    <m/>
    <x v="1"/>
    <n v="-9.9882491186839006E-3"/>
    <m/>
    <n v="0.13860067302299495"/>
    <n v="6.9912277370599574E-2"/>
    <m/>
    <m/>
    <m/>
    <m/>
    <m/>
    <m/>
    <m/>
    <m/>
    <m/>
    <m/>
    <m/>
    <s v=""/>
    <m/>
    <m/>
    <m/>
    <s v="Poursuite du plan de désendettement, diminution de 2,2 milliards d'euros grâce aux cession Europe, passant à 22,1 milliards d'euros. Loan to value en baisse de 44,7 % à 43,3 %"/>
    <m/>
    <n v="2493"/>
    <s v="p"/>
    <s v="FR00133262461"/>
    <s v="FR0013326246"/>
    <n v="1"/>
    <x v="113"/>
    <m/>
    <m/>
    <m/>
  </r>
  <r>
    <m/>
    <m/>
    <m/>
    <m/>
    <n v="211.55"/>
    <x v="10"/>
    <n v="1702000000"/>
    <m/>
    <n v="2852800000"/>
    <n v="2633300000"/>
    <n v="15075500000"/>
    <n v="8866882000"/>
    <n v="90.42455100737115"/>
    <n v="0.29698150939642592"/>
    <n v="8.4598433021409486E-2"/>
    <n v="98058347"/>
    <n v="20744243307.850002"/>
    <n v="2.3395194960133678"/>
    <n v="21.045677619183316"/>
    <m/>
    <m/>
    <s v=""/>
    <m/>
    <m/>
    <m/>
    <s v="En 2021, frais financiers : 650 Meuros (sur 24 Md euros de dettes brutes soit 2,8%). 2 399 baux signés +2% par rapport à 2019, réduction du taux de vacance passant de 8,9 % au S1 2021 à 7 % au S2. "/>
    <m/>
    <n v="2494"/>
    <s v="p"/>
    <s v="FR001332624612014"/>
    <s v="FR0013326246"/>
    <n v="1"/>
    <x v="113"/>
    <m/>
    <m/>
    <m/>
  </r>
  <r>
    <m/>
    <m/>
    <m/>
    <m/>
    <m/>
    <x v="1"/>
    <m/>
    <m/>
    <m/>
    <m/>
    <m/>
    <m/>
    <m/>
    <m/>
    <m/>
    <m/>
    <m/>
    <m/>
    <m/>
    <m/>
    <m/>
    <s v=""/>
    <m/>
    <m/>
    <m/>
    <s v="A fin 2022, objectif de cession de 4 milliard d'euros d'actifs, dont 2,5 milliard déjà signés."/>
    <m/>
    <n v="2495"/>
    <s v="p"/>
    <s v="FR00133262461"/>
    <s v="FR0013326246"/>
    <n v="1"/>
    <x v="113"/>
    <m/>
    <m/>
    <m/>
  </r>
  <r>
    <m/>
    <m/>
    <m/>
    <m/>
    <n v="186"/>
    <x v="11"/>
    <m/>
    <m/>
    <m/>
    <m/>
    <m/>
    <m/>
    <n v="0"/>
    <e v="#DIV/0!"/>
    <m/>
    <n v="97268576"/>
    <n v="18091955136"/>
    <m/>
    <m/>
    <m/>
    <m/>
    <s v=""/>
    <m/>
    <m/>
    <m/>
    <s v="Prévision 2022 du EPRA (Loyers moins charges) par action 8,40 € contre 6,91 € en 2021 (En 2019, EPRA : 12,3 €)"/>
    <m/>
    <n v="2496"/>
    <s v="p"/>
    <s v="FR001332624612013"/>
    <s v="FR0013326246"/>
    <n v="1"/>
    <x v="113"/>
    <m/>
    <m/>
    <m/>
  </r>
  <r>
    <m/>
    <m/>
    <m/>
    <m/>
    <m/>
    <x v="1"/>
    <m/>
    <m/>
    <m/>
    <m/>
    <m/>
    <m/>
    <m/>
    <m/>
    <m/>
    <m/>
    <m/>
    <m/>
    <m/>
    <m/>
    <m/>
    <s v=""/>
    <m/>
    <m/>
    <m/>
    <s v="Frais financiers capés à la hausse. +0,25% =&gt; -21,4 Meuros et +2% =&gt; -32,7 M euros"/>
    <m/>
    <n v="2497"/>
    <s v="p"/>
    <s v="FR00133262461"/>
    <s v="FR0013326246"/>
    <n v="1"/>
    <x v="113"/>
    <m/>
    <m/>
    <m/>
  </r>
  <r>
    <m/>
    <m/>
    <m/>
    <m/>
    <n v="175"/>
    <x v="12"/>
    <m/>
    <m/>
    <m/>
    <m/>
    <m/>
    <m/>
    <n v="0"/>
    <e v="#DIV/0!"/>
    <m/>
    <n v="93905148"/>
    <n v="16433400900"/>
    <m/>
    <m/>
    <m/>
    <m/>
    <s v=""/>
    <m/>
    <m/>
    <m/>
    <s v="L'objectif reste de vendre Westfield aux Etats-Unis pour 10 Md euros et se désendetter; le point bas est passé"/>
    <m/>
    <n v="2498"/>
    <s v="p"/>
    <s v="FR001332624612012"/>
    <s v="FR0013326246"/>
    <n v="1"/>
    <x v="113"/>
    <m/>
    <m/>
    <m/>
  </r>
  <r>
    <m/>
    <m/>
    <m/>
    <m/>
    <m/>
    <x v="1"/>
    <m/>
    <m/>
    <m/>
    <m/>
    <m/>
    <m/>
    <m/>
    <m/>
    <m/>
    <m/>
    <m/>
    <m/>
    <m/>
    <m/>
    <m/>
    <s v=""/>
    <m/>
    <m/>
    <m/>
    <s v="En 2022, retour d'activité et de rentabilté sur les niveaux d'avant Covid-19. Reste la dette élevée et la cession de Westfield à mettre en œuvre. Cession de 1,8 Md euros. EPRA : 9,3 euros. Actif net comptable à 127 euros, réévalué à 155,7 euros. Portefeuille : 52,5 Md euros"/>
    <m/>
    <n v="2499"/>
    <s v="p"/>
    <s v="FR00133262461"/>
    <s v="FR0013326246"/>
    <n v="1"/>
    <x v="113"/>
    <m/>
    <m/>
    <m/>
  </r>
  <r>
    <m/>
    <m/>
    <m/>
    <m/>
    <n v="132.6"/>
    <x v="17"/>
    <m/>
    <m/>
    <m/>
    <m/>
    <m/>
    <m/>
    <n v="0"/>
    <e v="#DIV/0!"/>
    <m/>
    <n v="91806889"/>
    <n v="12173593481.4"/>
    <m/>
    <m/>
    <m/>
    <m/>
    <s v=""/>
    <m/>
    <m/>
    <m/>
    <s v="En 2023, légère amélioration avec la normalisation post-covid-19 définitive et les cessions mineures en attendant Westfield (600 M euros de loyers). EPRA entre 9,3 et 9,5 euros. "/>
    <m/>
    <n v="2500"/>
    <s v="p"/>
    <s v="FR001332624612011"/>
    <s v="FR0013326246"/>
    <n v="1"/>
    <x v="113"/>
    <m/>
    <m/>
    <m/>
  </r>
  <r>
    <m/>
    <m/>
    <m/>
    <m/>
    <m/>
    <x v="1"/>
    <m/>
    <m/>
    <m/>
    <m/>
    <m/>
    <m/>
    <m/>
    <m/>
    <m/>
    <m/>
    <m/>
    <m/>
    <m/>
    <m/>
    <m/>
    <s v=""/>
    <m/>
    <m/>
    <m/>
    <s v="La valorisation boursière est à 13 fois les loyers moins la dette. Après la cession de Westfield : (1750*13)-10000/138 = 92 euros. Si cession de Westfiel à 8 Md (au lieu de 10 Md) valorisation à 78 euros"/>
    <m/>
    <n v="2501"/>
    <s v="p"/>
    <s v="FR00133262461"/>
    <s v="FR0013326246"/>
    <n v="1"/>
    <x v="113"/>
    <m/>
    <m/>
    <m/>
  </r>
  <r>
    <m/>
    <m/>
    <m/>
    <m/>
    <n v="149"/>
    <x v="18"/>
    <m/>
    <m/>
    <m/>
    <m/>
    <m/>
    <m/>
    <n v="0"/>
    <e v="#DIV/0!"/>
    <m/>
    <n v="91745924"/>
    <n v="13670142676"/>
    <m/>
    <m/>
    <m/>
    <m/>
    <s v=""/>
    <m/>
    <m/>
    <m/>
    <s v="En 2025, Unibail Rodamco a une échéance de dette de  4 Md 853 M d'euros "/>
    <m/>
    <n v="2502"/>
    <s v="p"/>
    <s v="FR001332624612010"/>
    <s v="FR0013326246"/>
    <n v="1"/>
    <x v="113"/>
    <m/>
    <m/>
    <m/>
  </r>
  <r>
    <m/>
    <m/>
    <m/>
    <m/>
    <m/>
    <x v="1"/>
    <m/>
    <m/>
    <m/>
    <m/>
    <m/>
    <m/>
    <m/>
    <m/>
    <m/>
    <m/>
    <m/>
    <m/>
    <m/>
    <m/>
    <m/>
    <s v=""/>
    <m/>
    <m/>
    <m/>
    <s v="Taux d'IS : 17,85%"/>
    <m/>
    <n v="2503"/>
    <s v="p"/>
    <s v="FR00133262461"/>
    <s v="FR0013326246"/>
    <n v="1"/>
    <x v="113"/>
    <m/>
    <m/>
    <m/>
  </r>
  <r>
    <m/>
    <m/>
    <m/>
    <m/>
    <m/>
    <x v="1"/>
    <m/>
    <m/>
    <m/>
    <m/>
    <m/>
    <m/>
    <m/>
    <m/>
    <m/>
    <m/>
    <m/>
    <m/>
    <m/>
    <m/>
    <m/>
    <s v=""/>
    <m/>
    <m/>
    <m/>
    <s v="Minoritaires : 21% (3,7 Md euros sur 17,6 Md euros)"/>
    <m/>
    <n v="2504"/>
    <s v="p"/>
    <s v="FR00133262461"/>
    <s v="FR0013326246"/>
    <n v="1"/>
    <x v="113"/>
    <m/>
    <m/>
    <m/>
  </r>
  <r>
    <m/>
    <m/>
    <m/>
    <m/>
    <m/>
    <x v="1"/>
    <m/>
    <m/>
    <m/>
    <m/>
    <m/>
    <m/>
    <m/>
    <m/>
    <m/>
    <m/>
    <m/>
    <m/>
    <m/>
    <m/>
    <m/>
    <s v=""/>
    <m/>
    <m/>
    <m/>
    <s v="CAC : Ernst et Deloitte"/>
    <m/>
    <n v="2505"/>
    <s v="p"/>
    <s v="FR00133262461"/>
    <s v="FR0013326246"/>
    <n v="1"/>
    <x v="113"/>
    <m/>
    <m/>
    <m/>
  </r>
  <r>
    <m/>
    <m/>
    <m/>
    <m/>
    <s v="Retrait de la cote par Volkswagen à 0,5 euro en septembre 2021 (TRA : -42%)"/>
    <x v="1"/>
    <m/>
    <m/>
    <m/>
    <m/>
    <m/>
    <m/>
    <m/>
    <m/>
    <m/>
    <m/>
    <m/>
    <m/>
    <m/>
    <m/>
    <m/>
    <s v=""/>
    <m/>
    <m/>
    <m/>
    <s v="Pay out ratio : dividendes supprimés pour 2020-2021 et 2022. Proche de 80-90% avant la crise de 2020"/>
    <m/>
    <n v="2506"/>
    <s v="p"/>
    <s v="FR00133262461"/>
    <s v="FR0013326246"/>
    <n v="1"/>
    <x v="113"/>
    <m/>
    <m/>
    <m/>
  </r>
  <r>
    <m/>
    <m/>
    <m/>
    <m/>
    <m/>
    <x v="1"/>
    <m/>
    <m/>
    <m/>
    <m/>
    <m/>
    <m/>
    <m/>
    <m/>
    <m/>
    <m/>
    <m/>
    <m/>
    <m/>
    <m/>
    <m/>
    <s v=""/>
    <m/>
    <m/>
    <m/>
    <m/>
    <m/>
    <n v="2507"/>
    <s v="p"/>
    <s v="FR00133262461"/>
    <s v="FR0013326246"/>
    <n v="1"/>
    <x v="113"/>
    <m/>
    <m/>
    <m/>
  </r>
  <r>
    <s v="Europcar Mobility"/>
    <s v="Location de voitures"/>
    <s v="France"/>
    <s v="Euro"/>
    <n v="0.5"/>
    <x v="3"/>
    <n v="2025034999.9999998"/>
    <n v="100000000"/>
    <n v="0"/>
    <n v="-100000000"/>
    <n v="300000000"/>
    <n v="1550000000"/>
    <n v="0.34722847031229981"/>
    <n v="-6.4516129032258063E-2"/>
    <n v="0"/>
    <n v="4463919674"/>
    <n v="2231959837"/>
    <n v="1.4399740883870968"/>
    <s v="NS"/>
    <s v="CCC+"/>
    <m/>
    <s v=""/>
    <m/>
    <m/>
    <m/>
    <s v="Location de voitures fondée en 1949 par Raoul-Louis Mattei. Sous le giron de Renault en 1970 puis en 1988, la compagnie des wagons lits puis en 1999, Volkswagen et racheté par Eurazeo en 2006 pour 3 Md euros dettes incluses soit 1,2Md euros en fonds propres (soit 5 fois le rex) et 1,8 Md euros de dettes."/>
    <m/>
    <n v="2508"/>
    <n v="0"/>
    <s v="FR001278994912021"/>
    <s v="FR0012789949"/>
    <n v="1"/>
    <x v="114"/>
    <m/>
    <m/>
    <m/>
  </r>
  <r>
    <m/>
    <m/>
    <m/>
    <m/>
    <m/>
    <x v="1"/>
    <n v="0.14999999999999991"/>
    <n v="-1.5813953488372094"/>
    <n v="-1"/>
    <n v="-0.8449131513647643"/>
    <m/>
    <m/>
    <m/>
    <m/>
    <m/>
    <m/>
    <m/>
    <m/>
    <m/>
    <s v="Négative"/>
    <m/>
    <s v=""/>
    <m/>
    <m/>
    <m/>
    <s v="Société en transformation détenue par Eurazeo à plus de 30,42% depuis 2006"/>
    <m/>
    <n v="2509"/>
    <n v="0"/>
    <s v="FR00127899491"/>
    <s v="FR0012789949"/>
    <n v="1"/>
    <x v="114"/>
    <m/>
    <m/>
    <m/>
  </r>
  <r>
    <m/>
    <m/>
    <m/>
    <m/>
    <n v="0.7"/>
    <x v="4"/>
    <n v="1760900000"/>
    <n v="-172000000"/>
    <n v="-500400000"/>
    <n v="-644800000"/>
    <n v="1426200000"/>
    <n v="189745000"/>
    <n v="1.1577986754775831"/>
    <n v="-3.3982450130438218"/>
    <n v="-0.21986144330407284"/>
    <n v="163884278"/>
    <n v="114718994.59999999"/>
    <n v="0.60459561305963261"/>
    <n v="-8.9588313639534878"/>
    <m/>
    <m/>
    <s v=""/>
    <m/>
    <m/>
    <m/>
    <s v="Business Loisirs avec un T3 haut avec les vacances d'été en occident. Le levier vient du parc de voitures en leasing"/>
    <m/>
    <n v="2510"/>
    <n v="0"/>
    <s v="FR001278994912020"/>
    <s v="FR0012789949"/>
    <n v="1"/>
    <x v="114"/>
    <m/>
    <m/>
    <m/>
  </r>
  <r>
    <m/>
    <m/>
    <m/>
    <m/>
    <m/>
    <x v="1"/>
    <n v="-0.41738353626257274"/>
    <n v="-1.442159383033419"/>
    <n v="-3.0096385542168673"/>
    <n v="-17.96842105263158"/>
    <m/>
    <m/>
    <m/>
    <m/>
    <m/>
    <m/>
    <m/>
    <m/>
    <m/>
    <m/>
    <m/>
    <s v=""/>
    <m/>
    <m/>
    <m/>
    <s v="Pas beaucoup d'amortissement, d'où un écart faible entre EBE et rex, ce dernier n'étant parfois pas publié. Les principaux investissements sont l'achat de voitures parfois jusqu'à 400 000 par an soit une rotation de la flotte. Engagement de rachat des constructeurs "/>
    <m/>
    <n v="2511"/>
    <n v="0"/>
    <s v="FR00127899491"/>
    <s v="FR0012789949"/>
    <n v="1"/>
    <x v="114"/>
    <m/>
    <m/>
    <m/>
  </r>
  <r>
    <m/>
    <m/>
    <m/>
    <m/>
    <n v="3.7"/>
    <x v="5"/>
    <n v="3022400000"/>
    <n v="389000000"/>
    <n v="249000000"/>
    <n v="38000000"/>
    <n v="880000000"/>
    <n v="837181000"/>
    <n v="5.1083667708503437"/>
    <n v="4.539042333736671E-2"/>
    <n v="0.10295361991543116"/>
    <n v="163884278"/>
    <n v="606371828.60000002"/>
    <n v="0.72430194736860964"/>
    <n v="3.8210072714652954"/>
    <m/>
    <m/>
    <s v=""/>
    <m/>
    <m/>
    <m/>
    <s v="Souffre de la baisse du nombre de voitures en grandes villes et des solutions de partage (bla bla car…). 90% du temps la voiture est garée"/>
    <m/>
    <n v="2512"/>
    <n v="0"/>
    <s v="FR001278994912019"/>
    <s v="FR0012789949"/>
    <n v="1"/>
    <x v="114"/>
    <m/>
    <m/>
    <m/>
  </r>
  <r>
    <m/>
    <m/>
    <m/>
    <m/>
    <m/>
    <x v="1"/>
    <n v="3.1786211602883752E-2"/>
    <n v="0.11555932825548321"/>
    <n v="-0.32520325203252032"/>
    <n v="-0.72759270808691223"/>
    <m/>
    <m/>
    <m/>
    <m/>
    <m/>
    <m/>
    <m/>
    <m/>
    <m/>
    <m/>
    <m/>
    <s v=""/>
    <m/>
    <m/>
    <m/>
    <s v="Pas de minoritaires"/>
    <m/>
    <n v="2513"/>
    <n v="0"/>
    <s v="FR00127899491"/>
    <s v="FR0012789949"/>
    <n v="1"/>
    <x v="114"/>
    <m/>
    <m/>
    <m/>
  </r>
  <r>
    <m/>
    <m/>
    <m/>
    <m/>
    <n v="7.57"/>
    <x v="6"/>
    <n v="2929289000"/>
    <n v="348704000"/>
    <n v="369000000"/>
    <n v="139497000"/>
    <n v="795000000"/>
    <n v="889216000"/>
    <n v="5.5220215118611753"/>
    <n v="0.15687639448682886"/>
    <n v="0.15555605694281494"/>
    <n v="161030883"/>
    <n v="1219003784.3099999"/>
    <n v="1.3708747754313912"/>
    <n v="5.7756830558582637"/>
    <m/>
    <m/>
    <s v=""/>
    <m/>
    <m/>
    <m/>
    <s v="IPO en juin 2015, à 12 euros avec une augmentation de capital d'où désendettement sur les comptes 2015"/>
    <m/>
    <n v="2514"/>
    <n v="0"/>
    <s v="FR001278994912018"/>
    <s v="FR0012789949"/>
    <n v="1"/>
    <x v="114"/>
    <m/>
    <m/>
    <m/>
  </r>
  <r>
    <m/>
    <m/>
    <m/>
    <m/>
    <m/>
    <x v="1"/>
    <n v="0.21463547322778775"/>
    <n v="0.18643122044163185"/>
    <n v="0.65470852017937209"/>
    <n v="1.283055923798301"/>
    <m/>
    <m/>
    <m/>
    <m/>
    <m/>
    <m/>
    <m/>
    <m/>
    <m/>
    <m/>
    <m/>
    <s v=""/>
    <m/>
    <m/>
    <m/>
    <s v="Acquisition d'Ubeeqo en 2014 puis en 2015"/>
    <m/>
    <n v="2515"/>
    <n v="0"/>
    <s v="FR00127899491"/>
    <s v="FR0012789949"/>
    <n v="1"/>
    <x v="114"/>
    <m/>
    <m/>
    <m/>
  </r>
  <r>
    <m/>
    <m/>
    <m/>
    <m/>
    <n v="10.25"/>
    <x v="7"/>
    <n v="2411661000"/>
    <n v="293910000"/>
    <n v="223000000"/>
    <n v="61101000"/>
    <n v="827000000"/>
    <n v="836534000"/>
    <n v="5.1948668753185689"/>
    <n v="7.3040665412284503E-2"/>
    <n v="9.5176894490885067E-2"/>
    <n v="161030883"/>
    <n v="1650566550.75"/>
    <n v="1.9731015723807999"/>
    <n v="8.4296776249532162"/>
    <m/>
    <m/>
    <s v=""/>
    <m/>
    <m/>
    <m/>
    <s v="Acquisition de Goldcar en 2017, location de voitures low cost et Buchbinder, leader de la location en Allemagne"/>
    <m/>
    <n v="2516"/>
    <n v="0"/>
    <s v="FR001278994912017"/>
    <s v="FR0012789949"/>
    <n v="1"/>
    <x v="114"/>
    <m/>
    <m/>
    <m/>
  </r>
  <r>
    <m/>
    <m/>
    <m/>
    <m/>
    <m/>
    <x v="1"/>
    <n v="0.12118131101813101"/>
    <n v="0.15712598425196855"/>
    <n v="-0.15209125475285168"/>
    <n v="-0.48654621848739499"/>
    <m/>
    <m/>
    <m/>
    <m/>
    <m/>
    <m/>
    <m/>
    <m/>
    <m/>
    <m/>
    <m/>
    <s v=""/>
    <m/>
    <m/>
    <m/>
    <s v="Dirigée par Caroline Parot, CEO depuis novembre 2016 et chez Europcar depuis 2011. Elle a remplacé Philippe Germond, débarqué (dirigeant de 2014-2016). Valorisation 1,2 Md euros en novembre 2016"/>
    <m/>
    <n v="2517"/>
    <n v="0"/>
    <s v="FR00127899491"/>
    <s v="FR0012789949"/>
    <n v="1"/>
    <x v="114"/>
    <m/>
    <m/>
    <m/>
  </r>
  <r>
    <m/>
    <m/>
    <m/>
    <m/>
    <n v="9.4499999999999993"/>
    <x v="8"/>
    <n v="2151000000"/>
    <n v="254000000"/>
    <n v="263000000"/>
    <n v="119000000"/>
    <n v="220000000"/>
    <n v="630536000"/>
    <n v="3.9156215767630114"/>
    <n v="0.1887283200324803"/>
    <n v="0.2195439111336851"/>
    <n v="161030883"/>
    <n v="1521741844.3499999"/>
    <n v="2.413409931153812"/>
    <n v="6.8572513557086614"/>
    <m/>
    <m/>
    <s v=""/>
    <m/>
    <m/>
    <m/>
    <s v="315 000 voitures. La croissance de la flotte se retrouve dans le chiffre d'affaires comme dans le transport aérien. Dette liée au financement de voiture 5 Md euros"/>
    <m/>
    <n v="2518"/>
    <n v="0"/>
    <s v="FR001278994912016"/>
    <s v="FR0012789949"/>
    <n v="1"/>
    <x v="114"/>
    <m/>
    <m/>
    <m/>
  </r>
  <r>
    <m/>
    <m/>
    <m/>
    <m/>
    <m/>
    <x v="1"/>
    <n v="4.2016806722688926E-3"/>
    <n v="1.3567438148443633E-2"/>
    <n v="0.1873589164785554"/>
    <n v="-3.1326164874551972"/>
    <m/>
    <m/>
    <m/>
    <m/>
    <m/>
    <m/>
    <m/>
    <m/>
    <m/>
    <m/>
    <m/>
    <s v=""/>
    <m/>
    <m/>
    <m/>
    <s v="Plus de 6000 salariés soit près de 500 K euros par salarié. Volume de location : 70 millions. Taux d'utilisation : 76%"/>
    <m/>
    <n v="2519"/>
    <n v="0"/>
    <s v="FR00127899491"/>
    <s v="FR0012789949"/>
    <n v="1"/>
    <x v="114"/>
    <m/>
    <m/>
    <m/>
  </r>
  <r>
    <m/>
    <m/>
    <m/>
    <m/>
    <n v="12.08"/>
    <x v="9"/>
    <n v="2142000000"/>
    <n v="250600000"/>
    <n v="221500000"/>
    <n v="-55800000"/>
    <n v="235000000"/>
    <n v="561395000"/>
    <n v="3.4862567325051557"/>
    <n v="-9.9395256459355708E-2"/>
    <n v="0.19747110416313512"/>
    <n v="161030883"/>
    <n v="1945253066.6400001"/>
    <n v="3.4650345418822757"/>
    <n v="8.7001319498802889"/>
    <m/>
    <m/>
    <s v=""/>
    <m/>
    <m/>
    <m/>
    <s v="Division Cars : marché estimé à 10 Md euros (leader en Europe, 27% PDM), Vans &amp; Trucks : 2,4 Md euros de valeur (9% de pdm), Low cost : 1,4 Md (6% de pdm) et new mobility et International"/>
    <m/>
    <n v="2520"/>
    <n v="0"/>
    <s v="FR001278994912015"/>
    <s v="FR0012789949"/>
    <n v="1"/>
    <x v="114"/>
    <m/>
    <m/>
    <m/>
  </r>
  <r>
    <m/>
    <m/>
    <m/>
    <m/>
    <m/>
    <x v="1"/>
    <n v="8.2364830722587268E-2"/>
    <n v="0.17763157894736836"/>
    <n v="0.60274963820549932"/>
    <n v="-0.50044762757385852"/>
    <m/>
    <m/>
    <m/>
    <m/>
    <m/>
    <m/>
    <m/>
    <m/>
    <m/>
    <m/>
    <m/>
    <s v=""/>
    <m/>
    <m/>
    <m/>
    <s v="CAC : Mazars &amp; Price"/>
    <m/>
    <n v="2521"/>
    <n v="0"/>
    <s v="FR00127899491"/>
    <s v="FR0012789949"/>
    <n v="1"/>
    <x v="114"/>
    <m/>
    <m/>
    <m/>
  </r>
  <r>
    <m/>
    <m/>
    <m/>
    <m/>
    <m/>
    <x v="10"/>
    <n v="1979000000"/>
    <n v="212800000"/>
    <n v="138200000"/>
    <n v="-111700000"/>
    <n v="581000000"/>
    <n v="157185000"/>
    <m/>
    <m/>
    <m/>
    <m/>
    <m/>
    <m/>
    <m/>
    <m/>
    <m/>
    <s v=""/>
    <m/>
    <m/>
    <m/>
    <s v="En 2019 : location de voitures en hausse de 3% à 91 Millions contre 87,7 M"/>
    <m/>
    <n v="2522"/>
    <n v="0"/>
    <s v="FR001278994912014"/>
    <s v="FR0012789949"/>
    <n v="1"/>
    <x v="114"/>
    <m/>
    <m/>
    <m/>
  </r>
  <r>
    <m/>
    <m/>
    <m/>
    <m/>
    <m/>
    <x v="1"/>
    <n v="3.3798255236901165E-2"/>
    <n v="0.35282898919262551"/>
    <n v="-0.20574712643678161"/>
    <n v="0.77301587301587293"/>
    <m/>
    <m/>
    <m/>
    <m/>
    <m/>
    <m/>
    <m/>
    <m/>
    <m/>
    <m/>
    <m/>
    <s v=""/>
    <m/>
    <m/>
    <m/>
    <s v="Objectifs 2020 : 3 Md de CA et 14% de marge EBE (soit 420 M euros). Et en 2023 : 4 Md euros et 500 Me d'EBE avec 15 millions de clients"/>
    <m/>
    <n v="2523"/>
    <n v="0"/>
    <s v="FR00127899491"/>
    <s v="FR0012789949"/>
    <n v="1"/>
    <x v="114"/>
    <m/>
    <m/>
    <m/>
  </r>
  <r>
    <m/>
    <m/>
    <m/>
    <m/>
    <m/>
    <x v="11"/>
    <n v="1914300000"/>
    <n v="157300000"/>
    <n v="174000000"/>
    <n v="-63000000"/>
    <n v="522000000"/>
    <m/>
    <m/>
    <m/>
    <m/>
    <m/>
    <m/>
    <m/>
    <m/>
    <m/>
    <m/>
    <s v=""/>
    <m/>
    <m/>
    <m/>
    <s v="Dettes globales : 2014 : 3 148 M e - 2015 : 3 057 Me - 2016 : 3 265 Me - 2017 : 4 888 Me - 2018 : 5 125 Me"/>
    <m/>
    <n v="2524"/>
    <n v="0"/>
    <s v="FR001278994912013"/>
    <s v="FR0012789949"/>
    <n v="1"/>
    <x v="114"/>
    <m/>
    <m/>
    <m/>
  </r>
  <r>
    <m/>
    <m/>
    <m/>
    <m/>
    <m/>
    <x v="1"/>
    <n v="-1.1208677685950463E-2"/>
    <n v="0.32184873949579829"/>
    <n v="0.23404255319148937"/>
    <n v="-0.43243243243243246"/>
    <m/>
    <m/>
    <m/>
    <m/>
    <m/>
    <m/>
    <m/>
    <m/>
    <m/>
    <m/>
    <m/>
    <s v=""/>
    <m/>
    <m/>
    <m/>
    <m/>
    <m/>
    <n v="2525"/>
    <n v="0"/>
    <s v="FR00127899491"/>
    <s v="FR0012789949"/>
    <n v="1"/>
    <x v="114"/>
    <m/>
    <m/>
    <m/>
  </r>
  <r>
    <m/>
    <m/>
    <m/>
    <m/>
    <m/>
    <x v="12"/>
    <n v="1936000000"/>
    <n v="119000000"/>
    <n v="141000000"/>
    <n v="-111000000"/>
    <n v="568000000"/>
    <m/>
    <m/>
    <m/>
    <m/>
    <m/>
    <m/>
    <m/>
    <m/>
    <m/>
    <m/>
    <s v=""/>
    <m/>
    <m/>
    <m/>
    <m/>
    <m/>
    <n v="2526"/>
    <n v="0"/>
    <s v="FR001278994912012"/>
    <s v="FR0012789949"/>
    <n v="1"/>
    <x v="114"/>
    <m/>
    <m/>
    <m/>
  </r>
  <r>
    <m/>
    <m/>
    <m/>
    <m/>
    <m/>
    <x v="1"/>
    <m/>
    <m/>
    <m/>
    <m/>
    <m/>
    <m/>
    <m/>
    <m/>
    <m/>
    <m/>
    <m/>
    <m/>
    <m/>
    <m/>
    <m/>
    <s v=""/>
    <m/>
    <m/>
    <m/>
    <m/>
    <m/>
    <n v="2527"/>
    <n v="0"/>
    <s v="FR00127899491"/>
    <s v="FR0012789949"/>
    <n v="1"/>
    <x v="114"/>
    <m/>
    <m/>
    <m/>
  </r>
  <r>
    <m/>
    <m/>
    <m/>
    <m/>
    <m/>
    <x v="17"/>
    <n v="1969888000"/>
    <n v="92000000"/>
    <n v="234600000"/>
    <m/>
    <m/>
    <m/>
    <m/>
    <m/>
    <m/>
    <m/>
    <m/>
    <m/>
    <m/>
    <m/>
    <m/>
    <s v=""/>
    <m/>
    <m/>
    <m/>
    <m/>
    <m/>
    <n v="2528"/>
    <n v="0"/>
    <s v="FR001278994912011"/>
    <s v="FR0012789949"/>
    <n v="1"/>
    <x v="114"/>
    <m/>
    <m/>
    <m/>
  </r>
  <r>
    <m/>
    <m/>
    <m/>
    <m/>
    <m/>
    <x v="1"/>
    <m/>
    <m/>
    <m/>
    <m/>
    <m/>
    <m/>
    <m/>
    <m/>
    <m/>
    <m/>
    <m/>
    <m/>
    <m/>
    <m/>
    <m/>
    <s v=""/>
    <m/>
    <m/>
    <m/>
    <m/>
    <m/>
    <n v="2529"/>
    <n v="0"/>
    <s v="FR00127899491"/>
    <s v="FR0012789949"/>
    <n v="1"/>
    <x v="114"/>
    <m/>
    <m/>
    <m/>
  </r>
  <r>
    <m/>
    <m/>
    <m/>
    <m/>
    <m/>
    <x v="18"/>
    <n v="1973000000"/>
    <m/>
    <n v="242700000"/>
    <m/>
    <m/>
    <m/>
    <m/>
    <m/>
    <m/>
    <m/>
    <m/>
    <m/>
    <m/>
    <m/>
    <m/>
    <s v=""/>
    <m/>
    <m/>
    <m/>
    <m/>
    <m/>
    <n v="2530"/>
    <n v="0"/>
    <s v="FR001278994912010"/>
    <s v="FR0012789949"/>
    <n v="1"/>
    <x v="114"/>
    <m/>
    <m/>
    <m/>
  </r>
  <r>
    <m/>
    <m/>
    <m/>
    <m/>
    <m/>
    <x v="1"/>
    <m/>
    <m/>
    <m/>
    <m/>
    <m/>
    <m/>
    <m/>
    <m/>
    <m/>
    <m/>
    <m/>
    <m/>
    <m/>
    <m/>
    <m/>
    <s v=""/>
    <m/>
    <m/>
    <m/>
    <m/>
    <m/>
    <n v="2531"/>
    <n v="0"/>
    <s v="FR00127899491"/>
    <s v="FR0012789949"/>
    <n v="1"/>
    <x v="114"/>
    <m/>
    <m/>
    <m/>
  </r>
  <r>
    <m/>
    <m/>
    <m/>
    <m/>
    <m/>
    <x v="38"/>
    <n v="1851000000"/>
    <m/>
    <n v="213000000"/>
    <m/>
    <m/>
    <m/>
    <m/>
    <m/>
    <m/>
    <m/>
    <m/>
    <m/>
    <m/>
    <m/>
    <m/>
    <s v=""/>
    <m/>
    <m/>
    <m/>
    <m/>
    <m/>
    <n v="2532"/>
    <n v="0"/>
    <s v="FR001278994912009"/>
    <s v="FR0012789949"/>
    <n v="1"/>
    <x v="114"/>
    <m/>
    <m/>
    <m/>
  </r>
  <r>
    <m/>
    <m/>
    <m/>
    <m/>
    <m/>
    <x v="1"/>
    <m/>
    <m/>
    <m/>
    <m/>
    <m/>
    <m/>
    <m/>
    <m/>
    <m/>
    <m/>
    <m/>
    <m/>
    <m/>
    <m/>
    <m/>
    <s v=""/>
    <m/>
    <m/>
    <m/>
    <m/>
    <m/>
    <n v="2533"/>
    <n v="0"/>
    <s v="FR00127899491"/>
    <s v="FR0012789949"/>
    <n v="1"/>
    <x v="114"/>
    <m/>
    <m/>
    <m/>
  </r>
  <r>
    <m/>
    <m/>
    <m/>
    <m/>
    <m/>
    <x v="20"/>
    <n v="2075000000"/>
    <m/>
    <n v="248000000"/>
    <m/>
    <m/>
    <n v="497000000"/>
    <m/>
    <m/>
    <m/>
    <m/>
    <m/>
    <m/>
    <m/>
    <m/>
    <m/>
    <s v=""/>
    <m/>
    <m/>
    <m/>
    <m/>
    <m/>
    <n v="2534"/>
    <n v="0"/>
    <s v="FR001278994912008"/>
    <s v="FR0012789949"/>
    <n v="1"/>
    <x v="114"/>
    <m/>
    <m/>
    <m/>
  </r>
  <r>
    <m/>
    <m/>
    <m/>
    <m/>
    <m/>
    <x v="1"/>
    <m/>
    <m/>
    <m/>
    <m/>
    <m/>
    <m/>
    <m/>
    <m/>
    <m/>
    <m/>
    <m/>
    <m/>
    <m/>
    <m/>
    <m/>
    <s v=""/>
    <m/>
    <m/>
    <m/>
    <m/>
    <m/>
    <n v="2535"/>
    <n v="0"/>
    <s v="FR00127899491"/>
    <s v="FR0012789949"/>
    <n v="1"/>
    <x v="114"/>
    <m/>
    <m/>
    <m/>
  </r>
  <r>
    <m/>
    <m/>
    <m/>
    <m/>
    <s v="IPO le 26 juin 2015 à 12,05 euros"/>
    <x v="1"/>
    <m/>
    <m/>
    <m/>
    <m/>
    <m/>
    <m/>
    <m/>
    <m/>
    <m/>
    <m/>
    <m/>
    <m/>
    <m/>
    <m/>
    <m/>
    <s v=""/>
    <m/>
    <m/>
    <m/>
    <m/>
    <m/>
    <n v="2536"/>
    <n v="0"/>
    <s v="FR00127899491"/>
    <s v="FR0012789949"/>
    <n v="1"/>
    <x v="114"/>
    <m/>
    <m/>
    <m/>
  </r>
  <r>
    <m/>
    <m/>
    <m/>
    <m/>
    <m/>
    <x v="1"/>
    <m/>
    <m/>
    <m/>
    <m/>
    <m/>
    <m/>
    <m/>
    <m/>
    <m/>
    <m/>
    <m/>
    <m/>
    <m/>
    <m/>
    <m/>
    <s v=""/>
    <m/>
    <m/>
    <m/>
    <m/>
    <m/>
    <n v="2537"/>
    <n v="0"/>
    <s v="FR00127899491"/>
    <s v="FR0012789949"/>
    <n v="1"/>
    <x v="114"/>
    <m/>
    <m/>
    <m/>
  </r>
  <r>
    <m/>
    <m/>
    <m/>
    <m/>
    <m/>
    <x v="1"/>
    <m/>
    <m/>
    <m/>
    <m/>
    <m/>
    <m/>
    <m/>
    <m/>
    <m/>
    <m/>
    <m/>
    <m/>
    <m/>
    <m/>
    <m/>
    <s v=""/>
    <m/>
    <m/>
    <m/>
    <m/>
    <m/>
    <n v="2538"/>
    <n v="0"/>
    <s v="FR00127899491"/>
    <s v="FR0012789949"/>
    <n v="1"/>
    <x v="114"/>
    <m/>
    <m/>
    <m/>
  </r>
  <r>
    <m/>
    <m/>
    <m/>
    <m/>
    <m/>
    <x v="1"/>
    <m/>
    <m/>
    <m/>
    <m/>
    <m/>
    <m/>
    <m/>
    <m/>
    <m/>
    <m/>
    <m/>
    <m/>
    <m/>
    <m/>
    <m/>
    <s v=""/>
    <m/>
    <m/>
    <m/>
    <m/>
    <m/>
    <n v="2539"/>
    <n v="0"/>
    <s v="FR00127899491"/>
    <s v="FR0012789949"/>
    <n v="1"/>
    <x v="114"/>
    <m/>
    <m/>
    <m/>
  </r>
  <r>
    <s v="L'Oréal"/>
    <s v="Cosmétiques - Grand Public"/>
    <s v="France"/>
    <s v="Euro"/>
    <m/>
    <x v="0"/>
    <m/>
    <m/>
    <m/>
    <m/>
    <m/>
    <m/>
    <m/>
    <m/>
    <m/>
    <m/>
    <m/>
    <m/>
    <m/>
    <m/>
    <m/>
    <s v=""/>
    <m/>
    <m/>
    <m/>
    <m/>
    <m/>
    <n v="2540"/>
    <n v="0"/>
    <s v="FR000012032112023"/>
    <s v="FR0000120321"/>
    <n v="1"/>
    <x v="115"/>
    <m/>
    <m/>
    <m/>
  </r>
  <r>
    <m/>
    <m/>
    <m/>
    <m/>
    <m/>
    <x v="1"/>
    <m/>
    <m/>
    <m/>
    <m/>
    <m/>
    <m/>
    <m/>
    <m/>
    <m/>
    <m/>
    <m/>
    <m/>
    <m/>
    <m/>
    <m/>
    <s v=""/>
    <m/>
    <m/>
    <m/>
    <m/>
    <m/>
    <n v="2541"/>
    <n v="0"/>
    <s v="FR00001203211"/>
    <s v="FR0000120321"/>
    <n v="1"/>
    <x v="115"/>
    <m/>
    <m/>
    <m/>
  </r>
  <r>
    <m/>
    <m/>
    <m/>
    <m/>
    <n v="333.6"/>
    <x v="2"/>
    <m/>
    <m/>
    <m/>
    <m/>
    <m/>
    <m/>
    <m/>
    <m/>
    <m/>
    <n v="559871580"/>
    <n v="186773159088"/>
    <m/>
    <m/>
    <m/>
    <m/>
    <s v=""/>
    <m/>
    <m/>
    <m/>
    <s v="Numéro 1 mondial des cosmétiques détenues par la famille Bettencourt (33%) depuis l'après-guerre."/>
    <m/>
    <n v="2542"/>
    <n v="0"/>
    <s v="FR000012032112022"/>
    <s v="FR0000120321"/>
    <n v="1"/>
    <x v="115"/>
    <m/>
    <m/>
    <m/>
  </r>
  <r>
    <m/>
    <m/>
    <m/>
    <m/>
    <m/>
    <x v="1"/>
    <m/>
    <m/>
    <m/>
    <m/>
    <m/>
    <m/>
    <m/>
    <m/>
    <m/>
    <m/>
    <m/>
    <m/>
    <m/>
    <m/>
    <m/>
    <s v=""/>
    <m/>
    <m/>
    <m/>
    <s v="Développement par croissance organique avec de nouveaux produits et de nouveaux de marchés (grand public, luxe…), l'internationalisation et quelques opérations de croissance externe"/>
    <m/>
    <n v="2543"/>
    <n v="0"/>
    <s v="FR00001203211"/>
    <s v="FR0000120321"/>
    <n v="1"/>
    <x v="115"/>
    <m/>
    <m/>
    <m/>
  </r>
  <r>
    <m/>
    <m/>
    <m/>
    <m/>
    <n v="416.95"/>
    <x v="3"/>
    <n v="30924000000"/>
    <m/>
    <n v="6000000000"/>
    <n v="4800000000"/>
    <n v="-5000000000"/>
    <n v="34200000000"/>
    <n v="61.085436771053821"/>
    <n v="0.14035087719298245"/>
    <n v="0.14383561643835616"/>
    <n v="559871580"/>
    <n v="233438455281"/>
    <n v="6.8256858269298242"/>
    <m/>
    <m/>
    <m/>
    <s v=""/>
    <m/>
    <m/>
    <m/>
    <s v="Dirigé par Nicolas Hieronimus (CEO) depuis le 1/5/2021, Agon (maintenat président du CA) a dirigé dans les années 2010. Lindsay Owen-Jones dans les années 2000"/>
    <m/>
    <n v="2544"/>
    <n v="0"/>
    <s v="FR000012032112021"/>
    <s v="FR0000120321"/>
    <n v="1"/>
    <x v="115"/>
    <m/>
    <m/>
    <m/>
  </r>
  <r>
    <m/>
    <m/>
    <m/>
    <m/>
    <m/>
    <x v="1"/>
    <n v="0.10474026600362252"/>
    <m/>
    <n v="0.15185256287195248"/>
    <n v="0.17101732129787761"/>
    <m/>
    <m/>
    <m/>
    <m/>
    <m/>
    <m/>
    <m/>
    <m/>
    <m/>
    <m/>
    <m/>
    <s v=""/>
    <m/>
    <m/>
    <m/>
    <s v="L'Oréal détient une participation dans Sanofi de 9,5% (valeur : 10 Md euros) - dividendes touchés de 375 M euros par an"/>
    <m/>
    <n v="2545"/>
    <n v="0"/>
    <s v="FR00001203211"/>
    <s v="FR0000120321"/>
    <n v="1"/>
    <x v="115"/>
    <m/>
    <m/>
    <m/>
  </r>
  <r>
    <m/>
    <m/>
    <m/>
    <m/>
    <n v="311"/>
    <x v="4"/>
    <n v="27992100000"/>
    <m/>
    <n v="5209000000"/>
    <n v="4099000000"/>
    <n v="-3859000000"/>
    <n v="29419300000"/>
    <n v="52.546514327446303"/>
    <n v="0.13933030357622378"/>
    <n v="0.14265482017034228"/>
    <n v="559871580"/>
    <n v="174120061380"/>
    <n v="5.9185657503747544"/>
    <m/>
    <m/>
    <m/>
    <s v=""/>
    <m/>
    <m/>
    <m/>
    <s v="Minoritaires : 0% "/>
    <m/>
    <n v="2546"/>
    <n v="0"/>
    <s v="FR000012032112020"/>
    <s v="FR0000120321"/>
    <n v="1"/>
    <x v="115"/>
    <m/>
    <m/>
    <m/>
  </r>
  <r>
    <m/>
    <m/>
    <m/>
    <m/>
    <m/>
    <x v="1"/>
    <n v="-6.29820309570992E-2"/>
    <m/>
    <n v="-6.101847679134742E-2"/>
    <n v="-5.9193463242213529E-2"/>
    <m/>
    <m/>
    <m/>
    <m/>
    <m/>
    <m/>
    <m/>
    <m/>
    <m/>
    <m/>
    <m/>
    <s v=""/>
    <m/>
    <m/>
    <m/>
    <s v="Pay-out ratio : 54,8%"/>
    <m/>
    <n v="2547"/>
    <n v="0"/>
    <s v="FR00001203211"/>
    <s v="FR0000120321"/>
    <n v="1"/>
    <x v="115"/>
    <m/>
    <m/>
    <m/>
  </r>
  <r>
    <m/>
    <m/>
    <m/>
    <m/>
    <n v="270"/>
    <x v="5"/>
    <n v="29873600000"/>
    <m/>
    <n v="5547500000"/>
    <n v="4356900000"/>
    <n v="-2399000000"/>
    <n v="29419300000"/>
    <n v="52.245388127525949"/>
    <n v="0.14809665763631358"/>
    <n v="0.14371602091760638"/>
    <n v="563098506"/>
    <n v="152036596620"/>
    <n v="5.1679202639083863"/>
    <m/>
    <m/>
    <m/>
    <s v=""/>
    <m/>
    <m/>
    <m/>
    <m/>
    <m/>
    <n v="2548"/>
    <n v="0"/>
    <s v="FR000012032112019"/>
    <s v="FR0000120321"/>
    <n v="1"/>
    <x v="115"/>
    <m/>
    <m/>
    <m/>
  </r>
  <r>
    <m/>
    <m/>
    <m/>
    <m/>
    <m/>
    <x v="1"/>
    <n v="0.1090008686807189"/>
    <m/>
    <n v="0.12708248679398615"/>
    <n v="9.2612097502257074E-2"/>
    <m/>
    <m/>
    <m/>
    <m/>
    <m/>
    <m/>
    <m/>
    <m/>
    <m/>
    <m/>
    <m/>
    <s v=""/>
    <m/>
    <m/>
    <m/>
    <m/>
    <m/>
    <n v="2549"/>
    <n v="0"/>
    <s v="FR00001203211"/>
    <s v="FR0000120321"/>
    <n v="1"/>
    <x v="115"/>
    <m/>
    <m/>
    <m/>
  </r>
  <r>
    <m/>
    <m/>
    <m/>
    <m/>
    <m/>
    <x v="6"/>
    <n v="26937400000"/>
    <m/>
    <n v="4922000000"/>
    <n v="3987600000"/>
    <m/>
    <n v="26928400000"/>
    <n v="47.821828175832522"/>
    <n v="0.14808157929917856"/>
    <n v="0.12794670310898532"/>
    <n v="563098506"/>
    <n v="0"/>
    <n v="0"/>
    <m/>
    <m/>
    <m/>
    <s v=""/>
    <m/>
    <m/>
    <m/>
    <m/>
    <m/>
    <n v="2550"/>
    <n v="0"/>
    <s v="FR000012032112018"/>
    <s v="FR0000120321"/>
    <n v="1"/>
    <x v="115"/>
    <m/>
    <m/>
    <m/>
  </r>
  <r>
    <m/>
    <m/>
    <m/>
    <m/>
    <m/>
    <x v="1"/>
    <n v="3.511030330045295E-2"/>
    <m/>
    <n v="5.2541539251117264E-2"/>
    <n v="0.11214614419188407"/>
    <m/>
    <m/>
    <m/>
    <m/>
    <m/>
    <m/>
    <m/>
    <m/>
    <m/>
    <m/>
    <m/>
    <s v=""/>
    <m/>
    <m/>
    <m/>
    <m/>
    <m/>
    <n v="2551"/>
    <n v="0"/>
    <s v="FR00001203211"/>
    <s v="FR0000120321"/>
    <n v="1"/>
    <x v="115"/>
    <m/>
    <m/>
    <m/>
  </r>
  <r>
    <m/>
    <m/>
    <m/>
    <m/>
    <m/>
    <x v="7"/>
    <n v="26023700000"/>
    <m/>
    <n v="4676300000"/>
    <n v="3585500000"/>
    <m/>
    <n v="24815700000"/>
    <n v="44.069909146588998"/>
    <n v="0.14448514448514449"/>
    <n v="0.1319088319088319"/>
    <n v="563098506"/>
    <n v="0"/>
    <n v="0"/>
    <m/>
    <m/>
    <m/>
    <s v=""/>
    <m/>
    <m/>
    <m/>
    <m/>
    <m/>
    <n v="2552"/>
    <n v="0"/>
    <s v="FR000012032112017"/>
    <s v="FR0000120321"/>
    <n v="1"/>
    <x v="115"/>
    <m/>
    <m/>
    <m/>
  </r>
  <r>
    <m/>
    <m/>
    <m/>
    <m/>
    <m/>
    <x v="1"/>
    <m/>
    <m/>
    <m/>
    <m/>
    <m/>
    <m/>
    <m/>
    <m/>
    <m/>
    <m/>
    <m/>
    <m/>
    <m/>
    <m/>
    <m/>
    <s v=""/>
    <m/>
    <m/>
    <m/>
    <m/>
    <m/>
    <n v="2553"/>
    <n v="0"/>
    <s v="FR00001203211"/>
    <s v="FR0000120321"/>
    <n v="1"/>
    <x v="115"/>
    <m/>
    <m/>
    <m/>
  </r>
  <r>
    <m/>
    <m/>
    <m/>
    <m/>
    <m/>
    <x v="1"/>
    <m/>
    <m/>
    <m/>
    <m/>
    <m/>
    <m/>
    <m/>
    <m/>
    <m/>
    <m/>
    <m/>
    <m/>
    <m/>
    <m/>
    <m/>
    <s v=""/>
    <m/>
    <m/>
    <m/>
    <m/>
    <m/>
    <n v="2554"/>
    <n v="0"/>
    <s v="FR00001203211"/>
    <s v="FR0000120321"/>
    <n v="1"/>
    <x v="115"/>
    <m/>
    <m/>
    <m/>
  </r>
  <r>
    <m/>
    <m/>
    <m/>
    <m/>
    <m/>
    <x v="1"/>
    <m/>
    <m/>
    <m/>
    <m/>
    <m/>
    <m/>
    <m/>
    <m/>
    <m/>
    <m/>
    <m/>
    <m/>
    <m/>
    <m/>
    <m/>
    <s v=""/>
    <m/>
    <m/>
    <m/>
    <m/>
    <m/>
    <n v="2555"/>
    <n v="0"/>
    <s v="FR00001203211"/>
    <s v="FR0000120321"/>
    <n v="1"/>
    <x v="115"/>
    <m/>
    <m/>
    <m/>
  </r>
  <r>
    <s v="Hermès International"/>
    <s v="Luxe"/>
    <s v="France"/>
    <s v="Euro"/>
    <m/>
    <x v="0"/>
    <m/>
    <m/>
    <m/>
    <m/>
    <m/>
    <m/>
    <m/>
    <m/>
    <m/>
    <m/>
    <m/>
    <m/>
    <m/>
    <m/>
    <m/>
    <s v=""/>
    <m/>
    <m/>
    <m/>
    <m/>
    <m/>
    <n v="2556"/>
    <n v="0"/>
    <s v="FR000005229212023"/>
    <s v="FR0000052292"/>
    <n v="1"/>
    <x v="116"/>
    <m/>
    <m/>
    <m/>
  </r>
  <r>
    <m/>
    <m/>
    <m/>
    <m/>
    <m/>
    <x v="1"/>
    <m/>
    <m/>
    <m/>
    <m/>
    <m/>
    <m/>
    <m/>
    <m/>
    <m/>
    <m/>
    <m/>
    <m/>
    <m/>
    <m/>
    <m/>
    <s v=""/>
    <m/>
    <m/>
    <m/>
    <m/>
    <m/>
    <n v="2557"/>
    <n v="0"/>
    <s v="FR00000522921"/>
    <s v="FR0000052292"/>
    <n v="1"/>
    <x v="116"/>
    <m/>
    <m/>
    <m/>
  </r>
  <r>
    <m/>
    <m/>
    <m/>
    <m/>
    <n v="1445.6"/>
    <x v="2"/>
    <m/>
    <m/>
    <m/>
    <m/>
    <m/>
    <m/>
    <m/>
    <m/>
    <m/>
    <m/>
    <m/>
    <m/>
    <m/>
    <m/>
    <m/>
    <s v=""/>
    <m/>
    <m/>
    <m/>
    <m/>
    <m/>
    <n v="2558"/>
    <n v="0"/>
    <s v="FR000005229212022"/>
    <s v="FR0000052292"/>
    <n v="1"/>
    <x v="116"/>
    <m/>
    <m/>
    <m/>
  </r>
  <r>
    <m/>
    <m/>
    <m/>
    <m/>
    <m/>
    <x v="1"/>
    <m/>
    <m/>
    <m/>
    <m/>
    <m/>
    <m/>
    <m/>
    <m/>
    <m/>
    <m/>
    <m/>
    <m/>
    <m/>
    <m/>
    <m/>
    <s v=""/>
    <m/>
    <m/>
    <m/>
    <m/>
    <m/>
    <n v="2559"/>
    <n v="0"/>
    <s v="FR00000522921"/>
    <s v="FR0000052292"/>
    <n v="1"/>
    <x v="116"/>
    <m/>
    <m/>
    <m/>
  </r>
  <r>
    <m/>
    <m/>
    <m/>
    <m/>
    <n v="1536"/>
    <x v="3"/>
    <n v="8900000000"/>
    <m/>
    <n v="4000000000"/>
    <n v="3000000000"/>
    <n v="-5521000000"/>
    <n v="8024000000"/>
    <n v="76.006864564140983"/>
    <n v="0.37387836490528414"/>
    <n v="1.1186576108669597"/>
    <n v="105569412"/>
    <n v="162154616832"/>
    <n v="20.20870100099701"/>
    <m/>
    <m/>
    <m/>
    <s v=""/>
    <m/>
    <m/>
    <m/>
    <s v="Société de luxe de renommée internationale bâtie par croissance interne. Détenue par la famille Dumas à 66,7% "/>
    <m/>
    <n v="2560"/>
    <n v="0"/>
    <s v="FR000005229212021"/>
    <s v="FR0000052292"/>
    <n v="1"/>
    <x v="116"/>
    <m/>
    <m/>
    <m/>
  </r>
  <r>
    <m/>
    <m/>
    <m/>
    <m/>
    <m/>
    <x v="1"/>
    <n v="0.4366285395137417"/>
    <m/>
    <n v="0.71020565222968068"/>
    <n v="0.96309383588535535"/>
    <m/>
    <m/>
    <m/>
    <m/>
    <m/>
    <m/>
    <m/>
    <m/>
    <m/>
    <m/>
    <m/>
    <s v=""/>
    <m/>
    <m/>
    <m/>
    <s v="Flux de trésorerie annuelle : 2 Md euros - 500 M euros d'investissement et 500 M euros de dividendes. Reste 1 Md euros chaque année"/>
    <m/>
    <n v="2561"/>
    <n v="0"/>
    <s v="FR00000522921"/>
    <s v="FR0000052292"/>
    <n v="1"/>
    <x v="116"/>
    <m/>
    <m/>
    <m/>
  </r>
  <r>
    <m/>
    <m/>
    <m/>
    <m/>
    <n v="879.6"/>
    <x v="4"/>
    <n v="6195060000"/>
    <m/>
    <n v="2338900000"/>
    <n v="1528200000"/>
    <n v="-4372000000"/>
    <n v="6568100000"/>
    <n v="62.215938078730609"/>
    <n v="0.23267002633942846"/>
    <n v="0.74551705295751558"/>
    <n v="105569412"/>
    <n v="92858854795.199997"/>
    <n v="14.13785642654649"/>
    <m/>
    <m/>
    <m/>
    <s v=""/>
    <m/>
    <m/>
    <m/>
    <s v="Pour 2 Md euros de capitaux employés soit presque 100 %"/>
    <m/>
    <n v="2562"/>
    <n v="0"/>
    <s v="FR000005229212020"/>
    <s v="FR0000052292"/>
    <n v="1"/>
    <x v="116"/>
    <m/>
    <m/>
    <m/>
  </r>
  <r>
    <m/>
    <m/>
    <m/>
    <m/>
    <m/>
    <x v="1"/>
    <n v="-9.9999999999999978E-2"/>
    <m/>
    <n v="0"/>
    <n v="0"/>
    <m/>
    <m/>
    <m/>
    <m/>
    <m/>
    <m/>
    <m/>
    <m/>
    <m/>
    <m/>
    <m/>
    <s v=""/>
    <m/>
    <m/>
    <m/>
    <s v="Effectifs : 16 966 fin juin 2021 soit 500 K euros de chiffre d'affaires par salarié"/>
    <m/>
    <n v="2563"/>
    <n v="0"/>
    <s v="FR00000522921"/>
    <s v="FR0000052292"/>
    <n v="1"/>
    <x v="116"/>
    <m/>
    <m/>
    <m/>
  </r>
  <r>
    <m/>
    <m/>
    <m/>
    <m/>
    <n v="677.2"/>
    <x v="5"/>
    <n v="6883400000"/>
    <m/>
    <n v="2338900000"/>
    <n v="1528200000"/>
    <n v="-4372000000"/>
    <n v="6568100000"/>
    <n v="62.215938078730609"/>
    <n v="0.23267002633942846"/>
    <n v="0.74551705295751558"/>
    <n v="105569412"/>
    <n v="71491605806.400009"/>
    <n v="10.884670727668581"/>
    <m/>
    <m/>
    <m/>
    <s v=""/>
    <m/>
    <m/>
    <m/>
    <s v="Taux de rendement annualise sur 20 ans : 14,4% hors dividendes"/>
    <m/>
    <n v="2564"/>
    <n v="0"/>
    <s v="FR000005229212019"/>
    <s v="FR0000052292"/>
    <n v="1"/>
    <x v="116"/>
    <m/>
    <m/>
    <m/>
  </r>
  <r>
    <m/>
    <m/>
    <m/>
    <m/>
    <m/>
    <x v="1"/>
    <n v="0.15375203231591827"/>
    <m/>
    <n v="0.12701778056184643"/>
    <n v="8.7299893276414187E-2"/>
    <m/>
    <m/>
    <m/>
    <m/>
    <m/>
    <m/>
    <m/>
    <m/>
    <m/>
    <m/>
    <m/>
    <s v=""/>
    <m/>
    <m/>
    <m/>
    <s v="Pas de minoritaires"/>
    <m/>
    <n v="2565"/>
    <n v="0"/>
    <s v="FR00000522921"/>
    <s v="FR0000052292"/>
    <n v="1"/>
    <x v="116"/>
    <m/>
    <m/>
    <m/>
  </r>
  <r>
    <m/>
    <m/>
    <m/>
    <m/>
    <n v="471.4"/>
    <x v="6"/>
    <n v="5966100000"/>
    <m/>
    <n v="2075300000"/>
    <n v="1405500000"/>
    <n v="-3465000000"/>
    <n v="5469800000"/>
    <n v="51.812356404902587"/>
    <n v="0.2569563786610114"/>
    <n v="0.7246159217877095"/>
    <n v="105569412"/>
    <n v="49765420816.799995"/>
    <n v="9.0982158062086356"/>
    <m/>
    <m/>
    <m/>
    <s v=""/>
    <m/>
    <m/>
    <m/>
    <s v="Pas de variation du nombre d'actions en circulation"/>
    <m/>
    <n v="2566"/>
    <n v="0"/>
    <s v="FR000005229212018"/>
    <s v="FR0000052292"/>
    <n v="1"/>
    <x v="116"/>
    <m/>
    <m/>
    <m/>
  </r>
  <r>
    <m/>
    <m/>
    <m/>
    <m/>
    <m/>
    <x v="1"/>
    <m/>
    <m/>
    <m/>
    <m/>
    <m/>
    <m/>
    <m/>
    <m/>
    <m/>
    <m/>
    <m/>
    <m/>
    <m/>
    <m/>
    <m/>
    <s v=""/>
    <m/>
    <m/>
    <m/>
    <s v="CAC : Price et Didier Kling"/>
    <m/>
    <n v="2567"/>
    <n v="0"/>
    <s v="FR00000522921"/>
    <s v="FR0000052292"/>
    <n v="1"/>
    <x v="116"/>
    <m/>
    <m/>
    <m/>
  </r>
  <r>
    <m/>
    <m/>
    <m/>
    <m/>
    <n v="445"/>
    <x v="7"/>
    <m/>
    <m/>
    <m/>
    <m/>
    <m/>
    <m/>
    <n v="0"/>
    <m/>
    <m/>
    <n v="105569412"/>
    <n v="46978388340"/>
    <m/>
    <m/>
    <m/>
    <m/>
    <s v=""/>
    <m/>
    <m/>
    <m/>
    <m/>
    <m/>
    <n v="2568"/>
    <n v="0"/>
    <s v="FR000005229212017"/>
    <s v="FR0000052292"/>
    <n v="1"/>
    <x v="116"/>
    <m/>
    <m/>
    <m/>
  </r>
  <r>
    <m/>
    <m/>
    <m/>
    <m/>
    <m/>
    <x v="1"/>
    <m/>
    <m/>
    <m/>
    <m/>
    <m/>
    <m/>
    <m/>
    <m/>
    <m/>
    <m/>
    <m/>
    <m/>
    <m/>
    <m/>
    <m/>
    <s v=""/>
    <m/>
    <m/>
    <m/>
    <m/>
    <m/>
    <n v="2569"/>
    <n v="0"/>
    <s v="FR00000522921"/>
    <s v="FR0000052292"/>
    <n v="1"/>
    <x v="116"/>
    <m/>
    <m/>
    <m/>
  </r>
  <r>
    <m/>
    <m/>
    <m/>
    <m/>
    <n v="390.6"/>
    <x v="8"/>
    <m/>
    <m/>
    <m/>
    <m/>
    <m/>
    <m/>
    <n v="0"/>
    <m/>
    <m/>
    <n v="105569412"/>
    <n v="41235412327.200005"/>
    <m/>
    <m/>
    <m/>
    <m/>
    <s v=""/>
    <m/>
    <m/>
    <m/>
    <m/>
    <m/>
    <n v="2570"/>
    <n v="0"/>
    <s v="FR000005229212016"/>
    <s v="FR0000052292"/>
    <n v="1"/>
    <x v="116"/>
    <m/>
    <m/>
    <m/>
  </r>
  <r>
    <m/>
    <m/>
    <m/>
    <m/>
    <m/>
    <x v="1"/>
    <m/>
    <m/>
    <m/>
    <m/>
    <m/>
    <m/>
    <m/>
    <m/>
    <m/>
    <m/>
    <m/>
    <m/>
    <m/>
    <m/>
    <m/>
    <s v=""/>
    <m/>
    <m/>
    <m/>
    <m/>
    <m/>
    <n v="2571"/>
    <n v="0"/>
    <s v="FR00000522921"/>
    <s v="FR0000052292"/>
    <n v="1"/>
    <x v="116"/>
    <m/>
    <m/>
    <m/>
  </r>
  <r>
    <m/>
    <m/>
    <m/>
    <m/>
    <m/>
    <x v="1"/>
    <m/>
    <m/>
    <m/>
    <m/>
    <m/>
    <m/>
    <m/>
    <m/>
    <m/>
    <m/>
    <m/>
    <m/>
    <m/>
    <m/>
    <m/>
    <s v=""/>
    <m/>
    <m/>
    <m/>
    <m/>
    <m/>
    <n v="2572"/>
    <n v="0"/>
    <s v="FR00000522921"/>
    <s v="FR0000052292"/>
    <n v="1"/>
    <x v="116"/>
    <m/>
    <m/>
    <m/>
  </r>
  <r>
    <m/>
    <m/>
    <m/>
    <m/>
    <m/>
    <x v="1"/>
    <m/>
    <m/>
    <m/>
    <m/>
    <m/>
    <m/>
    <m/>
    <m/>
    <m/>
    <m/>
    <m/>
    <m/>
    <m/>
    <m/>
    <m/>
    <s v=""/>
    <m/>
    <m/>
    <m/>
    <m/>
    <m/>
    <n v="2573"/>
    <n v="0"/>
    <s v="FR00000522921"/>
    <s v="FR0000052292"/>
    <n v="1"/>
    <x v="116"/>
    <m/>
    <m/>
    <m/>
  </r>
  <r>
    <s v="Scor"/>
    <s v="Réassurance "/>
    <s v="France"/>
    <s v="Euro"/>
    <n v="23"/>
    <x v="0"/>
    <n v="20000000000"/>
    <m/>
    <m/>
    <n v="650000000"/>
    <n v="3000000000"/>
    <n v="5400000000"/>
    <n v="30.278239017843006"/>
    <n v="0.12663159945451002"/>
    <m/>
    <n v="178345907"/>
    <n v="4101955861"/>
    <n v="0.75962145574074069"/>
    <m/>
    <s v="A + / novembre 2022"/>
    <m/>
    <s v=""/>
    <m/>
    <s v="E = 1"/>
    <m/>
    <s v="Société fondée en 1855, numéro 4 mondial de la réassurance avec 4 000 clients (500 clients en 2005). Concurrents : Munich Ré / Hannover Ré / Swiss Ré / Chubb / Partner Ré. "/>
    <m/>
    <n v="2574"/>
    <n v="0"/>
    <s v="FR001041198312023"/>
    <s v="FR0010411983"/>
    <n v="1"/>
    <x v="117"/>
    <m/>
    <m/>
    <m/>
  </r>
  <r>
    <m/>
    <m/>
    <m/>
    <m/>
    <m/>
    <x v="1"/>
    <n v="1.3581998783701588E-2"/>
    <m/>
    <n v="-1"/>
    <n v="-3.1594684385382061"/>
    <m/>
    <m/>
    <m/>
    <m/>
    <m/>
    <m/>
    <m/>
    <m/>
    <m/>
    <m/>
    <m/>
    <s v=""/>
    <m/>
    <s v="S = 1"/>
    <m/>
    <s v="Thierry Léger (ex Directeur des souscriptionsde Swiss Ré) devient DG suite au départ de Laurent Rousseau. Kessler (président)"/>
    <m/>
    <n v="2575"/>
    <n v="0"/>
    <s v="FR00104119831"/>
    <s v="FR0010411983"/>
    <n v="1"/>
    <x v="117"/>
    <m/>
    <m/>
    <m/>
  </r>
  <r>
    <m/>
    <m/>
    <m/>
    <m/>
    <n v="21.5"/>
    <x v="2"/>
    <n v="19732000000"/>
    <m/>
    <n v="1000000"/>
    <n v="-301000000"/>
    <n v="3228000000"/>
    <n v="5133000000"/>
    <n v="28.781148310849655"/>
    <n v="-4.7141738449490996E-2"/>
    <m/>
    <n v="178345907"/>
    <n v="3834437000.5"/>
    <n v="0.74701675443210602"/>
    <m/>
    <s v="A+ / positive en 2013"/>
    <m/>
    <s v=""/>
    <n v="-500000000"/>
    <s v="G = 2"/>
    <m/>
    <s v="Denis Kessler né en 1952 en poste depuis 2002. Mandat à échéance en 2021. Poste de DG et Président du CA non séparé. 1 546 040  de titres détenus"/>
    <m/>
    <n v="2576"/>
    <n v="0"/>
    <s v="FR001041198312022"/>
    <s v="FR0010411983"/>
    <n v="1"/>
    <x v="117"/>
    <m/>
    <m/>
    <m/>
  </r>
  <r>
    <m/>
    <m/>
    <m/>
    <m/>
    <m/>
    <x v="1"/>
    <n v="0.1211363636363636"/>
    <m/>
    <n v="-0.99874213836477987"/>
    <n v="-1.6600877192982457"/>
    <m/>
    <m/>
    <m/>
    <m/>
    <m/>
    <m/>
    <m/>
    <m/>
    <m/>
    <m/>
    <m/>
    <s v=""/>
    <m/>
    <m/>
    <m/>
    <s v="La société n'a pas d'actionnaire stable, Covea (Thierry Derez au CA est parti en novembre 2018) et avec 8,4% du capital a voulu acheter la société à plus de 40 euros en 2018. Refus de Kessler"/>
    <m/>
    <n v="2577"/>
    <n v="0"/>
    <s v="FR00104119831"/>
    <s v="FR0010411983"/>
    <n v="1"/>
    <x v="117"/>
    <m/>
    <m/>
    <m/>
  </r>
  <r>
    <m/>
    <m/>
    <m/>
    <m/>
    <n v="27.4"/>
    <x v="3"/>
    <n v="17600000000"/>
    <m/>
    <n v="795000000"/>
    <n v="456000000"/>
    <n v="3226000000"/>
    <n v="6385000000"/>
    <n v="35.257123409125839"/>
    <n v="7.4086108854589758E-2"/>
    <m/>
    <n v="181098155"/>
    <n v="4962089447"/>
    <n v="0.777147916523101"/>
    <m/>
    <s v="A+ / Stable en 2012"/>
    <m/>
    <s v=""/>
    <n v="2406000000"/>
    <m/>
    <m/>
    <s v="Activité Global P&amp;C : 60%"/>
    <m/>
    <n v="2578"/>
    <n v="0"/>
    <s v="FR001041198312021"/>
    <s v="FR0010411983"/>
    <n v="1"/>
    <x v="117"/>
    <m/>
    <m/>
    <m/>
  </r>
  <r>
    <m/>
    <m/>
    <m/>
    <m/>
    <m/>
    <x v="1"/>
    <n v="7.5268817204301008E-2"/>
    <m/>
    <n v="0.65970772442588732"/>
    <n v="0.94871794871794868"/>
    <m/>
    <m/>
    <m/>
    <m/>
    <m/>
    <m/>
    <m/>
    <m/>
    <m/>
    <m/>
    <m/>
    <s v=""/>
    <m/>
    <m/>
    <m/>
    <s v="Activité Life : 40%"/>
    <m/>
    <n v="2579"/>
    <n v="0"/>
    <s v="FR00104119831"/>
    <s v="FR0010411983"/>
    <n v="1"/>
    <x v="117"/>
    <m/>
    <m/>
    <m/>
  </r>
  <r>
    <m/>
    <m/>
    <m/>
    <m/>
    <n v="26.42"/>
    <x v="4"/>
    <n v="16368000000"/>
    <m/>
    <n v="479000000"/>
    <n v="234000000"/>
    <n v="3210000000"/>
    <n v="6155000000"/>
    <n v="32.962017323872345"/>
    <n v="3.6862003780718335E-2"/>
    <m/>
    <n v="186730076"/>
    <n v="4933408607.9200001"/>
    <n v="0.80152861217221771"/>
    <m/>
    <s v="A  / Stable en 2009"/>
    <m/>
    <s v=""/>
    <n v="988000000"/>
    <m/>
    <m/>
    <s v="Acquisitions entre 2005 - 2013 pour atteindre la taille critique et accéder à de nouveaux clients grâce à un meilleur rating"/>
    <m/>
    <n v="2580"/>
    <n v="0"/>
    <s v="FR001041198312020"/>
    <s v="FR0010411983"/>
    <n v="1"/>
    <x v="117"/>
    <m/>
    <m/>
    <m/>
  </r>
  <r>
    <m/>
    <m/>
    <m/>
    <m/>
    <m/>
    <x v="1"/>
    <n v="1.6522856618321757E-3"/>
    <m/>
    <n v="-0.32819074333800846"/>
    <n v="-0.4454976303317536"/>
    <m/>
    <m/>
    <m/>
    <m/>
    <m/>
    <m/>
    <m/>
    <m/>
    <m/>
    <m/>
    <m/>
    <s v=""/>
    <m/>
    <m/>
    <m/>
    <s v="Différentes acquisitions en 2006 de Revios (605 M euros - 1,05 fois l'actif net), en août 2007 de Converium (2 Md euros), en 2011 de Transamerica Re (630 M euros) et Generali US en 2013 (579 M euros)"/>
    <m/>
    <n v="2581"/>
    <n v="0"/>
    <s v="FR00104119831"/>
    <s v="FR0010411983"/>
    <n v="1"/>
    <x v="117"/>
    <m/>
    <m/>
    <m/>
  </r>
  <r>
    <m/>
    <m/>
    <m/>
    <m/>
    <n v="37"/>
    <x v="5"/>
    <n v="16341000000"/>
    <m/>
    <n v="713000000"/>
    <n v="422000000"/>
    <n v="3027000000"/>
    <n v="6348000000"/>
    <n v="33.958987920732362"/>
    <n v="7.2758620689655176E-2"/>
    <m/>
    <n v="186931366"/>
    <n v="6916460542"/>
    <n v="1.0895495497794581"/>
    <m/>
    <s v="A- / Stable en 2006"/>
    <m/>
    <s v=""/>
    <m/>
    <m/>
    <m/>
    <s v="Croissance annuelle de 9,6% par an sur 10 ans mais moindre progression de la rentabilité. Flux de trésorerie : 600-700 Me par an. 891 M euros en 2018 et 841 M euros en 2019"/>
    <m/>
    <n v="2582"/>
    <n v="0"/>
    <s v="FR001041198312019"/>
    <s v="FR0010411983"/>
    <n v="1"/>
    <x v="117"/>
    <m/>
    <m/>
    <m/>
  </r>
  <r>
    <m/>
    <m/>
    <m/>
    <m/>
    <m/>
    <x v="1"/>
    <n v="7.0979158474242965E-2"/>
    <m/>
    <n v="8.358662613981771E-2"/>
    <n v="0.31055900621118004"/>
    <m/>
    <m/>
    <m/>
    <m/>
    <m/>
    <m/>
    <m/>
    <m/>
    <m/>
    <m/>
    <m/>
    <s v=""/>
    <m/>
    <m/>
    <m/>
    <s v="Sur la partie dommages : Ratio combiné : sinistres / primes inférieurs à 100% de 2014 à 2017 plus difficile en 2018 avec les catastrophes naturelles "/>
    <m/>
    <n v="2583"/>
    <n v="0"/>
    <s v="FR00104119831"/>
    <s v="FR0010411983"/>
    <n v="1"/>
    <x v="117"/>
    <m/>
    <m/>
    <m/>
  </r>
  <r>
    <m/>
    <m/>
    <m/>
    <m/>
    <n v="39.4"/>
    <x v="6"/>
    <n v="15258000000"/>
    <m/>
    <n v="658000000"/>
    <n v="322000000"/>
    <n v="2831000000"/>
    <n v="5800000000"/>
    <n v="30.038460830924318"/>
    <n v="5.19774011299435E-2"/>
    <m/>
    <n v="193085792"/>
    <n v="7607580204.8000002"/>
    <n v="1.3116517594482759"/>
    <m/>
    <m/>
    <n v="2887"/>
    <n v="5285071.0079667475"/>
    <m/>
    <m/>
    <m/>
    <s v="Coût des sinistres page 31-32 du document de référence. En hausse proche du milliard. 200 -250 M euros l'ouragan. "/>
    <m/>
    <n v="2584"/>
    <n v="0"/>
    <s v="FR001041198312018"/>
    <s v="FR0010411983"/>
    <n v="1"/>
    <x v="117"/>
    <m/>
    <m/>
    <m/>
  </r>
  <r>
    <m/>
    <m/>
    <m/>
    <m/>
    <m/>
    <x v="1"/>
    <n v="3.171275948339991E-2"/>
    <m/>
    <n v="0.34012219959266798"/>
    <n v="0.12587412587412583"/>
    <m/>
    <m/>
    <m/>
    <m/>
    <m/>
    <m/>
    <m/>
    <m/>
    <m/>
    <m/>
    <m/>
    <s v=""/>
    <m/>
    <m/>
    <m/>
    <s v="Achat mi-août 2013 à 25 euros soit 100% de l'actif - revendu en juin 2015 à 33 euros (115% de l'actif) =&gt; TSR 30% en deux ans grâce au portage et à la hausse du ratio price to book"/>
    <m/>
    <n v="2585"/>
    <n v="0"/>
    <s v="FR00104119831"/>
    <s v="FR0010411983"/>
    <n v="1"/>
    <x v="117"/>
    <m/>
    <m/>
    <m/>
  </r>
  <r>
    <m/>
    <m/>
    <m/>
    <m/>
    <n v="33.549999999999997"/>
    <x v="7"/>
    <n v="14789000000"/>
    <m/>
    <n v="491000000"/>
    <n v="286000000"/>
    <n v="2702000000"/>
    <n v="6195000000"/>
    <n v="32.015451426883189"/>
    <n v="4.2718446601941747E-2"/>
    <m/>
    <n v="193500317"/>
    <n v="6491935635.3499994"/>
    <n v="1.0479314988458432"/>
    <m/>
    <m/>
    <m/>
    <s v=""/>
    <m/>
    <m/>
    <m/>
    <s v="Partner Ré achetée en 2015 par Exor (1,4 fois l'actif net). D'où la progression de Scor cette année là et la cession"/>
    <m/>
    <n v="2586"/>
    <n v="0"/>
    <s v="FR001041198312017"/>
    <s v="FR0010411983"/>
    <n v="1"/>
    <x v="117"/>
    <m/>
    <m/>
    <m/>
  </r>
  <r>
    <m/>
    <m/>
    <m/>
    <m/>
    <m/>
    <x v="1"/>
    <n v="6.9651381455229311E-2"/>
    <m/>
    <n v="-0.48370136698212407"/>
    <n v="-0.52570480928689878"/>
    <m/>
    <m/>
    <m/>
    <m/>
    <m/>
    <m/>
    <m/>
    <m/>
    <m/>
    <m/>
    <m/>
    <s v=""/>
    <m/>
    <m/>
    <m/>
    <s v="En 2019, le coût des sinistres est de 616 M euros (pour 24 catastrophes)"/>
    <m/>
    <n v="2587"/>
    <n v="0"/>
    <s v="FR00104119831"/>
    <s v="FR0010411983"/>
    <n v="1"/>
    <x v="117"/>
    <m/>
    <m/>
    <m/>
  </r>
  <r>
    <m/>
    <m/>
    <m/>
    <m/>
    <n v="32.83"/>
    <x v="8"/>
    <n v="13826000000"/>
    <m/>
    <n v="951000000"/>
    <n v="603000000"/>
    <n v="2256000000"/>
    <n v="6695000000"/>
    <n v="34.774901465485506"/>
    <n v="9.5260663507109003E-2"/>
    <m/>
    <n v="192523910"/>
    <n v="6320559965.2999992"/>
    <n v="0.94407169011202374"/>
    <m/>
    <m/>
    <m/>
    <s v=""/>
    <m/>
    <m/>
    <m/>
    <s v="Rdt du capital des placements : entre 2,5% -3 % historiquement (3% en 2019 - 4% en 2010). 20,5 Md euros de placements fin 2019"/>
    <m/>
    <n v="2588"/>
    <n v="0"/>
    <s v="FR001041198312016"/>
    <s v="FR0010411983"/>
    <n v="1"/>
    <x v="117"/>
    <m/>
    <m/>
    <m/>
  </r>
  <r>
    <m/>
    <m/>
    <m/>
    <m/>
    <m/>
    <x v="1"/>
    <n v="3.0176588927799619E-2"/>
    <m/>
    <n v="-9.255725190839692E-2"/>
    <n v="-6.074766355140182E-2"/>
    <m/>
    <m/>
    <m/>
    <m/>
    <m/>
    <m/>
    <m/>
    <m/>
    <m/>
    <m/>
    <m/>
    <s v=""/>
    <m/>
    <m/>
    <m/>
    <s v="La part des produits financiers est toujours élevée dans le résultat de la société (plus de 50%)"/>
    <m/>
    <n v="2589"/>
    <n v="0"/>
    <s v="FR00104119831"/>
    <s v="FR0010411983"/>
    <n v="1"/>
    <x v="117"/>
    <m/>
    <m/>
    <m/>
  </r>
  <r>
    <m/>
    <m/>
    <m/>
    <m/>
    <n v="34.659999999999997"/>
    <x v="9"/>
    <n v="13421000000"/>
    <m/>
    <n v="1048000000"/>
    <n v="642000000"/>
    <n v="2613000000"/>
    <n v="6330000000"/>
    <n v="32.856985765009384"/>
    <n v="0.11275026343519494"/>
    <m/>
    <n v="192653095"/>
    <n v="6677356272.6999998"/>
    <n v="1.0548746086413903"/>
    <m/>
    <m/>
    <m/>
    <s v=""/>
    <m/>
    <m/>
    <m/>
    <s v="2 887 salariés au 31/12/2018 soit 5 Me de primes par salarié. 1 822 salarié en 2010 soit 3,66 Me par salarié"/>
    <m/>
    <n v="2590"/>
    <n v="0"/>
    <s v="FR001041198312015"/>
    <s v="FR0010411983"/>
    <n v="1"/>
    <x v="117"/>
    <m/>
    <m/>
    <m/>
  </r>
  <r>
    <m/>
    <m/>
    <m/>
    <m/>
    <m/>
    <x v="1"/>
    <n v="0.18601979498055843"/>
    <m/>
    <n v="0.27030303030303027"/>
    <n v="0.25390625"/>
    <m/>
    <m/>
    <m/>
    <m/>
    <m/>
    <m/>
    <m/>
    <m/>
    <m/>
    <m/>
    <m/>
    <s v=""/>
    <m/>
    <m/>
    <m/>
    <s v="Dettes subordonnées : 25% du total capitaux propres + dettes subordonnées (en moyenne)"/>
    <m/>
    <n v="2591"/>
    <n v="0"/>
    <s v="FR00104119831"/>
    <s v="FR0010411983"/>
    <n v="1"/>
    <x v="117"/>
    <m/>
    <m/>
    <m/>
  </r>
  <r>
    <m/>
    <m/>
    <m/>
    <m/>
    <n v="25"/>
    <x v="10"/>
    <n v="11316000000"/>
    <m/>
    <n v="825000000"/>
    <n v="512000000"/>
    <n v="1743000000"/>
    <n v="5694000000"/>
    <n v="29.549827680755929"/>
    <n v="0.10281124497991968"/>
    <m/>
    <n v="192691479"/>
    <n v="4817286975"/>
    <n v="0.84602862223393049"/>
    <m/>
    <m/>
    <m/>
    <s v=""/>
    <m/>
    <m/>
    <m/>
    <s v="Autres dettes bancaires faibles : 500 M euros (8% des fonds propres). En face : 1,5 Md euros de trésorerie corporate soit 1,5 Md euros de dettes nettes"/>
    <m/>
    <n v="2592"/>
    <n v="0"/>
    <s v="FR001041198312014"/>
    <s v="FR0010411983"/>
    <n v="1"/>
    <x v="117"/>
    <m/>
    <m/>
    <m/>
  </r>
  <r>
    <m/>
    <m/>
    <m/>
    <m/>
    <m/>
    <x v="1"/>
    <n v="0.10367697259338726"/>
    <m/>
    <n v="5.3639846743295028E-2"/>
    <n v="-6.7395264116575593E-2"/>
    <m/>
    <m/>
    <m/>
    <m/>
    <m/>
    <m/>
    <m/>
    <m/>
    <m/>
    <m/>
    <m/>
    <s v=""/>
    <m/>
    <m/>
    <m/>
    <s v="En 2020, Covea cherche à acheter à la famille Agnelli, Partner Re pour 9-10 Md de dollars (acheté 6,9 Md de dollars mi-2015). Finalement, Covea a renoncé à acheter Partner Ré"/>
    <m/>
    <n v="2593"/>
    <n v="0"/>
    <s v="FR00104119831"/>
    <s v="FR0010411983"/>
    <n v="1"/>
    <x v="117"/>
    <m/>
    <m/>
    <m/>
  </r>
  <r>
    <m/>
    <m/>
    <m/>
    <m/>
    <n v="26"/>
    <x v="11"/>
    <n v="10253000000"/>
    <m/>
    <n v="783000000"/>
    <n v="549000000"/>
    <n v="1379000000"/>
    <n v="4980000000"/>
    <n v="25.83551551355005"/>
    <n v="0.11430356027482823"/>
    <m/>
    <n v="192757911"/>
    <n v="5011705686"/>
    <n v="1.0063666036144578"/>
    <m/>
    <m/>
    <m/>
    <s v=""/>
    <m/>
    <m/>
    <m/>
    <s v="La situation de la société s'est un peu dégradé : maintien du dividende qui dégrade un peu le bilan, cours de bourse encore élevé avec la spéculation, tx intérêt plus bas et hausse des catastrophes naturelles"/>
    <m/>
    <n v="2594"/>
    <n v="0"/>
    <s v="FR001041198312013"/>
    <s v="FR0010411983"/>
    <n v="1"/>
    <x v="117"/>
    <m/>
    <m/>
    <m/>
  </r>
  <r>
    <m/>
    <m/>
    <m/>
    <m/>
    <m/>
    <x v="1"/>
    <n v="7.7675005255413154E-2"/>
    <m/>
    <n v="0.23892405063291133"/>
    <n v="0.3133971291866029"/>
    <m/>
    <m/>
    <m/>
    <m/>
    <m/>
    <m/>
    <m/>
    <m/>
    <m/>
    <m/>
    <m/>
    <s v=""/>
    <m/>
    <m/>
    <m/>
    <s v="En 2020, coût de la crise du Covid-19 estimé à 456 M euros impact sur la couverture de risque en dommages et vie, peu d'impact sur le portefeuille de placement et l'activité"/>
    <m/>
    <n v="2595"/>
    <n v="0"/>
    <s v="FR00104119831"/>
    <s v="FR0010411983"/>
    <n v="1"/>
    <x v="117"/>
    <m/>
    <m/>
    <m/>
  </r>
  <r>
    <m/>
    <m/>
    <m/>
    <m/>
    <n v="21"/>
    <x v="12"/>
    <n v="9514000000"/>
    <m/>
    <n v="632000000"/>
    <n v="418000000"/>
    <n v="1100750000"/>
    <n v="4803000000"/>
    <n v="24.965665193151835"/>
    <n v="9.4935271405859639E-2"/>
    <m/>
    <n v="192384219"/>
    <n v="4040068599"/>
    <n v="0.84115523610243603"/>
    <m/>
    <m/>
    <m/>
    <s v=""/>
    <m/>
    <m/>
    <m/>
    <s v="En 2021, accord avec Covea mettant fin aux conflits avec une cession d'une part d'activité à Covea pour 1 Md $. Coût de la Covid 19, 370 Meuros au premier semestre 2021. Développement dans l'activité réassurance dommages aux entreprises avec une hausse des prix"/>
    <m/>
    <n v="2596"/>
    <n v="0"/>
    <s v="FR001041198312012"/>
    <s v="FR0010411983"/>
    <n v="1"/>
    <x v="117"/>
    <m/>
    <m/>
    <m/>
  </r>
  <r>
    <m/>
    <m/>
    <m/>
    <m/>
    <m/>
    <x v="1"/>
    <n v="0.25151275980005261"/>
    <m/>
    <n v="0.51558752997601909"/>
    <n v="0.26666666666666661"/>
    <m/>
    <m/>
    <m/>
    <m/>
    <m/>
    <m/>
    <m/>
    <m/>
    <m/>
    <m/>
    <m/>
    <s v=""/>
    <m/>
    <m/>
    <m/>
    <s v="En 2021, hausse de la sinistralité en Europe (inondation) et aux États-Unis (ouragan : Ida) pour 838 M euros, par contre hausse des prix, introduction en bourse d'une participation (Doma : 64 M e de gains) et impact du Covid-19 à 575 M euros (299 M euros sur 9 mois)"/>
    <m/>
    <n v="2597"/>
    <n v="0"/>
    <s v="FR00104119831"/>
    <s v="FR0010411983"/>
    <n v="1"/>
    <x v="117"/>
    <m/>
    <m/>
    <m/>
  </r>
  <r>
    <m/>
    <m/>
    <m/>
    <m/>
    <n v="17.899999999999999"/>
    <x v="17"/>
    <n v="7602000000"/>
    <m/>
    <n v="417000000"/>
    <n v="330000000"/>
    <n v="999000000"/>
    <n v="4403000000"/>
    <n v="22.929747539521696"/>
    <n v="7.5827205882352935E-2"/>
    <m/>
    <n v="192021303"/>
    <n v="3437181323.6999998"/>
    <n v="0.78064531539859183"/>
    <m/>
    <m/>
    <m/>
    <s v=""/>
    <m/>
    <m/>
    <m/>
    <s v="En 2022, poursuite de l'amélioration côté Covid-19 et hausse des prix. Risque avec les catatstrophes naturelles et résultats d'exploitation avant produits financiers pas si haut"/>
    <m/>
    <n v="2598"/>
    <n v="0"/>
    <s v="FR001041198312011"/>
    <s v="FR0010411983"/>
    <n v="1"/>
    <x v="117"/>
    <m/>
    <m/>
    <m/>
  </r>
  <r>
    <m/>
    <m/>
    <m/>
    <m/>
    <m/>
    <x v="1"/>
    <n v="0.13564386017328944"/>
    <m/>
    <n v="-0.1489795918367347"/>
    <n v="-0.21052631578947367"/>
    <m/>
    <m/>
    <m/>
    <m/>
    <m/>
    <m/>
    <m/>
    <m/>
    <m/>
    <m/>
    <m/>
    <s v=""/>
    <m/>
    <m/>
    <m/>
    <s v="En 2022, provision en lien avec la guerre en Ukraine de 85 M euros au 1T22. Par contre, hausse des primes, hausse des prix, impact positif de la remontée de taux et réduction des engagements sur le risque climatique"/>
    <m/>
    <n v="2599"/>
    <n v="0"/>
    <s v="FR00104119831"/>
    <s v="FR0010411983"/>
    <n v="1"/>
    <x v="117"/>
    <m/>
    <m/>
    <m/>
  </r>
  <r>
    <m/>
    <m/>
    <m/>
    <m/>
    <n v="19"/>
    <x v="18"/>
    <n v="6694000000"/>
    <m/>
    <n v="490000000"/>
    <n v="418000000"/>
    <n v="479000000"/>
    <n v="4352000000"/>
    <n v="23.174156432084299"/>
    <n v="0.1071520123045373"/>
    <m/>
    <n v="187795401"/>
    <n v="3568112619"/>
    <n v="0.81987881870404411"/>
    <m/>
    <m/>
    <m/>
    <s v=""/>
    <m/>
    <m/>
    <m/>
    <s v="En 2023, départ de Laurent Rousseau, Thierry Léger (ex-Swiss Ré) devient CEO. Dégradation de la notation chez Moody's en février de A1 à Aa3 (perspective stable)"/>
    <m/>
    <n v="2600"/>
    <n v="0"/>
    <s v="FR001041198312010"/>
    <s v="FR0010411983"/>
    <n v="1"/>
    <x v="117"/>
    <m/>
    <m/>
    <m/>
  </r>
  <r>
    <m/>
    <m/>
    <m/>
    <m/>
    <m/>
    <x v="1"/>
    <n v="4.938078068662799E-2"/>
    <m/>
    <n v="0.31720430107526876"/>
    <n v="0.12972972972972974"/>
    <m/>
    <m/>
    <m/>
    <m/>
    <m/>
    <m/>
    <m/>
    <m/>
    <m/>
    <m/>
    <m/>
    <s v=""/>
    <m/>
    <m/>
    <m/>
    <s v="Excercice en perte de 300 Me avec les ouragans, la séchéresse au Brésil et la montée des risques. La hausse des tarifs améliore les revenus et la hausse des taux amléiore les produits financiers (80% d'obligations IG)"/>
    <m/>
    <n v="2601"/>
    <n v="0"/>
    <s v="FR00104119831"/>
    <s v="FR0010411983"/>
    <n v="1"/>
    <x v="117"/>
    <m/>
    <m/>
    <m/>
  </r>
  <r>
    <m/>
    <m/>
    <m/>
    <m/>
    <n v="17"/>
    <x v="38"/>
    <n v="6379000000"/>
    <m/>
    <n v="372000000"/>
    <n v="370000000"/>
    <n v="668000000"/>
    <n v="3901000000"/>
    <n v="21.062232926796604"/>
    <n v="9.484747500640861E-2"/>
    <m/>
    <n v="185213031"/>
    <n v="3148621527"/>
    <n v="0.80713189618046655"/>
    <m/>
    <m/>
    <m/>
    <s v=""/>
    <m/>
    <m/>
    <m/>
    <s v="Taux d'IS : 20-24%"/>
    <m/>
    <n v="2602"/>
    <n v="0"/>
    <s v="FR001041198312009"/>
    <s v="FR0010411983"/>
    <n v="1"/>
    <x v="117"/>
    <m/>
    <m/>
    <m/>
  </r>
  <r>
    <m/>
    <m/>
    <m/>
    <m/>
    <m/>
    <x v="1"/>
    <m/>
    <m/>
    <m/>
    <m/>
    <m/>
    <m/>
    <m/>
    <m/>
    <m/>
    <m/>
    <m/>
    <m/>
    <m/>
    <m/>
    <m/>
    <s v=""/>
    <m/>
    <m/>
    <m/>
    <s v="Minoritaires : peu (moins de 3% des capitaux propres)"/>
    <m/>
    <n v="2603"/>
    <n v="0"/>
    <s v="FR00104119831"/>
    <s v="FR0010411983"/>
    <n v="1"/>
    <x v="117"/>
    <m/>
    <m/>
    <m/>
  </r>
  <r>
    <m/>
    <m/>
    <m/>
    <m/>
    <m/>
    <x v="1"/>
    <m/>
    <m/>
    <m/>
    <m/>
    <m/>
    <m/>
    <m/>
    <m/>
    <m/>
    <m/>
    <m/>
    <m/>
    <m/>
    <m/>
    <m/>
    <s v=""/>
    <m/>
    <m/>
    <m/>
    <s v="CAC : KPMG et Mazars"/>
    <m/>
    <n v="2604"/>
    <n v="0"/>
    <s v="FR00104119831"/>
    <s v="FR0010411983"/>
    <n v="1"/>
    <x v="117"/>
    <m/>
    <m/>
    <m/>
  </r>
  <r>
    <m/>
    <m/>
    <m/>
    <m/>
    <m/>
    <x v="1"/>
    <m/>
    <m/>
    <m/>
    <m/>
    <m/>
    <m/>
    <m/>
    <m/>
    <m/>
    <m/>
    <m/>
    <m/>
    <m/>
    <m/>
    <m/>
    <s v=""/>
    <m/>
    <m/>
    <m/>
    <s v="Pay out ratio : 75% mais maintien du dividende en 2017 - 2018 en dépit de la baisse du résultat d'où pay out plus élevé. Dividendes 2020 : 1,80 euros (pay-out : 75%) idem en 2021 avec un dividende de 1,8 euro pour 1,26 euros de BPA (142% de pay-out ratio)"/>
    <m/>
    <n v="2605"/>
    <n v="0"/>
    <s v="FR00104119831"/>
    <s v="FR0010411983"/>
    <n v="1"/>
    <x v="117"/>
    <m/>
    <m/>
    <m/>
  </r>
  <r>
    <m/>
    <m/>
    <m/>
    <m/>
    <m/>
    <x v="1"/>
    <m/>
    <m/>
    <m/>
    <m/>
    <m/>
    <m/>
    <m/>
    <m/>
    <m/>
    <m/>
    <m/>
    <m/>
    <m/>
    <m/>
    <m/>
    <s v=""/>
    <m/>
    <m/>
    <m/>
    <m/>
    <m/>
    <n v="2606"/>
    <n v="0"/>
    <s v="FR00104119831"/>
    <s v="FR0010411983"/>
    <n v="1"/>
    <x v="117"/>
    <m/>
    <m/>
    <m/>
  </r>
  <r>
    <m/>
    <m/>
    <m/>
    <m/>
    <m/>
    <x v="1"/>
    <m/>
    <m/>
    <m/>
    <m/>
    <m/>
    <m/>
    <m/>
    <m/>
    <m/>
    <m/>
    <m/>
    <m/>
    <m/>
    <m/>
    <m/>
    <s v=""/>
    <m/>
    <m/>
    <m/>
    <m/>
    <m/>
    <n v="2607"/>
    <n v="0"/>
    <s v="FR00104119831"/>
    <s v="FR0010411983"/>
    <n v="1"/>
    <x v="117"/>
    <m/>
    <m/>
    <m/>
  </r>
  <r>
    <m/>
    <m/>
    <m/>
    <m/>
    <m/>
    <x v="1"/>
    <m/>
    <m/>
    <m/>
    <m/>
    <m/>
    <m/>
    <m/>
    <m/>
    <m/>
    <m/>
    <m/>
    <m/>
    <m/>
    <m/>
    <m/>
    <s v=""/>
    <m/>
    <m/>
    <m/>
    <m/>
    <m/>
    <n v="2608"/>
    <n v="0"/>
    <s v="FR00104119831"/>
    <s v="FR0010411983"/>
    <n v="1"/>
    <x v="117"/>
    <m/>
    <m/>
    <m/>
  </r>
  <r>
    <s v="Peugeot Invest"/>
    <s v="Holding"/>
    <s v="France"/>
    <s v="Euro"/>
    <n v="100"/>
    <x v="0"/>
    <m/>
    <m/>
    <m/>
    <m/>
    <m/>
    <m/>
    <m/>
    <m/>
    <m/>
    <n v="24922589"/>
    <n v="2492258900"/>
    <n v="0.55000000000000004"/>
    <m/>
    <s v="Non noté"/>
    <m/>
    <s v=""/>
    <m/>
    <m/>
    <m/>
    <s v="Peugeot Invest (ex-FFP) est la holding de la famille Peugeot coté en bourse et détenue principalement par la holding non cotée de la famille Ets Peugeot Frères à 79,98% - Flottant : 20%"/>
    <m/>
    <n v="2609"/>
    <s v="p"/>
    <s v="FR000006478412023"/>
    <s v="FR0000064784"/>
    <n v="1"/>
    <x v="118"/>
    <m/>
    <m/>
    <m/>
  </r>
  <r>
    <m/>
    <m/>
    <m/>
    <m/>
    <m/>
    <x v="1"/>
    <m/>
    <m/>
    <m/>
    <m/>
    <m/>
    <m/>
    <m/>
    <m/>
    <m/>
    <m/>
    <m/>
    <m/>
    <m/>
    <m/>
    <m/>
    <s v=""/>
    <m/>
    <m/>
    <m/>
    <s v="FFP est renommée Peugeot Invest et détient 76,5% de Maillot (renommée Peugeot 1810) qui détient 7,2% de Stellantis et 3,14% de Faurecia. Les 23,5% de Maillot sont détenues par Ets Peugeot Frères"/>
    <m/>
    <n v="2610"/>
    <s v="p"/>
    <s v="FR00000647841"/>
    <s v="FR0000064784"/>
    <n v="1"/>
    <x v="118"/>
    <m/>
    <m/>
    <m/>
  </r>
  <r>
    <m/>
    <m/>
    <m/>
    <m/>
    <n v="89"/>
    <x v="2"/>
    <m/>
    <m/>
    <m/>
    <m/>
    <m/>
    <m/>
    <m/>
    <m/>
    <m/>
    <n v="24922589"/>
    <n v="2218110421"/>
    <n v="0.55000000000000004"/>
    <m/>
    <m/>
    <m/>
    <s v=""/>
    <m/>
    <m/>
    <m/>
    <s v="Les 5,5% de Stellantis valent 2,2 Md euros pour une valeur de Stellantis à 40 Md euros (cours de 14 euros le 3 mars 2021). Stellantis à 50 Md euros début 2022 soit 2,75 Md euros"/>
    <m/>
    <n v="2611"/>
    <s v="p"/>
    <s v="FR000006478412022"/>
    <s v="FR0000064784"/>
    <n v="1"/>
    <x v="118"/>
    <m/>
    <m/>
    <m/>
  </r>
  <r>
    <m/>
    <m/>
    <m/>
    <m/>
    <m/>
    <x v="1"/>
    <m/>
    <m/>
    <m/>
    <m/>
    <m/>
    <m/>
    <m/>
    <m/>
    <m/>
    <m/>
    <m/>
    <m/>
    <m/>
    <m/>
    <m/>
    <s v=""/>
    <m/>
    <m/>
    <m/>
    <s v="Si la valorisation à 18 mois après l'intégration grimpe à 60 Md euros proche de Daimler, le gain sera de 1,1 Md euros pour Peugeot Invest soit 45 euros par action  et à 70 Md euros (Stellantis à 22 euros), soit 720 M euros supplémentaires soit 29 euros et un ANR à 258 euros "/>
    <m/>
    <n v="2612"/>
    <e v="#N/A"/>
    <s v="FR00000647851"/>
    <s v="FR0000064785"/>
    <n v="1"/>
    <x v="118"/>
    <m/>
    <m/>
    <m/>
  </r>
  <r>
    <m/>
    <m/>
    <m/>
    <m/>
    <n v="124"/>
    <x v="3"/>
    <m/>
    <m/>
    <m/>
    <n v="455000000"/>
    <n v="1148000000"/>
    <m/>
    <m/>
    <m/>
    <m/>
    <n v="24922589"/>
    <n v="3090401036"/>
    <n v="0.5"/>
    <m/>
    <m/>
    <m/>
    <s v=""/>
    <m/>
    <m/>
    <m/>
    <s v="Avant la fusion et la naissance de Stellantis, la participation dans Peugeot représentée 28% du holding. Probablement 40% fin 2020 avec un ANR à 190 euros et 50% fin 2021 avec un ANR à 236 euros "/>
    <m/>
    <n v="2613"/>
    <e v="#N/A"/>
    <s v="FR000006478612021"/>
    <s v="FR0000064786"/>
    <n v="1"/>
    <x v="118"/>
    <m/>
    <m/>
    <m/>
  </r>
  <r>
    <m/>
    <m/>
    <m/>
    <m/>
    <m/>
    <x v="1"/>
    <m/>
    <m/>
    <m/>
    <m/>
    <m/>
    <m/>
    <m/>
    <m/>
    <m/>
    <m/>
    <m/>
    <m/>
    <m/>
    <m/>
    <m/>
    <s v=""/>
    <m/>
    <m/>
    <m/>
    <s v="La holding détient des participations (60% de l'actif) dans Seb, Safran, Orpea et des participations dans le private equity et l'immobilier"/>
    <m/>
    <n v="2614"/>
    <e v="#N/A"/>
    <s v="FR00000647871"/>
    <s v="FR0000064787"/>
    <n v="1"/>
    <x v="118"/>
    <m/>
    <m/>
    <m/>
  </r>
  <r>
    <m/>
    <m/>
    <m/>
    <m/>
    <n v="97.5"/>
    <x v="4"/>
    <m/>
    <m/>
    <m/>
    <n v="134000000"/>
    <n v="1023000000"/>
    <m/>
    <m/>
    <m/>
    <m/>
    <n v="24922589"/>
    <n v="2429952427.5"/>
    <m/>
    <m/>
    <m/>
    <m/>
    <s v=""/>
    <m/>
    <m/>
    <m/>
    <s v="En 2020, outre la création et le renforcement dans Stellantis, cession de 1% de Seb à 138,5 euros et de 1,1 M de titres SAFRAN (ancien actionnaire de Zodiac - TRA de 14,4%). Renforcement dans le Private Equity : 270 Meuros"/>
    <m/>
    <n v="2615"/>
    <e v="#N/A"/>
    <s v="FR000006478812020"/>
    <s v="FR0000064788"/>
    <n v="1"/>
    <x v="118"/>
    <m/>
    <m/>
    <m/>
  </r>
  <r>
    <m/>
    <m/>
    <m/>
    <m/>
    <m/>
    <x v="1"/>
    <m/>
    <m/>
    <m/>
    <m/>
    <m/>
    <m/>
    <m/>
    <m/>
    <m/>
    <m/>
    <m/>
    <m/>
    <m/>
    <m/>
    <m/>
    <s v=""/>
    <m/>
    <m/>
    <m/>
    <s v="Les actifs Automibile représente 40% de l'actif brut et probablement 50% à 18 mois. La dette est de 1,023 Md euros soit 18,3% de l'actif brut fin 2020"/>
    <m/>
    <n v="2616"/>
    <e v="#N/A"/>
    <s v="FR00000647891"/>
    <s v="FR0000064789"/>
    <n v="1"/>
    <x v="118"/>
    <m/>
    <m/>
    <m/>
  </r>
  <r>
    <m/>
    <m/>
    <m/>
    <m/>
    <n v="79.599999999999994"/>
    <x v="5"/>
    <m/>
    <m/>
    <m/>
    <n v="131000000"/>
    <m/>
    <m/>
    <m/>
    <m/>
    <m/>
    <m/>
    <m/>
    <m/>
    <m/>
    <m/>
    <m/>
    <s v=""/>
    <m/>
    <m/>
    <m/>
    <s v="Prix cible : ANR à 230 euros (contre 179 euros le 31/12/2020 et au 31/12/2019) décoté de 35 % soit 150 - 153 euros (les 6-8 euros de différence par rapport aux calculs initiaux viennent de la participation dans Faurecia de 3,14% soit 200 Meuros détenue à 76,56% soit 150 M euros principalement)"/>
    <m/>
    <n v="2617"/>
    <e v="#N/A"/>
    <s v="FR000006479012019"/>
    <s v="FR0000064790"/>
    <n v="1"/>
    <x v="118"/>
    <m/>
    <m/>
    <m/>
  </r>
  <r>
    <m/>
    <m/>
    <m/>
    <m/>
    <m/>
    <x v="1"/>
    <m/>
    <m/>
    <m/>
    <m/>
    <m/>
    <m/>
    <m/>
    <m/>
    <m/>
    <m/>
    <m/>
    <m/>
    <m/>
    <m/>
    <m/>
    <s v=""/>
    <m/>
    <m/>
    <m/>
    <s v="En 2021, au 30 juin, ANR à 227,4 euros pour un cours de Stellantis à 16,68 euros (soit 50 Md euros). Possible ANR à 270 euros fin 2022 et un cours de bourse à 175 euros"/>
    <m/>
    <n v="2618"/>
    <e v="#N/A"/>
    <s v="FR00000647911"/>
    <s v="FR0000064791"/>
    <n v="1"/>
    <x v="118"/>
    <m/>
    <m/>
    <m/>
  </r>
  <r>
    <m/>
    <m/>
    <m/>
    <m/>
    <n v="100.3"/>
    <x v="6"/>
    <m/>
    <m/>
    <m/>
    <m/>
    <m/>
    <m/>
    <m/>
    <m/>
    <m/>
    <m/>
    <m/>
    <m/>
    <m/>
    <m/>
    <m/>
    <s v=""/>
    <m/>
    <m/>
    <m/>
    <s v="En 2021, au 31 décembre progression de 35 % des actifs brutes à 7 Md euros et l'actif net à 5,85 Md euros soit 235 euros (Stellantis à 16,6 euros soit 50 Md e). Forte progression de Stellantis, bonne progression du Private Equity (600 - 700 Me de cession et investissement) "/>
    <m/>
    <n v="2619"/>
    <e v="#N/A"/>
    <s v="FR000006479212018"/>
    <s v="FR0000064792"/>
    <n v="1"/>
    <x v="118"/>
    <m/>
    <m/>
    <m/>
  </r>
  <r>
    <m/>
    <m/>
    <m/>
    <m/>
    <m/>
    <x v="1"/>
    <m/>
    <m/>
    <m/>
    <m/>
    <m/>
    <m/>
    <m/>
    <m/>
    <m/>
    <m/>
    <m/>
    <m/>
    <m/>
    <m/>
    <m/>
    <s v=""/>
    <m/>
    <m/>
    <m/>
    <s v="Sur la partie cotée : cession presque totale de Safran, reste Seb, Spie, Orpea et Tikehau "/>
    <m/>
    <n v="2620"/>
    <e v="#N/A"/>
    <s v="FR00000647931"/>
    <s v="FR0000064793"/>
    <n v="1"/>
    <x v="118"/>
    <m/>
    <m/>
    <m/>
  </r>
  <r>
    <m/>
    <m/>
    <m/>
    <m/>
    <n v="74"/>
    <x v="7"/>
    <m/>
    <m/>
    <m/>
    <m/>
    <m/>
    <m/>
    <m/>
    <m/>
    <m/>
    <m/>
    <m/>
    <m/>
    <m/>
    <m/>
    <m/>
    <s v=""/>
    <m/>
    <m/>
    <m/>
    <s v="Loan to value à 17% avec 1,1 Md euros de dettes pour 7 Md euros d'actifs"/>
    <m/>
    <n v="2621"/>
    <e v="#N/A"/>
    <s v="FR000006479412017"/>
    <s v="FR0000064794"/>
    <n v="1"/>
    <x v="118"/>
    <m/>
    <m/>
    <m/>
  </r>
  <r>
    <m/>
    <m/>
    <m/>
    <m/>
    <m/>
    <x v="1"/>
    <m/>
    <m/>
    <m/>
    <m/>
    <m/>
    <m/>
    <m/>
    <m/>
    <m/>
    <m/>
    <m/>
    <m/>
    <m/>
    <m/>
    <m/>
    <s v=""/>
    <m/>
    <m/>
    <m/>
    <s v="Coté partie auto : 43% - coté : 18% soit 61% de coté - Non coté : 38% dont non coté direct : 12% et véhicules d'investissement : 26%  - Liquidités : 1%"/>
    <m/>
    <n v="2622"/>
    <e v="#N/A"/>
    <s v="FR00000647951"/>
    <s v="FR0000064795"/>
    <n v="1"/>
    <x v="118"/>
    <m/>
    <m/>
    <m/>
  </r>
  <r>
    <m/>
    <m/>
    <m/>
    <m/>
    <m/>
    <x v="1"/>
    <m/>
    <m/>
    <m/>
    <m/>
    <m/>
    <m/>
    <m/>
    <m/>
    <m/>
    <m/>
    <m/>
    <m/>
    <m/>
    <m/>
    <m/>
    <s v=""/>
    <m/>
    <m/>
    <m/>
    <s v="En 2022, amélioration en vue avec le non côté et Stellantis. Orpea (impact revu à la hausse à 10 euros contre 6 euros par action). Cession totale des SAFRAN. ANR probable à 270 euros par action en 2024 (gain de 1 Md euros soit 40 euros par action sur la partie automobile) mais peut-être que 250 euros avec les problèmes Orpea, Seb et Faurecia"/>
    <m/>
    <n v="2623"/>
    <e v="#N/A"/>
    <s v="FR00000647961"/>
    <s v="FR0000064796"/>
    <n v="1"/>
    <x v="118"/>
    <m/>
    <m/>
    <m/>
  </r>
  <r>
    <m/>
    <m/>
    <m/>
    <m/>
    <m/>
    <x v="1"/>
    <m/>
    <m/>
    <m/>
    <m/>
    <m/>
    <m/>
    <m/>
    <m/>
    <m/>
    <m/>
    <m/>
    <m/>
    <m/>
    <m/>
    <m/>
    <s v=""/>
    <m/>
    <m/>
    <m/>
    <s v="En 2023, partie auto, potentiel intact de Stellantis, + 1 Md euros (40 euros par action) par contre Orpea, perte totale de 350 M euros (soit 14 euros par action). Actif net potentiel : 5,8 Md soit 232 euros "/>
    <m/>
    <n v="2624"/>
    <e v="#N/A"/>
    <s v="FR00000647971"/>
    <s v="FR0000064797"/>
    <n v="1"/>
    <x v="118"/>
    <m/>
    <m/>
    <m/>
  </r>
  <r>
    <m/>
    <m/>
    <m/>
    <m/>
    <m/>
    <x v="1"/>
    <m/>
    <m/>
    <m/>
    <m/>
    <m/>
    <m/>
    <m/>
    <m/>
    <m/>
    <m/>
    <m/>
    <m/>
    <m/>
    <m/>
    <m/>
    <s v=""/>
    <m/>
    <m/>
    <m/>
    <s v="Cession de la participation dans Tikehau (autour de 26 euros) pour 1,8% du capital soit 81 Me et investissement dans Concordia suite à l'offre de retrait de Rothschild &amp; Co pour 5% du capital soit 165 Me. Opération créatrice de valeur vu la rentabilité de Rothschild &amp; Co (4-5 euros par action potentiellement) "/>
    <m/>
    <n v="2625"/>
    <e v="#N/A"/>
    <s v="FR00000647981"/>
    <s v="FR0000064798"/>
    <n v="1"/>
    <x v="118"/>
    <m/>
    <m/>
    <m/>
  </r>
  <r>
    <m/>
    <m/>
    <m/>
    <m/>
    <m/>
    <x v="1"/>
    <m/>
    <m/>
    <m/>
    <m/>
    <m/>
    <m/>
    <m/>
    <m/>
    <m/>
    <m/>
    <m/>
    <m/>
    <m/>
    <m/>
    <m/>
    <s v=""/>
    <m/>
    <m/>
    <m/>
    <s v="Pay-out ratio : 15% (dividende de 2,65 euros par action)"/>
    <m/>
    <n v="2626"/>
    <e v="#N/A"/>
    <s v="FR00000647991"/>
    <s v="FR0000064799"/>
    <n v="1"/>
    <x v="118"/>
    <m/>
    <m/>
    <m/>
  </r>
  <r>
    <m/>
    <m/>
    <m/>
    <m/>
    <m/>
    <x v="1"/>
    <m/>
    <m/>
    <m/>
    <m/>
    <m/>
    <m/>
    <m/>
    <m/>
    <m/>
    <m/>
    <m/>
    <m/>
    <m/>
    <m/>
    <m/>
    <s v=""/>
    <m/>
    <m/>
    <m/>
    <s v="CAC : Mazars et SEC3"/>
    <m/>
    <n v="2627"/>
    <e v="#N/A"/>
    <s v="FR00000648001"/>
    <s v="FR0000064800"/>
    <n v="1"/>
    <x v="118"/>
    <m/>
    <m/>
    <m/>
  </r>
  <r>
    <m/>
    <m/>
    <m/>
    <m/>
    <m/>
    <x v="1"/>
    <m/>
    <m/>
    <m/>
    <m/>
    <m/>
    <m/>
    <m/>
    <m/>
    <m/>
    <m/>
    <m/>
    <m/>
    <m/>
    <m/>
    <m/>
    <s v=""/>
    <m/>
    <m/>
    <m/>
    <m/>
    <m/>
    <n v="2628"/>
    <e v="#N/A"/>
    <s v="FR00000648011"/>
    <s v="FR0000064801"/>
    <n v="1"/>
    <x v="118"/>
    <m/>
    <m/>
    <m/>
  </r>
  <r>
    <m/>
    <m/>
    <m/>
    <m/>
    <m/>
    <x v="1"/>
    <m/>
    <m/>
    <m/>
    <m/>
    <m/>
    <m/>
    <m/>
    <m/>
    <m/>
    <m/>
    <m/>
    <m/>
    <m/>
    <m/>
    <m/>
    <s v=""/>
    <m/>
    <m/>
    <m/>
    <m/>
    <m/>
    <n v="2629"/>
    <e v="#N/A"/>
    <s v="FR00000648021"/>
    <s v="FR0000064802"/>
    <n v="1"/>
    <x v="118"/>
    <m/>
    <m/>
    <m/>
  </r>
  <r>
    <m/>
    <m/>
    <m/>
    <m/>
    <m/>
    <x v="1"/>
    <m/>
    <m/>
    <m/>
    <m/>
    <m/>
    <m/>
    <m/>
    <m/>
    <m/>
    <m/>
    <m/>
    <m/>
    <m/>
    <m/>
    <m/>
    <s v=""/>
    <m/>
    <m/>
    <m/>
    <m/>
    <m/>
    <n v="2630"/>
    <e v="#N/A"/>
    <s v="FR00000648031"/>
    <s v="FR0000064803"/>
    <n v="1"/>
    <x v="118"/>
    <m/>
    <m/>
    <m/>
  </r>
  <r>
    <s v="Stellantis"/>
    <s v="Automobiles"/>
    <s v="Europe"/>
    <s v="Euro"/>
    <m/>
    <x v="0"/>
    <m/>
    <m/>
    <m/>
    <m/>
    <m/>
    <m/>
    <m/>
    <m/>
    <m/>
    <m/>
    <m/>
    <m/>
    <m/>
    <m/>
    <m/>
    <s v=""/>
    <m/>
    <m/>
    <m/>
    <m/>
    <m/>
    <n v="2631"/>
    <n v="0"/>
    <s v="NL00150001Q912023"/>
    <s v="NL00150001Q9"/>
    <n v="1"/>
    <x v="119"/>
    <m/>
    <m/>
    <m/>
  </r>
  <r>
    <m/>
    <m/>
    <m/>
    <m/>
    <m/>
    <x v="1"/>
    <m/>
    <m/>
    <m/>
    <m/>
    <m/>
    <m/>
    <m/>
    <m/>
    <m/>
    <m/>
    <m/>
    <m/>
    <m/>
    <m/>
    <m/>
    <s v=""/>
    <m/>
    <m/>
    <m/>
    <m/>
    <m/>
    <n v="2632"/>
    <n v="0"/>
    <s v="NL00150001Q91"/>
    <s v="NL00150001Q9"/>
    <n v="1"/>
    <x v="119"/>
    <m/>
    <m/>
    <m/>
  </r>
  <r>
    <m/>
    <m/>
    <m/>
    <m/>
    <n v="13.27"/>
    <x v="2"/>
    <n v="158203760000"/>
    <n v="19000000000"/>
    <n v="15820376000"/>
    <n v="14000000000"/>
    <n v="-22000000000"/>
    <n v="70000000000"/>
    <n v="22.881170888351654"/>
    <n v="0.2"/>
    <n v="0.23071381666666665"/>
    <n v="3059284000"/>
    <n v="40596698680"/>
    <n v="0.57995283828571431"/>
    <n v="0.9787736147368421"/>
    <s v="BBB/ Stable"/>
    <n v="281595"/>
    <n v="561813.10037465149"/>
    <m/>
    <m/>
    <m/>
    <s v="Fusion à 50/50 avec FiatChrysler le 16 janvier 2021. La famille Agnelli détiend 14,4%, Peugeot 7,2% (option pour racheter à Dongfeng), BPI : 6% et Dongfeng : 3,1% (suite à une cession de 1,2% en septembre 2021 à 16,5 euros de l'ensemble et janvier 2022 à 18 euros de 1,3% du capital). "/>
    <m/>
    <n v="2633"/>
    <n v="0"/>
    <s v="NL00150001Q912022"/>
    <s v="NL00150001Q9"/>
    <n v="1"/>
    <x v="119"/>
    <m/>
    <m/>
    <m/>
  </r>
  <r>
    <m/>
    <m/>
    <m/>
    <m/>
    <m/>
    <x v="1"/>
    <n v="4.0000000000000036E-2"/>
    <n v="6.5799068828181984E-2"/>
    <n v="3.4079090136610146E-2"/>
    <m/>
    <m/>
    <m/>
    <m/>
    <m/>
    <m/>
    <m/>
    <m/>
    <m/>
    <m/>
    <s v="Relévé de BBB- à BBB"/>
    <m/>
    <s v=""/>
    <m/>
    <m/>
    <m/>
    <s v="Clause stand bill pendant 7 ans. Peugeot peut racheter 2,5% sur trois à BPI ou Dongfeng. "/>
    <m/>
    <n v="2634"/>
    <n v="0"/>
    <s v="NL00150001Q91"/>
    <s v="NL00150001Q9"/>
    <n v="1"/>
    <x v="119"/>
    <m/>
    <m/>
    <m/>
  </r>
  <r>
    <m/>
    <m/>
    <m/>
    <m/>
    <n v="16.600000000000001"/>
    <x v="3"/>
    <n v="152119000000"/>
    <n v="17827000000"/>
    <n v="15299000000"/>
    <n v="14344000000"/>
    <n v="-19090000000"/>
    <n v="55907000000"/>
    <n v="18.274537440786798"/>
    <n v="0.25656894485484821"/>
    <n v="0.29087921340685008"/>
    <n v="3059284000"/>
    <n v="50784114400.000008"/>
    <n v="0.90836772497182838"/>
    <n v="1.7778714534133622"/>
    <s v="le 21/3/2022"/>
    <n v="281595"/>
    <n v="540204.90420639573"/>
    <n v="6072000000"/>
    <m/>
    <m/>
    <s v="Tavares (né en 1958) sera le directeur général (mandat 2021-2026) et John Elkann (né en 1976) le président du CA"/>
    <m/>
    <n v="2635"/>
    <n v="0"/>
    <s v="NL00150001Q912021"/>
    <s v="NL00150001Q9"/>
    <n v="1"/>
    <x v="119"/>
    <m/>
    <m/>
    <m/>
  </r>
  <r>
    <m/>
    <m/>
    <m/>
    <m/>
    <m/>
    <x v="1"/>
    <n v="0.13183779761904768"/>
    <n v="0.93267562879444932"/>
    <n v="1.1547887323943664"/>
    <m/>
    <m/>
    <m/>
    <m/>
    <m/>
    <m/>
    <m/>
    <m/>
    <m/>
    <m/>
    <m/>
    <m/>
    <s v=""/>
    <m/>
    <m/>
    <m/>
    <s v="Distibution des 46% de Faurecia (17 Md euros de CA en moins et 1,2 Md euros d'EBE en moins) à tous les actionnaires et un dividende de 2,9 Md euros aux actionnaires de Fiat"/>
    <m/>
    <n v="2636"/>
    <n v="0"/>
    <s v="NL00150001Q91"/>
    <s v="NL00150001Q9"/>
    <n v="1"/>
    <x v="119"/>
    <m/>
    <m/>
    <m/>
  </r>
  <r>
    <m/>
    <m/>
    <m/>
    <m/>
    <m/>
    <x v="4"/>
    <n v="134400000000"/>
    <n v="9224000000"/>
    <n v="7100000000"/>
    <m/>
    <n v="-11506000000"/>
    <n v="21293000000"/>
    <m/>
    <m/>
    <m/>
    <m/>
    <m/>
    <m/>
    <m/>
    <m/>
    <m/>
    <s v=""/>
    <m/>
    <m/>
    <m/>
    <s v="14 Marques : Fiat, Lancia, Maserati, Alfa Romeo, Jeep, Chrysler, Dodge, Peugeot, Citroën, DS, Opel, Vauxhall"/>
    <m/>
    <n v="2637"/>
    <n v="0"/>
    <s v="NL00150001Q912020"/>
    <s v="NL00150001Q9"/>
    <n v="1"/>
    <x v="119"/>
    <m/>
    <m/>
    <m/>
  </r>
  <r>
    <m/>
    <m/>
    <m/>
    <m/>
    <m/>
    <x v="1"/>
    <m/>
    <m/>
    <m/>
    <m/>
    <m/>
    <m/>
    <m/>
    <m/>
    <m/>
    <m/>
    <m/>
    <m/>
    <m/>
    <m/>
    <m/>
    <s v=""/>
    <m/>
    <m/>
    <m/>
    <s v="Numéro 4 mondial et 3 en chiffre d'affaires : 8,7 Millions de véhicules vendus. 46% du CA en Europe et 43% aux États-Unis"/>
    <m/>
    <n v="2638"/>
    <n v="0"/>
    <s v="NL00150001Q91"/>
    <s v="NL00150001Q9"/>
    <n v="1"/>
    <x v="119"/>
    <m/>
    <m/>
    <m/>
  </r>
  <r>
    <m/>
    <m/>
    <m/>
    <m/>
    <m/>
    <x v="1"/>
    <m/>
    <m/>
    <m/>
    <m/>
    <m/>
    <m/>
    <m/>
    <m/>
    <m/>
    <m/>
    <m/>
    <m/>
    <m/>
    <m/>
    <m/>
    <s v=""/>
    <m/>
    <m/>
    <m/>
    <s v="170 Md euros de CA (sans Magnetti pour Fiat et sans Faurecia pour Peugeot et hors synergies base 2018) pour 400 000 salariés soit 425 K euros par salarié"/>
    <m/>
    <n v="2639"/>
    <n v="0"/>
    <s v="NL00150001Q91"/>
    <s v="NL00150001Q9"/>
    <n v="1"/>
    <x v="119"/>
    <m/>
    <m/>
    <m/>
  </r>
  <r>
    <m/>
    <m/>
    <m/>
    <m/>
    <m/>
    <x v="1"/>
    <m/>
    <m/>
    <m/>
    <m/>
    <m/>
    <m/>
    <m/>
    <m/>
    <m/>
    <m/>
    <m/>
    <m/>
    <m/>
    <m/>
    <m/>
    <s v=""/>
    <m/>
    <m/>
    <m/>
    <s v="2 grandes plates-formes de 3 M de voitures par an"/>
    <m/>
    <n v="2640"/>
    <n v="0"/>
    <s v="NL00150001Q91"/>
    <s v="NL00150001Q9"/>
    <n v="1"/>
    <x v="119"/>
    <m/>
    <m/>
    <m/>
  </r>
  <r>
    <m/>
    <m/>
    <m/>
    <m/>
    <m/>
    <x v="1"/>
    <m/>
    <m/>
    <m/>
    <m/>
    <m/>
    <m/>
    <m/>
    <m/>
    <m/>
    <m/>
    <m/>
    <m/>
    <m/>
    <m/>
    <m/>
    <s v=""/>
    <m/>
    <m/>
    <m/>
    <s v="5 Md euros de synergie après fusion, 11 Md de résultat opérationnel, 8,5 Md de rex et résultat net 6,5 Md euros. Création de valeur"/>
    <m/>
    <n v="2641"/>
    <n v="0"/>
    <s v="NL00150001Q91"/>
    <s v="NL00150001Q9"/>
    <n v="1"/>
    <x v="119"/>
    <m/>
    <m/>
    <m/>
  </r>
  <r>
    <m/>
    <m/>
    <m/>
    <m/>
    <m/>
    <x v="1"/>
    <m/>
    <m/>
    <m/>
    <m/>
    <m/>
    <m/>
    <m/>
    <m/>
    <m/>
    <m/>
    <m/>
    <m/>
    <m/>
    <m/>
    <m/>
    <s v=""/>
    <m/>
    <m/>
    <m/>
    <s v="6,8 Md euros R&amp;D"/>
    <m/>
    <n v="2642"/>
    <n v="0"/>
    <s v="NL00150001Q91"/>
    <s v="NL00150001Q9"/>
    <n v="1"/>
    <x v="119"/>
    <m/>
    <m/>
    <m/>
  </r>
  <r>
    <m/>
    <m/>
    <m/>
    <m/>
    <m/>
    <x v="1"/>
    <m/>
    <m/>
    <m/>
    <m/>
    <m/>
    <m/>
    <m/>
    <m/>
    <m/>
    <m/>
    <m/>
    <m/>
    <m/>
    <m/>
    <m/>
    <s v=""/>
    <m/>
    <m/>
    <m/>
    <s v="Michael Manley ancien de Fiat Chrysler restera en charge de l'Amérique du Nord de Stellantis. "/>
    <m/>
    <n v="2643"/>
    <n v="0"/>
    <s v="NL00150001Q91"/>
    <s v="NL00150001Q9"/>
    <n v="1"/>
    <x v="119"/>
    <m/>
    <m/>
    <m/>
  </r>
  <r>
    <m/>
    <m/>
    <m/>
    <m/>
    <m/>
    <x v="1"/>
    <m/>
    <m/>
    <m/>
    <m/>
    <m/>
    <m/>
    <m/>
    <m/>
    <m/>
    <m/>
    <m/>
    <m/>
    <m/>
    <m/>
    <m/>
    <s v=""/>
    <m/>
    <m/>
    <m/>
    <s v="En 2021, excellents résultats au premier semestre, intégration réussie et objectifs de réduction coûts revus à la hausse avec une marge d'exploitation à 10%"/>
    <m/>
    <n v="2644"/>
    <n v="0"/>
    <s v="NL00150001Q91"/>
    <s v="NL00150001Q9"/>
    <n v="1"/>
    <x v="119"/>
    <m/>
    <m/>
    <m/>
  </r>
  <r>
    <m/>
    <m/>
    <m/>
    <m/>
    <m/>
    <x v="1"/>
    <m/>
    <m/>
    <m/>
    <m/>
    <m/>
    <m/>
    <m/>
    <m/>
    <m/>
    <m/>
    <m/>
    <m/>
    <m/>
    <m/>
    <m/>
    <s v=""/>
    <m/>
    <m/>
    <m/>
    <s v="En septembre 2021, Dongfeng cède 1,2% de Stellantis à 16,65 euros soit 600 Millions d'euros "/>
    <m/>
    <n v="2645"/>
    <n v="0"/>
    <s v="NL00150001Q91"/>
    <s v="NL00150001Q9"/>
    <n v="1"/>
    <x v="119"/>
    <m/>
    <m/>
    <m/>
  </r>
  <r>
    <m/>
    <m/>
    <m/>
    <m/>
    <m/>
    <x v="1"/>
    <m/>
    <m/>
    <m/>
    <m/>
    <m/>
    <m/>
    <m/>
    <m/>
    <m/>
    <m/>
    <m/>
    <m/>
    <m/>
    <m/>
    <m/>
    <s v=""/>
    <m/>
    <m/>
    <m/>
    <s v="En septembre 2021, départ de Mike Manley chez un distributeur automobile en Floride. Remplacement interne"/>
    <m/>
    <n v="2646"/>
    <n v="0"/>
    <s v="NL00150001Q91"/>
    <s v="NL00150001Q9"/>
    <n v="1"/>
    <x v="119"/>
    <m/>
    <m/>
    <m/>
  </r>
  <r>
    <m/>
    <m/>
    <m/>
    <m/>
    <m/>
    <x v="1"/>
    <m/>
    <m/>
    <m/>
    <m/>
    <m/>
    <m/>
    <m/>
    <m/>
    <m/>
    <m/>
    <m/>
    <m/>
    <m/>
    <m/>
    <m/>
    <s v=""/>
    <m/>
    <m/>
    <m/>
    <s v="En octobre, activité en retrait à cause de la pénurie de semi-conducteurs"/>
    <m/>
    <n v="2647"/>
    <n v="0"/>
    <s v="NL00150001Q91"/>
    <s v="NL00150001Q9"/>
    <n v="1"/>
    <x v="119"/>
    <m/>
    <m/>
    <m/>
  </r>
  <r>
    <m/>
    <m/>
    <m/>
    <m/>
    <m/>
    <x v="1"/>
    <m/>
    <m/>
    <m/>
    <m/>
    <m/>
    <m/>
    <m/>
    <m/>
    <m/>
    <m/>
    <m/>
    <m/>
    <m/>
    <m/>
    <m/>
    <s v=""/>
    <m/>
    <m/>
    <m/>
    <s v="En 2021 excellents avec 6,05 Millions de véhicules vendus, la sortie de 10 nouveaux modèles et une présence mondiale malgré des ventes au 2S en baisse à 3 M contre 3,6 M en 2S20. "/>
    <m/>
    <n v="2648"/>
    <n v="0"/>
    <s v="NL00150001Q91"/>
    <s v="NL00150001Q9"/>
    <n v="1"/>
    <x v="119"/>
    <m/>
    <m/>
    <m/>
  </r>
  <r>
    <m/>
    <m/>
    <m/>
    <m/>
    <m/>
    <x v="1"/>
    <m/>
    <m/>
    <m/>
    <m/>
    <m/>
    <m/>
    <m/>
    <m/>
    <m/>
    <m/>
    <m/>
    <m/>
    <m/>
    <m/>
    <m/>
    <s v=""/>
    <m/>
    <m/>
    <m/>
    <s v="15 Md de Rex.(10% de marge) 10 Md euros en investissement (électrification, nouveaux modèles..) d’où free cash flow à 6 Md euros"/>
    <m/>
    <n v="2649"/>
    <n v="0"/>
    <s v="NL00150001Q91"/>
    <s v="NL00150001Q9"/>
    <n v="1"/>
    <x v="119"/>
    <m/>
    <m/>
    <m/>
  </r>
  <r>
    <m/>
    <m/>
    <m/>
    <m/>
    <m/>
    <x v="1"/>
    <m/>
    <m/>
    <m/>
    <m/>
    <m/>
    <m/>
    <m/>
    <m/>
    <m/>
    <m/>
    <m/>
    <m/>
    <m/>
    <m/>
    <m/>
    <s v=""/>
    <m/>
    <m/>
    <m/>
    <s v="En 2022, progression attendue de 3% (États-Unis et Europe) à 5% (Asie) avec une marge d'exploitation à 10%. Dongfeng cède à 18,3 euros 1,28% du capital soit 730 M euros"/>
    <m/>
    <n v="2650"/>
    <n v="0"/>
    <s v="NL00150001Q91"/>
    <s v="NL00150001Q9"/>
    <n v="1"/>
    <x v="119"/>
    <m/>
    <m/>
    <m/>
  </r>
  <r>
    <m/>
    <m/>
    <m/>
    <m/>
    <m/>
    <x v="1"/>
    <m/>
    <m/>
    <m/>
    <m/>
    <m/>
    <m/>
    <m/>
    <m/>
    <m/>
    <m/>
    <m/>
    <m/>
    <m/>
    <m/>
    <m/>
    <s v=""/>
    <m/>
    <m/>
    <m/>
    <m/>
    <m/>
    <n v="2651"/>
    <n v="0"/>
    <s v="NL00150001Q91"/>
    <s v="NL00150001Q9"/>
    <n v="1"/>
    <x v="119"/>
    <m/>
    <m/>
    <m/>
  </r>
  <r>
    <m/>
    <m/>
    <m/>
    <m/>
    <m/>
    <x v="1"/>
    <m/>
    <m/>
    <m/>
    <m/>
    <m/>
    <m/>
    <m/>
    <m/>
    <m/>
    <m/>
    <m/>
    <m/>
    <m/>
    <m/>
    <m/>
    <s v=""/>
    <m/>
    <m/>
    <m/>
    <s v="Minoritaire : aucun"/>
    <m/>
    <n v="2652"/>
    <n v="0"/>
    <s v="NL00150001Q91"/>
    <s v="NL00150001Q9"/>
    <n v="1"/>
    <x v="119"/>
    <m/>
    <m/>
    <m/>
  </r>
  <r>
    <m/>
    <m/>
    <m/>
    <m/>
    <m/>
    <x v="1"/>
    <m/>
    <m/>
    <m/>
    <m/>
    <m/>
    <m/>
    <m/>
    <m/>
    <m/>
    <m/>
    <m/>
    <m/>
    <m/>
    <m/>
    <m/>
    <s v=""/>
    <m/>
    <m/>
    <m/>
    <s v="CAC : "/>
    <m/>
    <n v="2653"/>
    <n v="0"/>
    <s v="NL00150001Q91"/>
    <s v="NL00150001Q9"/>
    <n v="1"/>
    <x v="119"/>
    <m/>
    <m/>
    <m/>
  </r>
  <r>
    <s v="Peugeot"/>
    <s v="Automobiles"/>
    <s v="France"/>
    <s v="Euro"/>
    <n v="22.27"/>
    <x v="4"/>
    <n v="60734000000"/>
    <n v="3685000000"/>
    <n v="3054000000"/>
    <n v="2173000000"/>
    <n v="-3000000000"/>
    <n v="19000000000"/>
    <n v="20.998461063680384"/>
    <n v="0.11436842105263158"/>
    <n v="0.1336125"/>
    <n v="904828213"/>
    <n v="20150524303.509998"/>
    <n v="1.0605539107110526"/>
    <n v="4.6541449941682496"/>
    <s v="BBB- / Négative"/>
    <m/>
    <s v=""/>
    <m/>
    <m/>
    <m/>
    <s v="Fondée en 1810"/>
    <m/>
    <n v="2654"/>
    <e v="#N/A"/>
    <s v="Peugeot12020"/>
    <s v="Peugeot"/>
    <n v="1"/>
    <x v="120"/>
    <m/>
    <m/>
    <m/>
  </r>
  <r>
    <m/>
    <m/>
    <m/>
    <m/>
    <m/>
    <x v="1"/>
    <n v="-0.18729844375158899"/>
    <n v="-0.41729917773561043"/>
    <n v="-0.34575835475578409"/>
    <n v="-0.32114964073726959"/>
    <m/>
    <m/>
    <m/>
    <m/>
    <m/>
    <m/>
    <m/>
    <m/>
    <m/>
    <m/>
    <m/>
    <s v=""/>
    <m/>
    <m/>
    <m/>
    <s v="Famille Peugeot actionnaire à 12,28% puis 14% suite à des rachats et 25,3% avant la crise de 2012 et l'entrée de l'État français et Dongfeng. Plus de 40% en 1987"/>
    <m/>
    <n v="2655"/>
    <e v="#N/A"/>
    <s v="1"/>
    <m/>
    <n v="1"/>
    <x v="120"/>
    <m/>
    <m/>
    <m/>
  </r>
  <r>
    <m/>
    <m/>
    <m/>
    <m/>
    <n v="20"/>
    <x v="5"/>
    <n v="74731000000"/>
    <n v="6324000000"/>
    <n v="4668000000"/>
    <n v="3201000000"/>
    <n v="-7914000000"/>
    <n v="18409000000"/>
    <n v="20.345298406383797"/>
    <n v="0.1738823401597045"/>
    <n v="0.31134826107670321"/>
    <n v="904828213"/>
    <n v="18096564260"/>
    <n v="0.98302809821283066"/>
    <n v="1.6101461511701454"/>
    <m/>
    <m/>
    <s v=""/>
    <m/>
    <m/>
    <m/>
    <s v="Carlos Tavares (né en 1958) président du directoire de PSA, depuis le 1er avril 2014. Fin de mandat 2021. Il possède 196 000 actions. "/>
    <m/>
    <n v="2656"/>
    <e v="#N/A"/>
    <s v="12019"/>
    <m/>
    <n v="1"/>
    <x v="120"/>
    <m/>
    <m/>
    <m/>
  </r>
  <r>
    <m/>
    <m/>
    <m/>
    <m/>
    <m/>
    <x v="1"/>
    <n v="9.5100436327286708E-3"/>
    <n v="0.11161891369309185"/>
    <n v="6.0909090909090802E-2"/>
    <n v="0.13229571984435795"/>
    <m/>
    <m/>
    <m/>
    <m/>
    <m/>
    <m/>
    <m/>
    <m/>
    <m/>
    <m/>
    <m/>
    <s v=""/>
    <m/>
    <m/>
    <m/>
    <s v="Louis Gallois, président du CA qu'il quitte à la création de Stellantis"/>
    <m/>
    <n v="2657"/>
    <e v="#N/A"/>
    <s v="1"/>
    <m/>
    <n v="1"/>
    <x v="120"/>
    <m/>
    <m/>
    <m/>
  </r>
  <r>
    <m/>
    <m/>
    <m/>
    <m/>
    <n v="18.100000000000001"/>
    <x v="6"/>
    <n v="74027000000"/>
    <n v="5689000000"/>
    <n v="4400000000"/>
    <n v="2827000000"/>
    <n v="-9098000000"/>
    <n v="16450000000"/>
    <n v="18.180246552502226"/>
    <n v="0.17185410334346504"/>
    <n v="0.41893362350380847"/>
    <n v="904828213"/>
    <n v="16377390655.300001"/>
    <n v="0.99558605807294842"/>
    <n v="1.2795553973105995"/>
    <m/>
    <m/>
    <s v=""/>
    <m/>
    <m/>
    <m/>
    <s v="Rachat d'Opel en juin 2017 pour 1,3 Md euros à General Motors (détenue depuis 1929). 18,5 Md euros de CA et 34 000 salariés (529 K euros par salarié) rex : 850 M euros"/>
    <m/>
    <n v="2658"/>
    <e v="#N/A"/>
    <s v="12018"/>
    <m/>
    <n v="1"/>
    <x v="120"/>
    <m/>
    <m/>
    <m/>
  </r>
  <r>
    <m/>
    <m/>
    <m/>
    <m/>
    <m/>
    <x v="1"/>
    <n v="0.13520932372335537"/>
    <n v="0.42545727887747442"/>
    <n v="0.42533203757693561"/>
    <n v="0.46933471933471926"/>
    <m/>
    <m/>
    <m/>
    <m/>
    <m/>
    <m/>
    <m/>
    <m/>
    <m/>
    <m/>
    <m/>
    <s v=""/>
    <m/>
    <m/>
    <m/>
    <s v="62 modèles. 3,7 Millions de voitures vendues en 2019. 78% du chiffre d'affaire est fait en Europe. Chine (JV Dongfeng et Changang), Amérique Latine et Afrique Moyen-Orient. Rien aux États-Unis. 16,8% de part de marché. Offre 100% électrique en 2025"/>
    <m/>
    <n v="2659"/>
    <e v="#N/A"/>
    <s v="1"/>
    <m/>
    <n v="1"/>
    <x v="120"/>
    <m/>
    <m/>
    <m/>
  </r>
  <r>
    <m/>
    <m/>
    <m/>
    <m/>
    <n v="16.899999999999999"/>
    <x v="7"/>
    <n v="65210000000"/>
    <n v="3991000000"/>
    <n v="3087000000"/>
    <n v="1924000000"/>
    <n v="-6194000000"/>
    <n v="13914000000"/>
    <n v="15.377504591581518"/>
    <n v="0.13827799338795457"/>
    <n v="0.27990932642487049"/>
    <n v="904828213"/>
    <n v="15291596799.699999"/>
    <n v="1.0990079631809688"/>
    <n v="2.2795281382360306"/>
    <m/>
    <m/>
    <s v=""/>
    <m/>
    <m/>
    <m/>
    <s v="Marché mature (même CA 2017 que 2012). Amélioration de l'efficacité plus Opel et un peu de volume"/>
    <m/>
    <n v="2660"/>
    <e v="#N/A"/>
    <s v="12017"/>
    <m/>
    <n v="1"/>
    <x v="120"/>
    <m/>
    <m/>
    <m/>
  </r>
  <r>
    <m/>
    <m/>
    <m/>
    <m/>
    <m/>
    <x v="1"/>
    <n v="0.20692208032574499"/>
    <n v="0.233693972179289"/>
    <n v="0.18230563002680955"/>
    <n v="0.11213872832369942"/>
    <m/>
    <m/>
    <m/>
    <m/>
    <m/>
    <m/>
    <m/>
    <m/>
    <m/>
    <m/>
    <m/>
    <s v=""/>
    <m/>
    <m/>
    <m/>
    <s v="Levé de capitaux publique de 1 Md euros soit 8,33 l'action, levée de capitaux privé pour Dongfeng et l'État français en 2014"/>
    <m/>
    <n v="2661"/>
    <e v="#N/A"/>
    <s v="1"/>
    <m/>
    <n v="1"/>
    <x v="120"/>
    <m/>
    <m/>
    <m/>
  </r>
  <r>
    <m/>
    <m/>
    <m/>
    <m/>
    <n v="15.5"/>
    <x v="8"/>
    <n v="54030000000"/>
    <n v="3235000000"/>
    <n v="2611000000"/>
    <n v="1730000000"/>
    <n v="-6813000000"/>
    <n v="12035000000"/>
    <n v="14.011702385224263"/>
    <n v="0.14374740340673037"/>
    <n v="0.35"/>
    <n v="858924895"/>
    <n v="13313335872.5"/>
    <n v="1.106218186331533"/>
    <n v="2.0093773948995364"/>
    <m/>
    <m/>
    <s v=""/>
    <m/>
    <m/>
    <m/>
    <s v="Banque PSA (JV à 50/50 avec Santander et BNP Paribas) : 2 Md euros et 1 Md euros de résultat opérationel avec 1,15 million de contrats et un coût du risque de 0,21% en 2019 avant crise. Coût du risque à 0,37% en 2020 pour PSA"/>
    <m/>
    <n v="2662"/>
    <e v="#N/A"/>
    <s v="12016"/>
    <m/>
    <n v="1"/>
    <x v="120"/>
    <m/>
    <m/>
    <m/>
  </r>
  <r>
    <m/>
    <m/>
    <m/>
    <m/>
    <m/>
    <x v="1"/>
    <n v="-1.1815055966054588E-2"/>
    <n v="0.18368093669959751"/>
    <n v="0.32135627530364363"/>
    <n v="0.92436040044493883"/>
    <m/>
    <m/>
    <m/>
    <m/>
    <m/>
    <m/>
    <m/>
    <m/>
    <m/>
    <m/>
    <m/>
    <s v=""/>
    <m/>
    <m/>
    <m/>
    <s v="Création de ACC avec Total pour la fabrication de batteries en 2020"/>
    <m/>
    <n v="2663"/>
    <e v="#N/A"/>
    <s v="1"/>
    <m/>
    <n v="1"/>
    <x v="120"/>
    <m/>
    <m/>
    <m/>
  </r>
  <r>
    <m/>
    <m/>
    <m/>
    <m/>
    <n v="16.3"/>
    <x v="9"/>
    <n v="54676000000"/>
    <n v="2733000000"/>
    <n v="1976000000"/>
    <n v="899000000"/>
    <n v="-4560000000"/>
    <n v="9985000000"/>
    <n v="12.348544269752578"/>
    <n v="9.0035052578868305E-2"/>
    <n v="0.25496774193548388"/>
    <n v="808597336"/>
    <n v="13180136576.800001"/>
    <n v="1.3199936481522285"/>
    <n v="3.1540931492133191"/>
    <m/>
    <m/>
    <s v=""/>
    <m/>
    <m/>
    <m/>
    <s v="208 780 employés chiffre d'affaire par salarié : 357 941 euros"/>
    <m/>
    <n v="2664"/>
    <e v="#N/A"/>
    <s v="12015"/>
    <m/>
    <n v="1"/>
    <x v="120"/>
    <m/>
    <m/>
    <m/>
  </r>
  <r>
    <m/>
    <m/>
    <m/>
    <m/>
    <m/>
    <x v="1"/>
    <n v="1.9941425560094705E-2"/>
    <n v="2.0198895027624308"/>
    <n v="7.8609865470852025"/>
    <n v="-2.273371104815864"/>
    <m/>
    <m/>
    <m/>
    <m/>
    <m/>
    <m/>
    <m/>
    <m/>
    <m/>
    <m/>
    <m/>
    <s v=""/>
    <m/>
    <m/>
    <m/>
    <s v="Perte de contrôle de Faurecia après la fusion, donc des parts aux actionnaires"/>
    <m/>
    <n v="2665"/>
    <e v="#N/A"/>
    <s v="1"/>
    <m/>
    <n v="1"/>
    <x v="120"/>
    <m/>
    <m/>
    <m/>
  </r>
  <r>
    <m/>
    <m/>
    <m/>
    <m/>
    <n v="10.199999999999999"/>
    <x v="10"/>
    <n v="53607000000"/>
    <n v="905000000"/>
    <n v="223000000"/>
    <n v="-706000000"/>
    <n v="-548000000"/>
    <n v="8784000000"/>
    <n v="11.21712046212391"/>
    <n v="-8.0373406193078326E-2"/>
    <n v="1.8953375424963576E-2"/>
    <n v="783088675"/>
    <n v="7987504484.999999"/>
    <n v="0.90932428107923491"/>
    <n v="8.2204469447513802"/>
    <m/>
    <m/>
    <s v=""/>
    <m/>
    <m/>
    <m/>
    <s v="PSA distribura ses 46% d'actions de Faurecia (23% aux actionnaires de PSA et 23% aux actionnaires de FCA) et FCA 2,9 Md euros à ses actionnaires"/>
    <m/>
    <n v="2666"/>
    <e v="#N/A"/>
    <s v="12014"/>
    <m/>
    <n v="1"/>
    <x v="120"/>
    <m/>
    <m/>
    <m/>
  </r>
  <r>
    <m/>
    <m/>
    <m/>
    <m/>
    <m/>
    <x v="1"/>
    <n v="-2.3551912568306022E-2"/>
    <n v="-6.1129943502824862"/>
    <n v="-1.1656760772659733"/>
    <n v="-0.6952956409149762"/>
    <m/>
    <m/>
    <m/>
    <m/>
    <m/>
    <m/>
    <m/>
    <m/>
    <m/>
    <m/>
    <m/>
    <s v=""/>
    <m/>
    <m/>
    <m/>
    <s v="Les actionnaires PSA receveront 1,742 actions de la nouvelle entité par action PSA et les actionnaires de FCA 1 action par action FCA"/>
    <m/>
    <n v="2667"/>
    <e v="#N/A"/>
    <s v="1"/>
    <m/>
    <n v="1"/>
    <x v="120"/>
    <m/>
    <m/>
    <m/>
  </r>
  <r>
    <m/>
    <m/>
    <m/>
    <m/>
    <n v="7.8"/>
    <x v="11"/>
    <n v="54900000000"/>
    <n v="-177000000"/>
    <n v="-1346000000"/>
    <n v="-2317000000"/>
    <n v="4148000000"/>
    <n v="6878000000"/>
    <n v="19.382892878557197"/>
    <n v="-0.33687118348357081"/>
    <n v="-8.5452566660620344E-2"/>
    <n v="354848992"/>
    <n v="2767822137.5999999"/>
    <n v="0.40241671090433262"/>
    <n v="-39.072441455367233"/>
    <m/>
    <m/>
    <s v=""/>
    <m/>
    <m/>
    <m/>
    <s v="Cession de 3,3% du capital de PSA groupe détenue par Dong Feng à PSA groupe"/>
    <m/>
    <n v="2668"/>
    <e v="#N/A"/>
    <s v="12013"/>
    <m/>
    <n v="1"/>
    <x v="120"/>
    <m/>
    <m/>
    <m/>
  </r>
  <r>
    <m/>
    <m/>
    <m/>
    <m/>
    <m/>
    <x v="1"/>
    <n v="-9.8474191104859221E-3"/>
    <n v="-0.68392857142857144"/>
    <n v="-0.71251601879538651"/>
    <n v="-0.53734025559105425"/>
    <m/>
    <m/>
    <m/>
    <m/>
    <m/>
    <m/>
    <m/>
    <m/>
    <m/>
    <m/>
    <m/>
    <s v=""/>
    <m/>
    <m/>
    <m/>
    <s v="12,5% de minoritaire"/>
    <m/>
    <n v="2669"/>
    <e v="#N/A"/>
    <s v="1"/>
    <m/>
    <n v="1"/>
    <x v="120"/>
    <m/>
    <m/>
    <m/>
  </r>
  <r>
    <m/>
    <m/>
    <m/>
    <m/>
    <n v="4.5"/>
    <x v="12"/>
    <n v="55446000000"/>
    <n v="-560000000"/>
    <n v="-4682000000"/>
    <n v="-5008000000"/>
    <n v="3148000000"/>
    <n v="9463000000"/>
    <n v="26.667681783917818"/>
    <n v="-0.52921906372186411"/>
    <n v="-0.25988422805487271"/>
    <n v="354848992"/>
    <n v="1596820464"/>
    <n v="0.16874357645566945"/>
    <n v="-8.4728936857142862"/>
    <m/>
    <m/>
    <s v=""/>
    <m/>
    <m/>
    <m/>
    <s v="CAC : Ernst &amp; Young et Mazars"/>
    <m/>
    <n v="2670"/>
    <e v="#N/A"/>
    <s v="12012"/>
    <m/>
    <n v="1"/>
    <x v="120"/>
    <m/>
    <m/>
    <m/>
  </r>
  <r>
    <m/>
    <m/>
    <m/>
    <m/>
    <m/>
    <x v="1"/>
    <m/>
    <m/>
    <m/>
    <m/>
    <m/>
    <m/>
    <m/>
    <m/>
    <m/>
    <m/>
    <m/>
    <m/>
    <m/>
    <m/>
    <m/>
    <s v=""/>
    <m/>
    <m/>
    <m/>
    <s v="Pay-out  ratio : 21,7%"/>
    <m/>
    <n v="2671"/>
    <e v="#N/A"/>
    <s v="1"/>
    <m/>
    <n v="1"/>
    <x v="120"/>
    <m/>
    <m/>
    <m/>
  </r>
  <r>
    <m/>
    <m/>
    <m/>
    <m/>
    <m/>
    <x v="1"/>
    <m/>
    <m/>
    <m/>
    <m/>
    <m/>
    <m/>
    <m/>
    <m/>
    <m/>
    <m/>
    <m/>
    <m/>
    <m/>
    <m/>
    <m/>
    <s v=""/>
    <m/>
    <m/>
    <m/>
    <s v="À fin septembre 2020, ventes à -37%"/>
    <m/>
    <n v="2672"/>
    <e v="#N/A"/>
    <s v="1"/>
    <m/>
    <n v="1"/>
    <x v="120"/>
    <m/>
    <m/>
    <m/>
  </r>
  <r>
    <m/>
    <m/>
    <m/>
    <m/>
    <m/>
    <x v="1"/>
    <m/>
    <m/>
    <m/>
    <m/>
    <m/>
    <m/>
    <m/>
    <m/>
    <m/>
    <m/>
    <m/>
    <m/>
    <m/>
    <m/>
    <m/>
    <s v=""/>
    <m/>
    <m/>
    <m/>
    <m/>
    <m/>
    <n v="2673"/>
    <e v="#N/A"/>
    <s v="1"/>
    <m/>
    <n v="1"/>
    <x v="120"/>
    <m/>
    <m/>
    <m/>
  </r>
  <r>
    <m/>
    <m/>
    <m/>
    <m/>
    <m/>
    <x v="1"/>
    <m/>
    <m/>
    <m/>
    <m/>
    <m/>
    <m/>
    <m/>
    <m/>
    <m/>
    <m/>
    <m/>
    <m/>
    <m/>
    <m/>
    <m/>
    <s v=""/>
    <m/>
    <m/>
    <m/>
    <m/>
    <m/>
    <n v="2674"/>
    <e v="#N/A"/>
    <s v="1"/>
    <m/>
    <n v="1"/>
    <x v="120"/>
    <m/>
    <m/>
    <m/>
  </r>
  <r>
    <m/>
    <m/>
    <m/>
    <m/>
    <m/>
    <x v="1"/>
    <m/>
    <m/>
    <m/>
    <m/>
    <m/>
    <m/>
    <m/>
    <m/>
    <m/>
    <m/>
    <m/>
    <m/>
    <m/>
    <m/>
    <m/>
    <s v=""/>
    <m/>
    <m/>
    <m/>
    <m/>
    <m/>
    <n v="2675"/>
    <e v="#N/A"/>
    <s v="1"/>
    <m/>
    <n v="1"/>
    <x v="120"/>
    <m/>
    <m/>
    <m/>
  </r>
  <r>
    <s v="Fiat Chrysler Automobiles"/>
    <s v="Automobiles"/>
    <s v="Italie"/>
    <s v="Euro"/>
    <m/>
    <x v="4"/>
    <n v="86676000000"/>
    <m/>
    <n v="3742000000"/>
    <n v="1561000000"/>
    <m/>
    <m/>
    <m/>
    <m/>
    <m/>
    <m/>
    <m/>
    <m/>
    <m/>
    <s v="BB+ positive"/>
    <m/>
    <s v=""/>
    <m/>
    <m/>
    <m/>
    <s v="Fondée en 1899 et détenue à 28,66% par Exor (holding de la famille Agnelli qui détient Fiat, CNH, Juventus de Turin et Partner Ré - 23 Md euros d'actifs net à fin 2019 - Cours d'Exor à 40% de l'actif net)"/>
    <m/>
    <n v="2676"/>
    <e v="#N/A"/>
    <s v="Fiat Chrysler Automobiles12020"/>
    <s v="Fiat Chrysler Automobiles"/>
    <n v="1"/>
    <x v="121"/>
    <m/>
    <m/>
    <m/>
  </r>
  <r>
    <m/>
    <m/>
    <m/>
    <m/>
    <m/>
    <x v="1"/>
    <m/>
    <m/>
    <m/>
    <m/>
    <m/>
    <m/>
    <m/>
    <m/>
    <m/>
    <m/>
    <m/>
    <m/>
    <m/>
    <m/>
    <m/>
    <s v=""/>
    <m/>
    <m/>
    <m/>
    <s v="Fusion de Fiat et de Chrysler (marque Chrysler, Dodge et Jeep en janvier 2014). Cours de Fiat à 5 euros"/>
    <m/>
    <n v="2677"/>
    <e v="#N/A"/>
    <s v="1"/>
    <m/>
    <n v="1"/>
    <x v="121"/>
    <m/>
    <m/>
    <m/>
  </r>
  <r>
    <m/>
    <m/>
    <m/>
    <m/>
    <n v="14.66"/>
    <x v="5"/>
    <n v="108187000000"/>
    <n v="2700000000"/>
    <n v="4021000000"/>
    <n v="6622000000"/>
    <n v="-2313000000"/>
    <n v="28537000000"/>
    <n v="14.562968093443743"/>
    <n v="0.23204961979184918"/>
    <n v="0.10733297742525931"/>
    <n v="1959559330"/>
    <n v="28727139777.799999"/>
    <n v="1.0066629210428566"/>
    <n v="9.7830147325185184"/>
    <m/>
    <m/>
    <s v=""/>
    <m/>
    <m/>
    <m/>
    <s v="70% du chiffre d'affaire est fait en Amérique du nord, 10% en Europe"/>
    <m/>
    <n v="2678"/>
    <e v="#N/A"/>
    <s v="12019"/>
    <m/>
    <n v="1"/>
    <x v="121"/>
    <m/>
    <m/>
    <m/>
  </r>
  <r>
    <m/>
    <m/>
    <m/>
    <m/>
    <m/>
    <x v="1"/>
    <n v="-2.015179509473608E-2"/>
    <n v="-0.18918918918918914"/>
    <n v="-2.1178188899707906E-2"/>
    <n v="0.83536585365853666"/>
    <m/>
    <m/>
    <m/>
    <m/>
    <m/>
    <m/>
    <m/>
    <m/>
    <m/>
    <m/>
    <m/>
    <s v=""/>
    <m/>
    <m/>
    <m/>
    <s v="Fiat possède 6% des parts de marché en Europe"/>
    <m/>
    <n v="2679"/>
    <e v="#N/A"/>
    <s v="1"/>
    <m/>
    <n v="1"/>
    <x v="121"/>
    <m/>
    <m/>
    <m/>
  </r>
  <r>
    <m/>
    <m/>
    <m/>
    <m/>
    <n v="12.4"/>
    <x v="6"/>
    <n v="110412000000"/>
    <n v="3330000000"/>
    <n v="4108000000"/>
    <n v="3608000000"/>
    <n v="2078000000"/>
    <n v="24702000000"/>
    <n v="12.605891118414338"/>
    <n v="0.14606104768844627"/>
    <n v="0.10737864077669904"/>
    <n v="1959560000"/>
    <n v="24298544000"/>
    <n v="0.98366707149218691"/>
    <n v="7.9208840840840837"/>
    <m/>
    <m/>
    <s v=""/>
    <m/>
    <m/>
    <m/>
    <s v="États-Unis font 54% des volumes de vente et 100% de l'Ebit"/>
    <m/>
    <n v="2680"/>
    <e v="#N/A"/>
    <s v="12018"/>
    <m/>
    <n v="1"/>
    <x v="121"/>
    <m/>
    <m/>
    <m/>
  </r>
  <r>
    <m/>
    <m/>
    <m/>
    <m/>
    <m/>
    <x v="1"/>
    <n v="-4.7055005679051964E-3"/>
    <n v="-5.1282051282051322E-2"/>
    <n v="-0.33322512579126762"/>
    <n v="3.3514752219994337E-2"/>
    <m/>
    <m/>
    <m/>
    <m/>
    <m/>
    <m/>
    <m/>
    <m/>
    <m/>
    <m/>
    <m/>
    <s v=""/>
    <m/>
    <m/>
    <m/>
    <s v="4% du CA en R&amp;D"/>
    <m/>
    <n v="2681"/>
    <e v="#N/A"/>
    <s v="1"/>
    <m/>
    <n v="1"/>
    <x v="121"/>
    <m/>
    <m/>
    <m/>
  </r>
  <r>
    <m/>
    <m/>
    <m/>
    <m/>
    <n v="14.9"/>
    <x v="7"/>
    <n v="110934000000"/>
    <n v="3510000000"/>
    <n v="6161000000"/>
    <n v="3491000000"/>
    <n v="5222000000"/>
    <n v="20819000000"/>
    <n v="10.681712768184411"/>
    <n v="0.16768336615591528"/>
    <n v="0.16561191966514344"/>
    <n v="1949032000"/>
    <n v="29040576800"/>
    <n v="1.3949073826792833"/>
    <n v="9.7614178917378922"/>
    <m/>
    <m/>
    <s v=""/>
    <m/>
    <m/>
    <m/>
    <s v="4,4 Millions de voitures vendues, 1 500 euros par véhicule d'Ebit"/>
    <m/>
    <n v="2682"/>
    <e v="#N/A"/>
    <s v="12017"/>
    <m/>
    <n v="1"/>
    <x v="121"/>
    <m/>
    <m/>
    <m/>
  </r>
  <r>
    <m/>
    <m/>
    <m/>
    <m/>
    <m/>
    <x v="1"/>
    <n v="-7.5663405934167649E-4"/>
    <n v="0.93495038588754142"/>
    <n v="0.98358016741790077"/>
    <n v="0.93621741541874659"/>
    <m/>
    <m/>
    <m/>
    <m/>
    <m/>
    <m/>
    <m/>
    <m/>
    <m/>
    <m/>
    <m/>
    <s v=""/>
    <m/>
    <m/>
    <m/>
    <s v="191 752 salariés soit 500 K euros par salarié"/>
    <m/>
    <n v="2683"/>
    <e v="#N/A"/>
    <s v="1"/>
    <m/>
    <n v="1"/>
    <x v="121"/>
    <m/>
    <m/>
    <m/>
  </r>
  <r>
    <m/>
    <m/>
    <m/>
    <m/>
    <n v="8.6"/>
    <x v="8"/>
    <n v="111018000000"/>
    <n v="1814000000"/>
    <n v="3106000000"/>
    <n v="1803000000"/>
    <n v="6730000000"/>
    <n v="19168000000"/>
    <n v="9.8961850537041514"/>
    <n v="9.4063021702838062E-2"/>
    <n v="8.3952428758977529E-2"/>
    <n v="1936908000"/>
    <n v="16657408800"/>
    <n v="0.86902174457429049"/>
    <n v="12.892728114663727"/>
    <m/>
    <m/>
    <s v=""/>
    <m/>
    <m/>
    <m/>
    <s v="Profits élevés aux États-Unis (75% du CA - 100% Ebit). Perte de 200 M $ de Maserati (20 000 exemplaires)"/>
    <m/>
    <n v="2684"/>
    <e v="#N/A"/>
    <s v="12016"/>
    <m/>
    <n v="1"/>
    <x v="121"/>
    <m/>
    <m/>
    <m/>
  </r>
  <r>
    <m/>
    <m/>
    <m/>
    <m/>
    <m/>
    <x v="1"/>
    <n v="3.8247660382475512E-3"/>
    <n v="18.50537634408602"/>
    <n v="10.992277992277993"/>
    <n v="4.3982035928143715"/>
    <m/>
    <m/>
    <m/>
    <m/>
    <m/>
    <m/>
    <m/>
    <m/>
    <m/>
    <m/>
    <m/>
    <s v=""/>
    <m/>
    <m/>
    <m/>
    <s v="Cession de Magneti Marelli en 2019 pour 6 Md euros à CK Holdings. Recentrage terminé sur la conception/fabrication/vente de voitures"/>
    <m/>
    <n v="2685"/>
    <e v="#N/A"/>
    <s v="1"/>
    <m/>
    <n v="1"/>
    <x v="121"/>
    <m/>
    <m/>
    <m/>
  </r>
  <r>
    <m/>
    <m/>
    <m/>
    <m/>
    <n v="13"/>
    <x v="9"/>
    <n v="110595000000"/>
    <n v="93000000"/>
    <n v="259000000"/>
    <n v="334000000"/>
    <n v="7124000000"/>
    <n v="16092000000"/>
    <n v="9.4776011279829522"/>
    <n v="2.0755654983842905E-2"/>
    <n v="7.8092694693314953E-3"/>
    <n v="1697898000"/>
    <n v="22072674000"/>
    <n v="1.3716551081282624"/>
    <n v="313.94273118279568"/>
    <m/>
    <m/>
    <s v=""/>
    <m/>
    <m/>
    <m/>
    <s v="Michael Manley reste chez Stellantis, en charge de l'Amérique du Nord et du Sud"/>
    <m/>
    <n v="2686"/>
    <e v="#N/A"/>
    <s v="12015"/>
    <m/>
    <n v="1"/>
    <x v="121"/>
    <m/>
    <m/>
    <m/>
  </r>
  <r>
    <m/>
    <m/>
    <m/>
    <m/>
    <m/>
    <x v="1"/>
    <n v="0.15095223228223542"/>
    <n v="-0.85284810126582278"/>
    <n v="-0.77976190476190477"/>
    <n v="-0.4119718309859155"/>
    <m/>
    <m/>
    <m/>
    <m/>
    <m/>
    <m/>
    <m/>
    <m/>
    <m/>
    <m/>
    <m/>
    <s v=""/>
    <m/>
    <m/>
    <m/>
    <s v="Pas de minoritaires mais 400M de spécial voting shares"/>
    <m/>
    <n v="2687"/>
    <e v="#N/A"/>
    <s v="1"/>
    <m/>
    <n v="1"/>
    <x v="121"/>
    <m/>
    <m/>
    <m/>
  </r>
  <r>
    <m/>
    <m/>
    <m/>
    <m/>
    <n v="9.6"/>
    <x v="10"/>
    <n v="96090000000"/>
    <n v="632000000"/>
    <n v="1176000000"/>
    <n v="568000000"/>
    <n v="10884000000"/>
    <n v="13425000000"/>
    <n v="7.9256798521248202"/>
    <n v="4.2309124767225328E-2"/>
    <n v="3.3864000987288659E-2"/>
    <n v="1693861000"/>
    <n v="16261065600"/>
    <n v="1.2112525586592178"/>
    <n v="42.95105316455696"/>
    <m/>
    <m/>
    <s v=""/>
    <m/>
    <m/>
    <m/>
    <s v="CAC : EY"/>
    <m/>
    <n v="2688"/>
    <e v="#N/A"/>
    <s v="12014"/>
    <m/>
    <n v="1"/>
    <x v="121"/>
    <m/>
    <m/>
    <m/>
  </r>
  <r>
    <m/>
    <m/>
    <m/>
    <m/>
    <m/>
    <x v="1"/>
    <n v="0.10927687476911707"/>
    <n v="-0.67606355715017941"/>
    <n v="0.15862068965517251"/>
    <n v="-0.37168141592920356"/>
    <m/>
    <m/>
    <m/>
    <m/>
    <m/>
    <m/>
    <m/>
    <m/>
    <m/>
    <m/>
    <m/>
    <s v=""/>
    <m/>
    <m/>
    <m/>
    <m/>
    <m/>
    <n v="2689"/>
    <e v="#N/A"/>
    <s v="1"/>
    <m/>
    <n v="1"/>
    <x v="121"/>
    <m/>
    <m/>
    <m/>
  </r>
  <r>
    <m/>
    <m/>
    <m/>
    <m/>
    <m/>
    <x v="11"/>
    <n v="86624000000"/>
    <n v="1951000000"/>
    <n v="1015000000"/>
    <n v="904000000"/>
    <n v="10828000000"/>
    <n v="8326000000"/>
    <n v="4.9153974263531657"/>
    <n v="0.1085755464809032"/>
    <n v="3.7094079565625979E-2"/>
    <n v="1693861000"/>
    <n v="0"/>
    <n v="0"/>
    <n v="5.5499743721168633"/>
    <m/>
    <m/>
    <s v=""/>
    <m/>
    <m/>
    <m/>
    <m/>
    <m/>
    <n v="2690"/>
    <e v="#N/A"/>
    <s v="12013"/>
    <m/>
    <n v="1"/>
    <x v="121"/>
    <m/>
    <m/>
    <m/>
  </r>
  <r>
    <m/>
    <m/>
    <m/>
    <m/>
    <m/>
    <x v="1"/>
    <m/>
    <m/>
    <m/>
    <m/>
    <m/>
    <m/>
    <m/>
    <m/>
    <m/>
    <m/>
    <m/>
    <m/>
    <m/>
    <m/>
    <m/>
    <s v=""/>
    <m/>
    <m/>
    <m/>
    <m/>
    <m/>
    <n v="2691"/>
    <e v="#N/A"/>
    <s v="1"/>
    <m/>
    <n v="1"/>
    <x v="121"/>
    <m/>
    <m/>
    <m/>
  </r>
  <r>
    <m/>
    <m/>
    <m/>
    <m/>
    <m/>
    <x v="1"/>
    <m/>
    <m/>
    <m/>
    <m/>
    <m/>
    <m/>
    <m/>
    <m/>
    <m/>
    <m/>
    <m/>
    <m/>
    <m/>
    <m/>
    <m/>
    <s v=""/>
    <m/>
    <m/>
    <m/>
    <m/>
    <m/>
    <n v="2692"/>
    <e v="#N/A"/>
    <s v="1"/>
    <m/>
    <n v="1"/>
    <x v="121"/>
    <m/>
    <m/>
    <m/>
  </r>
  <r>
    <m/>
    <m/>
    <m/>
    <m/>
    <m/>
    <x v="1"/>
    <m/>
    <m/>
    <m/>
    <m/>
    <m/>
    <m/>
    <m/>
    <m/>
    <m/>
    <m/>
    <m/>
    <m/>
    <m/>
    <m/>
    <m/>
    <s v=""/>
    <m/>
    <m/>
    <m/>
    <m/>
    <m/>
    <n v="2693"/>
    <e v="#N/A"/>
    <s v="1"/>
    <m/>
    <n v="1"/>
    <x v="121"/>
    <m/>
    <m/>
    <m/>
  </r>
  <r>
    <s v="Mercedes-Benz"/>
    <s v="Automobiles"/>
    <s v="Allemagne"/>
    <s v="Euro"/>
    <m/>
    <x v="0"/>
    <m/>
    <m/>
    <m/>
    <m/>
    <m/>
    <m/>
    <m/>
    <m/>
    <m/>
    <m/>
    <m/>
    <m/>
    <m/>
    <m/>
    <m/>
    <s v=""/>
    <m/>
    <m/>
    <m/>
    <m/>
    <m/>
    <n v="2694"/>
    <n v="0"/>
    <s v="DE000710000012023"/>
    <s v="DE0007100000"/>
    <n v="1"/>
    <x v="122"/>
    <m/>
    <m/>
    <m/>
  </r>
  <r>
    <m/>
    <m/>
    <m/>
    <m/>
    <m/>
    <x v="1"/>
    <m/>
    <m/>
    <m/>
    <m/>
    <m/>
    <m/>
    <m/>
    <m/>
    <m/>
    <m/>
    <m/>
    <m/>
    <m/>
    <m/>
    <m/>
    <s v=""/>
    <m/>
    <m/>
    <m/>
    <m/>
    <m/>
    <n v="2695"/>
    <n v="0"/>
    <s v="DE00071000001"/>
    <s v="DE0007100000"/>
    <n v="1"/>
    <x v="122"/>
    <m/>
    <m/>
    <m/>
  </r>
  <r>
    <m/>
    <m/>
    <m/>
    <m/>
    <n v="61.4"/>
    <x v="2"/>
    <m/>
    <m/>
    <m/>
    <m/>
    <m/>
    <m/>
    <m/>
    <m/>
    <m/>
    <m/>
    <m/>
    <m/>
    <m/>
    <s v="A-"/>
    <m/>
    <s v=""/>
    <m/>
    <m/>
    <m/>
    <s v="Fondé en 1926"/>
    <m/>
    <n v="2696"/>
    <n v="0"/>
    <s v="DE000710000012022"/>
    <s v="DE0007100000"/>
    <n v="1"/>
    <x v="122"/>
    <m/>
    <m/>
    <m/>
  </r>
  <r>
    <m/>
    <m/>
    <m/>
    <m/>
    <m/>
    <x v="1"/>
    <m/>
    <m/>
    <m/>
    <m/>
    <m/>
    <m/>
    <m/>
    <m/>
    <m/>
    <m/>
    <m/>
    <m/>
    <m/>
    <m/>
    <m/>
    <s v=""/>
    <m/>
    <m/>
    <m/>
    <s v="Dr. Manfred Bischoff né en 1942 est l'actuel président depuis 2006 jusqu'en 2021"/>
    <m/>
    <n v="2697"/>
    <n v="0"/>
    <s v="DE00071000001"/>
    <s v="DE0007100000"/>
    <n v="1"/>
    <x v="122"/>
    <m/>
    <m/>
    <m/>
  </r>
  <r>
    <m/>
    <m/>
    <m/>
    <m/>
    <n v="67.59"/>
    <x v="3"/>
    <n v="170000000000"/>
    <m/>
    <n v="17400000000"/>
    <n v="10000000000"/>
    <n v="-12000000000"/>
    <n v="61344000000"/>
    <n v="57.341559169938307"/>
    <n v="0.16301512780386021"/>
    <n v="0.24683852140077822"/>
    <n v="1069800000"/>
    <n v="72307782000"/>
    <n v="1.1787262323943661"/>
    <e v="#DIV/0!"/>
    <m/>
    <m/>
    <s v=""/>
    <n v="8500000000"/>
    <m/>
    <m/>
    <s v="Ola Källenius né en 1969, CEO depuis 2020"/>
    <m/>
    <n v="2698"/>
    <n v="0"/>
    <s v="DE000710000012021"/>
    <s v="DE0007100000"/>
    <n v="1"/>
    <x v="122"/>
    <m/>
    <m/>
    <m/>
  </r>
  <r>
    <m/>
    <m/>
    <m/>
    <m/>
    <m/>
    <x v="1"/>
    <n v="0.2301369070016499"/>
    <m/>
    <n v="7.6999999999999993"/>
    <n v="19"/>
    <m/>
    <m/>
    <m/>
    <m/>
    <m/>
    <m/>
    <m/>
    <m/>
    <m/>
    <m/>
    <m/>
    <s v=""/>
    <m/>
    <m/>
    <m/>
    <s v="Actionnaire : 9,7% Tenaciou3 Prospect Investement Limited, 6,8% Koweit investement authority, 5% BAIC group, 3,1% Renault Nissan, 21,3% d'investisseurs particuliers et 54% d'investisseur classique"/>
    <m/>
    <n v="2699"/>
    <n v="0"/>
    <s v="DE00071000001"/>
    <s v="DE0007100000"/>
    <n v="1"/>
    <x v="122"/>
    <m/>
    <m/>
    <m/>
  </r>
  <r>
    <m/>
    <m/>
    <m/>
    <m/>
    <n v="57.79"/>
    <x v="4"/>
    <n v="138196000000"/>
    <m/>
    <n v="2000000000"/>
    <n v="500000000"/>
    <n v="-12000000000"/>
    <n v="61344000000"/>
    <n v="57.341559169938307"/>
    <n v="8.1507563901930102E-3"/>
    <n v="2.8372243839169909E-2"/>
    <n v="1069800000"/>
    <n v="61823742000"/>
    <n v="1.007820520344288"/>
    <e v="#DIV/0!"/>
    <m/>
    <m/>
    <s v=""/>
    <m/>
    <m/>
    <m/>
    <s v="35% du CA est réalisé en Europe, 26% en Amérique du Nord, 23% en Asie et 16% dans le reste du monde"/>
    <m/>
    <n v="2700"/>
    <n v="0"/>
    <s v="DE000710000012020"/>
    <s v="DE0007100000"/>
    <n v="1"/>
    <x v="122"/>
    <m/>
    <m/>
    <m/>
  </r>
  <r>
    <m/>
    <m/>
    <m/>
    <m/>
    <m/>
    <x v="1"/>
    <n v="-0.19999999999999996"/>
    <m/>
    <n v="-0.53799953799953792"/>
    <n v="-0.81543004798818752"/>
    <m/>
    <m/>
    <m/>
    <m/>
    <m/>
    <m/>
    <m/>
    <m/>
    <m/>
    <m/>
    <m/>
    <s v=""/>
    <m/>
    <m/>
    <m/>
    <s v="3,34 millions de véhicules vendus en 2019"/>
    <m/>
    <n v="2701"/>
    <n v="0"/>
    <s v="DE00071000001"/>
    <s v="DE0007100000"/>
    <n v="1"/>
    <x v="122"/>
    <m/>
    <m/>
    <m/>
  </r>
  <r>
    <m/>
    <m/>
    <m/>
    <m/>
    <n v="48.9"/>
    <x v="5"/>
    <n v="172745000000"/>
    <m/>
    <n v="4329000000"/>
    <n v="2709000000"/>
    <n v="-11000000000"/>
    <n v="61344000000"/>
    <n v="57.341559169938307"/>
    <n v="4.4160798122065727E-2"/>
    <n v="6.0191879866518354E-2"/>
    <n v="1069800000"/>
    <n v="52313220000"/>
    <n v="0.85278462441314551"/>
    <e v="#DIV/0!"/>
    <m/>
    <m/>
    <s v=""/>
    <m/>
    <m/>
    <m/>
    <s v="298 665 salariés soit 578 K euros par salarié"/>
    <m/>
    <n v="2702"/>
    <n v="0"/>
    <s v="DE000710000012019"/>
    <s v="DE0007100000"/>
    <n v="1"/>
    <x v="122"/>
    <m/>
    <m/>
    <m/>
  </r>
  <r>
    <m/>
    <m/>
    <m/>
    <m/>
    <m/>
    <x v="1"/>
    <n v="3.2163812573941408E-2"/>
    <m/>
    <n v="-0.61112109234638878"/>
    <n v="-0.64270640991822736"/>
    <m/>
    <m/>
    <m/>
    <m/>
    <m/>
    <m/>
    <m/>
    <m/>
    <m/>
    <m/>
    <m/>
    <s v=""/>
    <m/>
    <m/>
    <m/>
    <s v="3 entités : Mercedes-Benz Cars 52% du CA, Mercedes-Benz Vans 8% du CA, Daimler Trucks 21% du CA, Daimler Buses 3% du CA et Daimler Mobility 16% du CA"/>
    <m/>
    <n v="2703"/>
    <n v="0"/>
    <s v="DE00071000001"/>
    <s v="DE0007100000"/>
    <n v="1"/>
    <x v="122"/>
    <m/>
    <m/>
    <m/>
  </r>
  <r>
    <m/>
    <m/>
    <m/>
    <m/>
    <n v="70.599999999999994"/>
    <x v="6"/>
    <n v="167362000000"/>
    <m/>
    <n v="11132000000"/>
    <n v="7582000000"/>
    <n v="-16300000000"/>
    <n v="64667000000"/>
    <n v="60.447747242475231"/>
    <n v="0.11724681831536951"/>
    <n v="0.16110984762337957"/>
    <n v="1069800000"/>
    <n v="75527880000"/>
    <n v="1.1679508868510986"/>
    <e v="#DIV/0!"/>
    <m/>
    <m/>
    <s v=""/>
    <m/>
    <m/>
    <m/>
    <s v="Amende de 870 M d'euros pour non respect des consignes sur l'émission de pollution des véhicules diesel"/>
    <m/>
    <n v="2704"/>
    <n v="0"/>
    <s v="DE000710000012018"/>
    <s v="DE0007100000"/>
    <n v="1"/>
    <x v="122"/>
    <m/>
    <m/>
    <m/>
  </r>
  <r>
    <m/>
    <m/>
    <m/>
    <m/>
    <m/>
    <x v="1"/>
    <n v="1.845067851274873E-2"/>
    <m/>
    <n v="-0.24179267129818827"/>
    <n v="-0.30209867452135497"/>
    <m/>
    <m/>
    <m/>
    <m/>
    <m/>
    <m/>
    <m/>
    <m/>
    <m/>
    <m/>
    <m/>
    <s v=""/>
    <m/>
    <m/>
    <m/>
    <s v="En 2021, scission de la partie camion nommée Daimler Truck le 10 décembre. Daimler conserve 35% de Daimler Truck et sera rebaptisé Mercedes Benz. Deux divisions : voitures et mobilité"/>
    <m/>
    <n v="2705"/>
    <n v="0"/>
    <s v="DE00071000001"/>
    <s v="DE0007100000"/>
    <n v="1"/>
    <x v="122"/>
    <m/>
    <m/>
    <m/>
  </r>
  <r>
    <m/>
    <m/>
    <m/>
    <m/>
    <n v="70.400000000000006"/>
    <x v="7"/>
    <n v="164330000000"/>
    <m/>
    <n v="14682000000"/>
    <n v="10864000000"/>
    <n v="-16600000000"/>
    <n v="64023000000"/>
    <n v="59.845765563656755"/>
    <n v="0.16968901800915295"/>
    <n v="0.21671762646816944"/>
    <n v="1069800000"/>
    <n v="75313920000"/>
    <n v="1.1763572466144978"/>
    <e v="#DIV/0!"/>
    <m/>
    <m/>
    <s v=""/>
    <m/>
    <m/>
    <m/>
    <s v="À horizon 2026, les ventes de la partie Luxe pourrait progresser de 60% et la marge d'exploitation pourrait atteindre 14%"/>
    <m/>
    <n v="2706"/>
    <n v="0"/>
    <s v="DE000710000012017"/>
    <s v="DE0007100000"/>
    <n v="1"/>
    <x v="122"/>
    <m/>
    <m/>
    <m/>
  </r>
  <r>
    <m/>
    <m/>
    <m/>
    <m/>
    <m/>
    <x v="1"/>
    <n v="7.222320094479362E-2"/>
    <m/>
    <n v="0.137963106495117"/>
    <n v="0.2367941712204007"/>
    <m/>
    <m/>
    <m/>
    <m/>
    <m/>
    <m/>
    <m/>
    <m/>
    <m/>
    <m/>
    <m/>
    <s v=""/>
    <m/>
    <m/>
    <m/>
    <s v="Minoritaire : 2%"/>
    <m/>
    <n v="2707"/>
    <n v="0"/>
    <s v="DE00071000001"/>
    <s v="DE0007100000"/>
    <n v="1"/>
    <x v="122"/>
    <m/>
    <m/>
    <m/>
  </r>
  <r>
    <m/>
    <m/>
    <m/>
    <m/>
    <n v="77.599999999999994"/>
    <x v="8"/>
    <n v="153261000000"/>
    <m/>
    <n v="12902000000"/>
    <n v="8784000000"/>
    <n v="-19700000000"/>
    <n v="57950000000"/>
    <n v="54.16900355206581"/>
    <n v="0.15157894736842106"/>
    <n v="0.23611503267973857"/>
    <n v="1069800000"/>
    <n v="83016480000"/>
    <n v="1.4325535806729939"/>
    <e v="#DIV/0!"/>
    <m/>
    <m/>
    <s v=""/>
    <m/>
    <m/>
    <m/>
    <s v="CAC : KPMG (un seul CAC en Allemagne)"/>
    <m/>
    <n v="2708"/>
    <n v="0"/>
    <s v="DE000710000012016"/>
    <s v="DE0007100000"/>
    <n v="1"/>
    <x v="122"/>
    <m/>
    <m/>
    <m/>
  </r>
  <r>
    <m/>
    <m/>
    <m/>
    <m/>
    <m/>
    <x v="1"/>
    <m/>
    <m/>
    <m/>
    <m/>
    <m/>
    <m/>
    <m/>
    <m/>
    <m/>
    <m/>
    <m/>
    <m/>
    <m/>
    <m/>
    <m/>
    <s v=""/>
    <m/>
    <m/>
    <m/>
    <s v="Pay-out ratio : "/>
    <m/>
    <n v="2709"/>
    <n v="0"/>
    <s v="DE00071000001"/>
    <s v="DE0007100000"/>
    <n v="1"/>
    <x v="122"/>
    <m/>
    <m/>
    <m/>
  </r>
  <r>
    <m/>
    <m/>
    <m/>
    <m/>
    <m/>
    <x v="1"/>
    <m/>
    <m/>
    <m/>
    <m/>
    <m/>
    <m/>
    <m/>
    <m/>
    <m/>
    <m/>
    <m/>
    <m/>
    <m/>
    <m/>
    <m/>
    <s v=""/>
    <m/>
    <m/>
    <m/>
    <m/>
    <m/>
    <n v="2710"/>
    <n v="0"/>
    <s v="DE00071000001"/>
    <s v="DE0007100000"/>
    <n v="1"/>
    <x v="122"/>
    <m/>
    <m/>
    <m/>
  </r>
  <r>
    <m/>
    <m/>
    <m/>
    <m/>
    <m/>
    <x v="1"/>
    <m/>
    <m/>
    <m/>
    <m/>
    <m/>
    <m/>
    <m/>
    <m/>
    <m/>
    <m/>
    <m/>
    <m/>
    <m/>
    <m/>
    <m/>
    <s v=""/>
    <m/>
    <m/>
    <m/>
    <m/>
    <m/>
    <n v="2711"/>
    <n v="0"/>
    <s v="DE00071000001"/>
    <s v="DE0007100000"/>
    <n v="1"/>
    <x v="122"/>
    <m/>
    <m/>
    <m/>
  </r>
  <r>
    <m/>
    <m/>
    <m/>
    <m/>
    <m/>
    <x v="1"/>
    <m/>
    <m/>
    <m/>
    <m/>
    <m/>
    <m/>
    <m/>
    <m/>
    <m/>
    <m/>
    <m/>
    <m/>
    <m/>
    <m/>
    <m/>
    <s v=""/>
    <m/>
    <m/>
    <m/>
    <m/>
    <m/>
    <n v="2712"/>
    <n v="0"/>
    <s v="DE00071000001"/>
    <s v="DE0007100000"/>
    <n v="1"/>
    <x v="122"/>
    <m/>
    <m/>
    <m/>
  </r>
  <r>
    <s v="Renault"/>
    <s v="Automobiles"/>
    <s v="France"/>
    <s v="Euro"/>
    <m/>
    <x v="0"/>
    <m/>
    <m/>
    <m/>
    <m/>
    <m/>
    <m/>
    <m/>
    <m/>
    <m/>
    <m/>
    <m/>
    <m/>
    <m/>
    <m/>
    <m/>
    <s v=""/>
    <m/>
    <m/>
    <m/>
    <m/>
    <m/>
    <n v="2713"/>
    <n v="0"/>
    <s v="FR000013190612023"/>
    <s v="FR0000131906"/>
    <n v="1"/>
    <x v="123"/>
    <m/>
    <m/>
    <m/>
  </r>
  <r>
    <m/>
    <m/>
    <m/>
    <m/>
    <m/>
    <x v="1"/>
    <m/>
    <m/>
    <m/>
    <m/>
    <m/>
    <m/>
    <m/>
    <m/>
    <m/>
    <m/>
    <m/>
    <m/>
    <m/>
    <m/>
    <m/>
    <s v=""/>
    <m/>
    <m/>
    <m/>
    <m/>
    <m/>
    <n v="2714"/>
    <n v="0"/>
    <s v="FR00001319061"/>
    <s v="FR0000131906"/>
    <n v="1"/>
    <x v="123"/>
    <m/>
    <m/>
    <m/>
  </r>
  <r>
    <m/>
    <m/>
    <m/>
    <m/>
    <n v="31.28"/>
    <x v="2"/>
    <m/>
    <m/>
    <m/>
    <m/>
    <m/>
    <m/>
    <m/>
    <m/>
    <m/>
    <n v="295722000"/>
    <m/>
    <m/>
    <m/>
    <m/>
    <m/>
    <s v=""/>
    <m/>
    <m/>
    <m/>
    <s v="Fondée en 1898"/>
    <m/>
    <n v="2715"/>
    <n v="0"/>
    <s v="FR000013190612022"/>
    <s v="FR0000131906"/>
    <n v="1"/>
    <x v="123"/>
    <m/>
    <m/>
    <m/>
  </r>
  <r>
    <m/>
    <m/>
    <m/>
    <m/>
    <m/>
    <x v="1"/>
    <m/>
    <m/>
    <m/>
    <m/>
    <m/>
    <m/>
    <m/>
    <m/>
    <m/>
    <m/>
    <m/>
    <m/>
    <m/>
    <m/>
    <m/>
    <s v=""/>
    <m/>
    <m/>
    <m/>
    <s v="2,9 million de véhicule vendus en 2020, présent dans 39 pays"/>
    <m/>
    <n v="2716"/>
    <n v="0"/>
    <s v="FR00001319061"/>
    <s v="FR0000131906"/>
    <n v="1"/>
    <x v="123"/>
    <m/>
    <m/>
    <m/>
  </r>
  <r>
    <m/>
    <m/>
    <m/>
    <m/>
    <n v="30.55"/>
    <x v="3"/>
    <m/>
    <m/>
    <m/>
    <m/>
    <m/>
    <m/>
    <m/>
    <m/>
    <m/>
    <n v="295722000"/>
    <m/>
    <m/>
    <m/>
    <m/>
    <m/>
    <s v=""/>
    <m/>
    <m/>
    <m/>
    <s v="1er sur le véhicule éléctrique"/>
    <m/>
    <n v="2717"/>
    <n v="0"/>
    <s v="FR000013190612021"/>
    <s v="FR0000131906"/>
    <n v="1"/>
    <x v="123"/>
    <m/>
    <m/>
    <m/>
  </r>
  <r>
    <m/>
    <m/>
    <m/>
    <m/>
    <m/>
    <x v="1"/>
    <m/>
    <m/>
    <m/>
    <m/>
    <m/>
    <m/>
    <m/>
    <m/>
    <m/>
    <m/>
    <m/>
    <m/>
    <m/>
    <m/>
    <m/>
    <s v=""/>
    <m/>
    <m/>
    <m/>
    <s v="Répartition géographique du CA : 67 % en Europe, 16 % en Eurasie, 10,5% en Afrique/Moyen Orient/Inde Pacifique, 5,6 % en Amérique"/>
    <m/>
    <n v="2718"/>
    <n v="0"/>
    <s v="FR00001319061"/>
    <s v="FR0000131906"/>
    <n v="1"/>
    <x v="123"/>
    <m/>
    <m/>
    <m/>
  </r>
  <r>
    <m/>
    <m/>
    <m/>
    <m/>
    <n v="35.76"/>
    <x v="4"/>
    <n v="43474000000"/>
    <n v="2750000000"/>
    <n v="-1999000000"/>
    <n v="-8008000000"/>
    <n v="3579000000"/>
    <n v="24772000000"/>
    <n v="83.76786306057717"/>
    <n v="-0.32326820603907636"/>
    <n v="-4.9356283728968997E-2"/>
    <n v="295722000"/>
    <n v="10575018720"/>
    <n v="0.42689402228322298"/>
    <n v="5.1469158981818186"/>
    <m/>
    <n v="170158"/>
    <n v="255491.95453637207"/>
    <m/>
    <m/>
    <m/>
    <s v="Marge opérationnelle : 2020 (-0,8 %), 2019 (4,8%), 2018 (6,3 %). La marge opérationnelle se situe historiquement à 6,6 %"/>
    <m/>
    <n v="2719"/>
    <n v="0"/>
    <s v="FR000013190612020"/>
    <s v="FR0000131906"/>
    <n v="1"/>
    <x v="123"/>
    <m/>
    <m/>
    <m/>
  </r>
  <r>
    <m/>
    <m/>
    <m/>
    <m/>
    <m/>
    <x v="1"/>
    <n v="-0.21720654698669351"/>
    <n v="-0.53500169090294225"/>
    <n v="-1.949643705463183"/>
    <m/>
    <m/>
    <m/>
    <m/>
    <m/>
    <m/>
    <m/>
    <m/>
    <m/>
    <m/>
    <m/>
    <m/>
    <s v=""/>
    <m/>
    <m/>
    <m/>
    <s v="CAC : KPMG MAZARS"/>
    <m/>
    <n v="2720"/>
    <n v="0"/>
    <s v="FR00001319061"/>
    <s v="FR0000131906"/>
    <n v="1"/>
    <x v="123"/>
    <m/>
    <m/>
    <m/>
  </r>
  <r>
    <m/>
    <m/>
    <m/>
    <m/>
    <n v="42.18"/>
    <x v="5"/>
    <n v="55537000000"/>
    <n v="5914000000"/>
    <n v="2105000000"/>
    <n v="-141000000"/>
    <n v="-1734000000"/>
    <n v="34564000000"/>
    <n v="116.88004274284633"/>
    <n v="-4.0793889596111559E-3"/>
    <n v="4.4882729211087422E-2"/>
    <n v="295722000"/>
    <n v="12473553960"/>
    <n v="0.36088282490452495"/>
    <n v="1.8159543388569497"/>
    <m/>
    <n v="179565"/>
    <n v="309286.33085512213"/>
    <m/>
    <m/>
    <m/>
    <m/>
    <m/>
    <n v="2721"/>
    <n v="0"/>
    <s v="FR000013190612019"/>
    <s v="FR0000131906"/>
    <n v="1"/>
    <x v="123"/>
    <m/>
    <m/>
    <m/>
  </r>
  <r>
    <m/>
    <m/>
    <m/>
    <m/>
    <m/>
    <x v="1"/>
    <n v="-3.2776607046448025E-2"/>
    <n v="0.63732004429678857"/>
    <n v="-0.29527954469367257"/>
    <n v="-1.0427013930950939"/>
    <m/>
    <m/>
    <m/>
    <m/>
    <m/>
    <m/>
    <m/>
    <m/>
    <m/>
    <m/>
    <m/>
    <s v=""/>
    <m/>
    <m/>
    <m/>
    <m/>
    <m/>
    <n v="2722"/>
    <n v="0"/>
    <s v="FR00001319061"/>
    <s v="FR0000131906"/>
    <n v="1"/>
    <x v="123"/>
    <m/>
    <m/>
    <m/>
  </r>
  <r>
    <m/>
    <m/>
    <m/>
    <m/>
    <n v="54.55"/>
    <x v="6"/>
    <n v="57419000000"/>
    <n v="3612000000"/>
    <n v="2987000000"/>
    <n v="3302000000"/>
    <n v="-3702000000"/>
    <n v="35546000000"/>
    <n v="120.20072906310656"/>
    <n v="9.2893715185956224E-2"/>
    <n v="6.5660721014947868E-2"/>
    <n v="295722000"/>
    <n v="16131635100"/>
    <n v="0.45382420244190624"/>
    <n v="3.4412057308970101"/>
    <m/>
    <n v="183002"/>
    <n v="313761.5982338991"/>
    <m/>
    <m/>
    <m/>
    <m/>
    <m/>
    <n v="2723"/>
    <n v="0"/>
    <s v="FR000013190612018"/>
    <s v="FR0000131906"/>
    <n v="1"/>
    <x v="123"/>
    <m/>
    <m/>
    <m/>
  </r>
  <r>
    <m/>
    <m/>
    <m/>
    <m/>
    <m/>
    <x v="1"/>
    <n v="-2.298791900629571E-2"/>
    <n v="-6.2791904514789776E-2"/>
    <n v="-0.2151865475564898"/>
    <n v="-0.35432147047321083"/>
    <m/>
    <m/>
    <m/>
    <m/>
    <m/>
    <m/>
    <m/>
    <m/>
    <m/>
    <m/>
    <m/>
    <s v=""/>
    <m/>
    <m/>
    <m/>
    <m/>
    <m/>
    <n v="2724"/>
    <n v="0"/>
    <s v="FR00001319061"/>
    <s v="FR0000131906"/>
    <n v="1"/>
    <x v="123"/>
    <m/>
    <m/>
    <m/>
  </r>
  <r>
    <m/>
    <m/>
    <m/>
    <m/>
    <n v="83.91"/>
    <x v="7"/>
    <n v="58770000000"/>
    <n v="3854000000"/>
    <n v="3806000000"/>
    <n v="5114000000"/>
    <n v="-3209000000"/>
    <n v="33385000000"/>
    <n v="112.89319022595546"/>
    <n v="0.15318256702111727"/>
    <n v="8.8288706256627783E-2"/>
    <n v="295722000"/>
    <n v="24814033020"/>
    <n v="0.74326892376815934"/>
    <n v="5.6058726050856249"/>
    <m/>
    <n v="181344"/>
    <n v="324080.2011646374"/>
    <m/>
    <m/>
    <m/>
    <m/>
    <m/>
    <n v="2725"/>
    <n v="0"/>
    <s v="FR000013190612017"/>
    <s v="FR0000131906"/>
    <n v="1"/>
    <x v="123"/>
    <m/>
    <m/>
    <m/>
  </r>
  <r>
    <m/>
    <m/>
    <m/>
    <m/>
    <m/>
    <x v="1"/>
    <n v="0.14688835548270007"/>
    <n v="0.17428397318708111"/>
    <n v="0.15930551325007625"/>
    <n v="0.49575899385785327"/>
    <m/>
    <m/>
    <m/>
    <m/>
    <m/>
    <m/>
    <m/>
    <m/>
    <m/>
    <m/>
    <m/>
    <s v=""/>
    <m/>
    <m/>
    <m/>
    <m/>
    <m/>
    <n v="2726"/>
    <n v="0"/>
    <s v="FR00001319061"/>
    <s v="FR0000131906"/>
    <n v="1"/>
    <x v="123"/>
    <m/>
    <m/>
    <m/>
  </r>
  <r>
    <m/>
    <m/>
    <m/>
    <m/>
    <n v="84.51"/>
    <x v="8"/>
    <n v="51243000000"/>
    <n v="3282000000"/>
    <n v="3283000000"/>
    <n v="3419000000"/>
    <n v="-2416000000"/>
    <n v="30743000000"/>
    <n v="103.9591237716504"/>
    <n v="0.11121230849299027"/>
    <n v="8.1127546157376357E-2"/>
    <n v="295722000"/>
    <n v="24991466220"/>
    <n v="0.81291566275249649"/>
    <n v="6.878569841560024"/>
    <m/>
    <n v="124849"/>
    <n v="410439.8112920408"/>
    <m/>
    <m/>
    <m/>
    <m/>
    <m/>
    <n v="2727"/>
    <n v="0"/>
    <s v="FR000013190612016"/>
    <s v="FR0000131906"/>
    <n v="1"/>
    <x v="123"/>
    <m/>
    <m/>
    <m/>
  </r>
  <r>
    <m/>
    <m/>
    <m/>
    <m/>
    <m/>
    <x v="1"/>
    <m/>
    <m/>
    <m/>
    <m/>
    <m/>
    <m/>
    <m/>
    <m/>
    <m/>
    <m/>
    <m/>
    <m/>
    <m/>
    <m/>
    <m/>
    <s v=""/>
    <m/>
    <m/>
    <m/>
    <m/>
    <m/>
    <n v="2728"/>
    <n v="0"/>
    <s v="FR00001319061"/>
    <s v="FR0000131906"/>
    <n v="1"/>
    <x v="123"/>
    <m/>
    <m/>
    <m/>
  </r>
  <r>
    <m/>
    <m/>
    <m/>
    <m/>
    <m/>
    <x v="1"/>
    <m/>
    <m/>
    <m/>
    <m/>
    <m/>
    <m/>
    <m/>
    <m/>
    <m/>
    <m/>
    <m/>
    <m/>
    <m/>
    <m/>
    <m/>
    <s v=""/>
    <m/>
    <m/>
    <m/>
    <m/>
    <m/>
    <n v="2729"/>
    <n v="0"/>
    <s v="FR00001319061"/>
    <s v="FR0000131906"/>
    <n v="1"/>
    <x v="123"/>
    <m/>
    <m/>
    <m/>
  </r>
  <r>
    <m/>
    <m/>
    <m/>
    <m/>
    <m/>
    <x v="1"/>
    <m/>
    <m/>
    <m/>
    <m/>
    <m/>
    <m/>
    <m/>
    <m/>
    <m/>
    <m/>
    <m/>
    <m/>
    <m/>
    <m/>
    <m/>
    <s v=""/>
    <m/>
    <m/>
    <m/>
    <m/>
    <m/>
    <n v="2730"/>
    <n v="0"/>
    <s v="FR00001319061"/>
    <s v="FR0000131906"/>
    <n v="1"/>
    <x v="123"/>
    <m/>
    <m/>
    <m/>
  </r>
  <r>
    <s v="Trigano"/>
    <s v="Campingcar"/>
    <s v="France"/>
    <s v="Euro"/>
    <m/>
    <x v="0"/>
    <m/>
    <m/>
    <m/>
    <m/>
    <m/>
    <m/>
    <m/>
    <m/>
    <m/>
    <m/>
    <m/>
    <m/>
    <m/>
    <m/>
    <m/>
    <s v=""/>
    <m/>
    <m/>
    <m/>
    <m/>
    <m/>
    <n v="2731"/>
    <n v="0"/>
    <s v="FR000569165612023"/>
    <s v="FR0005691656"/>
    <n v="1"/>
    <x v="124"/>
    <m/>
    <m/>
    <m/>
  </r>
  <r>
    <m/>
    <m/>
    <m/>
    <m/>
    <m/>
    <x v="1"/>
    <m/>
    <m/>
    <m/>
    <m/>
    <m/>
    <m/>
    <m/>
    <m/>
    <m/>
    <m/>
    <m/>
    <m/>
    <m/>
    <m/>
    <m/>
    <s v=""/>
    <m/>
    <m/>
    <m/>
    <m/>
    <m/>
    <n v="2732"/>
    <n v="0"/>
    <s v="FR00056916561"/>
    <s v="FR0005691656"/>
    <n v="1"/>
    <x v="124"/>
    <m/>
    <m/>
    <m/>
  </r>
  <r>
    <m/>
    <m/>
    <m/>
    <m/>
    <n v="126.9"/>
    <x v="2"/>
    <m/>
    <m/>
    <m/>
    <m/>
    <m/>
    <m/>
    <m/>
    <m/>
    <m/>
    <m/>
    <m/>
    <m/>
    <m/>
    <m/>
    <m/>
    <s v=""/>
    <m/>
    <m/>
    <m/>
    <m/>
    <m/>
    <n v="2733"/>
    <n v="0"/>
    <s v="FR000569165612022"/>
    <s v="FR0005691656"/>
    <n v="1"/>
    <x v="124"/>
    <m/>
    <m/>
    <m/>
  </r>
  <r>
    <m/>
    <m/>
    <m/>
    <m/>
    <m/>
    <x v="1"/>
    <m/>
    <m/>
    <m/>
    <m/>
    <m/>
    <m/>
    <m/>
    <m/>
    <m/>
    <m/>
    <m/>
    <m/>
    <m/>
    <m/>
    <m/>
    <s v=""/>
    <m/>
    <m/>
    <m/>
    <m/>
    <m/>
    <n v="2734"/>
    <n v="0"/>
    <s v="FR00056916561"/>
    <s v="FR0005691656"/>
    <n v="1"/>
    <x v="124"/>
    <m/>
    <m/>
    <m/>
  </r>
  <r>
    <m/>
    <m/>
    <m/>
    <m/>
    <n v="172.5"/>
    <x v="3"/>
    <n v="2933800000"/>
    <n v="240000000"/>
    <n v="210000000"/>
    <n v="160000000"/>
    <n v="-500000000"/>
    <n v="1100000000"/>
    <n v="56.887913588707313"/>
    <n v="0.14545454545454545"/>
    <n v="0.245"/>
    <n v="19336269"/>
    <n v="3335506402.5"/>
    <n v="3.0322785477272727"/>
    <n v="11.814610010416667"/>
    <m/>
    <n v="8595"/>
    <n v="341337.98720186157"/>
    <m/>
    <m/>
    <m/>
    <s v="Fondé en 1935, fabrique des camping-cars à partir de 1984, s'est développé en Europe par acquisitions (clôture des comptes au 31/08, cours de bourse au 31/12)"/>
    <m/>
    <n v="2735"/>
    <n v="0"/>
    <s v="FR000569165612021"/>
    <s v="FR0005691656"/>
    <n v="1"/>
    <x v="124"/>
    <m/>
    <m/>
    <m/>
  </r>
  <r>
    <m/>
    <m/>
    <m/>
    <m/>
    <m/>
    <x v="1"/>
    <n v="0.34331501831501821"/>
    <n v="0.12395331847217284"/>
    <n v="0.16279069767441867"/>
    <n v="0.14613180515759305"/>
    <n v="3.1677780741531079"/>
    <n v="0.10719677906391545"/>
    <m/>
    <m/>
    <m/>
    <m/>
    <m/>
    <m/>
    <m/>
    <m/>
    <m/>
    <s v=""/>
    <m/>
    <m/>
    <m/>
    <s v="Détenue à 69,5% par la famille Feuillet (72 et 73 ans)"/>
    <m/>
    <n v="2736"/>
    <n v="0"/>
    <s v="FR00056916561"/>
    <s v="FR0005691656"/>
    <n v="1"/>
    <x v="124"/>
    <m/>
    <m/>
    <m/>
  </r>
  <r>
    <m/>
    <m/>
    <m/>
    <m/>
    <n v="144.80000000000001"/>
    <x v="4"/>
    <n v="2184000000"/>
    <n v="213532000"/>
    <n v="180600000"/>
    <n v="139600000"/>
    <n v="-119968000"/>
    <n v="993500000"/>
    <n v="51.380129227618831"/>
    <n v="0.1405133366884751"/>
    <n v="0.14472280351492559"/>
    <n v="19336269"/>
    <n v="2799891751.2000003"/>
    <n v="2.818210116960242"/>
    <n v="12.550454972556809"/>
    <m/>
    <m/>
    <s v=""/>
    <m/>
    <m/>
    <m/>
    <s v="Stéphane Gigou (né en 1972) président du directoire depuis le 30/09/2020. Il est arrivé chez Trigano le 1er juillet 2020."/>
    <m/>
    <n v="2737"/>
    <n v="0"/>
    <s v="FR000569165612020"/>
    <s v="FR0005691656"/>
    <n v="1"/>
    <x v="124"/>
    <m/>
    <m/>
    <m/>
  </r>
  <r>
    <m/>
    <m/>
    <m/>
    <m/>
    <m/>
    <x v="1"/>
    <n v="-6.189596666809849E-2"/>
    <n v="-9.7539843878771459E-2"/>
    <n v="-0.14163498098859317"/>
    <n v="-0.16656716417910444"/>
    <n v="-9.5252984650369523"/>
    <n v="0.1120438773225878"/>
    <m/>
    <m/>
    <m/>
    <m/>
    <m/>
    <m/>
    <m/>
    <m/>
    <m/>
    <s v=""/>
    <m/>
    <m/>
    <m/>
    <s v="DG : Michel Freich (né en 1960), il a rejoint Trigano en 1988"/>
    <m/>
    <n v="2738"/>
    <n v="0"/>
    <s v="FR00056916561"/>
    <s v="FR0005691656"/>
    <n v="1"/>
    <x v="124"/>
    <m/>
    <m/>
    <m/>
  </r>
  <r>
    <m/>
    <m/>
    <m/>
    <m/>
    <n v="94.2"/>
    <x v="5"/>
    <n v="2328100000"/>
    <n v="236611000"/>
    <n v="210400000"/>
    <n v="167500000"/>
    <n v="14072000"/>
    <n v="893400000"/>
    <n v="46.20332909104647"/>
    <n v="0.18748600850682784"/>
    <n v="0.1622970185305993"/>
    <n v="19336269"/>
    <n v="1821476539.8"/>
    <n v="2.0388141255876429"/>
    <n v="7.7576635904501483"/>
    <m/>
    <m/>
    <s v=""/>
    <m/>
    <m/>
    <m/>
    <s v="Vente des premiers camping-cars en 1984 avec Chausson"/>
    <m/>
    <n v="2739"/>
    <n v="0"/>
    <s v="FR000569165612019"/>
    <s v="FR0005691656"/>
    <n v="1"/>
    <x v="124"/>
    <m/>
    <m/>
    <m/>
  </r>
  <r>
    <m/>
    <m/>
    <m/>
    <m/>
    <m/>
    <x v="1"/>
    <n v="5.7890871387220599E-3"/>
    <n v="-0.10268574982555145"/>
    <n v="-8.481948673336237E-2"/>
    <n v="-8.319649698960041E-2"/>
    <n v="-0.80974528148829161"/>
    <n v="0.15830416180474516"/>
    <m/>
    <m/>
    <m/>
    <m/>
    <m/>
    <m/>
    <m/>
    <m/>
    <m/>
    <s v=""/>
    <m/>
    <m/>
    <m/>
    <s v="55 000 véhicules vendu en 2020"/>
    <m/>
    <n v="2740"/>
    <n v="0"/>
    <s v="FR00056916561"/>
    <s v="FR0005691656"/>
    <n v="1"/>
    <x v="124"/>
    <m/>
    <m/>
    <m/>
  </r>
  <r>
    <m/>
    <m/>
    <m/>
    <m/>
    <n v="80.650000000000006"/>
    <x v="6"/>
    <n v="2314700000"/>
    <n v="263688000"/>
    <n v="229900000"/>
    <n v="182700000"/>
    <n v="73964000"/>
    <n v="771300000"/>
    <n v="39.888770682699956"/>
    <n v="0.23687281213535588"/>
    <n v="0.19039022127997879"/>
    <n v="19336269"/>
    <n v="1559470094.8500001"/>
    <n v="2.0218722868533647"/>
    <n v="6.1945712161721431"/>
    <m/>
    <m/>
    <s v=""/>
    <m/>
    <m/>
    <m/>
    <s v="Prix d'un camping-car environ 50 K euros"/>
    <m/>
    <n v="2741"/>
    <n v="0"/>
    <s v="FR000569165612018"/>
    <s v="FR0005691656"/>
    <n v="1"/>
    <x v="124"/>
    <m/>
    <m/>
    <m/>
  </r>
  <r>
    <m/>
    <m/>
    <m/>
    <m/>
    <m/>
    <x v="1"/>
    <n v="0.35600468658465134"/>
    <n v="0.56761191367932939"/>
    <n v="0.54814814814814805"/>
    <n v="0.43971631205673756"/>
    <n v="-1.8954479418886199"/>
    <n v="0.30331192970598164"/>
    <m/>
    <m/>
    <m/>
    <m/>
    <m/>
    <m/>
    <m/>
    <m/>
    <m/>
    <s v=""/>
    <m/>
    <m/>
    <m/>
    <s v="CA : 27,8% France, 24,5% Allemagne, 12,4% Angleterre, 6,4% Italie, 6,3% Espagne, 4,6% Belgique, 2,9% Suède, 2,7% Pays-Bas, 1,8% Norvège, 10,6% reste du monde"/>
    <m/>
    <n v="2742"/>
    <n v="0"/>
    <s v="FR00056916561"/>
    <s v="FR0005691656"/>
    <n v="1"/>
    <x v="124"/>
    <m/>
    <m/>
    <m/>
  </r>
  <r>
    <m/>
    <m/>
    <m/>
    <m/>
    <n v="146.9"/>
    <x v="7"/>
    <n v="1707000000"/>
    <n v="168210000"/>
    <n v="148500000"/>
    <n v="126900000"/>
    <n v="-82600000"/>
    <n v="591800000"/>
    <n v="30.605697510724536"/>
    <n v="0.21443055086177762"/>
    <n v="0.20414375490966222"/>
    <n v="19336269"/>
    <n v="2840497916.0999999"/>
    <n v="4.7997599123014529"/>
    <n v="16.395564568693892"/>
    <m/>
    <m/>
    <s v=""/>
    <m/>
    <m/>
    <m/>
    <s v="91,5% du CA sont des véhicules de loisirs"/>
    <m/>
    <n v="2743"/>
    <n v="0"/>
    <s v="FR000569165612017"/>
    <s v="FR0005691656"/>
    <n v="1"/>
    <x v="124"/>
    <m/>
    <m/>
    <m/>
  </r>
  <r>
    <m/>
    <m/>
    <m/>
    <m/>
    <m/>
    <x v="1"/>
    <n v="0.29602915496165827"/>
    <n v="0.49882382293188865"/>
    <n v="0.48351648351648358"/>
    <n v="0.4147157190635451"/>
    <n v="0.4192439862542956"/>
    <n v="0.20775510204081638"/>
    <m/>
    <m/>
    <m/>
    <m/>
    <m/>
    <m/>
    <m/>
    <m/>
    <m/>
    <s v=""/>
    <m/>
    <m/>
    <m/>
    <s v="Camping cars : 80% des ventes / Caravanes : 7,5% / Résidences mobiles : 2,7% / Accessoires : 7,6%"/>
    <m/>
    <n v="2744"/>
    <n v="0"/>
    <s v="FR00056916561"/>
    <s v="FR0005691656"/>
    <n v="1"/>
    <x v="124"/>
    <m/>
    <m/>
    <m/>
  </r>
  <r>
    <m/>
    <m/>
    <m/>
    <m/>
    <n v="74.33"/>
    <x v="8"/>
    <n v="1317100000"/>
    <n v="112228000"/>
    <n v="100100000"/>
    <n v="89700000"/>
    <n v="-58200000"/>
    <n v="490000000"/>
    <n v="25.340979689515077"/>
    <n v="0.18306122448979592"/>
    <n v="0.16227420101899026"/>
    <n v="19336269"/>
    <n v="1437264874.77"/>
    <n v="2.933193621979592"/>
    <n v="12.288064251078163"/>
    <m/>
    <m/>
    <s v=""/>
    <m/>
    <m/>
    <m/>
    <s v="Acquisition de 60% de Gimeg le 27 août 2020, 85% de Adria en 2017, Auto-Sleepers en 2017, de SEA, Gaupen Henger, Notin, Lider et OCS Recreatie Groothandel BV en 2012"/>
    <m/>
    <n v="2745"/>
    <n v="0"/>
    <s v="FR000569165612016"/>
    <s v="FR0005691656"/>
    <n v="1"/>
    <x v="124"/>
    <m/>
    <m/>
    <m/>
  </r>
  <r>
    <m/>
    <m/>
    <m/>
    <m/>
    <m/>
    <x v="1"/>
    <n v="0.2244803093971961"/>
    <n v="0.57909695937864947"/>
    <n v="0.59159206906968986"/>
    <n v="0.50589262330859897"/>
    <n v="0.46599496221662462"/>
    <n v="0.16340083432459829"/>
    <m/>
    <m/>
    <m/>
    <m/>
    <m/>
    <m/>
    <m/>
    <m/>
    <m/>
    <s v=""/>
    <m/>
    <m/>
    <m/>
    <s v="Profite de l'engouement des retraités pour le camping-car depuis 10-15 ans. N'accompagne pas sa clientèle longtemps mais augmentation continue de cettre tranche d'âge. À quand la maturité ?"/>
    <m/>
    <n v="2746"/>
    <n v="0"/>
    <s v="FR00056916561"/>
    <s v="FR0005691656"/>
    <n v="1"/>
    <x v="124"/>
    <m/>
    <m/>
    <m/>
  </r>
  <r>
    <m/>
    <m/>
    <m/>
    <m/>
    <n v="55.51"/>
    <x v="9"/>
    <n v="1075640000"/>
    <n v="71071000"/>
    <n v="62893000"/>
    <n v="59566000"/>
    <n v="-39700000"/>
    <n v="421179000"/>
    <n v="21.781813233980145"/>
    <n v="0.14142680428036536"/>
    <n v="0.11540635264326476"/>
    <n v="19336269"/>
    <n v="1073356292.1899999"/>
    <n v="2.54845633849266"/>
    <n v="14.543995331288428"/>
    <m/>
    <m/>
    <s v=""/>
    <m/>
    <m/>
    <m/>
    <s v="Principal concurrent Hymer CA de 780 M d'euros en 2019"/>
    <m/>
    <n v="2747"/>
    <n v="0"/>
    <s v="FR000569165612015"/>
    <s v="FR0005691656"/>
    <n v="1"/>
    <x v="124"/>
    <m/>
    <m/>
    <m/>
  </r>
  <r>
    <m/>
    <m/>
    <m/>
    <m/>
    <m/>
    <x v="1"/>
    <m/>
    <m/>
    <m/>
    <m/>
    <m/>
    <m/>
    <m/>
    <m/>
    <m/>
    <m/>
    <m/>
    <m/>
    <m/>
    <m/>
    <m/>
    <s v=""/>
    <m/>
    <m/>
    <m/>
    <s v="Minoritaires : 1%"/>
    <m/>
    <n v="2748"/>
    <n v="0"/>
    <s v="FR00056916561"/>
    <s v="FR0005691656"/>
    <n v="1"/>
    <x v="124"/>
    <m/>
    <m/>
    <m/>
  </r>
  <r>
    <m/>
    <m/>
    <m/>
    <m/>
    <m/>
    <x v="1"/>
    <m/>
    <m/>
    <m/>
    <m/>
    <m/>
    <m/>
    <m/>
    <m/>
    <m/>
    <m/>
    <m/>
    <m/>
    <m/>
    <m/>
    <m/>
    <s v=""/>
    <m/>
    <m/>
    <m/>
    <s v="CAC : BM&amp;A et Ernst &amp; Young Audit"/>
    <m/>
    <n v="2749"/>
    <n v="0"/>
    <s v="FR00056916561"/>
    <s v="FR0005691656"/>
    <n v="1"/>
    <x v="124"/>
    <m/>
    <m/>
    <m/>
  </r>
  <r>
    <m/>
    <m/>
    <m/>
    <m/>
    <m/>
    <x v="1"/>
    <m/>
    <m/>
    <m/>
    <m/>
    <m/>
    <m/>
    <m/>
    <m/>
    <m/>
    <m/>
    <m/>
    <m/>
    <m/>
    <m/>
    <m/>
    <s v=""/>
    <m/>
    <m/>
    <m/>
    <s v="Pay out ratio : 27,8%"/>
    <m/>
    <n v="2750"/>
    <n v="0"/>
    <s v="FR00056916561"/>
    <s v="FR0005691656"/>
    <n v="1"/>
    <x v="124"/>
    <m/>
    <m/>
    <m/>
  </r>
  <r>
    <m/>
    <m/>
    <m/>
    <m/>
    <m/>
    <x v="1"/>
    <m/>
    <m/>
    <m/>
    <m/>
    <m/>
    <m/>
    <m/>
    <m/>
    <m/>
    <m/>
    <m/>
    <m/>
    <m/>
    <m/>
    <m/>
    <s v=""/>
    <m/>
    <m/>
    <m/>
    <m/>
    <m/>
    <n v="2751"/>
    <n v="0"/>
    <s v="FR00056916561"/>
    <s v="FR0005691656"/>
    <n v="1"/>
    <x v="124"/>
    <m/>
    <m/>
    <m/>
  </r>
  <r>
    <m/>
    <m/>
    <m/>
    <m/>
    <m/>
    <x v="1"/>
    <m/>
    <m/>
    <m/>
    <m/>
    <m/>
    <m/>
    <m/>
    <m/>
    <m/>
    <m/>
    <m/>
    <m/>
    <m/>
    <m/>
    <m/>
    <s v=""/>
    <m/>
    <m/>
    <m/>
    <m/>
    <m/>
    <n v="2752"/>
    <n v="0"/>
    <s v="FR00056916561"/>
    <s v="FR0005691656"/>
    <n v="1"/>
    <x v="124"/>
    <m/>
    <m/>
    <m/>
  </r>
  <r>
    <m/>
    <m/>
    <m/>
    <m/>
    <m/>
    <x v="1"/>
    <m/>
    <m/>
    <m/>
    <m/>
    <m/>
    <m/>
    <m/>
    <m/>
    <m/>
    <m/>
    <m/>
    <m/>
    <m/>
    <m/>
    <m/>
    <s v=""/>
    <m/>
    <m/>
    <m/>
    <m/>
    <m/>
    <n v="2753"/>
    <n v="0"/>
    <s v="FR00056916561"/>
    <s v="FR0005691656"/>
    <n v="1"/>
    <x v="124"/>
    <m/>
    <m/>
    <m/>
  </r>
  <r>
    <m/>
    <m/>
    <m/>
    <m/>
    <m/>
    <x v="1"/>
    <m/>
    <m/>
    <m/>
    <m/>
    <m/>
    <m/>
    <m/>
    <m/>
    <m/>
    <m/>
    <m/>
    <m/>
    <m/>
    <m/>
    <m/>
    <s v=""/>
    <m/>
    <m/>
    <m/>
    <m/>
    <m/>
    <n v="2754"/>
    <n v="0"/>
    <s v="FR00056916561"/>
    <s v="FR0005691656"/>
    <n v="1"/>
    <x v="124"/>
    <m/>
    <m/>
    <m/>
  </r>
  <r>
    <m/>
    <m/>
    <m/>
    <m/>
    <m/>
    <x v="1"/>
    <m/>
    <m/>
    <m/>
    <m/>
    <m/>
    <m/>
    <m/>
    <m/>
    <m/>
    <m/>
    <m/>
    <m/>
    <m/>
    <m/>
    <m/>
    <s v=""/>
    <m/>
    <m/>
    <m/>
    <m/>
    <m/>
    <n v="2755"/>
    <n v="0"/>
    <s v="FR00056916561"/>
    <s v="FR0005691656"/>
    <n v="1"/>
    <x v="124"/>
    <m/>
    <m/>
    <m/>
  </r>
  <r>
    <s v="Legrand"/>
    <s v="Installation éléctrique"/>
    <s v="France"/>
    <s v="Euro"/>
    <m/>
    <x v="0"/>
    <n v="8589170000"/>
    <m/>
    <n v="1717834000"/>
    <n v="1200000000"/>
    <m/>
    <m/>
    <m/>
    <m/>
    <m/>
    <m/>
    <m/>
    <m/>
    <m/>
    <m/>
    <m/>
    <s v=""/>
    <m/>
    <m/>
    <m/>
    <m/>
    <m/>
    <n v="2756"/>
    <n v="0"/>
    <s v="FR001030781912023"/>
    <s v="FR0010307819"/>
    <n v="1"/>
    <x v="125"/>
    <m/>
    <m/>
    <m/>
  </r>
  <r>
    <m/>
    <m/>
    <m/>
    <m/>
    <m/>
    <x v="1"/>
    <m/>
    <m/>
    <m/>
    <m/>
    <m/>
    <m/>
    <m/>
    <m/>
    <m/>
    <m/>
    <m/>
    <m/>
    <m/>
    <m/>
    <m/>
    <s v=""/>
    <m/>
    <m/>
    <m/>
    <m/>
    <m/>
    <n v="2757"/>
    <n v="0"/>
    <s v="FR00103078191"/>
    <s v="FR0010307819"/>
    <n v="1"/>
    <x v="125"/>
    <m/>
    <m/>
    <m/>
  </r>
  <r>
    <m/>
    <m/>
    <m/>
    <m/>
    <n v="74.819999999999993"/>
    <x v="2"/>
    <n v="8339000000"/>
    <n v="1976500000"/>
    <n v="1447000000"/>
    <n v="1000000000"/>
    <n v="2861800000"/>
    <n v="6336200000"/>
    <n v="23.691356890328773"/>
    <n v="0.15782330103216438"/>
    <n v="0.11012176560121764"/>
    <n v="267447746"/>
    <n v="20010440355.719997"/>
    <n v="3.158113752046968"/>
    <n v="11.572092261937767"/>
    <s v="A- / Stable"/>
    <n v="38200"/>
    <n v="218298.42931937173"/>
    <n v="1036000000"/>
    <s v="E = 2"/>
    <m/>
    <s v="Créée en 1904"/>
    <m/>
    <n v="2758"/>
    <n v="0"/>
    <s v="FR001030781912022"/>
    <s v="FR0010307819"/>
    <n v="1"/>
    <x v="125"/>
    <m/>
    <m/>
    <m/>
  </r>
  <r>
    <m/>
    <m/>
    <m/>
    <m/>
    <m/>
    <x v="1"/>
    <n v="0.19227359812416012"/>
    <n v="0.17999999999999994"/>
    <n v="7.6556803809240348E-2"/>
    <n v="0.10558319513543402"/>
    <m/>
    <m/>
    <m/>
    <m/>
    <m/>
    <m/>
    <m/>
    <m/>
    <m/>
    <m/>
    <m/>
    <s v=""/>
    <m/>
    <s v="S= 1"/>
    <m/>
    <s v="Legrand est un des leaders mondiaux des produits et systèmes pour installations électriques et réseaux d'information."/>
    <m/>
    <n v="2759"/>
    <n v="0"/>
    <s v="FR00103078191"/>
    <s v="FR0010307819"/>
    <n v="1"/>
    <x v="125"/>
    <m/>
    <m/>
    <m/>
  </r>
  <r>
    <m/>
    <m/>
    <m/>
    <m/>
    <n v="102.9"/>
    <x v="3"/>
    <n v="6994200000"/>
    <n v="1675000000"/>
    <n v="1344100000"/>
    <n v="904500000"/>
    <n v="2524200000"/>
    <n v="5716500000"/>
    <n v="21.374268751548946"/>
    <n v="0.15822618735240093"/>
    <n v="0.11417355321756645"/>
    <n v="267447746"/>
    <n v="27520373063.400002"/>
    <n v="4.8141997836788244"/>
    <n v="17.937058545313434"/>
    <m/>
    <n v="38200"/>
    <n v="183094.24083769633"/>
    <n v="952000000"/>
    <s v="G= 2"/>
    <m/>
    <s v="Implanté dans 90 pays et ventes dans + de 180 pays. 120 sites industriels dans 30 pays"/>
    <m/>
    <n v="2760"/>
    <n v="0"/>
    <s v="FR001030781912021"/>
    <s v="FR0010307819"/>
    <n v="1"/>
    <x v="125"/>
    <m/>
    <m/>
    <m/>
  </r>
  <r>
    <m/>
    <m/>
    <m/>
    <m/>
    <m/>
    <x v="1"/>
    <n v="0.14668415443888838"/>
    <n v="0.14914928649835346"/>
    <n v="0.26159189036981423"/>
    <n v="0.32780387551379908"/>
    <m/>
    <m/>
    <m/>
    <m/>
    <m/>
    <m/>
    <m/>
    <m/>
    <m/>
    <m/>
    <m/>
    <s v=""/>
    <m/>
    <m/>
    <m/>
    <s v="Actionnariat :  salariés et autodétention : 4 %, Gilles Schnepp (ancien CEO : 1% ) - Flottant 95 %"/>
    <m/>
    <n v="2761"/>
    <n v="0"/>
    <s v="FR00103078191"/>
    <s v="FR0010307819"/>
    <n v="1"/>
    <x v="125"/>
    <m/>
    <m/>
    <m/>
  </r>
  <r>
    <m/>
    <m/>
    <m/>
    <m/>
    <n v="73"/>
    <x v="4"/>
    <n v="6099500000"/>
    <n v="1457600000"/>
    <n v="1065400000"/>
    <n v="681200000"/>
    <n v="2602800000"/>
    <n v="4895800000"/>
    <n v="18.305631934546199"/>
    <n v="0.13913967073818376"/>
    <n v="9.9455898434374412E-2"/>
    <n v="267447746"/>
    <n v="19523685458"/>
    <n v="3.9878437554638668"/>
    <n v="15.180080583150383"/>
    <m/>
    <n v="36700"/>
    <n v="166198.91008174387"/>
    <n v="1029000000"/>
    <m/>
    <m/>
    <s v="CEO : Benoît Coquart né en 1973, rejoint Legrand en 1997, début de mandat 2018. Gilles Schnepp (né en 1958) ancien dirigeant (2006 - 2018) : 2,415 Millions de titres (soit 170 M euros). François Grappotte avant lui"/>
    <m/>
    <n v="2762"/>
    <n v="0"/>
    <s v="FR001030781912020"/>
    <s v="FR0010307819"/>
    <n v="1"/>
    <x v="125"/>
    <m/>
    <m/>
    <m/>
  </r>
  <r>
    <m/>
    <m/>
    <m/>
    <m/>
    <m/>
    <x v="1"/>
    <n v="-7.8945381513975454E-2"/>
    <n v="-6.323907455012856E-2"/>
    <n v="-0.13900113140455794"/>
    <n v="-0.18526492046405929"/>
    <m/>
    <m/>
    <m/>
    <m/>
    <m/>
    <m/>
    <m/>
    <m/>
    <m/>
    <m/>
    <m/>
    <s v=""/>
    <m/>
    <m/>
    <m/>
    <s v="Le  groupe s'est lancé dans une montée en gamme de son offre d'appareillage et dans les offres autour du développement durable et des économie d'énergie"/>
    <m/>
    <n v="2763"/>
    <n v="0"/>
    <s v="FR00103078191"/>
    <s v="FR0010307819"/>
    <n v="1"/>
    <x v="125"/>
    <m/>
    <m/>
    <m/>
  </r>
  <r>
    <m/>
    <m/>
    <m/>
    <m/>
    <n v="74.12"/>
    <x v="5"/>
    <n v="6622300000"/>
    <n v="1556000000"/>
    <n v="1237400000"/>
    <n v="836100000"/>
    <n v="2480700000"/>
    <n v="5112100000"/>
    <n v="19.126661397908308"/>
    <n v="0.1635531386318734"/>
    <n v="0.11407912759456328"/>
    <n v="267276128"/>
    <n v="19810506607.360001"/>
    <n v="3.8752189134328359"/>
    <n v="14.325968256658099"/>
    <m/>
    <n v="39000"/>
    <n v="169802.56410256409"/>
    <n v="1044000000"/>
    <m/>
    <m/>
    <s v="Data center : 10% du CA, Bâtments de l'industrie : 10%, résidentiels : 40%, non résidentiel (bureaux, hôtels, hopitaux, écoles…) : 40% "/>
    <m/>
    <n v="2764"/>
    <n v="0"/>
    <s v="FR001030781912019"/>
    <s v="FR0010307819"/>
    <n v="1"/>
    <x v="125"/>
    <m/>
    <m/>
    <m/>
  </r>
  <r>
    <m/>
    <m/>
    <m/>
    <m/>
    <m/>
    <x v="1"/>
    <n v="0.10423197492163006"/>
    <n v="0.10229526778124121"/>
    <n v="8.6391571553994684E-2"/>
    <n v="8.2470222682548E-2"/>
    <m/>
    <m/>
    <m/>
    <m/>
    <m/>
    <m/>
    <m/>
    <m/>
    <m/>
    <m/>
    <m/>
    <s v=""/>
    <m/>
    <m/>
    <m/>
    <s v="L'offre infrastructure : 67 % du CA croissance en ligne avec le PIB et offre connectées, solution énergétique à plus forte valeur ajoutée : 33%"/>
    <m/>
    <n v="2765"/>
    <n v="0"/>
    <s v="FR00103078191"/>
    <s v="FR0010307819"/>
    <n v="1"/>
    <x v="125"/>
    <m/>
    <m/>
    <m/>
  </r>
  <r>
    <m/>
    <m/>
    <m/>
    <m/>
    <n v="49.28"/>
    <x v="6"/>
    <n v="5997200000"/>
    <n v="1411600000"/>
    <n v="1139000000"/>
    <n v="772400000"/>
    <n v="2296600000"/>
    <n v="4597100000"/>
    <n v="17.185732216773772"/>
    <n v="0.16801896848012879"/>
    <n v="0.11565632388992848"/>
    <n v="267495149"/>
    <n v="13182160942.720001"/>
    <n v="2.8674949300036983"/>
    <n v="10.965401631283651"/>
    <m/>
    <n v="38000"/>
    <n v="157821.05263157896"/>
    <n v="746000000"/>
    <m/>
    <m/>
    <s v="Répartition du géographique du CA : Europe 40,9 %, Amérique du Nord et centrale 38,6 %, Asie Pacifique 13,1%, Afrique &amp; Moyen Orient 3,7 %, Amérique du Sud 3,7 %"/>
    <m/>
    <n v="2766"/>
    <n v="0"/>
    <s v="FR001030781912018"/>
    <s v="FR0010307819"/>
    <n v="1"/>
    <x v="125"/>
    <m/>
    <m/>
    <m/>
  </r>
  <r>
    <m/>
    <m/>
    <m/>
    <m/>
    <m/>
    <x v="1"/>
    <n v="8.6291841762063504E-2"/>
    <n v="5.5796559461480877E-2"/>
    <n v="3.0862521495157891E-2"/>
    <n v="8.3006169377453753E-2"/>
    <m/>
    <m/>
    <m/>
    <m/>
    <m/>
    <m/>
    <m/>
    <m/>
    <m/>
    <m/>
    <m/>
    <s v=""/>
    <m/>
    <m/>
    <m/>
    <s v="En 2001, fusion ratée avec Schneider rachat de la société par KKR et Wendel"/>
    <m/>
    <n v="2767"/>
    <n v="0"/>
    <s v="FR00103078191"/>
    <s v="FR0010307819"/>
    <n v="1"/>
    <x v="125"/>
    <m/>
    <m/>
    <m/>
  </r>
  <r>
    <m/>
    <m/>
    <m/>
    <m/>
    <n v="64.19"/>
    <x v="7"/>
    <n v="5520800000"/>
    <n v="1337000000"/>
    <n v="1104900000"/>
    <n v="713200000"/>
    <n v="2219500000"/>
    <n v="4148100000"/>
    <n v="15.547266070737733"/>
    <n v="0.1719341385212507"/>
    <n v="0.12146334568754319"/>
    <n v="266805751"/>
    <n v="17126261156.689999"/>
    <n v="4.1287001655432602"/>
    <n v="14.469529660949886"/>
    <m/>
    <n v="37000"/>
    <n v="149210.8108108108"/>
    <n v="696000000"/>
    <m/>
    <m/>
    <s v="En 2006, introduction en bourse à 19,75 € soit 5,4 Mds € par Wendel et KKR (acheté 3,7 Mds en 2003)"/>
    <m/>
    <n v="2768"/>
    <n v="0"/>
    <s v="FR001030781912017"/>
    <s v="FR0010307819"/>
    <n v="1"/>
    <x v="125"/>
    <m/>
    <m/>
    <m/>
  </r>
  <r>
    <m/>
    <m/>
    <m/>
    <m/>
    <m/>
    <x v="1"/>
    <n v="0.10000199246846919"/>
    <n v="0.11556111806424707"/>
    <n v="0.12917731221257034"/>
    <n v="0.13170422088225964"/>
    <m/>
    <m/>
    <m/>
    <m/>
    <m/>
    <m/>
    <m/>
    <m/>
    <m/>
    <m/>
    <m/>
    <s v=""/>
    <m/>
    <m/>
    <m/>
    <s v="En 2011, Legrand a procédé à 7 acquisitions pour 300 M euros"/>
    <m/>
    <n v="2769"/>
    <n v="0"/>
    <s v="FR00103078191"/>
    <s v="FR0010307819"/>
    <n v="1"/>
    <x v="125"/>
    <m/>
    <m/>
    <m/>
  </r>
  <r>
    <m/>
    <m/>
    <m/>
    <m/>
    <n v="53.95"/>
    <x v="8"/>
    <n v="5018900000"/>
    <n v="1198500000"/>
    <n v="978500000"/>
    <n v="630200000"/>
    <n v="957000000"/>
    <n v="4066400000"/>
    <n v="15.211311655648105"/>
    <n v="0.15497737556561086"/>
    <n v="0.13635187323326831"/>
    <n v="267327374"/>
    <n v="14422311827.300001"/>
    <n v="3.54670269213555"/>
    <n v="12.832133356111807"/>
    <m/>
    <m/>
    <s v=""/>
    <n v="673000000"/>
    <m/>
    <m/>
    <s v="En 2012, KKR sort du capital de la société (4,83% du capital)"/>
    <m/>
    <n v="2770"/>
    <n v="0"/>
    <s v="FR001030781912016"/>
    <s v="FR0010307819"/>
    <n v="1"/>
    <x v="125"/>
    <m/>
    <m/>
    <m/>
  </r>
  <r>
    <m/>
    <m/>
    <m/>
    <m/>
    <m/>
    <x v="1"/>
    <n v="4.3452046820100287E-2"/>
    <n v="7.2675199140785907E-2"/>
    <n v="5.1698194325021429E-2"/>
    <n v="0.14166666666666661"/>
    <m/>
    <m/>
    <m/>
    <m/>
    <m/>
    <m/>
    <m/>
    <m/>
    <m/>
    <m/>
    <m/>
    <s v=""/>
    <m/>
    <m/>
    <m/>
    <s v="En 2017, acquisition de l'entreprise américaine Milestone AV technologie spécialisée dans les installations multimédias pour 1,2 milliard d'euros pour 464 M$ de CA et 21% de marge soit 12-13 fois le rex"/>
    <m/>
    <n v="2771"/>
    <n v="0"/>
    <s v="FR00103078191"/>
    <s v="FR0010307819"/>
    <n v="1"/>
    <x v="125"/>
    <m/>
    <m/>
    <m/>
  </r>
  <r>
    <m/>
    <m/>
    <m/>
    <m/>
    <n v="52.2"/>
    <x v="9"/>
    <n v="4809900000"/>
    <n v="1117300000"/>
    <n v="930400000"/>
    <n v="552000000"/>
    <n v="820700000"/>
    <n v="3807400000"/>
    <n v="14.263632462792707"/>
    <n v="0.14498082681094709"/>
    <n v="0.14072297487089735"/>
    <n v="266930602"/>
    <n v="13933777424.400002"/>
    <n v="3.6596568325891687"/>
    <n v="13.205475185178557"/>
    <m/>
    <m/>
    <s v=""/>
    <n v="666000000"/>
    <m/>
    <m/>
    <s v="En 2019, acquisition d'Universal Electric corporation aux États-Unis dans l'équipement de datacenters. 450 personnes et 175 M$ de CA à 90% aux États-Unis"/>
    <m/>
    <n v="2772"/>
    <n v="0"/>
    <s v="FR001030781912015"/>
    <s v="FR0010307819"/>
    <n v="1"/>
    <x v="125"/>
    <m/>
    <m/>
    <m/>
  </r>
  <r>
    <m/>
    <m/>
    <m/>
    <m/>
    <m/>
    <x v="1"/>
    <n v="6.9080482763219209E-2"/>
    <n v="0.11640687450039966"/>
    <n v="9.781710914454278E-2"/>
    <n v="3.8179424487492897E-2"/>
    <m/>
    <m/>
    <m/>
    <m/>
    <m/>
    <m/>
    <m/>
    <m/>
    <m/>
    <m/>
    <m/>
    <s v=""/>
    <m/>
    <m/>
    <m/>
    <s v="En 2020, en février avant le Covid-19, petite acquisition aux États-Unis dans les luminaires des bâtiments non résidentiels : Focal Point 750 personnes et 200 M$ de CA, basée à Chicago. Innovation et services clients"/>
    <m/>
    <n v="2773"/>
    <n v="0"/>
    <s v="FR00103078191"/>
    <s v="FR0010307819"/>
    <n v="1"/>
    <x v="125"/>
    <m/>
    <m/>
    <m/>
  </r>
  <r>
    <m/>
    <m/>
    <m/>
    <m/>
    <n v="43.71"/>
    <x v="10"/>
    <n v="4499100000"/>
    <n v="1000800000"/>
    <n v="847500000"/>
    <n v="531700000"/>
    <n v="855600000"/>
    <n v="4558400000"/>
    <n v="17.113833970919135"/>
    <n v="0.11664180414180414"/>
    <n v="0.10957702253417066"/>
    <n v="266357615"/>
    <n v="11642491351.65"/>
    <n v="2.554074094342313"/>
    <n v="12.488100870953238"/>
    <m/>
    <m/>
    <s v=""/>
    <n v="607000000"/>
    <m/>
    <m/>
    <s v="En 2021, rapport charges financières sur EBE 5,49%"/>
    <m/>
    <n v="2774"/>
    <n v="0"/>
    <s v="FR001030781912014"/>
    <s v="FR0010307819"/>
    <n v="1"/>
    <x v="125"/>
    <m/>
    <m/>
    <m/>
  </r>
  <r>
    <m/>
    <m/>
    <m/>
    <m/>
    <m/>
    <x v="1"/>
    <n v="8.6763518966908038E-3"/>
    <n v="-4.4217362238563651E-2"/>
    <n v="-2.2368730868848052E-3"/>
    <n v="2.2620169651272892E-3"/>
    <m/>
    <m/>
    <m/>
    <m/>
    <m/>
    <m/>
    <m/>
    <m/>
    <m/>
    <m/>
    <m/>
    <s v=""/>
    <m/>
    <m/>
    <m/>
    <s v="En 2022, la Russie et l'Ukraine représente 2 % de ses ventes, la société va se désengager de la Russie 1,5% des ventes, dépréciation d'actifs de 150 M euros. Au S1 Legrand relève ces objectifs de croissance, lié au pricing power, la gestion de la supply chain"/>
    <m/>
    <n v="2775"/>
    <n v="0"/>
    <s v="FR00103078191"/>
    <s v="FR0010307819"/>
    <n v="1"/>
    <x v="125"/>
    <m/>
    <m/>
    <m/>
  </r>
  <r>
    <m/>
    <m/>
    <m/>
    <m/>
    <n v="40.06"/>
    <x v="11"/>
    <n v="4460400000"/>
    <n v="1047100000"/>
    <n v="849400000"/>
    <n v="530500000"/>
    <n v="967700000"/>
    <n v="3237400000"/>
    <n v="12.189441236714035"/>
    <n v="0.16386606536109224"/>
    <n v="0.14139497277115884"/>
    <n v="265590517"/>
    <n v="10639556111.02"/>
    <n v="3.2864508899178353"/>
    <n v="11.085145746366155"/>
    <m/>
    <m/>
    <s v=""/>
    <n v="563000000"/>
    <m/>
    <m/>
    <s v="Croissance annuelle entre 2022 et 2011 : 6,3% "/>
    <m/>
    <n v="2776"/>
    <n v="0"/>
    <s v="FR001030781912013"/>
    <s v="FR0010307819"/>
    <n v="1"/>
    <x v="125"/>
    <m/>
    <m/>
    <m/>
  </r>
  <r>
    <m/>
    <m/>
    <m/>
    <m/>
    <m/>
    <x v="1"/>
    <n v="-1.4104372355430161E-3"/>
    <n v="7.0205808809387094E-3"/>
    <n v="1.6509433962264008E-3"/>
    <n v="4.9248417721518889E-2"/>
    <m/>
    <m/>
    <m/>
    <m/>
    <m/>
    <m/>
    <m/>
    <m/>
    <m/>
    <m/>
    <m/>
    <s v=""/>
    <m/>
    <m/>
    <m/>
    <s v="Objectif 2024 : entre 5 et 10 % de croissance annuelle, 20% de marge opérationnelle et cash flow libre proche de 13-15% du CA soit 100% du Rn. Stratégie d'acquisition complémentaire &quot;bolt-on &quot; dans les datacenter&quot;"/>
    <m/>
    <n v="2777"/>
    <n v="0"/>
    <s v="FR00103078191"/>
    <s v="FR0010307819"/>
    <n v="1"/>
    <x v="125"/>
    <m/>
    <m/>
    <m/>
  </r>
  <r>
    <m/>
    <m/>
    <m/>
    <m/>
    <n v="31.73"/>
    <x v="12"/>
    <n v="4466700000"/>
    <n v="1039800000"/>
    <n v="848000000"/>
    <n v="505600000"/>
    <n v="1082500000"/>
    <n v="3185100000"/>
    <n v="12.047665270763721"/>
    <n v="0.15873912906973092"/>
    <n v="0.13909457306214265"/>
    <n v="264374875"/>
    <n v="8388614783.75"/>
    <n v="2.6337053102728327"/>
    <n v="9.1085927906809001"/>
    <m/>
    <m/>
    <s v=""/>
    <m/>
    <m/>
    <m/>
    <s v="Taux d'impôt  : 28,49 % en 2021"/>
    <m/>
    <n v="2778"/>
    <n v="0"/>
    <s v="FR001030781912012"/>
    <s v="FR0010307819"/>
    <n v="1"/>
    <x v="125"/>
    <m/>
    <m/>
    <m/>
  </r>
  <r>
    <m/>
    <m/>
    <m/>
    <m/>
    <m/>
    <x v="1"/>
    <n v="5.7204598332311729E-2"/>
    <n v="1.0790317876931965E-2"/>
    <n v="4.3949279822725673E-2"/>
    <n v="5.6414542415378133E-2"/>
    <m/>
    <m/>
    <m/>
    <m/>
    <m/>
    <m/>
    <m/>
    <m/>
    <m/>
    <m/>
    <m/>
    <s v=""/>
    <m/>
    <m/>
    <m/>
    <s v="Minoritaires : 0,06 % non significatif"/>
    <m/>
    <n v="2779"/>
    <n v="0"/>
    <s v="FR00103078191"/>
    <s v="FR0010307819"/>
    <n v="1"/>
    <x v="125"/>
    <m/>
    <m/>
    <m/>
  </r>
  <r>
    <m/>
    <m/>
    <m/>
    <m/>
    <n v="24.85"/>
    <x v="17"/>
    <n v="4225010000"/>
    <n v="1028700000"/>
    <n v="812300000"/>
    <n v="478600000"/>
    <n v="1268800000"/>
    <n v="2945800000"/>
    <n v="11.184218232048762"/>
    <n v="0.16246859936180325"/>
    <n v="0.1349143453708537"/>
    <n v="263388995"/>
    <n v="6545216525.75"/>
    <n v="2.2218808221026545"/>
    <n v="7.5960110097696125"/>
    <m/>
    <m/>
    <s v=""/>
    <m/>
    <m/>
    <m/>
    <s v="Cac : PWC et Deloitte"/>
    <m/>
    <n v="2780"/>
    <n v="0"/>
    <s v="FR001030781912011"/>
    <s v="FR0010307819"/>
    <n v="1"/>
    <x v="125"/>
    <m/>
    <m/>
    <m/>
  </r>
  <r>
    <m/>
    <m/>
    <m/>
    <m/>
    <m/>
    <x v="1"/>
    <m/>
    <m/>
    <m/>
    <m/>
    <m/>
    <m/>
    <m/>
    <m/>
    <m/>
    <m/>
    <m/>
    <m/>
    <m/>
    <m/>
    <m/>
    <s v=""/>
    <m/>
    <m/>
    <m/>
    <s v="Pay out : 45,7 % (50% en 2022)"/>
    <m/>
    <n v="2781"/>
    <n v="0"/>
    <s v="FR00103078191"/>
    <s v="FR0010307819"/>
    <n v="1"/>
    <x v="125"/>
    <m/>
    <m/>
    <m/>
  </r>
  <r>
    <m/>
    <m/>
    <m/>
    <m/>
    <n v="13.22"/>
    <x v="20"/>
    <n v="4202400000"/>
    <n v="920700000"/>
    <n v="642800000"/>
    <n v="351500000"/>
    <n v="422500000"/>
    <n v="2185800000"/>
    <n v="8.3168728399835494"/>
    <n v="0.16081068716259492"/>
    <n v="0.1725108308093394"/>
    <n v="262815128"/>
    <n v="3474415992.1600003"/>
    <n v="1.5895397530240645"/>
    <n v="4.2325578279135447"/>
    <m/>
    <m/>
    <s v=""/>
    <m/>
    <m/>
    <m/>
    <m/>
    <m/>
    <n v="2782"/>
    <n v="0"/>
    <s v="FR001030781912008"/>
    <s v="FR0010307819"/>
    <n v="1"/>
    <x v="125"/>
    <m/>
    <m/>
    <m/>
  </r>
  <r>
    <m/>
    <m/>
    <m/>
    <m/>
    <m/>
    <x v="1"/>
    <m/>
    <m/>
    <m/>
    <m/>
    <m/>
    <m/>
    <m/>
    <m/>
    <m/>
    <m/>
    <m/>
    <m/>
    <m/>
    <m/>
    <m/>
    <s v=""/>
    <m/>
    <m/>
    <m/>
    <m/>
    <m/>
    <n v="2783"/>
    <n v="0"/>
    <s v="FR00103078191"/>
    <s v="FR0010307819"/>
    <n v="1"/>
    <x v="125"/>
    <m/>
    <m/>
    <m/>
  </r>
  <r>
    <m/>
    <m/>
    <m/>
    <m/>
    <s v="IPO à 19,75 euros en avril 2006"/>
    <x v="1"/>
    <m/>
    <m/>
    <m/>
    <m/>
    <m/>
    <m/>
    <m/>
    <m/>
    <m/>
    <m/>
    <m/>
    <m/>
    <m/>
    <m/>
    <m/>
    <s v=""/>
    <m/>
    <m/>
    <m/>
    <m/>
    <m/>
    <n v="2784"/>
    <n v="0"/>
    <s v="FR00103078191"/>
    <s v="FR0010307819"/>
    <n v="1"/>
    <x v="125"/>
    <m/>
    <m/>
    <m/>
  </r>
  <r>
    <m/>
    <m/>
    <m/>
    <m/>
    <m/>
    <x v="1"/>
    <m/>
    <m/>
    <m/>
    <m/>
    <m/>
    <m/>
    <m/>
    <m/>
    <m/>
    <m/>
    <m/>
    <m/>
    <m/>
    <m/>
    <m/>
    <s v=""/>
    <m/>
    <m/>
    <m/>
    <m/>
    <m/>
    <n v="2785"/>
    <n v="0"/>
    <s v="FR00103078191"/>
    <s v="FR0010307819"/>
    <n v="1"/>
    <x v="125"/>
    <m/>
    <m/>
    <m/>
  </r>
  <r>
    <m/>
    <m/>
    <m/>
    <m/>
    <m/>
    <x v="1"/>
    <m/>
    <m/>
    <m/>
    <m/>
    <m/>
    <m/>
    <m/>
    <m/>
    <m/>
    <m/>
    <m/>
    <m/>
    <m/>
    <m/>
    <m/>
    <s v=""/>
    <m/>
    <m/>
    <m/>
    <m/>
    <m/>
    <n v="2786"/>
    <n v="0"/>
    <s v="FR00103078191"/>
    <s v="FR0010307819"/>
    <n v="1"/>
    <x v="125"/>
    <m/>
    <m/>
    <m/>
  </r>
  <r>
    <m/>
    <m/>
    <m/>
    <m/>
    <m/>
    <x v="1"/>
    <m/>
    <m/>
    <m/>
    <m/>
    <m/>
    <m/>
    <m/>
    <m/>
    <m/>
    <m/>
    <m/>
    <m/>
    <m/>
    <m/>
    <m/>
    <s v=""/>
    <m/>
    <m/>
    <m/>
    <m/>
    <m/>
    <n v="2787"/>
    <n v="0"/>
    <s v="FR00103078191"/>
    <s v="FR0010307819"/>
    <n v="1"/>
    <x v="125"/>
    <m/>
    <m/>
    <m/>
  </r>
  <r>
    <s v="GTT"/>
    <s v="Ingénièrie"/>
    <s v="France"/>
    <s v="Euro"/>
    <n v="105.2"/>
    <x v="0"/>
    <n v="431000000"/>
    <n v="230000000"/>
    <n v="220000000"/>
    <n v="185000000"/>
    <n v="-240000000"/>
    <n v="275000000"/>
    <n v="7.4167256116553384"/>
    <n v="0.71210266595841321"/>
    <n v="3.5113106765125237"/>
    <n v="37078357"/>
    <n v="3900643156.4000001"/>
    <n v="14.184156932363637"/>
    <n v="15.915839810434782"/>
    <s v="Non noté"/>
    <n v="553"/>
    <n v="779385.17179023509"/>
    <n v="200000000"/>
    <s v="E=2"/>
    <m/>
    <s v="Société concevant des membranes pour le transport par bateau de Gaz Naturel Liquéfié créée en 1994 (mais remontant à 1963 - plus de 50 ans d'expérience)"/>
    <m/>
    <n v="2788"/>
    <s v="p"/>
    <s v="FR001172683512023"/>
    <s v="FR0011726835"/>
    <n v="1"/>
    <x v="126"/>
    <m/>
    <m/>
    <m/>
  </r>
  <r>
    <m/>
    <m/>
    <m/>
    <m/>
    <m/>
    <x v="1"/>
    <n v="0.40256562119663908"/>
    <n v="0.42747200913582084"/>
    <n v="0.44529556294262185"/>
    <n v="0.4420341255427116"/>
    <m/>
    <m/>
    <m/>
    <m/>
    <m/>
    <m/>
    <m/>
    <m/>
    <m/>
    <m/>
    <m/>
    <s v=""/>
    <m/>
    <s v="S=2"/>
    <m/>
    <s v="Engie à moins de 10% du capital en décembre 2022. Détenue par Engie à 40,1%, le solde est coté depuis 2014. La société a eu comme actionnaire historique Total puis Temasek"/>
    <m/>
    <n v="2789"/>
    <s v="p"/>
    <s v="FR00117268351"/>
    <s v="FR0011726835"/>
    <n v="1"/>
    <x v="126"/>
    <m/>
    <m/>
    <m/>
  </r>
  <r>
    <m/>
    <m/>
    <m/>
    <m/>
    <n v="99.8"/>
    <x v="2"/>
    <n v="307294000"/>
    <n v="161124000"/>
    <n v="152218000"/>
    <n v="128291000"/>
    <n v="-212803000"/>
    <n v="259794000"/>
    <n v="7.0066211401977707"/>
    <n v="0.51682310760182093"/>
    <n v="2.5697451942556162"/>
    <n v="37078357"/>
    <n v="3700420028.5999999"/>
    <n v="14.243670094767392"/>
    <n v="21.645546464834538"/>
    <m/>
    <n v="553"/>
    <n v="555685.3526220615"/>
    <n v="130426000"/>
    <s v="G=1"/>
    <m/>
    <s v="En 2021, Engie a réduit sa participation à 30% et potentiellement à 20% avec l'émission d'obligations remboursables en actions GTT puis 12% en 2022"/>
    <m/>
    <n v="2790"/>
    <s v="p"/>
    <s v="FR001172683512022"/>
    <s v="FR0011726835"/>
    <n v="1"/>
    <x v="126"/>
    <m/>
    <m/>
    <m/>
  </r>
  <r>
    <m/>
    <m/>
    <m/>
    <m/>
    <m/>
    <x v="1"/>
    <n v="-2.3642111617710126E-2"/>
    <n v="-6.4195566190606179E-2"/>
    <n v="-7.5331523092717068E-2"/>
    <n v="-4.3325553127866345E-2"/>
    <m/>
    <m/>
    <m/>
    <m/>
    <m/>
    <m/>
    <m/>
    <m/>
    <m/>
    <m/>
    <m/>
    <s v=""/>
    <m/>
    <m/>
    <m/>
    <s v="Dirigé par Philippe Berterottière né en 1956, PDG de la société renouvelé jusqu'en 2024, après il y aura sépartion des fonctions CEO et Président "/>
    <m/>
    <n v="2791"/>
    <s v="p"/>
    <s v="FR00117268351"/>
    <s v="FR0011726835"/>
    <n v="1"/>
    <x v="126"/>
    <m/>
    <m/>
    <m/>
  </r>
  <r>
    <m/>
    <m/>
    <m/>
    <m/>
    <n v="82.25"/>
    <x v="3"/>
    <n v="314735000"/>
    <n v="172177000"/>
    <n v="164619000"/>
    <n v="134101000"/>
    <n v="-203804000"/>
    <n v="248230000"/>
    <n v="6.6947410857498353"/>
    <n v="0.54886544097182433"/>
    <n v="1.2035898810684345"/>
    <n v="37078357"/>
    <n v="3049694863.25"/>
    <n v="12.285762652580269"/>
    <n v="16.5288677538231"/>
    <m/>
    <n v="553"/>
    <n v="569141.04882459308"/>
    <n v="179228000"/>
    <m/>
    <m/>
    <s v="Éric Dehouck, nommé DG Adjoint en avril 2020 (né en 1977). Il n'apparaît pas dans le COMEX"/>
    <m/>
    <n v="2792"/>
    <s v="p"/>
    <s v="FR001172683512021"/>
    <s v="FR0011726835"/>
    <n v="1"/>
    <x v="126"/>
    <m/>
    <m/>
    <m/>
  </r>
  <r>
    <m/>
    <m/>
    <m/>
    <m/>
    <m/>
    <x v="1"/>
    <n v="-0.20596456881631997"/>
    <n v="-0.29044820651457204"/>
    <n v="-0.30338871162944214"/>
    <n v="-0.3256579939857791"/>
    <m/>
    <m/>
    <m/>
    <m/>
    <m/>
    <m/>
    <m/>
    <m/>
    <m/>
    <m/>
    <m/>
    <s v=""/>
    <m/>
    <m/>
    <m/>
    <s v="Entre la commande et la livraison du bâteau : 30 mois avec 12 mois d'étude chez GTT et 18 mois de construction chez l'armateur (GTT touche des royalties, peut-être : 4 M euros par méthanier et 1 Meuro pour le GNL Carburant)"/>
    <m/>
    <n v="2793"/>
    <s v="p"/>
    <s v="FR00117268351"/>
    <s v="FR0011726835"/>
    <n v="1"/>
    <x v="126"/>
    <m/>
    <m/>
    <m/>
  </r>
  <r>
    <m/>
    <m/>
    <m/>
    <m/>
    <n v="79.2"/>
    <x v="4"/>
    <n v="396374000"/>
    <n v="242656000"/>
    <n v="236314000"/>
    <n v="198862000"/>
    <n v="-141744000"/>
    <n v="244324000"/>
    <n v="6.5893966121530143"/>
    <n v="0.98308318997053645"/>
    <n v="5.3275069135505593"/>
    <n v="37078357"/>
    <n v="2936605874.4000001"/>
    <n v="12.019309909791916"/>
    <n v="11.517794220625083"/>
    <m/>
    <n v="437"/>
    <n v="907034.32494279172"/>
    <n v="130455000"/>
    <m/>
    <m/>
    <s v="Deux tiers des méthaniers dans le Monde sont équipés de membrane à la technologie GTT. Les projets méthaniers représentent 85% du CA."/>
    <m/>
    <n v="2794"/>
    <s v="p"/>
    <s v="FR001172683512020"/>
    <s v="FR0011726835"/>
    <n v="1"/>
    <x v="126"/>
    <m/>
    <m/>
    <m/>
  </r>
  <r>
    <m/>
    <m/>
    <m/>
    <m/>
    <m/>
    <x v="1"/>
    <n v="0.37522898856444997"/>
    <n v="0.3920306566160694"/>
    <n v="0.38981256579605139"/>
    <n v="0.3872189629794982"/>
    <m/>
    <m/>
    <m/>
    <m/>
    <m/>
    <m/>
    <m/>
    <m/>
    <m/>
    <m/>
    <m/>
    <s v=""/>
    <m/>
    <m/>
    <m/>
    <s v="57 méthaniers équipés en 2019 (niveau record). Plus de 500 méthaniers en circulation dans le Monde en croissance"/>
    <m/>
    <n v="2795"/>
    <s v="p"/>
    <s v="FR00117268351"/>
    <s v="FR0011726835"/>
    <n v="1"/>
    <x v="126"/>
    <m/>
    <m/>
    <m/>
  </r>
  <r>
    <m/>
    <m/>
    <m/>
    <m/>
    <n v="89.1"/>
    <x v="5"/>
    <n v="288224000"/>
    <n v="174318000"/>
    <n v="170033000"/>
    <n v="143353000"/>
    <n v="-169016000"/>
    <n v="202284000"/>
    <n v="5.4555815404657766"/>
    <n v="0.79896223470661676"/>
    <n v="20.420296236989593"/>
    <n v="37078357"/>
    <n v="3303681608.6999998"/>
    <n v="16.331897770955685"/>
    <n v="17.982455103316926"/>
    <m/>
    <n v="381"/>
    <n v="756493.43832020997"/>
    <m/>
    <m/>
    <m/>
    <s v="Réalise 85% du CA avec la Corée du Sud (et quelques donneurs d'ordre) et la Chine (15%). Principaux chantiers navals au Monde"/>
    <m/>
    <n v="2796"/>
    <s v="p"/>
    <s v="FR001172683512019"/>
    <s v="FR0011726835"/>
    <n v="1"/>
    <x v="126"/>
    <m/>
    <m/>
    <m/>
  </r>
  <r>
    <m/>
    <m/>
    <m/>
    <m/>
    <m/>
    <x v="1"/>
    <n v="0.17170419575018192"/>
    <n v="3.330784414845378E-2"/>
    <n v="6.3364206602835482E-2"/>
    <n v="3.8725490196078738E-3"/>
    <m/>
    <m/>
    <m/>
    <m/>
    <m/>
    <m/>
    <m/>
    <m/>
    <m/>
    <m/>
    <m/>
    <s v=""/>
    <m/>
    <m/>
    <m/>
    <s v="L'Asie représente 55% de la consommation de gaz et 75% des importations"/>
    <m/>
    <n v="2797"/>
    <s v="p"/>
    <s v="FR00117268351"/>
    <s v="FR0011726835"/>
    <n v="1"/>
    <x v="126"/>
    <m/>
    <m/>
    <m/>
  </r>
  <r>
    <m/>
    <m/>
    <m/>
    <m/>
    <n v="68.05"/>
    <x v="6"/>
    <n v="245987000"/>
    <n v="168699000"/>
    <n v="159901000"/>
    <n v="142800000"/>
    <n v="-173179000"/>
    <n v="179424000"/>
    <n v="4.8390493678023541"/>
    <n v="1.0468824456581503"/>
    <n v="3.2842872792003286"/>
    <n v="37078357"/>
    <n v="2523182193.8499999"/>
    <n v="14.062679428894684"/>
    <n v="13.930154854800561"/>
    <m/>
    <n v="345"/>
    <n v="713005.79710144922"/>
    <m/>
    <m/>
    <m/>
    <s v="Flux net de trésorerie généré par l'activité supérieure à l'EBE. Marge d'EBE : 60-62%. 20 M euros par an dépensés en R&amp;D"/>
    <m/>
    <n v="2798"/>
    <s v="p"/>
    <s v="FR001172683512018"/>
    <s v="FR0011726835"/>
    <n v="1"/>
    <x v="126"/>
    <m/>
    <m/>
    <m/>
  </r>
  <r>
    <m/>
    <m/>
    <m/>
    <m/>
    <m/>
    <x v="1"/>
    <n v="6.2161310240898882E-2"/>
    <n v="0.18721850016889996"/>
    <n v="0.15574653242069192"/>
    <n v="0.2284399329003397"/>
    <m/>
    <m/>
    <m/>
    <m/>
    <m/>
    <m/>
    <m/>
    <m/>
    <m/>
    <m/>
    <m/>
    <s v=""/>
    <m/>
    <m/>
    <m/>
    <s v="La réglementation va obliger le transport maritime (Porte containers, Tankers et trafic passagers) a changé de combustibles (à partir de 2020) et le GNL est une solution fossile moins polluante, cela devrait augmenter les débouchés du GNL comme carburant des tankers et autres bâteaux"/>
    <m/>
    <n v="2799"/>
    <s v="p"/>
    <s v="FR00117268351"/>
    <s v="FR0011726835"/>
    <n v="1"/>
    <x v="126"/>
    <m/>
    <m/>
    <m/>
  </r>
  <r>
    <m/>
    <m/>
    <m/>
    <m/>
    <n v="51.4"/>
    <x v="7"/>
    <n v="231591000"/>
    <n v="142096000"/>
    <n v="138353000"/>
    <n v="116245000"/>
    <n v="-99890000"/>
    <n v="136405000"/>
    <n v="3.6788307529376234"/>
    <n v="0.96259584968781575"/>
    <n v="2.4384825981716918"/>
    <n v="37078357"/>
    <n v="1905827549.8"/>
    <n v="13.971830576591767"/>
    <n v="12.70927788115077"/>
    <m/>
    <n v="345"/>
    <n v="671278.26086956519"/>
    <m/>
    <m/>
    <m/>
    <s v="La partie tankers utilisant du GNL représente 20% du carnet de commandes (25 navires sur 136) au 30 juin 2021 contre 10% au 31/12/2020 mais 2% du CA annuel "/>
    <m/>
    <n v="2800"/>
    <s v="p"/>
    <s v="FR001172683512017"/>
    <s v="FR0011726835"/>
    <n v="1"/>
    <x v="126"/>
    <m/>
    <m/>
    <m/>
  </r>
  <r>
    <m/>
    <m/>
    <m/>
    <m/>
    <m/>
    <x v="1"/>
    <n v="-2.2942340388728777E-2"/>
    <n v="-2.9319343115555951E-2"/>
    <n v="-2.6690679367133985E-2"/>
    <n v="-3.0224914072146003E-2"/>
    <m/>
    <m/>
    <m/>
    <m/>
    <m/>
    <m/>
    <m/>
    <m/>
    <m/>
    <m/>
    <m/>
    <s v=""/>
    <m/>
    <m/>
    <m/>
    <s v="Risque régulateur : position dominante. La Cour d'appel de Corée a suspendu le jugement. Décision à venir de la cour suprême finalement favorable à GTT. La société doit juste séparer les contrats ventes des contrats SAV"/>
    <m/>
    <n v="2801"/>
    <s v="p"/>
    <s v="FR00117268351"/>
    <s v="FR0011726835"/>
    <n v="1"/>
    <x v="126"/>
    <m/>
    <m/>
    <m/>
  </r>
  <r>
    <m/>
    <m/>
    <m/>
    <m/>
    <n v="39.49"/>
    <x v="8"/>
    <n v="237029000"/>
    <n v="146388000"/>
    <n v="142147000"/>
    <n v="119868000"/>
    <n v="-78209000"/>
    <n v="120762000"/>
    <n v="3.2569404302353528"/>
    <n v="1.1957504114918449"/>
    <n v="3.9778459758964217"/>
    <n v="37078357"/>
    <n v="1464224317.9300001"/>
    <n v="12.124876351252878"/>
    <n v="9.4680938186873238"/>
    <m/>
    <n v="376"/>
    <n v="630396.27659574465"/>
    <m/>
    <m/>
    <m/>
    <s v="En 2020, acquisition d'Elogen conception et fabrication d'électrolyseur servant à produire de l'hydrogène vert pour 8 M euros (CA de 5 Me en 2021 et en 2022 mais carnet de commandes à 15 M euros)"/>
    <m/>
    <n v="2802"/>
    <s v="p"/>
    <s v="FR001172683512016"/>
    <s v="FR0011726835"/>
    <n v="1"/>
    <x v="126"/>
    <m/>
    <m/>
    <m/>
  </r>
  <r>
    <m/>
    <m/>
    <m/>
    <m/>
    <m/>
    <x v="1"/>
    <n v="4.6679737523072751E-2"/>
    <n v="2.9741136747327035E-2"/>
    <n v="2.0621073415903801E-2"/>
    <n v="2.2267327323741926E-2"/>
    <m/>
    <m/>
    <m/>
    <m/>
    <m/>
    <m/>
    <m/>
    <m/>
    <m/>
    <m/>
    <m/>
    <s v=""/>
    <m/>
    <m/>
    <m/>
    <s v="En 2021, exercice de transition après les records de 2019-2020, le carnet de commandes (2 ans de CA avec près de 120 méthaniers) se remplit plus vite que les livraisons grâce aux méthaniers et aux nouvelles commandes de cuves pour tankers (32 unités). Potentiel à long terme"/>
    <m/>
    <n v="2803"/>
    <s v="p"/>
    <s v="FR00117268351"/>
    <s v="FR0011726835"/>
    <n v="1"/>
    <x v="126"/>
    <m/>
    <m/>
    <m/>
  </r>
  <r>
    <m/>
    <m/>
    <m/>
    <m/>
    <n v="36.880000000000003"/>
    <x v="9"/>
    <n v="226458000"/>
    <n v="142160000"/>
    <n v="139275000"/>
    <n v="117257000"/>
    <n v="-73444000"/>
    <n v="100245000"/>
    <n v="2.7035987597832341"/>
    <n v="1.5400992959966375"/>
    <n v="9.1379800542384739"/>
    <n v="37078357"/>
    <n v="1367449806.1600001"/>
    <n v="13.641077421916306"/>
    <n v="9.1024606510973562"/>
    <m/>
    <m/>
    <s v=""/>
    <m/>
    <m/>
    <m/>
    <s v="En 2022, poursuite de l'exercice de transition impact en 2023 et 2024 du carnet de commandes record de 795 Meuros de chiffre d'affaires pour 161 unités. Croissance de l'activité services (5% du CA). Développement du GNL Carburant voire du transport d'hydrogène"/>
    <m/>
    <n v="2804"/>
    <s v="p"/>
    <s v="FR001172683512015"/>
    <s v="FR0011726835"/>
    <n v="1"/>
    <x v="126"/>
    <m/>
    <m/>
    <m/>
  </r>
  <r>
    <m/>
    <m/>
    <m/>
    <m/>
    <m/>
    <x v="1"/>
    <n v="-1.3318045510671839E-3"/>
    <n v="-8.5745210216325862E-4"/>
    <n v="2.8225196748341563E-3"/>
    <n v="1.6135881104033967E-2"/>
    <m/>
    <m/>
    <m/>
    <m/>
    <m/>
    <m/>
    <m/>
    <m/>
    <m/>
    <m/>
    <m/>
    <s v=""/>
    <m/>
    <m/>
    <m/>
    <s v="Cession de 8% du capital d'Engie le 24 mars sur le marché puis conversion d'obligations en décembre, Engie à moins de 10% du capital"/>
    <m/>
    <n v="2805"/>
    <s v="p"/>
    <s v="FR00117268351"/>
    <s v="FR0011726835"/>
    <n v="1"/>
    <x v="126"/>
    <m/>
    <m/>
    <m/>
  </r>
  <r>
    <m/>
    <m/>
    <m/>
    <m/>
    <n v="48.6"/>
    <x v="10"/>
    <n v="226760000"/>
    <n v="142282000"/>
    <n v="138883000"/>
    <n v="115395000"/>
    <n v="-64705000"/>
    <n v="76136000"/>
    <n v="2.0533811678872396"/>
    <n v="1.3300944016044816"/>
    <n v="8.5047764849969383"/>
    <n v="37078357"/>
    <n v="1802008150.2"/>
    <n v="23.668279791425871"/>
    <n v="12.148860363222333"/>
    <m/>
    <m/>
    <s v=""/>
    <m/>
    <m/>
    <m/>
    <s v="Hausse du prix du gaz et commandes records en 9 mois doublant le carnet de commandes : 250 commandes"/>
    <m/>
    <n v="2806"/>
    <s v="p"/>
    <s v="FR001172683512014"/>
    <s v="FR0011726835"/>
    <n v="1"/>
    <x v="126"/>
    <m/>
    <m/>
    <m/>
  </r>
  <r>
    <m/>
    <m/>
    <m/>
    <m/>
    <m/>
    <x v="1"/>
    <n v="4.1932786237444564E-2"/>
    <n v="-1.1896246397444354E-2"/>
    <n v="-1.1332977398113564E-2"/>
    <n v="-2.8195346251989606E-2"/>
    <m/>
    <m/>
    <m/>
    <m/>
    <m/>
    <m/>
    <m/>
    <m/>
    <m/>
    <m/>
    <m/>
    <s v=""/>
    <m/>
    <m/>
    <m/>
    <s v="À horizon 10 ans , potentiel revu à la hausse à 400 - 450 méthaniers 100% de part de marché (contre 300-360 en 2021), 25-40 éthaniers et 25-30 réservoirs terrestre soit avec les services 300 M euros de CA par an. GTT aura besoin des réservoirs de carburants des bâteaux (50% de pdm) et de l'hydrogène pour croître"/>
    <m/>
    <n v="2807"/>
    <s v="p"/>
    <s v="FR00117268351"/>
    <s v="FR0011726835"/>
    <n v="1"/>
    <x v="126"/>
    <m/>
    <m/>
    <m/>
  </r>
  <r>
    <m/>
    <m/>
    <m/>
    <m/>
    <m/>
    <x v="11"/>
    <n v="217634000"/>
    <n v="143995000"/>
    <n v="140475000"/>
    <n v="118743000"/>
    <n v="-87180000"/>
    <n v="86757000"/>
    <m/>
    <n v="1.3686849476122964"/>
    <n v="4.4591193542535823"/>
    <m/>
    <m/>
    <m/>
    <m/>
    <m/>
    <m/>
    <s v=""/>
    <m/>
    <m/>
    <m/>
    <s v="Hydrogènier : en cours partenariat avec Shell, Logiciel (soutage par exemple) +10 Me de CA par an, GNL carburant : 3500 bâteaux Si 1000 bâteaux sur 10 ans soit 100 bateaux par an et 50 M euros par an. Electrolyseur : Gigafactory de 1 GW 50 Me d'investissement peut-être 30 Me de CA par an (5 Me en 2021). Total de 70 - 80 Me de plus l'hydrogenier "/>
    <m/>
    <n v="2808"/>
    <s v="p"/>
    <s v="FR001172683512013"/>
    <s v="FR0011726835"/>
    <n v="1"/>
    <x v="126"/>
    <m/>
    <m/>
    <m/>
  </r>
  <r>
    <m/>
    <m/>
    <m/>
    <m/>
    <m/>
    <x v="1"/>
    <m/>
    <m/>
    <m/>
    <m/>
    <m/>
    <m/>
    <m/>
    <m/>
    <m/>
    <m/>
    <m/>
    <m/>
    <m/>
    <m/>
    <m/>
    <s v=""/>
    <m/>
    <m/>
    <m/>
    <s v="En 2023, abandon des contrats avec la Russie (6% du carnet de commandes qui est de 1,59 Md euros). Réalisera certaines prestations en cours. Impact 25 M euros par an jusqu'à 2025 puis 6 M euros par an jusqu'à 2027"/>
    <m/>
    <n v="2809"/>
    <s v="p"/>
    <s v="FR00117268351"/>
    <s v="FR0011726835"/>
    <n v="1"/>
    <x v="126"/>
    <m/>
    <m/>
    <m/>
  </r>
  <r>
    <m/>
    <m/>
    <m/>
    <m/>
    <s v="IPO le 23 février 2014 à 47 euros"/>
    <x v="1"/>
    <m/>
    <m/>
    <m/>
    <m/>
    <m/>
    <m/>
    <m/>
    <m/>
    <m/>
    <m/>
    <m/>
    <m/>
    <m/>
    <m/>
    <m/>
    <s v=""/>
    <m/>
    <m/>
    <m/>
    <s v="En ce qui concerne les électrolyseurs à grande échelle, les chercheurs ont constaté que le CAPEX dans le scénario de croissance rapide pourrait passer de 400 €/kW en 2020 à 230 €/kW en 2030 et 60 €/kW en 2050. "/>
    <m/>
    <n v="2810"/>
    <s v="p"/>
    <s v="FR00117268351"/>
    <s v="FR0011726835"/>
    <n v="1"/>
    <x v="126"/>
    <m/>
    <m/>
    <m/>
  </r>
  <r>
    <m/>
    <m/>
    <m/>
    <m/>
    <m/>
    <x v="1"/>
    <m/>
    <m/>
    <m/>
    <m/>
    <m/>
    <m/>
    <m/>
    <m/>
    <m/>
    <m/>
    <m/>
    <m/>
    <m/>
    <m/>
    <m/>
    <s v=""/>
    <m/>
    <m/>
    <m/>
    <s v="Taux d'IS : 18,5%"/>
    <m/>
    <n v="2811"/>
    <s v="p"/>
    <s v="FR00117268351"/>
    <s v="FR0011726835"/>
    <n v="1"/>
    <x v="126"/>
    <m/>
    <m/>
    <m/>
  </r>
  <r>
    <m/>
    <m/>
    <m/>
    <m/>
    <m/>
    <x v="1"/>
    <m/>
    <m/>
    <m/>
    <m/>
    <m/>
    <m/>
    <m/>
    <m/>
    <m/>
    <m/>
    <m/>
    <m/>
    <m/>
    <m/>
    <m/>
    <s v=""/>
    <m/>
    <m/>
    <m/>
    <s v="CAC : Ernest &amp; Young et Cailliau Dedouit Associés  "/>
    <m/>
    <n v="2812"/>
    <s v="p"/>
    <s v="FR00117268351"/>
    <s v="FR0011726835"/>
    <n v="1"/>
    <x v="126"/>
    <m/>
    <m/>
    <m/>
  </r>
  <r>
    <m/>
    <m/>
    <m/>
    <m/>
    <m/>
    <x v="1"/>
    <m/>
    <m/>
    <m/>
    <m/>
    <m/>
    <m/>
    <m/>
    <m/>
    <m/>
    <m/>
    <m/>
    <m/>
    <m/>
    <m/>
    <m/>
    <s v=""/>
    <m/>
    <m/>
    <m/>
    <s v="Minoritaires : aucun"/>
    <m/>
    <n v="2813"/>
    <s v="p"/>
    <s v="FR00117268351"/>
    <s v="FR0011726835"/>
    <n v="1"/>
    <x v="126"/>
    <m/>
    <m/>
    <m/>
  </r>
  <r>
    <m/>
    <m/>
    <m/>
    <m/>
    <m/>
    <x v="1"/>
    <m/>
    <m/>
    <m/>
    <m/>
    <m/>
    <m/>
    <m/>
    <m/>
    <m/>
    <m/>
    <m/>
    <m/>
    <m/>
    <m/>
    <m/>
    <s v=""/>
    <m/>
    <m/>
    <m/>
    <s v="Pay out ratio : 85%"/>
    <m/>
    <n v="2814"/>
    <s v="p"/>
    <s v="FR00117268351"/>
    <s v="FR0011726835"/>
    <n v="1"/>
    <x v="126"/>
    <m/>
    <m/>
    <m/>
  </r>
  <r>
    <m/>
    <m/>
    <m/>
    <m/>
    <m/>
    <x v="1"/>
    <m/>
    <m/>
    <m/>
    <m/>
    <m/>
    <m/>
    <m/>
    <m/>
    <m/>
    <m/>
    <m/>
    <m/>
    <m/>
    <m/>
    <m/>
    <s v=""/>
    <m/>
    <m/>
    <m/>
    <m/>
    <m/>
    <n v="2815"/>
    <s v="p"/>
    <s v="FR00117268351"/>
    <s v="FR0011726835"/>
    <n v="1"/>
    <x v="126"/>
    <m/>
    <m/>
    <m/>
  </r>
  <r>
    <m/>
    <m/>
    <m/>
    <m/>
    <m/>
    <x v="1"/>
    <m/>
    <m/>
    <m/>
    <m/>
    <m/>
    <m/>
    <m/>
    <m/>
    <m/>
    <m/>
    <m/>
    <m/>
    <m/>
    <m/>
    <m/>
    <s v=""/>
    <m/>
    <m/>
    <m/>
    <m/>
    <m/>
    <n v="2816"/>
    <s v="p"/>
    <s v="FR00117268351"/>
    <s v="FR0011726835"/>
    <n v="1"/>
    <x v="126"/>
    <m/>
    <m/>
    <m/>
  </r>
  <r>
    <m/>
    <m/>
    <m/>
    <m/>
    <m/>
    <x v="1"/>
    <m/>
    <m/>
    <m/>
    <m/>
    <m/>
    <m/>
    <m/>
    <m/>
    <m/>
    <m/>
    <m/>
    <m/>
    <m/>
    <m/>
    <m/>
    <s v=""/>
    <m/>
    <m/>
    <m/>
    <m/>
    <m/>
    <n v="2817"/>
    <s v="p"/>
    <s v="FR00117268351"/>
    <s v="FR0011726835"/>
    <n v="1"/>
    <x v="126"/>
    <m/>
    <m/>
    <m/>
  </r>
  <r>
    <s v="Euronext"/>
    <s v="Bourse - Échange - Logiciel"/>
    <s v="France"/>
    <s v="Euro"/>
    <n v="63"/>
    <x v="0"/>
    <n v="1447176000"/>
    <n v="824890319.99999988"/>
    <n v="600000000"/>
    <n v="420000000"/>
    <n v="1500000000"/>
    <n v="4170000000"/>
    <n v="38.933286217521449"/>
    <n v="0.10730710270822688"/>
    <n v="7.373737373737374E-2"/>
    <n v="107106294"/>
    <n v="6747696522"/>
    <n v="1.6181526431654676"/>
    <n v="9.9985371655228068"/>
    <s v="BBB + / Stable"/>
    <n v="1000"/>
    <n v="1447176"/>
    <m/>
    <s v="E = 0"/>
    <m/>
    <s v="Bourse de 7 pays : France (49% du CA), Belgique (5%), Pays-Bas (24%), Portugal (5%), Norvège (8%), Irlande (5%) et Italie"/>
    <m/>
    <n v="2818"/>
    <s v="p"/>
    <s v="NL000629427412023"/>
    <s v="NL0006294274"/>
    <n v="1"/>
    <x v="127"/>
    <m/>
    <m/>
    <m/>
  </r>
  <r>
    <m/>
    <m/>
    <m/>
    <m/>
    <m/>
    <x v="1"/>
    <n v="2.0000000000000018E-2"/>
    <n v="5.028051948051937E-2"/>
    <n v="-4.0460578922117407E-2"/>
    <n v="-4.0657834627683909E-2"/>
    <m/>
    <m/>
    <m/>
    <m/>
    <m/>
    <m/>
    <m/>
    <m/>
    <m/>
    <s v="Relevé le 10/2/23"/>
    <m/>
    <s v=""/>
    <m/>
    <s v="S = 1"/>
    <m/>
    <s v="Actionnariat institutionnelles bancaires 23,8% (CDC, ABN Amro, Euroclear : 8%) et Italie (CDC et Intesa : 7%) : 74% flottant"/>
    <m/>
    <n v="2819"/>
    <s v="p"/>
    <s v="NL00062942741"/>
    <s v="NL0006294274"/>
    <n v="1"/>
    <x v="127"/>
    <m/>
    <m/>
    <m/>
  </r>
  <r>
    <m/>
    <m/>
    <m/>
    <m/>
    <n v="69.16"/>
    <x v="2"/>
    <n v="1418800000"/>
    <n v="785400000"/>
    <n v="625300000"/>
    <n v="437800000"/>
    <n v="2026000000"/>
    <n v="3914000000"/>
    <n v="36.543137231505739"/>
    <n v="0.12002412545235223"/>
    <n v="7.7307353588727437E-2"/>
    <n v="107106294"/>
    <n v="7407471293.04"/>
    <n v="1.8925578163106795"/>
    <n v="12.011040607384773"/>
    <m/>
    <n v="1000"/>
    <n v="1418800"/>
    <n v="616500000"/>
    <s v="G= 2"/>
    <m/>
    <s v="Dirigé par Stéphane Boujenah (né en 1964) depuis 2015 et renouvelé en 2019. Échéance 2023"/>
    <m/>
    <n v="2820"/>
    <s v="p"/>
    <s v="NL000629427412022"/>
    <s v="NL0006294274"/>
    <n v="1"/>
    <x v="127"/>
    <m/>
    <m/>
    <m/>
  </r>
  <r>
    <m/>
    <m/>
    <m/>
    <m/>
    <m/>
    <x v="1"/>
    <n v="9.2477092477092571E-2"/>
    <n v="0.10015408320493058"/>
    <n v="7.9406179872259619E-2"/>
    <n v="5.9278974110815286E-2"/>
    <m/>
    <m/>
    <m/>
    <m/>
    <m/>
    <m/>
    <m/>
    <m/>
    <m/>
    <m/>
    <m/>
    <s v=""/>
    <m/>
    <m/>
    <m/>
    <s v="Fusion en septembre 2000 de la bourse de Paris avec Amsterdam et Bruxelles. IPO en 2001 puis acquisition du LIFFE, et rachat de l'entité par ICE en 2013 puis IPO en 2014 à 20 euros avec séparation de la partie US de la partie européenne (Euronext)"/>
    <m/>
    <n v="2821"/>
    <s v="p"/>
    <s v="NL00062942741"/>
    <s v="NL0006294274"/>
    <n v="1"/>
    <x v="127"/>
    <m/>
    <m/>
    <m/>
  </r>
  <r>
    <m/>
    <m/>
    <m/>
    <m/>
    <n v="91.25"/>
    <x v="3"/>
    <n v="1298700000"/>
    <n v="713900000"/>
    <n v="579300000"/>
    <n v="413300000"/>
    <n v="2257000000"/>
    <n v="3647600000"/>
    <n v="34.055888442933146"/>
    <n v="0.39038443373949183"/>
    <n v="0.24850972556854911"/>
    <n v="107106294"/>
    <n v="9773449327.5"/>
    <n v="2.6794191598585373"/>
    <n v="16.851728992155763"/>
    <m/>
    <n v="1000"/>
    <n v="1298700"/>
    <n v="543600000"/>
    <m/>
    <m/>
    <s v="Métiers : cotation (19%), trading (41%), clearing (8%), Custody (7%), Data (19%) et Techology (6%). Part de marché : 68% sur le cash trading"/>
    <m/>
    <n v="2822"/>
    <s v="p"/>
    <s v="NL000629427412021"/>
    <s v="NL0006294274"/>
    <n v="1"/>
    <x v="127"/>
    <m/>
    <m/>
    <m/>
  </r>
  <r>
    <m/>
    <m/>
    <m/>
    <m/>
    <m/>
    <x v="1"/>
    <n v="0.46861924686192458"/>
    <n v="0.37288461538461548"/>
    <n v="0.30209035738368173"/>
    <n v="0.30998415213946107"/>
    <m/>
    <m/>
    <m/>
    <m/>
    <m/>
    <m/>
    <m/>
    <m/>
    <m/>
    <m/>
    <m/>
    <s v=""/>
    <m/>
    <m/>
    <m/>
    <s v="50 000 actions et dettes cotées. 8,5 Md euros échangés chaque jour soit pour Euronext 1 M e par jour car autour de 220 M euros par an (soit une commission de 0,01%)"/>
    <m/>
    <n v="2823"/>
    <s v="p"/>
    <s v="NL00062942741"/>
    <s v="NL0006294274"/>
    <n v="1"/>
    <x v="127"/>
    <m/>
    <m/>
    <m/>
  </r>
  <r>
    <m/>
    <m/>
    <m/>
    <m/>
    <n v="88.7"/>
    <x v="4"/>
    <n v="884300000"/>
    <n v="520000000"/>
    <n v="444900000"/>
    <n v="315500000"/>
    <n v="643000000"/>
    <n v="1058700000"/>
    <n v="15.124285714285714"/>
    <n v="0.34364448317176777"/>
    <n v="0.20821707911270676"/>
    <n v="70000000"/>
    <n v="6209000000"/>
    <n v="5.8647397751959947"/>
    <n v="13.176923076923076"/>
    <m/>
    <n v="1000"/>
    <n v="884300"/>
    <n v="278000000"/>
    <m/>
    <m/>
    <s v="Marché réglementé, pas de concurrence frontale. Autres acteurs : LSEG (bourse de Londres), Deutsche Borse (marché allemand, 26 Md de capitalisation), NYSE (détient les bourses américaines, scandinaves hors Oslo), la bourse de Madrid (cotée, en cours de rachat par Six Group), la bourse de Zurich  (Six Group) et du Luxembourg non cotées"/>
    <m/>
    <n v="2824"/>
    <s v="p"/>
    <s v="NL000629427412020"/>
    <s v="NL0006294274"/>
    <n v="1"/>
    <x v="127"/>
    <m/>
    <m/>
    <m/>
  </r>
  <r>
    <m/>
    <m/>
    <m/>
    <m/>
    <m/>
    <x v="1"/>
    <n v="0.30216462965689894"/>
    <n v="0.30195292939409124"/>
    <n v="0.25077312341861124"/>
    <n v="0.4211711711711712"/>
    <m/>
    <m/>
    <m/>
    <m/>
    <m/>
    <m/>
    <m/>
    <m/>
    <m/>
    <m/>
    <m/>
    <s v=""/>
    <m/>
    <m/>
    <m/>
    <s v="255 jours de trading par an. Le ROE était déjà de 20% en 2001-2002. Free cash flow libre élevé"/>
    <m/>
    <n v="2825"/>
    <s v="p"/>
    <s v="NL00062942741"/>
    <s v="NL0006294274"/>
    <n v="1"/>
    <x v="127"/>
    <m/>
    <m/>
    <m/>
  </r>
  <r>
    <m/>
    <m/>
    <m/>
    <m/>
    <n v="74.2"/>
    <x v="5"/>
    <n v="679100000"/>
    <n v="399400000"/>
    <n v="355700000"/>
    <n v="222000000"/>
    <n v="641700000"/>
    <n v="918100000"/>
    <n v="13.115714285714287"/>
    <n v="0.2806219188471748"/>
    <n v="0.28915478841870823"/>
    <n v="70000000"/>
    <n v="5194000000"/>
    <n v="5.6573358022001958"/>
    <n v="14.611166750125188"/>
    <m/>
    <m/>
    <s v=""/>
    <m/>
    <m/>
    <m/>
    <s v="En 2017, acquisition de la bourse de Dublin (26 M euros de CA pour 130 ou 170 Meuros)"/>
    <m/>
    <n v="2826"/>
    <s v="p"/>
    <s v="NL000629427412019"/>
    <s v="NL0006294274"/>
    <n v="1"/>
    <x v="127"/>
    <m/>
    <m/>
    <m/>
  </r>
  <r>
    <m/>
    <m/>
    <m/>
    <m/>
    <m/>
    <x v="1"/>
    <n v="0.10422764227642278"/>
    <n v="0.12729325430426197"/>
    <n v="7.4947113931701503E-2"/>
    <n v="2.7777777777777679E-2"/>
    <m/>
    <m/>
    <m/>
    <m/>
    <m/>
    <m/>
    <m/>
    <m/>
    <m/>
    <m/>
    <m/>
    <s v=""/>
    <m/>
    <m/>
    <m/>
    <s v="En 2019, acquisition de la bourse d'Oslo en 2019 (100 M euros de CA pour 691 M euros) "/>
    <m/>
    <n v="2827"/>
    <s v="p"/>
    <s v="NL00062942741"/>
    <s v="NL0006294274"/>
    <n v="1"/>
    <x v="127"/>
    <m/>
    <m/>
    <m/>
  </r>
  <r>
    <m/>
    <m/>
    <m/>
    <m/>
    <n v="47.5"/>
    <x v="6"/>
    <n v="615000000"/>
    <n v="354300000"/>
    <n v="330900000"/>
    <n v="216000000"/>
    <n v="106900000"/>
    <n v="791100000"/>
    <n v="11.301428571428572"/>
    <n v="0.29609321453050036"/>
    <n v="0.34195498301245753"/>
    <n v="70000000"/>
    <n v="3325000000"/>
    <n v="4.2030084692200731"/>
    <n v="9.6864239345187695"/>
    <m/>
    <m/>
    <s v=""/>
    <m/>
    <m/>
    <m/>
    <s v="En octobre 2020, acquisition de la bourse Italienne, finalisée le 29 avril 2021, pour 4,325 Md euros, CA : 464 M euros, EBE : 264 M euros. Émission de 6,6 M titres à 86 euros pour les actionnaires italiens puis 28 M titres à 59,65 euros en mai 2021 soit 2,4 Md euros"/>
    <m/>
    <n v="2828"/>
    <s v="p"/>
    <s v="NL000629427412018"/>
    <s v="NL0006294274"/>
    <n v="1"/>
    <x v="127"/>
    <m/>
    <m/>
    <m/>
  </r>
  <r>
    <m/>
    <m/>
    <m/>
    <m/>
    <m/>
    <x v="1"/>
    <n v="0.15536351681382676"/>
    <n v="0.18972464741437212"/>
    <n v="0.17799928800284803"/>
    <n v="-0.1048487360132615"/>
    <m/>
    <m/>
    <m/>
    <m/>
    <m/>
    <m/>
    <m/>
    <m/>
    <m/>
    <m/>
    <m/>
    <s v=""/>
    <m/>
    <m/>
    <m/>
    <s v="Dettes brutes : 2 fois 500 M euros à 7 ans (1,05%) et 10 ans (1,22%) et pour l'acquisition de la bourse italienne : 3 fois 600 M euros à 5 ans (0,125%), à 10 ans (0,75%) et à 20 ans (1,5%) soit un coût annuel de 14,25 Meuros soit 0,7917%"/>
    <m/>
    <n v="2829"/>
    <s v="p"/>
    <s v="NL00062942741"/>
    <s v="NL0006294274"/>
    <n v="1"/>
    <x v="127"/>
    <m/>
    <m/>
    <m/>
  </r>
  <r>
    <m/>
    <m/>
    <m/>
    <m/>
    <n v="53.4"/>
    <x v="7"/>
    <n v="532300000"/>
    <n v="297800000"/>
    <n v="280900000"/>
    <n v="241300000"/>
    <n v="-23100000"/>
    <n v="729500000"/>
    <n v="10.421428571428571"/>
    <n v="0.44032846715328466"/>
    <n v="0.46340564971751413"/>
    <n v="70000000"/>
    <n v="3738000000"/>
    <n v="5.1240575736806031"/>
    <n v="12.474479516453997"/>
    <m/>
    <m/>
    <s v=""/>
    <m/>
    <m/>
    <m/>
    <s v="En 2021, intégration réussie de la bourse italienne, et comptes 2021 avec 8 mois de la bourse italienne. Nouveau plan à 3 ans en octobre. BNP Paribas a cédé 2,2 M de titres en septembre à 101 euros"/>
    <m/>
    <n v="2830"/>
    <s v="p"/>
    <s v="NL000629427412017"/>
    <s v="NL0006294274"/>
    <n v="1"/>
    <x v="127"/>
    <m/>
    <m/>
    <m/>
  </r>
  <r>
    <m/>
    <m/>
    <m/>
    <m/>
    <m/>
    <x v="1"/>
    <n v="7.2320709105559988E-2"/>
    <n v="4.8960901725959793E-2"/>
    <n v="4.5014880952380931E-2"/>
    <n v="0.2248730964467005"/>
    <m/>
    <m/>
    <m/>
    <m/>
    <m/>
    <m/>
    <m/>
    <m/>
    <m/>
    <m/>
    <m/>
    <s v=""/>
    <m/>
    <m/>
    <m/>
    <s v="En 2021, croissance organique à 3,3% (4,8% au 4T21, 2020 année record)"/>
    <m/>
    <n v="2831"/>
    <s v="p"/>
    <s v="NL00062942741"/>
    <s v="NL0006294274"/>
    <n v="1"/>
    <x v="127"/>
    <m/>
    <m/>
    <m/>
  </r>
  <r>
    <m/>
    <m/>
    <m/>
    <m/>
    <n v="41.2"/>
    <x v="8"/>
    <n v="496400000"/>
    <n v="283900000"/>
    <n v="268800000"/>
    <n v="197000000"/>
    <n v="-105500000"/>
    <n v="548000000"/>
    <n v="7.8285714285714283"/>
    <n v="0.44051878354203938"/>
    <n v="0.49451612903225806"/>
    <n v="70000000"/>
    <n v="2884000000"/>
    <n v="5.2627737226277373"/>
    <n v="9.7868967946460028"/>
    <m/>
    <m/>
    <s v=""/>
    <m/>
    <m/>
    <m/>
    <s v="En 2022, activité stable à -0,2% contre 3-5% prévu et intégration sur 12 mois de la bourse italienne. Désendettement correct de 200 Me pour 600 Me de cash flow (200 M en dividendes et 200 Me en investissements). Charges financière 1% (30 Me sur 3 Md e dettes)"/>
    <m/>
    <n v="2832"/>
    <s v="p"/>
    <s v="NL000629427412016"/>
    <s v="NL0006294274"/>
    <n v="1"/>
    <x v="127"/>
    <m/>
    <m/>
    <m/>
  </r>
  <r>
    <m/>
    <m/>
    <m/>
    <m/>
    <m/>
    <x v="1"/>
    <n v="-4.2622950819672156E-2"/>
    <n v="3.5236081747713754E-4"/>
    <n v="7.496251874062887E-3"/>
    <n v="0.1407064273306311"/>
    <m/>
    <m/>
    <m/>
    <m/>
    <m/>
    <m/>
    <m/>
    <m/>
    <m/>
    <m/>
    <m/>
    <s v=""/>
    <m/>
    <m/>
    <m/>
    <s v="Nasdaq de Stockholm (Filiale du Nasdaq comme Oslo, Copenhague et Islande). 200 Me de CA et 150 Me d'EBE pour Stockholm. Société de qualité mature et chère"/>
    <m/>
    <n v="2833"/>
    <s v="p"/>
    <s v="NL00062942741"/>
    <s v="NL0006294274"/>
    <n v="1"/>
    <x v="127"/>
    <m/>
    <m/>
    <m/>
  </r>
  <r>
    <m/>
    <m/>
    <m/>
    <m/>
    <n v="45.9"/>
    <x v="9"/>
    <n v="518500000"/>
    <n v="283800000"/>
    <n v="266800000"/>
    <n v="172700000"/>
    <n v="-50400000"/>
    <n v="447200000"/>
    <n v="6.3885714285714288"/>
    <n v="0.505266237565828"/>
    <n v="0.55870338496844518"/>
    <n v="70000000"/>
    <n v="3213000000"/>
    <n v="7.1847048300536676"/>
    <n v="11.143763213530656"/>
    <m/>
    <m/>
    <s v=""/>
    <m/>
    <m/>
    <m/>
    <s v="2023, un peu mieux. Cession de la participation de 11,1% dans LCH pour 111 Me (PV de 40 Me et désendettement)"/>
    <m/>
    <n v="2834"/>
    <s v="p"/>
    <s v="NL000629427412015"/>
    <s v="NL0006294274"/>
    <n v="1"/>
    <x v="127"/>
    <m/>
    <m/>
    <m/>
  </r>
  <r>
    <m/>
    <m/>
    <m/>
    <m/>
    <m/>
    <x v="1"/>
    <n v="0.13086150490730653"/>
    <n v="0.48275862068965525"/>
    <n v="0.27777777777777768"/>
    <n v="0.46108291032148907"/>
    <m/>
    <m/>
    <m/>
    <m/>
    <m/>
    <m/>
    <m/>
    <m/>
    <m/>
    <m/>
    <m/>
    <s v=""/>
    <m/>
    <m/>
    <m/>
    <s v="Taux d'IS : 26%"/>
    <m/>
    <n v="2835"/>
    <s v="p"/>
    <s v="NL00062942741"/>
    <s v="NL0006294274"/>
    <n v="1"/>
    <x v="127"/>
    <m/>
    <m/>
    <m/>
  </r>
  <r>
    <m/>
    <m/>
    <m/>
    <m/>
    <n v="26.4"/>
    <x v="10"/>
    <n v="458500000"/>
    <n v="191400000"/>
    <n v="208800000"/>
    <n v="118200000"/>
    <n v="6800000"/>
    <n v="341800000"/>
    <n v="4.8828571428571426"/>
    <n v="0.34581626682270333"/>
    <n v="0.43724612736660928"/>
    <n v="70000000"/>
    <n v="1848000000"/>
    <n v="5.4066705675833822"/>
    <n v="9.6907001044932084"/>
    <m/>
    <m/>
    <s v=""/>
    <m/>
    <m/>
    <m/>
    <s v="CAC : "/>
    <m/>
    <n v="2836"/>
    <s v="p"/>
    <s v="NL000629427412014"/>
    <s v="NL0006294274"/>
    <n v="1"/>
    <x v="127"/>
    <m/>
    <m/>
    <m/>
  </r>
  <r>
    <m/>
    <m/>
    <m/>
    <m/>
    <m/>
    <x v="1"/>
    <m/>
    <m/>
    <m/>
    <m/>
    <m/>
    <m/>
    <m/>
    <m/>
    <m/>
    <m/>
    <m/>
    <m/>
    <m/>
    <m/>
    <m/>
    <s v=""/>
    <m/>
    <m/>
    <m/>
    <s v="Peu de minoritaires : (80 M e sur 3400 M e de fonds propres et 5 Me de résultat net)"/>
    <m/>
    <n v="2837"/>
    <s v="p"/>
    <s v="NL00062942741"/>
    <s v="NL0006294274"/>
    <n v="1"/>
    <x v="127"/>
    <m/>
    <m/>
    <m/>
  </r>
  <r>
    <m/>
    <m/>
    <m/>
    <m/>
    <s v="IPO le 20 juin 2014 à 20 euros"/>
    <x v="1"/>
    <m/>
    <m/>
    <m/>
    <m/>
    <m/>
    <m/>
    <m/>
    <m/>
    <m/>
    <m/>
    <m/>
    <m/>
    <m/>
    <m/>
    <m/>
    <s v=""/>
    <m/>
    <m/>
    <m/>
    <s v="Pay-out ratio : 50% après le rachat de la bourse italienne (40% avant)"/>
    <m/>
    <n v="2838"/>
    <s v="p"/>
    <s v="NL00062942741"/>
    <s v="NL0006294274"/>
    <n v="1"/>
    <x v="127"/>
    <m/>
    <m/>
    <m/>
  </r>
  <r>
    <m/>
    <m/>
    <m/>
    <m/>
    <m/>
    <x v="1"/>
    <m/>
    <m/>
    <m/>
    <m/>
    <m/>
    <m/>
    <m/>
    <m/>
    <m/>
    <m/>
    <m/>
    <m/>
    <m/>
    <m/>
    <m/>
    <s v=""/>
    <m/>
    <m/>
    <m/>
    <m/>
    <m/>
    <n v="2839"/>
    <s v="p"/>
    <s v="NL00062942741"/>
    <s v="NL0006294274"/>
    <n v="1"/>
    <x v="127"/>
    <m/>
    <m/>
    <m/>
  </r>
  <r>
    <m/>
    <m/>
    <m/>
    <m/>
    <m/>
    <x v="1"/>
    <m/>
    <m/>
    <m/>
    <m/>
    <m/>
    <m/>
    <m/>
    <m/>
    <m/>
    <m/>
    <m/>
    <m/>
    <m/>
    <m/>
    <m/>
    <s v=""/>
    <m/>
    <m/>
    <m/>
    <m/>
    <m/>
    <n v="2840"/>
    <s v="p"/>
    <s v="NL00062942741"/>
    <s v="NL0006294274"/>
    <n v="1"/>
    <x v="127"/>
    <m/>
    <m/>
    <m/>
  </r>
  <r>
    <m/>
    <m/>
    <m/>
    <m/>
    <m/>
    <x v="1"/>
    <m/>
    <m/>
    <m/>
    <m/>
    <m/>
    <m/>
    <m/>
    <m/>
    <m/>
    <m/>
    <m/>
    <m/>
    <m/>
    <m/>
    <m/>
    <s v=""/>
    <m/>
    <m/>
    <m/>
    <m/>
    <m/>
    <n v="2841"/>
    <s v="p"/>
    <s v="NL00062942741"/>
    <s v="NL0006294274"/>
    <n v="1"/>
    <x v="127"/>
    <m/>
    <m/>
    <m/>
  </r>
  <r>
    <m/>
    <m/>
    <m/>
    <m/>
    <m/>
    <x v="1"/>
    <m/>
    <m/>
    <m/>
    <m/>
    <m/>
    <m/>
    <m/>
    <m/>
    <m/>
    <m/>
    <m/>
    <m/>
    <m/>
    <m/>
    <m/>
    <s v=""/>
    <m/>
    <m/>
    <m/>
    <m/>
    <m/>
    <n v="2842"/>
    <s v="p"/>
    <s v="NL00062942741"/>
    <s v="NL0006294274"/>
    <n v="1"/>
    <x v="127"/>
    <m/>
    <m/>
    <m/>
  </r>
  <r>
    <s v="Deutsche Börse"/>
    <s v="Bourse - Échange - Logiciel"/>
    <s v="Allemagne"/>
    <s v="Euro"/>
    <m/>
    <x v="0"/>
    <m/>
    <m/>
    <m/>
    <m/>
    <m/>
    <m/>
    <m/>
    <m/>
    <m/>
    <m/>
    <m/>
    <m/>
    <m/>
    <m/>
    <m/>
    <s v=""/>
    <m/>
    <m/>
    <m/>
    <m/>
    <m/>
    <n v="2843"/>
    <n v="0"/>
    <s v="DE000581005512023"/>
    <s v="DE0005810055"/>
    <n v="1"/>
    <x v="128"/>
    <m/>
    <m/>
    <m/>
  </r>
  <r>
    <m/>
    <m/>
    <m/>
    <m/>
    <m/>
    <x v="1"/>
    <m/>
    <m/>
    <m/>
    <m/>
    <m/>
    <m/>
    <m/>
    <m/>
    <m/>
    <m/>
    <m/>
    <m/>
    <m/>
    <m/>
    <m/>
    <s v=""/>
    <m/>
    <m/>
    <m/>
    <m/>
    <m/>
    <n v="2844"/>
    <n v="0"/>
    <s v="DE00058100551"/>
    <s v="DE0005810055"/>
    <n v="1"/>
    <x v="128"/>
    <m/>
    <m/>
    <m/>
  </r>
  <r>
    <m/>
    <m/>
    <m/>
    <m/>
    <n v="161.35"/>
    <x v="2"/>
    <m/>
    <m/>
    <m/>
    <m/>
    <m/>
    <m/>
    <m/>
    <m/>
    <m/>
    <n v="183521257"/>
    <n v="29611154816.950001"/>
    <m/>
    <m/>
    <m/>
    <m/>
    <s v=""/>
    <m/>
    <m/>
    <m/>
    <s v="Bourse allemande deux fois plus importante qu'Euronext avec la bourse italienne"/>
    <m/>
    <n v="2845"/>
    <n v="0"/>
    <s v="DE000581005512022"/>
    <s v="DE0005810055"/>
    <n v="1"/>
    <x v="128"/>
    <m/>
    <m/>
    <m/>
  </r>
  <r>
    <m/>
    <m/>
    <m/>
    <m/>
    <m/>
    <x v="1"/>
    <m/>
    <m/>
    <m/>
    <m/>
    <m/>
    <m/>
    <m/>
    <m/>
    <m/>
    <m/>
    <m/>
    <m/>
    <m/>
    <m/>
    <m/>
    <s v=""/>
    <m/>
    <m/>
    <m/>
    <s v="Actionnaires institutionnels à plus de 90%"/>
    <m/>
    <n v="2846"/>
    <n v="0"/>
    <s v="DE00058100551"/>
    <s v="DE0005810055"/>
    <n v="1"/>
    <x v="128"/>
    <m/>
    <m/>
    <m/>
  </r>
  <r>
    <m/>
    <m/>
    <m/>
    <m/>
    <n v="146.94999999999999"/>
    <x v="3"/>
    <n v="3500000000"/>
    <n v="2000000000"/>
    <n v="1700000000"/>
    <n v="1150000000"/>
    <n v="2000000000"/>
    <n v="6800000000"/>
    <n v="37.052928424525774"/>
    <n v="0.16911764705882354"/>
    <n v="0.13522727272727272"/>
    <n v="183521257"/>
    <n v="26968448716.149998"/>
    <n v="3.9659483406102938"/>
    <n v="14.484224358074998"/>
    <s v="AA"/>
    <m/>
    <s v=""/>
    <m/>
    <m/>
    <m/>
    <s v="Listing des actions allemandes (Xetra : 12% du CA) Clearstream (30% du CA), Dérivés (Eurex : 34%), ETF, Commodities, Foreign"/>
    <m/>
    <n v="2847"/>
    <n v="0"/>
    <s v="DE000581005512021"/>
    <s v="DE0005810055"/>
    <n v="1"/>
    <x v="128"/>
    <m/>
    <m/>
    <m/>
  </r>
  <r>
    <m/>
    <m/>
    <m/>
    <m/>
    <m/>
    <x v="1"/>
    <n v="8.9053456966830646E-2"/>
    <n v="6.9861987803573333E-2"/>
    <n v="5.9124042115755948E-2"/>
    <n v="6.4913417909065574E-2"/>
    <m/>
    <m/>
    <m/>
    <m/>
    <m/>
    <m/>
    <m/>
    <m/>
    <m/>
    <m/>
    <m/>
    <s v=""/>
    <m/>
    <m/>
    <m/>
    <s v="Acquisition de ISS (Institutional Shareholder Services Inc.) à 81% pour une valorisation à 1,9 Md euros. 4000 clients dans 15 pays et 2000 salariés"/>
    <m/>
    <n v="2848"/>
    <n v="0"/>
    <s v="DE00058100551"/>
    <s v="DE0005810055"/>
    <n v="1"/>
    <x v="128"/>
    <m/>
    <m/>
    <m/>
  </r>
  <r>
    <m/>
    <m/>
    <m/>
    <m/>
    <n v="139.19999999999999"/>
    <x v="4"/>
    <n v="3213800000"/>
    <n v="1869400000"/>
    <n v="1605100000"/>
    <n v="1079900000"/>
    <n v="2000000000"/>
    <n v="6168300000"/>
    <n v="33.610820353088577"/>
    <n v="0.1750725483520581"/>
    <n v="0.13755248950209958"/>
    <n v="183521257"/>
    <n v="25546158974.399998"/>
    <n v="4.1415234301833568"/>
    <n v="14.735294198352411"/>
    <m/>
    <m/>
    <s v=""/>
    <m/>
    <m/>
    <m/>
    <s v="Prévision 2023 : 4,3 Md euros de CA"/>
    <m/>
    <n v="2849"/>
    <n v="0"/>
    <s v="DE000581005512020"/>
    <s v="DE0005810055"/>
    <n v="1"/>
    <x v="128"/>
    <m/>
    <m/>
    <m/>
  </r>
  <r>
    <m/>
    <m/>
    <m/>
    <m/>
    <m/>
    <x v="1"/>
    <n v="9.4618528610354247E-2"/>
    <n v="0.11393159337385295"/>
    <n v="0.10536464430824322"/>
    <n v="7.5704751469269915E-2"/>
    <m/>
    <m/>
    <m/>
    <m/>
    <m/>
    <m/>
    <m/>
    <m/>
    <m/>
    <m/>
    <m/>
    <s v=""/>
    <m/>
    <m/>
    <m/>
    <s v="Total bilan à 220 Md euros (activité déposé probablement)"/>
    <m/>
    <n v="2850"/>
    <n v="0"/>
    <s v="DE00058100551"/>
    <s v="DE0005810055"/>
    <n v="1"/>
    <x v="128"/>
    <m/>
    <m/>
    <m/>
  </r>
  <r>
    <m/>
    <m/>
    <m/>
    <m/>
    <n v="140.1"/>
    <x v="5"/>
    <n v="2936000000"/>
    <n v="1678200000"/>
    <n v="1452100000"/>
    <n v="1003900000"/>
    <n v="2000000000"/>
    <n v="5735300000"/>
    <n v="31.267132817876952"/>
    <n v="0.1750387948320053"/>
    <n v="0.13140666813181129"/>
    <n v="183429035"/>
    <n v="25698407803.5"/>
    <n v="4.480743431642634"/>
    <n v="16.50483124985103"/>
    <m/>
    <m/>
    <s v=""/>
    <m/>
    <m/>
    <m/>
    <s v="7 213 salariés soit 445 K euros par salarié"/>
    <m/>
    <n v="2851"/>
    <n v="0"/>
    <s v="DE000581005512019"/>
    <s v="DE0005810055"/>
    <n v="1"/>
    <x v="128"/>
    <m/>
    <m/>
    <m/>
  </r>
  <r>
    <m/>
    <m/>
    <m/>
    <m/>
    <m/>
    <x v="1"/>
    <n v="5.6229089470086757E-2"/>
    <n v="0.16242986770104584"/>
    <e v="#DIV/0!"/>
    <n v="0.21788183913623671"/>
    <m/>
    <m/>
    <m/>
    <m/>
    <m/>
    <m/>
    <m/>
    <m/>
    <m/>
    <m/>
    <m/>
    <s v=""/>
    <m/>
    <m/>
    <m/>
    <s v="Minoritaires : 5%"/>
    <m/>
    <n v="2852"/>
    <n v="0"/>
    <s v="DE00058100551"/>
    <s v="DE0005810055"/>
    <n v="1"/>
    <x v="128"/>
    <m/>
    <m/>
    <m/>
  </r>
  <r>
    <m/>
    <m/>
    <m/>
    <m/>
    <n v="104.9"/>
    <x v="6"/>
    <n v="2779700000"/>
    <n v="1443700000"/>
    <m/>
    <n v="824300000"/>
    <m/>
    <m/>
    <m/>
    <m/>
    <m/>
    <m/>
    <m/>
    <m/>
    <m/>
    <m/>
    <m/>
    <s v=""/>
    <m/>
    <m/>
    <m/>
    <s v="Pay-out ratio : proche de 50% (46% en 2020)"/>
    <m/>
    <n v="2853"/>
    <n v="0"/>
    <s v="DE000581005512018"/>
    <s v="DE0005810055"/>
    <n v="1"/>
    <x v="128"/>
    <m/>
    <m/>
    <m/>
  </r>
  <r>
    <m/>
    <m/>
    <m/>
    <m/>
    <m/>
    <x v="1"/>
    <m/>
    <m/>
    <m/>
    <m/>
    <m/>
    <m/>
    <m/>
    <m/>
    <m/>
    <m/>
    <m/>
    <m/>
    <m/>
    <m/>
    <m/>
    <s v=""/>
    <m/>
    <m/>
    <m/>
    <s v="CAC : KPMG AG"/>
    <m/>
    <n v="2854"/>
    <n v="0"/>
    <s v="DE00058100551"/>
    <s v="DE0005810055"/>
    <n v="1"/>
    <x v="128"/>
    <m/>
    <m/>
    <m/>
  </r>
  <r>
    <m/>
    <m/>
    <m/>
    <m/>
    <n v="96.8"/>
    <x v="7"/>
    <n v="2462300000"/>
    <n v="1528500000"/>
    <m/>
    <n v="874300000"/>
    <m/>
    <m/>
    <m/>
    <m/>
    <m/>
    <m/>
    <m/>
    <m/>
    <m/>
    <m/>
    <m/>
    <s v=""/>
    <m/>
    <m/>
    <m/>
    <m/>
    <m/>
    <n v="2855"/>
    <n v="0"/>
    <s v="DE000581005512017"/>
    <s v="DE0005810055"/>
    <n v="1"/>
    <x v="128"/>
    <m/>
    <m/>
    <m/>
  </r>
  <r>
    <m/>
    <m/>
    <m/>
    <m/>
    <m/>
    <x v="1"/>
    <m/>
    <m/>
    <m/>
    <m/>
    <m/>
    <m/>
    <m/>
    <m/>
    <m/>
    <m/>
    <m/>
    <m/>
    <m/>
    <m/>
    <m/>
    <s v=""/>
    <m/>
    <m/>
    <m/>
    <m/>
    <m/>
    <n v="2856"/>
    <n v="0"/>
    <s v="DE00058100551"/>
    <s v="DE0005810055"/>
    <n v="1"/>
    <x v="128"/>
    <m/>
    <m/>
    <m/>
  </r>
  <r>
    <m/>
    <m/>
    <m/>
    <m/>
    <n v="77.5"/>
    <x v="8"/>
    <n v="2388700000"/>
    <n v="1239200000"/>
    <m/>
    <n v="722100000"/>
    <m/>
    <m/>
    <m/>
    <m/>
    <m/>
    <m/>
    <m/>
    <m/>
    <m/>
    <m/>
    <m/>
    <s v=""/>
    <m/>
    <m/>
    <m/>
    <m/>
    <m/>
    <n v="2857"/>
    <n v="0"/>
    <s v="DE000581005512016"/>
    <s v="DE0005810055"/>
    <n v="1"/>
    <x v="128"/>
    <m/>
    <m/>
    <m/>
  </r>
  <r>
    <m/>
    <m/>
    <m/>
    <m/>
    <m/>
    <x v="1"/>
    <m/>
    <m/>
    <m/>
    <m/>
    <m/>
    <m/>
    <m/>
    <m/>
    <m/>
    <m/>
    <m/>
    <m/>
    <m/>
    <m/>
    <m/>
    <s v=""/>
    <m/>
    <m/>
    <m/>
    <m/>
    <m/>
    <n v="2858"/>
    <n v="0"/>
    <s v="DE00058100551"/>
    <s v="DE0005810055"/>
    <n v="1"/>
    <x v="128"/>
    <m/>
    <m/>
    <m/>
  </r>
  <r>
    <m/>
    <m/>
    <m/>
    <m/>
    <m/>
    <x v="9"/>
    <m/>
    <m/>
    <m/>
    <m/>
    <m/>
    <m/>
    <m/>
    <m/>
    <m/>
    <m/>
    <m/>
    <m/>
    <m/>
    <m/>
    <m/>
    <s v=""/>
    <m/>
    <m/>
    <m/>
    <m/>
    <m/>
    <n v="2859"/>
    <n v="0"/>
    <s v="DE000581005512015"/>
    <s v="DE0005810055"/>
    <n v="1"/>
    <x v="128"/>
    <m/>
    <m/>
    <m/>
  </r>
  <r>
    <m/>
    <m/>
    <m/>
    <m/>
    <m/>
    <x v="1"/>
    <m/>
    <m/>
    <m/>
    <m/>
    <m/>
    <m/>
    <m/>
    <m/>
    <m/>
    <m/>
    <m/>
    <m/>
    <m/>
    <m/>
    <m/>
    <s v=""/>
    <m/>
    <m/>
    <m/>
    <m/>
    <m/>
    <n v="2860"/>
    <n v="0"/>
    <s v="DE00058100551"/>
    <s v="DE0005810055"/>
    <n v="1"/>
    <x v="128"/>
    <m/>
    <m/>
    <m/>
  </r>
  <r>
    <m/>
    <m/>
    <m/>
    <m/>
    <m/>
    <x v="10"/>
    <m/>
    <m/>
    <m/>
    <m/>
    <m/>
    <m/>
    <m/>
    <m/>
    <m/>
    <m/>
    <m/>
    <m/>
    <m/>
    <m/>
    <m/>
    <s v=""/>
    <m/>
    <m/>
    <m/>
    <m/>
    <m/>
    <n v="2861"/>
    <n v="0"/>
    <s v="DE000581005512014"/>
    <s v="DE0005810055"/>
    <n v="1"/>
    <x v="128"/>
    <m/>
    <m/>
    <m/>
  </r>
  <r>
    <m/>
    <m/>
    <m/>
    <m/>
    <m/>
    <x v="1"/>
    <m/>
    <m/>
    <m/>
    <m/>
    <m/>
    <m/>
    <m/>
    <m/>
    <m/>
    <m/>
    <m/>
    <m/>
    <m/>
    <m/>
    <m/>
    <s v=""/>
    <m/>
    <m/>
    <m/>
    <m/>
    <m/>
    <n v="2862"/>
    <n v="0"/>
    <s v="DE00058100551"/>
    <s v="DE0005810055"/>
    <n v="1"/>
    <x v="128"/>
    <m/>
    <m/>
    <m/>
  </r>
  <r>
    <m/>
    <m/>
    <m/>
    <m/>
    <m/>
    <x v="1"/>
    <m/>
    <m/>
    <m/>
    <m/>
    <m/>
    <m/>
    <m/>
    <m/>
    <m/>
    <m/>
    <m/>
    <m/>
    <m/>
    <m/>
    <m/>
    <s v=""/>
    <m/>
    <m/>
    <m/>
    <m/>
    <m/>
    <n v="2863"/>
    <n v="0"/>
    <s v="DE00058100551"/>
    <s v="DE0005810055"/>
    <n v="1"/>
    <x v="128"/>
    <m/>
    <m/>
    <m/>
  </r>
  <r>
    <m/>
    <m/>
    <m/>
    <m/>
    <m/>
    <x v="1"/>
    <m/>
    <m/>
    <m/>
    <m/>
    <m/>
    <m/>
    <m/>
    <m/>
    <m/>
    <m/>
    <m/>
    <m/>
    <m/>
    <m/>
    <m/>
    <s v=""/>
    <m/>
    <m/>
    <m/>
    <m/>
    <m/>
    <n v="2864"/>
    <n v="0"/>
    <s v="DE00058100551"/>
    <s v="DE0005810055"/>
    <n v="1"/>
    <x v="128"/>
    <m/>
    <m/>
    <m/>
  </r>
  <r>
    <s v="Edenred"/>
    <s v="Ticket Restaurant &amp; avantages"/>
    <s v="France"/>
    <s v="Euro"/>
    <m/>
    <x v="0"/>
    <m/>
    <m/>
    <m/>
    <m/>
    <m/>
    <m/>
    <m/>
    <m/>
    <m/>
    <m/>
    <m/>
    <m/>
    <m/>
    <s v="A- / Stable"/>
    <m/>
    <s v=""/>
    <m/>
    <m/>
    <m/>
    <m/>
    <m/>
    <n v="2865"/>
    <n v="0"/>
    <s v="FR001090853312023"/>
    <s v="FR0010908533"/>
    <n v="1"/>
    <x v="129"/>
    <m/>
    <m/>
    <m/>
  </r>
  <r>
    <m/>
    <m/>
    <m/>
    <m/>
    <m/>
    <x v="1"/>
    <m/>
    <m/>
    <m/>
    <m/>
    <m/>
    <m/>
    <m/>
    <m/>
    <m/>
    <m/>
    <m/>
    <m/>
    <m/>
    <d v="2023-04-01T00:00:00"/>
    <m/>
    <s v=""/>
    <m/>
    <m/>
    <m/>
    <m/>
    <m/>
    <n v="2866"/>
    <n v="0"/>
    <s v="FR00109085331"/>
    <s v="FR0010908533"/>
    <n v="1"/>
    <x v="129"/>
    <m/>
    <m/>
    <m/>
  </r>
  <r>
    <m/>
    <m/>
    <m/>
    <m/>
    <n v="50.9"/>
    <x v="2"/>
    <n v="2031000000"/>
    <n v="836000000"/>
    <n v="687000000"/>
    <n v="386000000"/>
    <n v="307000000"/>
    <n v="-1250000000"/>
    <n v="-5.1396999855146808"/>
    <s v="NS"/>
    <s v="NS"/>
    <n v="243204857"/>
    <n v="12379127221.299999"/>
    <s v="NS"/>
    <n v="15.174793326913875"/>
    <m/>
    <n v="10000"/>
    <n v="203100"/>
    <n v="881000000"/>
    <s v="E  = 1"/>
    <m/>
    <s v="Naissance au sein du groupe Accor en 1962. IPO en juin 2010 suite à la scission du groupe Accor à 11,4 euros puis sortie du capital en 2014 d'Eurazeo à 26 euros et de Colony en 2017 à 19,4 euros"/>
    <m/>
    <n v="2867"/>
    <n v="0"/>
    <s v="FR001090853312022"/>
    <s v="FR0010908533"/>
    <n v="1"/>
    <x v="129"/>
    <m/>
    <m/>
    <m/>
  </r>
  <r>
    <m/>
    <m/>
    <m/>
    <m/>
    <m/>
    <x v="1"/>
    <n v="0.24830977258758447"/>
    <n v="0.24776119402985075"/>
    <n v="0.24909090909090903"/>
    <n v="0.23322683706070291"/>
    <m/>
    <m/>
    <m/>
    <m/>
    <m/>
    <m/>
    <m/>
    <m/>
    <m/>
    <m/>
    <m/>
    <s v=""/>
    <m/>
    <s v="S = 1"/>
    <m/>
    <s v="Actionnariat institutionnel à 95 % et flottant à 99,5% (premier actionnaire CGC : 14%)"/>
    <m/>
    <n v="2868"/>
    <n v="0"/>
    <s v="FR00109085331"/>
    <s v="FR0010908533"/>
    <n v="1"/>
    <x v="129"/>
    <m/>
    <m/>
    <m/>
  </r>
  <r>
    <m/>
    <m/>
    <m/>
    <m/>
    <n v="40.57"/>
    <x v="3"/>
    <n v="1627000000"/>
    <n v="670000000"/>
    <n v="550000000"/>
    <n v="313000000"/>
    <n v="816000000"/>
    <n v="-869000000"/>
    <n v="-3.5731194299298061"/>
    <s v="NS"/>
    <s v="NS"/>
    <n v="243204857"/>
    <n v="9866821048.4899998"/>
    <s v="NS"/>
    <n v="15.944509027597014"/>
    <m/>
    <n v="10000"/>
    <n v="162700"/>
    <n v="556000000"/>
    <s v="G = 1"/>
    <m/>
    <s v="Le Monde est divisé en deux : la partie libérale (États-Unis, Royaume-Uni et Canada) qui paie son salarié et le laisse dépenser son argent et la partie &quot;paternaliste&quot; le reste du Monde qui l'aide et flèche l'argent. Edenred intervient sur ce deuxième segment "/>
    <m/>
    <n v="2869"/>
    <n v="0"/>
    <s v="FR001090853312021"/>
    <s v="FR0010908533"/>
    <n v="1"/>
    <x v="129"/>
    <m/>
    <m/>
    <m/>
  </r>
  <r>
    <m/>
    <m/>
    <m/>
    <m/>
    <m/>
    <x v="1"/>
    <n v="0.110580204778157"/>
    <n v="0.15517241379310343"/>
    <n v="0.20879120879120872"/>
    <n v="0.31512605042016806"/>
    <m/>
    <m/>
    <m/>
    <m/>
    <m/>
    <m/>
    <m/>
    <m/>
    <m/>
    <m/>
    <m/>
    <s v=""/>
    <m/>
    <m/>
    <m/>
    <s v="Présent dans 45 pays (France et Brésil) : repas, carte essence - mobilités, soins et paiements. 2 Millons de commerçants, 50 Millions de salariés utilisateurs avec 900 000 entreprises (PME)"/>
    <m/>
    <n v="2870"/>
    <n v="0"/>
    <s v="FR00109085331"/>
    <s v="FR0010908533"/>
    <n v="1"/>
    <x v="129"/>
    <m/>
    <m/>
    <m/>
  </r>
  <r>
    <m/>
    <m/>
    <m/>
    <m/>
    <n v="46.41"/>
    <x v="4"/>
    <n v="1465000000"/>
    <n v="580000000"/>
    <n v="455000000"/>
    <n v="238000000"/>
    <n v="1290000000"/>
    <n v="-1230000000"/>
    <n v="-5.0574647857464461"/>
    <s v="NS"/>
    <s v="NS"/>
    <n v="243204857"/>
    <n v="11287137413.369999"/>
    <s v="NS"/>
    <n v="21.684719678224138"/>
    <m/>
    <m/>
    <s v=""/>
    <m/>
    <m/>
    <m/>
    <s v="Bertrand Dumazy né en 1971. Début du mandat en 2015 (échéance 2022) avant Jacques Stern. Il est CEO et membre du Conseil d'Administration. 201 027 actions soit 8 M euros "/>
    <m/>
    <n v="2871"/>
    <n v="0"/>
    <s v="FR001090853312020"/>
    <s v="FR0010908533"/>
    <n v="1"/>
    <x v="129"/>
    <m/>
    <m/>
    <m/>
  </r>
  <r>
    <m/>
    <m/>
    <m/>
    <m/>
    <m/>
    <x v="1"/>
    <n v="-9.901599015990159E-2"/>
    <n v="-0.13173652694610782"/>
    <n v="-0.16513761467889909"/>
    <n v="-0.23717948717948723"/>
    <m/>
    <m/>
    <m/>
    <m/>
    <m/>
    <m/>
    <m/>
    <m/>
    <m/>
    <m/>
    <m/>
    <s v=""/>
    <m/>
    <m/>
    <m/>
    <s v="1,6 Md euros de CA (commission sur un volume d'affaires de 31 Md euros) et 312 M euros de rentabilité. 250 M euros par an de dépenses en R&amp;D"/>
    <m/>
    <n v="2872"/>
    <n v="0"/>
    <s v="FR00109085331"/>
    <s v="FR0010908533"/>
    <n v="1"/>
    <x v="129"/>
    <m/>
    <m/>
    <m/>
  </r>
  <r>
    <m/>
    <m/>
    <m/>
    <m/>
    <n v="48.79"/>
    <x v="5"/>
    <n v="1626000000"/>
    <n v="668000000"/>
    <n v="545000000"/>
    <n v="312000000"/>
    <n v="1290000000"/>
    <n v="-1193000000"/>
    <n v="-4.905329666175211"/>
    <s v="NS"/>
    <s v="NS"/>
    <n v="243204857"/>
    <n v="11865964973.030001"/>
    <s v="NS"/>
    <n v="19.694558342859281"/>
    <m/>
    <m/>
    <s v=""/>
    <m/>
    <m/>
    <m/>
    <s v="Fonds propres négatifs suite à la scission de 2010 et de l'apport d'actifs à la valeur historique. Avant 2016, il ne publiait pas l'EBE"/>
    <m/>
    <n v="2873"/>
    <n v="0"/>
    <s v="FR001090853312019"/>
    <s v="FR0010908533"/>
    <n v="1"/>
    <x v="129"/>
    <m/>
    <m/>
    <m/>
  </r>
  <r>
    <m/>
    <m/>
    <m/>
    <m/>
    <m/>
    <x v="1"/>
    <n v="0.17997097242380256"/>
    <n v="0.24626865671641784"/>
    <n v="0.18221258134490248"/>
    <n v="0.22834645669291342"/>
    <m/>
    <m/>
    <m/>
    <m/>
    <m/>
    <m/>
    <m/>
    <m/>
    <m/>
    <m/>
    <m/>
    <s v=""/>
    <m/>
    <m/>
    <m/>
    <s v="Plan 2016-2018 avec une vingtaine d'acquisitions"/>
    <m/>
    <n v="2874"/>
    <n v="0"/>
    <s v="FR00109085331"/>
    <s v="FR0010908533"/>
    <n v="1"/>
    <x v="129"/>
    <m/>
    <m/>
    <m/>
  </r>
  <r>
    <m/>
    <m/>
    <m/>
    <m/>
    <n v="35.44"/>
    <x v="6"/>
    <n v="1378000000"/>
    <n v="536000000"/>
    <n v="461000000"/>
    <n v="254000000"/>
    <n v="659000000"/>
    <n v="-1261000000"/>
    <n v="-5.2702772454212639"/>
    <s v="NS"/>
    <s v="NS"/>
    <n v="239266350"/>
    <n v="8479599443.999999"/>
    <s v="NS"/>
    <n v="17.049625828358209"/>
    <m/>
    <m/>
    <s v=""/>
    <m/>
    <m/>
    <m/>
    <s v="En 2019 : 782 Me dédiés aux acquisitions ciblées et 134 Me aux dividendes. Dettes BBB+. Flux de trésorerie disponible conséquent finance dividendes et acquisitions depuis 10 ans"/>
    <m/>
    <n v="2875"/>
    <n v="0"/>
    <s v="FR001090853312018"/>
    <s v="FR0010908533"/>
    <n v="1"/>
    <x v="129"/>
    <m/>
    <m/>
    <m/>
  </r>
  <r>
    <m/>
    <m/>
    <m/>
    <m/>
    <m/>
    <x v="1"/>
    <n v="2.9126213592232997E-2"/>
    <n v="6.7729083665338585E-2"/>
    <n v="5.4919908466819267E-2"/>
    <n v="2.8340080971659853E-2"/>
    <m/>
    <m/>
    <m/>
    <m/>
    <m/>
    <m/>
    <m/>
    <m/>
    <m/>
    <m/>
    <m/>
    <s v=""/>
    <m/>
    <m/>
    <m/>
    <s v="En 2021 : amende de 157 M euros de la concurrence pour entente sur la France. Année de croissancetouche 50 Millions de salariés, 2 millions de commerçants et 900000 entreprises clientes"/>
    <m/>
    <n v="2876"/>
    <n v="0"/>
    <s v="FR00109085331"/>
    <s v="FR0010908533"/>
    <n v="1"/>
    <x v="129"/>
    <m/>
    <m/>
    <m/>
  </r>
  <r>
    <m/>
    <m/>
    <m/>
    <m/>
    <n v="26.01"/>
    <x v="7"/>
    <n v="1339000000"/>
    <n v="502000000"/>
    <n v="437000000"/>
    <n v="247000000"/>
    <n v="713000000"/>
    <n v="-1287000000"/>
    <n v="-5.4672144699452732"/>
    <s v="NS"/>
    <s v="NS"/>
    <n v="235403240"/>
    <n v="6122838272.4000006"/>
    <s v="NS"/>
    <n v="13.617207713944225"/>
    <m/>
    <m/>
    <s v=""/>
    <m/>
    <m/>
    <m/>
    <s v="En 2022, nouvelle année de croissance, accélération des outils favorisés même par l'inflation pour améliorer le pouvoir d'achat des salariés (7 millions en France jusqu'à 5000 euros par an), maîtriser les coûts pour les entreprises et orienter vers un comportement durable"/>
    <m/>
    <n v="2877"/>
    <n v="0"/>
    <s v="FR001090853312017"/>
    <s v="FR0010908533"/>
    <n v="1"/>
    <x v="129"/>
    <m/>
    <m/>
    <m/>
  </r>
  <r>
    <m/>
    <m/>
    <m/>
    <m/>
    <m/>
    <x v="1"/>
    <n v="0.17559262510974549"/>
    <m/>
    <n v="0.18108108108108101"/>
    <n v="0.37222222222222223"/>
    <m/>
    <m/>
    <m/>
    <m/>
    <m/>
    <m/>
    <m/>
    <m/>
    <m/>
    <m/>
    <m/>
    <s v=""/>
    <m/>
    <m/>
    <m/>
    <s v="Création de valeur de 400 M euros par an. Valorisation boursière en mai 2020 à 35 euros : 25 ans de création de valeur"/>
    <m/>
    <n v="2878"/>
    <n v="0"/>
    <s v="FR00109085331"/>
    <s v="FR0010908533"/>
    <n v="1"/>
    <x v="129"/>
    <m/>
    <m/>
    <m/>
  </r>
  <r>
    <m/>
    <m/>
    <m/>
    <m/>
    <n v="20.16"/>
    <x v="8"/>
    <n v="1139000000"/>
    <m/>
    <n v="370000000"/>
    <n v="180000000"/>
    <n v="588000000"/>
    <n v="-1161000000"/>
    <n v="-4.9683360582509799"/>
    <s v="NS"/>
    <s v="NS"/>
    <n v="233679845"/>
    <n v="4710985675.1999998"/>
    <s v="NS"/>
    <e v="#DIV/0!"/>
    <m/>
    <m/>
    <s v=""/>
    <m/>
    <m/>
    <m/>
    <s v="Minoritaires : 12,5%"/>
    <m/>
    <n v="2879"/>
    <n v="0"/>
    <s v="FR001090853312016"/>
    <s v="FR0010908533"/>
    <n v="1"/>
    <x v="129"/>
    <m/>
    <m/>
    <m/>
  </r>
  <r>
    <m/>
    <m/>
    <m/>
    <m/>
    <m/>
    <x v="1"/>
    <n v="6.5481758652946587E-2"/>
    <m/>
    <n v="0.36029411764705888"/>
    <n v="1.6949152542372836E-2"/>
    <m/>
    <m/>
    <m/>
    <m/>
    <m/>
    <m/>
    <m/>
    <m/>
    <m/>
    <m/>
    <m/>
    <s v=""/>
    <m/>
    <m/>
    <m/>
    <s v="CAC : Deloitte et Ernst &amp; Young (avant Didier Kling en 2016)"/>
    <m/>
    <n v="2880"/>
    <n v="0"/>
    <s v="FR00109085331"/>
    <s v="FR0010908533"/>
    <n v="1"/>
    <x v="129"/>
    <m/>
    <m/>
    <m/>
  </r>
  <r>
    <m/>
    <m/>
    <m/>
    <m/>
    <n v="17.3"/>
    <x v="9"/>
    <n v="1069000000"/>
    <m/>
    <n v="272000000"/>
    <n v="177000000"/>
    <n v="637000000"/>
    <n v="-1442000000"/>
    <n v="-6.2473775744481186"/>
    <s v="NS"/>
    <s v="NS"/>
    <n v="230816848"/>
    <n v="3993131470.4000001"/>
    <s v="NS"/>
    <e v="#DIV/0!"/>
    <m/>
    <m/>
    <s v=""/>
    <m/>
    <m/>
    <m/>
    <s v="Pay-out ratio : 70% en 2022 (67% en 2019, il est monté à 95% - 100% dans les années 2014 - 2015) avant le plan 2016 - 2018"/>
    <m/>
    <n v="2881"/>
    <n v="0"/>
    <s v="FR001090853312015"/>
    <s v="FR0010908533"/>
    <n v="1"/>
    <x v="129"/>
    <m/>
    <m/>
    <m/>
  </r>
  <r>
    <m/>
    <m/>
    <m/>
    <m/>
    <m/>
    <x v="1"/>
    <n v="3.3849129593810368E-2"/>
    <m/>
    <n v="1.8726591760299671E-2"/>
    <n v="7.92682926829269E-2"/>
    <m/>
    <m/>
    <m/>
    <m/>
    <m/>
    <m/>
    <m/>
    <m/>
    <m/>
    <m/>
    <m/>
    <s v=""/>
    <m/>
    <m/>
    <m/>
    <m/>
    <m/>
    <n v="2882"/>
    <n v="0"/>
    <s v="FR00109085331"/>
    <s v="FR0010908533"/>
    <n v="1"/>
    <x v="129"/>
    <m/>
    <m/>
    <m/>
  </r>
  <r>
    <m/>
    <m/>
    <m/>
    <m/>
    <n v="25.5"/>
    <x v="10"/>
    <n v="1034000000"/>
    <m/>
    <n v="267000000"/>
    <n v="164000000"/>
    <n v="268000000"/>
    <n v="-1320000000"/>
    <n v="-5.7689396495752012"/>
    <s v="NS"/>
    <s v="NS"/>
    <n v="228811546"/>
    <n v="5834694423"/>
    <s v="NS"/>
    <e v="#DIV/0!"/>
    <m/>
    <m/>
    <s v=""/>
    <m/>
    <m/>
    <m/>
    <m/>
    <m/>
    <n v="2883"/>
    <n v="0"/>
    <s v="FR001090853312014"/>
    <s v="FR0010908533"/>
    <n v="1"/>
    <x v="129"/>
    <m/>
    <m/>
    <m/>
  </r>
  <r>
    <m/>
    <m/>
    <m/>
    <m/>
    <m/>
    <x v="1"/>
    <n v="3.8834951456310218E-3"/>
    <m/>
    <n v="-0.22157434402332365"/>
    <n v="2.4999999999999911E-2"/>
    <m/>
    <m/>
    <m/>
    <m/>
    <m/>
    <m/>
    <m/>
    <m/>
    <m/>
    <m/>
    <m/>
    <s v=""/>
    <m/>
    <m/>
    <m/>
    <m/>
    <m/>
    <n v="2884"/>
    <n v="0"/>
    <s v="FR00109085331"/>
    <s v="FR0010908533"/>
    <n v="1"/>
    <x v="129"/>
    <m/>
    <m/>
    <m/>
  </r>
  <r>
    <m/>
    <m/>
    <m/>
    <m/>
    <n v="20.72"/>
    <x v="11"/>
    <n v="1030000000"/>
    <m/>
    <n v="343000000"/>
    <n v="160000000"/>
    <n v="276000000"/>
    <n v="-1290000000"/>
    <n v="-5.7105571947363218"/>
    <s v="NS"/>
    <s v="NS"/>
    <n v="225897396"/>
    <n v="4680594045.1199999"/>
    <s v="NS"/>
    <e v="#DIV/0!"/>
    <m/>
    <m/>
    <s v=""/>
    <m/>
    <m/>
    <m/>
    <m/>
    <m/>
    <n v="2885"/>
    <n v="0"/>
    <s v="FR001090853312013"/>
    <s v="FR0010908533"/>
    <n v="1"/>
    <x v="129"/>
    <m/>
    <m/>
    <m/>
  </r>
  <r>
    <m/>
    <m/>
    <m/>
    <m/>
    <m/>
    <x v="1"/>
    <n v="-3.4676663542642872E-2"/>
    <m/>
    <n v="-6.5395095367847378E-2"/>
    <n v="-0.12568306010928965"/>
    <m/>
    <m/>
    <m/>
    <m/>
    <m/>
    <m/>
    <m/>
    <m/>
    <m/>
    <m/>
    <m/>
    <s v=""/>
    <m/>
    <m/>
    <m/>
    <m/>
    <m/>
    <n v="2886"/>
    <n v="0"/>
    <s v="FR00109085331"/>
    <s v="FR0010908533"/>
    <n v="1"/>
    <x v="129"/>
    <m/>
    <m/>
    <m/>
  </r>
  <r>
    <m/>
    <m/>
    <m/>
    <m/>
    <n v="23.6"/>
    <x v="12"/>
    <n v="1067000000"/>
    <m/>
    <n v="367000000"/>
    <n v="183000000"/>
    <n v="-85000000"/>
    <n v="-1033000000"/>
    <n v="-4.5728725443121085"/>
    <s v="NS"/>
    <s v="NS"/>
    <n v="225897396"/>
    <n v="5331178545.6000004"/>
    <s v="NS"/>
    <e v="#DIV/0!"/>
    <m/>
    <m/>
    <s v=""/>
    <m/>
    <m/>
    <m/>
    <m/>
    <m/>
    <n v="2887"/>
    <n v="0"/>
    <s v="FR001090853312012"/>
    <s v="FR0010908533"/>
    <n v="1"/>
    <x v="129"/>
    <m/>
    <m/>
    <m/>
  </r>
  <r>
    <m/>
    <m/>
    <m/>
    <m/>
    <m/>
    <x v="1"/>
    <n v="3.3914728682170603E-2"/>
    <m/>
    <n v="3.3802816901408406E-2"/>
    <n v="-5.6701030927835072E-2"/>
    <m/>
    <m/>
    <m/>
    <m/>
    <m/>
    <m/>
    <m/>
    <m/>
    <m/>
    <m/>
    <m/>
    <s v=""/>
    <m/>
    <m/>
    <m/>
    <m/>
    <m/>
    <n v="2888"/>
    <n v="0"/>
    <s v="FR00109085331"/>
    <s v="FR0010908533"/>
    <n v="1"/>
    <x v="129"/>
    <m/>
    <m/>
    <m/>
  </r>
  <r>
    <m/>
    <m/>
    <m/>
    <m/>
    <n v="18.559999999999999"/>
    <x v="17"/>
    <n v="1032000000"/>
    <m/>
    <n v="355000000"/>
    <n v="194000000"/>
    <n v="-74000000"/>
    <n v="-1031000000"/>
    <n v="-4.5640189672660059"/>
    <s v="NS"/>
    <s v="NS"/>
    <n v="225897396"/>
    <n v="4192655669.7599998"/>
    <s v="NS"/>
    <e v="#DIV/0!"/>
    <m/>
    <m/>
    <s v=""/>
    <m/>
    <m/>
    <m/>
    <m/>
    <m/>
    <n v="2889"/>
    <n v="0"/>
    <s v="FR001090853312011"/>
    <s v="FR0010908533"/>
    <n v="1"/>
    <x v="129"/>
    <m/>
    <m/>
    <m/>
  </r>
  <r>
    <m/>
    <m/>
    <m/>
    <m/>
    <m/>
    <x v="1"/>
    <n v="6.9430051813471394E-2"/>
    <m/>
    <n v="8.2317073170731669E-2"/>
    <n v="1.8529411764705883"/>
    <m/>
    <m/>
    <m/>
    <m/>
    <m/>
    <m/>
    <m/>
    <m/>
    <m/>
    <m/>
    <m/>
    <s v=""/>
    <m/>
    <m/>
    <m/>
    <m/>
    <m/>
    <n v="2890"/>
    <n v="0"/>
    <s v="FR00109085331"/>
    <s v="FR0010908533"/>
    <n v="1"/>
    <x v="129"/>
    <m/>
    <m/>
    <m/>
  </r>
  <r>
    <m/>
    <m/>
    <m/>
    <m/>
    <n v="17.46"/>
    <x v="18"/>
    <n v="965000000"/>
    <m/>
    <n v="328000000"/>
    <n v="68000000"/>
    <n v="25000000"/>
    <n v="-1061000000"/>
    <n v="-4.6968226229575487"/>
    <s v="NS"/>
    <s v="NS"/>
    <n v="225897396"/>
    <n v="3944168534.1600003"/>
    <s v="NS"/>
    <e v="#DIV/0!"/>
    <m/>
    <m/>
    <s v=""/>
    <m/>
    <m/>
    <m/>
    <m/>
    <m/>
    <n v="2891"/>
    <n v="0"/>
    <s v="FR001090853312010"/>
    <s v="FR0010908533"/>
    <n v="1"/>
    <x v="129"/>
    <m/>
    <m/>
    <m/>
  </r>
  <r>
    <m/>
    <m/>
    <m/>
    <m/>
    <m/>
    <x v="1"/>
    <m/>
    <m/>
    <m/>
    <m/>
    <m/>
    <m/>
    <m/>
    <m/>
    <m/>
    <m/>
    <m/>
    <m/>
    <m/>
    <m/>
    <m/>
    <s v=""/>
    <m/>
    <m/>
    <m/>
    <m/>
    <m/>
    <n v="2892"/>
    <n v="0"/>
    <s v="FR00109085331"/>
    <s v="FR0010908533"/>
    <n v="1"/>
    <x v="129"/>
    <m/>
    <m/>
    <m/>
  </r>
  <r>
    <m/>
    <m/>
    <m/>
    <m/>
    <s v="IPO le 2 juillet 2010 à 11,4 euros"/>
    <x v="1"/>
    <m/>
    <m/>
    <m/>
    <m/>
    <m/>
    <m/>
    <m/>
    <m/>
    <m/>
    <m/>
    <m/>
    <m/>
    <m/>
    <m/>
    <m/>
    <s v=""/>
    <m/>
    <m/>
    <m/>
    <m/>
    <m/>
    <n v="2893"/>
    <n v="0"/>
    <s v="FR00109085331"/>
    <s v="FR0010908533"/>
    <n v="1"/>
    <x v="129"/>
    <m/>
    <m/>
    <m/>
  </r>
  <r>
    <m/>
    <m/>
    <m/>
    <m/>
    <m/>
    <x v="1"/>
    <m/>
    <m/>
    <m/>
    <m/>
    <m/>
    <m/>
    <m/>
    <m/>
    <m/>
    <m/>
    <m/>
    <m/>
    <m/>
    <m/>
    <m/>
    <s v=""/>
    <m/>
    <m/>
    <m/>
    <m/>
    <m/>
    <n v="2894"/>
    <n v="0"/>
    <s v="FR00109085331"/>
    <s v="FR0010908533"/>
    <n v="1"/>
    <x v="129"/>
    <m/>
    <m/>
    <m/>
  </r>
  <r>
    <m/>
    <m/>
    <m/>
    <m/>
    <m/>
    <x v="1"/>
    <m/>
    <m/>
    <m/>
    <m/>
    <m/>
    <m/>
    <m/>
    <m/>
    <m/>
    <m/>
    <m/>
    <m/>
    <m/>
    <m/>
    <m/>
    <s v=""/>
    <m/>
    <m/>
    <m/>
    <m/>
    <m/>
    <n v="2895"/>
    <n v="0"/>
    <s v="FR00109085331"/>
    <s v="FR0010908533"/>
    <n v="1"/>
    <x v="129"/>
    <m/>
    <m/>
    <m/>
  </r>
  <r>
    <m/>
    <m/>
    <m/>
    <m/>
    <m/>
    <x v="1"/>
    <m/>
    <m/>
    <m/>
    <m/>
    <m/>
    <m/>
    <m/>
    <m/>
    <m/>
    <m/>
    <m/>
    <m/>
    <m/>
    <m/>
    <m/>
    <s v=""/>
    <m/>
    <m/>
    <m/>
    <m/>
    <m/>
    <n v="2896"/>
    <n v="0"/>
    <s v="FR00109085331"/>
    <s v="FR0010908533"/>
    <n v="1"/>
    <x v="129"/>
    <m/>
    <m/>
    <m/>
  </r>
  <r>
    <s v="Seb"/>
    <s v="Fabricants d'électroménagers"/>
    <s v="France"/>
    <s v="Euro"/>
    <n v="90"/>
    <x v="0"/>
    <m/>
    <m/>
    <m/>
    <m/>
    <m/>
    <m/>
    <m/>
    <m/>
    <m/>
    <m/>
    <m/>
    <m/>
    <m/>
    <m/>
    <m/>
    <s v=""/>
    <m/>
    <m/>
    <m/>
    <s v="Seb, fabricant d'électroménagers fondé par la famille Lescure et dirigé par Thierry de la Tour d'Artaise (né en 1954) depuis 1999 (échéance du mandat 2020. Possède 546 002 actions (54 M euros)"/>
    <m/>
    <n v="2897"/>
    <n v="0"/>
    <s v="FR000012170912023"/>
    <s v="FR0000121709"/>
    <n v="1"/>
    <x v="130"/>
    <m/>
    <m/>
    <m/>
  </r>
  <r>
    <m/>
    <m/>
    <m/>
    <m/>
    <m/>
    <x v="1"/>
    <m/>
    <m/>
    <m/>
    <m/>
    <m/>
    <m/>
    <m/>
    <m/>
    <m/>
    <m/>
    <m/>
    <m/>
    <m/>
    <m/>
    <m/>
    <s v=""/>
    <m/>
    <m/>
    <m/>
    <s v="La famille Lescure détient 31,9% du capital et 40,15% des droits de vote. Autres actionnaires : FSP (5,24%), Peugeot Invest (4,02%)"/>
    <m/>
    <n v="2898"/>
    <n v="0"/>
    <s v="FR00001217091"/>
    <s v="FR0000121709"/>
    <n v="1"/>
    <x v="130"/>
    <m/>
    <m/>
    <m/>
  </r>
  <r>
    <m/>
    <m/>
    <m/>
    <m/>
    <n v="78.25"/>
    <x v="2"/>
    <n v="7960000000"/>
    <n v="900000000"/>
    <n v="602700000"/>
    <n v="316000000"/>
    <n v="1973000000"/>
    <n v="3168800000"/>
    <n v="57.262878500525048"/>
    <n v="9.9722292350416561E-2"/>
    <n v="8.2051032712279745E-2"/>
    <n v="55337770"/>
    <n v="4330180502.5"/>
    <n v="1.3665048291151225"/>
    <n v="7.0035338916666667"/>
    <s v="A2 - Court terme"/>
    <m/>
    <s v=""/>
    <n v="663000000"/>
    <m/>
    <m/>
    <s v="Concurrents : CA Electrolux 11,9 Mds d'euros, CA Whirlpool  17,9 Mds d'euros "/>
    <m/>
    <n v="2899"/>
    <n v="0"/>
    <s v="FR000012170912022"/>
    <s v="FR0000121709"/>
    <n v="1"/>
    <x v="130"/>
    <m/>
    <m/>
    <m/>
  </r>
  <r>
    <m/>
    <m/>
    <m/>
    <m/>
    <m/>
    <x v="1"/>
    <n v="-1.2259889809897229E-2"/>
    <n v="-0.18181818181818177"/>
    <n v="-0.25212190400555912"/>
    <n v="-0.3036579991185544"/>
    <m/>
    <m/>
    <m/>
    <m/>
    <m/>
    <m/>
    <m/>
    <m/>
    <m/>
    <m/>
    <m/>
    <s v=""/>
    <m/>
    <m/>
    <m/>
    <s v="Fabricant d'ustensiles pour la cuisine (autocuisseurs, cafetières….), la salle de bain, le nettoyage (aspirateurs), climatiseurs… Beaucoup d'innovations "/>
    <m/>
    <n v="2900"/>
    <n v="0"/>
    <s v="FR00001217091"/>
    <s v="FR0000121709"/>
    <n v="1"/>
    <x v="130"/>
    <m/>
    <m/>
    <m/>
  </r>
  <r>
    <m/>
    <m/>
    <m/>
    <m/>
    <n v="136.9"/>
    <x v="3"/>
    <n v="8058800000"/>
    <n v="1100000000"/>
    <n v="805880000"/>
    <n v="453800000"/>
    <n v="1524000000"/>
    <n v="2990100000"/>
    <n v="59.600491928798569"/>
    <n v="0.1517674994147353"/>
    <n v="0.124967546133227"/>
    <n v="55337770"/>
    <n v="7575740713"/>
    <n v="2.5336078101066852"/>
    <n v="8.272491557272728"/>
    <m/>
    <m/>
    <s v=""/>
    <m/>
    <m/>
    <m/>
    <s v="Marché grand public et marché professionnel (bar et restaurant : 10% du CA en 2019)"/>
    <m/>
    <n v="2901"/>
    <n v="0"/>
    <s v="FR000012170912021"/>
    <s v="FR0000121709"/>
    <n v="1"/>
    <x v="130"/>
    <m/>
    <m/>
    <m/>
  </r>
  <r>
    <m/>
    <m/>
    <m/>
    <m/>
    <m/>
    <x v="1"/>
    <n v="0.1612103746397695"/>
    <n v="0.29259694477085785"/>
    <n v="0.60214711729622272"/>
    <n v="0.50764119601328894"/>
    <m/>
    <m/>
    <m/>
    <m/>
    <m/>
    <m/>
    <m/>
    <m/>
    <m/>
    <m/>
    <m/>
    <s v=""/>
    <m/>
    <m/>
    <m/>
    <s v="Présence mondiale avec un développement par croissance interne et externe. Europe : 40% du CA - Amérique : 15% du CA - Chine : 24% du CA - Asie (hors Chine) : 9% - EMEA : 12%"/>
    <m/>
    <n v="2902"/>
    <n v="0"/>
    <s v="FR00001217091"/>
    <s v="FR0000121709"/>
    <n v="1"/>
    <x v="130"/>
    <m/>
    <m/>
    <m/>
  </r>
  <r>
    <m/>
    <m/>
    <m/>
    <m/>
    <n v="149"/>
    <x v="4"/>
    <n v="6940000000"/>
    <n v="851000000"/>
    <n v="503000000"/>
    <n v="301000000"/>
    <n v="1518000000"/>
    <n v="2467500000"/>
    <n v="49.183710857265801"/>
    <n v="0.12198581560283688"/>
    <n v="8.8345251536820976E-2"/>
    <n v="50307064"/>
    <n v="7495752536"/>
    <n v="3.0377923144883487"/>
    <n v="10.591953626321974"/>
    <m/>
    <n v="32384"/>
    <n v="214303.35968379446"/>
    <m/>
    <m/>
    <m/>
    <s v="10 premiers pays : France, Allemagne, Espagne, Italie, Chine, États-Unis, Corée du Sud, Japon, Brésil, et Russie"/>
    <m/>
    <n v="2903"/>
    <n v="0"/>
    <s v="FR000012170912020"/>
    <s v="FR0000121709"/>
    <n v="1"/>
    <x v="130"/>
    <m/>
    <m/>
    <m/>
  </r>
  <r>
    <m/>
    <m/>
    <m/>
    <m/>
    <m/>
    <x v="1"/>
    <n v="-5.6283060688886222E-2"/>
    <n v="5.9775840597758423E-2"/>
    <n v="-0.1893634165995165"/>
    <n v="-0.29722157366332014"/>
    <m/>
    <m/>
    <m/>
    <m/>
    <m/>
    <m/>
    <m/>
    <m/>
    <m/>
    <m/>
    <m/>
    <s v=""/>
    <m/>
    <m/>
    <m/>
    <s v="Développement des ventes en lignes (35% des ventes en 2020 - sans impact pour Seb qui est fabricant et son réseau de magasins est modeste et complémentaire) voire direct aux consommateurs via market place et Brand.com"/>
    <m/>
    <n v="2904"/>
    <n v="0"/>
    <s v="FR00001217091"/>
    <s v="FR0000121709"/>
    <n v="1"/>
    <x v="130"/>
    <m/>
    <m/>
    <m/>
  </r>
  <r>
    <m/>
    <m/>
    <m/>
    <m/>
    <n v="132.4"/>
    <x v="5"/>
    <n v="7353900000"/>
    <n v="803000000"/>
    <n v="620500000"/>
    <n v="428300000"/>
    <n v="1997000000"/>
    <n v="2392600000"/>
    <n v="47.690758499328936"/>
    <n v="0.17901028170191424"/>
    <n v="9.8949790413705122E-2"/>
    <n v="50169049"/>
    <n v="6642382087.6000004"/>
    <n v="2.7762192124049152"/>
    <n v="10.758881802739726"/>
    <m/>
    <m/>
    <s v=""/>
    <m/>
    <m/>
    <m/>
    <s v="Concurrence asiatique sur l'entrée de gamme et l'Italie sur le haut de gamme mais a toujours su naviguer dans ce contexte compétitif"/>
    <m/>
    <n v="2905"/>
    <n v="0"/>
    <s v="FR000012170912019"/>
    <s v="FR0000121709"/>
    <n v="1"/>
    <x v="130"/>
    <m/>
    <m/>
    <m/>
  </r>
  <r>
    <m/>
    <m/>
    <m/>
    <m/>
    <m/>
    <x v="1"/>
    <n v="7.9519098088723261E-2"/>
    <n v="-2.4844720496894901E-3"/>
    <n v="-8.152173913043459E-3"/>
    <n v="-7.3945945945945946E-2"/>
    <m/>
    <m/>
    <m/>
    <m/>
    <m/>
    <m/>
    <m/>
    <m/>
    <m/>
    <m/>
    <m/>
    <s v=""/>
    <m/>
    <m/>
    <m/>
    <s v="Toujours présent là où il faut avec le bon produit. Des produits de cuisine dans certains pays, de salles de bains dans d'autres …"/>
    <m/>
    <n v="2906"/>
    <n v="0"/>
    <s v="FR00001217091"/>
    <s v="FR0000121709"/>
    <n v="1"/>
    <x v="130"/>
    <m/>
    <m/>
    <m/>
  </r>
  <r>
    <m/>
    <m/>
    <m/>
    <m/>
    <n v="110.3"/>
    <x v="6"/>
    <n v="6812200000"/>
    <n v="805000000"/>
    <n v="625600000"/>
    <n v="462500000"/>
    <n v="1578000000"/>
    <n v="2098000000"/>
    <n v="41.818612108832284"/>
    <n v="0.22044804575786464"/>
    <n v="0.11912948857453753"/>
    <n v="50169049"/>
    <n v="5533646104.6999998"/>
    <n v="2.6375815561010487"/>
    <n v="8.8343429872049679"/>
    <m/>
    <m/>
    <s v=""/>
    <m/>
    <m/>
    <m/>
    <s v="En 2022, ralentissement de la demande, contrecoup Covid-19 (suite à un excès de demande pendant les confinements de 2020 et 2021) et hausse des matières premières, résultats divisés par 2"/>
    <m/>
    <n v="2907"/>
    <n v="0"/>
    <s v="FR000012170912018"/>
    <s v="FR0000121709"/>
    <n v="1"/>
    <x v="130"/>
    <m/>
    <m/>
    <m/>
  </r>
  <r>
    <m/>
    <m/>
    <m/>
    <m/>
    <m/>
    <x v="1"/>
    <n v="5.0519692810659045E-2"/>
    <n v="5.2287581699346442E-2"/>
    <n v="7.9551337359792917E-2"/>
    <n v="0.13191385217816931"/>
    <m/>
    <m/>
    <m/>
    <m/>
    <m/>
    <m/>
    <m/>
    <m/>
    <m/>
    <m/>
    <m/>
    <s v=""/>
    <m/>
    <m/>
    <m/>
    <s v="CAC : Mazars &amp; Price"/>
    <m/>
    <n v="2908"/>
    <n v="0"/>
    <s v="FR00001217091"/>
    <s v="FR0000121709"/>
    <n v="1"/>
    <x v="130"/>
    <m/>
    <m/>
    <m/>
  </r>
  <r>
    <m/>
    <m/>
    <m/>
    <m/>
    <n v="154.19999999999999"/>
    <x v="7"/>
    <n v="6484600000"/>
    <n v="765000000"/>
    <n v="579500000"/>
    <n v="408600000"/>
    <n v="1905000000"/>
    <n v="1789500000"/>
    <n v="35.669402463658422"/>
    <n v="0.22833193629505449"/>
    <n v="0.10979834889700907"/>
    <n v="50169049"/>
    <n v="7736067355.7999992"/>
    <n v="4.3230328895222128"/>
    <n v="12.602702425882352"/>
    <m/>
    <m/>
    <s v=""/>
    <m/>
    <m/>
    <m/>
    <s v="Minoritaires : 10% des fonds propres (et 15% du résultat net - Chine principalement avec SUPOR)"/>
    <m/>
    <n v="2909"/>
    <n v="0"/>
    <s v="FR000012170912017"/>
    <s v="FR0000121709"/>
    <n v="1"/>
    <x v="130"/>
    <m/>
    <m/>
    <m/>
  </r>
  <r>
    <m/>
    <m/>
    <m/>
    <m/>
    <m/>
    <x v="1"/>
    <n v="0.29699781986919205"/>
    <n v="0.39090909090909087"/>
    <n v="0.35937133474079297"/>
    <n v="0.40508940852819797"/>
    <m/>
    <m/>
    <m/>
    <m/>
    <m/>
    <m/>
    <m/>
    <m/>
    <m/>
    <m/>
    <m/>
    <s v=""/>
    <m/>
    <m/>
    <m/>
    <s v="Pay-out ratio : 30% -  40%"/>
    <m/>
    <n v="2910"/>
    <n v="0"/>
    <s v="FR00001217091"/>
    <s v="FR0000121709"/>
    <n v="1"/>
    <x v="130"/>
    <m/>
    <m/>
    <m/>
  </r>
  <r>
    <m/>
    <m/>
    <m/>
    <m/>
    <n v="128.75"/>
    <x v="8"/>
    <n v="4999700000"/>
    <n v="550000000"/>
    <n v="426300000"/>
    <n v="290800000"/>
    <n v="2019000000"/>
    <n v="1671000000"/>
    <n v="33.307388386014651"/>
    <n v="0.17402752842609215"/>
    <n v="8.0869918699186985E-2"/>
    <n v="50169049"/>
    <n v="6459265058.75"/>
    <n v="3.8655087125972472"/>
    <n v="15.415027379545455"/>
    <m/>
    <m/>
    <s v=""/>
    <m/>
    <m/>
    <m/>
    <m/>
    <m/>
    <n v="2911"/>
    <n v="0"/>
    <s v="FR000012170912016"/>
    <s v="FR0000121709"/>
    <n v="1"/>
    <x v="130"/>
    <m/>
    <m/>
    <m/>
  </r>
  <r>
    <m/>
    <m/>
    <m/>
    <m/>
    <m/>
    <x v="1"/>
    <n v="4.8221062121307501E-2"/>
    <n v="8.2677165354330784E-2"/>
    <n v="0.14812819822246159"/>
    <n v="0.20613853172957275"/>
    <m/>
    <m/>
    <m/>
    <m/>
    <m/>
    <m/>
    <m/>
    <m/>
    <m/>
    <m/>
    <m/>
    <s v=""/>
    <m/>
    <m/>
    <m/>
    <m/>
    <m/>
    <n v="2912"/>
    <n v="0"/>
    <s v="FR00001217091"/>
    <s v="FR0000121709"/>
    <n v="1"/>
    <x v="130"/>
    <m/>
    <m/>
    <m/>
  </r>
  <r>
    <m/>
    <m/>
    <m/>
    <m/>
    <n v="94.6"/>
    <x v="9"/>
    <n v="4769700000"/>
    <n v="508000000"/>
    <n v="371300000"/>
    <n v="241100000"/>
    <n v="316000000"/>
    <n v="1707600000"/>
    <n v="34.036921847970447"/>
    <n v="0.14119231670180371"/>
    <n v="0.12843941490413124"/>
    <n v="50169049"/>
    <n v="4745992035.3999996"/>
    <n v="2.7793347595455606"/>
    <n v="9.9645512507874017"/>
    <m/>
    <m/>
    <s v=""/>
    <m/>
    <m/>
    <m/>
    <m/>
    <m/>
    <n v="2913"/>
    <n v="0"/>
    <s v="FR000012170912015"/>
    <s v="FR0000121709"/>
    <n v="1"/>
    <x v="130"/>
    <m/>
    <m/>
    <m/>
  </r>
  <r>
    <m/>
    <m/>
    <m/>
    <m/>
    <m/>
    <x v="1"/>
    <n v="0.1214643436552163"/>
    <n v="0.17050691244239635"/>
    <n v="0.18361491871214541"/>
    <n v="0.24599483204134365"/>
    <m/>
    <m/>
    <m/>
    <m/>
    <m/>
    <m/>
    <m/>
    <m/>
    <m/>
    <m/>
    <m/>
    <s v=""/>
    <m/>
    <m/>
    <m/>
    <m/>
    <m/>
    <n v="2914"/>
    <n v="0"/>
    <s v="FR00001217091"/>
    <s v="FR0000121709"/>
    <n v="1"/>
    <x v="130"/>
    <m/>
    <m/>
    <m/>
  </r>
  <r>
    <m/>
    <m/>
    <m/>
    <m/>
    <n v="61.57"/>
    <x v="10"/>
    <n v="4253100000"/>
    <n v="434000000"/>
    <n v="313700000"/>
    <n v="193500000"/>
    <n v="453000000"/>
    <n v="1551000000"/>
    <n v="30.915475395995646"/>
    <n v="0.12475822050290135"/>
    <n v="0.10957584830339322"/>
    <n v="50169049"/>
    <n v="3088908346.9299998"/>
    <n v="1.9915592178787878"/>
    <n v="8.1610791403917045"/>
    <m/>
    <m/>
    <s v=""/>
    <m/>
    <m/>
    <m/>
    <m/>
    <m/>
    <n v="2915"/>
    <n v="0"/>
    <s v="FR000012170912014"/>
    <s v="FR0000121709"/>
    <n v="1"/>
    <x v="130"/>
    <m/>
    <m/>
    <m/>
  </r>
  <r>
    <m/>
    <m/>
    <m/>
    <m/>
    <m/>
    <x v="1"/>
    <n v="2.2060413812991175E-2"/>
    <n v="-8.6315789473684235E-2"/>
    <n v="-0.13771302913688843"/>
    <n v="-0.12719891745602163"/>
    <m/>
    <m/>
    <m/>
    <m/>
    <m/>
    <m/>
    <m/>
    <m/>
    <m/>
    <m/>
    <m/>
    <s v=""/>
    <m/>
    <m/>
    <m/>
    <m/>
    <m/>
    <n v="2916"/>
    <n v="0"/>
    <s v="FR00001217091"/>
    <s v="FR0000121709"/>
    <n v="1"/>
    <x v="130"/>
    <m/>
    <m/>
    <m/>
  </r>
  <r>
    <m/>
    <m/>
    <m/>
    <m/>
    <n v="65.7"/>
    <x v="11"/>
    <n v="4161300000"/>
    <n v="475000000"/>
    <n v="363800000"/>
    <n v="221700000"/>
    <n v="416000000"/>
    <n v="1389700000"/>
    <n v="27.7003456852451"/>
    <n v="0.15953083399294812"/>
    <n v="0.14103117904413798"/>
    <n v="50169049"/>
    <n v="3296106519.3000002"/>
    <n v="2.371811555947327"/>
    <n v="7.8149610932631584"/>
    <m/>
    <m/>
    <s v=""/>
    <m/>
    <m/>
    <m/>
    <m/>
    <m/>
    <n v="2917"/>
    <n v="0"/>
    <s v="FR000012170912013"/>
    <s v="FR0000121709"/>
    <n v="1"/>
    <x v="130"/>
    <m/>
    <m/>
    <m/>
  </r>
  <r>
    <m/>
    <m/>
    <m/>
    <m/>
    <m/>
    <x v="1"/>
    <m/>
    <m/>
    <m/>
    <m/>
    <m/>
    <m/>
    <m/>
    <m/>
    <m/>
    <m/>
    <m/>
    <m/>
    <m/>
    <m/>
    <m/>
    <s v=""/>
    <m/>
    <m/>
    <m/>
    <m/>
    <m/>
    <n v="2918"/>
    <n v="0"/>
    <s v="FR00001217091"/>
    <s v="FR0000121709"/>
    <n v="1"/>
    <x v="130"/>
    <m/>
    <m/>
    <m/>
  </r>
  <r>
    <m/>
    <m/>
    <m/>
    <m/>
    <m/>
    <x v="1"/>
    <m/>
    <m/>
    <m/>
    <m/>
    <m/>
    <m/>
    <m/>
    <m/>
    <m/>
    <m/>
    <m/>
    <m/>
    <m/>
    <m/>
    <m/>
    <s v=""/>
    <m/>
    <m/>
    <m/>
    <m/>
    <m/>
    <n v="2919"/>
    <n v="0"/>
    <s v="FR00001217091"/>
    <s v="FR0000121709"/>
    <n v="1"/>
    <x v="130"/>
    <m/>
    <m/>
    <m/>
  </r>
  <r>
    <m/>
    <m/>
    <m/>
    <m/>
    <m/>
    <x v="1"/>
    <m/>
    <m/>
    <m/>
    <m/>
    <m/>
    <m/>
    <m/>
    <m/>
    <m/>
    <m/>
    <m/>
    <m/>
    <m/>
    <m/>
    <m/>
    <s v=""/>
    <m/>
    <m/>
    <m/>
    <m/>
    <m/>
    <n v="2920"/>
    <n v="0"/>
    <s v="FR00001217091"/>
    <s v="FR0000121709"/>
    <n v="1"/>
    <x v="130"/>
    <m/>
    <m/>
    <m/>
  </r>
  <r>
    <s v="Solvay"/>
    <s v="Chimie"/>
    <s v="Belgique"/>
    <s v="Euro"/>
    <m/>
    <x v="0"/>
    <m/>
    <m/>
    <m/>
    <m/>
    <m/>
    <m/>
    <m/>
    <m/>
    <m/>
    <m/>
    <m/>
    <m/>
    <m/>
    <m/>
    <m/>
    <s v=""/>
    <m/>
    <m/>
    <m/>
    <m/>
    <m/>
    <n v="2921"/>
    <n v="0"/>
    <s v="BE000347075512023"/>
    <s v="BE0003470755"/>
    <n v="1"/>
    <x v="131"/>
    <m/>
    <m/>
    <m/>
  </r>
  <r>
    <m/>
    <m/>
    <m/>
    <m/>
    <m/>
    <x v="1"/>
    <m/>
    <m/>
    <m/>
    <m/>
    <m/>
    <m/>
    <m/>
    <m/>
    <m/>
    <m/>
    <m/>
    <m/>
    <m/>
    <m/>
    <m/>
    <s v=""/>
    <m/>
    <m/>
    <m/>
    <m/>
    <m/>
    <n v="2922"/>
    <n v="0"/>
    <s v="BE00034707551"/>
    <s v="BE0003470755"/>
    <n v="1"/>
    <x v="131"/>
    <m/>
    <m/>
    <m/>
  </r>
  <r>
    <m/>
    <m/>
    <m/>
    <m/>
    <n v="94.46"/>
    <x v="2"/>
    <m/>
    <m/>
    <m/>
    <m/>
    <m/>
    <m/>
    <m/>
    <m/>
    <m/>
    <m/>
    <m/>
    <m/>
    <m/>
    <m/>
    <m/>
    <s v=""/>
    <m/>
    <m/>
    <m/>
    <m/>
    <m/>
    <n v="2923"/>
    <n v="0"/>
    <s v="BE000347075512022"/>
    <s v="BE0003470755"/>
    <n v="1"/>
    <x v="131"/>
    <m/>
    <m/>
    <m/>
  </r>
  <r>
    <m/>
    <m/>
    <m/>
    <m/>
    <m/>
    <x v="1"/>
    <m/>
    <m/>
    <m/>
    <m/>
    <m/>
    <m/>
    <m/>
    <m/>
    <m/>
    <m/>
    <m/>
    <m/>
    <m/>
    <m/>
    <m/>
    <s v=""/>
    <m/>
    <m/>
    <m/>
    <m/>
    <m/>
    <n v="2924"/>
    <n v="0"/>
    <s v="BE00034707551"/>
    <s v="BE0003470755"/>
    <n v="1"/>
    <x v="131"/>
    <m/>
    <m/>
    <m/>
  </r>
  <r>
    <m/>
    <m/>
    <m/>
    <m/>
    <n v="102.2"/>
    <x v="3"/>
    <m/>
    <m/>
    <m/>
    <m/>
    <m/>
    <m/>
    <m/>
    <m/>
    <m/>
    <n v="105876416"/>
    <n v="10820569715.200001"/>
    <m/>
    <m/>
    <s v="IG "/>
    <m/>
    <s v=""/>
    <m/>
    <m/>
    <m/>
    <s v="Chimiste belge fondé par Ernest Solvay en 1863 et détenu à 30,4% par Solvac une fédération d'actionnaires"/>
    <m/>
    <n v="2925"/>
    <n v="0"/>
    <s v="BE000347075512021"/>
    <s v="BE0003470755"/>
    <n v="1"/>
    <x v="131"/>
    <m/>
    <m/>
    <m/>
  </r>
  <r>
    <m/>
    <m/>
    <m/>
    <m/>
    <m/>
    <x v="1"/>
    <m/>
    <m/>
    <m/>
    <m/>
    <m/>
    <m/>
    <m/>
    <m/>
    <m/>
    <m/>
    <m/>
    <m/>
    <m/>
    <s v="Négative - 27/4/2020"/>
    <m/>
    <s v=""/>
    <m/>
    <m/>
    <m/>
    <s v="Dirigé par Ilham Kadri (né en 1969) depuis le 1er mars 2019 (échéance 2021) suite au départ de Clamadieu (2011-2019)"/>
    <m/>
    <n v="2926"/>
    <n v="0"/>
    <s v="BE00034707551"/>
    <s v="BE0003470755"/>
    <n v="1"/>
    <x v="131"/>
    <m/>
    <m/>
    <m/>
  </r>
  <r>
    <m/>
    <m/>
    <m/>
    <m/>
    <n v="102.2"/>
    <x v="4"/>
    <n v="9014720000"/>
    <n v="2000000000"/>
    <n v="1100000000"/>
    <n v="700000000"/>
    <n v="4280000000"/>
    <n v="7654000000"/>
    <n v="72.291831261080844"/>
    <n v="9.1455448131695843E-2"/>
    <n v="6.4521535109770406E-2"/>
    <n v="105876416"/>
    <n v="10820569715.200001"/>
    <n v="1.4137143604912465"/>
    <n v="7.5502848576000003"/>
    <m/>
    <m/>
    <s v=""/>
    <m/>
    <m/>
    <m/>
    <s v="Division Materials, chimiques et solutions à destination de l'automobile, l'aviation, le pétrole, la santé, la maison, l'électronique.."/>
    <m/>
    <n v="2927"/>
    <n v="0"/>
    <s v="BE000347075512020"/>
    <s v="BE0003470755"/>
    <n v="1"/>
    <x v="131"/>
    <m/>
    <m/>
    <m/>
  </r>
  <r>
    <m/>
    <m/>
    <m/>
    <m/>
    <m/>
    <x v="1"/>
    <n v="-0.19704996882515369"/>
    <n v="-0.1386735572782084"/>
    <n v="-0.26813040585495673"/>
    <n v="-0.34883720930232553"/>
    <m/>
    <m/>
    <m/>
    <m/>
    <m/>
    <m/>
    <m/>
    <m/>
    <m/>
    <m/>
    <m/>
    <s v=""/>
    <m/>
    <m/>
    <m/>
    <s v="En avril 2011, rachete le français Rhodia à 34 euros (ça valait 40 euros) en échange Clamadieu est devenu dirigeant de Solvay. Le titre a progressé à 110-120 euros puis stagné depuis. Secteur mature en transformation"/>
    <m/>
    <n v="2928"/>
    <n v="0"/>
    <s v="BE00034707551"/>
    <s v="BE0003470755"/>
    <n v="1"/>
    <x v="131"/>
    <m/>
    <m/>
    <m/>
  </r>
  <r>
    <m/>
    <m/>
    <m/>
    <m/>
    <n v="104"/>
    <x v="5"/>
    <n v="11227000000"/>
    <n v="2322000000"/>
    <n v="1503000000"/>
    <n v="1075000000"/>
    <n v="5386000000"/>
    <n v="9625000000"/>
    <n v="90.907875083342446"/>
    <n v="0.11168831168831168"/>
    <n v="7.0088601692092453E-2"/>
    <n v="105876416"/>
    <n v="11011147264"/>
    <n v="1.1440153001558442"/>
    <n v="7.0616482618432386"/>
    <m/>
    <m/>
    <s v=""/>
    <m/>
    <m/>
    <m/>
    <s v="Cession de l'activité polyamide au 31/1/2020 pour 1,6 Md euros (1,2 Md euros nette pour Solvay) à BASF et DOMO"/>
    <m/>
    <n v="2929"/>
    <n v="0"/>
    <s v="BE000347075512019"/>
    <s v="BE0003470755"/>
    <n v="1"/>
    <x v="131"/>
    <m/>
    <m/>
    <m/>
  </r>
  <r>
    <m/>
    <m/>
    <m/>
    <m/>
    <m/>
    <x v="1"/>
    <n v="-6.3722453314453142E-3"/>
    <n v="4.1255605381165905E-2"/>
    <n v="-3.2818532818532864E-2"/>
    <n v="-9.2165898617511122E-3"/>
    <m/>
    <m/>
    <m/>
    <m/>
    <m/>
    <m/>
    <m/>
    <m/>
    <m/>
    <m/>
    <m/>
    <s v=""/>
    <m/>
    <m/>
    <m/>
    <s v="Dépréciation d'actifs de 1,46 Md euros en 2020 sur l'activité composite materials."/>
    <m/>
    <n v="2930"/>
    <n v="0"/>
    <s v="BE00034707551"/>
    <s v="BE0003470755"/>
    <n v="1"/>
    <x v="131"/>
    <m/>
    <m/>
    <m/>
  </r>
  <r>
    <m/>
    <m/>
    <m/>
    <m/>
    <n v="92"/>
    <x v="6"/>
    <n v="11299000000"/>
    <n v="2230000000"/>
    <n v="1554000000"/>
    <n v="1085000000"/>
    <n v="5346000000"/>
    <n v="10624000000"/>
    <n v="100.3434041439408"/>
    <n v="0.10212725903614457"/>
    <n v="6.8115216030056353E-2"/>
    <n v="105876416"/>
    <n v="9740630272"/>
    <n v="0.9168514939759036"/>
    <n v="6.7653050547085201"/>
    <m/>
    <m/>
    <s v=""/>
    <m/>
    <m/>
    <m/>
    <s v="Dettes hybrides de 1,8 Md euros"/>
    <m/>
    <n v="2931"/>
    <n v="0"/>
    <s v="BE000347075512018"/>
    <s v="BE0003470755"/>
    <n v="1"/>
    <x v="131"/>
    <m/>
    <m/>
    <m/>
  </r>
  <r>
    <m/>
    <m/>
    <m/>
    <m/>
    <m/>
    <x v="1"/>
    <n v="3.7462124690111009E-2"/>
    <n v="0"/>
    <n v="0.59221311475409832"/>
    <n v="2.2620169651272448E-2"/>
    <m/>
    <m/>
    <m/>
    <m/>
    <m/>
    <m/>
    <m/>
    <m/>
    <m/>
    <m/>
    <m/>
    <s v=""/>
    <m/>
    <m/>
    <m/>
    <s v="Provision pour retraite : 3,8 Md euros (déjà présent chez Rhodia en 2009)"/>
    <m/>
    <n v="2932"/>
    <n v="0"/>
    <s v="BE00034707551"/>
    <s v="BE0003470755"/>
    <n v="1"/>
    <x v="131"/>
    <m/>
    <m/>
    <m/>
  </r>
  <r>
    <m/>
    <m/>
    <m/>
    <m/>
    <n v="117"/>
    <x v="7"/>
    <n v="10891000000"/>
    <n v="2230000000"/>
    <n v="976000000"/>
    <n v="1061000000"/>
    <n v="5105000000"/>
    <n v="9752000000"/>
    <n v="92.107386785740843"/>
    <n v="0.10879819524200164"/>
    <n v="4.5985057548630276E-2"/>
    <n v="105876416"/>
    <n v="12387540672"/>
    <n v="1.2702564265791632"/>
    <n v="7.8441886421524663"/>
    <m/>
    <m/>
    <s v=""/>
    <m/>
    <m/>
    <m/>
    <s v="Exceptionnel en 2018 - 2019, en vitesse de croisière ROCE : 8%. "/>
    <m/>
    <n v="2933"/>
    <n v="0"/>
    <s v="BE000347075512017"/>
    <s v="BE0003470755"/>
    <n v="1"/>
    <x v="131"/>
    <m/>
    <m/>
    <m/>
  </r>
  <r>
    <m/>
    <m/>
    <m/>
    <m/>
    <m/>
    <x v="1"/>
    <n v="-4.4900464789967565E-2"/>
    <n v="-2.3642732049036774E-2"/>
    <n v="1.4553014553014609E-2"/>
    <n v="0.70853462157809988"/>
    <m/>
    <m/>
    <m/>
    <m/>
    <m/>
    <m/>
    <m/>
    <m/>
    <m/>
    <m/>
    <m/>
    <s v=""/>
    <m/>
    <m/>
    <m/>
    <s v="FCF représente 25% de l'EBE"/>
    <m/>
    <n v="2934"/>
    <n v="0"/>
    <s v="BE00034707551"/>
    <s v="BE0003470755"/>
    <n v="1"/>
    <x v="131"/>
    <m/>
    <m/>
    <m/>
  </r>
  <r>
    <m/>
    <m/>
    <m/>
    <m/>
    <n v="110.5"/>
    <x v="8"/>
    <n v="11403000000"/>
    <n v="2284000000"/>
    <n v="962000000"/>
    <n v="621000000"/>
    <n v="4457000000"/>
    <n v="9956000000"/>
    <n v="94.034161488805964"/>
    <n v="6.2374447569304943E-2"/>
    <n v="4.6721709567751332E-2"/>
    <n v="105876416"/>
    <n v="11699343968"/>
    <n v="1.1751048581759742"/>
    <n v="7.073705765323993"/>
    <m/>
    <m/>
    <s v=""/>
    <m/>
    <m/>
    <m/>
    <s v="Création de valeur à long terme difficile entre le secteur mature, la dette et provision retraite et le niveau de dividendes. Bonne gestion des coûts, des cessions / croissance et bonne gouvernance"/>
    <m/>
    <n v="2935"/>
    <n v="0"/>
    <s v="BE000347075512016"/>
    <s v="BE0003470755"/>
    <n v="1"/>
    <x v="131"/>
    <m/>
    <m/>
    <m/>
  </r>
  <r>
    <m/>
    <m/>
    <m/>
    <m/>
    <m/>
    <x v="1"/>
    <n v="3.2225943695120884E-2"/>
    <n v="0.16828644501278767"/>
    <n v="0.15486194477791115"/>
    <n v="0.52955665024630538"/>
    <m/>
    <m/>
    <m/>
    <m/>
    <m/>
    <m/>
    <m/>
    <m/>
    <m/>
    <m/>
    <m/>
    <s v=""/>
    <m/>
    <m/>
    <m/>
    <s v="24 125 salariés soit 465 K euros par salarié"/>
    <m/>
    <n v="2936"/>
    <n v="0"/>
    <s v="BE00034707551"/>
    <s v="BE0003470755"/>
    <n v="1"/>
    <x v="131"/>
    <m/>
    <m/>
    <m/>
  </r>
  <r>
    <m/>
    <m/>
    <m/>
    <m/>
    <n v="98.4"/>
    <x v="9"/>
    <n v="11047000000"/>
    <n v="1955000000"/>
    <n v="833000000"/>
    <n v="406000000"/>
    <n v="4490000000"/>
    <n v="9668000000"/>
    <n v="91.314008966831665"/>
    <n v="4.1994207695490275E-2"/>
    <n v="4.1185195649102981E-2"/>
    <n v="105876416"/>
    <n v="10418239334.400002"/>
    <n v="1.0776002621431529"/>
    <n v="7.6256978692583131"/>
    <m/>
    <m/>
    <s v=""/>
    <m/>
    <m/>
    <m/>
    <s v="Peu de minoriataires"/>
    <m/>
    <n v="2937"/>
    <n v="0"/>
    <s v="BE000347075512015"/>
    <s v="BE0003470755"/>
    <n v="1"/>
    <x v="131"/>
    <m/>
    <m/>
    <m/>
  </r>
  <r>
    <m/>
    <m/>
    <m/>
    <m/>
    <m/>
    <x v="1"/>
    <m/>
    <m/>
    <m/>
    <m/>
    <m/>
    <m/>
    <m/>
    <m/>
    <m/>
    <m/>
    <m/>
    <m/>
    <m/>
    <m/>
    <m/>
    <s v=""/>
    <m/>
    <m/>
    <m/>
    <s v="Pay out Ratio : 45% (dividendes versés en 2020 malgré la crise)"/>
    <m/>
    <n v="2938"/>
    <n v="0"/>
    <s v="BE00034707551"/>
    <s v="BE0003470755"/>
    <n v="1"/>
    <x v="131"/>
    <m/>
    <m/>
    <m/>
  </r>
  <r>
    <m/>
    <m/>
    <m/>
    <m/>
    <m/>
    <x v="1"/>
    <m/>
    <m/>
    <m/>
    <m/>
    <m/>
    <m/>
    <m/>
    <m/>
    <m/>
    <m/>
    <m/>
    <m/>
    <m/>
    <m/>
    <m/>
    <s v=""/>
    <m/>
    <m/>
    <m/>
    <m/>
    <m/>
    <n v="2939"/>
    <n v="0"/>
    <s v="BE00034707551"/>
    <s v="BE0003470755"/>
    <n v="1"/>
    <x v="131"/>
    <m/>
    <m/>
    <m/>
  </r>
  <r>
    <m/>
    <m/>
    <m/>
    <m/>
    <m/>
    <x v="1"/>
    <m/>
    <m/>
    <m/>
    <m/>
    <m/>
    <m/>
    <m/>
    <m/>
    <m/>
    <m/>
    <m/>
    <m/>
    <m/>
    <m/>
    <m/>
    <s v=""/>
    <m/>
    <m/>
    <m/>
    <m/>
    <m/>
    <n v="2940"/>
    <n v="0"/>
    <s v="BE00034707551"/>
    <s v="BE0003470755"/>
    <n v="1"/>
    <x v="131"/>
    <m/>
    <m/>
    <m/>
  </r>
  <r>
    <m/>
    <m/>
    <m/>
    <m/>
    <m/>
    <x v="1"/>
    <m/>
    <m/>
    <m/>
    <m/>
    <m/>
    <m/>
    <m/>
    <m/>
    <m/>
    <m/>
    <m/>
    <m/>
    <m/>
    <m/>
    <m/>
    <s v=""/>
    <m/>
    <m/>
    <m/>
    <m/>
    <m/>
    <n v="2941"/>
    <n v="0"/>
    <s v="BE00034707551"/>
    <s v="BE0003470755"/>
    <n v="1"/>
    <x v="131"/>
    <m/>
    <m/>
    <m/>
  </r>
  <r>
    <m/>
    <m/>
    <m/>
    <m/>
    <m/>
    <x v="1"/>
    <m/>
    <m/>
    <m/>
    <m/>
    <m/>
    <m/>
    <m/>
    <m/>
    <m/>
    <m/>
    <m/>
    <m/>
    <m/>
    <m/>
    <m/>
    <s v=""/>
    <m/>
    <m/>
    <m/>
    <m/>
    <m/>
    <n v="2942"/>
    <n v="0"/>
    <s v="BE00034707551"/>
    <s v="BE0003470755"/>
    <n v="1"/>
    <x v="131"/>
    <m/>
    <m/>
    <m/>
  </r>
  <r>
    <m/>
    <m/>
    <m/>
    <m/>
    <m/>
    <x v="1"/>
    <m/>
    <m/>
    <m/>
    <m/>
    <m/>
    <m/>
    <m/>
    <m/>
    <m/>
    <m/>
    <m/>
    <m/>
    <m/>
    <m/>
    <m/>
    <s v=""/>
    <m/>
    <m/>
    <m/>
    <m/>
    <m/>
    <n v="2943"/>
    <n v="0"/>
    <s v="BE00034707551"/>
    <s v="BE0003470755"/>
    <n v="1"/>
    <x v="131"/>
    <m/>
    <m/>
    <m/>
  </r>
  <r>
    <s v="Arkema"/>
    <s v="Chimie"/>
    <s v="France"/>
    <s v="Euro"/>
    <m/>
    <x v="0"/>
    <m/>
    <m/>
    <m/>
    <m/>
    <m/>
    <m/>
    <m/>
    <m/>
    <m/>
    <m/>
    <m/>
    <m/>
    <m/>
    <m/>
    <m/>
    <s v=""/>
    <m/>
    <m/>
    <m/>
    <m/>
    <m/>
    <n v="2944"/>
    <n v="0"/>
    <s v="FR001031383312023"/>
    <s v="FR0010313833"/>
    <n v="1"/>
    <x v="132"/>
    <m/>
    <m/>
    <m/>
  </r>
  <r>
    <m/>
    <m/>
    <m/>
    <m/>
    <m/>
    <x v="1"/>
    <m/>
    <m/>
    <m/>
    <m/>
    <m/>
    <m/>
    <m/>
    <m/>
    <m/>
    <m/>
    <m/>
    <m/>
    <m/>
    <m/>
    <m/>
    <s v=""/>
    <m/>
    <m/>
    <m/>
    <m/>
    <m/>
    <n v="2945"/>
    <n v="0"/>
    <s v="FR00103138331"/>
    <s v="FR0010313833"/>
    <n v="1"/>
    <x v="132"/>
    <m/>
    <m/>
    <m/>
  </r>
  <r>
    <m/>
    <m/>
    <m/>
    <m/>
    <n v="83.88"/>
    <x v="2"/>
    <m/>
    <m/>
    <m/>
    <m/>
    <m/>
    <m/>
    <m/>
    <m/>
    <m/>
    <m/>
    <m/>
    <m/>
    <m/>
    <m/>
    <m/>
    <s v=""/>
    <m/>
    <m/>
    <m/>
    <m/>
    <m/>
    <n v="2946"/>
    <n v="0"/>
    <s v="FR001031383312022"/>
    <s v="FR0010313833"/>
    <n v="1"/>
    <x v="132"/>
    <m/>
    <m/>
    <m/>
  </r>
  <r>
    <m/>
    <m/>
    <m/>
    <m/>
    <m/>
    <x v="1"/>
    <m/>
    <m/>
    <m/>
    <m/>
    <m/>
    <m/>
    <m/>
    <m/>
    <m/>
    <m/>
    <m/>
    <m/>
    <m/>
    <m/>
    <m/>
    <s v=""/>
    <m/>
    <m/>
    <m/>
    <m/>
    <m/>
    <n v="2947"/>
    <n v="0"/>
    <s v="FR00103138331"/>
    <s v="FR0010313833"/>
    <n v="1"/>
    <x v="132"/>
    <m/>
    <m/>
    <m/>
  </r>
  <r>
    <m/>
    <m/>
    <m/>
    <m/>
    <n v="123.85"/>
    <x v="3"/>
    <n v="8400000000"/>
    <n v="1276560000"/>
    <n v="550000000"/>
    <n v="330000000"/>
    <n v="1900000000"/>
    <n v="5200000000"/>
    <n v="67.764383655043005"/>
    <n v="6.3461538461538458E-2"/>
    <n v="5.4225352112676053E-2"/>
    <n v="76736476"/>
    <n v="9503812552.6000004"/>
    <n v="1.8276562601153847"/>
    <n v="8.9332366301623107"/>
    <s v="BBB+"/>
    <m/>
    <s v=""/>
    <m/>
    <m/>
    <m/>
    <s v="Chimiste mondial, ancienne filiale de Total. Détenue par le public à 82,3%, salarié à 6,3%, le FSP à 6,2% et BlackRock à 5%"/>
    <m/>
    <n v="2948"/>
    <n v="0"/>
    <s v="FR001031383312021"/>
    <s v="FR0010313833"/>
    <n v="1"/>
    <x v="132"/>
    <m/>
    <m/>
    <m/>
  </r>
  <r>
    <m/>
    <m/>
    <m/>
    <m/>
    <m/>
    <x v="1"/>
    <n v="6.5449010654490047E-2"/>
    <n v="8.0000000000000071E-2"/>
    <n v="-0.11147011308562194"/>
    <n v="-6.0240963855421326E-3"/>
    <m/>
    <m/>
    <m/>
    <m/>
    <m/>
    <m/>
    <m/>
    <m/>
    <m/>
    <s v="Stable"/>
    <m/>
    <s v=""/>
    <m/>
    <m/>
    <m/>
    <s v="20 507 salariés soit 426 K euros par salarié"/>
    <m/>
    <n v="2949"/>
    <n v="0"/>
    <s v="FR00103138331"/>
    <s v="FR0010313833"/>
    <n v="1"/>
    <x v="132"/>
    <m/>
    <m/>
    <m/>
  </r>
  <r>
    <m/>
    <m/>
    <m/>
    <m/>
    <n v="93.5"/>
    <x v="4"/>
    <n v="7884000000"/>
    <n v="1182000000"/>
    <n v="619000000"/>
    <n v="332000000"/>
    <n v="1910000000"/>
    <n v="5187000000"/>
    <n v="67.594972695905398"/>
    <n v="6.4006169269327159E-2"/>
    <n v="6.1053966464703395E-2"/>
    <n v="76736476"/>
    <n v="7174860506"/>
    <n v="1.3832389639483325"/>
    <n v="7.6860071962774956"/>
    <m/>
    <m/>
    <s v=""/>
    <m/>
    <m/>
    <m/>
    <s v="En 2014, acquisition de Bostik (adhésif, Sader..) le 19 septembre finalisation en février 2015. CA : 1,5 Md euros et EBE : 158 Me. VE = 1,74 Md euros (VE/EBE = 11 fois). Augmentation de capital de 340 M euros, dettes hybrides de 700 Me et dettes de 700 Me"/>
    <m/>
    <n v="2950"/>
    <n v="0"/>
    <s v="FR001031383312020"/>
    <s v="FR0010313833"/>
    <n v="1"/>
    <x v="132"/>
    <m/>
    <m/>
    <m/>
  </r>
  <r>
    <m/>
    <m/>
    <m/>
    <m/>
    <m/>
    <x v="1"/>
    <n v="-9.7734035248340567E-2"/>
    <n v="-0.1887439945092656"/>
    <n v="-0.23200992555831268"/>
    <n v="-0.38858195211786373"/>
    <m/>
    <m/>
    <m/>
    <m/>
    <m/>
    <m/>
    <m/>
    <m/>
    <m/>
    <m/>
    <m/>
    <s v=""/>
    <m/>
    <m/>
    <m/>
    <s v="Thierry Le Hénaff dirigeant depuis 2006 est PDG et CEO de l'entreprise (échéance 2024)"/>
    <m/>
    <n v="2951"/>
    <n v="0"/>
    <s v="FR00103138331"/>
    <s v="FR0010313833"/>
    <n v="1"/>
    <x v="132"/>
    <m/>
    <m/>
    <m/>
  </r>
  <r>
    <m/>
    <m/>
    <m/>
    <m/>
    <n v="94.7"/>
    <x v="5"/>
    <n v="8738000000"/>
    <n v="1457000000"/>
    <n v="806000000"/>
    <n v="543000000"/>
    <n v="2331000000"/>
    <n v="5273000000"/>
    <n v="68.816361197543017"/>
    <n v="0.10297743220178267"/>
    <n v="7.4197790636507097E-2"/>
    <n v="76624220"/>
    <n v="7256313634"/>
    <n v="1.3761262344016689"/>
    <n v="6.5801740796156487"/>
    <m/>
    <m/>
    <s v=""/>
    <m/>
    <m/>
    <m/>
    <s v="En 2020, variation de la dette liée à une dette hybride 700 M euros"/>
    <m/>
    <n v="2952"/>
    <n v="0"/>
    <s v="FR001031383312019"/>
    <s v="FR0010313833"/>
    <n v="1"/>
    <x v="132"/>
    <m/>
    <m/>
    <m/>
  </r>
  <r>
    <m/>
    <m/>
    <m/>
    <m/>
    <m/>
    <x v="1"/>
    <n v="-8.8475499092558474E-3"/>
    <n v="-1.1533242876526462E-2"/>
    <n v="-0.13146551724137934"/>
    <n v="-0.23196605374823198"/>
    <m/>
    <m/>
    <m/>
    <m/>
    <m/>
    <m/>
    <m/>
    <m/>
    <m/>
    <m/>
    <m/>
    <s v=""/>
    <m/>
    <m/>
    <m/>
    <s v="En 2021, acquisition fin août d'Ashland aux États-Unis, leader des adhésifs huate performance aux États-Unis complémentaires pour Bostik. 360 M$ de chiffre d'affaires pour 330 salariés avec 25% de marge d'EBE (95 M$)"/>
    <m/>
    <n v="2953"/>
    <n v="0"/>
    <s v="FR00103138331"/>
    <s v="FR0010313833"/>
    <n v="1"/>
    <x v="132"/>
    <m/>
    <m/>
    <m/>
  </r>
  <r>
    <m/>
    <m/>
    <m/>
    <m/>
    <n v="74.959999999999994"/>
    <x v="6"/>
    <n v="8816000000"/>
    <n v="1474000000"/>
    <n v="928000000"/>
    <n v="707000000"/>
    <n v="1006000000"/>
    <n v="4200000000"/>
    <n v="54.843538436153736"/>
    <n v="0.16833333333333333"/>
    <n v="0.12477910103726469"/>
    <n v="76581492"/>
    <n v="5740548640.3199997"/>
    <n v="1.3667972953142857"/>
    <n v="4.577034355712347"/>
    <m/>
    <m/>
    <s v=""/>
    <m/>
    <m/>
    <m/>
    <s v="Prix de l'acquisition d'Ashland 1,65 Md$ soit 15 fois la VE/EBE financé par dettes. Les adhésifs sensibles à la pression sont destinés aux films décoratifs, à la protection et signalisation dans l'automobile et la construction, le collage de bois et l'emballage"/>
    <m/>
    <n v="2954"/>
    <n v="0"/>
    <s v="FR001031383312018"/>
    <s v="FR0010313833"/>
    <n v="1"/>
    <x v="132"/>
    <m/>
    <m/>
    <m/>
  </r>
  <r>
    <m/>
    <m/>
    <m/>
    <m/>
    <m/>
    <x v="1"/>
    <n v="5.8851789574825952E-2"/>
    <n v="5.9669302659956847E-2"/>
    <n v="9.8224852071005841E-2"/>
    <n v="0.22743055555555558"/>
    <m/>
    <m/>
    <m/>
    <m/>
    <m/>
    <m/>
    <m/>
    <m/>
    <m/>
    <m/>
    <m/>
    <s v=""/>
    <m/>
    <m/>
    <m/>
    <s v="L'activité d'Ashland n'est pas trop gourmande en BFR et capital"/>
    <m/>
    <n v="2955"/>
    <n v="0"/>
    <s v="FR00103138331"/>
    <s v="FR0010313833"/>
    <n v="1"/>
    <x v="132"/>
    <m/>
    <m/>
    <m/>
  </r>
  <r>
    <m/>
    <m/>
    <m/>
    <m/>
    <n v="101.6"/>
    <x v="7"/>
    <n v="8326000000"/>
    <n v="1391000000"/>
    <n v="845000000"/>
    <n v="576000000"/>
    <n v="1056000000"/>
    <n v="4433000000"/>
    <n v="58.428501847608608"/>
    <n v="0.12993458154748477"/>
    <n v="0.10776097649845146"/>
    <n v="75870506"/>
    <n v="7708443409.5999994"/>
    <n v="1.7388773764042409"/>
    <n v="6.3008220054636936"/>
    <m/>
    <m/>
    <s v=""/>
    <m/>
    <m/>
    <m/>
    <s v="Points faibles du dossier : Gouvernance (-), pay out ratio un peu haut, dilution faible mais régulière et quelques minoritaires"/>
    <m/>
    <n v="2956"/>
    <n v="0"/>
    <s v="FR001031383312017"/>
    <s v="FR0010313833"/>
    <n v="1"/>
    <x v="132"/>
    <m/>
    <m/>
    <m/>
  </r>
  <r>
    <m/>
    <m/>
    <m/>
    <m/>
    <m/>
    <x v="1"/>
    <n v="0.10497677504976766"/>
    <n v="0.16989066442388556"/>
    <n v="0.17852161785216181"/>
    <n v="0.34894613583138168"/>
    <m/>
    <m/>
    <m/>
    <m/>
    <m/>
    <m/>
    <m/>
    <m/>
    <m/>
    <m/>
    <m/>
    <s v=""/>
    <m/>
    <m/>
    <m/>
    <s v="Un peu de minoritaires"/>
    <m/>
    <n v="2957"/>
    <n v="0"/>
    <s v="FR00103138331"/>
    <s v="FR0010313833"/>
    <n v="1"/>
    <x v="132"/>
    <m/>
    <m/>
    <m/>
  </r>
  <r>
    <m/>
    <m/>
    <m/>
    <m/>
    <n v="92.94"/>
    <x v="8"/>
    <n v="7535000000"/>
    <n v="1189000000"/>
    <n v="717000000"/>
    <n v="427000000"/>
    <n v="1482000000"/>
    <n v="4204000000"/>
    <n v="55.521843454102104"/>
    <n v="0.10156993339676498"/>
    <n v="8.8269433696799141E-2"/>
    <n v="75717947"/>
    <n v="7037225994.1799994"/>
    <n v="1.6739357740675544"/>
    <n v="7.1650344778637507"/>
    <m/>
    <m/>
    <s v=""/>
    <m/>
    <m/>
    <m/>
    <s v="CAC : KPMG et Ernst"/>
    <m/>
    <n v="2958"/>
    <n v="0"/>
    <s v="FR001031383312016"/>
    <s v="FR0010313833"/>
    <n v="1"/>
    <x v="132"/>
    <m/>
    <m/>
    <m/>
  </r>
  <r>
    <m/>
    <m/>
    <m/>
    <m/>
    <m/>
    <x v="1"/>
    <n v="-1.9263308603410079E-2"/>
    <n v="0.12488174077578051"/>
    <n v="0.46926229508196715"/>
    <n v="0.49824561403508771"/>
    <m/>
    <m/>
    <m/>
    <m/>
    <m/>
    <m/>
    <m/>
    <m/>
    <m/>
    <m/>
    <m/>
    <s v=""/>
    <m/>
    <m/>
    <m/>
    <s v="Pay out ratio : 40% (autour de 40% - 50%)"/>
    <m/>
    <n v="2959"/>
    <n v="0"/>
    <s v="FR00103138331"/>
    <s v="FR0010313833"/>
    <n v="1"/>
    <x v="132"/>
    <m/>
    <m/>
    <m/>
  </r>
  <r>
    <m/>
    <m/>
    <m/>
    <m/>
    <n v="65.099999999999994"/>
    <x v="9"/>
    <n v="7683000000"/>
    <n v="1057000000"/>
    <n v="488000000"/>
    <n v="285000000"/>
    <n v="1379000000"/>
    <n v="3900000000"/>
    <n v="52.368604452290128"/>
    <n v="7.3076923076923081E-2"/>
    <n v="6.4709225232051526E-2"/>
    <n v="74472101"/>
    <n v="4848133775.0999994"/>
    <n v="1.2431112243846152"/>
    <n v="5.8913280748344361"/>
    <m/>
    <m/>
    <s v=""/>
    <m/>
    <m/>
    <m/>
    <m/>
    <m/>
    <n v="2960"/>
    <n v="0"/>
    <s v="FR001031383312015"/>
    <s v="FR0010313833"/>
    <n v="1"/>
    <x v="132"/>
    <m/>
    <m/>
    <m/>
  </r>
  <r>
    <m/>
    <m/>
    <m/>
    <m/>
    <m/>
    <x v="1"/>
    <n v="0.29082661290322576"/>
    <n v="0.34821428571428581"/>
    <n v="0.34065934065934056"/>
    <n v="0.70658682634730541"/>
    <m/>
    <m/>
    <m/>
    <m/>
    <m/>
    <m/>
    <m/>
    <m/>
    <m/>
    <m/>
    <m/>
    <s v=""/>
    <m/>
    <m/>
    <m/>
    <m/>
    <m/>
    <n v="2961"/>
    <n v="0"/>
    <s v="FR00103138331"/>
    <s v="FR0010313833"/>
    <n v="1"/>
    <x v="132"/>
    <m/>
    <m/>
    <m/>
  </r>
  <r>
    <m/>
    <m/>
    <m/>
    <m/>
    <n v="54.4"/>
    <x v="10"/>
    <n v="5952000000"/>
    <n v="784000000"/>
    <n v="364000000"/>
    <n v="167000000"/>
    <n v="154000000"/>
    <n v="3529000000"/>
    <n v="48.460167534310564"/>
    <n v="4.7322187588552E-2"/>
    <n v="6.9182731468911199E-2"/>
    <n v="72822695"/>
    <n v="3961554608"/>
    <n v="1.1225714389345423"/>
    <n v="5.2494318979591839"/>
    <m/>
    <m/>
    <s v=""/>
    <m/>
    <m/>
    <m/>
    <m/>
    <m/>
    <n v="2962"/>
    <n v="0"/>
    <s v="FR001031383312014"/>
    <s v="FR0010313833"/>
    <n v="1"/>
    <x v="132"/>
    <m/>
    <m/>
    <m/>
  </r>
  <r>
    <m/>
    <m/>
    <m/>
    <m/>
    <m/>
    <x v="1"/>
    <n v="-2.3942276156116771E-2"/>
    <n v="-0.13082039911308208"/>
    <n v="-4.9608355091383838E-2"/>
    <n v="-5.9523809523809312E-3"/>
    <m/>
    <m/>
    <m/>
    <m/>
    <m/>
    <m/>
    <m/>
    <m/>
    <m/>
    <m/>
    <m/>
    <s v=""/>
    <m/>
    <m/>
    <m/>
    <m/>
    <m/>
    <n v="2963"/>
    <n v="0"/>
    <s v="FR00103138331"/>
    <s v="FR0010313833"/>
    <n v="1"/>
    <x v="132"/>
    <m/>
    <m/>
    <m/>
  </r>
  <r>
    <m/>
    <m/>
    <m/>
    <m/>
    <n v="77.3"/>
    <x v="11"/>
    <n v="6098000000"/>
    <n v="902000000"/>
    <n v="383000000"/>
    <n v="168000000"/>
    <n v="923000000"/>
    <n v="2312000000"/>
    <n v="36.681124826058166"/>
    <n v="7.2664359861591699E-2"/>
    <n v="8.2874806800618234E-2"/>
    <n v="63029692"/>
    <n v="4872195191.5999994"/>
    <n v="2.1073508614186847"/>
    <n v="6.424828372062084"/>
    <m/>
    <m/>
    <s v=""/>
    <m/>
    <m/>
    <m/>
    <m/>
    <m/>
    <n v="2964"/>
    <n v="0"/>
    <s v="FR001031383312013"/>
    <s v="FR0010313833"/>
    <n v="1"/>
    <x v="132"/>
    <m/>
    <m/>
    <m/>
  </r>
  <r>
    <m/>
    <m/>
    <m/>
    <m/>
    <m/>
    <x v="1"/>
    <n v="-0.12069214131218453"/>
    <n v="-9.4377510040160595E-2"/>
    <n v="-0.41167434715821816"/>
    <n v="-0.23636363636363633"/>
    <m/>
    <m/>
    <m/>
    <m/>
    <m/>
    <m/>
    <m/>
    <m/>
    <m/>
    <m/>
    <m/>
    <s v=""/>
    <m/>
    <m/>
    <m/>
    <m/>
    <m/>
    <n v="2965"/>
    <n v="0"/>
    <s v="FR00103138331"/>
    <s v="FR0010313833"/>
    <n v="1"/>
    <x v="132"/>
    <m/>
    <m/>
    <m/>
  </r>
  <r>
    <m/>
    <m/>
    <m/>
    <m/>
    <n v="78"/>
    <x v="12"/>
    <n v="6935000000"/>
    <n v="996000000"/>
    <n v="651000000"/>
    <n v="220000000"/>
    <n v="900000000"/>
    <n v="2282000000"/>
    <n v="36.292956041389559"/>
    <n v="9.6406660823838738E-2"/>
    <n v="0.14321181646763043"/>
    <n v="62877215"/>
    <n v="4904422770"/>
    <n v="2.1491773751095531"/>
    <n v="5.827733704819277"/>
    <m/>
    <m/>
    <s v=""/>
    <m/>
    <m/>
    <m/>
    <m/>
    <m/>
    <n v="2966"/>
    <n v="0"/>
    <s v="FR001031383312012"/>
    <s v="FR0010313833"/>
    <n v="1"/>
    <x v="132"/>
    <m/>
    <m/>
    <m/>
  </r>
  <r>
    <m/>
    <m/>
    <m/>
    <m/>
    <m/>
    <x v="1"/>
    <n v="0.17542372881355939"/>
    <n v="-3.675048355899424E-2"/>
    <n v="-9.2050209205020939E-2"/>
    <n v="-12.578947368421053"/>
    <m/>
    <m/>
    <m/>
    <m/>
    <m/>
    <m/>
    <m/>
    <m/>
    <m/>
    <m/>
    <m/>
    <s v=""/>
    <m/>
    <m/>
    <m/>
    <m/>
    <m/>
    <n v="2967"/>
    <n v="0"/>
    <s v="FR00103138331"/>
    <s v="FR0010313833"/>
    <n v="1"/>
    <x v="132"/>
    <m/>
    <m/>
    <m/>
  </r>
  <r>
    <m/>
    <m/>
    <m/>
    <m/>
    <n v="51.8"/>
    <x v="17"/>
    <n v="5900000000"/>
    <n v="1034000000"/>
    <n v="717000000"/>
    <n v="-19000000"/>
    <n v="603000000"/>
    <n v="2190000000"/>
    <n v="35.388461974944093"/>
    <n v="-8.6757990867579911E-3"/>
    <n v="0.17969924812030072"/>
    <n v="61884577"/>
    <n v="3205621088.5999999"/>
    <n v="1.4637539217351598"/>
    <n v="3.6833859657640233"/>
    <m/>
    <m/>
    <s v=""/>
    <m/>
    <m/>
    <m/>
    <m/>
    <m/>
    <n v="2968"/>
    <n v="0"/>
    <s v="FR001031383312011"/>
    <s v="FR0010313833"/>
    <n v="1"/>
    <x v="132"/>
    <m/>
    <m/>
    <m/>
  </r>
  <r>
    <m/>
    <m/>
    <m/>
    <m/>
    <m/>
    <x v="1"/>
    <n v="0.21174779215444639"/>
    <n v="0.27812113720642762"/>
    <n v="0.29656419529837241"/>
    <n v="-1.0547550432276658"/>
    <m/>
    <m/>
    <m/>
    <m/>
    <m/>
    <m/>
    <m/>
    <m/>
    <m/>
    <m/>
    <m/>
    <s v=""/>
    <m/>
    <m/>
    <m/>
    <m/>
    <m/>
    <n v="2969"/>
    <n v="0"/>
    <s v="FR00103138331"/>
    <s v="FR0010313833"/>
    <n v="1"/>
    <x v="132"/>
    <m/>
    <m/>
    <m/>
  </r>
  <r>
    <m/>
    <m/>
    <m/>
    <m/>
    <n v="50.8"/>
    <x v="18"/>
    <n v="4869000000"/>
    <n v="809000000"/>
    <n v="553000000"/>
    <n v="347000000"/>
    <n v="94000000"/>
    <n v="2219000000"/>
    <n v="36.084942165058152"/>
    <n v="0.15637674628210907"/>
    <n v="0.16735840899265023"/>
    <n v="61493794"/>
    <n v="3123884735.1999998"/>
    <n v="1.4077894255069849"/>
    <n v="3.9776078309023482"/>
    <m/>
    <m/>
    <s v=""/>
    <m/>
    <m/>
    <m/>
    <m/>
    <m/>
    <n v="2970"/>
    <n v="0"/>
    <s v="FR001031383312010"/>
    <s v="FR0010313833"/>
    <n v="1"/>
    <x v="132"/>
    <m/>
    <m/>
    <m/>
  </r>
  <r>
    <m/>
    <m/>
    <m/>
    <m/>
    <m/>
    <x v="1"/>
    <m/>
    <m/>
    <m/>
    <m/>
    <m/>
    <m/>
    <m/>
    <m/>
    <m/>
    <m/>
    <m/>
    <m/>
    <m/>
    <m/>
    <m/>
    <s v=""/>
    <m/>
    <m/>
    <m/>
    <m/>
    <m/>
    <n v="2971"/>
    <n v="0"/>
    <s v="FR00103138331"/>
    <s v="FR0010313833"/>
    <n v="1"/>
    <x v="132"/>
    <m/>
    <m/>
    <m/>
  </r>
  <r>
    <m/>
    <m/>
    <m/>
    <m/>
    <m/>
    <x v="1"/>
    <m/>
    <m/>
    <m/>
    <m/>
    <m/>
    <m/>
    <m/>
    <m/>
    <m/>
    <m/>
    <m/>
    <m/>
    <m/>
    <m/>
    <m/>
    <s v=""/>
    <m/>
    <m/>
    <m/>
    <m/>
    <m/>
    <n v="2972"/>
    <n v="0"/>
    <s v="FR00103138331"/>
    <s v="FR0010313833"/>
    <n v="1"/>
    <x v="132"/>
    <m/>
    <m/>
    <m/>
  </r>
  <r>
    <m/>
    <m/>
    <m/>
    <m/>
    <m/>
    <x v="1"/>
    <m/>
    <m/>
    <m/>
    <m/>
    <m/>
    <m/>
    <m/>
    <m/>
    <m/>
    <m/>
    <m/>
    <m/>
    <m/>
    <m/>
    <m/>
    <s v=""/>
    <m/>
    <m/>
    <m/>
    <m/>
    <m/>
    <n v="2973"/>
    <n v="0"/>
    <s v="FR00103138331"/>
    <s v="FR0010313833"/>
    <n v="1"/>
    <x v="132"/>
    <m/>
    <m/>
    <m/>
  </r>
  <r>
    <s v="Schneider Electric "/>
    <s v="Gestion de l'énergie et automatisme"/>
    <s v="France"/>
    <s v="Euro"/>
    <m/>
    <x v="0"/>
    <m/>
    <m/>
    <m/>
    <m/>
    <m/>
    <m/>
    <m/>
    <m/>
    <m/>
    <m/>
    <m/>
    <m/>
    <m/>
    <m/>
    <m/>
    <s v=""/>
    <m/>
    <m/>
    <m/>
    <m/>
    <m/>
    <n v="2974"/>
    <n v="0"/>
    <s v="FR000012197212023"/>
    <s v="FR0000121972"/>
    <n v="1"/>
    <x v="133"/>
    <m/>
    <m/>
    <m/>
  </r>
  <r>
    <m/>
    <m/>
    <m/>
    <m/>
    <m/>
    <x v="1"/>
    <m/>
    <m/>
    <m/>
    <m/>
    <m/>
    <m/>
    <m/>
    <m/>
    <m/>
    <m/>
    <m/>
    <m/>
    <m/>
    <m/>
    <m/>
    <s v=""/>
    <m/>
    <m/>
    <m/>
    <m/>
    <m/>
    <n v="2975"/>
    <n v="0"/>
    <s v="FR00001219721"/>
    <s v="FR0000121972"/>
    <n v="1"/>
    <x v="133"/>
    <m/>
    <m/>
    <m/>
  </r>
  <r>
    <m/>
    <m/>
    <m/>
    <m/>
    <n v="130.72"/>
    <x v="2"/>
    <n v="34176000000"/>
    <n v="6017000000"/>
    <n v="4933000000"/>
    <n v="3477000000"/>
    <n v="11225000000"/>
    <n v="25439000000"/>
    <n v="44.544414865895355"/>
    <n v="0.13667990093950233"/>
    <n v="9.4182304167575823E-2"/>
    <n v="571092921"/>
    <m/>
    <m/>
    <m/>
    <m/>
    <n v="128000"/>
    <n v="267000"/>
    <n v="3330000000"/>
    <m/>
    <m/>
    <s v="Actionnariat : public 76%, Sun Life 8,5%, BlackRock 6,2%, Treasury shares 5,3% et employés 3,7%"/>
    <m/>
    <n v="2976"/>
    <n v="0"/>
    <s v="FR000012197212022"/>
    <s v="FR0000121972"/>
    <n v="1"/>
    <x v="133"/>
    <m/>
    <m/>
    <m/>
  </r>
  <r>
    <m/>
    <m/>
    <m/>
    <m/>
    <m/>
    <x v="1"/>
    <n v="0.26577777777777767"/>
    <n v="0.30804347826086964"/>
    <n v="0.23324999999999996"/>
    <n v="0.15900000000000003"/>
    <m/>
    <m/>
    <m/>
    <m/>
    <m/>
    <m/>
    <m/>
    <m/>
    <m/>
    <m/>
    <m/>
    <s v=""/>
    <m/>
    <m/>
    <m/>
    <s v="Jean-Pascal Tricoire est président directeur général né en 1964, fin de son mandat en 2021. Possède 629 030 actions soit l'équivalent de 100 M euros"/>
    <m/>
    <n v="2977"/>
    <n v="0"/>
    <s v="FR00001219721"/>
    <s v="FR0000121972"/>
    <n v="1"/>
    <x v="133"/>
    <m/>
    <m/>
    <m/>
  </r>
  <r>
    <m/>
    <m/>
    <m/>
    <m/>
    <n v="172.46"/>
    <x v="3"/>
    <n v="27000000000"/>
    <n v="4600000000"/>
    <n v="4000000000"/>
    <n v="3000000000"/>
    <n v="7873000000"/>
    <n v="22000000000"/>
    <n v="38.796014707604442"/>
    <n v="0.13636363636363635"/>
    <n v="9.3730124192414555E-2"/>
    <n v="567068555"/>
    <n v="97796642995.300003"/>
    <n v="4.4453019543318186"/>
    <n v="22.97166152071739"/>
    <s v="A- / Stable"/>
    <n v="128000"/>
    <n v="210937.5"/>
    <n v="2799000000"/>
    <m/>
    <m/>
    <s v="Intégration des logiciels dans la gestion des systèmes électriques dans les maisons, immeubles, bureaux, usines, data centers, entrepôts, centres ommerciaux et autres lieux. Contenu à plus fort valeur ajoutée =&gt; amélioration de la marge"/>
    <m/>
    <n v="2978"/>
    <n v="0"/>
    <s v="FR000012197212021"/>
    <s v="FR0000121972"/>
    <n v="1"/>
    <x v="133"/>
    <m/>
    <m/>
    <m/>
  </r>
  <r>
    <m/>
    <m/>
    <m/>
    <m/>
    <m/>
    <x v="1"/>
    <n v="0.17391304347826098"/>
    <n v="0.53333333333333344"/>
    <n v="0.3793103448275863"/>
    <n v="0.5"/>
    <m/>
    <m/>
    <m/>
    <m/>
    <m/>
    <m/>
    <m/>
    <m/>
    <m/>
    <m/>
    <m/>
    <s v=""/>
    <m/>
    <m/>
    <m/>
    <s v="Répartition géographique : 29% États-Unis, 29% Asie, 26% Europe, 16% reste du monde"/>
    <m/>
    <n v="2979"/>
    <n v="0"/>
    <s v="FR00001219721"/>
    <s v="FR0000121972"/>
    <n v="1"/>
    <x v="133"/>
    <m/>
    <m/>
    <m/>
  </r>
  <r>
    <m/>
    <m/>
    <m/>
    <m/>
    <n v="118.3"/>
    <x v="4"/>
    <n v="23000000000"/>
    <n v="3000000000"/>
    <n v="2900000000"/>
    <n v="2000000000"/>
    <n v="4770000000"/>
    <n v="20623000000"/>
    <n v="36.367736877951202"/>
    <n v="9.6979101003733692E-2"/>
    <n v="7.9943291458275889E-2"/>
    <n v="567068555"/>
    <n v="67084210056.5"/>
    <n v="3.2528831914125007"/>
    <n v="23.951403352166668"/>
    <m/>
    <n v="128000"/>
    <n v="179687.5"/>
    <n v="3673000000"/>
    <m/>
    <m/>
    <s v="Répartition activité : 42 % Avions  33% Défense et Espace, 25 % Logiciels et services"/>
    <m/>
    <n v="2980"/>
    <n v="0"/>
    <s v="FR000012197212020"/>
    <s v="FR0000121972"/>
    <n v="1"/>
    <x v="133"/>
    <m/>
    <m/>
    <m/>
  </r>
  <r>
    <m/>
    <m/>
    <m/>
    <m/>
    <m/>
    <x v="1"/>
    <n v="-0.15310405773621028"/>
    <n v="-0.16013437849944012"/>
    <n v="-0.14680788467196237"/>
    <n v="-0.20729290527150213"/>
    <m/>
    <m/>
    <m/>
    <m/>
    <m/>
    <m/>
    <m/>
    <m/>
    <m/>
    <m/>
    <m/>
    <s v=""/>
    <m/>
    <m/>
    <m/>
    <s v="En 2002, le rapprochement avec Legrand est annulé par la commission européenne"/>
    <m/>
    <n v="2981"/>
    <n v="0"/>
    <s v="FR00001219721"/>
    <s v="FR0000121972"/>
    <n v="1"/>
    <x v="133"/>
    <m/>
    <m/>
    <m/>
  </r>
  <r>
    <m/>
    <m/>
    <m/>
    <m/>
    <n v="91.54"/>
    <x v="5"/>
    <n v="27158000000"/>
    <n v="3572000000"/>
    <n v="3399000000"/>
    <n v="2523000000"/>
    <n v="3792000000"/>
    <n v="21561000000"/>
    <n v="37.042000175236957"/>
    <n v="0.11701683595380548"/>
    <n v="9.3846882025795761E-2"/>
    <n v="582069000"/>
    <n v="53282596260"/>
    <n v="2.4712488409628497"/>
    <n v="15.97833041993281"/>
    <m/>
    <n v="135000"/>
    <n v="201170.37037037036"/>
    <n v="3476000000"/>
    <m/>
    <m/>
    <s v="En 2020, acquisition de RIB Software pour 1,5 Md euros"/>
    <m/>
    <n v="2982"/>
    <n v="0"/>
    <s v="FR000012197212019"/>
    <s v="FR0000121972"/>
    <n v="1"/>
    <x v="133"/>
    <m/>
    <m/>
    <m/>
  </r>
  <r>
    <m/>
    <m/>
    <m/>
    <m/>
    <m/>
    <x v="1"/>
    <n v="5.5909797822706109E-2"/>
    <n v="-2.7987685418418007E-4"/>
    <n v="8.8339222614841617E-4"/>
    <n v="3.7844508432743673E-2"/>
    <m/>
    <m/>
    <m/>
    <m/>
    <m/>
    <m/>
    <m/>
    <m/>
    <m/>
    <m/>
    <m/>
    <s v=""/>
    <m/>
    <m/>
    <m/>
    <s v="En 2021, croissance du CA et de la marge. Au-dessus de 2019. Acquisition en mars 2021 aux États-Unis d'OSIsoft pour 4,5 Md euros"/>
    <m/>
    <n v="2983"/>
    <n v="0"/>
    <s v="FR00001219721"/>
    <s v="FR0000121972"/>
    <n v="1"/>
    <x v="133"/>
    <m/>
    <m/>
    <m/>
  </r>
  <r>
    <m/>
    <m/>
    <m/>
    <m/>
    <n v="59.22"/>
    <x v="6"/>
    <n v="25720000000"/>
    <n v="3573000000"/>
    <n v="3396000000"/>
    <n v="2431000000"/>
    <n v="5136000000"/>
    <n v="20782000000"/>
    <n v="35.882445365687737"/>
    <n v="0.11697622942931384"/>
    <n v="9.1720040126552979E-2"/>
    <n v="579169000"/>
    <n v="34298388180"/>
    <n v="1.6503891916081224"/>
    <n v="11.036772510495382"/>
    <m/>
    <n v="137000"/>
    <n v="187737.22627737228"/>
    <n v="2102000000"/>
    <m/>
    <m/>
    <s v="En 2022, P"/>
    <m/>
    <n v="2984"/>
    <n v="0"/>
    <s v="FR000012197212018"/>
    <s v="FR0000121972"/>
    <n v="1"/>
    <x v="133"/>
    <m/>
    <m/>
    <m/>
  </r>
  <r>
    <m/>
    <m/>
    <m/>
    <m/>
    <m/>
    <x v="1"/>
    <n v="3.9485915208341771E-2"/>
    <n v="6.6567164179104577E-2"/>
    <n v="5.7943925233644888E-2"/>
    <n v="0.10000000000000009"/>
    <m/>
    <m/>
    <m/>
    <m/>
    <m/>
    <m/>
    <m/>
    <m/>
    <m/>
    <m/>
    <m/>
    <s v=""/>
    <m/>
    <m/>
    <m/>
    <s v="CAC : Mazars et Ernst Young "/>
    <m/>
    <n v="2985"/>
    <n v="0"/>
    <s v="FR00001219721"/>
    <s v="FR0000121972"/>
    <n v="1"/>
    <x v="133"/>
    <m/>
    <m/>
    <m/>
  </r>
  <r>
    <m/>
    <m/>
    <m/>
    <m/>
    <n v="70.02"/>
    <x v="7"/>
    <n v="24743000000"/>
    <n v="3350000000"/>
    <n v="3210000000"/>
    <n v="2210000000"/>
    <n v="4296000000"/>
    <n v="19797000000"/>
    <n v="33.165470518464907"/>
    <n v="0.11163307571854321"/>
    <n v="9.3263603536296855E-2"/>
    <n v="596916000"/>
    <n v="41796058320"/>
    <n v="2.1112319199878771"/>
    <n v="13.758823379104477"/>
    <m/>
    <n v="142000"/>
    <n v="174246.47887323942"/>
    <n v="2253000000"/>
    <m/>
    <m/>
    <s v="Minoritaires : 7% "/>
    <m/>
    <n v="2986"/>
    <n v="0"/>
    <s v="FR000012197212017"/>
    <s v="FR0000121972"/>
    <n v="1"/>
    <x v="133"/>
    <m/>
    <m/>
    <m/>
  </r>
  <r>
    <m/>
    <m/>
    <m/>
    <m/>
    <m/>
    <x v="1"/>
    <n v="2.0248653464545185E-3"/>
    <n v="7.9252577319587569E-2"/>
    <n v="8.7766858691968874E-2"/>
    <n v="0.22032026504693536"/>
    <m/>
    <m/>
    <m/>
    <m/>
    <m/>
    <m/>
    <m/>
    <m/>
    <m/>
    <m/>
    <m/>
    <s v=""/>
    <m/>
    <m/>
    <m/>
    <s v="Pay ou ratio : 51%"/>
    <m/>
    <n v="2987"/>
    <n v="0"/>
    <s v="FR00001219721"/>
    <s v="FR0000121972"/>
    <n v="1"/>
    <x v="133"/>
    <m/>
    <m/>
    <m/>
  </r>
  <r>
    <m/>
    <m/>
    <m/>
    <m/>
    <n v="66.11"/>
    <x v="8"/>
    <n v="24693000000"/>
    <n v="3104000000"/>
    <n v="2951000000"/>
    <n v="1811000000"/>
    <n v="4824000000"/>
    <n v="20494000000"/>
    <n v="34.589087914072429"/>
    <n v="8.8367327022543185E-2"/>
    <n v="8.1590172999447028E-2"/>
    <n v="592499000"/>
    <n v="39170108890"/>
    <n v="1.9112964228554699"/>
    <n v="14.173359822809278"/>
    <m/>
    <n v="170866"/>
    <n v="144516.75582035046"/>
    <n v="2206000000"/>
    <m/>
    <m/>
    <m/>
    <m/>
    <n v="2988"/>
    <n v="0"/>
    <s v="FR000012197212016"/>
    <s v="FR0000121972"/>
    <n v="1"/>
    <x v="133"/>
    <m/>
    <m/>
    <m/>
  </r>
  <r>
    <m/>
    <m/>
    <m/>
    <m/>
    <m/>
    <x v="1"/>
    <n v="-7.3085585585585533E-2"/>
    <n v="0.10817565155301678"/>
    <n v="0.32391206819201446"/>
    <n v="0.20492348636061219"/>
    <m/>
    <m/>
    <m/>
    <m/>
    <m/>
    <m/>
    <m/>
    <m/>
    <m/>
    <m/>
    <m/>
    <s v=""/>
    <m/>
    <m/>
    <m/>
    <m/>
    <m/>
    <n v="2989"/>
    <n v="0"/>
    <s v="FR00001219721"/>
    <s v="FR0000121972"/>
    <n v="1"/>
    <x v="133"/>
    <m/>
    <m/>
    <m/>
  </r>
  <r>
    <m/>
    <m/>
    <m/>
    <m/>
    <n v="53.1"/>
    <x v="9"/>
    <n v="26640000000"/>
    <n v="2801000000"/>
    <n v="2229000000"/>
    <n v="1503000000"/>
    <n v="4631000000"/>
    <n v="20848000000"/>
    <n v="35.411578064117244"/>
    <n v="7.209324635456639E-2"/>
    <n v="6.1238667137642762E-2"/>
    <n v="588734000"/>
    <n v="31261775400"/>
    <n v="1.4995095644666154"/>
    <n v="12.814271831488753"/>
    <m/>
    <n v="181362"/>
    <n v="146888.54335527838"/>
    <n v="2045000000"/>
    <m/>
    <m/>
    <m/>
    <m/>
    <n v="2990"/>
    <n v="0"/>
    <s v="FR000012197212015"/>
    <s v="FR0000121972"/>
    <n v="1"/>
    <x v="133"/>
    <m/>
    <m/>
    <m/>
  </r>
  <r>
    <m/>
    <m/>
    <m/>
    <m/>
    <m/>
    <x v="1"/>
    <n v="6.8206423673764061E-2"/>
    <n v="-0.11220285261489704"/>
    <n v="-0.23031767955801108"/>
    <n v="-0.27074235807860259"/>
    <m/>
    <m/>
    <m/>
    <m/>
    <m/>
    <m/>
    <m/>
    <m/>
    <m/>
    <m/>
    <m/>
    <s v=""/>
    <m/>
    <m/>
    <m/>
    <m/>
    <m/>
    <n v="2991"/>
    <n v="0"/>
    <s v="FR00001219721"/>
    <s v="FR0000121972"/>
    <n v="1"/>
    <x v="133"/>
    <m/>
    <m/>
    <m/>
  </r>
  <r>
    <m/>
    <m/>
    <m/>
    <m/>
    <n v="60.61"/>
    <x v="10"/>
    <n v="24939000000"/>
    <n v="3155000000"/>
    <n v="2896000000"/>
    <n v="2061000000"/>
    <n v="5022000000"/>
    <n v="19732000000"/>
    <n v="33.747740259384869"/>
    <n v="0.10444962497466045"/>
    <n v="8.1893835339743065E-2"/>
    <n v="584691000"/>
    <n v="35438121510"/>
    <n v="1.7959721016622745"/>
    <n v="12.824127261489698"/>
    <m/>
    <n v="185965"/>
    <n v="134105.88013873578"/>
    <n v="1704000000"/>
    <m/>
    <m/>
    <m/>
    <m/>
    <n v="2992"/>
    <n v="0"/>
    <s v="FR000012197212014"/>
    <s v="FR0000121972"/>
    <n v="1"/>
    <x v="133"/>
    <m/>
    <m/>
    <m/>
  </r>
  <r>
    <m/>
    <m/>
    <m/>
    <m/>
    <m/>
    <x v="1"/>
    <n v="6.5769230769230802E-2"/>
    <n v="-5.9892729439809278E-2"/>
    <n v="-4.7054952286936458E-2"/>
    <n v="9.1631355932203284E-2"/>
    <m/>
    <m/>
    <m/>
    <m/>
    <m/>
    <m/>
    <m/>
    <m/>
    <m/>
    <m/>
    <m/>
    <s v=""/>
    <m/>
    <m/>
    <m/>
    <m/>
    <m/>
    <n v="2993"/>
    <n v="0"/>
    <s v="FR00001219721"/>
    <s v="FR0000121972"/>
    <n v="1"/>
    <x v="133"/>
    <m/>
    <m/>
    <m/>
  </r>
  <r>
    <m/>
    <m/>
    <m/>
    <m/>
    <n v="63.4"/>
    <x v="11"/>
    <n v="23400000000"/>
    <n v="3356000000"/>
    <n v="3039000000"/>
    <n v="1888000000"/>
    <n v="3326000000"/>
    <n v="17211000000"/>
    <n v="30.626842745512327"/>
    <n v="0.10969728661902271"/>
    <n v="0.10358377562448264"/>
    <n v="561958023"/>
    <n v="35628138658.199997"/>
    <n v="2.0700795222938817"/>
    <n v="11.60731187669845"/>
    <m/>
    <n v="163033"/>
    <n v="143529.22414480505"/>
    <n v="2160000000"/>
    <m/>
    <m/>
    <m/>
    <m/>
    <n v="2994"/>
    <n v="0"/>
    <s v="FR000012197212013"/>
    <s v="FR0000121972"/>
    <n v="1"/>
    <x v="133"/>
    <m/>
    <m/>
    <m/>
  </r>
  <r>
    <m/>
    <m/>
    <m/>
    <m/>
    <m/>
    <x v="1"/>
    <n v="-2.0920502092050208E-2"/>
    <n v="-4.5234708392603129E-2"/>
    <n v="6.0362875087229595E-2"/>
    <n v="4.136789851075573E-2"/>
    <m/>
    <m/>
    <m/>
    <m/>
    <m/>
    <m/>
    <m/>
    <m/>
    <m/>
    <m/>
    <m/>
    <s v=""/>
    <m/>
    <m/>
    <m/>
    <m/>
    <m/>
    <n v="2995"/>
    <n v="0"/>
    <s v="FR00001219721"/>
    <s v="FR0000121972"/>
    <n v="1"/>
    <x v="133"/>
    <m/>
    <m/>
    <m/>
  </r>
  <r>
    <m/>
    <m/>
    <m/>
    <m/>
    <n v="54.58"/>
    <x v="12"/>
    <n v="23900000000"/>
    <n v="3515000000"/>
    <n v="2866000000"/>
    <n v="1813000000"/>
    <n v="3331000000"/>
    <n v="16642000000"/>
    <n v="29.963072035096136"/>
    <n v="0.10894123302487682"/>
    <n v="0.10044560156210884"/>
    <n v="555417014"/>
    <n v="30314660624.119999"/>
    <n v="1.8215755692897488"/>
    <n v="9.5720229371607388"/>
    <m/>
    <n v="152384"/>
    <n v="156840.61318773625"/>
    <n v="2082000000"/>
    <m/>
    <m/>
    <m/>
    <m/>
    <n v="2996"/>
    <n v="0"/>
    <s v="FR000012197212012"/>
    <s v="FR0000121972"/>
    <n v="1"/>
    <x v="133"/>
    <m/>
    <m/>
    <m/>
  </r>
  <r>
    <m/>
    <m/>
    <m/>
    <m/>
    <m/>
    <x v="1"/>
    <n v="7.1748878923766801E-2"/>
    <n v="0.10188087774294674"/>
    <n v="4.5566070802662839E-3"/>
    <n v="1.115448968209698E-2"/>
    <m/>
    <m/>
    <m/>
    <m/>
    <m/>
    <m/>
    <m/>
    <m/>
    <m/>
    <m/>
    <m/>
    <s v=""/>
    <m/>
    <m/>
    <m/>
    <m/>
    <m/>
    <n v="2997"/>
    <n v="0"/>
    <s v="FR00001219721"/>
    <s v="FR0000121972"/>
    <n v="1"/>
    <x v="133"/>
    <m/>
    <m/>
    <m/>
  </r>
  <r>
    <m/>
    <m/>
    <m/>
    <m/>
    <n v="40.68"/>
    <x v="17"/>
    <n v="22300000000"/>
    <n v="3190000000"/>
    <n v="2853000000"/>
    <n v="1793000000"/>
    <n v="5266000000"/>
    <n v="15898000000"/>
    <n v="28.961111271904969"/>
    <n v="0.11278148194741477"/>
    <n v="9.4363069363069346E-2"/>
    <n v="548943024"/>
    <n v="22331002216.32"/>
    <n v="1.4046422327538055"/>
    <n v="8.6510978734545461"/>
    <m/>
    <n v="140491"/>
    <n v="158729.0289057662"/>
    <n v="1506000000"/>
    <m/>
    <m/>
    <m/>
    <m/>
    <n v="2998"/>
    <n v="0"/>
    <s v="FR000012197212011"/>
    <s v="FR0000121972"/>
    <n v="1"/>
    <x v="133"/>
    <m/>
    <m/>
    <m/>
  </r>
  <r>
    <m/>
    <m/>
    <m/>
    <m/>
    <m/>
    <x v="1"/>
    <n v="0.13775510204081631"/>
    <n v="5.6641271944352534E-2"/>
    <n v="5.5493895671476112E-2"/>
    <n v="4.2441860465116221E-2"/>
    <m/>
    <m/>
    <m/>
    <m/>
    <m/>
    <m/>
    <m/>
    <m/>
    <m/>
    <m/>
    <m/>
    <s v=""/>
    <m/>
    <m/>
    <m/>
    <m/>
    <m/>
    <n v="2999"/>
    <n v="0"/>
    <s v="FR00001219721"/>
    <s v="FR0000121972"/>
    <n v="1"/>
    <x v="133"/>
    <m/>
    <m/>
    <m/>
  </r>
  <r>
    <m/>
    <m/>
    <m/>
    <m/>
    <n v="56.9"/>
    <x v="18"/>
    <n v="19600000000"/>
    <n v="3019000000"/>
    <n v="2703000000"/>
    <n v="1720000000"/>
    <n v="2736000000"/>
    <n v="14785000000"/>
    <n v="54.364794152073408"/>
    <n v="0.11633412242137302"/>
    <n v="0.10799041150619255"/>
    <n v="271959091"/>
    <n v="15474472277.9"/>
    <n v="1.0466332281298614"/>
    <n v="6.0319550440212"/>
    <m/>
    <n v="123482"/>
    <n v="158727.58782656581"/>
    <n v="1734000000"/>
    <m/>
    <m/>
    <m/>
    <m/>
    <n v="3000"/>
    <n v="0"/>
    <s v="FR000012197212010"/>
    <s v="FR0000121972"/>
    <n v="1"/>
    <x v="133"/>
    <m/>
    <m/>
    <m/>
  </r>
  <r>
    <m/>
    <m/>
    <m/>
    <m/>
    <m/>
    <x v="1"/>
    <m/>
    <m/>
    <m/>
    <m/>
    <m/>
    <m/>
    <m/>
    <m/>
    <m/>
    <m/>
    <m/>
    <m/>
    <m/>
    <m/>
    <m/>
    <s v=""/>
    <m/>
    <m/>
    <m/>
    <m/>
    <m/>
    <n v="3001"/>
    <n v="0"/>
    <s v="FR00001219721"/>
    <s v="FR0000121972"/>
    <n v="1"/>
    <x v="133"/>
    <m/>
    <m/>
    <m/>
  </r>
  <r>
    <m/>
    <m/>
    <m/>
    <m/>
    <m/>
    <x v="1"/>
    <m/>
    <m/>
    <m/>
    <m/>
    <m/>
    <m/>
    <m/>
    <m/>
    <m/>
    <m/>
    <m/>
    <m/>
    <m/>
    <m/>
    <m/>
    <s v=""/>
    <m/>
    <m/>
    <m/>
    <m/>
    <m/>
    <n v="3002"/>
    <n v="0"/>
    <s v="FR00001219721"/>
    <s v="FR0000121972"/>
    <n v="1"/>
    <x v="133"/>
    <m/>
    <m/>
    <m/>
  </r>
  <r>
    <m/>
    <m/>
    <m/>
    <m/>
    <m/>
    <x v="1"/>
    <m/>
    <m/>
    <m/>
    <m/>
    <m/>
    <m/>
    <m/>
    <m/>
    <m/>
    <m/>
    <m/>
    <m/>
    <m/>
    <m/>
    <m/>
    <s v=""/>
    <m/>
    <m/>
    <m/>
    <m/>
    <m/>
    <n v="3003"/>
    <n v="0"/>
    <s v="FR00001219721"/>
    <s v="FR0000121972"/>
    <n v="1"/>
    <x v="133"/>
    <m/>
    <m/>
    <m/>
  </r>
  <r>
    <s v="Farfetch"/>
    <s v="Market place"/>
    <s v="Royaume-Uni"/>
    <s v="Dollar"/>
    <n v="33.4"/>
    <x v="3"/>
    <n v="2343490800"/>
    <n v="5000000"/>
    <n v="-150000000"/>
    <n v="600000000"/>
    <n v="-1573400000"/>
    <n v="-1007058000"/>
    <n v="-2.7435853811958411"/>
    <n v="-0.59579487973880352"/>
    <n v="4.0690451074964211E-2"/>
    <n v="367059107"/>
    <n v="12259774173.799999"/>
    <n v="-12.173851132506767"/>
    <n v="2137.27483476"/>
    <m/>
    <m/>
    <s v=""/>
    <m/>
    <m/>
    <m/>
    <s v="Créé en 2008 par José Neves (CEO et Chairman - fondateur - 78 % des droits de vote après l'IPO) né en 1974 au Portugual"/>
    <m/>
    <n v="3004"/>
    <n v="0"/>
    <s v="KY30744W107012021"/>
    <s v="KY30744W1070"/>
    <n v="1"/>
    <x v="134"/>
    <m/>
    <m/>
    <m/>
  </r>
  <r>
    <m/>
    <m/>
    <m/>
    <m/>
    <m/>
    <x v="1"/>
    <n v="0.39999999999999991"/>
    <n v="-1.1054140664530274"/>
    <n v="-0.75799230415527208"/>
    <n v="-1.180014167114952"/>
    <m/>
    <m/>
    <m/>
    <m/>
    <m/>
    <m/>
    <m/>
    <m/>
    <m/>
    <m/>
    <m/>
    <s v=""/>
    <m/>
    <m/>
    <m/>
    <s v="Société britannique. Actionnariat Artémis (famille Pinault - 50 M$), Goldman Sachs, Eurazeo (qui est sorti le 3/11/2020 à 30 euros soit 90 M$)"/>
    <m/>
    <n v="3005"/>
    <n v="0"/>
    <s v="KY30744W10701"/>
    <s v="KY30744W1070"/>
    <n v="1"/>
    <x v="134"/>
    <m/>
    <m/>
    <m/>
  </r>
  <r>
    <m/>
    <m/>
    <m/>
    <m/>
    <n v="63.81"/>
    <x v="4"/>
    <n v="1673922000"/>
    <n v="-47432000"/>
    <n v="-619815000"/>
    <n v="-3333071000"/>
    <n v="-1573400000"/>
    <n v="-1844646000"/>
    <n v="-5.3806516132140922"/>
    <n v="1.8068892351161143"/>
    <n v="0.12693524311843668"/>
    <n v="342829481"/>
    <n v="21875949182.610001"/>
    <n v="-11.859158441570903"/>
    <n v="-428.03485374030191"/>
    <m/>
    <m/>
    <s v=""/>
    <m/>
    <m/>
    <m/>
    <s v="Chiffre d'affaire réalisé : 37% Europe et Afrique, 36% Asie Pacifique et 27% Amérique"/>
    <m/>
    <n v="3006"/>
    <n v="0"/>
    <s v="KY30744W107012020"/>
    <s v="KY30744W1070"/>
    <n v="1"/>
    <x v="134"/>
    <m/>
    <m/>
    <m/>
  </r>
  <r>
    <m/>
    <m/>
    <m/>
    <m/>
    <m/>
    <x v="1"/>
    <n v="0.63943324286974912"/>
    <n v="-0.60921434220933302"/>
    <n v="0.59879641762709057"/>
    <n v="7.9193953244417798"/>
    <m/>
    <m/>
    <m/>
    <m/>
    <m/>
    <m/>
    <m/>
    <m/>
    <m/>
    <m/>
    <m/>
    <s v=""/>
    <m/>
    <m/>
    <m/>
    <s v="Marché mondial du luxe : 280 Md dollars (LVMH, Kering, Chanel, Hermes et Richemont : 50% environ)"/>
    <m/>
    <n v="3007"/>
    <n v="0"/>
    <s v="KY30744W10701"/>
    <s v="KY30744W1070"/>
    <n v="1"/>
    <x v="134"/>
    <m/>
    <m/>
    <m/>
  </r>
  <r>
    <m/>
    <m/>
    <m/>
    <m/>
    <n v="11.3"/>
    <x v="5"/>
    <n v="1021037000"/>
    <n v="-121376000"/>
    <n v="-387676000"/>
    <n v="-373688000"/>
    <n v="-322429000"/>
    <n v="1167606000"/>
    <n v="3.6620064570351452"/>
    <n v="-0.32004631699391745"/>
    <n v="-0.32108445923161655"/>
    <n v="318843239"/>
    <n v="4595831879.3199997"/>
    <n v="3.9361153328434417"/>
    <n v="-35.207972575467963"/>
    <m/>
    <m/>
    <s v=""/>
    <m/>
    <m/>
    <m/>
    <s v="E-commerce 10% des ventes en 2020 et 25% en 2025 soit une croissance annuelle de 20%"/>
    <m/>
    <n v="3008"/>
    <n v="0"/>
    <s v="KY30744W107012019"/>
    <s v="KY30744W1070"/>
    <n v="1"/>
    <x v="134"/>
    <m/>
    <m/>
    <m/>
  </r>
  <r>
    <m/>
    <m/>
    <m/>
    <m/>
    <m/>
    <x v="1"/>
    <n v="0.69499355892586778"/>
    <n v="0.26486035848270117"/>
    <n v="1.2372419683408067"/>
    <n v="1.4019797525309334"/>
    <m/>
    <m/>
    <m/>
    <m/>
    <m/>
    <m/>
    <m/>
    <m/>
    <m/>
    <m/>
    <m/>
    <s v=""/>
    <m/>
    <m/>
    <m/>
    <s v="Part de marché de Farfetch : environ 10% en 2020 (à vérifier) 200 Md de CA mondial et 15 % pour le ecommerce et 3 Md de volumes pour Farfetch  "/>
    <m/>
    <n v="3009"/>
    <n v="0"/>
    <s v="KY30744W10701"/>
    <s v="KY30744W1070"/>
    <n v="1"/>
    <x v="134"/>
    <m/>
    <m/>
    <m/>
  </r>
  <r>
    <m/>
    <m/>
    <m/>
    <m/>
    <n v="17.38"/>
    <x v="6"/>
    <n v="602384000"/>
    <n v="-95960000"/>
    <n v="-173283000"/>
    <n v="-155575000"/>
    <n v="-1044786000"/>
    <n v="1128431000"/>
    <n v="4.2673734146475812"/>
    <n v="-0.13786842084274537"/>
    <n v="-1.4501536254408511"/>
    <n v="264432214"/>
    <n v="4595831879.3199997"/>
    <n v="4.0727628710306609"/>
    <n v="-37.005480192997076"/>
    <m/>
    <m/>
    <s v=""/>
    <m/>
    <m/>
    <m/>
    <s v="A long terme : ecommerce 30% de part de marché soit 90 Md $, Farfetch : 15-20 Md$ de CA . EBE : 2 Md $ (?). Rex : 1,5 Md $ et RN : 1 Md $  valorisation 50 Md ?? En 2027"/>
    <m/>
    <n v="3010"/>
    <n v="0"/>
    <s v="KY30744W107012018"/>
    <s v="KY30744W1070"/>
    <n v="1"/>
    <x v="134"/>
    <m/>
    <m/>
    <m/>
  </r>
  <r>
    <m/>
    <m/>
    <m/>
    <m/>
    <m/>
    <x v="1"/>
    <n v="0.5607177834317012"/>
    <n v="0.65223230427521139"/>
    <n v="0.83440077067211504"/>
    <n v="0.38566020930750389"/>
    <m/>
    <m/>
    <m/>
    <m/>
    <m/>
    <m/>
    <m/>
    <m/>
    <m/>
    <m/>
    <m/>
    <s v=""/>
    <m/>
    <m/>
    <m/>
    <s v="Chiffre d'affaires = commission sur vente de 40% à confirmer. 3 500 marques référencées sur leur site et 2 millions de membres en 2020 (1 M en 2017). 500000 clients gagnés au 2T20. 190 pays"/>
    <m/>
    <n v="3011"/>
    <n v="0"/>
    <s v="KY30744W10701"/>
    <s v="KY30744W1070"/>
    <n v="1"/>
    <x v="134"/>
    <m/>
    <m/>
    <m/>
  </r>
  <r>
    <m/>
    <m/>
    <m/>
    <m/>
    <m/>
    <x v="7"/>
    <n v="385966000"/>
    <n v="-58079000"/>
    <n v="-94463000"/>
    <n v="-112275000"/>
    <n v="-384002000"/>
    <n v="396903000"/>
    <n v="1.7761246563197917"/>
    <n v="-0.28287768044081302"/>
    <n v="-5.12550189907759"/>
    <n v="223465734"/>
    <n v="0"/>
    <n v="0"/>
    <n v="6.611718521324403"/>
    <m/>
    <m/>
    <s v=""/>
    <m/>
    <m/>
    <m/>
    <s v="À l'IPO en 2018, 859 M$ de levée et 320 M $ en 2017. Avant 195 M $ par Adventure Capital et une boîte de digital"/>
    <m/>
    <n v="3012"/>
    <n v="0"/>
    <s v="KY30744W107012017"/>
    <s v="KY30744W1070"/>
    <n v="1"/>
    <x v="134"/>
    <m/>
    <m/>
    <m/>
  </r>
  <r>
    <m/>
    <m/>
    <m/>
    <m/>
    <m/>
    <x v="1"/>
    <n v="0.59413669480744757"/>
    <n v="8.802922442862493E-2"/>
    <n v="6.5428255622476339E-2"/>
    <n v="0.37830074024969607"/>
    <m/>
    <m/>
    <m/>
    <m/>
    <m/>
    <m/>
    <m/>
    <m/>
    <m/>
    <m/>
    <m/>
    <s v=""/>
    <m/>
    <m/>
    <m/>
    <s v="Obligation convertible en action de 250 M $ (5% - 2025) puis de 400 M $ en avril 2020  (3,75% - 2027)"/>
    <m/>
    <n v="3013"/>
    <n v="0"/>
    <s v="KY30744W10701"/>
    <s v="KY30744W1070"/>
    <n v="1"/>
    <x v="134"/>
    <m/>
    <m/>
    <m/>
  </r>
  <r>
    <m/>
    <m/>
    <m/>
    <m/>
    <m/>
    <x v="8"/>
    <n v="242116000"/>
    <n v="-53380000"/>
    <n v="-88662000"/>
    <n v="-81459000"/>
    <m/>
    <m/>
    <n v="0"/>
    <e v="#DIV/0!"/>
    <e v="#DIV/0!"/>
    <n v="188679490"/>
    <n v="0"/>
    <e v="#DIV/0!"/>
    <n v="0"/>
    <m/>
    <m/>
    <s v=""/>
    <m/>
    <m/>
    <m/>
    <s v="De 2015 à 2020 : pertes : 370 M $ et investissement : 720 M $. Levée de fonds : 1,4 Md $"/>
    <m/>
    <n v="3014"/>
    <n v="0"/>
    <s v="KY30744W107012016"/>
    <s v="KY30744W1070"/>
    <n v="1"/>
    <x v="134"/>
    <m/>
    <m/>
    <m/>
  </r>
  <r>
    <m/>
    <m/>
    <m/>
    <m/>
    <m/>
    <x v="1"/>
    <n v="0.7013878640947262"/>
    <n v="0.12675461741424798"/>
    <n v="0.54275274056029232"/>
    <n v="0.333055132799843"/>
    <m/>
    <m/>
    <m/>
    <m/>
    <m/>
    <m/>
    <m/>
    <m/>
    <m/>
    <m/>
    <m/>
    <s v=""/>
    <m/>
    <m/>
    <m/>
    <s v="Acquisition de New Guards Group en août 2019, holding qui regroupe des marques de luxe"/>
    <m/>
    <n v="3015"/>
    <n v="0"/>
    <s v="KY30744W10701"/>
    <s v="KY30744W1070"/>
    <n v="1"/>
    <x v="134"/>
    <m/>
    <m/>
    <m/>
  </r>
  <r>
    <m/>
    <m/>
    <m/>
    <m/>
    <m/>
    <x v="9"/>
    <n v="142305000"/>
    <n v="-47375000"/>
    <n v="-57470000"/>
    <n v="-61107000"/>
    <m/>
    <m/>
    <m/>
    <m/>
    <m/>
    <m/>
    <m/>
    <m/>
    <m/>
    <m/>
    <m/>
    <s v=""/>
    <m/>
    <m/>
    <m/>
    <s v="Le 5 novembre 2020 Farfetch, Alibaba Group et Richemont s'allie pour lancer une plateforme Farfetch en Chine"/>
    <m/>
    <n v="3016"/>
    <n v="0"/>
    <s v="KY30744W107012015"/>
    <s v="KY30744W1070"/>
    <n v="1"/>
    <x v="134"/>
    <m/>
    <m/>
    <m/>
  </r>
  <r>
    <m/>
    <m/>
    <m/>
    <m/>
    <m/>
    <x v="1"/>
    <m/>
    <m/>
    <m/>
    <m/>
    <m/>
    <m/>
    <m/>
    <m/>
    <m/>
    <m/>
    <m/>
    <m/>
    <m/>
    <m/>
    <m/>
    <s v=""/>
    <m/>
    <m/>
    <m/>
    <s v="Effectif : 4 532 employés soit un chiffre d'affaire par employé : 225 295 euros"/>
    <m/>
    <n v="3017"/>
    <n v="0"/>
    <s v="KY30744W10701"/>
    <s v="KY30744W1070"/>
    <n v="1"/>
    <x v="134"/>
    <m/>
    <m/>
    <m/>
  </r>
  <r>
    <m/>
    <m/>
    <m/>
    <m/>
    <s v="IPO à 20 dollars en septembre 2018"/>
    <x v="1"/>
    <m/>
    <m/>
    <m/>
    <m/>
    <m/>
    <m/>
    <m/>
    <m/>
    <m/>
    <m/>
    <m/>
    <m/>
    <m/>
    <m/>
    <m/>
    <s v=""/>
    <m/>
    <m/>
    <m/>
    <s v="En 2021, croissance de 40% des revenus (50% des volumes vendus) comme en 2020, doublement en 2 ans et EBE positif sur l'année. Conversion en actions d'une partie des obligations (7 Millions de titres et 85 M$) Notes 5%. Le tableau de flux de trésorerie est toujours fortement négatif probablement 1Md $ par an "/>
    <m/>
    <n v="3018"/>
    <n v="0"/>
    <s v="KY30744W10701"/>
    <s v="KY30744W1070"/>
    <n v="1"/>
    <x v="134"/>
    <m/>
    <m/>
    <m/>
  </r>
  <r>
    <m/>
    <m/>
    <m/>
    <m/>
    <m/>
    <x v="1"/>
    <m/>
    <m/>
    <m/>
    <m/>
    <m/>
    <m/>
    <m/>
    <m/>
    <m/>
    <m/>
    <m/>
    <m/>
    <m/>
    <m/>
    <m/>
    <s v=""/>
    <m/>
    <m/>
    <m/>
    <s v="Dilution avec les convertibles : potentiellement 455 millions de titres"/>
    <m/>
    <n v="3019"/>
    <n v="0"/>
    <s v="KY30744W10701"/>
    <s v="KY30744W1070"/>
    <n v="1"/>
    <x v="134"/>
    <m/>
    <m/>
    <m/>
  </r>
  <r>
    <m/>
    <m/>
    <m/>
    <m/>
    <m/>
    <x v="1"/>
    <m/>
    <m/>
    <m/>
    <m/>
    <m/>
    <m/>
    <m/>
    <m/>
    <m/>
    <m/>
    <m/>
    <m/>
    <m/>
    <m/>
    <m/>
    <s v=""/>
    <m/>
    <m/>
    <m/>
    <s v="CAC : PricewaterhouseCoopers"/>
    <m/>
    <n v="3020"/>
    <n v="0"/>
    <s v="KY30744W10701"/>
    <s v="KY30744W1070"/>
    <n v="1"/>
    <x v="134"/>
    <m/>
    <m/>
    <m/>
  </r>
  <r>
    <m/>
    <m/>
    <m/>
    <m/>
    <m/>
    <x v="1"/>
    <m/>
    <m/>
    <m/>
    <m/>
    <m/>
    <m/>
    <m/>
    <m/>
    <m/>
    <m/>
    <m/>
    <m/>
    <m/>
    <m/>
    <m/>
    <s v=""/>
    <m/>
    <m/>
    <m/>
    <s v="Minoritaire : 10% "/>
    <m/>
    <n v="3021"/>
    <n v="0"/>
    <s v="KY30744W10701"/>
    <s v="KY30744W1070"/>
    <n v="1"/>
    <x v="134"/>
    <m/>
    <m/>
    <m/>
  </r>
  <r>
    <m/>
    <m/>
    <m/>
    <m/>
    <m/>
    <x v="1"/>
    <m/>
    <m/>
    <m/>
    <m/>
    <m/>
    <m/>
    <m/>
    <m/>
    <m/>
    <m/>
    <m/>
    <m/>
    <m/>
    <m/>
    <m/>
    <s v=""/>
    <m/>
    <m/>
    <m/>
    <m/>
    <m/>
    <n v="3022"/>
    <n v="0"/>
    <s v="KY30744W10701"/>
    <s v="KY30744W1070"/>
    <n v="1"/>
    <x v="134"/>
    <m/>
    <m/>
    <m/>
  </r>
  <r>
    <m/>
    <m/>
    <m/>
    <m/>
    <m/>
    <x v="1"/>
    <m/>
    <m/>
    <m/>
    <m/>
    <m/>
    <m/>
    <m/>
    <m/>
    <m/>
    <m/>
    <m/>
    <m/>
    <m/>
    <m/>
    <m/>
    <s v=""/>
    <m/>
    <m/>
    <m/>
    <m/>
    <m/>
    <n v="3023"/>
    <n v="0"/>
    <s v="KY30744W10701"/>
    <s v="KY30744W1070"/>
    <n v="1"/>
    <x v="134"/>
    <m/>
    <m/>
    <m/>
  </r>
  <r>
    <s v="Prologis"/>
    <s v="Location d'entrepot de logistique"/>
    <s v="États-Unis"/>
    <s v="Dollar"/>
    <n v="112"/>
    <x v="2"/>
    <n v="5973692000"/>
    <n v="3467538000"/>
    <n v="2280402000"/>
    <n v="3364856000"/>
    <n v="23875961000"/>
    <n v="53237282000"/>
    <n v="84.263271272259914"/>
    <n v="6.3204879618009052E-2"/>
    <n v="2.0700483313871264E-2"/>
    <n v="631797000"/>
    <n v="70761264000"/>
    <n v="1.3291674807891207"/>
    <n v="27.292339694619063"/>
    <m/>
    <m/>
    <s v=""/>
    <m/>
    <m/>
    <m/>
    <m/>
    <m/>
    <n v="3065"/>
    <e v="#N/A"/>
    <s v="2022"/>
    <m/>
    <m/>
    <x v="52"/>
    <m/>
    <m/>
    <m/>
  </r>
  <r>
    <m/>
    <m/>
    <m/>
    <m/>
    <m/>
    <x v="1"/>
    <m/>
    <m/>
    <m/>
    <m/>
    <m/>
    <m/>
    <m/>
    <m/>
    <m/>
    <m/>
    <m/>
    <m/>
    <m/>
    <m/>
    <m/>
    <s v=""/>
    <m/>
    <m/>
    <m/>
    <m/>
    <m/>
    <n v="3066"/>
    <e v="#N/A"/>
    <s v=""/>
    <m/>
    <m/>
    <x v="52"/>
    <m/>
    <m/>
    <m/>
  </r>
  <r>
    <m/>
    <m/>
    <m/>
    <m/>
    <n v="168.36"/>
    <x v="3"/>
    <n v="4759440000"/>
    <n v="3206996000"/>
    <n v="1617409000"/>
    <n v="2939723000"/>
    <n v="17715054000"/>
    <n v="33426873000"/>
    <n v="52.907615895612039"/>
    <n v="8.7944899901345838E-2"/>
    <n v="2.2138123579113475E-2"/>
    <n v="631797000"/>
    <n v="106369342920.00002"/>
    <n v="3.1821505684961919"/>
    <n v="38.691784124457911"/>
    <m/>
    <m/>
    <s v=""/>
    <m/>
    <m/>
    <m/>
    <m/>
    <m/>
    <n v="3024"/>
    <n v="0"/>
    <s v="US74340W103612021"/>
    <s v="US74340W1036"/>
    <n v="1"/>
    <x v="135"/>
    <m/>
    <m/>
    <m/>
  </r>
  <r>
    <m/>
    <m/>
    <m/>
    <m/>
    <m/>
    <x v="1"/>
    <m/>
    <m/>
    <m/>
    <m/>
    <m/>
    <m/>
    <m/>
    <m/>
    <m/>
    <m/>
    <m/>
    <m/>
    <m/>
    <m/>
    <m/>
    <s v=""/>
    <m/>
    <m/>
    <m/>
    <m/>
    <m/>
    <n v="3025"/>
    <n v="0"/>
    <s v="US74340W10361"/>
    <s v="US74340W1036"/>
    <n v="1"/>
    <x v="135"/>
    <m/>
    <m/>
    <m/>
  </r>
  <r>
    <m/>
    <m/>
    <m/>
    <m/>
    <n v="99.66"/>
    <x v="4"/>
    <n v="4438735000"/>
    <n v="2118944000"/>
    <n v="1401807000"/>
    <n v="1481814000"/>
    <n v="16849076000"/>
    <n v="31971547000"/>
    <n v="50.604145002271302"/>
    <n v="4.6347898023201689E-2"/>
    <n v="2.0099393242073126E-2"/>
    <n v="631797000"/>
    <n v="62964889020"/>
    <n v="1.9694038896522585"/>
    <n v="37.666859067535526"/>
    <s v="A-"/>
    <m/>
    <s v=""/>
    <m/>
    <m/>
    <m/>
    <s v="CEO Hamid R. Moghadam et fondateur (1983) né en 1956"/>
    <m/>
    <n v="3026"/>
    <n v="0"/>
    <s v="US74340W103612020"/>
    <s v="US74340W1036"/>
    <n v="1"/>
    <x v="135"/>
    <m/>
    <m/>
    <m/>
  </r>
  <r>
    <m/>
    <m/>
    <m/>
    <m/>
    <m/>
    <x v="1"/>
    <m/>
    <m/>
    <m/>
    <m/>
    <m/>
    <m/>
    <m/>
    <m/>
    <m/>
    <m/>
    <m/>
    <m/>
    <m/>
    <m/>
    <m/>
    <s v=""/>
    <m/>
    <m/>
    <m/>
    <s v="1 712 employes soit 1 945 K euros par employe"/>
    <m/>
    <n v="3027"/>
    <n v="0"/>
    <s v="US74340W10361"/>
    <s v="US74340W1036"/>
    <n v="1"/>
    <x v="135"/>
    <m/>
    <m/>
    <m/>
  </r>
  <r>
    <m/>
    <m/>
    <m/>
    <m/>
    <n v="88.4"/>
    <x v="5"/>
    <n v="3330621000"/>
    <n v="2131827000"/>
    <n v="991948000"/>
    <n v="1572959000"/>
    <n v="11905877000"/>
    <n v="22653127000"/>
    <n v="35.85507211968401"/>
    <n v="6.9436727212097468E-2"/>
    <n v="2.0092118395541723E-2"/>
    <n v="631797000"/>
    <n v="55850854800"/>
    <n v="2.4654810260852731"/>
    <n v="31.783410098474221"/>
    <m/>
    <m/>
    <s v=""/>
    <m/>
    <m/>
    <m/>
    <s v="13% de minoritaire"/>
    <m/>
    <n v="3028"/>
    <n v="0"/>
    <s v="US74340W103612019"/>
    <s v="US74340W1036"/>
    <n v="1"/>
    <x v="135"/>
    <m/>
    <m/>
    <m/>
  </r>
  <r>
    <m/>
    <m/>
    <m/>
    <m/>
    <m/>
    <x v="1"/>
    <n v="0.18762045592556675"/>
    <n v="0.18816630773552356"/>
    <n v="0.17112828541136849"/>
    <n v="-4.6322181741898838E-2"/>
    <m/>
    <m/>
    <m/>
    <m/>
    <m/>
    <m/>
    <m/>
    <m/>
    <m/>
    <m/>
    <m/>
    <s v=""/>
    <m/>
    <m/>
    <m/>
    <s v="Pay Out Ratio de 60%"/>
    <m/>
    <n v="3029"/>
    <n v="0"/>
    <s v="US74340W10361"/>
    <s v="US74340W1036"/>
    <n v="1"/>
    <x v="135"/>
    <m/>
    <m/>
    <m/>
  </r>
  <r>
    <m/>
    <m/>
    <m/>
    <m/>
    <n v="57"/>
    <x v="6"/>
    <n v="2804449000"/>
    <n v="1794216000"/>
    <n v="847002000"/>
    <n v="1649361000"/>
    <n v="11089815000"/>
    <n v="22298093000"/>
    <n v="35.415384933038553"/>
    <n v="7.3968702166593348E-2"/>
    <n v="1.7757967944562445E-2"/>
    <n v="629616000"/>
    <n v="35888112000"/>
    <n v="1.6094700116283487"/>
    <n v="26.182982985326181"/>
    <m/>
    <m/>
    <s v=""/>
    <m/>
    <m/>
    <m/>
    <s v="CAC : KPMG"/>
    <m/>
    <n v="3030"/>
    <n v="0"/>
    <s v="US74340W103612018"/>
    <s v="US74340W1036"/>
    <n v="1"/>
    <x v="135"/>
    <m/>
    <m/>
    <m/>
  </r>
  <r>
    <m/>
    <m/>
    <m/>
    <m/>
    <m/>
    <x v="1"/>
    <n v="7.1163278884885273E-2"/>
    <n v="8.7267892614619091E-2"/>
    <n v="9.848184202130561E-2"/>
    <n v="-1.7938359584221963E-3"/>
    <m/>
    <m/>
    <m/>
    <m/>
    <m/>
    <m/>
    <m/>
    <m/>
    <m/>
    <m/>
    <m/>
    <s v=""/>
    <m/>
    <m/>
    <m/>
    <m/>
    <m/>
    <n v="3031"/>
    <n v="0"/>
    <s v="US74340W10361"/>
    <s v="US74340W1036"/>
    <n v="1"/>
    <x v="135"/>
    <m/>
    <m/>
    <m/>
  </r>
  <r>
    <m/>
    <m/>
    <m/>
    <m/>
    <n v="64"/>
    <x v="7"/>
    <n v="2618134000"/>
    <n v="1650206000"/>
    <n v="771066000"/>
    <n v="1652325000"/>
    <n v="9412631000"/>
    <n v="15631158000"/>
    <n v="29.371606919385329"/>
    <n v="0.10570713954781853"/>
    <n v="2.1552098206864784E-2"/>
    <n v="532186000"/>
    <n v="34059904000"/>
    <n v="2.1789750957670568"/>
    <n v="26.343701937818672"/>
    <m/>
    <m/>
    <s v=""/>
    <m/>
    <m/>
    <m/>
    <m/>
    <m/>
    <n v="3032"/>
    <n v="0"/>
    <s v="US74340W103612017"/>
    <s v="US74340W1036"/>
    <n v="1"/>
    <x v="135"/>
    <m/>
    <m/>
    <m/>
  </r>
  <r>
    <m/>
    <m/>
    <m/>
    <m/>
    <m/>
    <x v="1"/>
    <n v="3.3554863834734494E-2"/>
    <n v="3.1789531207111921E-2"/>
    <n v="0.1536376122493559"/>
    <n v="0.36563459764680983"/>
    <m/>
    <m/>
    <m/>
    <m/>
    <m/>
    <m/>
    <m/>
    <m/>
    <m/>
    <m/>
    <m/>
    <s v=""/>
    <m/>
    <m/>
    <m/>
    <m/>
    <m/>
    <n v="3033"/>
    <n v="0"/>
    <s v="US74340W10361"/>
    <s v="US74340W1036"/>
    <n v="1"/>
    <x v="135"/>
    <m/>
    <m/>
    <m/>
  </r>
  <r>
    <m/>
    <m/>
    <m/>
    <m/>
    <n v="52.8"/>
    <x v="8"/>
    <n v="2533135000"/>
    <n v="1599363000"/>
    <n v="668378000"/>
    <n v="1209932000"/>
    <n v="10608294000"/>
    <n v="14991081000"/>
    <n v="28.356162906609214"/>
    <n v="8.0710123572809725E-2"/>
    <n v="1.8276407138846162E-2"/>
    <n v="528671000"/>
    <n v="27913828800"/>
    <n v="1.8620290824924499"/>
    <n v="24.0859159552897"/>
    <m/>
    <m/>
    <s v=""/>
    <m/>
    <m/>
    <m/>
    <m/>
    <m/>
    <n v="3034"/>
    <n v="0"/>
    <s v="US74340W103612016"/>
    <s v="US74340W1036"/>
    <n v="1"/>
    <x v="135"/>
    <m/>
    <m/>
    <m/>
  </r>
  <r>
    <m/>
    <m/>
    <m/>
    <m/>
    <m/>
    <x v="1"/>
    <n v="0.15295843471817516"/>
    <n v="0.26878691359689655"/>
    <n v="0.75809370495459949"/>
    <n v="0.39162379419372728"/>
    <m/>
    <m/>
    <m/>
    <m/>
    <m/>
    <m/>
    <m/>
    <m/>
    <m/>
    <m/>
    <m/>
    <s v=""/>
    <m/>
    <m/>
    <m/>
    <m/>
    <m/>
    <n v="3035"/>
    <n v="0"/>
    <s v="US74340W10361"/>
    <s v="US74340W1036"/>
    <n v="1"/>
    <x v="135"/>
    <m/>
    <m/>
    <m/>
  </r>
  <r>
    <m/>
    <m/>
    <m/>
    <m/>
    <n v="43.2"/>
    <x v="9"/>
    <n v="2197074000"/>
    <n v="1260545000"/>
    <n v="380172000"/>
    <n v="869439000"/>
    <n v="11626831000"/>
    <n v="14667935000"/>
    <n v="27.96491786651211"/>
    <n v="5.9274805894626616E-2"/>
    <n v="1.0120660514719925E-2"/>
    <n v="524512000"/>
    <n v="22658918400"/>
    <n v="1.5447926650888486"/>
    <n v="27.199147511592209"/>
    <m/>
    <m/>
    <s v=""/>
    <m/>
    <m/>
    <m/>
    <m/>
    <m/>
    <n v="3036"/>
    <n v="0"/>
    <s v="US74340W103612015"/>
    <s v="US74340W1036"/>
    <n v="1"/>
    <x v="135"/>
    <m/>
    <m/>
    <m/>
  </r>
  <r>
    <m/>
    <m/>
    <m/>
    <m/>
    <m/>
    <x v="1"/>
    <m/>
    <m/>
    <m/>
    <m/>
    <m/>
    <m/>
    <m/>
    <m/>
    <m/>
    <m/>
    <m/>
    <m/>
    <m/>
    <m/>
    <m/>
    <s v=""/>
    <m/>
    <m/>
    <m/>
    <m/>
    <m/>
    <n v="3037"/>
    <n v="0"/>
    <s v="US74340W10361"/>
    <s v="US74340W1036"/>
    <n v="1"/>
    <x v="135"/>
    <m/>
    <m/>
    <m/>
  </r>
  <r>
    <m/>
    <m/>
    <m/>
    <m/>
    <m/>
    <x v="1"/>
    <m/>
    <m/>
    <m/>
    <m/>
    <m/>
    <m/>
    <m/>
    <m/>
    <m/>
    <m/>
    <m/>
    <m/>
    <m/>
    <m/>
    <m/>
    <s v=""/>
    <m/>
    <m/>
    <m/>
    <m/>
    <m/>
    <n v="3038"/>
    <n v="0"/>
    <s v="US74340W10361"/>
    <s v="US74340W1036"/>
    <n v="1"/>
    <x v="135"/>
    <m/>
    <m/>
    <m/>
  </r>
  <r>
    <m/>
    <m/>
    <m/>
    <m/>
    <m/>
    <x v="1"/>
    <m/>
    <m/>
    <m/>
    <m/>
    <m/>
    <m/>
    <m/>
    <m/>
    <m/>
    <m/>
    <m/>
    <m/>
    <m/>
    <m/>
    <m/>
    <s v=""/>
    <m/>
    <m/>
    <m/>
    <m/>
    <m/>
    <n v="3039"/>
    <n v="0"/>
    <s v="US74340W10361"/>
    <s v="US74340W1036"/>
    <n v="1"/>
    <x v="135"/>
    <m/>
    <m/>
    <m/>
  </r>
  <r>
    <s v="Peloton Interactive"/>
    <s v="Equipement sportif"/>
    <s v="États-Unis"/>
    <s v="Dollar"/>
    <n v="35.76"/>
    <x v="3"/>
    <m/>
    <m/>
    <m/>
    <m/>
    <m/>
    <m/>
    <m/>
    <m/>
    <m/>
    <n v="220952237"/>
    <n v="7901251995.1199999"/>
    <m/>
    <m/>
    <m/>
    <m/>
    <s v=""/>
    <m/>
    <m/>
    <m/>
    <m/>
    <m/>
    <n v="3040"/>
    <n v="0"/>
    <s v="US70614W1009 12021"/>
    <s v="US70614W1009 "/>
    <n v="1"/>
    <x v="136"/>
    <m/>
    <m/>
    <m/>
  </r>
  <r>
    <m/>
    <m/>
    <m/>
    <m/>
    <m/>
    <x v="1"/>
    <m/>
    <m/>
    <m/>
    <m/>
    <m/>
    <m/>
    <m/>
    <m/>
    <m/>
    <m/>
    <m/>
    <m/>
    <m/>
    <m/>
    <m/>
    <s v=""/>
    <m/>
    <m/>
    <m/>
    <m/>
    <m/>
    <n v="3041"/>
    <n v="0"/>
    <s v="US70614W1009 1"/>
    <s v="US70614W1009 "/>
    <n v="1"/>
    <x v="136"/>
    <m/>
    <m/>
    <m/>
  </r>
  <r>
    <m/>
    <m/>
    <m/>
    <m/>
    <n v="151.69999999999999"/>
    <x v="4"/>
    <n v="1825900000"/>
    <n v="117700000"/>
    <n v="-70900000"/>
    <n v="-71600000"/>
    <n v="-457000000"/>
    <n v="1678000000"/>
    <n v="7.594401499542184"/>
    <n v="-4.2669845053635282E-2"/>
    <n v="-4.0647010647010644E-2"/>
    <n v="220952237"/>
    <n v="33518454352.899998"/>
    <n v="19.975240973122762"/>
    <n v="280.89595881818178"/>
    <m/>
    <m/>
    <s v=""/>
    <m/>
    <m/>
    <m/>
    <s v="Fondée en 2012, entreprise qui vend des vélos d'appartement connectés. Il y a un écran qui permet de visualiser un parcours ou bien de suivre un cours en ligne donné par un coach"/>
    <m/>
    <n v="3042"/>
    <n v="0"/>
    <s v="US70614W1009 12020"/>
    <s v="US70614W1009 "/>
    <n v="1"/>
    <x v="136"/>
    <m/>
    <m/>
    <m/>
  </r>
  <r>
    <m/>
    <m/>
    <m/>
    <m/>
    <m/>
    <x v="1"/>
    <n v="0.99551912568306"/>
    <n v="-2.6507713884992987"/>
    <n v="-0.72423181641384682"/>
    <n v="-0.63394683026584864"/>
    <m/>
    <m/>
    <m/>
    <m/>
    <m/>
    <m/>
    <m/>
    <m/>
    <m/>
    <m/>
    <m/>
    <s v=""/>
    <m/>
    <m/>
    <m/>
    <s v="CEO : John Foley (né en 1971) il co-foncateur, President : William Lynch (né en 1970)"/>
    <m/>
    <n v="3043"/>
    <n v="0"/>
    <s v="US70614W1009 1"/>
    <s v="US70614W1009 "/>
    <n v="1"/>
    <x v="136"/>
    <m/>
    <m/>
    <m/>
  </r>
  <r>
    <m/>
    <m/>
    <m/>
    <m/>
    <n v="28.4"/>
    <x v="5"/>
    <n v="915000000"/>
    <n v="-71300000"/>
    <n v="-257100000"/>
    <n v="-195600000"/>
    <n v="-163000000"/>
    <n v="-538600000"/>
    <n v="-23.507574536818726"/>
    <n v="0.36316375789082805"/>
    <n v="0.25651368301026228"/>
    <n v="22911764"/>
    <n v="650694097.60000002"/>
    <n v="-1.2081212357965094"/>
    <n v="-6.8400294193548392"/>
    <m/>
    <m/>
    <s v=""/>
    <m/>
    <m/>
    <m/>
    <s v="CA : 80% les machines (vélos connectés - 1 450 dollars l'unité) et 20% les abonnements - 39 dollars par mois"/>
    <m/>
    <n v="3044"/>
    <n v="0"/>
    <s v="US70614W1009 12019"/>
    <s v="US70614W1009 "/>
    <n v="1"/>
    <x v="136"/>
    <m/>
    <m/>
    <m/>
  </r>
  <r>
    <m/>
    <m/>
    <m/>
    <m/>
    <m/>
    <x v="1"/>
    <n v="1.103448275862069"/>
    <n v="1.3453947368421053"/>
    <n v="0.51413427561837466"/>
    <n v="3.0920502092050208"/>
    <m/>
    <m/>
    <m/>
    <m/>
    <m/>
    <m/>
    <m/>
    <m/>
    <m/>
    <m/>
    <m/>
    <s v=""/>
    <m/>
    <m/>
    <m/>
    <s v="CA : 95% Amerique du Nord et 5% reste du monde"/>
    <m/>
    <n v="3045"/>
    <n v="0"/>
    <s v="US70614W1009 1"/>
    <s v="US70614W1009 "/>
    <n v="1"/>
    <x v="136"/>
    <m/>
    <m/>
    <m/>
  </r>
  <r>
    <m/>
    <m/>
    <m/>
    <m/>
    <m/>
    <x v="6"/>
    <n v="435000000"/>
    <n v="-30400000"/>
    <n v="-169800000"/>
    <n v="-47800000"/>
    <n v="-151600000"/>
    <m/>
    <m/>
    <m/>
    <m/>
    <n v="21934228"/>
    <m/>
    <m/>
    <m/>
    <m/>
    <m/>
    <s v=""/>
    <m/>
    <m/>
    <m/>
    <s v="Les principaux concurrents sont les chaines de salles de sports aux États-Unis : Flywheel, SoulCycle"/>
    <m/>
    <n v="3046"/>
    <n v="0"/>
    <s v="US70614W1009 12018"/>
    <s v="US70614W1009 "/>
    <n v="1"/>
    <x v="136"/>
    <m/>
    <m/>
    <m/>
  </r>
  <r>
    <m/>
    <m/>
    <m/>
    <m/>
    <m/>
    <x v="1"/>
    <n v="0.98630136986301364"/>
    <e v="#DIV/0!"/>
    <e v="#DIV/0!"/>
    <n v="-0.3277074542897328"/>
    <m/>
    <m/>
    <m/>
    <m/>
    <m/>
    <m/>
    <m/>
    <m/>
    <m/>
    <m/>
    <m/>
    <s v=""/>
    <m/>
    <m/>
    <m/>
    <s v="En 2021, problème avec des tapis entraînant le décès d'un enefant de 6 ans. Rappel des tapis et attitude moyenne de l'entreprise"/>
    <m/>
    <n v="3047"/>
    <n v="0"/>
    <s v="US70614W1009 1"/>
    <s v="US70614W1009 "/>
    <n v="1"/>
    <x v="136"/>
    <m/>
    <m/>
    <m/>
  </r>
  <r>
    <m/>
    <m/>
    <m/>
    <m/>
    <m/>
    <x v="7"/>
    <n v="219000000"/>
    <m/>
    <m/>
    <n v="-71100000"/>
    <n v="-155500000"/>
    <m/>
    <m/>
    <m/>
    <m/>
    <n v="27379789"/>
    <m/>
    <m/>
    <m/>
    <m/>
    <m/>
    <s v=""/>
    <m/>
    <m/>
    <m/>
    <s v="3 700 salariés soit un CA de 493K dollars par salarié"/>
    <m/>
    <n v="3048"/>
    <n v="0"/>
    <s v="US70614W1009 12017"/>
    <s v="US70614W1009 "/>
    <n v="1"/>
    <x v="136"/>
    <m/>
    <m/>
    <m/>
  </r>
  <r>
    <m/>
    <m/>
    <m/>
    <m/>
    <m/>
    <x v="1"/>
    <m/>
    <m/>
    <m/>
    <m/>
    <m/>
    <m/>
    <m/>
    <m/>
    <m/>
    <m/>
    <m/>
    <m/>
    <m/>
    <m/>
    <m/>
    <s v=""/>
    <m/>
    <m/>
    <m/>
    <s v="Pas de minoritaires"/>
    <m/>
    <n v="3049"/>
    <n v="0"/>
    <s v="US70614W1009 1"/>
    <s v="US70614W1009 "/>
    <n v="1"/>
    <x v="136"/>
    <m/>
    <m/>
    <m/>
  </r>
  <r>
    <m/>
    <m/>
    <m/>
    <m/>
    <s v="IPO à 29 dollars en août 2019"/>
    <x v="1"/>
    <m/>
    <m/>
    <m/>
    <m/>
    <m/>
    <m/>
    <m/>
    <m/>
    <m/>
    <m/>
    <m/>
    <m/>
    <m/>
    <m/>
    <m/>
    <s v=""/>
    <m/>
    <m/>
    <m/>
    <s v="Pas de dividendes "/>
    <m/>
    <n v="3050"/>
    <n v="0"/>
    <s v="US70614W1009 1"/>
    <s v="US70614W1009 "/>
    <n v="1"/>
    <x v="136"/>
    <m/>
    <m/>
    <m/>
  </r>
  <r>
    <m/>
    <m/>
    <m/>
    <m/>
    <m/>
    <x v="1"/>
    <m/>
    <m/>
    <m/>
    <m/>
    <m/>
    <m/>
    <m/>
    <m/>
    <m/>
    <m/>
    <m/>
    <m/>
    <m/>
    <m/>
    <m/>
    <s v=""/>
    <m/>
    <m/>
    <m/>
    <s v="CAC : Enrst &amp; Young LLP"/>
    <m/>
    <n v="3051"/>
    <n v="0"/>
    <s v="US70614W1009 1"/>
    <s v="US70614W1009 "/>
    <n v="1"/>
    <x v="136"/>
    <m/>
    <m/>
    <m/>
  </r>
  <r>
    <m/>
    <m/>
    <m/>
    <m/>
    <m/>
    <x v="1"/>
    <m/>
    <m/>
    <m/>
    <m/>
    <m/>
    <m/>
    <m/>
    <m/>
    <m/>
    <m/>
    <m/>
    <m/>
    <m/>
    <m/>
    <m/>
    <s v=""/>
    <m/>
    <m/>
    <m/>
    <m/>
    <m/>
    <n v="3052"/>
    <n v="0"/>
    <s v="US70614W1009 1"/>
    <s v="US70614W1009 "/>
    <n v="1"/>
    <x v="136"/>
    <m/>
    <m/>
    <m/>
  </r>
  <r>
    <m/>
    <m/>
    <m/>
    <m/>
    <m/>
    <x v="1"/>
    <m/>
    <m/>
    <m/>
    <m/>
    <m/>
    <m/>
    <m/>
    <m/>
    <m/>
    <m/>
    <m/>
    <m/>
    <m/>
    <m/>
    <m/>
    <s v=""/>
    <m/>
    <m/>
    <m/>
    <m/>
    <m/>
    <n v="3053"/>
    <n v="0"/>
    <s v="US70614W1009 1"/>
    <s v="US70614W1009 "/>
    <n v="1"/>
    <x v="136"/>
    <m/>
    <m/>
    <m/>
  </r>
  <r>
    <m/>
    <m/>
    <m/>
    <m/>
    <m/>
    <x v="1"/>
    <m/>
    <m/>
    <m/>
    <m/>
    <m/>
    <m/>
    <m/>
    <m/>
    <m/>
    <m/>
    <m/>
    <m/>
    <m/>
    <m/>
    <m/>
    <s v=""/>
    <m/>
    <m/>
    <m/>
    <m/>
    <m/>
    <n v="3054"/>
    <n v="0"/>
    <s v="US70614W1009 1"/>
    <s v="US70614W1009 "/>
    <n v="1"/>
    <x v="136"/>
    <m/>
    <m/>
    <m/>
  </r>
  <r>
    <m/>
    <m/>
    <m/>
    <m/>
    <m/>
    <x v="1"/>
    <m/>
    <m/>
    <m/>
    <m/>
    <m/>
    <m/>
    <m/>
    <m/>
    <m/>
    <m/>
    <m/>
    <m/>
    <m/>
    <m/>
    <m/>
    <s v=""/>
    <m/>
    <m/>
    <m/>
    <m/>
    <m/>
    <n v="3055"/>
    <n v="0"/>
    <s v="US70614W1009 1"/>
    <s v="US70614W1009 "/>
    <n v="1"/>
    <x v="136"/>
    <m/>
    <m/>
    <m/>
  </r>
  <r>
    <s v="Essilor Luxottica"/>
    <s v="Equipement optique"/>
    <s v="France"/>
    <s v="Euro"/>
    <n v="187.24"/>
    <x v="2"/>
    <n v="25000000000"/>
    <m/>
    <m/>
    <m/>
    <m/>
    <m/>
    <m/>
    <m/>
    <m/>
    <m/>
    <m/>
    <m/>
    <m/>
    <m/>
    <m/>
    <s v=""/>
    <m/>
    <m/>
    <m/>
    <m/>
    <m/>
    <n v="3056"/>
    <n v="0"/>
    <s v="FR000012166712022"/>
    <s v="FR0000121667"/>
    <n v="1"/>
    <x v="137"/>
    <m/>
    <m/>
    <m/>
  </r>
  <r>
    <m/>
    <m/>
    <m/>
    <m/>
    <m/>
    <x v="1"/>
    <m/>
    <m/>
    <m/>
    <m/>
    <m/>
    <m/>
    <m/>
    <m/>
    <m/>
    <m/>
    <m/>
    <m/>
    <m/>
    <m/>
    <m/>
    <s v=""/>
    <m/>
    <m/>
    <m/>
    <m/>
    <m/>
    <n v="3057"/>
    <n v="0"/>
    <s v="FR00001216671"/>
    <s v="FR0000121667"/>
    <n v="1"/>
    <x v="137"/>
    <m/>
    <m/>
    <m/>
  </r>
  <r>
    <m/>
    <m/>
    <m/>
    <m/>
    <n v="187.24"/>
    <x v="3"/>
    <n v="22000000000"/>
    <n v="4500000000"/>
    <n v="3400000000"/>
    <n v="2300000000"/>
    <n v="1945000000"/>
    <n v="34380000000"/>
    <n v="78.59581440390788"/>
    <n v="6.689936009307737E-2"/>
    <n v="6.5519614590502415E-2"/>
    <n v="437427874"/>
    <n v="81903995127.76001"/>
    <n v="2.3823151578755093"/>
    <n v="18.633110028391112"/>
    <m/>
    <m/>
    <s v=""/>
    <m/>
    <m/>
    <m/>
    <s v="Fusion le 1er Octobre 2018, entreprise multinationale franco-italienne. Ils exercent conception, production et commercialisation de verres ophtalmiques, d'équipements optiques, de lunettes de vue et lunettes de soleil."/>
    <m/>
    <n v="3058"/>
    <n v="0"/>
    <s v="FR000012166712021"/>
    <s v="FR0000121667"/>
    <n v="1"/>
    <x v="137"/>
    <m/>
    <m/>
    <m/>
  </r>
  <r>
    <m/>
    <m/>
    <m/>
    <m/>
    <m/>
    <x v="1"/>
    <n v="0.52470718691524021"/>
    <n v="0.73879443585780535"/>
    <n v="1.4745269286754001"/>
    <n v="1.9187817258883251"/>
    <m/>
    <m/>
    <m/>
    <m/>
    <m/>
    <m/>
    <m/>
    <m/>
    <m/>
    <m/>
    <m/>
    <s v=""/>
    <m/>
    <m/>
    <m/>
    <s v="Actionnariat : Delfin 32% (holding détenu par le CEO Leonardo Del Vecchio)"/>
    <m/>
    <n v="3059"/>
    <n v="0"/>
    <s v="FR00001216671"/>
    <s v="FR0000121667"/>
    <n v="1"/>
    <x v="137"/>
    <m/>
    <m/>
    <m/>
  </r>
  <r>
    <m/>
    <m/>
    <m/>
    <m/>
    <n v="127.6"/>
    <x v="4"/>
    <n v="14429000000"/>
    <n v="2588000000"/>
    <n v="1374000000"/>
    <n v="788000000"/>
    <n v="2975000000"/>
    <n v="32798000000"/>
    <n v="74.774791212347438"/>
    <n v="2.4025855235075309E-2"/>
    <n v="2.6886199088698177E-2"/>
    <n v="438623759"/>
    <n v="55968391648.399994"/>
    <n v="1.7064574561985486"/>
    <n v="22.775653650850074"/>
    <m/>
    <m/>
    <s v=""/>
    <m/>
    <m/>
    <m/>
    <s v="Direction : Leonardo Del Vecchio (Président) Hubert Sagnières (Vice-président) Francesco Milleri (Directeur général) Paul du Saillant (Directeur général délégué)"/>
    <m/>
    <n v="3060"/>
    <n v="0"/>
    <s v="FR000012166712020"/>
    <s v="FR0000121667"/>
    <n v="1"/>
    <x v="137"/>
    <m/>
    <m/>
    <m/>
  </r>
  <r>
    <m/>
    <m/>
    <m/>
    <m/>
    <m/>
    <x v="1"/>
    <n v="-0.17027027027027031"/>
    <n v="-0.31894736842105265"/>
    <n v="-0.51137980085348511"/>
    <n v="-0.61635832521908474"/>
    <m/>
    <m/>
    <m/>
    <m/>
    <m/>
    <m/>
    <m/>
    <m/>
    <m/>
    <m/>
    <m/>
    <s v=""/>
    <m/>
    <m/>
    <m/>
    <s v="Concurrents : Johnson &amp; Johnson Vision Care, Inc. ; CooperVision ; Carl Zeiss AG. ; Bausch &amp; Lomb Inc. ; Safilo Group S.p.A"/>
    <m/>
    <n v="3061"/>
    <n v="0"/>
    <s v="FR00001216671"/>
    <s v="FR0000121667"/>
    <n v="1"/>
    <x v="137"/>
    <m/>
    <m/>
    <m/>
  </r>
  <r>
    <m/>
    <m/>
    <m/>
    <m/>
    <n v="138.19999999999999"/>
    <x v="5"/>
    <n v="17390000000"/>
    <n v="3800000000"/>
    <n v="2812000000"/>
    <n v="2054000000"/>
    <n v="4046000000"/>
    <n v="35332000000"/>
    <n v="80.746965468040983"/>
    <n v="5.8134269217706327E-2"/>
    <n v="4.9987302554725985E-2"/>
    <n v="437564431"/>
    <n v="60471404364.199997"/>
    <n v="1.7115194261349485"/>
    <n v="16.97826430636842"/>
    <m/>
    <m/>
    <s v=""/>
    <m/>
    <m/>
    <m/>
    <s v="Le Marché de l'optique est estimé à 147,6 milliards de dollar en 2020 et est régulière progression notamment dû à l'augmentation des problèmes ophtalmique dans le monde et l'essor des lunettes comme accesoir de mode. "/>
    <m/>
    <n v="3062"/>
    <n v="0"/>
    <s v="FR000012166712019"/>
    <s v="FR0000121667"/>
    <n v="1"/>
    <x v="137"/>
    <m/>
    <m/>
    <m/>
  </r>
  <r>
    <m/>
    <m/>
    <m/>
    <m/>
    <m/>
    <x v="1"/>
    <n v="7.6113861386138515E-2"/>
    <e v="#VALUE!"/>
    <n v="7.4102368220015258E-2"/>
    <n v="0.10075026795284026"/>
    <m/>
    <m/>
    <m/>
    <m/>
    <m/>
    <m/>
    <m/>
    <m/>
    <m/>
    <m/>
    <m/>
    <s v=""/>
    <m/>
    <m/>
    <m/>
    <s v="La croissance des achats numérique (21% contre 79% en achat physique) est également un facteur clé.  "/>
    <m/>
    <n v="3063"/>
    <n v="0"/>
    <s v="FR00001216671"/>
    <s v="FR0000121667"/>
    <n v="1"/>
    <x v="137"/>
    <m/>
    <m/>
    <m/>
  </r>
  <r>
    <m/>
    <m/>
    <m/>
    <m/>
    <n v="109.75"/>
    <x v="6"/>
    <n v="16160000000"/>
    <s v="-"/>
    <n v="2618000000"/>
    <n v="1866000000"/>
    <n v="3849000000"/>
    <n v="33403000000"/>
    <n v="78.268001643892816"/>
    <n v="5.586324581624405E-2"/>
    <n v="4.9194674111457101E-2"/>
    <n v="426777218"/>
    <n v="46838799675.5"/>
    <n v="1.4022333226207226"/>
    <m/>
    <m/>
    <m/>
    <s v=""/>
    <m/>
    <m/>
    <m/>
    <s v="Le chiffre d'affaire provient à 52,7% d'amerique du nord, Europe à 24,3%, Asie Océanie Afrique à 16,6% et Amerique latine à 6,4%."/>
    <m/>
    <n v="3064"/>
    <n v="0"/>
    <s v="FR000012166712018"/>
    <s v="FR0000121667"/>
    <n v="1"/>
    <x v="137"/>
    <m/>
    <m/>
    <m/>
  </r>
  <r>
    <m/>
    <m/>
    <m/>
    <m/>
    <m/>
    <x v="1"/>
    <m/>
    <m/>
    <m/>
    <m/>
    <m/>
    <m/>
    <m/>
    <m/>
    <m/>
    <m/>
    <m/>
    <m/>
    <m/>
    <m/>
    <m/>
    <s v=""/>
    <m/>
    <m/>
    <m/>
    <s v="Effectif : 153 000 (2019) soit un CA par salarié de 113,7K €"/>
    <m/>
    <n v="3065"/>
    <n v="0"/>
    <s v="FR00001216671"/>
    <s v="FR0000121667"/>
    <n v="1"/>
    <x v="137"/>
    <m/>
    <m/>
    <m/>
  </r>
  <r>
    <m/>
    <m/>
    <m/>
    <m/>
    <m/>
    <x v="1"/>
    <m/>
    <m/>
    <m/>
    <m/>
    <m/>
    <m/>
    <m/>
    <m/>
    <m/>
    <m/>
    <m/>
    <m/>
    <m/>
    <m/>
    <m/>
    <s v=""/>
    <m/>
    <m/>
    <m/>
    <s v="Essilor et Luxottica ont fusionné leurs activités en 2018. Cela à donné lieu à un conflit entre Leonardo Del Vecchio alors CEO de Luxottica et Hubert Sagnière CEO de Essilor."/>
    <m/>
    <n v="3066"/>
    <n v="0"/>
    <s v="FR00001216671"/>
    <s v="FR0000121667"/>
    <n v="1"/>
    <x v="137"/>
    <m/>
    <m/>
    <m/>
  </r>
  <r>
    <m/>
    <m/>
    <m/>
    <m/>
    <m/>
    <x v="1"/>
    <m/>
    <m/>
    <m/>
    <m/>
    <m/>
    <m/>
    <m/>
    <m/>
    <m/>
    <m/>
    <m/>
    <m/>
    <m/>
    <m/>
    <m/>
    <s v=""/>
    <m/>
    <m/>
    <m/>
    <s v="Ils ont demandé un arbitrage de la chambre de commerce international pour faire vérifier les &quot;violation sur l'accord de rapprochement&quot; "/>
    <m/>
    <n v="3067"/>
    <n v="0"/>
    <s v="FR00001216671"/>
    <s v="FR0000121667"/>
    <n v="1"/>
    <x v="137"/>
    <m/>
    <m/>
    <m/>
  </r>
  <r>
    <m/>
    <m/>
    <m/>
    <m/>
    <m/>
    <x v="1"/>
    <m/>
    <m/>
    <m/>
    <m/>
    <m/>
    <m/>
    <m/>
    <m/>
    <m/>
    <m/>
    <m/>
    <m/>
    <m/>
    <m/>
    <m/>
    <s v=""/>
    <m/>
    <m/>
    <m/>
    <s v="Les deux CEO ont alors conclu un accord pour donner plus confier plus de responsabilités à leurs seconds respectifs (Francesco Milleri et Paul du Saillant) "/>
    <m/>
    <n v="3068"/>
    <n v="0"/>
    <s v="FR00001216671"/>
    <s v="FR0000121667"/>
    <n v="1"/>
    <x v="137"/>
    <m/>
    <m/>
    <m/>
  </r>
  <r>
    <m/>
    <m/>
    <m/>
    <m/>
    <m/>
    <x v="1"/>
    <m/>
    <m/>
    <m/>
    <m/>
    <m/>
    <m/>
    <m/>
    <m/>
    <m/>
    <m/>
    <m/>
    <m/>
    <m/>
    <m/>
    <m/>
    <s v=""/>
    <m/>
    <m/>
    <m/>
    <s v="En Juillet 2019 Essilor Luxottica annonce un projet d'aquisition d'une participation de 76,72% à la société GrandVision"/>
    <m/>
    <n v="3069"/>
    <n v="0"/>
    <s v="FR00001216671"/>
    <s v="FR0000121667"/>
    <n v="1"/>
    <x v="137"/>
    <m/>
    <m/>
    <m/>
  </r>
  <r>
    <m/>
    <m/>
    <m/>
    <m/>
    <m/>
    <x v="1"/>
    <m/>
    <m/>
    <m/>
    <m/>
    <m/>
    <m/>
    <m/>
    <m/>
    <m/>
    <m/>
    <m/>
    <m/>
    <m/>
    <m/>
    <m/>
    <s v=""/>
    <m/>
    <m/>
    <m/>
    <s v="Essilor a réalisé un chiffre d'affaire de 7,45 milliards en 2018 et luxottica 8,9 milliards en tant qu'entités séparées."/>
    <m/>
    <n v="3070"/>
    <n v="0"/>
    <s v="FR00001216671"/>
    <s v="FR0000121667"/>
    <n v="1"/>
    <x v="137"/>
    <m/>
    <m/>
    <m/>
  </r>
  <r>
    <m/>
    <m/>
    <m/>
    <m/>
    <m/>
    <x v="1"/>
    <m/>
    <m/>
    <m/>
    <m/>
    <m/>
    <m/>
    <m/>
    <m/>
    <m/>
    <m/>
    <m/>
    <m/>
    <m/>
    <m/>
    <m/>
    <s v=""/>
    <m/>
    <m/>
    <m/>
    <s v="EssilorLuxottica propose de céder des actifs dans 3 pays de l'UE pour obtenir l'accord de la commission européenne pour acquérir GrandVision pour 7,2 milliards (Décision le 12avril)"/>
    <m/>
    <n v="3071"/>
    <n v="0"/>
    <s v="FR00001216671"/>
    <s v="FR0000121667"/>
    <n v="1"/>
    <x v="137"/>
    <m/>
    <m/>
    <m/>
  </r>
  <r>
    <m/>
    <m/>
    <m/>
    <m/>
    <m/>
    <x v="1"/>
    <m/>
    <m/>
    <m/>
    <m/>
    <m/>
    <m/>
    <m/>
    <m/>
    <m/>
    <m/>
    <m/>
    <m/>
    <m/>
    <m/>
    <m/>
    <s v=""/>
    <m/>
    <m/>
    <m/>
    <s v="En 2021, consolidation de l'activité de Grandvision à partir de juillet. Activité en hausse de plus de 9% par rapport à 2019. Le BtoB représente 60% du CA et le BtoC 40% du CA"/>
    <m/>
    <n v="3072"/>
    <n v="0"/>
    <s v="FR00001216671"/>
    <s v="FR0000121667"/>
    <n v="1"/>
    <x v="137"/>
    <m/>
    <m/>
    <m/>
  </r>
  <r>
    <m/>
    <m/>
    <m/>
    <m/>
    <m/>
    <x v="1"/>
    <m/>
    <m/>
    <m/>
    <m/>
    <m/>
    <m/>
    <m/>
    <m/>
    <m/>
    <m/>
    <m/>
    <m/>
    <m/>
    <m/>
    <m/>
    <s v=""/>
    <m/>
    <m/>
    <m/>
    <s v="Minoritaires : peu"/>
    <m/>
    <n v="3073"/>
    <n v="0"/>
    <s v="FR00001216671"/>
    <s v="FR0000121667"/>
    <n v="1"/>
    <x v="137"/>
    <m/>
    <m/>
    <m/>
  </r>
  <r>
    <m/>
    <m/>
    <m/>
    <m/>
    <m/>
    <x v="1"/>
    <m/>
    <m/>
    <m/>
    <m/>
    <m/>
    <m/>
    <m/>
    <m/>
    <m/>
    <m/>
    <m/>
    <m/>
    <m/>
    <m/>
    <m/>
    <s v=""/>
    <m/>
    <m/>
    <m/>
    <s v="CAC : PricewaterhouseCoopers &amp; KPMG"/>
    <m/>
    <n v="3074"/>
    <n v="0"/>
    <s v="FR00001216671"/>
    <s v="FR0000121667"/>
    <n v="1"/>
    <x v="137"/>
    <m/>
    <m/>
    <m/>
  </r>
  <r>
    <m/>
    <m/>
    <m/>
    <m/>
    <m/>
    <x v="1"/>
    <m/>
    <m/>
    <m/>
    <m/>
    <m/>
    <m/>
    <m/>
    <m/>
    <m/>
    <m/>
    <m/>
    <m/>
    <m/>
    <m/>
    <m/>
    <s v=""/>
    <m/>
    <m/>
    <m/>
    <s v="Pay out ratio : 35,4%"/>
    <m/>
    <n v="3075"/>
    <n v="0"/>
    <s v="FR00001216671"/>
    <s v="FR0000121667"/>
    <n v="1"/>
    <x v="137"/>
    <m/>
    <m/>
    <m/>
  </r>
  <r>
    <m/>
    <m/>
    <m/>
    <m/>
    <m/>
    <x v="1"/>
    <m/>
    <m/>
    <m/>
    <m/>
    <m/>
    <m/>
    <m/>
    <m/>
    <m/>
    <m/>
    <m/>
    <m/>
    <m/>
    <m/>
    <m/>
    <s v=""/>
    <m/>
    <m/>
    <m/>
    <m/>
    <m/>
    <n v="3076"/>
    <n v="0"/>
    <s v="FR00001216671"/>
    <s v="FR0000121667"/>
    <n v="1"/>
    <x v="137"/>
    <m/>
    <m/>
    <m/>
  </r>
  <r>
    <m/>
    <m/>
    <m/>
    <m/>
    <m/>
    <x v="1"/>
    <m/>
    <m/>
    <m/>
    <m/>
    <m/>
    <m/>
    <m/>
    <m/>
    <m/>
    <m/>
    <m/>
    <m/>
    <m/>
    <m/>
    <m/>
    <s v=""/>
    <m/>
    <m/>
    <m/>
    <m/>
    <m/>
    <n v="3077"/>
    <n v="0"/>
    <s v="FR00001216671"/>
    <s v="FR0000121667"/>
    <n v="1"/>
    <x v="137"/>
    <m/>
    <m/>
    <m/>
  </r>
  <r>
    <m/>
    <m/>
    <m/>
    <m/>
    <m/>
    <x v="1"/>
    <m/>
    <m/>
    <m/>
    <m/>
    <m/>
    <m/>
    <m/>
    <m/>
    <m/>
    <m/>
    <m/>
    <m/>
    <m/>
    <m/>
    <m/>
    <s v=""/>
    <m/>
    <m/>
    <s v="CAPACITÉ EN GW"/>
    <m/>
    <m/>
    <n v="3078"/>
    <n v="0"/>
    <s v="FR00001216671"/>
    <s v="FR0000121667"/>
    <n v="1"/>
    <x v="137"/>
    <m/>
    <m/>
    <m/>
  </r>
  <r>
    <s v="NEOEN"/>
    <s v="Production d'energies renouvelables"/>
    <s v="France"/>
    <s v="Euro"/>
    <n v="26"/>
    <x v="0"/>
    <n v="600000000"/>
    <n v="470000000"/>
    <n v="330000000"/>
    <n v="80000000"/>
    <n v="3000000000"/>
    <n v="2700000000"/>
    <n v="17.837671245773048"/>
    <n v="2.9629629629629631E-2"/>
    <n v="4.0526315789473681E-2"/>
    <n v="151365050"/>
    <n v="3935491300"/>
    <n v="1.4575893703703704"/>
    <n v="14.756364468085106"/>
    <s v="Non noté"/>
    <n v="400"/>
    <n v="1500000"/>
    <m/>
    <m/>
    <m/>
    <s v="Fondée en 2008, entreprise  française qui finance et opère des centrales électriques à partir d’énergie renouvelable (Eolien et Solaire) ainsi que du stockage d'énergie."/>
    <m/>
    <n v="3079"/>
    <s v="p"/>
    <s v="FR001167536212023"/>
    <s v="FR0011675362"/>
    <n v="1"/>
    <x v="138"/>
    <m/>
    <m/>
    <m/>
  </r>
  <r>
    <m/>
    <m/>
    <m/>
    <m/>
    <m/>
    <x v="1"/>
    <n v="0.19236883942766303"/>
    <n v="0.13526570048309172"/>
    <n v="0.27413127413127403"/>
    <n v="0.76991150442477885"/>
    <m/>
    <m/>
    <m/>
    <m/>
    <m/>
    <m/>
    <m/>
    <m/>
    <m/>
    <m/>
    <m/>
    <s v=""/>
    <m/>
    <m/>
    <m/>
    <s v="Actionnariat : le groupe Impala détient 42,2% des parts, FSP : 6,9%, BPI investissement 4,4% et Céleste management 2%. Flottant : 45,1%"/>
    <m/>
    <n v="3080"/>
    <s v="p"/>
    <s v="FR00116753621"/>
    <s v="FR0011675362"/>
    <n v="1"/>
    <x v="138"/>
    <m/>
    <m/>
    <m/>
  </r>
  <r>
    <m/>
    <m/>
    <m/>
    <m/>
    <n v="29.54"/>
    <x v="2"/>
    <n v="503200000"/>
    <n v="414000000"/>
    <n v="259000000"/>
    <n v="45200000"/>
    <n v="2857600000"/>
    <n v="1893700000"/>
    <n v="16.514417809695129"/>
    <n v="2.386861699318794E-2"/>
    <n v="3.8157977816597563E-2"/>
    <n v="114669498"/>
    <n v="3387336970.9200001"/>
    <n v="1.7887400173839574"/>
    <n v="15.084388818647342"/>
    <m/>
    <n v="400"/>
    <n v="1258000"/>
    <m/>
    <m/>
    <n v="6.6"/>
    <s v="Lors de son introduction en bourse le 16 octobre 2018 Neoen a levé 628 millions d'euros totalement souscris par les actionnaires historiques."/>
    <m/>
    <n v="3081"/>
    <s v="p"/>
    <s v="FR001167536212022"/>
    <s v="FR0011675362"/>
    <n v="1"/>
    <x v="138"/>
    <m/>
    <m/>
    <m/>
  </r>
  <r>
    <m/>
    <m/>
    <m/>
    <m/>
    <m/>
    <x v="1"/>
    <n v="0.50839328537170259"/>
    <n v="0.37816245006657789"/>
    <n v="0.51285046728971961"/>
    <n v="0.10243902439024399"/>
    <m/>
    <m/>
    <m/>
    <m/>
    <m/>
    <m/>
    <m/>
    <m/>
    <m/>
    <m/>
    <m/>
    <s v=""/>
    <m/>
    <m/>
    <m/>
    <s v="Le solaire correspond à 48% des revenus, l'éolien à 41% et le stockage à 11% en 2020."/>
    <m/>
    <n v="3082"/>
    <s v="p"/>
    <s v="FR00116753621"/>
    <s v="FR0011675362"/>
    <n v="1"/>
    <x v="138"/>
    <m/>
    <m/>
    <m/>
  </r>
  <r>
    <m/>
    <m/>
    <m/>
    <m/>
    <n v="38.159999999999997"/>
    <x v="3"/>
    <n v="333600000"/>
    <n v="300400000"/>
    <n v="171200000"/>
    <n v="41000000"/>
    <n v="2232200000"/>
    <n v="1373900000"/>
    <n v="12.838787248100475"/>
    <n v="2.9842055462551861E-2"/>
    <n v="3.32325781314994E-2"/>
    <n v="107011665"/>
    <n v="4083565136.3999996"/>
    <n v="2.9722433484241937"/>
    <n v="21.024517764314247"/>
    <m/>
    <n v="400"/>
    <n v="834000"/>
    <m/>
    <m/>
    <n v="5.4"/>
    <s v="Objectif : plan 2021-2025 de 5,3 mds € avec un maximum de 1,2 mds € en augmentation de capital (600 M euros en mars 2021) pour atteindre 10 Gw en opération ou construction."/>
    <m/>
    <n v="3083"/>
    <s v="p"/>
    <s v="FR001167536212021"/>
    <s v="FR0011675362"/>
    <n v="1"/>
    <x v="138"/>
    <m/>
    <m/>
    <m/>
  </r>
  <r>
    <m/>
    <m/>
    <m/>
    <m/>
    <m/>
    <x v="1"/>
    <n v="0.1157190635451506"/>
    <n v="0.11259259259259258"/>
    <n v="6.6666666666666652E-2"/>
    <n v="11.424242424242424"/>
    <m/>
    <m/>
    <m/>
    <m/>
    <m/>
    <m/>
    <m/>
    <m/>
    <m/>
    <m/>
    <m/>
    <s v=""/>
    <m/>
    <m/>
    <m/>
    <s v="Echelle puissance énergétique : panneau solaire 1 Kw par m², par éolienne 1 à 3 Mw, par réacteur nucléaire environ 1,1 Gw. Unité watt = 1 ; Kw = 1000 ; Mw = 100k ; Gw = 1 million ; Tw = 1 milliard "/>
    <m/>
    <n v="3084"/>
    <s v="p"/>
    <s v="FR00116753621"/>
    <s v="FR0011675362"/>
    <n v="1"/>
    <x v="138"/>
    <m/>
    <m/>
    <m/>
  </r>
  <r>
    <m/>
    <m/>
    <m/>
    <m/>
    <n v="57.59"/>
    <x v="4"/>
    <n v="299000000"/>
    <n v="270000000"/>
    <n v="160500000"/>
    <n v="3300000"/>
    <n v="2267000000"/>
    <n v="641600000"/>
    <n v="7.4996453565459511"/>
    <n v="5.1433915211970072E-3"/>
    <n v="3.8626830777693737E-2"/>
    <n v="85550712"/>
    <n v="4926865504.0799999"/>
    <n v="7.6790297756857857"/>
    <n v="26.643946311407408"/>
    <m/>
    <n v="255"/>
    <n v="1172549.0196078431"/>
    <m/>
    <m/>
    <m/>
    <s v="500 éoliennes = 1 réacteur nucléaire (900MW/an) = 5 centrales photovoltaïque"/>
    <m/>
    <n v="3085"/>
    <s v="p"/>
    <s v="FR001167536212020"/>
    <s v="FR0011675362"/>
    <n v="1"/>
    <x v="138"/>
    <m/>
    <m/>
    <m/>
  </r>
  <r>
    <m/>
    <m/>
    <m/>
    <m/>
    <m/>
    <x v="1"/>
    <n v="0.18088467614533976"/>
    <n v="0.24942156409069871"/>
    <n v="0.18101545253863138"/>
    <n v="-0.91081081081081083"/>
    <m/>
    <m/>
    <m/>
    <m/>
    <m/>
    <m/>
    <m/>
    <m/>
    <m/>
    <m/>
    <m/>
    <s v=""/>
    <m/>
    <m/>
    <m/>
    <s v="Xavier Barbaro et sa société Carthusiane exerce la totalité ses DPS dans l'augmentation de capital de mars 2021"/>
    <m/>
    <n v="3086"/>
    <s v="p"/>
    <s v="FR00116753621"/>
    <s v="FR0011675362"/>
    <n v="1"/>
    <x v="138"/>
    <m/>
    <m/>
    <m/>
  </r>
  <r>
    <m/>
    <m/>
    <m/>
    <m/>
    <n v="28.29"/>
    <x v="5"/>
    <n v="253200000"/>
    <n v="216100000"/>
    <n v="135900000"/>
    <n v="37000000"/>
    <n v="2416000000"/>
    <n v="680500000"/>
    <n v="7.9975321766398535"/>
    <n v="5.4371785451873621E-2"/>
    <n v="3.0721782657839498E-2"/>
    <n v="85088748"/>
    <n v="2407160680.9200001"/>
    <n v="3.5373411916531965"/>
    <n v="22.319114673391947"/>
    <m/>
    <n v="213"/>
    <n v="1188732.3943661973"/>
    <m/>
    <m/>
    <m/>
    <s v="Direction : Xavier Barbaro (PDG), Paul-François Croisille (COO - Directeur général adjoint) / Romain Desrousseaux (Directeur général délégué) / Olga Kharitonova (Secrétaire général) / Louis-Mathieu Perrin (CFO - Directeur financier) // Pas de séparation des pouvoirs"/>
    <m/>
    <n v="3087"/>
    <s v="p"/>
    <s v="FR001167536212019"/>
    <s v="FR0011675362"/>
    <n v="1"/>
    <x v="138"/>
    <m/>
    <m/>
    <m/>
  </r>
  <r>
    <m/>
    <m/>
    <m/>
    <m/>
    <m/>
    <x v="1"/>
    <n v="0.22318840579710142"/>
    <n v="0.29789789789789789"/>
    <n v="0.28207547169811331"/>
    <n v="1.7407407407407409"/>
    <m/>
    <m/>
    <m/>
    <m/>
    <m/>
    <m/>
    <m/>
    <m/>
    <m/>
    <m/>
    <m/>
    <s v=""/>
    <m/>
    <m/>
    <m/>
    <s v="Concurrents : Engie eps, Blue Solution, Voltalia, EnBW, Eolfi"/>
    <m/>
    <n v="3088"/>
    <s v="p"/>
    <s v="FR00116753621"/>
    <s v="FR0011675362"/>
    <n v="1"/>
    <x v="138"/>
    <m/>
    <m/>
    <m/>
  </r>
  <r>
    <m/>
    <m/>
    <m/>
    <m/>
    <n v="17.329999999999998"/>
    <x v="6"/>
    <n v="207000000"/>
    <n v="166500000"/>
    <n v="106000000"/>
    <n v="13500000"/>
    <n v="1691000000"/>
    <n v="655300000"/>
    <n v="7.7141765846947017"/>
    <n v="2.0601251335266291E-2"/>
    <n v="3.1624259472360736E-2"/>
    <n v="84947498"/>
    <n v="1472140140.3399999"/>
    <n v="2.2465132616206316"/>
    <n v="18.997838680720722"/>
    <m/>
    <n v="184"/>
    <n v="1125000"/>
    <m/>
    <m/>
    <m/>
    <s v="Le Marché des énergies renouvelables est estimé à 2 900 milliards de dollars en 2020 avec une estimation de la progression de ce marché d'environ 8,5% par an"/>
    <m/>
    <n v="3089"/>
    <s v="p"/>
    <s v="FR001167536212018"/>
    <s v="FR0011675362"/>
    <n v="1"/>
    <x v="138"/>
    <m/>
    <m/>
    <m/>
  </r>
  <r>
    <m/>
    <m/>
    <m/>
    <m/>
    <m/>
    <x v="1"/>
    <m/>
    <m/>
    <m/>
    <m/>
    <m/>
    <m/>
    <m/>
    <m/>
    <m/>
    <m/>
    <m/>
    <m/>
    <m/>
    <m/>
    <m/>
    <s v=""/>
    <m/>
    <m/>
    <m/>
    <s v="Le chiffre d'affaire provient à 43% d'Australie, Europe-Afrique à 41%, et Amérique à 15%."/>
    <m/>
    <n v="3090"/>
    <s v="p"/>
    <s v="FR00116753621"/>
    <s v="FR0011675362"/>
    <n v="1"/>
    <x v="138"/>
    <m/>
    <m/>
    <m/>
  </r>
  <r>
    <m/>
    <m/>
    <m/>
    <m/>
    <s v="IPO le 16 octobre 2018 à 16,5 euros "/>
    <x v="1"/>
    <m/>
    <m/>
    <m/>
    <m/>
    <m/>
    <m/>
    <m/>
    <m/>
    <m/>
    <m/>
    <m/>
    <m/>
    <m/>
    <m/>
    <m/>
    <s v=""/>
    <m/>
    <m/>
    <m/>
    <s v="Répartition CA par activité  : Solaire 48 %, Eolien 40 %, Stockage 10 %, Autres 2 %"/>
    <m/>
    <n v="3091"/>
    <s v="p"/>
    <s v="FR00116753621"/>
    <s v="FR0011675362"/>
    <n v="1"/>
    <x v="138"/>
    <m/>
    <m/>
    <m/>
  </r>
  <r>
    <m/>
    <m/>
    <m/>
    <m/>
    <m/>
    <x v="1"/>
    <m/>
    <m/>
    <m/>
    <m/>
    <m/>
    <m/>
    <m/>
    <m/>
    <m/>
    <m/>
    <m/>
    <m/>
    <m/>
    <m/>
    <m/>
    <s v=""/>
    <m/>
    <m/>
    <m/>
    <s v="Effectif : 213 (2019) soit un CA par salarié de 1,18M€"/>
    <m/>
    <n v="3092"/>
    <s v="p"/>
    <s v="FR00116753621"/>
    <s v="FR0011675362"/>
    <n v="1"/>
    <x v="138"/>
    <m/>
    <m/>
    <m/>
  </r>
  <r>
    <m/>
    <m/>
    <m/>
    <m/>
    <m/>
    <x v="1"/>
    <m/>
    <m/>
    <m/>
    <m/>
    <m/>
    <m/>
    <m/>
    <m/>
    <m/>
    <m/>
    <m/>
    <m/>
    <m/>
    <m/>
    <m/>
    <s v=""/>
    <m/>
    <m/>
    <m/>
    <s v="Afin de mieux répondre aux appels d'offres internationaux ils s'allient aux partenaires suivants : Bouygues, Eiffage et Schneider Electric qui assurent la construction"/>
    <m/>
    <n v="3093"/>
    <s v="p"/>
    <s v="FR00116753621"/>
    <s v="FR0011675362"/>
    <n v="1"/>
    <x v="138"/>
    <m/>
    <m/>
    <m/>
  </r>
  <r>
    <m/>
    <m/>
    <m/>
    <m/>
    <m/>
    <x v="1"/>
    <m/>
    <m/>
    <m/>
    <m/>
    <m/>
    <m/>
    <m/>
    <m/>
    <m/>
    <m/>
    <m/>
    <m/>
    <m/>
    <m/>
    <m/>
    <s v=""/>
    <m/>
    <m/>
    <m/>
    <s v="En 2017, ils ont installé la plus grande unité de stockage électrique éolien au monde en partenariat avec Tesla, ce qui explique leur forte présence en Australie."/>
    <m/>
    <n v="3094"/>
    <s v="p"/>
    <s v="FR00116753621"/>
    <s v="FR0011675362"/>
    <n v="1"/>
    <x v="138"/>
    <m/>
    <m/>
    <m/>
  </r>
  <r>
    <m/>
    <m/>
    <m/>
    <m/>
    <m/>
    <x v="1"/>
    <m/>
    <m/>
    <m/>
    <m/>
    <m/>
    <m/>
    <m/>
    <m/>
    <m/>
    <m/>
    <m/>
    <m/>
    <m/>
    <m/>
    <m/>
    <s v=""/>
    <m/>
    <m/>
    <m/>
    <s v="En 2020, répartition de la dette : 11 % à - 1 an,  23 % entre 1 et 5 ans, 65 % + de 5 ans ; 37 % Taux Fixe, 59 % Taux variable. Couverture de 75 % sur les taux variables"/>
    <m/>
    <n v="3095"/>
    <s v="p"/>
    <s v="FR00116753621"/>
    <s v="FR0011675362"/>
    <n v="1"/>
    <x v="138"/>
    <m/>
    <m/>
    <m/>
  </r>
  <r>
    <m/>
    <m/>
    <m/>
    <m/>
    <m/>
    <x v="1"/>
    <m/>
    <m/>
    <m/>
    <m/>
    <m/>
    <m/>
    <m/>
    <m/>
    <m/>
    <m/>
    <m/>
    <m/>
    <m/>
    <m/>
    <m/>
    <s v=""/>
    <m/>
    <m/>
    <m/>
    <s v="En 2021, programmes de développement important de 4-5 Gw sur les grandes zones géographiques. Portefeuille à 13 Gw au 30/6/21. Charges financières à 100 Meuros (25% du CA)"/>
    <m/>
    <n v="3096"/>
    <s v="p"/>
    <s v="FR00116753621"/>
    <s v="FR0011675362"/>
    <n v="1"/>
    <x v="138"/>
    <m/>
    <m/>
    <m/>
  </r>
  <r>
    <m/>
    <m/>
    <m/>
    <m/>
    <m/>
    <x v="1"/>
    <m/>
    <m/>
    <m/>
    <m/>
    <m/>
    <m/>
    <m/>
    <m/>
    <m/>
    <m/>
    <m/>
    <m/>
    <m/>
    <m/>
    <m/>
    <s v=""/>
    <m/>
    <m/>
    <m/>
    <s v="En 2022 au S1 : Hausse du CA + 36 %, portefeuille sécurisé de 6,2 Gw, portefeuille complet de 17,3 Gw"/>
    <m/>
    <n v="3097"/>
    <s v="p"/>
    <s v="FR00116753621"/>
    <s v="FR0011675362"/>
    <n v="1"/>
    <x v="138"/>
    <m/>
    <m/>
    <m/>
  </r>
  <r>
    <m/>
    <m/>
    <m/>
    <m/>
    <m/>
    <x v="1"/>
    <m/>
    <m/>
    <m/>
    <m/>
    <m/>
    <m/>
    <m/>
    <m/>
    <m/>
    <m/>
    <m/>
    <m/>
    <m/>
    <m/>
    <m/>
    <s v=""/>
    <m/>
    <m/>
    <m/>
    <s v="Emission dette obligataire verte, convertible en action, 300 millions d'euros échéance 2027, Remboursement anticipé de 200 millions d'obligation échéance 2024"/>
    <m/>
    <n v="3098"/>
    <s v="p"/>
    <s v="FR00116753621"/>
    <s v="FR0011675362"/>
    <n v="1"/>
    <x v="138"/>
    <m/>
    <m/>
    <m/>
  </r>
  <r>
    <m/>
    <m/>
    <m/>
    <m/>
    <m/>
    <x v="1"/>
    <m/>
    <m/>
    <m/>
    <m/>
    <m/>
    <m/>
    <m/>
    <m/>
    <m/>
    <m/>
    <m/>
    <m/>
    <m/>
    <m/>
    <m/>
    <s v=""/>
    <m/>
    <m/>
    <m/>
    <s v="À long terme, nouvelle hausse de capital (1 Md euros soit 25 millions de titres à 40 euros) dettes en hausse de 1 Md euros soit 2 Md euros pour passer à 20 Gw. CA à 800 Me - EBE à 650 Meuros et Rex à 400 Me - Frais Fi : 120 Me - RN 200 Meuros valo à 5Md - cours de bourse à 40 euros"/>
    <m/>
    <n v="3099"/>
    <s v="p"/>
    <s v="FR00116753621"/>
    <s v="FR0011675362"/>
    <n v="1"/>
    <x v="138"/>
    <m/>
    <m/>
    <m/>
  </r>
  <r>
    <m/>
    <m/>
    <m/>
    <m/>
    <m/>
    <x v="1"/>
    <m/>
    <m/>
    <m/>
    <m/>
    <m/>
    <m/>
    <m/>
    <m/>
    <m/>
    <m/>
    <m/>
    <m/>
    <m/>
    <m/>
    <m/>
    <s v=""/>
    <m/>
    <m/>
    <m/>
    <s v="En 2023, annonce des besoins en capitaux supérieurs à leur objectifs 6,2 Mds au lieu de 5,3 Mds. Hausse de capital de 750 Me à 20 euros (parité 8 pour 25), Impala suit à 75%. 10 GW en 2025 et 600 Me d'EBE puis 2GW par an pour atteindre 20 GW en 2030"/>
    <m/>
    <n v="3100"/>
    <s v="p"/>
    <s v="FR00116753621"/>
    <s v="FR0011675362"/>
    <n v="1"/>
    <x v="138"/>
    <m/>
    <m/>
    <m/>
  </r>
  <r>
    <m/>
    <m/>
    <m/>
    <m/>
    <m/>
    <x v="1"/>
    <m/>
    <m/>
    <m/>
    <m/>
    <m/>
    <m/>
    <m/>
    <m/>
    <m/>
    <m/>
    <m/>
    <m/>
    <m/>
    <m/>
    <m/>
    <s v=""/>
    <m/>
    <m/>
    <m/>
    <s v="Minoritaire : négligeable"/>
    <m/>
    <n v="3101"/>
    <s v="p"/>
    <s v="FR00116753621"/>
    <s v="FR0011675362"/>
    <n v="1"/>
    <x v="138"/>
    <m/>
    <m/>
    <m/>
  </r>
  <r>
    <m/>
    <m/>
    <m/>
    <m/>
    <m/>
    <x v="1"/>
    <m/>
    <m/>
    <m/>
    <m/>
    <m/>
    <m/>
    <m/>
    <m/>
    <m/>
    <m/>
    <m/>
    <m/>
    <m/>
    <m/>
    <m/>
    <s v=""/>
    <m/>
    <m/>
    <m/>
    <s v="CAC : Deloitte, RSM"/>
    <m/>
    <n v="3102"/>
    <s v="p"/>
    <s v="FR00116753621"/>
    <s v="FR0011675362"/>
    <n v="1"/>
    <x v="138"/>
    <m/>
    <m/>
    <m/>
  </r>
  <r>
    <m/>
    <m/>
    <m/>
    <m/>
    <m/>
    <x v="1"/>
    <m/>
    <m/>
    <m/>
    <m/>
    <m/>
    <m/>
    <m/>
    <m/>
    <m/>
    <m/>
    <m/>
    <m/>
    <m/>
    <m/>
    <m/>
    <s v=""/>
    <m/>
    <m/>
    <m/>
    <s v="Pay out ratio : 10% "/>
    <m/>
    <n v="3103"/>
    <s v="p"/>
    <s v="FR00116753621"/>
    <s v="FR0011675362"/>
    <n v="1"/>
    <x v="138"/>
    <m/>
    <m/>
    <m/>
  </r>
  <r>
    <m/>
    <m/>
    <m/>
    <m/>
    <m/>
    <x v="1"/>
    <m/>
    <m/>
    <m/>
    <m/>
    <m/>
    <m/>
    <m/>
    <m/>
    <m/>
    <m/>
    <m/>
    <m/>
    <m/>
    <m/>
    <m/>
    <s v=""/>
    <m/>
    <m/>
    <m/>
    <m/>
    <m/>
    <n v="3104"/>
    <s v="p"/>
    <s v="FR00116753621"/>
    <s v="FR0011675362"/>
    <n v="1"/>
    <x v="138"/>
    <m/>
    <m/>
    <m/>
  </r>
  <r>
    <m/>
    <m/>
    <m/>
    <m/>
    <m/>
    <x v="1"/>
    <m/>
    <m/>
    <m/>
    <m/>
    <m/>
    <m/>
    <m/>
    <m/>
    <m/>
    <m/>
    <m/>
    <m/>
    <m/>
    <m/>
    <m/>
    <s v=""/>
    <m/>
    <m/>
    <m/>
    <m/>
    <m/>
    <n v="3105"/>
    <s v="p"/>
    <s v="FR00116753621"/>
    <s v="FR0011675362"/>
    <n v="1"/>
    <x v="138"/>
    <m/>
    <m/>
    <m/>
  </r>
  <r>
    <m/>
    <m/>
    <m/>
    <m/>
    <m/>
    <x v="1"/>
    <m/>
    <m/>
    <m/>
    <m/>
    <m/>
    <m/>
    <m/>
    <m/>
    <m/>
    <m/>
    <m/>
    <m/>
    <m/>
    <m/>
    <m/>
    <s v=""/>
    <m/>
    <m/>
    <m/>
    <m/>
    <m/>
    <n v="3106"/>
    <s v="p"/>
    <s v="FR00116753621"/>
    <s v="FR0011675362"/>
    <n v="1"/>
    <x v="138"/>
    <m/>
    <m/>
    <m/>
  </r>
  <r>
    <m/>
    <m/>
    <m/>
    <m/>
    <m/>
    <x v="1"/>
    <m/>
    <m/>
    <m/>
    <m/>
    <m/>
    <m/>
    <m/>
    <m/>
    <m/>
    <m/>
    <m/>
    <m/>
    <m/>
    <m/>
    <m/>
    <s v=""/>
    <m/>
    <m/>
    <m/>
    <m/>
    <m/>
    <n v="3107"/>
    <s v="p"/>
    <s v="FR00116753621"/>
    <s v="FR0011675362"/>
    <n v="1"/>
    <x v="138"/>
    <m/>
    <m/>
    <m/>
  </r>
  <r>
    <m/>
    <m/>
    <m/>
    <m/>
    <m/>
    <x v="1"/>
    <m/>
    <m/>
    <m/>
    <m/>
    <m/>
    <m/>
    <m/>
    <m/>
    <m/>
    <m/>
    <m/>
    <m/>
    <m/>
    <m/>
    <m/>
    <s v=""/>
    <m/>
    <m/>
    <m/>
    <m/>
    <m/>
    <n v="3108"/>
    <s v="p"/>
    <s v="FR00116753621"/>
    <s v="FR0011675362"/>
    <n v="1"/>
    <x v="138"/>
    <m/>
    <m/>
    <m/>
  </r>
  <r>
    <m/>
    <m/>
    <m/>
    <m/>
    <m/>
    <x v="1"/>
    <m/>
    <m/>
    <m/>
    <m/>
    <m/>
    <m/>
    <m/>
    <m/>
    <m/>
    <m/>
    <m/>
    <m/>
    <m/>
    <m/>
    <m/>
    <s v=""/>
    <m/>
    <m/>
    <m/>
    <m/>
    <m/>
    <n v="3109"/>
    <s v="p"/>
    <s v="FR00116753621"/>
    <s v="FR0011675362"/>
    <n v="1"/>
    <x v="138"/>
    <m/>
    <m/>
    <m/>
  </r>
  <r>
    <m/>
    <m/>
    <m/>
    <m/>
    <m/>
    <x v="1"/>
    <m/>
    <m/>
    <m/>
    <m/>
    <m/>
    <m/>
    <m/>
    <m/>
    <m/>
    <m/>
    <m/>
    <m/>
    <m/>
    <m/>
    <m/>
    <s v=""/>
    <m/>
    <m/>
    <m/>
    <m/>
    <m/>
    <n v="3110"/>
    <s v="p"/>
    <s v="FR00116753621"/>
    <s v="FR0011675362"/>
    <n v="1"/>
    <x v="138"/>
    <m/>
    <m/>
    <m/>
  </r>
  <r>
    <s v="Voltalia"/>
    <s v="Production d'energies renouvelables"/>
    <s v="France"/>
    <s v="Euro"/>
    <n v="17.059999999999999"/>
    <x v="2"/>
    <m/>
    <m/>
    <m/>
    <m/>
    <m/>
    <m/>
    <m/>
    <m/>
    <m/>
    <n v="131140944"/>
    <n v="2237264504.6399999"/>
    <m/>
    <m/>
    <m/>
    <m/>
    <s v=""/>
    <m/>
    <m/>
    <m/>
    <s v="Société créée en 2005 détenue par la famille Mulliez à 69,5% et introduite en bourse en 2014 à 8,60 €"/>
    <m/>
    <n v="3111"/>
    <e v="#N/A"/>
    <s v="FR001199558812022"/>
    <s v="FR0011995588"/>
    <n v="1"/>
    <x v="139"/>
    <m/>
    <m/>
    <m/>
  </r>
  <r>
    <m/>
    <m/>
    <m/>
    <m/>
    <m/>
    <x v="1"/>
    <m/>
    <m/>
    <m/>
    <m/>
    <m/>
    <m/>
    <m/>
    <m/>
    <m/>
    <m/>
    <m/>
    <m/>
    <m/>
    <m/>
    <m/>
    <s v=""/>
    <m/>
    <m/>
    <m/>
    <s v="Répartition du CA basé sur deux activités : Prestation de service 60 % et Production d'energie 40 % du CA"/>
    <m/>
    <n v="3112"/>
    <e v="#N/A"/>
    <s v="FR00119955881"/>
    <s v="FR0011995588"/>
    <n v="1"/>
    <x v="139"/>
    <m/>
    <m/>
    <m/>
  </r>
  <r>
    <m/>
    <m/>
    <m/>
    <m/>
    <n v="19.66"/>
    <x v="3"/>
    <n v="461324000"/>
    <n v="137597000"/>
    <n v="61882000"/>
    <n v="-1323000"/>
    <n v="758628000"/>
    <n v="671796000"/>
    <n v="7.0437155004771048"/>
    <n v="-1.9693478377364559E-3"/>
    <n v="3.0282909123448713E-2"/>
    <n v="95375232"/>
    <n v="1875077061.1200001"/>
    <n v="2.7911405562402876"/>
    <n v="19.140715721418346"/>
    <m/>
    <n v="1300"/>
    <n v="354864.61538461538"/>
    <m/>
    <m/>
    <m/>
    <s v="Taux de marge par activité : 62 % pour la production d'énergie et 12 % pour les Services"/>
    <m/>
    <n v="3113"/>
    <e v="#N/A"/>
    <s v="FR001199558812021"/>
    <s v="FR0011995588"/>
    <n v="1"/>
    <x v="139"/>
    <m/>
    <m/>
    <m/>
  </r>
  <r>
    <m/>
    <m/>
    <m/>
    <m/>
    <m/>
    <x v="1"/>
    <n v="0.97605554770257474"/>
    <n v="0.41177255191660511"/>
    <n v="0.41457504686142732"/>
    <n v="-1.1669611307420495"/>
    <m/>
    <m/>
    <m/>
    <m/>
    <m/>
    <m/>
    <m/>
    <m/>
    <m/>
    <m/>
    <m/>
    <s v=""/>
    <m/>
    <m/>
    <m/>
    <s v="En 2019, augmentation de capital de 376 millions d'euros, Prix unitaire de 9,20 € par action nouvelle, (40 Millions d'actions nouvelles)"/>
    <m/>
    <n v="3114"/>
    <e v="#N/A"/>
    <s v="FR00119955881"/>
    <s v="FR0011995588"/>
    <n v="1"/>
    <x v="139"/>
    <m/>
    <m/>
    <m/>
  </r>
  <r>
    <m/>
    <m/>
    <m/>
    <m/>
    <n v="25.85"/>
    <x v="4"/>
    <n v="233457000"/>
    <n v="97464000"/>
    <n v="43746000"/>
    <n v="7924000"/>
    <n v="619000000"/>
    <n v="640375000"/>
    <n v="6.7162671803504139"/>
    <n v="1.2373999609603748E-2"/>
    <n v="2.4315394540942926E-2"/>
    <n v="95346862"/>
    <n v="2464716382.7000003"/>
    <n v="3.848864154128441"/>
    <n v="31.63954262804728"/>
    <m/>
    <m/>
    <s v=""/>
    <m/>
    <m/>
    <m/>
    <s v="En 2022, augmentation de capital avec 37,5% d'actions supplémentaires à 13,70 euros pour 490 M euros"/>
    <m/>
    <n v="3115"/>
    <e v="#N/A"/>
    <s v="FR001199558812020"/>
    <s v="FR0011995588"/>
    <n v="1"/>
    <x v="139"/>
    <m/>
    <m/>
    <m/>
  </r>
  <r>
    <m/>
    <m/>
    <m/>
    <m/>
    <m/>
    <x v="1"/>
    <n v="0.33046674645238494"/>
    <n v="0.4973268604436798"/>
    <n v="0.2275444060947891"/>
    <n v="0.71255673222390326"/>
    <m/>
    <m/>
    <m/>
    <m/>
    <m/>
    <m/>
    <m/>
    <m/>
    <m/>
    <m/>
    <m/>
    <s v=""/>
    <m/>
    <m/>
    <m/>
    <m/>
    <m/>
    <n v="3116"/>
    <e v="#N/A"/>
    <s v="FR00119955881"/>
    <s v="FR0011995588"/>
    <n v="1"/>
    <x v="139"/>
    <m/>
    <m/>
    <m/>
  </r>
  <r>
    <m/>
    <m/>
    <m/>
    <m/>
    <n v="13.05"/>
    <x v="5"/>
    <n v="175470000"/>
    <n v="65092000"/>
    <n v="35637000"/>
    <n v="4627000"/>
    <n v="386000000"/>
    <n v="708897000"/>
    <n v="7.440318662356658"/>
    <n v="6.527041305013281E-3"/>
    <n v="2.2783786968089234E-2"/>
    <n v="95277774"/>
    <n v="1243374950.7"/>
    <n v="1.7539571343932898"/>
    <n v="25.03187719996313"/>
    <m/>
    <m/>
    <s v=""/>
    <m/>
    <m/>
    <m/>
    <m/>
    <m/>
    <n v="3117"/>
    <e v="#N/A"/>
    <s v="FR001199558812019"/>
    <s v="FR0011995588"/>
    <n v="1"/>
    <x v="139"/>
    <m/>
    <m/>
    <m/>
  </r>
  <r>
    <m/>
    <m/>
    <m/>
    <m/>
    <m/>
    <x v="1"/>
    <n v="-2.8727997343075407E-2"/>
    <n v="-0.14587515910194337"/>
    <n v="-0.24552229326332731"/>
    <n v="-0.45724340175953082"/>
    <m/>
    <m/>
    <m/>
    <m/>
    <m/>
    <m/>
    <m/>
    <m/>
    <m/>
    <m/>
    <m/>
    <s v=""/>
    <m/>
    <m/>
    <m/>
    <m/>
    <m/>
    <n v="3118"/>
    <e v="#N/A"/>
    <s v="FR00119955881"/>
    <s v="FR0011995588"/>
    <n v="1"/>
    <x v="139"/>
    <m/>
    <m/>
    <m/>
  </r>
  <r>
    <m/>
    <m/>
    <m/>
    <m/>
    <n v="7.99"/>
    <x v="6"/>
    <n v="180660000"/>
    <n v="76209000"/>
    <n v="47234000"/>
    <n v="8525000"/>
    <n v="397000000"/>
    <n v="317624000"/>
    <e v="#DIV/0!"/>
    <n v="2.6839911341712212E-2"/>
    <n v="4.6267407755686898E-2"/>
    <m/>
    <m/>
    <m/>
    <m/>
    <m/>
    <m/>
    <s v=""/>
    <m/>
    <m/>
    <m/>
    <m/>
    <m/>
    <n v="3119"/>
    <e v="#N/A"/>
    <s v="FR001199558812018"/>
    <s v="FR0011995588"/>
    <n v="1"/>
    <x v="139"/>
    <m/>
    <m/>
    <m/>
  </r>
  <r>
    <m/>
    <m/>
    <m/>
    <m/>
    <m/>
    <x v="1"/>
    <m/>
    <m/>
    <m/>
    <m/>
    <m/>
    <m/>
    <m/>
    <m/>
    <m/>
    <m/>
    <m/>
    <m/>
    <m/>
    <m/>
    <m/>
    <s v=""/>
    <m/>
    <m/>
    <m/>
    <m/>
    <m/>
    <n v="3120"/>
    <e v="#N/A"/>
    <s v="FR00119955881"/>
    <s v="FR0011995588"/>
    <n v="1"/>
    <x v="139"/>
    <m/>
    <m/>
    <m/>
  </r>
  <r>
    <m/>
    <m/>
    <m/>
    <m/>
    <s v="IPO en 2014 à 8,6 euros "/>
    <x v="1"/>
    <m/>
    <m/>
    <m/>
    <m/>
    <m/>
    <m/>
    <m/>
    <m/>
    <m/>
    <m/>
    <m/>
    <m/>
    <m/>
    <m/>
    <m/>
    <s v=""/>
    <m/>
    <m/>
    <m/>
    <m/>
    <m/>
    <n v="3121"/>
    <e v="#N/A"/>
    <s v="FR00119955881"/>
    <s v="FR0011995588"/>
    <n v="1"/>
    <x v="139"/>
    <m/>
    <m/>
    <m/>
  </r>
  <r>
    <m/>
    <m/>
    <m/>
    <m/>
    <m/>
    <x v="1"/>
    <m/>
    <m/>
    <m/>
    <m/>
    <m/>
    <m/>
    <m/>
    <m/>
    <m/>
    <m/>
    <m/>
    <m/>
    <m/>
    <m/>
    <m/>
    <s v=""/>
    <m/>
    <m/>
    <m/>
    <m/>
    <m/>
    <n v="3122"/>
    <e v="#N/A"/>
    <s v="FR00119955881"/>
    <s v="FR0011995588"/>
    <n v="1"/>
    <x v="139"/>
    <m/>
    <m/>
    <m/>
  </r>
  <r>
    <m/>
    <m/>
    <m/>
    <m/>
    <m/>
    <x v="1"/>
    <m/>
    <m/>
    <m/>
    <m/>
    <m/>
    <m/>
    <m/>
    <m/>
    <m/>
    <m/>
    <m/>
    <m/>
    <m/>
    <m/>
    <m/>
    <s v=""/>
    <m/>
    <m/>
    <m/>
    <m/>
    <m/>
    <n v="3123"/>
    <e v="#N/A"/>
    <s v=""/>
    <m/>
    <m/>
    <x v="52"/>
    <m/>
    <m/>
    <m/>
  </r>
  <r>
    <m/>
    <m/>
    <m/>
    <m/>
    <m/>
    <x v="1"/>
    <m/>
    <m/>
    <m/>
    <m/>
    <m/>
    <m/>
    <m/>
    <m/>
    <m/>
    <m/>
    <m/>
    <m/>
    <m/>
    <m/>
    <m/>
    <s v=""/>
    <m/>
    <m/>
    <m/>
    <m/>
    <m/>
    <n v="3124"/>
    <e v="#N/A"/>
    <s v=""/>
    <m/>
    <m/>
    <x v="52"/>
    <m/>
    <m/>
    <m/>
  </r>
  <r>
    <m/>
    <m/>
    <m/>
    <m/>
    <m/>
    <x v="1"/>
    <m/>
    <m/>
    <m/>
    <m/>
    <m/>
    <m/>
    <m/>
    <m/>
    <m/>
    <m/>
    <m/>
    <m/>
    <m/>
    <m/>
    <m/>
    <s v=""/>
    <m/>
    <m/>
    <m/>
    <m/>
    <m/>
    <n v="3125"/>
    <e v="#N/A"/>
    <s v=""/>
    <m/>
    <m/>
    <x v="52"/>
    <m/>
    <m/>
    <m/>
  </r>
  <r>
    <m/>
    <m/>
    <m/>
    <m/>
    <m/>
    <x v="1"/>
    <m/>
    <m/>
    <m/>
    <m/>
    <m/>
    <m/>
    <m/>
    <m/>
    <m/>
    <m/>
    <m/>
    <m/>
    <m/>
    <m/>
    <m/>
    <s v=""/>
    <m/>
    <m/>
    <m/>
    <m/>
    <m/>
    <n v="3126"/>
    <e v="#N/A"/>
    <s v=""/>
    <m/>
    <m/>
    <x v="52"/>
    <m/>
    <m/>
    <m/>
  </r>
  <r>
    <m/>
    <m/>
    <m/>
    <m/>
    <m/>
    <x v="1"/>
    <m/>
    <m/>
    <m/>
    <m/>
    <m/>
    <m/>
    <m/>
    <m/>
    <m/>
    <m/>
    <m/>
    <m/>
    <m/>
    <m/>
    <m/>
    <s v=""/>
    <m/>
    <m/>
    <m/>
    <m/>
    <m/>
    <n v="3127"/>
    <e v="#N/A"/>
    <m/>
    <m/>
    <m/>
    <x v="52"/>
    <m/>
    <m/>
    <m/>
  </r>
  <r>
    <m/>
    <m/>
    <m/>
    <m/>
    <m/>
    <x v="1"/>
    <m/>
    <m/>
    <m/>
    <m/>
    <m/>
    <m/>
    <m/>
    <m/>
    <m/>
    <m/>
    <m/>
    <m/>
    <m/>
    <m/>
    <m/>
    <s v=""/>
    <m/>
    <m/>
    <m/>
    <m/>
    <m/>
    <n v="3128"/>
    <e v="#N/A"/>
    <s v=""/>
    <m/>
    <m/>
    <x v="52"/>
    <m/>
    <m/>
    <m/>
  </r>
  <r>
    <m/>
    <m/>
    <m/>
    <m/>
    <m/>
    <x v="1"/>
    <m/>
    <m/>
    <m/>
    <m/>
    <m/>
    <m/>
    <m/>
    <m/>
    <m/>
    <m/>
    <m/>
    <m/>
    <m/>
    <m/>
    <m/>
    <s v=""/>
    <m/>
    <m/>
    <m/>
    <m/>
    <m/>
    <n v="3129"/>
    <e v="#N/A"/>
    <s v=""/>
    <m/>
    <m/>
    <x v="52"/>
    <m/>
    <m/>
    <m/>
  </r>
  <r>
    <m/>
    <m/>
    <m/>
    <m/>
    <m/>
    <x v="1"/>
    <m/>
    <m/>
    <m/>
    <m/>
    <m/>
    <m/>
    <m/>
    <m/>
    <m/>
    <m/>
    <m/>
    <m/>
    <m/>
    <m/>
    <m/>
    <s v=""/>
    <m/>
    <m/>
    <m/>
    <m/>
    <m/>
    <n v="3130"/>
    <e v="#N/A"/>
    <s v=""/>
    <m/>
    <m/>
    <x v="52"/>
    <m/>
    <m/>
    <m/>
  </r>
  <r>
    <m/>
    <m/>
    <m/>
    <m/>
    <m/>
    <x v="1"/>
    <m/>
    <m/>
    <m/>
    <m/>
    <m/>
    <m/>
    <m/>
    <m/>
    <m/>
    <m/>
    <m/>
    <m/>
    <m/>
    <m/>
    <m/>
    <s v=""/>
    <m/>
    <m/>
    <m/>
    <m/>
    <m/>
    <n v="3131"/>
    <e v="#N/A"/>
    <m/>
    <m/>
    <m/>
    <x v="52"/>
    <m/>
    <m/>
    <m/>
  </r>
  <r>
    <m/>
    <m/>
    <m/>
    <m/>
    <m/>
    <x v="1"/>
    <m/>
    <m/>
    <m/>
    <m/>
    <m/>
    <m/>
    <m/>
    <m/>
    <m/>
    <m/>
    <m/>
    <m/>
    <m/>
    <m/>
    <m/>
    <s v=""/>
    <m/>
    <m/>
    <m/>
    <m/>
    <m/>
    <n v="3132"/>
    <e v="#N/A"/>
    <m/>
    <m/>
    <m/>
    <x v="52"/>
    <m/>
    <m/>
    <m/>
  </r>
  <r>
    <s v="Nexity"/>
    <s v="Immobilier"/>
    <s v="France"/>
    <s v="Euro"/>
    <m/>
    <x v="0"/>
    <m/>
    <m/>
    <m/>
    <m/>
    <m/>
    <m/>
    <m/>
    <m/>
    <m/>
    <m/>
    <m/>
    <m/>
    <m/>
    <m/>
    <m/>
    <s v=""/>
    <m/>
    <m/>
    <m/>
    <m/>
    <m/>
    <n v="3133"/>
    <n v="0"/>
    <s v="FR001011252412023"/>
    <s v="FR0010112524"/>
    <n v="1"/>
    <x v="140"/>
    <m/>
    <m/>
    <m/>
  </r>
  <r>
    <m/>
    <m/>
    <m/>
    <m/>
    <m/>
    <x v="1"/>
    <m/>
    <m/>
    <m/>
    <m/>
    <m/>
    <m/>
    <m/>
    <m/>
    <m/>
    <m/>
    <m/>
    <m/>
    <m/>
    <m/>
    <m/>
    <s v=""/>
    <m/>
    <m/>
    <s v="Vente d'immobilier neuf France"/>
    <m/>
    <m/>
    <n v="3134"/>
    <n v="0"/>
    <s v="FR00101125241"/>
    <s v="FR0010112524"/>
    <n v="1"/>
    <x v="140"/>
    <m/>
    <m/>
    <m/>
  </r>
  <r>
    <m/>
    <m/>
    <m/>
    <m/>
    <n v="26.06"/>
    <x v="2"/>
    <n v="4704000000"/>
    <n v="520000000"/>
    <n v="367000000"/>
    <n v="188000000"/>
    <n v="1627100000"/>
    <n v="1974000000"/>
    <n v="35.168532095401005"/>
    <n v="9.5238095238095233E-2"/>
    <n v="7.1339312987698189E-2"/>
    <n v="56129724"/>
    <n v="1462740607.4399998"/>
    <n v="0.74100334723404249"/>
    <n v="5.9420011681538449"/>
    <m/>
    <n v="8500"/>
    <n v="553411.76470588241"/>
    <n v="-4000000"/>
    <s v="E=-1"/>
    <n v="120000"/>
    <s v="Fondée en 2000 par Alain Dinin (au Conseil d'administration), Stéphane Richard et Jean-Louis Charon, Nexity intervient sur l’ensemble des métiers de la promotion et des services immobiliers."/>
    <m/>
    <n v="3135"/>
    <n v="0"/>
    <s v="FR001011252412022"/>
    <s v="FR0010112524"/>
    <n v="1"/>
    <x v="140"/>
    <m/>
    <m/>
    <m/>
  </r>
  <r>
    <m/>
    <m/>
    <m/>
    <m/>
    <m/>
    <x v="1"/>
    <n v="-2.7496382054992718E-2"/>
    <n v="-7.6212471131639759E-2"/>
    <n v="-1.0781671159029615E-2"/>
    <n v="-0.42153846153846153"/>
    <m/>
    <m/>
    <m/>
    <m/>
    <m/>
    <m/>
    <m/>
    <m/>
    <m/>
    <m/>
    <m/>
    <s v=""/>
    <m/>
    <s v="S = 1"/>
    <m/>
    <s v="Introduit en bourse en octobre 2004 à 17,90 euros pour 29,8 Millions de titres (soit une capitalisation de 535 M euros). Sortie des fonds LBO France, CDC Equity et Lehman"/>
    <m/>
    <n v="3136"/>
    <n v="0"/>
    <s v="FR00101125241"/>
    <s v="FR0010112524"/>
    <n v="1"/>
    <x v="140"/>
    <m/>
    <m/>
    <m/>
  </r>
  <r>
    <m/>
    <m/>
    <m/>
    <m/>
    <n v="41.16"/>
    <x v="3"/>
    <n v="4837000000"/>
    <n v="562900000"/>
    <n v="371000000"/>
    <n v="325000000"/>
    <n v="1223800000"/>
    <n v="1928600000"/>
    <n v="34.359691488951555"/>
    <n v="0.16851602198485949"/>
    <n v="8.2381677452099983E-2"/>
    <n v="56129724"/>
    <n v="2310299439.8399997"/>
    <n v="1.1979152959867259"/>
    <n v="6.2783788236631723"/>
    <m/>
    <n v="8000"/>
    <n v="604625"/>
    <n v="-219000000"/>
    <s v="G = 2"/>
    <n v="165000"/>
    <s v="Actionnaires : Crédit Mutuel Arkéa (5,3%), Alain Dinin et autres managers (14,7%), FCPE et autres salariés (3,3%), Crédit agricole et assurances (6,4%) et flottant (68,6%)"/>
    <m/>
    <n v="3137"/>
    <n v="0"/>
    <s v="FR001011252412021"/>
    <s v="FR0010112524"/>
    <n v="1"/>
    <x v="140"/>
    <m/>
    <m/>
    <m/>
  </r>
  <r>
    <m/>
    <m/>
    <m/>
    <m/>
    <m/>
    <x v="1"/>
    <n v="-3.6338423376723883E-3"/>
    <n v="7.076279246718653E-2"/>
    <n v="0.30038555906063791"/>
    <n v="1.75190516511431"/>
    <m/>
    <m/>
    <m/>
    <m/>
    <m/>
    <m/>
    <m/>
    <m/>
    <m/>
    <m/>
    <m/>
    <s v=""/>
    <m/>
    <m/>
    <m/>
    <s v="Nexity opère en majoritairement en France (numéro 1), mais aussi en Belgique, Italie, Suisse et Pologne. Démarrage de l'activité en Allemagne en mars 2020 suite à l'acquisition de Pantera AG (300 M euros de CA attendu en 2021)"/>
    <m/>
    <n v="3138"/>
    <n v="0"/>
    <s v="FR00101125241"/>
    <s v="FR0010112524"/>
    <n v="1"/>
    <x v="140"/>
    <m/>
    <m/>
    <m/>
  </r>
  <r>
    <m/>
    <m/>
    <m/>
    <m/>
    <n v="35.64"/>
    <x v="4"/>
    <n v="4854641000"/>
    <n v="525700000"/>
    <n v="285300000"/>
    <n v="118100000"/>
    <n v="1015400000"/>
    <n v="1729700000"/>
    <n v="30.816114470828325"/>
    <n v="6.8277736023587901E-2"/>
    <n v="7.2751448034679977E-2"/>
    <n v="56129724"/>
    <n v="2000463363.3600001"/>
    <n v="1.1565377599352489"/>
    <n v="5.7368525078181474"/>
    <m/>
    <n v="10093"/>
    <n v="480990.88477162388"/>
    <n v="559000000"/>
    <m/>
    <m/>
    <s v="Direction : Alain Dinin (PDG), Luce Gendry (Vice-Présidente), Véronique Bédague (Directrice général déléguée), Julien Carmora (Directeur général délégué)"/>
    <m/>
    <n v="3139"/>
    <n v="0"/>
    <s v="FR001011252412020"/>
    <s v="FR0010112524"/>
    <n v="1"/>
    <x v="140"/>
    <m/>
    <m/>
    <m/>
  </r>
  <r>
    <m/>
    <m/>
    <m/>
    <m/>
    <m/>
    <x v="1"/>
    <n v="7.9096870276518239E-2"/>
    <n v="-8.2387851282946456E-2"/>
    <n v="-0.19224235560588898"/>
    <n v="-0.26509023024268819"/>
    <m/>
    <m/>
    <m/>
    <m/>
    <m/>
    <m/>
    <m/>
    <m/>
    <m/>
    <m/>
    <m/>
    <s v=""/>
    <m/>
    <m/>
    <m/>
    <s v="Répartition de l'activité : Promotion immobilière résidentiel 60% (-4,6% sur 2019), Promotion immobilière d'entreprise 18,5% (+138% sur 2019), Services 21,5% (-2% sur 2019). 876 000 lots administré en 2020"/>
    <m/>
    <n v="3140"/>
    <n v="0"/>
    <s v="FR00101125241"/>
    <s v="FR0010112524"/>
    <n v="1"/>
    <x v="140"/>
    <m/>
    <m/>
    <m/>
  </r>
  <r>
    <m/>
    <m/>
    <m/>
    <m/>
    <n v="44"/>
    <x v="5"/>
    <n v="4498800000"/>
    <n v="572900000"/>
    <n v="353200000"/>
    <n v="160700000"/>
    <n v="1700400000"/>
    <n v="1746700000"/>
    <n v="31.118984301437148"/>
    <n v="9.2002061029369669E-2"/>
    <n v="7.172405790374517E-2"/>
    <n v="56129724"/>
    <n v="2469707856"/>
    <n v="1.4139278960325186"/>
    <n v="7.278945463431663"/>
    <m/>
    <n v="11003"/>
    <n v="408870.30809779151"/>
    <n v="229700000"/>
    <m/>
    <m/>
    <s v="Concurrence : Bouygues immobilier, Eiffage construction, Altarea Cogedim, Kaufman &amp; Broad (1 Md euros de CA et 30 M euros de RN), Hexaom. Part de marché de Nexity : 14%, Icade"/>
    <m/>
    <n v="3141"/>
    <n v="0"/>
    <s v="FR001011252412019"/>
    <s v="FR0010112524"/>
    <n v="1"/>
    <x v="140"/>
    <m/>
    <m/>
    <m/>
  </r>
  <r>
    <m/>
    <m/>
    <m/>
    <m/>
    <m/>
    <x v="1"/>
    <n v="8.7980652962515116E-2"/>
    <n v="9.5411089866156873E-2"/>
    <n v="-0.21841115290993585"/>
    <n v="-0.41964608161791261"/>
    <m/>
    <m/>
    <m/>
    <m/>
    <m/>
    <m/>
    <m/>
    <m/>
    <m/>
    <m/>
    <m/>
    <s v=""/>
    <m/>
    <m/>
    <m/>
    <s v="En 2018, acquisition de Ægide-Domitys et norme IFRS 16 (810 Millions d'€) ont augmenté le poids de la dette de 1,2 Md euros"/>
    <m/>
    <n v="3142"/>
    <n v="0"/>
    <s v="FR00101125241"/>
    <s v="FR0010112524"/>
    <n v="1"/>
    <x v="140"/>
    <m/>
    <m/>
    <m/>
  </r>
  <r>
    <m/>
    <m/>
    <m/>
    <m/>
    <n v="39.299999999999997"/>
    <x v="6"/>
    <n v="4135000000"/>
    <n v="523000000"/>
    <n v="451900000"/>
    <n v="276900000"/>
    <n v="1566000000"/>
    <n v="1754858000"/>
    <n v="31.264326188384608"/>
    <n v="0.15779054487599567"/>
    <n v="9.5255503246450171E-2"/>
    <n v="56129724"/>
    <n v="2205898153.1999998"/>
    <n v="1.2570237325185285"/>
    <n v="7.2120423579349904"/>
    <m/>
    <n v="10093"/>
    <n v="409689.8840780739"/>
    <n v="234400000"/>
    <m/>
    <m/>
    <s v="En 2020, répartition géographique de l'activité  France (98 %) International 2 % (Allemagne, Belgique, Italie, Pologne, Portugal, Suisse)"/>
    <m/>
    <n v="3143"/>
    <n v="0"/>
    <s v="FR001011252412018"/>
    <s v="FR0010112524"/>
    <n v="1"/>
    <x v="140"/>
    <m/>
    <m/>
    <m/>
  </r>
  <r>
    <m/>
    <m/>
    <m/>
    <m/>
    <m/>
    <x v="1"/>
    <n v="0.1579389526743209"/>
    <n v="0.13547546678245759"/>
    <n v="0.33737792246226683"/>
    <n v="0.51559934318555012"/>
    <m/>
    <m/>
    <m/>
    <m/>
    <m/>
    <m/>
    <m/>
    <m/>
    <m/>
    <m/>
    <m/>
    <s v=""/>
    <m/>
    <m/>
    <m/>
    <s v="En 2020, particulier : ventes de 21 077 lots pour 4,515 Md euros (soit 214 K euros par lot) et immobilier d'entreprise : 500 M euros . Marché en transformation sur lequel souhaite rester Nexity"/>
    <m/>
    <n v="3144"/>
    <n v="0"/>
    <s v="FR00101125241"/>
    <s v="FR0010112524"/>
    <n v="1"/>
    <x v="140"/>
    <m/>
    <m/>
    <m/>
  </r>
  <r>
    <m/>
    <m/>
    <m/>
    <m/>
    <n v="49.6"/>
    <x v="7"/>
    <n v="3571000000"/>
    <n v="460600000"/>
    <n v="337900000"/>
    <n v="182700000"/>
    <n v="305500000"/>
    <n v="1666523000"/>
    <n v="29.739836325906563"/>
    <n v="0.10962945005859505"/>
    <n v="0.11994282013952168"/>
    <n v="56036724"/>
    <n v="2779421510.4000001"/>
    <n v="1.667796670312981"/>
    <n v="6.6976150898827616"/>
    <m/>
    <n v="7276"/>
    <n v="490791.64376030787"/>
    <n v="188700000"/>
    <m/>
    <m/>
    <s v="Nexity va vendre 45% d'Aegide-Domitys (résidence pour senior) à AG2R pour 375 M euros. Structure ad hoc détenue par Ag2R (67%) - Nexity (18%) et les fondateurs (JMF Conseil : 15%). Pas de plus value réalisée sur la cession"/>
    <m/>
    <n v="3145"/>
    <n v="0"/>
    <s v="FR001011252412017"/>
    <s v="FR0010112524"/>
    <n v="1"/>
    <x v="140"/>
    <m/>
    <m/>
    <m/>
  </r>
  <r>
    <m/>
    <m/>
    <m/>
    <m/>
    <m/>
    <x v="1"/>
    <n v="0.20033613445378151"/>
    <n v="0.49313727397091522"/>
    <n v="0.3575733226195259"/>
    <n v="0.28300561797752799"/>
    <m/>
    <m/>
    <m/>
    <m/>
    <m/>
    <m/>
    <m/>
    <m/>
    <m/>
    <m/>
    <m/>
    <s v=""/>
    <m/>
    <m/>
    <m/>
    <s v="En 2021, niveau d'activité en hausse avec près de 21000 logements neufs (tendance des dernières) et le rebond des services (+11%) "/>
    <m/>
    <n v="3146"/>
    <n v="0"/>
    <s v="FR00101125241"/>
    <s v="FR0010112524"/>
    <n v="1"/>
    <x v="140"/>
    <m/>
    <m/>
    <m/>
  </r>
  <r>
    <m/>
    <m/>
    <m/>
    <m/>
    <n v="44.5"/>
    <x v="8"/>
    <n v="2975000000"/>
    <n v="308478000"/>
    <n v="248900000"/>
    <n v="142400000"/>
    <n v="311803000"/>
    <n v="1594138000"/>
    <n v="29.085309351500456"/>
    <n v="8.9327272795705265E-2"/>
    <n v="9.1414162348152431E-2"/>
    <n v="54809044"/>
    <n v="2439002458"/>
    <n v="1.5299820078311914"/>
    <n v="8.9173472921893939"/>
    <m/>
    <n v="7032"/>
    <n v="423065.98407281004"/>
    <n v="185500000"/>
    <m/>
    <m/>
    <s v="Cession d'Aegide-Domitys et du réseau de franchisés Century 21 d'où la baisse de l'endettement"/>
    <m/>
    <n v="3147"/>
    <n v="0"/>
    <s v="FR001011252412016"/>
    <s v="FR0010112524"/>
    <n v="1"/>
    <x v="140"/>
    <m/>
    <m/>
    <m/>
  </r>
  <r>
    <m/>
    <m/>
    <m/>
    <m/>
    <m/>
    <x v="1"/>
    <n v="-2.6855516666121515E-2"/>
    <n v="0.26012254901960774"/>
    <n v="0.13084961381190374"/>
    <n v="0.15303643724696347"/>
    <m/>
    <m/>
    <m/>
    <m/>
    <m/>
    <m/>
    <m/>
    <m/>
    <m/>
    <m/>
    <m/>
    <s v=""/>
    <m/>
    <m/>
    <m/>
    <s v="En 2021, cash flow libre négatif du fait du retournement d'activité entre 2021 et 2020 (année Covid-19)"/>
    <m/>
    <n v="3148"/>
    <n v="0"/>
    <s v="FR00101125241"/>
    <s v="FR0010112524"/>
    <n v="1"/>
    <x v="140"/>
    <m/>
    <m/>
    <m/>
  </r>
  <r>
    <m/>
    <m/>
    <m/>
    <m/>
    <n v="40.67"/>
    <x v="9"/>
    <n v="3057100000"/>
    <n v="244800000"/>
    <n v="220100000"/>
    <n v="123500000"/>
    <n v="102300000"/>
    <n v="1579100000"/>
    <n v="28.810938574298067"/>
    <n v="7.8209106453042868E-2"/>
    <n v="9.163197335553705E-2"/>
    <n v="54809044"/>
    <n v="2229083819.48"/>
    <n v="1.4116166293964918"/>
    <n v="9.5236267135620913"/>
    <m/>
    <n v="6913"/>
    <n v="442224.79386662808"/>
    <m/>
    <m/>
    <m/>
    <s v="La partie en Allemagne ne sera pas développé le modèle des résidences de tourisme d'affaires ayant évolué depuis le Covid-19. Sur le Portugal, Italie et Pologne activité d'administrateurs de biens qui se poursuit bien"/>
    <m/>
    <n v="3149"/>
    <n v="0"/>
    <s v="FR001011252412015"/>
    <s v="FR0010112524"/>
    <n v="1"/>
    <x v="140"/>
    <m/>
    <m/>
    <m/>
  </r>
  <r>
    <m/>
    <m/>
    <m/>
    <m/>
    <m/>
    <x v="1"/>
    <n v="0.16155629013260375"/>
    <n v="0.20591133004926099"/>
    <n v="0.64499252615844549"/>
    <n v="2.4593837535014007"/>
    <m/>
    <m/>
    <m/>
    <m/>
    <m/>
    <m/>
    <m/>
    <m/>
    <m/>
    <m/>
    <m/>
    <s v=""/>
    <m/>
    <m/>
    <m/>
    <s v="Recentrage des activités, le résidentiel neufs est fort, les services poursuivent leur fonctionnement, le bureau &amp; autres (20%) en transformation pourraient moins croître à l'avenir avec le télétravail"/>
    <m/>
    <n v="3150"/>
    <n v="0"/>
    <s v="FR00101125241"/>
    <s v="FR0010112524"/>
    <n v="1"/>
    <x v="140"/>
    <m/>
    <m/>
    <m/>
  </r>
  <r>
    <m/>
    <m/>
    <m/>
    <m/>
    <n v="31.39"/>
    <x v="10"/>
    <n v="2631900000"/>
    <n v="203000000"/>
    <n v="133800000"/>
    <n v="35700000"/>
    <n v="166500000"/>
    <n v="1558700000"/>
    <n v="28.438737227381672"/>
    <n v="2.2903701802784372E-2"/>
    <n v="5.4289357755622533E-2"/>
    <n v="54809044"/>
    <n v="1720455891.1600001"/>
    <n v="1.1037761539488036"/>
    <n v="9.2953492175369465"/>
    <m/>
    <n v="6949"/>
    <n v="378745.14318606997"/>
    <m/>
    <m/>
    <m/>
    <s v="Commandes à 20,7 Md euros soit 5 ans de CA avec 380 M euros de résultats opérationnels. Perspectives favorables"/>
    <m/>
    <n v="3151"/>
    <n v="0"/>
    <s v="FR001011252412014"/>
    <s v="FR0010112524"/>
    <n v="1"/>
    <x v="140"/>
    <m/>
    <m/>
    <m/>
  </r>
  <r>
    <m/>
    <m/>
    <m/>
    <m/>
    <m/>
    <x v="1"/>
    <n v="-3.8469969311705432E-2"/>
    <n v="-2.0742884708152443E-2"/>
    <n v="-0.30457380457380456"/>
    <n v="-0.64335664335664333"/>
    <m/>
    <m/>
    <m/>
    <m/>
    <m/>
    <m/>
    <m/>
    <m/>
    <m/>
    <m/>
    <m/>
    <s v=""/>
    <m/>
    <m/>
    <m/>
    <s v="En 2022, anticipation d'un fort repli de 20 % des ventes sur le marché du Neuf"/>
    <m/>
    <n v="3152"/>
    <n v="0"/>
    <s v="FR00101125241"/>
    <s v="FR0010112524"/>
    <n v="1"/>
    <x v="140"/>
    <m/>
    <m/>
    <m/>
  </r>
  <r>
    <m/>
    <m/>
    <m/>
    <m/>
    <n v="27.41"/>
    <x v="11"/>
    <n v="2737200000"/>
    <n v="207300000"/>
    <n v="192400000"/>
    <n v="100100000"/>
    <n v="252100000"/>
    <n v="1612100000"/>
    <n v="30.089637667082322"/>
    <n v="6.2092922275293096E-2"/>
    <n v="7.2245467224546722E-2"/>
    <n v="53576584"/>
    <n v="1468534167.4400001"/>
    <n v="0.91094483434030149"/>
    <n v="8.300213060492041"/>
    <m/>
    <n v="6252"/>
    <n v="437811.90019193856"/>
    <m/>
    <m/>
    <m/>
    <s v="Prise de participation majoritaire dans le groupe Angelotti. Effort RSE élevé"/>
    <m/>
    <n v="3153"/>
    <n v="0"/>
    <s v="FR001011252412013"/>
    <s v="FR0010112524"/>
    <n v="1"/>
    <x v="140"/>
    <m/>
    <m/>
    <m/>
  </r>
  <r>
    <m/>
    <m/>
    <m/>
    <m/>
    <m/>
    <x v="1"/>
    <n v="-3.3235616148059144E-2"/>
    <n v="-3.0402245088868129E-2"/>
    <n v="0.32324621733149939"/>
    <n v="1.3947368421052633"/>
    <m/>
    <m/>
    <m/>
    <m/>
    <m/>
    <m/>
    <m/>
    <m/>
    <m/>
    <m/>
    <m/>
    <s v=""/>
    <m/>
    <m/>
    <m/>
    <s v="En 2023, la baisse d'activité s'accélère. Sortie de la Pologne pour 100 Me =&gt; désendettement. Recentrage sur la France. Oceane 2028 de 240 Me pouvant porter le nombre de titres à 60 M"/>
    <m/>
    <n v="3154"/>
    <n v="0"/>
    <s v="FR00101125241"/>
    <s v="FR0010112524"/>
    <n v="1"/>
    <x v="140"/>
    <m/>
    <m/>
    <m/>
  </r>
  <r>
    <m/>
    <m/>
    <m/>
    <m/>
    <n v="25.7"/>
    <x v="12"/>
    <n v="2831300000"/>
    <n v="213800000"/>
    <n v="145400000"/>
    <n v="41800000"/>
    <n v="321900000"/>
    <n v="1604000000"/>
    <n v="30.359212511553867"/>
    <n v="2.6059850374064837E-2"/>
    <n v="5.2848019107949527E-2"/>
    <n v="52834045"/>
    <n v="1357834956.5"/>
    <n v="0.84653052150872821"/>
    <n v="7.8565713587464918"/>
    <m/>
    <n v="6306"/>
    <n v="448985.09356168727"/>
    <m/>
    <m/>
    <m/>
    <s v="Objectifs 2026 : 6 Md euros de CA et 500 Me de résultats opérationnels (même marge à 8%) et 20% de part de marché sur le résidentiel (contre 14% en 2022) en 2030"/>
    <m/>
    <n v="3155"/>
    <n v="0"/>
    <s v="FR001011252412012"/>
    <s v="FR0010112524"/>
    <n v="1"/>
    <x v="140"/>
    <m/>
    <m/>
    <m/>
  </r>
  <r>
    <m/>
    <m/>
    <m/>
    <m/>
    <m/>
    <x v="1"/>
    <n v="8.7748280763763509E-2"/>
    <n v="2.8142589118198558E-3"/>
    <n v="0.28105726872246706"/>
    <n v="-0.22878228782287824"/>
    <m/>
    <m/>
    <m/>
    <m/>
    <m/>
    <m/>
    <m/>
    <m/>
    <m/>
    <m/>
    <m/>
    <s v=""/>
    <m/>
    <m/>
    <m/>
    <s v="Taux d'IS : 36% en 2020 (à voir pour les années suivantes) : 31 % en 2018"/>
    <m/>
    <n v="3156"/>
    <n v="0"/>
    <s v="FR00101125241"/>
    <s v="FR0010112524"/>
    <n v="1"/>
    <x v="140"/>
    <m/>
    <m/>
    <m/>
  </r>
  <r>
    <m/>
    <m/>
    <m/>
    <m/>
    <n v="17.510000000000002"/>
    <x v="17"/>
    <n v="2602900000"/>
    <n v="213200000"/>
    <n v="113500000"/>
    <n v="54200000"/>
    <n v="336200000"/>
    <n v="1659000000"/>
    <n v="31.659009378337469"/>
    <n v="3.2670283303194693E-2"/>
    <n v="3.9820569366479548E-2"/>
    <n v="52402145"/>
    <n v="917561558.95000005"/>
    <n v="0.55308110846895719"/>
    <n v="5.8806827342870545"/>
    <m/>
    <n v="6494"/>
    <n v="400816.13797351404"/>
    <m/>
    <m/>
    <m/>
    <s v="Minoritaire : très faible (moins de 1%)"/>
    <m/>
    <n v="3157"/>
    <n v="0"/>
    <s v="FR001011252412011"/>
    <s v="FR0010112524"/>
    <n v="1"/>
    <x v="140"/>
    <m/>
    <m/>
    <m/>
  </r>
  <r>
    <m/>
    <m/>
    <m/>
    <m/>
    <m/>
    <x v="1"/>
    <n v="-5.252620850320322E-2"/>
    <n v="-9.2936802973977439E-3"/>
    <n v="-0.3162650602409639"/>
    <n v="-0.54757929883138567"/>
    <m/>
    <m/>
    <m/>
    <m/>
    <m/>
    <m/>
    <m/>
    <m/>
    <m/>
    <m/>
    <m/>
    <s v=""/>
    <m/>
    <m/>
    <m/>
    <s v="CAC : KPMG et Mazars"/>
    <m/>
    <n v="3158"/>
    <n v="0"/>
    <s v="FR00101125241"/>
    <s v="FR0010112524"/>
    <n v="1"/>
    <x v="140"/>
    <m/>
    <m/>
    <m/>
  </r>
  <r>
    <m/>
    <m/>
    <m/>
    <m/>
    <n v="34.24"/>
    <x v="18"/>
    <n v="2747200000"/>
    <n v="215200000"/>
    <n v="166000000"/>
    <n v="119800000"/>
    <n v="291100000"/>
    <n v="1880800000"/>
    <n v="36.174178979520796"/>
    <n v="6.3696299447043817E-2"/>
    <n v="5.3501542428288598E-2"/>
    <n v="51992887"/>
    <n v="1780236450.8800001"/>
    <n v="0.94653150301999156"/>
    <n v="9.6251693814126398"/>
    <m/>
    <n v="6361"/>
    <n v="431881.7795944034"/>
    <m/>
    <m/>
    <m/>
    <s v="Pay-out ratio : 92%"/>
    <m/>
    <n v="3159"/>
    <n v="0"/>
    <s v="FR001011252412010"/>
    <s v="FR0010112524"/>
    <n v="1"/>
    <x v="140"/>
    <m/>
    <m/>
    <m/>
  </r>
  <r>
    <m/>
    <m/>
    <m/>
    <m/>
    <m/>
    <x v="1"/>
    <m/>
    <m/>
    <m/>
    <m/>
    <m/>
    <m/>
    <m/>
    <m/>
    <m/>
    <m/>
    <m/>
    <m/>
    <m/>
    <m/>
    <m/>
    <s v=""/>
    <m/>
    <m/>
    <m/>
    <m/>
    <m/>
    <n v="3160"/>
    <n v="0"/>
    <s v="FR00101125241"/>
    <s v="FR0010112524"/>
    <n v="1"/>
    <x v="140"/>
    <m/>
    <m/>
    <m/>
  </r>
  <r>
    <m/>
    <m/>
    <m/>
    <m/>
    <m/>
    <x v="1"/>
    <m/>
    <m/>
    <m/>
    <m/>
    <m/>
    <m/>
    <m/>
    <m/>
    <m/>
    <m/>
    <m/>
    <m/>
    <m/>
    <m/>
    <m/>
    <s v=""/>
    <m/>
    <m/>
    <m/>
    <m/>
    <m/>
    <n v="3161"/>
    <n v="0"/>
    <s v="FR00101125241"/>
    <s v="FR0010112524"/>
    <n v="1"/>
    <x v="140"/>
    <m/>
    <m/>
    <m/>
  </r>
  <r>
    <m/>
    <m/>
    <m/>
    <m/>
    <s v="IPO le 22 octobre 2004 à 17,9 euros"/>
    <x v="1"/>
    <m/>
    <m/>
    <m/>
    <m/>
    <m/>
    <m/>
    <m/>
    <m/>
    <m/>
    <m/>
    <m/>
    <m/>
    <m/>
    <m/>
    <m/>
    <s v=""/>
    <m/>
    <m/>
    <m/>
    <m/>
    <m/>
    <n v="3162"/>
    <n v="0"/>
    <s v="FR00101125241"/>
    <s v="FR0010112524"/>
    <n v="1"/>
    <x v="140"/>
    <m/>
    <m/>
    <m/>
  </r>
  <r>
    <m/>
    <m/>
    <m/>
    <m/>
    <m/>
    <x v="1"/>
    <m/>
    <m/>
    <m/>
    <m/>
    <m/>
    <m/>
    <m/>
    <m/>
    <m/>
    <m/>
    <m/>
    <m/>
    <m/>
    <m/>
    <m/>
    <s v=""/>
    <m/>
    <m/>
    <m/>
    <m/>
    <m/>
    <n v="3163"/>
    <n v="0"/>
    <s v="FR00101125241"/>
    <s v="FR0010112524"/>
    <n v="1"/>
    <x v="140"/>
    <m/>
    <m/>
    <m/>
  </r>
  <r>
    <m/>
    <m/>
    <m/>
    <m/>
    <m/>
    <x v="1"/>
    <m/>
    <m/>
    <m/>
    <m/>
    <m/>
    <m/>
    <m/>
    <m/>
    <m/>
    <m/>
    <m/>
    <m/>
    <m/>
    <m/>
    <m/>
    <s v=""/>
    <m/>
    <m/>
    <m/>
    <m/>
    <m/>
    <n v="3164"/>
    <n v="0"/>
    <s v="FR00101125241"/>
    <s v="FR0010112524"/>
    <n v="1"/>
    <x v="140"/>
    <m/>
    <m/>
    <m/>
  </r>
  <r>
    <m/>
    <m/>
    <m/>
    <m/>
    <m/>
    <x v="1"/>
    <m/>
    <m/>
    <m/>
    <m/>
    <m/>
    <m/>
    <m/>
    <m/>
    <m/>
    <m/>
    <m/>
    <m/>
    <m/>
    <m/>
    <m/>
    <s v=""/>
    <m/>
    <m/>
    <m/>
    <m/>
    <m/>
    <n v="3165"/>
    <n v="0"/>
    <s v="FR00101125241"/>
    <s v="FR0010112524"/>
    <n v="1"/>
    <x v="140"/>
    <m/>
    <m/>
    <m/>
  </r>
  <r>
    <m/>
    <m/>
    <m/>
    <m/>
    <m/>
    <x v="1"/>
    <m/>
    <m/>
    <m/>
    <m/>
    <m/>
    <m/>
    <m/>
    <m/>
    <m/>
    <m/>
    <m/>
    <m/>
    <m/>
    <m/>
    <m/>
    <s v=""/>
    <m/>
    <m/>
    <m/>
    <m/>
    <m/>
    <n v="3166"/>
    <n v="0"/>
    <s v="FR00101125241"/>
    <s v="FR0010112524"/>
    <n v="1"/>
    <x v="140"/>
    <m/>
    <m/>
    <m/>
  </r>
  <r>
    <m/>
    <m/>
    <m/>
    <m/>
    <m/>
    <x v="1"/>
    <m/>
    <m/>
    <m/>
    <m/>
    <m/>
    <m/>
    <m/>
    <m/>
    <m/>
    <m/>
    <m/>
    <m/>
    <m/>
    <m/>
    <m/>
    <s v=""/>
    <m/>
    <m/>
    <s v="Taux d'écoulement"/>
    <m/>
    <m/>
    <n v="3167"/>
    <n v="0"/>
    <s v="FR00101125241"/>
    <s v="FR0010112524"/>
    <n v="1"/>
    <x v="140"/>
    <m/>
    <m/>
    <m/>
  </r>
  <r>
    <s v="Kaufman &amp; Broad"/>
    <s v="Immobilier"/>
    <s v="France"/>
    <s v="Euro"/>
    <n v="25"/>
    <x v="0"/>
    <m/>
    <m/>
    <m/>
    <m/>
    <m/>
    <m/>
    <m/>
    <m/>
    <m/>
    <m/>
    <m/>
    <m/>
    <m/>
    <m/>
    <m/>
    <s v=""/>
    <m/>
    <m/>
    <s v="5,3 mois"/>
    <s v="Créé en 2008 par José Neves (CEO et Chairman - fondateur - 78 % des droits de vote après l'IPO) né en 1974 au Portugual"/>
    <m/>
    <n v="3213"/>
    <n v="0"/>
    <s v="FR000400781312023"/>
    <s v="FR0004007813"/>
    <n v="1"/>
    <x v="141"/>
    <m/>
    <m/>
    <m/>
  </r>
  <r>
    <m/>
    <m/>
    <m/>
    <m/>
    <m/>
    <x v="1"/>
    <m/>
    <m/>
    <m/>
    <m/>
    <m/>
    <m/>
    <m/>
    <m/>
    <m/>
    <m/>
    <m/>
    <m/>
    <m/>
    <m/>
    <m/>
    <s v=""/>
    <m/>
    <m/>
    <m/>
    <s v="Répartition de l'activité : Logement (maisons individuelles, logements collectifs, résidences spécialisées), Tertiaire (immobilier d'entreprise, logistique, commerces) Autre (vente de terrains, lots à bâtir, maîtrise d'ouvrage déléguée, showroom)"/>
    <m/>
    <n v="3214"/>
    <n v="0"/>
    <s v="FR00040078131"/>
    <s v="FR0004007813"/>
    <n v="1"/>
    <x v="141"/>
    <m/>
    <m/>
    <m/>
  </r>
  <r>
    <m/>
    <m/>
    <m/>
    <m/>
    <n v="27.45"/>
    <x v="2"/>
    <n v="1314900000"/>
    <m/>
    <n v="98212000"/>
    <n v="49000000"/>
    <n v="67800000"/>
    <n v="241667000"/>
    <n v="11.181546014250113"/>
    <n v="0.20275834102297791"/>
    <n v="0.22215098863529875"/>
    <n v="21613022"/>
    <m/>
    <m/>
    <m/>
    <m/>
    <n v="784"/>
    <n v="1677168.3673469387"/>
    <m/>
    <m/>
    <s v="4,3 mois"/>
    <s v="Répartition de l'actionnariat : Promogim Groupe 21,7 %, Predica 8 %, Artimus participation 11 %"/>
    <m/>
    <n v="3215"/>
    <n v="0"/>
    <s v="FR000400781312022"/>
    <s v="FR0004007813"/>
    <n v="1"/>
    <x v="141"/>
    <m/>
    <m/>
    <m/>
  </r>
  <r>
    <m/>
    <m/>
    <m/>
    <m/>
    <m/>
    <x v="1"/>
    <m/>
    <m/>
    <m/>
    <m/>
    <m/>
    <m/>
    <m/>
    <m/>
    <m/>
    <m/>
    <m/>
    <m/>
    <m/>
    <m/>
    <m/>
    <s v=""/>
    <m/>
    <m/>
    <m/>
    <s v="CEO : Nordine Hachemi, 62 ans (CEO et Président)"/>
    <m/>
    <n v="3216"/>
    <n v="0"/>
    <s v="FR00040078131"/>
    <s v="FR0004007813"/>
    <n v="1"/>
    <x v="141"/>
    <m/>
    <m/>
    <m/>
  </r>
  <r>
    <m/>
    <m/>
    <m/>
    <m/>
    <n v="36.799999999999997"/>
    <x v="3"/>
    <n v="1281800000"/>
    <m/>
    <n v="98385000"/>
    <n v="43865000"/>
    <n v="-35890000"/>
    <n v="255141000"/>
    <m/>
    <m/>
    <m/>
    <n v="22713023"/>
    <m/>
    <m/>
    <m/>
    <m/>
    <n v="778"/>
    <n v="1647557.8406169666"/>
    <m/>
    <m/>
    <s v="3,7 mois"/>
    <s v="Le prix moyen d'un logement vendu est de 225.000 €"/>
    <m/>
    <n v="3217"/>
    <n v="0"/>
    <s v="FR000400781312021"/>
    <s v="FR0004007813"/>
    <n v="1"/>
    <x v="141"/>
    <m/>
    <m/>
    <m/>
  </r>
  <r>
    <m/>
    <m/>
    <m/>
    <m/>
    <m/>
    <x v="1"/>
    <m/>
    <m/>
    <m/>
    <m/>
    <m/>
    <m/>
    <m/>
    <m/>
    <m/>
    <m/>
    <m/>
    <m/>
    <m/>
    <m/>
    <m/>
    <s v=""/>
    <m/>
    <m/>
    <m/>
    <m/>
    <m/>
    <n v="3218"/>
    <n v="0"/>
    <s v="FR00040078131"/>
    <s v="FR0004007813"/>
    <n v="1"/>
    <x v="141"/>
    <m/>
    <m/>
    <m/>
  </r>
  <r>
    <m/>
    <m/>
    <m/>
    <m/>
    <n v="37.1"/>
    <x v="4"/>
    <n v="1163050000"/>
    <m/>
    <n v="80134000"/>
    <n v="40138000"/>
    <n v="-62500000"/>
    <n v="266420000"/>
    <m/>
    <m/>
    <m/>
    <n v="22088023"/>
    <m/>
    <m/>
    <m/>
    <m/>
    <m/>
    <s v=""/>
    <m/>
    <m/>
    <m/>
    <m/>
    <m/>
    <n v="3219"/>
    <n v="0"/>
    <s v="FR000400781312020"/>
    <s v="FR0004007813"/>
    <n v="1"/>
    <x v="141"/>
    <m/>
    <m/>
    <m/>
  </r>
  <r>
    <m/>
    <m/>
    <m/>
    <m/>
    <m/>
    <x v="1"/>
    <m/>
    <m/>
    <m/>
    <m/>
    <m/>
    <m/>
    <m/>
    <m/>
    <m/>
    <m/>
    <m/>
    <m/>
    <m/>
    <m/>
    <m/>
    <s v=""/>
    <m/>
    <m/>
    <m/>
    <m/>
    <m/>
    <n v="3220"/>
    <n v="0"/>
    <s v="FR00040078131"/>
    <s v="FR0004007813"/>
    <n v="1"/>
    <x v="141"/>
    <m/>
    <m/>
    <m/>
  </r>
  <r>
    <m/>
    <m/>
    <m/>
    <m/>
    <n v="37"/>
    <x v="5"/>
    <n v="1472154000"/>
    <m/>
    <n v="143425000"/>
    <n v="77891000"/>
    <n v="-56000000"/>
    <n v="282160000"/>
    <m/>
    <m/>
    <m/>
    <n v="22088023"/>
    <m/>
    <m/>
    <m/>
    <m/>
    <m/>
    <s v=""/>
    <m/>
    <m/>
    <m/>
    <m/>
    <m/>
    <n v="3221"/>
    <n v="0"/>
    <s v="FR000400781312019"/>
    <s v="FR0004007813"/>
    <n v="1"/>
    <x v="141"/>
    <m/>
    <m/>
    <m/>
  </r>
  <r>
    <m/>
    <m/>
    <m/>
    <m/>
    <m/>
    <x v="1"/>
    <m/>
    <m/>
    <m/>
    <m/>
    <m/>
    <m/>
    <m/>
    <m/>
    <m/>
    <m/>
    <m/>
    <m/>
    <m/>
    <m/>
    <m/>
    <s v=""/>
    <m/>
    <m/>
    <m/>
    <m/>
    <m/>
    <n v="3222"/>
    <n v="0"/>
    <s v="FR00040078131"/>
    <s v="FR0004007813"/>
    <n v="1"/>
    <x v="141"/>
    <m/>
    <m/>
    <m/>
  </r>
  <r>
    <m/>
    <m/>
    <m/>
    <m/>
    <n v="33.4"/>
    <x v="6"/>
    <n v="1558229000"/>
    <m/>
    <n v="137185000"/>
    <n v="72972000"/>
    <n v="-50000000"/>
    <n v="247473000"/>
    <m/>
    <m/>
    <m/>
    <n v="21864074"/>
    <m/>
    <m/>
    <m/>
    <m/>
    <m/>
    <s v=""/>
    <m/>
    <m/>
    <m/>
    <m/>
    <m/>
    <n v="3223"/>
    <n v="0"/>
    <s v="FR000400781312018"/>
    <s v="FR0004007813"/>
    <n v="1"/>
    <x v="141"/>
    <m/>
    <m/>
    <m/>
  </r>
  <r>
    <m/>
    <m/>
    <m/>
    <m/>
    <m/>
    <x v="1"/>
    <m/>
    <m/>
    <m/>
    <m/>
    <m/>
    <m/>
    <m/>
    <m/>
    <m/>
    <m/>
    <m/>
    <m/>
    <m/>
    <m/>
    <m/>
    <s v=""/>
    <m/>
    <m/>
    <m/>
    <s v="En 2023 au S1, Chiffre d'affaire en hausse sur la même période, mais portée par le Tertiaire, L'activité Logement est en baisse de 11% en volume et 19 % en valeur,"/>
    <m/>
    <n v="3224"/>
    <n v="0"/>
    <s v="FR00040078131"/>
    <s v="FR0004007813"/>
    <n v="1"/>
    <x v="141"/>
    <m/>
    <m/>
    <m/>
  </r>
  <r>
    <m/>
    <m/>
    <m/>
    <m/>
    <m/>
    <x v="1"/>
    <m/>
    <m/>
    <m/>
    <m/>
    <m/>
    <m/>
    <m/>
    <m/>
    <m/>
    <m/>
    <m/>
    <m/>
    <m/>
    <m/>
    <m/>
    <s v=""/>
    <m/>
    <m/>
    <m/>
    <m/>
    <m/>
    <n v="3225"/>
    <n v="0"/>
    <s v="FR00040078131"/>
    <s v="FR0004007813"/>
    <n v="1"/>
    <x v="141"/>
    <m/>
    <m/>
    <m/>
  </r>
  <r>
    <m/>
    <m/>
    <m/>
    <m/>
    <m/>
    <x v="1"/>
    <m/>
    <m/>
    <m/>
    <m/>
    <m/>
    <m/>
    <m/>
    <m/>
    <m/>
    <m/>
    <m/>
    <m/>
    <m/>
    <m/>
    <m/>
    <s v=""/>
    <m/>
    <m/>
    <m/>
    <m/>
    <m/>
    <n v="3226"/>
    <n v="0"/>
    <s v="FR00040078131"/>
    <s v="FR0004007813"/>
    <n v="1"/>
    <x v="141"/>
    <m/>
    <m/>
    <m/>
  </r>
  <r>
    <m/>
    <m/>
    <m/>
    <m/>
    <m/>
    <x v="1"/>
    <m/>
    <m/>
    <m/>
    <m/>
    <m/>
    <m/>
    <m/>
    <m/>
    <m/>
    <m/>
    <m/>
    <m/>
    <m/>
    <m/>
    <m/>
    <s v=""/>
    <m/>
    <m/>
    <m/>
    <m/>
    <m/>
    <n v="3227"/>
    <n v="0"/>
    <s v="FR00040078131"/>
    <s v="FR0004007813"/>
    <n v="1"/>
    <x v="141"/>
    <m/>
    <m/>
    <m/>
  </r>
  <r>
    <m/>
    <m/>
    <m/>
    <m/>
    <m/>
    <x v="1"/>
    <m/>
    <m/>
    <m/>
    <m/>
    <m/>
    <m/>
    <m/>
    <m/>
    <m/>
    <m/>
    <m/>
    <m/>
    <m/>
    <m/>
    <m/>
    <s v=""/>
    <m/>
    <m/>
    <m/>
    <m/>
    <m/>
    <n v="3228"/>
    <n v="0"/>
    <s v="FR00040078131"/>
    <s v="FR0004007813"/>
    <n v="1"/>
    <x v="141"/>
    <m/>
    <m/>
    <m/>
  </r>
  <r>
    <m/>
    <m/>
    <m/>
    <m/>
    <m/>
    <x v="1"/>
    <m/>
    <m/>
    <m/>
    <m/>
    <m/>
    <m/>
    <m/>
    <m/>
    <m/>
    <m/>
    <m/>
    <m/>
    <m/>
    <m/>
    <m/>
    <s v=""/>
    <m/>
    <m/>
    <m/>
    <s v="Minoritaire : 6 %, mais forte récupération des revenus"/>
    <m/>
    <n v="3229"/>
    <n v="0"/>
    <s v="FR00040078131"/>
    <s v="FR0004007813"/>
    <n v="1"/>
    <x v="141"/>
    <m/>
    <m/>
    <m/>
  </r>
  <r>
    <m/>
    <m/>
    <m/>
    <m/>
    <m/>
    <x v="11"/>
    <m/>
    <m/>
    <m/>
    <m/>
    <m/>
    <m/>
    <m/>
    <m/>
    <m/>
    <m/>
    <m/>
    <m/>
    <m/>
    <m/>
    <m/>
    <s v=""/>
    <m/>
    <m/>
    <m/>
    <s v="CAC : "/>
    <m/>
    <n v="3213"/>
    <n v="0"/>
    <s v="FR000400781312013"/>
    <s v="FR0004007813"/>
    <n v="1"/>
    <x v="141"/>
    <m/>
    <m/>
    <m/>
  </r>
  <r>
    <m/>
    <m/>
    <m/>
    <m/>
    <m/>
    <x v="1"/>
    <m/>
    <m/>
    <m/>
    <m/>
    <m/>
    <m/>
    <m/>
    <m/>
    <m/>
    <m/>
    <m/>
    <m/>
    <m/>
    <m/>
    <m/>
    <s v=""/>
    <m/>
    <m/>
    <m/>
    <s v="Taux d'impot"/>
    <m/>
    <n v="3214"/>
    <n v="0"/>
    <s v="FR00040078131"/>
    <s v="FR0004007813"/>
    <n v="1"/>
    <x v="141"/>
    <m/>
    <m/>
    <m/>
  </r>
  <r>
    <m/>
    <s v="Introduction en bourse le 7 février 2000"/>
    <m/>
    <m/>
    <m/>
    <x v="12"/>
    <m/>
    <m/>
    <m/>
    <m/>
    <m/>
    <m/>
    <m/>
    <m/>
    <m/>
    <m/>
    <m/>
    <m/>
    <m/>
    <m/>
    <m/>
    <s v=""/>
    <m/>
    <m/>
    <m/>
    <s v="Pay-out : 105 % en 2022"/>
    <m/>
    <n v="3215"/>
    <n v="0"/>
    <s v="FR000400781312012"/>
    <s v="FR0004007813"/>
    <n v="1"/>
    <x v="141"/>
    <m/>
    <m/>
    <m/>
  </r>
  <r>
    <m/>
    <m/>
    <m/>
    <m/>
    <m/>
    <x v="1"/>
    <m/>
    <m/>
    <m/>
    <m/>
    <m/>
    <m/>
    <m/>
    <m/>
    <m/>
    <m/>
    <m/>
    <m/>
    <m/>
    <m/>
    <m/>
    <s v=""/>
    <m/>
    <m/>
    <m/>
    <m/>
    <m/>
    <n v="3216"/>
    <n v="0"/>
    <s v="FR00040078131"/>
    <s v="FR0004007813"/>
    <n v="1"/>
    <x v="141"/>
    <m/>
    <m/>
    <m/>
  </r>
  <r>
    <m/>
    <m/>
    <m/>
    <m/>
    <m/>
    <x v="1"/>
    <m/>
    <m/>
    <m/>
    <m/>
    <m/>
    <m/>
    <m/>
    <m/>
    <m/>
    <m/>
    <m/>
    <m/>
    <m/>
    <m/>
    <m/>
    <s v=""/>
    <m/>
    <m/>
    <m/>
    <m/>
    <m/>
    <n v="3217"/>
    <n v="0"/>
    <s v="FR00040078131"/>
    <s v="FR0004007813"/>
    <n v="1"/>
    <x v="141"/>
    <m/>
    <m/>
    <m/>
  </r>
  <r>
    <m/>
    <m/>
    <m/>
    <m/>
    <m/>
    <x v="1"/>
    <m/>
    <m/>
    <m/>
    <m/>
    <m/>
    <m/>
    <m/>
    <m/>
    <m/>
    <m/>
    <m/>
    <m/>
    <m/>
    <m/>
    <m/>
    <s v=""/>
    <m/>
    <m/>
    <m/>
    <m/>
    <m/>
    <n v="3218"/>
    <n v="0"/>
    <s v="FR00040078131"/>
    <s v="FR0004007813"/>
    <n v="1"/>
    <x v="141"/>
    <m/>
    <m/>
    <m/>
  </r>
  <r>
    <m/>
    <m/>
    <m/>
    <m/>
    <m/>
    <x v="1"/>
    <m/>
    <m/>
    <m/>
    <m/>
    <m/>
    <m/>
    <m/>
    <m/>
    <m/>
    <m/>
    <m/>
    <m/>
    <m/>
    <m/>
    <m/>
    <s v=""/>
    <m/>
    <m/>
    <m/>
    <m/>
    <m/>
    <n v="3219"/>
    <n v="0"/>
    <s v="FR00040078131"/>
    <s v="FR0004007813"/>
    <n v="1"/>
    <x v="141"/>
    <m/>
    <m/>
    <m/>
  </r>
  <r>
    <m/>
    <m/>
    <m/>
    <m/>
    <m/>
    <x v="1"/>
    <m/>
    <m/>
    <m/>
    <m/>
    <m/>
    <m/>
    <m/>
    <m/>
    <m/>
    <m/>
    <m/>
    <m/>
    <m/>
    <m/>
    <m/>
    <s v=""/>
    <m/>
    <m/>
    <m/>
    <m/>
    <m/>
    <n v="3220"/>
    <n v="0"/>
    <s v="FR00040078131"/>
    <s v="FR0004007813"/>
    <n v="1"/>
    <x v="141"/>
    <m/>
    <m/>
    <m/>
  </r>
  <r>
    <m/>
    <m/>
    <m/>
    <m/>
    <m/>
    <x v="1"/>
    <m/>
    <m/>
    <m/>
    <m/>
    <m/>
    <m/>
    <m/>
    <m/>
    <m/>
    <m/>
    <m/>
    <m/>
    <m/>
    <m/>
    <m/>
    <s v=""/>
    <m/>
    <m/>
    <m/>
    <m/>
    <m/>
    <n v="3213"/>
    <n v="0"/>
    <s v="FR00040078131"/>
    <s v="FR0004007813"/>
    <n v="1"/>
    <x v="141"/>
    <m/>
    <m/>
    <m/>
  </r>
  <r>
    <m/>
    <m/>
    <m/>
    <m/>
    <m/>
    <x v="1"/>
    <m/>
    <m/>
    <m/>
    <m/>
    <m/>
    <m/>
    <m/>
    <m/>
    <m/>
    <m/>
    <m/>
    <m/>
    <m/>
    <m/>
    <m/>
    <s v=""/>
    <m/>
    <m/>
    <m/>
    <m/>
    <m/>
    <n v="3214"/>
    <n v="0"/>
    <s v="FR00040078131"/>
    <s v="FR0004007813"/>
    <n v="1"/>
    <x v="141"/>
    <m/>
    <m/>
    <m/>
  </r>
  <r>
    <m/>
    <m/>
    <m/>
    <m/>
    <m/>
    <x v="1"/>
    <m/>
    <m/>
    <m/>
    <m/>
    <m/>
    <m/>
    <m/>
    <m/>
    <m/>
    <m/>
    <m/>
    <m/>
    <m/>
    <m/>
    <m/>
    <s v=""/>
    <m/>
    <m/>
    <m/>
    <m/>
    <m/>
    <n v="3215"/>
    <n v="0"/>
    <s v="FR00040078131"/>
    <s v="FR0004007813"/>
    <n v="1"/>
    <x v="141"/>
    <m/>
    <m/>
    <m/>
  </r>
  <r>
    <m/>
    <m/>
    <m/>
    <m/>
    <m/>
    <x v="1"/>
    <m/>
    <m/>
    <m/>
    <m/>
    <m/>
    <m/>
    <m/>
    <m/>
    <m/>
    <m/>
    <m/>
    <m/>
    <m/>
    <m/>
    <m/>
    <s v=""/>
    <m/>
    <m/>
    <m/>
    <m/>
    <m/>
    <n v="3216"/>
    <n v="0"/>
    <s v="FR00040078131"/>
    <s v="FR0004007813"/>
    <n v="1"/>
    <x v="141"/>
    <m/>
    <m/>
    <m/>
  </r>
  <r>
    <m/>
    <m/>
    <m/>
    <m/>
    <m/>
    <x v="1"/>
    <m/>
    <m/>
    <m/>
    <m/>
    <m/>
    <m/>
    <m/>
    <m/>
    <m/>
    <m/>
    <m/>
    <m/>
    <m/>
    <m/>
    <m/>
    <s v=""/>
    <m/>
    <m/>
    <m/>
    <m/>
    <m/>
    <n v="3213"/>
    <n v="0"/>
    <s v="FR00040078131"/>
    <s v="FR0004007813"/>
    <n v="1"/>
    <x v="141"/>
    <m/>
    <m/>
    <m/>
  </r>
  <r>
    <m/>
    <m/>
    <m/>
    <m/>
    <m/>
    <x v="1"/>
    <m/>
    <m/>
    <m/>
    <m/>
    <m/>
    <m/>
    <m/>
    <m/>
    <m/>
    <m/>
    <m/>
    <m/>
    <m/>
    <m/>
    <m/>
    <s v=""/>
    <m/>
    <m/>
    <m/>
    <m/>
    <m/>
    <n v="3214"/>
    <n v="0"/>
    <s v="FR00040078131"/>
    <s v="FR0004007813"/>
    <n v="1"/>
    <x v="141"/>
    <m/>
    <m/>
    <m/>
  </r>
  <r>
    <m/>
    <m/>
    <m/>
    <m/>
    <m/>
    <x v="1"/>
    <m/>
    <m/>
    <m/>
    <m/>
    <m/>
    <m/>
    <m/>
    <m/>
    <m/>
    <m/>
    <m/>
    <m/>
    <m/>
    <m/>
    <m/>
    <s v=""/>
    <m/>
    <m/>
    <m/>
    <m/>
    <m/>
    <n v="3213"/>
    <n v="0"/>
    <s v="FR00040078131"/>
    <s v="FR0004007813"/>
    <n v="1"/>
    <x v="141"/>
    <m/>
    <m/>
    <m/>
  </r>
  <r>
    <m/>
    <m/>
    <m/>
    <m/>
    <m/>
    <x v="1"/>
    <m/>
    <m/>
    <m/>
    <m/>
    <m/>
    <m/>
    <m/>
    <m/>
    <m/>
    <m/>
    <m/>
    <m/>
    <m/>
    <m/>
    <m/>
    <s v=""/>
    <m/>
    <m/>
    <m/>
    <m/>
    <m/>
    <n v="3213"/>
    <n v="0"/>
    <s v="FR00040078131"/>
    <s v="FR0004007813"/>
    <n v="1"/>
    <x v="141"/>
    <m/>
    <m/>
    <m/>
  </r>
  <r>
    <s v="Allfunds"/>
    <s v="Distribution de fonds"/>
    <s v="Pays-Bas"/>
    <s v="Euro"/>
    <n v="8.75"/>
    <x v="0"/>
    <m/>
    <m/>
    <m/>
    <m/>
    <m/>
    <m/>
    <m/>
    <m/>
    <m/>
    <m/>
    <m/>
    <m/>
    <m/>
    <m/>
    <m/>
    <s v=""/>
    <m/>
    <m/>
    <m/>
    <m/>
    <m/>
    <n v="3168"/>
    <n v="0"/>
    <s v="FR000400781312023"/>
    <s v="FR0004007813"/>
    <n v="1"/>
    <x v="141"/>
    <m/>
    <m/>
    <m/>
  </r>
  <r>
    <m/>
    <m/>
    <m/>
    <m/>
    <m/>
    <x v="1"/>
    <m/>
    <m/>
    <m/>
    <m/>
    <m/>
    <m/>
    <m/>
    <m/>
    <m/>
    <m/>
    <m/>
    <m/>
    <m/>
    <m/>
    <m/>
    <s v=""/>
    <m/>
    <m/>
    <m/>
    <m/>
    <m/>
    <n v="3169"/>
    <n v="0"/>
    <s v="FR00040078131"/>
    <s v="FR0004007813"/>
    <n v="1"/>
    <x v="141"/>
    <m/>
    <m/>
    <m/>
  </r>
  <r>
    <m/>
    <m/>
    <m/>
    <m/>
    <n v="6.52"/>
    <x v="2"/>
    <m/>
    <m/>
    <m/>
    <m/>
    <m/>
    <m/>
    <m/>
    <m/>
    <m/>
    <n v="621428000"/>
    <n v="4051710559.9999995"/>
    <m/>
    <m/>
    <m/>
    <m/>
    <s v=""/>
    <m/>
    <m/>
    <m/>
    <s v="Fondé en 2000 en Espagne par Juan Alcaraz, actuel PDG, Allfunds est spécialisé dans la distribution de fonds "/>
    <m/>
    <n v="3170"/>
    <n v="0"/>
    <s v="GB00BNTJ354612022"/>
    <s v="GB00BNTJ3546"/>
    <n v="1"/>
    <x v="142"/>
    <m/>
    <m/>
    <m/>
  </r>
  <r>
    <m/>
    <m/>
    <m/>
    <m/>
    <m/>
    <x v="1"/>
    <m/>
    <m/>
    <m/>
    <m/>
    <m/>
    <m/>
    <m/>
    <m/>
    <m/>
    <m/>
    <m/>
    <m/>
    <m/>
    <m/>
    <m/>
    <s v=""/>
    <m/>
    <m/>
    <m/>
    <s v="Allfunds se charge de la gestion des contrats de distribution et des commissions entre les sociétés de gestion et leurs distributeurs finaux"/>
    <m/>
    <n v="3171"/>
    <n v="0"/>
    <s v="GB00BNTJ35461"/>
    <s v="GB00BNTJ3546"/>
    <n v="1"/>
    <x v="142"/>
    <m/>
    <m/>
    <m/>
  </r>
  <r>
    <m/>
    <m/>
    <m/>
    <m/>
    <n v="17.3"/>
    <x v="3"/>
    <n v="506000000"/>
    <n v="367356000"/>
    <m/>
    <m/>
    <m/>
    <m/>
    <n v="0"/>
    <e v="#DIV/0!"/>
    <e v="#DIV/0!"/>
    <n v="621428000"/>
    <n v="10750704400"/>
    <e v="#DIV/0!"/>
    <n v="29.265084550136653"/>
    <m/>
    <m/>
    <s v=""/>
    <n v="228000000"/>
    <m/>
    <m/>
    <s v="125 000 fonds répertoriés et 1200 Md euros"/>
    <m/>
    <n v="3172"/>
    <n v="0"/>
    <s v="GB00BNTJ354612021"/>
    <s v="GB00BNTJ3546"/>
    <n v="1"/>
    <x v="142"/>
    <m/>
    <m/>
    <m/>
  </r>
  <r>
    <m/>
    <m/>
    <m/>
    <m/>
    <m/>
    <x v="1"/>
    <m/>
    <m/>
    <m/>
    <m/>
    <m/>
    <m/>
    <m/>
    <m/>
    <m/>
    <m/>
    <m/>
    <m/>
    <m/>
    <m/>
    <m/>
    <s v=""/>
    <m/>
    <m/>
    <m/>
    <s v="Propose en BtoB une offre de gestion diversifié en fonds (lancement en mai 2021)"/>
    <m/>
    <n v="3173"/>
    <n v="0"/>
    <s v="GB00BNTJ35461"/>
    <s v="GB00BNTJ3546"/>
    <n v="1"/>
    <x v="142"/>
    <m/>
    <m/>
    <m/>
  </r>
  <r>
    <m/>
    <m/>
    <m/>
    <m/>
    <m/>
    <x v="4"/>
    <n v="370000000"/>
    <n v="263000000"/>
    <m/>
    <n v="136000000"/>
    <m/>
    <m/>
    <m/>
    <m/>
    <m/>
    <m/>
    <m/>
    <m/>
    <m/>
    <m/>
    <m/>
    <s v=""/>
    <n v="171000000"/>
    <m/>
    <m/>
    <s v="Concurrents : Mfex (Suède : 320 Md euros), Claerstream (Luxembourg : 240 Md euros) et Fund Channel (Luxembourg : 140 Md euros)"/>
    <m/>
    <n v="3174"/>
    <n v="0"/>
    <s v="GB00BNTJ354612020"/>
    <s v="GB00BNTJ3546"/>
    <n v="1"/>
    <x v="142"/>
    <m/>
    <m/>
    <m/>
  </r>
  <r>
    <m/>
    <m/>
    <m/>
    <m/>
    <m/>
    <x v="1"/>
    <n v="0.62280701754385959"/>
    <n v="0.83916083916083917"/>
    <m/>
    <m/>
    <m/>
    <m/>
    <m/>
    <m/>
    <m/>
    <m/>
    <m/>
    <m/>
    <m/>
    <m/>
    <m/>
    <s v=""/>
    <m/>
    <m/>
    <m/>
    <s v="Répartition géographique : présence dans 59 pays (EMEA, LATAM et Asie)"/>
    <m/>
    <n v="3175"/>
    <n v="0"/>
    <s v="GB00BNTJ35461"/>
    <s v="GB00BNTJ3546"/>
    <n v="1"/>
    <x v="142"/>
    <m/>
    <m/>
    <m/>
  </r>
  <r>
    <m/>
    <m/>
    <m/>
    <m/>
    <m/>
    <x v="5"/>
    <n v="228000000"/>
    <n v="143000000"/>
    <m/>
    <n v="89000000"/>
    <m/>
    <m/>
    <m/>
    <m/>
    <m/>
    <m/>
    <m/>
    <m/>
    <m/>
    <m/>
    <m/>
    <s v=""/>
    <n v="155000000"/>
    <m/>
    <m/>
    <s v="Actionnaires : LHC3 Plc (Hellman &amp; Friedman) : 44,93%, BNP security service : 9,47%, Credit Suisse : 9,4%, BNP asset management : 6,3%, Flottant : 29,9%"/>
    <m/>
    <n v="3176"/>
    <n v="0"/>
    <s v="GB00BNTJ354612019"/>
    <s v="GB00BNTJ3546"/>
    <n v="1"/>
    <x v="142"/>
    <m/>
    <m/>
    <m/>
  </r>
  <r>
    <m/>
    <m/>
    <m/>
    <m/>
    <m/>
    <x v="1"/>
    <n v="3.6363636363636376E-2"/>
    <n v="5.9259259259259345E-2"/>
    <m/>
    <m/>
    <m/>
    <m/>
    <m/>
    <m/>
    <m/>
    <m/>
    <m/>
    <m/>
    <m/>
    <m/>
    <m/>
    <s v=""/>
    <m/>
    <m/>
    <m/>
    <s v="Acheté en 2017 par Hellman &amp; Friedman et le fonds singapourien (GIC) au prix de 1,8 Md euros auprès de Santander et Sanpaolo"/>
    <m/>
    <n v="3177"/>
    <n v="0"/>
    <s v="GB00BNTJ35461"/>
    <s v="GB00BNTJ3546"/>
    <n v="1"/>
    <x v="142"/>
    <m/>
    <m/>
    <m/>
  </r>
  <r>
    <m/>
    <m/>
    <m/>
    <m/>
    <m/>
    <x v="6"/>
    <n v="220000000"/>
    <n v="135000000"/>
    <m/>
    <n v="85000000"/>
    <m/>
    <m/>
    <m/>
    <m/>
    <m/>
    <m/>
    <m/>
    <m/>
    <m/>
    <m/>
    <m/>
    <s v=""/>
    <m/>
    <m/>
    <m/>
    <s v="En 2023, Euronext présente une OPA qui valorise Allfunds à 5,5 Mds d'€"/>
    <m/>
    <n v="3178"/>
    <n v="0"/>
    <s v="GB00BNTJ354612018"/>
    <s v="GB00BNTJ3546"/>
    <n v="1"/>
    <x v="142"/>
    <m/>
    <m/>
    <m/>
  </r>
  <r>
    <m/>
    <m/>
    <m/>
    <m/>
    <m/>
    <x v="1"/>
    <m/>
    <m/>
    <m/>
    <m/>
    <m/>
    <m/>
    <m/>
    <m/>
    <m/>
    <m/>
    <m/>
    <m/>
    <m/>
    <m/>
    <m/>
    <s v=""/>
    <m/>
    <m/>
    <m/>
    <s v="Effectif : 884 employés"/>
    <m/>
    <n v="3179"/>
    <n v="0"/>
    <s v="GB00BNTJ35461"/>
    <s v="GB00BNTJ3546"/>
    <n v="1"/>
    <x v="142"/>
    <m/>
    <m/>
    <m/>
  </r>
  <r>
    <m/>
    <m/>
    <m/>
    <m/>
    <s v="IPO le 23 avril 2021 à 11,5 euros"/>
    <x v="1"/>
    <m/>
    <m/>
    <m/>
    <m/>
    <m/>
    <m/>
    <m/>
    <m/>
    <m/>
    <m/>
    <m/>
    <m/>
    <m/>
    <m/>
    <m/>
    <s v=""/>
    <m/>
    <m/>
    <m/>
    <s v="CA par salarié : 418K"/>
    <m/>
    <n v="3180"/>
    <n v="0"/>
    <s v="GB00BNTJ35461"/>
    <s v="GB00BNTJ3546"/>
    <n v="1"/>
    <x v="142"/>
    <m/>
    <m/>
    <m/>
  </r>
  <r>
    <m/>
    <m/>
    <m/>
    <m/>
    <m/>
    <x v="1"/>
    <m/>
    <m/>
    <m/>
    <m/>
    <m/>
    <m/>
    <m/>
    <m/>
    <m/>
    <m/>
    <m/>
    <m/>
    <m/>
    <m/>
    <m/>
    <s v=""/>
    <m/>
    <m/>
    <m/>
    <m/>
    <m/>
    <n v="3181"/>
    <n v="0"/>
    <s v="GB00BNTJ35461"/>
    <s v="GB00BNTJ3546"/>
    <n v="1"/>
    <x v="142"/>
    <m/>
    <m/>
    <m/>
  </r>
  <r>
    <m/>
    <m/>
    <m/>
    <m/>
    <m/>
    <x v="1"/>
    <m/>
    <m/>
    <m/>
    <m/>
    <m/>
    <m/>
    <m/>
    <m/>
    <m/>
    <m/>
    <m/>
    <m/>
    <m/>
    <m/>
    <m/>
    <s v=""/>
    <m/>
    <m/>
    <m/>
    <m/>
    <m/>
    <n v="3182"/>
    <n v="0"/>
    <s v="GB00BNTJ35461"/>
    <s v="GB00BNTJ3546"/>
    <n v="1"/>
    <x v="142"/>
    <m/>
    <m/>
    <m/>
  </r>
  <r>
    <m/>
    <m/>
    <m/>
    <m/>
    <m/>
    <x v="1"/>
    <m/>
    <m/>
    <m/>
    <m/>
    <m/>
    <m/>
    <m/>
    <m/>
    <m/>
    <m/>
    <m/>
    <m/>
    <m/>
    <m/>
    <m/>
    <s v=""/>
    <m/>
    <m/>
    <m/>
    <m/>
    <m/>
    <n v="3183"/>
    <n v="0"/>
    <s v="GB00BNTJ35461"/>
    <s v="GB00BNTJ3546"/>
    <n v="1"/>
    <x v="142"/>
    <m/>
    <m/>
    <m/>
  </r>
  <r>
    <m/>
    <m/>
    <m/>
    <m/>
    <m/>
    <x v="1"/>
    <m/>
    <m/>
    <m/>
    <m/>
    <m/>
    <m/>
    <m/>
    <m/>
    <m/>
    <m/>
    <m/>
    <m/>
    <m/>
    <m/>
    <m/>
    <s v=""/>
    <m/>
    <m/>
    <m/>
    <m/>
    <m/>
    <n v="3184"/>
    <n v="0"/>
    <s v="GB00BNTJ35461"/>
    <s v="GB00BNTJ3546"/>
    <n v="1"/>
    <x v="142"/>
    <m/>
    <m/>
    <m/>
  </r>
  <r>
    <s v="Nvidia"/>
    <s v="Conception processeurs"/>
    <s v="États-Unis"/>
    <s v="Dollar"/>
    <m/>
    <x v="0"/>
    <m/>
    <m/>
    <m/>
    <m/>
    <m/>
    <m/>
    <m/>
    <m/>
    <m/>
    <m/>
    <m/>
    <m/>
    <m/>
    <m/>
    <m/>
    <s v=""/>
    <m/>
    <m/>
    <m/>
    <m/>
    <m/>
    <n v="3185"/>
    <n v="0"/>
    <s v="US67066G104012023"/>
    <s v="US67066G1040"/>
    <n v="1"/>
    <x v="143"/>
    <m/>
    <m/>
    <m/>
  </r>
  <r>
    <m/>
    <m/>
    <m/>
    <m/>
    <m/>
    <x v="1"/>
    <m/>
    <m/>
    <m/>
    <m/>
    <m/>
    <m/>
    <m/>
    <m/>
    <m/>
    <m/>
    <m/>
    <m/>
    <m/>
    <m/>
    <m/>
    <s v=""/>
    <m/>
    <m/>
    <m/>
    <m/>
    <m/>
    <n v="3186"/>
    <n v="0"/>
    <s v="US67066G10401"/>
    <s v="US67066G1040"/>
    <n v="1"/>
    <x v="143"/>
    <m/>
    <m/>
    <m/>
  </r>
  <r>
    <m/>
    <m/>
    <m/>
    <m/>
    <n v="146.13999999999999"/>
    <x v="2"/>
    <m/>
    <m/>
    <m/>
    <m/>
    <m/>
    <m/>
    <m/>
    <m/>
    <m/>
    <n v="2512000000"/>
    <m/>
    <m/>
    <m/>
    <m/>
    <m/>
    <s v=""/>
    <m/>
    <m/>
    <m/>
    <s v="Nvidia Corporation, fondée en 1993, est une entreprise américaine spécialisée dans la conception de processeurs graphiques, de cartes graphiques et de puces graphiques pour PC et consoles de jeux."/>
    <m/>
    <n v="3187"/>
    <n v="0"/>
    <s v="US67066G104012022"/>
    <s v="US67066G1040"/>
    <n v="1"/>
    <x v="143"/>
    <m/>
    <m/>
    <m/>
  </r>
  <r>
    <m/>
    <m/>
    <m/>
    <m/>
    <m/>
    <x v="1"/>
    <m/>
    <m/>
    <m/>
    <m/>
    <m/>
    <m/>
    <m/>
    <m/>
    <m/>
    <m/>
    <m/>
    <m/>
    <m/>
    <m/>
    <m/>
    <s v=""/>
    <m/>
    <m/>
    <m/>
    <s v="Dirigeants : Jen-Hsun Huang (PDG) détient 3,65% du capital, Chris A. Malachowsky (VP),  Curtis Priem (Directeur Technique) sont les 3 fondateurs de la société."/>
    <m/>
    <n v="3188"/>
    <n v="0"/>
    <s v="US67066G10401"/>
    <s v="US67066G1040"/>
    <n v="1"/>
    <x v="143"/>
    <m/>
    <m/>
    <m/>
  </r>
  <r>
    <m/>
    <m/>
    <m/>
    <m/>
    <n v="294.10000000000002"/>
    <x v="3"/>
    <n v="16675000000"/>
    <m/>
    <n v="4532000000"/>
    <n v="4332000000"/>
    <n v="5964000000"/>
    <n v="16893000000"/>
    <n v="13.44984076433121"/>
    <n v="0.25643757769490322"/>
    <n v="0.13879336745854662"/>
    <n v="1256000000"/>
    <n v="369389600000"/>
    <n v="21.866429882199728"/>
    <e v="#DIV/0!"/>
    <m/>
    <m/>
    <s v=""/>
    <m/>
    <m/>
    <m/>
    <s v="Actionnaires : The Vanguard group (7,68%), FMR LLC (7,28%), BlackRock (6,55%)"/>
    <m/>
    <n v="3189"/>
    <n v="0"/>
    <s v="US67066G104012021"/>
    <s v="US67066G1040"/>
    <n v="1"/>
    <x v="143"/>
    <m/>
    <m/>
    <m/>
  </r>
  <r>
    <m/>
    <m/>
    <m/>
    <m/>
    <m/>
    <x v="1"/>
    <n v="0.52729437625938824"/>
    <e v="#DIV/0!"/>
    <n v="0.59241040056219263"/>
    <n v="0.54935622317596566"/>
    <m/>
    <m/>
    <m/>
    <m/>
    <m/>
    <m/>
    <m/>
    <m/>
    <m/>
    <m/>
    <m/>
    <s v=""/>
    <m/>
    <m/>
    <m/>
    <s v="Concurrents : AMD, Intel &amp; Qualcomm"/>
    <m/>
    <n v="3190"/>
    <n v="0"/>
    <s v="US67066G10401"/>
    <s v="US67066G1040"/>
    <n v="1"/>
    <x v="143"/>
    <m/>
    <m/>
    <m/>
  </r>
  <r>
    <m/>
    <m/>
    <m/>
    <m/>
    <n v="522.20000000000005"/>
    <x v="4"/>
    <n v="10918000000"/>
    <m/>
    <n v="2846000000"/>
    <n v="2796000000"/>
    <n v="1991000000"/>
    <n v="12204000000"/>
    <n v="19.747572815533982"/>
    <n v="0.22910521140609635"/>
    <n v="0.14034519196900316"/>
    <n v="618000000"/>
    <n v="322719600000"/>
    <n v="26.443756145526056"/>
    <e v="#DIV/0!"/>
    <m/>
    <m/>
    <s v=""/>
    <m/>
    <m/>
    <m/>
    <s v="IPO en 1999 à 1,64$"/>
    <m/>
    <n v="3191"/>
    <n v="0"/>
    <s v="US67066G104012020"/>
    <s v="US67066G1040"/>
    <n v="1"/>
    <x v="143"/>
    <m/>
    <m/>
    <m/>
  </r>
  <r>
    <m/>
    <m/>
    <m/>
    <m/>
    <m/>
    <x v="1"/>
    <n v="-6.8111983612154314E-2"/>
    <e v="#DIV/0!"/>
    <n v="-0.25184016824395372"/>
    <n v="-0.3248007727602028"/>
    <m/>
    <m/>
    <m/>
    <m/>
    <m/>
    <m/>
    <m/>
    <m/>
    <m/>
    <m/>
    <m/>
    <s v=""/>
    <m/>
    <m/>
    <m/>
    <s v="Nvidia prévoit d'acquérir la société britanique ARM (leader des puces smartphone) pour 40 Mds de $ en 2021 via SoftBank afin de se profiler sur le marché des intelligence artificiel et des data center. "/>
    <m/>
    <n v="3192"/>
    <n v="0"/>
    <s v="US67066G10401"/>
    <s v="US67066G1040"/>
    <n v="1"/>
    <x v="143"/>
    <m/>
    <m/>
    <m/>
  </r>
  <r>
    <m/>
    <m/>
    <m/>
    <m/>
    <n v="239.4"/>
    <x v="5"/>
    <n v="11716000000"/>
    <m/>
    <n v="3804000000"/>
    <n v="4141000000"/>
    <n v="1988000000"/>
    <n v="9342000000"/>
    <n v="14.9472"/>
    <n v="0.44326696638835367"/>
    <n v="0.23502206531332745"/>
    <n v="625000000"/>
    <n v="149625000000"/>
    <n v="16.016377649325626"/>
    <e v="#DIV/0!"/>
    <m/>
    <m/>
    <s v=""/>
    <m/>
    <m/>
    <m/>
    <s v="Répartition de l'activité produit : GPU (86,7%) Processeur (13,3%)"/>
    <m/>
    <n v="3193"/>
    <n v="0"/>
    <s v="US67066G104012019"/>
    <s v="US67066G1040"/>
    <n v="1"/>
    <x v="143"/>
    <m/>
    <m/>
    <m/>
  </r>
  <r>
    <m/>
    <m/>
    <m/>
    <m/>
    <m/>
    <x v="1"/>
    <n v="0.20609429689108505"/>
    <e v="#DIV/0!"/>
    <n v="0.18504672897196262"/>
    <n v="0.35904168034131922"/>
    <m/>
    <m/>
    <m/>
    <m/>
    <m/>
    <m/>
    <m/>
    <m/>
    <m/>
    <m/>
    <m/>
    <s v=""/>
    <m/>
    <m/>
    <m/>
    <s v="Répartition géographique : Taiwan (27,7%), Chine (25%), Asie pacifique (9,1%), Europe (9,1%), USA (8,1%), autres (5,5%)"/>
    <m/>
    <n v="3194"/>
    <n v="0"/>
    <s v="US67066G10401"/>
    <s v="US67066G1040"/>
    <n v="1"/>
    <x v="143"/>
    <m/>
    <m/>
    <m/>
  </r>
  <r>
    <m/>
    <m/>
    <m/>
    <m/>
    <n v="133.6"/>
    <x v="6"/>
    <n v="9714000000"/>
    <m/>
    <n v="3210000000"/>
    <n v="3047000000"/>
    <n v="2000000000"/>
    <n v="7471000000"/>
    <n v="11.82120253164557"/>
    <n v="0.40784366216035339"/>
    <n v="0.23725055432372505"/>
    <n v="632000000"/>
    <n v="84435200000"/>
    <n v="11.301726676482399"/>
    <e v="#DIV/0!"/>
    <m/>
    <m/>
    <s v=""/>
    <m/>
    <m/>
    <m/>
    <s v="Répartition de l'activité secteur : Gaming (50,5%), Professional Vizualisation (11,1%), Data Center (27,3%), Automobile (6,4%), Autre (4,7%)"/>
    <m/>
    <n v="3195"/>
    <n v="0"/>
    <s v="US67066G104012018"/>
    <s v="US67066G1040"/>
    <n v="1"/>
    <x v="143"/>
    <m/>
    <m/>
    <m/>
  </r>
  <r>
    <m/>
    <m/>
    <m/>
    <m/>
    <m/>
    <x v="1"/>
    <n v="0.40578871201157751"/>
    <e v="#DIV/0!"/>
    <n v="0.65977249224405377"/>
    <n v="0.82893157262905159"/>
    <m/>
    <m/>
    <m/>
    <m/>
    <m/>
    <m/>
    <m/>
    <m/>
    <m/>
    <m/>
    <m/>
    <s v=""/>
    <m/>
    <m/>
    <m/>
    <s v="Marché du jeu vidéo : 149Mds en 2020 51% mobile 22%PC et 27% console"/>
    <m/>
    <n v="3196"/>
    <n v="0"/>
    <s v="US67066G10401"/>
    <s v="US67066G1040"/>
    <n v="1"/>
    <x v="143"/>
    <m/>
    <m/>
    <m/>
  </r>
  <r>
    <m/>
    <m/>
    <m/>
    <m/>
    <n v="193.5"/>
    <x v="7"/>
    <n v="6910000000"/>
    <m/>
    <n v="1934000000"/>
    <n v="1666000000"/>
    <n v="2779000000"/>
    <n v="5762000000"/>
    <n v="8.8782742681047768"/>
    <n v="0.28913571676501215"/>
    <n v="0.15850602973890646"/>
    <n v="649000000"/>
    <n v="125581500000"/>
    <n v="21.794776119402986"/>
    <e v="#DIV/0!"/>
    <m/>
    <m/>
    <s v=""/>
    <m/>
    <m/>
    <m/>
    <s v="Effectif : 18975"/>
    <m/>
    <n v="3197"/>
    <n v="0"/>
    <s v="US67066G104012017"/>
    <s v="US67066G1040"/>
    <n v="1"/>
    <x v="143"/>
    <m/>
    <m/>
    <m/>
  </r>
  <r>
    <m/>
    <m/>
    <m/>
    <m/>
    <m/>
    <x v="1"/>
    <n v="0.37924151696606789"/>
    <e v="#DIV/0!"/>
    <n v="1.5890227576974567"/>
    <n v="1.7133550488599347"/>
    <m/>
    <m/>
    <m/>
    <m/>
    <m/>
    <m/>
    <m/>
    <m/>
    <m/>
    <m/>
    <m/>
    <s v=""/>
    <m/>
    <m/>
    <m/>
    <s v="CA par salarié : 575K$"/>
    <m/>
    <n v="3198"/>
    <n v="0"/>
    <s v="US67066G10401"/>
    <s v="US67066G1040"/>
    <n v="1"/>
    <x v="143"/>
    <m/>
    <m/>
    <m/>
  </r>
  <r>
    <m/>
    <m/>
    <m/>
    <m/>
    <n v="109.8"/>
    <x v="8"/>
    <n v="5010000000"/>
    <m/>
    <n v="747000000"/>
    <n v="614000000"/>
    <n v="1413000000"/>
    <n v="4469000000"/>
    <n v="7.8541300527240772"/>
    <n v="0.13739091519355562"/>
    <n v="8.8898333900033988E-2"/>
    <n v="569000000"/>
    <n v="62476200000"/>
    <n v="13.979906019243678"/>
    <e v="#DIV/0!"/>
    <m/>
    <m/>
    <s v=""/>
    <m/>
    <m/>
    <m/>
    <s v="Minoritaire : faible"/>
    <m/>
    <n v="3199"/>
    <n v="0"/>
    <s v="US67066G104012016"/>
    <s v="US67066G1040"/>
    <n v="1"/>
    <x v="143"/>
    <m/>
    <m/>
    <m/>
  </r>
  <r>
    <m/>
    <m/>
    <m/>
    <m/>
    <m/>
    <x v="1"/>
    <m/>
    <m/>
    <m/>
    <m/>
    <m/>
    <m/>
    <m/>
    <m/>
    <m/>
    <m/>
    <m/>
    <m/>
    <m/>
    <m/>
    <m/>
    <s v=""/>
    <m/>
    <m/>
    <m/>
    <s v="CAC : Deloitte "/>
    <m/>
    <n v="3200"/>
    <n v="0"/>
    <s v="US67066G10401"/>
    <s v="US67066G1040"/>
    <n v="1"/>
    <x v="143"/>
    <m/>
    <m/>
    <m/>
  </r>
  <r>
    <m/>
    <m/>
    <m/>
    <m/>
    <m/>
    <x v="1"/>
    <m/>
    <m/>
    <m/>
    <m/>
    <m/>
    <m/>
    <m/>
    <m/>
    <m/>
    <m/>
    <m/>
    <m/>
    <m/>
    <m/>
    <m/>
    <s v=""/>
    <m/>
    <m/>
    <m/>
    <m/>
    <m/>
    <n v="3201"/>
    <n v="0"/>
    <s v="US67066G10401"/>
    <s v="US67066G1040"/>
    <n v="1"/>
    <x v="143"/>
    <m/>
    <m/>
    <m/>
  </r>
  <r>
    <m/>
    <m/>
    <m/>
    <m/>
    <m/>
    <x v="1"/>
    <m/>
    <m/>
    <m/>
    <m/>
    <m/>
    <m/>
    <m/>
    <m/>
    <m/>
    <m/>
    <m/>
    <m/>
    <m/>
    <m/>
    <m/>
    <s v=""/>
    <m/>
    <m/>
    <m/>
    <m/>
    <m/>
    <n v="3202"/>
    <n v="0"/>
    <s v="US67066G10401"/>
    <s v="US67066G1040"/>
    <n v="1"/>
    <x v="143"/>
    <m/>
    <m/>
    <m/>
  </r>
  <r>
    <m/>
    <m/>
    <m/>
    <m/>
    <m/>
    <x v="1"/>
    <m/>
    <m/>
    <m/>
    <m/>
    <m/>
    <m/>
    <m/>
    <m/>
    <m/>
    <m/>
    <m/>
    <m/>
    <m/>
    <m/>
    <m/>
    <s v=""/>
    <m/>
    <m/>
    <m/>
    <m/>
    <m/>
    <n v="3203"/>
    <n v="0"/>
    <s v="US67066G10401"/>
    <s v="US67066G1040"/>
    <n v="1"/>
    <x v="143"/>
    <m/>
    <m/>
    <m/>
  </r>
  <r>
    <s v="ST Microelectronics"/>
    <s v="Conception processeurs"/>
    <s v="France-Italie"/>
    <s v="Euro"/>
    <n v="33"/>
    <x v="2"/>
    <n v="15215094339.622641"/>
    <m/>
    <n v="4187735849.0566034"/>
    <n v="3735849056.6037736"/>
    <n v="-1755660377.3584905"/>
    <n v="12035849056.603773"/>
    <n v="13.208218016426015"/>
    <n v="0.31039347860166172"/>
    <n v="0.28515187666330177"/>
    <n v="911239430"/>
    <n v="30070901190"/>
    <n v="2.4984445258974763"/>
    <e v="#DIV/0!"/>
    <s v="IG / positive"/>
    <m/>
    <s v=""/>
    <n v="1591000000"/>
    <m/>
    <m/>
    <s v="ST Microelectronics est fondée en 1987 par l'association de SGS et Thomson initialement nommé SGS-Thomson et renommé en 1998 ST Microelectronics"/>
    <m/>
    <n v="3204"/>
    <n v="0"/>
    <s v="NL000022622312022"/>
    <s v="NL0000226223"/>
    <n v="1"/>
    <x v="144"/>
    <m/>
    <m/>
    <m/>
  </r>
  <r>
    <m/>
    <m/>
    <m/>
    <m/>
    <m/>
    <x v="1"/>
    <n v="0.34731264037094145"/>
    <e v="#DIV/0!"/>
    <n v="0.95623873891441136"/>
    <n v="1.1107547169811318"/>
    <m/>
    <m/>
    <m/>
    <m/>
    <m/>
    <m/>
    <m/>
    <m/>
    <m/>
    <m/>
    <m/>
    <s v=""/>
    <m/>
    <m/>
    <m/>
    <s v="Dirigeants : Jean-Marc Chéry (Président et CEO en 2018), Lorenzo Grandi (CFO), Carlo Bozotti (PDG de 2005 à 2018)"/>
    <m/>
    <n v="3205"/>
    <n v="0"/>
    <s v="NL00002262231"/>
    <s v="NL0000226223"/>
    <n v="1"/>
    <x v="144"/>
    <m/>
    <m/>
    <m/>
  </r>
  <r>
    <m/>
    <m/>
    <m/>
    <m/>
    <n v="43.3"/>
    <x v="3"/>
    <n v="11292920353.982302"/>
    <m/>
    <n v="2140707964.6017702"/>
    <n v="1769911504.4247789"/>
    <n v="-921698113.20754707"/>
    <n v="10356603773.584906"/>
    <n v="11.365403463264212"/>
    <n v="0.17089690241303204"/>
    <n v="0.15882464850860048"/>
    <n v="911239430"/>
    <n v="39456667319"/>
    <n v="3.8098075567626162"/>
    <e v="#DIV/0!"/>
    <m/>
    <m/>
    <s v=""/>
    <n v="1120000000"/>
    <m/>
    <m/>
    <s v="Actionnaires : STMicroelectronics holding 27,5% (actionnaires italiens et français BPI), Invesco Advisers 4%, Capital Research &amp; management 3,7%, BlackRock invstmt 2,6%"/>
    <m/>
    <n v="3206"/>
    <n v="0"/>
    <s v="NL000022622312021"/>
    <s v="NL0000226223"/>
    <n v="1"/>
    <x v="144"/>
    <m/>
    <m/>
    <m/>
  </r>
  <r>
    <m/>
    <m/>
    <m/>
    <m/>
    <m/>
    <x v="1"/>
    <n v="0.10509055230279896"/>
    <n v="-1"/>
    <n v="0.61807102388644752"/>
    <n v="0.60028164957032448"/>
    <m/>
    <m/>
    <m/>
    <m/>
    <m/>
    <m/>
    <m/>
    <m/>
    <m/>
    <m/>
    <m/>
    <s v=""/>
    <m/>
    <m/>
    <m/>
    <s v="Principaux clients : Apple, Robert Bosch, Cisco, Continental, Hewlett-Packard, Huawei, Nintendo, Samsung, Seagate et Western Digital"/>
    <m/>
    <n v="3207"/>
    <n v="0"/>
    <s v="NL00002262231"/>
    <s v="NL0000226223"/>
    <n v="1"/>
    <x v="144"/>
    <m/>
    <m/>
    <m/>
  </r>
  <r>
    <m/>
    <m/>
    <m/>
    <m/>
    <n v="30.28"/>
    <x v="4"/>
    <n v="10219000000"/>
    <n v="2248180000"/>
    <n v="1323000000"/>
    <n v="1106000000"/>
    <n v="-1099000000"/>
    <n v="8448000000"/>
    <n v="9.2708894302345985"/>
    <n v="0.13091856060606061"/>
    <n v="0.12601714518982174"/>
    <n v="911239430"/>
    <n v="27592329940.400002"/>
    <n v="3.2661375402935606"/>
    <n v="11.784345533008924"/>
    <m/>
    <m/>
    <s v=""/>
    <m/>
    <m/>
    <m/>
    <s v="Concurrents : Analog Device, Linear Technology, National Semiconductor, ASML "/>
    <m/>
    <n v="3208"/>
    <n v="0"/>
    <s v="NL000022622312020"/>
    <s v="NL0000226223"/>
    <n v="1"/>
    <x v="144"/>
    <m/>
    <m/>
    <m/>
  </r>
  <r>
    <m/>
    <m/>
    <m/>
    <m/>
    <m/>
    <x v="1"/>
    <n v="6.938049393051493E-2"/>
    <n v="9.4249807742852409E-2"/>
    <n v="9.9750623441396513E-2"/>
    <n v="7.1705426356589053E-2"/>
    <m/>
    <m/>
    <m/>
    <m/>
    <m/>
    <m/>
    <m/>
    <m/>
    <m/>
    <m/>
    <m/>
    <s v=""/>
    <m/>
    <m/>
    <m/>
    <s v="200 000 clients (automobile, téléphonie….), numéro 10-11 mondial. Industrie &amp; Auto : 65% du CA - Électronique : 35% de CA"/>
    <m/>
    <n v="3209"/>
    <n v="0"/>
    <s v="NL00002262231"/>
    <s v="NL0000226223"/>
    <n v="1"/>
    <x v="144"/>
    <m/>
    <m/>
    <m/>
  </r>
  <r>
    <m/>
    <m/>
    <m/>
    <m/>
    <n v="24.34"/>
    <x v="5"/>
    <n v="9556000000"/>
    <n v="2054540000"/>
    <n v="1203000000"/>
    <n v="1032000000"/>
    <n v="-672000000"/>
    <n v="7043000000"/>
    <n v="7.808548259808421"/>
    <n v="0.14652846798239386"/>
    <n v="0.13217705226808979"/>
    <n v="901960232"/>
    <n v="21953712046.880001"/>
    <n v="3.1170966984069288"/>
    <n v="10.358382921179437"/>
    <m/>
    <m/>
    <s v=""/>
    <m/>
    <m/>
    <m/>
    <s v="Répartition de l'activité géographique : EMEA : 19,2%; Ameriques : 11,4%; Asie-Pacifique 69,4%"/>
    <m/>
    <n v="3210"/>
    <n v="0"/>
    <s v="NL000022622312019"/>
    <s v="NL0000226223"/>
    <n v="1"/>
    <x v="144"/>
    <m/>
    <m/>
    <m/>
  </r>
  <r>
    <m/>
    <m/>
    <m/>
    <m/>
    <m/>
    <x v="1"/>
    <n v="-1.1175496688741737E-2"/>
    <n v="-6.3448157656737725E-2"/>
    <n v="-0.14071428571428568"/>
    <n v="-0.19813519813519809"/>
    <m/>
    <m/>
    <m/>
    <m/>
    <m/>
    <m/>
    <m/>
    <m/>
    <m/>
    <m/>
    <m/>
    <s v=""/>
    <m/>
    <m/>
    <m/>
    <s v="Investissement : 1 Md euros pour une usine qui génère 1 Md euros de CA (1 an). Dans l'automobile : 1000 composants par voiture à vérifier"/>
    <m/>
    <n v="3211"/>
    <n v="0"/>
    <s v="NL00002262231"/>
    <s v="NL0000226223"/>
    <n v="1"/>
    <x v="144"/>
    <m/>
    <m/>
    <m/>
  </r>
  <r>
    <m/>
    <m/>
    <m/>
    <m/>
    <n v="12.24"/>
    <x v="6"/>
    <n v="9664000000"/>
    <n v="2193728000"/>
    <n v="1400000000"/>
    <n v="1287000000"/>
    <n v="-686000000"/>
    <n v="6459000000"/>
    <n v="7.1229794881283359"/>
    <n v="0.19925685090571296"/>
    <n v="0.16975575957041397"/>
    <n v="906783462"/>
    <n v="11099029574.880001"/>
    <n v="1.718382036674408"/>
    <n v="4.7467277506053627"/>
    <m/>
    <m/>
    <s v=""/>
    <m/>
    <m/>
    <m/>
    <s v="En 2021, 1,8 à 2 Md euros d'investissement pour faire face à la croissance des marchés (voitures, énergie, télécoms 5G…) année de forte croissance +25% en CA et +80 % en résultat net"/>
    <m/>
    <n v="3212"/>
    <n v="0"/>
    <s v="NL000022622312018"/>
    <s v="NL0000226223"/>
    <n v="1"/>
    <x v="144"/>
    <m/>
    <m/>
    <m/>
  </r>
  <r>
    <m/>
    <m/>
    <m/>
    <m/>
    <m/>
    <x v="1"/>
    <n v="0.15778123876841987"/>
    <n v="0.33409310254026048"/>
    <n v="0.39303482587064686"/>
    <n v="0.60473815461346625"/>
    <m/>
    <m/>
    <m/>
    <m/>
    <m/>
    <m/>
    <m/>
    <m/>
    <m/>
    <m/>
    <m/>
    <s v=""/>
    <m/>
    <m/>
    <m/>
    <s v="En 2022, la croissance se poursuit. 3,5Md $ d'investissement.  Dépendance vis-à-vis d'Apple. Intel investit 20 Md $ dans deux usines, St Micro est sur d'autres segments de la chaîne de valeurs"/>
    <m/>
    <n v="3213"/>
    <n v="0"/>
    <s v="NL00002262231"/>
    <s v="NL0000226223"/>
    <n v="1"/>
    <x v="144"/>
    <m/>
    <m/>
    <m/>
  </r>
  <r>
    <m/>
    <m/>
    <m/>
    <m/>
    <n v="18.2"/>
    <x v="7"/>
    <n v="8347000000"/>
    <n v="1644359000"/>
    <n v="1005000000"/>
    <n v="802000000"/>
    <n v="-489000000"/>
    <n v="5404000000"/>
    <n v="5.972340664711945"/>
    <n v="0.14840858623242043"/>
    <n v="0.14313326551373348"/>
    <n v="904837869"/>
    <n v="16468049215.799999"/>
    <n v="3.0473814240932642"/>
    <n v="9.7174943037378085"/>
    <m/>
    <m/>
    <s v=""/>
    <m/>
    <m/>
    <m/>
    <s v="Structurellement croissance à venir dans la Métaverse et l'automobile car l'électrification des voitures nécessitent plus de puces"/>
    <m/>
    <n v="3214"/>
    <n v="0"/>
    <s v="NL000022622312017"/>
    <s v="NL0000226223"/>
    <n v="1"/>
    <x v="144"/>
    <m/>
    <m/>
    <m/>
  </r>
  <r>
    <m/>
    <m/>
    <m/>
    <m/>
    <m/>
    <x v="1"/>
    <n v="0.19704574788469809"/>
    <n v="0.80013749872737039"/>
    <n v="3.4273127753303969"/>
    <n v="3.8606060606060604"/>
    <m/>
    <m/>
    <m/>
    <m/>
    <m/>
    <m/>
    <m/>
    <m/>
    <m/>
    <m/>
    <m/>
    <s v=""/>
    <m/>
    <m/>
    <m/>
    <s v="Résultats 2022 excellents avec un doublement du résultat net et forte progression du FCF"/>
    <m/>
    <n v="3215"/>
    <n v="0"/>
    <s v="NL00002262231"/>
    <s v="NL0000226223"/>
    <n v="1"/>
    <x v="144"/>
    <m/>
    <m/>
    <m/>
  </r>
  <r>
    <m/>
    <m/>
    <m/>
    <m/>
    <n v="10.78"/>
    <x v="8"/>
    <n v="6973000000"/>
    <n v="913463000"/>
    <n v="227000000"/>
    <n v="165000000"/>
    <n v="-513000000"/>
    <n v="4535000000"/>
    <n v="5.1040108096893917"/>
    <n v="3.6383682469680267E-2"/>
    <n v="3.9507707608155147E-2"/>
    <n v="888516927"/>
    <n v="9578212473.0599995"/>
    <n v="2.1120644924057332"/>
    <n v="9.924006197361031"/>
    <m/>
    <m/>
    <s v=""/>
    <m/>
    <m/>
    <m/>
    <s v="Neutralité carbone en 2027"/>
    <m/>
    <n v="3216"/>
    <n v="0"/>
    <s v="NL000022622312016"/>
    <s v="NL0000226223"/>
    <n v="1"/>
    <x v="144"/>
    <m/>
    <m/>
    <m/>
  </r>
  <r>
    <m/>
    <m/>
    <m/>
    <m/>
    <m/>
    <x v="1"/>
    <n v="1.1019283746556363E-2"/>
    <n v="7.6776635534950399E-2"/>
    <n v="1.0570537915035523"/>
    <n v="0.58653846153846145"/>
    <m/>
    <m/>
    <m/>
    <m/>
    <m/>
    <m/>
    <m/>
    <m/>
    <m/>
    <m/>
    <m/>
    <s v=""/>
    <m/>
    <m/>
    <m/>
    <s v="Minoritaire : 0,7%"/>
    <m/>
    <n v="3217"/>
    <n v="0"/>
    <s v="NL00002262231"/>
    <s v="NL0000226223"/>
    <n v="1"/>
    <x v="144"/>
    <m/>
    <m/>
    <m/>
  </r>
  <r>
    <m/>
    <m/>
    <m/>
    <m/>
    <n v="6.22"/>
    <x v="9"/>
    <n v="6897000000"/>
    <n v="848331000"/>
    <n v="110352000"/>
    <n v="104000000"/>
    <n v="-494000000"/>
    <n v="5396000000"/>
    <n v="6.1420269355222024"/>
    <n v="1.9273535952557451E-2"/>
    <n v="1.5758139534883722E-2"/>
    <n v="878537339"/>
    <n v="5464502248.5799999"/>
    <n v="1.012695005296516"/>
    <n v="5.8591543260590502"/>
    <m/>
    <m/>
    <s v=""/>
    <m/>
    <m/>
    <m/>
    <s v="CAC : Ernst &amp; Young "/>
    <m/>
    <n v="3218"/>
    <n v="0"/>
    <s v="NL000022622312015"/>
    <s v="NL0000226223"/>
    <n v="1"/>
    <x v="144"/>
    <m/>
    <m/>
    <m/>
  </r>
  <r>
    <m/>
    <m/>
    <m/>
    <m/>
    <m/>
    <x v="1"/>
    <n v="-5.9713701431492794E-2"/>
    <n v="-0.22896523517382417"/>
    <n v="-0.2543783783783784"/>
    <n v="-0.26760563380281688"/>
    <m/>
    <m/>
    <m/>
    <m/>
    <m/>
    <m/>
    <m/>
    <m/>
    <m/>
    <m/>
    <m/>
    <s v=""/>
    <m/>
    <m/>
    <m/>
    <s v="Pay-out ratio : 15% (amélioration de la politique de dividence par rapport à 2012-13)"/>
    <m/>
    <n v="3219"/>
    <n v="0"/>
    <s v="NL00002262231"/>
    <s v="NL0000226223"/>
    <n v="1"/>
    <x v="144"/>
    <m/>
    <m/>
    <m/>
  </r>
  <r>
    <m/>
    <m/>
    <m/>
    <m/>
    <n v="6.19"/>
    <x v="10"/>
    <n v="7335000000"/>
    <n v="1100250000"/>
    <n v="148000000"/>
    <n v="142000000"/>
    <n v="-548000000"/>
    <n v="5646000000"/>
    <n v="6.4604008215519864"/>
    <n v="2.5150549061282324E-2"/>
    <n v="2.0321694782267558E-2"/>
    <n v="873939583"/>
    <n v="5409686018.7700005"/>
    <n v="0.95814488465639402"/>
    <n v="4.4187103101749603"/>
    <m/>
    <m/>
    <s v=""/>
    <m/>
    <m/>
    <m/>
    <m/>
    <m/>
    <n v="3220"/>
    <n v="0"/>
    <s v="NL000022622312014"/>
    <s v="NL0000226223"/>
    <n v="1"/>
    <x v="144"/>
    <m/>
    <m/>
    <m/>
  </r>
  <r>
    <m/>
    <m/>
    <m/>
    <m/>
    <m/>
    <x v="1"/>
    <n v="-8.8819875776397494E-2"/>
    <n v="0.36677018633540381"/>
    <n v="-1.2610229276895943"/>
    <n v="-1.2091310751104565"/>
    <m/>
    <m/>
    <m/>
    <m/>
    <m/>
    <m/>
    <m/>
    <m/>
    <m/>
    <m/>
    <m/>
    <s v=""/>
    <m/>
    <m/>
    <m/>
    <m/>
    <m/>
    <n v="3221"/>
    <n v="0"/>
    <s v="NL00002262231"/>
    <s v="NL0000226223"/>
    <n v="1"/>
    <x v="144"/>
    <m/>
    <m/>
    <m/>
  </r>
  <r>
    <m/>
    <m/>
    <m/>
    <m/>
    <n v="5.59"/>
    <x v="11"/>
    <n v="8050000000"/>
    <n v="805000000"/>
    <n v="-567000000"/>
    <n v="-679000000"/>
    <n v="-784000000"/>
    <n v="6453000000"/>
    <n v="7.2456220501438073"/>
    <n v="-0.10522237718890438"/>
    <n v="-7.0012347856764856E-2"/>
    <n v="890606763"/>
    <n v="4978491805.1700001"/>
    <n v="0.77150035722454668"/>
    <n v="5.2105488262981368"/>
    <m/>
    <m/>
    <s v=""/>
    <m/>
    <m/>
    <m/>
    <m/>
    <m/>
    <n v="3222"/>
    <n v="0"/>
    <s v="NL000022622312013"/>
    <s v="NL0000226223"/>
    <n v="1"/>
    <x v="144"/>
    <m/>
    <m/>
    <m/>
  </r>
  <r>
    <m/>
    <m/>
    <m/>
    <m/>
    <m/>
    <x v="1"/>
    <n v="-3.9379474940334114E-2"/>
    <n v="-0.23150357995226734"/>
    <n v="-0.75496974935177186"/>
    <n v="-0.72676056338028161"/>
    <m/>
    <m/>
    <m/>
    <m/>
    <m/>
    <m/>
    <m/>
    <m/>
    <m/>
    <m/>
    <m/>
    <s v=""/>
    <m/>
    <m/>
    <m/>
    <m/>
    <m/>
    <n v="3223"/>
    <n v="0"/>
    <s v="NL00002262231"/>
    <s v="NL0000226223"/>
    <n v="1"/>
    <x v="144"/>
    <m/>
    <m/>
    <m/>
  </r>
  <r>
    <m/>
    <m/>
    <m/>
    <m/>
    <n v="5.28"/>
    <x v="12"/>
    <n v="8380000000"/>
    <n v="1047500000"/>
    <n v="-2314000000"/>
    <n v="-2485000000"/>
    <n v="-1230000000"/>
    <n v="7357000000"/>
    <n v="8.2892299989471319"/>
    <n v="-0.33777354900095147"/>
    <n v="-0.26437081769218213"/>
    <n v="887537202"/>
    <n v="4686196426.5600004"/>
    <n v="0.63697110596166917"/>
    <n v="3.2994715289355612"/>
    <m/>
    <m/>
    <s v=""/>
    <m/>
    <m/>
    <m/>
    <m/>
    <m/>
    <n v="3224"/>
    <n v="0"/>
    <s v="NL000022622312012"/>
    <s v="NL0000226223"/>
    <n v="1"/>
    <x v="144"/>
    <m/>
    <m/>
    <m/>
  </r>
  <r>
    <m/>
    <m/>
    <m/>
    <m/>
    <m/>
    <x v="1"/>
    <m/>
    <m/>
    <m/>
    <m/>
    <m/>
    <m/>
    <m/>
    <m/>
    <m/>
    <m/>
    <m/>
    <m/>
    <m/>
    <m/>
    <m/>
    <s v=""/>
    <m/>
    <m/>
    <m/>
    <m/>
    <m/>
    <n v="3225"/>
    <n v="0"/>
    <s v="NL00002262231"/>
    <s v="NL0000226223"/>
    <n v="1"/>
    <x v="144"/>
    <m/>
    <m/>
    <m/>
  </r>
  <r>
    <m/>
    <m/>
    <m/>
    <m/>
    <m/>
    <x v="1"/>
    <m/>
    <m/>
    <m/>
    <m/>
    <m/>
    <m/>
    <m/>
    <m/>
    <m/>
    <m/>
    <m/>
    <m/>
    <m/>
    <m/>
    <m/>
    <s v=""/>
    <m/>
    <m/>
    <m/>
    <m/>
    <m/>
    <n v="3226"/>
    <n v="0"/>
    <s v="NL00002262231"/>
    <s v="NL0000226223"/>
    <n v="1"/>
    <x v="144"/>
    <m/>
    <m/>
    <m/>
  </r>
  <r>
    <m/>
    <m/>
    <m/>
    <m/>
    <m/>
    <x v="1"/>
    <m/>
    <m/>
    <m/>
    <m/>
    <m/>
    <m/>
    <m/>
    <m/>
    <m/>
    <m/>
    <m/>
    <m/>
    <m/>
    <m/>
    <m/>
    <s v=""/>
    <m/>
    <m/>
    <m/>
    <m/>
    <m/>
    <n v="3227"/>
    <n v="0"/>
    <s v="NL00002262231"/>
    <s v="NL0000226223"/>
    <n v="1"/>
    <x v="144"/>
    <m/>
    <m/>
    <m/>
  </r>
  <r>
    <s v="Soitec"/>
    <s v="Semi conducteurs - Conception Wafers"/>
    <s v="France"/>
    <s v="Euro"/>
    <n v="152.85"/>
    <x v="2"/>
    <n v="1088730000"/>
    <n v="391000000"/>
    <n v="267674000"/>
    <n v="233035000"/>
    <n v="-140000000"/>
    <n v="1305620000"/>
    <n v="36.685624830550047"/>
    <n v="0.17848608324014645"/>
    <n v="0.16074861447126851"/>
    <n v="35589417"/>
    <n v="5439842388.4499998"/>
    <n v="4.1664821222484338"/>
    <n v="13.554584113682864"/>
    <m/>
    <n v="2157"/>
    <n v="504742.69819193322"/>
    <n v="263000000"/>
    <m/>
    <m/>
    <m/>
    <m/>
    <n v="3306"/>
    <n v="0"/>
    <s v="FR001322711312022"/>
    <s v="FR0013227113"/>
    <n v="1"/>
    <x v="145"/>
    <m/>
    <m/>
    <m/>
  </r>
  <r>
    <m/>
    <m/>
    <m/>
    <m/>
    <m/>
    <x v="1"/>
    <m/>
    <m/>
    <m/>
    <m/>
    <m/>
    <m/>
    <m/>
    <m/>
    <m/>
    <m/>
    <m/>
    <m/>
    <m/>
    <m/>
    <m/>
    <s v=""/>
    <m/>
    <m/>
    <m/>
    <s v="Créée en 1992 par André-Jacques Auberton-Hervé et Jean-Michel Lamure et cotée en bourse depuis 1999"/>
    <m/>
    <n v="3307"/>
    <n v="0"/>
    <s v="FR00132271131"/>
    <s v="FR0013227113"/>
    <n v="1"/>
    <x v="145"/>
    <m/>
    <m/>
    <m/>
  </r>
  <r>
    <m/>
    <m/>
    <m/>
    <m/>
    <n v="215.2"/>
    <x v="3"/>
    <n v="862743000"/>
    <n v="309000000"/>
    <n v="204568000"/>
    <n v="201962000"/>
    <n v="-142000000"/>
    <n v="1043934000"/>
    <n v="29.914709319104187"/>
    <n v="0.19346242195387831"/>
    <n v="0.15876727121940187"/>
    <n v="34897013"/>
    <n v="7509837197.5999994"/>
    <n v="7.1937854285807337"/>
    <n v="23.844133325566339"/>
    <m/>
    <n v="2033"/>
    <n v="424369.4048204624"/>
    <n v="255000000"/>
    <m/>
    <m/>
    <s v="Actionnariat : Flottant 61 %, BPI 11,51 %, Institutionnels 28,53 % et salariés 1,10 %"/>
    <m/>
    <n v="3308"/>
    <n v="0"/>
    <s v="FR001322711312021"/>
    <s v="FR0013227113"/>
    <n v="1"/>
    <x v="145"/>
    <m/>
    <m/>
    <m/>
  </r>
  <r>
    <m/>
    <m/>
    <m/>
    <m/>
    <m/>
    <x v="1"/>
    <m/>
    <m/>
    <m/>
    <m/>
    <m/>
    <m/>
    <m/>
    <m/>
    <m/>
    <m/>
    <m/>
    <m/>
    <m/>
    <m/>
    <m/>
    <s v=""/>
    <m/>
    <m/>
    <m/>
    <s v="DG : Pierre Barnabé, arrivé en 2022, a effectué une carrière chez Atos"/>
    <m/>
    <n v="3309"/>
    <n v="0"/>
    <s v="FR00132271131"/>
    <s v="FR0013227113"/>
    <n v="1"/>
    <x v="145"/>
    <m/>
    <m/>
    <m/>
  </r>
  <r>
    <m/>
    <m/>
    <m/>
    <m/>
    <n v="159.9"/>
    <x v="4"/>
    <n v="583761000"/>
    <n v="179001000"/>
    <n v="90352000"/>
    <n v="72671000"/>
    <n v="4100000"/>
    <n v="675500000"/>
    <n v="20.358084695720169"/>
    <n v="0.10758105107327905"/>
    <n v="9.3064155385520889E-2"/>
    <n v="33180921"/>
    <n v="5305629267.9000006"/>
    <n v="7.8543734535899343"/>
    <n v="29.663126283652051"/>
    <m/>
    <n v="1588"/>
    <n v="367607.68261964736"/>
    <m/>
    <m/>
    <m/>
    <s v="Répartition du CA par zone : 65 % Asie, 20 % Europe, 15 % US"/>
    <m/>
    <n v="3310"/>
    <n v="0"/>
    <s v="FR001322711312020"/>
    <s v="FR0013227113"/>
    <n v="1"/>
    <x v="145"/>
    <m/>
    <m/>
    <m/>
  </r>
  <r>
    <m/>
    <m/>
    <m/>
    <m/>
    <m/>
    <x v="1"/>
    <m/>
    <m/>
    <m/>
    <m/>
    <m/>
    <m/>
    <m/>
    <m/>
    <m/>
    <m/>
    <m/>
    <m/>
    <m/>
    <m/>
    <m/>
    <s v=""/>
    <m/>
    <m/>
    <m/>
    <m/>
    <m/>
    <n v="3311"/>
    <n v="0"/>
    <s v="FR00132271131"/>
    <s v="FR0013227113"/>
    <n v="1"/>
    <x v="145"/>
    <m/>
    <m/>
    <m/>
  </r>
  <r>
    <m/>
    <m/>
    <m/>
    <m/>
    <n v="93.7"/>
    <x v="5"/>
    <n v="597549000"/>
    <n v="185441000"/>
    <n v="119506000"/>
    <n v="109681000"/>
    <n v="53700000"/>
    <n v="551726000"/>
    <n v="16.627808492717847"/>
    <n v="0.19879614156302222"/>
    <n v="0.13817411211279332"/>
    <n v="33180921"/>
    <n v="3109052297.7000003"/>
    <n v="5.6351382709895859"/>
    <n v="17.05530221310282"/>
    <m/>
    <n v="1484"/>
    <n v="402661.05121293798"/>
    <m/>
    <m/>
    <m/>
    <m/>
    <m/>
    <n v="3312"/>
    <n v="0"/>
    <s v="FR001322711312019"/>
    <s v="FR0013227113"/>
    <n v="1"/>
    <x v="145"/>
    <m/>
    <m/>
    <m/>
  </r>
  <r>
    <m/>
    <m/>
    <m/>
    <m/>
    <m/>
    <x v="1"/>
    <m/>
    <m/>
    <m/>
    <m/>
    <m/>
    <m/>
    <m/>
    <m/>
    <m/>
    <m/>
    <m/>
    <m/>
    <m/>
    <m/>
    <m/>
    <s v=""/>
    <m/>
    <m/>
    <m/>
    <s v="Impôt : 25,83 %"/>
    <m/>
    <n v="3313"/>
    <n v="0"/>
    <s v="FR00132271131"/>
    <s v="FR0013227113"/>
    <n v="1"/>
    <x v="145"/>
    <m/>
    <m/>
    <m/>
  </r>
  <r>
    <m/>
    <m/>
    <m/>
    <m/>
    <n v="50.6"/>
    <x v="6"/>
    <n v="443946000"/>
    <n v="152300000"/>
    <n v="108865000"/>
    <n v="90187000"/>
    <n v="46500000"/>
    <n v="398317000"/>
    <n v="12.590253694637648"/>
    <n v="0.22642016283512881"/>
    <n v="0.17131876704352578"/>
    <n v="31636932"/>
    <n v="1600828759.2"/>
    <n v="4.018981763771067"/>
    <n v="10.816341163493107"/>
    <m/>
    <n v="1332"/>
    <n v="333292.79279279278"/>
    <m/>
    <m/>
    <m/>
    <s v="CAC : KPMG"/>
    <m/>
    <n v="3314"/>
    <n v="0"/>
    <s v="FR001322711312018"/>
    <s v="FR0013227113"/>
    <n v="1"/>
    <x v="145"/>
    <m/>
    <m/>
    <m/>
  </r>
  <r>
    <m/>
    <m/>
    <m/>
    <m/>
    <m/>
    <x v="1"/>
    <m/>
    <m/>
    <m/>
    <m/>
    <m/>
    <m/>
    <m/>
    <m/>
    <m/>
    <m/>
    <m/>
    <m/>
    <m/>
    <m/>
    <m/>
    <s v=""/>
    <m/>
    <m/>
    <m/>
    <s v="Minoritaires : pas de minoritaire"/>
    <m/>
    <n v="3315"/>
    <n v="0"/>
    <s v="FR00132271131"/>
    <s v="FR0013227113"/>
    <n v="1"/>
    <x v="145"/>
    <m/>
    <m/>
    <m/>
  </r>
  <r>
    <m/>
    <m/>
    <m/>
    <m/>
    <m/>
    <x v="1"/>
    <m/>
    <m/>
    <m/>
    <m/>
    <m/>
    <m/>
    <m/>
    <m/>
    <m/>
    <m/>
    <m/>
    <m/>
    <m/>
    <m/>
    <m/>
    <s v=""/>
    <m/>
    <m/>
    <m/>
    <s v="Pay out : 0%"/>
    <m/>
    <n v="3316"/>
    <n v="0"/>
    <s v="FR00132271131"/>
    <s v="FR0013227113"/>
    <n v="1"/>
    <x v="145"/>
    <m/>
    <m/>
    <m/>
  </r>
  <r>
    <m/>
    <m/>
    <m/>
    <m/>
    <m/>
    <x v="1"/>
    <m/>
    <m/>
    <m/>
    <m/>
    <m/>
    <m/>
    <m/>
    <m/>
    <m/>
    <m/>
    <m/>
    <m/>
    <m/>
    <m/>
    <m/>
    <s v=""/>
    <m/>
    <m/>
    <m/>
    <m/>
    <m/>
    <n v="3317"/>
    <n v="0"/>
    <s v="FR00132271131"/>
    <s v="FR0013227113"/>
    <n v="1"/>
    <x v="145"/>
    <m/>
    <m/>
    <m/>
  </r>
  <r>
    <m/>
    <m/>
    <m/>
    <m/>
    <m/>
    <x v="1"/>
    <m/>
    <m/>
    <m/>
    <m/>
    <m/>
    <m/>
    <m/>
    <m/>
    <m/>
    <m/>
    <m/>
    <m/>
    <m/>
    <m/>
    <m/>
    <s v=""/>
    <m/>
    <m/>
    <m/>
    <m/>
    <m/>
    <n v="3318"/>
    <n v="0"/>
    <s v="FR00132271131"/>
    <s v="FR0013227113"/>
    <n v="1"/>
    <x v="145"/>
    <m/>
    <m/>
    <m/>
  </r>
  <r>
    <s v="ASML Holding"/>
    <s v="Semi conducteurs"/>
    <s v="Pays-Bas"/>
    <s v="Euro"/>
    <m/>
    <x v="2"/>
    <n v="21173400000"/>
    <m/>
    <n v="7321000000"/>
    <n v="6395800000"/>
    <n v="-1221000000"/>
    <n v="11286000000"/>
    <m/>
    <m/>
    <m/>
    <n v="403138042"/>
    <n v="0"/>
    <m/>
    <m/>
    <m/>
    <n v="33071"/>
    <n v="640240.69426385651"/>
    <n v="7200000000"/>
    <m/>
    <m/>
    <m/>
    <m/>
    <n v="3319"/>
    <n v="0"/>
    <s v="NL001027321512022"/>
    <s v="NL0010273215"/>
    <n v="1"/>
    <x v="146"/>
    <m/>
    <m/>
    <m/>
  </r>
  <r>
    <m/>
    <m/>
    <m/>
    <m/>
    <m/>
    <x v="1"/>
    <m/>
    <m/>
    <m/>
    <m/>
    <m/>
    <m/>
    <m/>
    <m/>
    <m/>
    <m/>
    <m/>
    <m/>
    <m/>
    <m/>
    <m/>
    <s v=""/>
    <m/>
    <m/>
    <m/>
    <m/>
    <m/>
    <n v="3320"/>
    <n v="0"/>
    <s v="NL00102732151"/>
    <s v="NL0010273215"/>
    <n v="1"/>
    <x v="146"/>
    <m/>
    <m/>
    <m/>
  </r>
  <r>
    <m/>
    <m/>
    <m/>
    <m/>
    <m/>
    <x v="3"/>
    <n v="18611000000"/>
    <m/>
    <n v="7043900000"/>
    <n v="6134600000"/>
    <m/>
    <n v="11843800000"/>
    <m/>
    <m/>
    <m/>
    <n v="406475276"/>
    <m/>
    <m/>
    <m/>
    <m/>
    <n v="28223"/>
    <n v="659426.70871275198"/>
    <n v="9900000000"/>
    <m/>
    <m/>
    <m/>
    <m/>
    <n v="3321"/>
    <n v="0"/>
    <s v="NL001027321512021"/>
    <s v="NL0010273215"/>
    <n v="1"/>
    <x v="146"/>
    <m/>
    <m/>
    <m/>
  </r>
  <r>
    <m/>
    <m/>
    <m/>
    <m/>
    <m/>
    <x v="1"/>
    <m/>
    <m/>
    <m/>
    <m/>
    <m/>
    <m/>
    <m/>
    <m/>
    <m/>
    <m/>
    <m/>
    <m/>
    <m/>
    <m/>
    <m/>
    <s v=""/>
    <m/>
    <m/>
    <m/>
    <m/>
    <m/>
    <n v="3322"/>
    <n v="0"/>
    <s v="NL00102732151"/>
    <s v="NL0010273215"/>
    <n v="1"/>
    <x v="146"/>
    <m/>
    <m/>
    <m/>
  </r>
  <r>
    <m/>
    <m/>
    <m/>
    <m/>
    <m/>
    <x v="4"/>
    <n v="13978500000"/>
    <m/>
    <n v="4243800000"/>
    <n v="3696800000"/>
    <m/>
    <m/>
    <m/>
    <m/>
    <m/>
    <n v="419497488"/>
    <m/>
    <m/>
    <m/>
    <m/>
    <n v="24727"/>
    <n v="565313.22036640113"/>
    <m/>
    <m/>
    <m/>
    <m/>
    <m/>
    <n v="3323"/>
    <n v="0"/>
    <s v="NL001027321512020"/>
    <s v="NL0010273215"/>
    <n v="1"/>
    <x v="146"/>
    <m/>
    <m/>
    <m/>
  </r>
  <r>
    <m/>
    <m/>
    <m/>
    <m/>
    <m/>
    <x v="1"/>
    <m/>
    <m/>
    <m/>
    <m/>
    <m/>
    <m/>
    <m/>
    <m/>
    <m/>
    <m/>
    <m/>
    <m/>
    <m/>
    <m/>
    <m/>
    <s v=""/>
    <m/>
    <m/>
    <m/>
    <m/>
    <m/>
    <n v="3324"/>
    <n v="0"/>
    <s v="NL00102732151"/>
    <s v="NL0010273215"/>
    <n v="1"/>
    <x v="146"/>
    <m/>
    <m/>
    <m/>
  </r>
  <r>
    <m/>
    <m/>
    <m/>
    <m/>
    <m/>
    <x v="5"/>
    <m/>
    <m/>
    <m/>
    <m/>
    <m/>
    <m/>
    <m/>
    <m/>
    <m/>
    <m/>
    <m/>
    <m/>
    <m/>
    <m/>
    <n v="22192"/>
    <n v="0"/>
    <m/>
    <m/>
    <m/>
    <s v="Impôts :"/>
    <m/>
    <n v="3325"/>
    <n v="0"/>
    <s v="NL001027321512019"/>
    <s v="NL0010273215"/>
    <n v="1"/>
    <x v="146"/>
    <m/>
    <m/>
    <m/>
  </r>
  <r>
    <m/>
    <m/>
    <m/>
    <m/>
    <m/>
    <x v="1"/>
    <m/>
    <m/>
    <m/>
    <m/>
    <m/>
    <m/>
    <m/>
    <m/>
    <m/>
    <m/>
    <m/>
    <m/>
    <m/>
    <m/>
    <m/>
    <s v=""/>
    <m/>
    <m/>
    <m/>
    <s v="CAC : "/>
    <m/>
    <n v="3326"/>
    <n v="0"/>
    <s v="NL00102732151"/>
    <s v="NL0010273215"/>
    <n v="1"/>
    <x v="146"/>
    <m/>
    <m/>
    <m/>
  </r>
  <r>
    <m/>
    <m/>
    <m/>
    <m/>
    <m/>
    <x v="6"/>
    <m/>
    <m/>
    <m/>
    <m/>
    <m/>
    <m/>
    <m/>
    <m/>
    <m/>
    <m/>
    <m/>
    <m/>
    <m/>
    <m/>
    <n v="18204"/>
    <n v="0"/>
    <m/>
    <m/>
    <m/>
    <s v="Minoritaires"/>
    <m/>
    <n v="3327"/>
    <n v="0"/>
    <s v="NL001027321512018"/>
    <s v="NL0010273215"/>
    <n v="1"/>
    <x v="146"/>
    <m/>
    <m/>
    <m/>
  </r>
  <r>
    <m/>
    <m/>
    <m/>
    <m/>
    <m/>
    <x v="1"/>
    <m/>
    <m/>
    <m/>
    <m/>
    <m/>
    <m/>
    <m/>
    <m/>
    <m/>
    <m/>
    <m/>
    <m/>
    <m/>
    <m/>
    <m/>
    <s v=""/>
    <m/>
    <m/>
    <m/>
    <s v="Pay out : 45 %"/>
    <m/>
    <n v="3328"/>
    <n v="0"/>
    <s v="NL00102732151"/>
    <s v="NL0010273215"/>
    <n v="1"/>
    <x v="146"/>
    <m/>
    <m/>
    <m/>
  </r>
  <r>
    <m/>
    <m/>
    <m/>
    <m/>
    <m/>
    <x v="1"/>
    <m/>
    <m/>
    <m/>
    <m/>
    <m/>
    <m/>
    <m/>
    <m/>
    <m/>
    <m/>
    <m/>
    <m/>
    <m/>
    <m/>
    <m/>
    <s v=""/>
    <m/>
    <m/>
    <m/>
    <m/>
    <m/>
    <n v="3329"/>
    <n v="0"/>
    <s v="NL00102732151"/>
    <s v="NL0010273215"/>
    <n v="1"/>
    <x v="146"/>
    <m/>
    <m/>
    <m/>
  </r>
  <r>
    <m/>
    <m/>
    <m/>
    <m/>
    <m/>
    <x v="1"/>
    <m/>
    <m/>
    <m/>
    <m/>
    <m/>
    <m/>
    <m/>
    <m/>
    <m/>
    <m/>
    <m/>
    <m/>
    <m/>
    <m/>
    <m/>
    <s v=""/>
    <m/>
    <m/>
    <m/>
    <m/>
    <m/>
    <n v="3330"/>
    <n v="0"/>
    <s v="NL00102732151"/>
    <s v="NL0010273215"/>
    <n v="1"/>
    <x v="146"/>
    <m/>
    <m/>
    <m/>
  </r>
  <r>
    <m/>
    <m/>
    <m/>
    <m/>
    <m/>
    <x v="1"/>
    <m/>
    <m/>
    <m/>
    <m/>
    <m/>
    <m/>
    <m/>
    <m/>
    <m/>
    <m/>
    <m/>
    <m/>
    <m/>
    <m/>
    <m/>
    <s v=""/>
    <m/>
    <m/>
    <m/>
    <m/>
    <m/>
    <n v="3331"/>
    <n v="0"/>
    <s v="NL00102732151"/>
    <s v="NL0010273215"/>
    <n v="1"/>
    <x v="146"/>
    <m/>
    <m/>
    <m/>
  </r>
  <r>
    <m/>
    <m/>
    <m/>
    <m/>
    <m/>
    <x v="1"/>
    <m/>
    <m/>
    <m/>
    <m/>
    <m/>
    <m/>
    <m/>
    <m/>
    <m/>
    <m/>
    <m/>
    <m/>
    <m/>
    <m/>
    <m/>
    <s v=""/>
    <m/>
    <m/>
    <m/>
    <m/>
    <m/>
    <n v="3332"/>
    <n v="0"/>
    <s v="BE01653859731"/>
    <s v="BE0165385973"/>
    <n v="1"/>
    <x v="147"/>
    <m/>
    <m/>
    <m/>
  </r>
  <r>
    <m/>
    <m/>
    <m/>
    <m/>
    <m/>
    <x v="1"/>
    <m/>
    <m/>
    <m/>
    <m/>
    <m/>
    <m/>
    <m/>
    <m/>
    <m/>
    <m/>
    <m/>
    <m/>
    <m/>
    <m/>
    <m/>
    <s v=""/>
    <m/>
    <m/>
    <m/>
    <m/>
    <m/>
    <n v="3333"/>
    <n v="0"/>
    <s v="BE01653859731"/>
    <s v="BE0165385973"/>
    <n v="1"/>
    <x v="147"/>
    <m/>
    <m/>
    <m/>
  </r>
  <r>
    <m/>
    <m/>
    <m/>
    <m/>
    <m/>
    <x v="1"/>
    <m/>
    <m/>
    <m/>
    <m/>
    <m/>
    <m/>
    <m/>
    <m/>
    <m/>
    <m/>
    <m/>
    <m/>
    <m/>
    <m/>
    <m/>
    <s v=""/>
    <m/>
    <m/>
    <m/>
    <m/>
    <m/>
    <n v="3334"/>
    <n v="0"/>
    <s v="BE01653859731"/>
    <s v="BE0165385973"/>
    <n v="1"/>
    <x v="147"/>
    <m/>
    <m/>
    <m/>
  </r>
  <r>
    <m/>
    <m/>
    <m/>
    <m/>
    <m/>
    <x v="1"/>
    <m/>
    <m/>
    <m/>
    <m/>
    <m/>
    <m/>
    <m/>
    <m/>
    <m/>
    <m/>
    <m/>
    <m/>
    <m/>
    <m/>
    <m/>
    <s v=""/>
    <m/>
    <m/>
    <m/>
    <m/>
    <m/>
    <n v="3335"/>
    <n v="0"/>
    <s v="BE01653859731"/>
    <s v="BE0165385973"/>
    <n v="1"/>
    <x v="147"/>
    <m/>
    <m/>
    <m/>
  </r>
  <r>
    <m/>
    <m/>
    <m/>
    <m/>
    <m/>
    <x v="1"/>
    <m/>
    <m/>
    <m/>
    <m/>
    <m/>
    <m/>
    <m/>
    <m/>
    <m/>
    <m/>
    <m/>
    <m/>
    <m/>
    <m/>
    <m/>
    <s v=""/>
    <m/>
    <m/>
    <m/>
    <m/>
    <m/>
    <n v="3336"/>
    <n v="0"/>
    <s v="BE01653859731"/>
    <s v="BE0165385973"/>
    <n v="1"/>
    <x v="147"/>
    <m/>
    <m/>
    <m/>
  </r>
  <r>
    <m/>
    <m/>
    <m/>
    <m/>
    <m/>
    <x v="1"/>
    <m/>
    <m/>
    <m/>
    <m/>
    <m/>
    <m/>
    <m/>
    <m/>
    <m/>
    <m/>
    <m/>
    <m/>
    <m/>
    <m/>
    <m/>
    <s v=""/>
    <m/>
    <m/>
    <m/>
    <m/>
    <m/>
    <n v="3337"/>
    <n v="0"/>
    <s v="BE01653859731"/>
    <s v="BE0165385973"/>
    <n v="1"/>
    <x v="147"/>
    <m/>
    <m/>
    <m/>
  </r>
  <r>
    <m/>
    <m/>
    <m/>
    <m/>
    <m/>
    <x v="1"/>
    <m/>
    <m/>
    <m/>
    <m/>
    <m/>
    <m/>
    <m/>
    <m/>
    <m/>
    <m/>
    <m/>
    <m/>
    <m/>
    <m/>
    <m/>
    <s v=""/>
    <m/>
    <m/>
    <m/>
    <m/>
    <m/>
    <n v="3338"/>
    <n v="0"/>
    <s v="BE01653859731"/>
    <s v="BE0165385973"/>
    <n v="1"/>
    <x v="147"/>
    <m/>
    <m/>
    <m/>
  </r>
  <r>
    <m/>
    <m/>
    <m/>
    <m/>
    <m/>
    <x v="1"/>
    <m/>
    <m/>
    <m/>
    <m/>
    <m/>
    <m/>
    <m/>
    <m/>
    <m/>
    <m/>
    <m/>
    <m/>
    <m/>
    <m/>
    <m/>
    <s v=""/>
    <m/>
    <m/>
    <m/>
    <m/>
    <m/>
    <n v="3339"/>
    <n v="0"/>
    <s v="BE01653859731"/>
    <s v="BE0165385973"/>
    <n v="1"/>
    <x v="147"/>
    <m/>
    <m/>
    <m/>
  </r>
  <r>
    <m/>
    <m/>
    <m/>
    <m/>
    <m/>
    <x v="1"/>
    <m/>
    <m/>
    <m/>
    <m/>
    <m/>
    <m/>
    <m/>
    <m/>
    <m/>
    <m/>
    <m/>
    <m/>
    <m/>
    <m/>
    <m/>
    <s v=""/>
    <m/>
    <m/>
    <m/>
    <m/>
    <m/>
    <n v="3340"/>
    <n v="0"/>
    <s v="BE01653859731"/>
    <s v="BE0165385973"/>
    <n v="1"/>
    <x v="147"/>
    <m/>
    <m/>
    <m/>
  </r>
  <r>
    <m/>
    <m/>
    <m/>
    <m/>
    <m/>
    <x v="1"/>
    <m/>
    <m/>
    <m/>
    <m/>
    <m/>
    <m/>
    <m/>
    <m/>
    <m/>
    <m/>
    <m/>
    <m/>
    <m/>
    <m/>
    <m/>
    <s v=""/>
    <m/>
    <m/>
    <m/>
    <m/>
    <m/>
    <n v="3341"/>
    <n v="0"/>
    <s v="BE01653859731"/>
    <s v="BE0165385973"/>
    <n v="1"/>
    <x v="147"/>
    <m/>
    <m/>
    <m/>
  </r>
  <r>
    <m/>
    <m/>
    <m/>
    <m/>
    <m/>
    <x v="1"/>
    <m/>
    <m/>
    <m/>
    <m/>
    <m/>
    <m/>
    <m/>
    <m/>
    <m/>
    <m/>
    <m/>
    <m/>
    <m/>
    <m/>
    <m/>
    <s v=""/>
    <m/>
    <m/>
    <m/>
    <m/>
    <m/>
    <n v="3342"/>
    <n v="0"/>
    <s v="BE01653859731"/>
    <s v="BE0165385973"/>
    <n v="1"/>
    <x v="147"/>
    <m/>
    <m/>
    <m/>
  </r>
  <r>
    <m/>
    <m/>
    <m/>
    <m/>
    <m/>
    <x v="1"/>
    <m/>
    <m/>
    <m/>
    <m/>
    <m/>
    <m/>
    <m/>
    <m/>
    <m/>
    <m/>
    <m/>
    <m/>
    <m/>
    <m/>
    <m/>
    <s v=""/>
    <m/>
    <m/>
    <m/>
    <m/>
    <m/>
    <n v="3343"/>
    <n v="0"/>
    <s v="BE01653859731"/>
    <s v="BE0165385973"/>
    <n v="1"/>
    <x v="147"/>
    <m/>
    <m/>
    <m/>
  </r>
  <r>
    <m/>
    <m/>
    <m/>
    <m/>
    <m/>
    <x v="1"/>
    <m/>
    <m/>
    <m/>
    <m/>
    <m/>
    <m/>
    <m/>
    <m/>
    <m/>
    <m/>
    <m/>
    <m/>
    <m/>
    <m/>
    <m/>
    <s v=""/>
    <m/>
    <m/>
    <m/>
    <m/>
    <m/>
    <n v="3344"/>
    <n v="0"/>
    <s v="BE01653859731"/>
    <s v="BE0165385973"/>
    <n v="1"/>
    <x v="147"/>
    <m/>
    <m/>
    <m/>
  </r>
  <r>
    <s v="Believe"/>
    <s v="Distribution musical"/>
    <s v="France"/>
    <s v="Euro"/>
    <n v="16.899999999999999"/>
    <x v="3"/>
    <m/>
    <m/>
    <m/>
    <m/>
    <m/>
    <m/>
    <m/>
    <m/>
    <m/>
    <m/>
    <m/>
    <m/>
    <m/>
    <m/>
    <m/>
    <s v=""/>
    <m/>
    <m/>
    <m/>
    <m/>
    <m/>
    <n v="3228"/>
    <n v="0"/>
    <s v="FR0014003FE912021"/>
    <s v="FR0014003FE9"/>
    <n v="1"/>
    <x v="148"/>
    <m/>
    <m/>
    <m/>
  </r>
  <r>
    <m/>
    <m/>
    <m/>
    <m/>
    <m/>
    <x v="1"/>
    <m/>
    <m/>
    <m/>
    <m/>
    <m/>
    <m/>
    <m/>
    <m/>
    <m/>
    <m/>
    <m/>
    <m/>
    <m/>
    <m/>
    <m/>
    <s v=""/>
    <m/>
    <m/>
    <m/>
    <m/>
    <m/>
    <n v="3229"/>
    <n v="0"/>
    <s v="FR0014003FE91"/>
    <s v="FR0014003FE9"/>
    <n v="1"/>
    <x v="148"/>
    <m/>
    <m/>
    <m/>
  </r>
  <r>
    <m/>
    <m/>
    <m/>
    <m/>
    <n v="18.399999999999999"/>
    <x v="4"/>
    <n v="441400000"/>
    <n v="8000000"/>
    <n v="-21700000"/>
    <n v="-26300000"/>
    <m/>
    <n v="151500000"/>
    <n v="1.5555705396871788"/>
    <n v="-0.17359735973597359"/>
    <n v="-0.10026402640264025"/>
    <n v="97391919"/>
    <n v="1792011309.5999999"/>
    <n v="11.82845748910891"/>
    <n v="224.0014137"/>
    <m/>
    <m/>
    <s v=""/>
    <m/>
    <m/>
    <m/>
    <s v="Believe est une société fondée en 2005 par Denis Ladegaillerie, Arnaud Chiaramonti et Nicolas Laclias qui propose des solutions pour promouvoir les œuvres de labels indépendants et artistes musicaux."/>
    <m/>
    <n v="3230"/>
    <n v="0"/>
    <s v="FR0014003FE912020"/>
    <s v="FR0014003FE9"/>
    <n v="1"/>
    <x v="148"/>
    <m/>
    <m/>
    <m/>
  </r>
  <r>
    <m/>
    <m/>
    <m/>
    <m/>
    <m/>
    <x v="1"/>
    <n v="0.11888466413181242"/>
    <n v="-0.77337110481586402"/>
    <n v="-2.6953125"/>
    <n v="-6.7173913043478262"/>
    <m/>
    <m/>
    <m/>
    <m/>
    <m/>
    <m/>
    <m/>
    <m/>
    <m/>
    <m/>
    <m/>
    <s v=""/>
    <m/>
    <m/>
    <m/>
    <s v="Dirigeants : Denis Ladegaillerie (Co-fondateur et CEO) &amp; Xavier Dumont (CFO)"/>
    <m/>
    <n v="3231"/>
    <n v="0"/>
    <s v="FR0014003FE91"/>
    <s v="FR0014003FE9"/>
    <n v="1"/>
    <x v="148"/>
    <m/>
    <m/>
    <m/>
  </r>
  <r>
    <m/>
    <m/>
    <m/>
    <m/>
    <m/>
    <x v="5"/>
    <n v="394500000"/>
    <n v="35300000"/>
    <n v="12800000"/>
    <n v="4600000"/>
    <m/>
    <n v="176300000"/>
    <e v="#DIV/0!"/>
    <n v="2.6091888825865002E-2"/>
    <n v="5.0822461712989223E-2"/>
    <m/>
    <m/>
    <m/>
    <m/>
    <m/>
    <m/>
    <s v=""/>
    <m/>
    <m/>
    <m/>
    <s v="Actionnaires : TCV (49,64%), Ventech (20,34%), Xange (8,06%), GP BullHound (2,57%) Denis Ladegaillerie (15,04%)"/>
    <m/>
    <n v="3232"/>
    <n v="0"/>
    <s v="FR0014003FE912019"/>
    <s v="FR0014003FE9"/>
    <n v="1"/>
    <x v="148"/>
    <m/>
    <m/>
    <m/>
  </r>
  <r>
    <m/>
    <m/>
    <m/>
    <m/>
    <m/>
    <x v="1"/>
    <n v="0.65686686266274674"/>
    <n v="0.42914979757085026"/>
    <n v="0.45454545454545459"/>
    <n v="0.84000000000000008"/>
    <m/>
    <m/>
    <m/>
    <m/>
    <m/>
    <m/>
    <m/>
    <m/>
    <m/>
    <m/>
    <m/>
    <s v=""/>
    <m/>
    <m/>
    <m/>
    <s v="Minoritaires : 4,35%"/>
    <m/>
    <n v="3233"/>
    <n v="0"/>
    <s v="FR0014003FE91"/>
    <s v="FR0014003FE9"/>
    <n v="1"/>
    <x v="148"/>
    <m/>
    <m/>
    <m/>
  </r>
  <r>
    <m/>
    <m/>
    <m/>
    <m/>
    <m/>
    <x v="6"/>
    <n v="238100000"/>
    <n v="24700000"/>
    <n v="8800000"/>
    <n v="2500000"/>
    <m/>
    <n v="35400000"/>
    <e v="#DIV/0!"/>
    <n v="7.0621468926553674E-2"/>
    <n v="0.17401129943502824"/>
    <m/>
    <m/>
    <m/>
    <m/>
    <m/>
    <m/>
    <s v=""/>
    <m/>
    <m/>
    <m/>
    <s v="Levée de fonds de 300 millions."/>
    <m/>
    <n v="3234"/>
    <n v="0"/>
    <s v="FR0014003FE912018"/>
    <s v="FR0014003FE9"/>
    <n v="1"/>
    <x v="148"/>
    <m/>
    <m/>
    <m/>
  </r>
  <r>
    <m/>
    <m/>
    <m/>
    <m/>
    <m/>
    <x v="1"/>
    <m/>
    <m/>
    <m/>
    <m/>
    <m/>
    <m/>
    <m/>
    <m/>
    <m/>
    <m/>
    <m/>
    <m/>
    <m/>
    <m/>
    <m/>
    <s v=""/>
    <m/>
    <m/>
    <m/>
    <s v="Effectifs : 250-500 employés"/>
    <m/>
    <n v="3235"/>
    <n v="0"/>
    <s v="FR0014003FE91"/>
    <s v="FR0014003FE9"/>
    <n v="1"/>
    <x v="148"/>
    <m/>
    <m/>
    <m/>
  </r>
  <r>
    <m/>
    <m/>
    <m/>
    <m/>
    <s v="IPO le 10 juin 2021 à 18,4 euros"/>
    <x v="1"/>
    <m/>
    <m/>
    <m/>
    <m/>
    <m/>
    <m/>
    <m/>
    <m/>
    <m/>
    <m/>
    <m/>
    <m/>
    <m/>
    <m/>
    <m/>
    <s v=""/>
    <m/>
    <m/>
    <m/>
    <s v="Concurrence direct : faible (petites agences marketing musical)"/>
    <m/>
    <n v="3236"/>
    <n v="0"/>
    <s v="FR0014003FE91"/>
    <s v="FR0014003FE9"/>
    <n v="1"/>
    <x v="148"/>
    <m/>
    <m/>
    <m/>
  </r>
  <r>
    <m/>
    <m/>
    <m/>
    <m/>
    <m/>
    <x v="1"/>
    <m/>
    <m/>
    <m/>
    <m/>
    <m/>
    <m/>
    <m/>
    <m/>
    <m/>
    <m/>
    <m/>
    <m/>
    <m/>
    <m/>
    <m/>
    <s v=""/>
    <m/>
    <m/>
    <m/>
    <s v="Concurrence indirect : Warner, Universal, Sony"/>
    <m/>
    <n v="3237"/>
    <n v="0"/>
    <s v="FR0014003FE91"/>
    <s v="FR0014003FE9"/>
    <n v="1"/>
    <x v="148"/>
    <m/>
    <m/>
    <m/>
  </r>
  <r>
    <m/>
    <m/>
    <m/>
    <m/>
    <m/>
    <x v="1"/>
    <m/>
    <m/>
    <m/>
    <m/>
    <m/>
    <m/>
    <m/>
    <m/>
    <m/>
    <m/>
    <m/>
    <m/>
    <m/>
    <m/>
    <m/>
    <s v=""/>
    <m/>
    <m/>
    <m/>
    <m/>
    <m/>
    <n v="3238"/>
    <n v="0"/>
    <s v="FR0014003FE91"/>
    <s v="FR0014003FE9"/>
    <n v="1"/>
    <x v="148"/>
    <m/>
    <m/>
    <m/>
  </r>
  <r>
    <m/>
    <m/>
    <m/>
    <m/>
    <m/>
    <x v="1"/>
    <m/>
    <m/>
    <m/>
    <m/>
    <m/>
    <m/>
    <m/>
    <m/>
    <m/>
    <m/>
    <m/>
    <m/>
    <m/>
    <m/>
    <m/>
    <s v=""/>
    <m/>
    <m/>
    <m/>
    <m/>
    <m/>
    <n v="3239"/>
    <n v="0"/>
    <s v="FR0014003FE91"/>
    <s v="FR0014003FE9"/>
    <n v="1"/>
    <x v="148"/>
    <m/>
    <m/>
    <m/>
  </r>
  <r>
    <m/>
    <m/>
    <m/>
    <m/>
    <m/>
    <x v="1"/>
    <m/>
    <m/>
    <m/>
    <m/>
    <m/>
    <m/>
    <m/>
    <m/>
    <m/>
    <m/>
    <m/>
    <m/>
    <m/>
    <m/>
    <m/>
    <s v=""/>
    <m/>
    <m/>
    <m/>
    <m/>
    <m/>
    <n v="3240"/>
    <n v="0"/>
    <s v="FR0014003FE91"/>
    <s v="FR0014003FE9"/>
    <n v="1"/>
    <x v="148"/>
    <m/>
    <m/>
    <m/>
  </r>
  <r>
    <s v="Alstom"/>
    <s v="Fabricants de trains"/>
    <s v="France"/>
    <s v="Euro"/>
    <n v="24"/>
    <x v="0"/>
    <n v="16507000000"/>
    <n v="1000000000"/>
    <n v="852000000"/>
    <n v="-132000000"/>
    <n v="2306000000"/>
    <n v="9400000000"/>
    <n v="25.174632542627229"/>
    <n v="-1.4042553191489362E-2"/>
    <n v="5.0948231676063556E-2"/>
    <n v="373391746"/>
    <n v="8961401904"/>
    <n v="0.95334062808510633"/>
    <n v="11.267401904"/>
    <s v="Investment Grade"/>
    <n v="75000"/>
    <n v="220093.33333333334"/>
    <n v="200000000"/>
    <s v="E = 2"/>
    <m/>
    <s v="Ancienne filiale d'Alcatel, leader mondial de l'industrie du transport ferroviaire (passagers et fret) offrant des du matériel roulant (58%), des systèmes (6%), de la signalisation (15%) et des services (accompagnement après-vente : 21%)"/>
    <m/>
    <n v="3241"/>
    <s v="p"/>
    <s v="FR001022047512023"/>
    <s v="FR0010220475"/>
    <n v="1"/>
    <x v="149"/>
    <m/>
    <m/>
    <m/>
  </r>
  <r>
    <m/>
    <m/>
    <m/>
    <m/>
    <m/>
    <x v="1"/>
    <n v="6.6963997155969235E-2"/>
    <n v="0.30378096479791394"/>
    <n v="-6.4615384615384617"/>
    <n v="-0.7728055077452668"/>
    <m/>
    <m/>
    <m/>
    <m/>
    <m/>
    <m/>
    <m/>
    <m/>
    <m/>
    <m/>
    <m/>
    <s v=""/>
    <m/>
    <s v="S = 1"/>
    <m/>
    <s v="Sortie de Bouygues du capital fin 2020 et début 2021 autour de 45 euros, après le redressement et faute de synergies"/>
    <m/>
    <n v="3242"/>
    <s v="p"/>
    <s v="FR00102204751"/>
    <s v="FR0010220475"/>
    <n v="1"/>
    <x v="149"/>
    <m/>
    <m/>
    <m/>
  </r>
  <r>
    <m/>
    <m/>
    <m/>
    <m/>
    <n v="22.82"/>
    <x v="2"/>
    <n v="15471000000"/>
    <n v="767000000"/>
    <n v="-156000000"/>
    <n v="-581000000"/>
    <n v="2085000000"/>
    <n v="8911000000"/>
    <n v="23.86501601993098"/>
    <n v="-6.520031421838178E-2"/>
    <n v="-9.9308839578028368E-3"/>
    <n v="373391746"/>
    <n v="8520799643.7200003"/>
    <n v="0.95621138410054995"/>
    <n v="13.827639691942636"/>
    <m/>
    <n v="75000"/>
    <n v="206280"/>
    <n v="-992000000"/>
    <s v="G = 0"/>
    <m/>
    <s v="Actionnaire : Caisse de dépôt du Québec à 17,5%, le reste Institutionnels et Particuliers"/>
    <m/>
    <n v="3243"/>
    <s v="p"/>
    <s v="FR001022047512022"/>
    <s v="FR0010220475"/>
    <n v="1"/>
    <x v="149"/>
    <m/>
    <m/>
    <m/>
  </r>
  <r>
    <m/>
    <m/>
    <m/>
    <m/>
    <m/>
    <x v="1"/>
    <n v="0.76107000569151961"/>
    <n v="0.1099855282199711"/>
    <n v="-1.52"/>
    <n v="-3.3522267206477734"/>
    <m/>
    <m/>
    <m/>
    <m/>
    <m/>
    <m/>
    <m/>
    <m/>
    <m/>
    <m/>
    <m/>
    <s v=""/>
    <m/>
    <m/>
    <m/>
    <s v="Président-directeur général : Henri Poupart-Lafarge depuis 1/2016 (avant Patrick Kron : 2003-2016)"/>
    <m/>
    <n v="3244"/>
    <s v="p"/>
    <s v="FR00102204751"/>
    <s v="FR0010220475"/>
    <n v="1"/>
    <x v="149"/>
    <m/>
    <m/>
    <m/>
  </r>
  <r>
    <m/>
    <m/>
    <m/>
    <m/>
    <n v="31.22"/>
    <x v="3"/>
    <n v="8785000000"/>
    <n v="691000000"/>
    <n v="300000000"/>
    <n v="247000000"/>
    <n v="899000000"/>
    <n v="9039000000"/>
    <n v="24.350636689947237"/>
    <n v="2.7326031640668217E-2"/>
    <n v="2.1131012276111895E-2"/>
    <n v="371201793"/>
    <n v="11588919977.459999"/>
    <n v="1.2821019999402588"/>
    <n v="18.072243093285092"/>
    <m/>
    <m/>
    <s v=""/>
    <n v="-703000000"/>
    <m/>
    <m/>
    <s v="2003 : restructuration et entrée au capital de l'État"/>
    <m/>
    <n v="3245"/>
    <s v="p"/>
    <s v="FR001022047512021"/>
    <s v="FR0010220475"/>
    <n v="1"/>
    <x v="149"/>
    <m/>
    <m/>
    <m/>
  </r>
  <r>
    <m/>
    <m/>
    <m/>
    <m/>
    <m/>
    <x v="1"/>
    <n v="7.1210827947811195E-2"/>
    <n v="-0.17541766109785206"/>
    <n v="-0.44954128440366969"/>
    <n v="-0.47109207708779444"/>
    <m/>
    <m/>
    <m/>
    <m/>
    <m/>
    <m/>
    <m/>
    <m/>
    <m/>
    <m/>
    <m/>
    <s v=""/>
    <m/>
    <m/>
    <m/>
    <s v="2014 : cession des turbines à General Electric"/>
    <m/>
    <n v="3246"/>
    <s v="p"/>
    <s v="FR00102204751"/>
    <s v="FR0010220475"/>
    <n v="1"/>
    <x v="149"/>
    <m/>
    <m/>
    <m/>
  </r>
  <r>
    <m/>
    <m/>
    <m/>
    <m/>
    <n v="36.14"/>
    <x v="4"/>
    <n v="8201000000"/>
    <n v="838000000"/>
    <n v="545000000"/>
    <n v="467000000"/>
    <n v="-1178000000"/>
    <n v="3271000000"/>
    <n v="14.475130570678328"/>
    <n v="0.14276979516967289"/>
    <n v="0.18227424749163879"/>
    <n v="225973782"/>
    <n v="8166692481.4800005"/>
    <n v="2.496695958874962"/>
    <n v="8.3397284981861581"/>
    <m/>
    <m/>
    <s v=""/>
    <m/>
    <m/>
    <m/>
    <s v="2016 : finalisation de la cession des turbines à GE pour 10,2 Md euros (14 Md euros de CA) et plus-value de 4,2 Md euros, distribution de 3,2 Md euros aux actionnaires via une OPRA et dette ramenée à proximité de zéro"/>
    <m/>
    <n v="3247"/>
    <s v="p"/>
    <s v="FR001022047512020"/>
    <s v="FR0010220475"/>
    <n v="1"/>
    <x v="149"/>
    <m/>
    <m/>
    <m/>
  </r>
  <r>
    <m/>
    <m/>
    <m/>
    <m/>
    <m/>
    <x v="1"/>
    <n v="1.5981169474727386E-2"/>
    <n v="0.38971807628524036"/>
    <n v="0.33578431372549011"/>
    <n v="-0.31424375917767988"/>
    <m/>
    <m/>
    <m/>
    <m/>
    <m/>
    <m/>
    <m/>
    <m/>
    <m/>
    <m/>
    <m/>
    <s v=""/>
    <m/>
    <m/>
    <m/>
    <s v="2021 : acquisition de Bombardier Transport (le 29 janvier) pour 5,5 Md euros (4,4 Md euros pour les fonds propres et 1,1 Md euros en dettes) financé par augmentation de capital de 2 Md euros (le 7/12/2020 soit 68 millions d'actions à 29,3 euros) "/>
    <m/>
    <n v="3248"/>
    <s v="p"/>
    <s v="FR00102204751"/>
    <s v="FR0010220475"/>
    <n v="1"/>
    <x v="149"/>
    <m/>
    <m/>
    <m/>
  </r>
  <r>
    <m/>
    <m/>
    <m/>
    <m/>
    <n v="38.6"/>
    <x v="5"/>
    <n v="8072000000"/>
    <n v="603000000"/>
    <n v="408000000"/>
    <n v="681000000"/>
    <n v="-2325000000"/>
    <n v="4159000000"/>
    <n v="18.602482320787189"/>
    <n v="0.16374128396249099"/>
    <n v="0.15572519083969466"/>
    <n v="223572313"/>
    <n v="8629891281.8000011"/>
    <n v="2.0749918927145949"/>
    <n v="10.455872772470981"/>
    <m/>
    <m/>
    <s v=""/>
    <m/>
    <m/>
    <m/>
    <s v="et 3,1 Md euros à des investisseurs réservés (Caisse de Québec : 76 millions d'actions à 44,86 euros)"/>
    <m/>
    <n v="3249"/>
    <s v="p"/>
    <s v="FR001022047512019"/>
    <s v="FR0010220475"/>
    <n v="1"/>
    <x v="149"/>
    <m/>
    <m/>
    <m/>
  </r>
  <r>
    <m/>
    <m/>
    <m/>
    <m/>
    <m/>
    <x v="1"/>
    <n v="9.8829294854342553E-2"/>
    <n v="0.41882352941176482"/>
    <n v="0.54545454545454541"/>
    <n v="0.86575342465753424"/>
    <m/>
    <m/>
    <m/>
    <m/>
    <m/>
    <m/>
    <m/>
    <m/>
    <m/>
    <m/>
    <m/>
    <s v=""/>
    <m/>
    <m/>
    <m/>
    <s v="Bilan et compte de résultat à fin mars 2021 non comparable car acquisition de Bombardier fin 2020 et début 2021, contribution de 1,1 Md euros sur 2 mois. Bombardier (6,5 Md euros de CA et marge d'exploitation à 2,7%)."/>
    <m/>
    <n v="3250"/>
    <s v="p"/>
    <s v="FR00102204751"/>
    <s v="FR0010220475"/>
    <n v="1"/>
    <x v="149"/>
    <m/>
    <m/>
    <m/>
  </r>
  <r>
    <m/>
    <m/>
    <m/>
    <m/>
    <n v="34.65"/>
    <x v="6"/>
    <n v="7346000000"/>
    <n v="425000000"/>
    <n v="264000000"/>
    <n v="365000000"/>
    <n v="255000000"/>
    <n v="3376000000"/>
    <n v="15.192803403040354"/>
    <n v="0.10811611374407583"/>
    <n v="5.0895070228587164E-2"/>
    <n v="222210471"/>
    <n v="7699592820.1499996"/>
    <n v="2.2806850770586493"/>
    <n v="18.716688988588235"/>
    <m/>
    <m/>
    <s v=""/>
    <m/>
    <m/>
    <m/>
    <s v="L'activité Transport de Bombardier était à 9 Md euros de CA en 2014 et EBIT margin à 5% en baisse venant de 7-8%. En 2019, 8,3 Md euros de CA. 500 clients 1000 trains en circulation et une présence dans 70 pays"/>
    <m/>
    <n v="3251"/>
    <s v="p"/>
    <s v="FR001022047512018"/>
    <s v="FR0010220475"/>
    <n v="1"/>
    <x v="149"/>
    <m/>
    <m/>
    <m/>
  </r>
  <r>
    <m/>
    <m/>
    <m/>
    <m/>
    <m/>
    <x v="1"/>
    <n v="5.4749520941692609E-3"/>
    <n v="-0.17475728155339809"/>
    <n v="-0.26256983240223464"/>
    <n v="0.26297577854671284"/>
    <m/>
    <m/>
    <m/>
    <m/>
    <m/>
    <m/>
    <m/>
    <m/>
    <m/>
    <m/>
    <m/>
    <s v=""/>
    <m/>
    <m/>
    <m/>
    <s v="Pas d'excédent de flux de trésorerie ces dernières années même après le redressement. Peut-être mieux avec Bombardier et l'amélioration du carnet de commandes"/>
    <m/>
    <n v="3252"/>
    <s v="p"/>
    <s v="FR00102204751"/>
    <s v="FR0010220475"/>
    <n v="1"/>
    <x v="149"/>
    <m/>
    <m/>
    <m/>
  </r>
  <r>
    <m/>
    <m/>
    <m/>
    <m/>
    <n v="28.1"/>
    <x v="7"/>
    <n v="7306000000"/>
    <n v="515000000"/>
    <n v="358000000"/>
    <n v="289000000"/>
    <n v="208000000"/>
    <n v="3150000000"/>
    <n v="14.336961282421615"/>
    <n v="9.1746031746031742E-2"/>
    <n v="7.4627754615842756E-2"/>
    <n v="219711830"/>
    <n v="6173902423"/>
    <n v="1.9599690231746032"/>
    <n v="12.392043539805826"/>
    <m/>
    <m/>
    <s v=""/>
    <m/>
    <m/>
    <m/>
    <s v="Présent dans 75 pays. Carnet de commandes de 75 Md euros (5 ans de CA contre 3 ans en 2016) : 55% Europe, 14% Amérique (devrait augmenter avec l'acquisition de Bombardier), Asie 12% et Afrique - Moyen-Orient - Asie Centrale 16%"/>
    <m/>
    <n v="3253"/>
    <s v="p"/>
    <s v="FR001022047512017"/>
    <s v="FR0010220475"/>
    <n v="1"/>
    <x v="149"/>
    <m/>
    <m/>
    <m/>
  </r>
  <r>
    <m/>
    <m/>
    <m/>
    <m/>
    <m/>
    <x v="1"/>
    <n v="6.1764278447900001E-2"/>
    <n v="0.18390804597701149"/>
    <n v="-2.584070796460177"/>
    <n v="-0.90369876707764074"/>
    <m/>
    <m/>
    <m/>
    <m/>
    <m/>
    <m/>
    <m/>
    <m/>
    <m/>
    <m/>
    <m/>
    <s v=""/>
    <m/>
    <m/>
    <m/>
    <s v="Concurrents : Siemens, Hitachi et CRRC (Chine) avec une offre globale et sur certains segments (Skoda, Thales, Stadler, Rotem). Sur les bus électriques (BYD, Yutong, CNH Industrial, Solaris…)"/>
    <m/>
    <n v="3254"/>
    <s v="p"/>
    <s v="FR00102204751"/>
    <s v="FR0010220475"/>
    <n v="1"/>
    <x v="149"/>
    <m/>
    <m/>
    <m/>
  </r>
  <r>
    <m/>
    <m/>
    <m/>
    <m/>
    <n v="22.9"/>
    <x v="8"/>
    <n v="6881000000"/>
    <n v="435000000"/>
    <n v="-226000000"/>
    <n v="3001000000"/>
    <n v="203000000"/>
    <n v="3279000000"/>
    <n v="14.963938892421268"/>
    <n v="0.91521805428484293"/>
    <n v="-4.5433658816771971E-2"/>
    <n v="219126797"/>
    <n v="5018003651.2999992"/>
    <n v="1.5303457308020736"/>
    <n v="12.002307244367815"/>
    <m/>
    <m/>
    <s v=""/>
    <m/>
    <m/>
    <m/>
    <s v="En 2022, un an après l'acquistion de Bombardier, la part d'activité à marge négative est de 2,6 Md euros de CA (28% du CA de Bombardier) et 16,7% du CA groupe. Cash flow libre impacté au 1 S mai d'où hausse de la dette mais positif au 2S"/>
    <m/>
    <n v="3255"/>
    <s v="p"/>
    <s v="FR001022047512016"/>
    <s v="FR0010220475"/>
    <n v="1"/>
    <x v="149"/>
    <m/>
    <m/>
    <m/>
  </r>
  <r>
    <m/>
    <m/>
    <m/>
    <m/>
    <m/>
    <x v="1"/>
    <n v="0.11650170371572277"/>
    <n v="-2.403225806451613"/>
    <n v="-0.63607085346215775"/>
    <n v="-5.1738525730180811"/>
    <m/>
    <m/>
    <m/>
    <m/>
    <m/>
    <m/>
    <m/>
    <m/>
    <m/>
    <m/>
    <m/>
    <s v=""/>
    <m/>
    <m/>
    <m/>
    <s v="La participation de 20% dans TMH en Russie (mise en équivalence et impact faible en Me sur le RN) est totalement dépréciée pour 441 M euros d'où RN négatif"/>
    <m/>
    <n v="3256"/>
    <s v="p"/>
    <s v="FR00102204751"/>
    <s v="FR0010220475"/>
    <n v="1"/>
    <x v="149"/>
    <m/>
    <m/>
    <m/>
  </r>
  <r>
    <m/>
    <m/>
    <m/>
    <m/>
    <n v="28.96"/>
    <x v="9"/>
    <n v="6163000000"/>
    <n v="-310000000"/>
    <n v="-621000000"/>
    <n v="-719000000"/>
    <n v="3143000000"/>
    <n v="4134000000"/>
    <n v="13.344416149626761"/>
    <n v="-0.17392356071601356"/>
    <n v="-5.973615500893225E-2"/>
    <n v="309792497"/>
    <n v="8971590713.1200008"/>
    <n v="2.1701961086405421"/>
    <n v="-39.079324881032264"/>
    <m/>
    <m/>
    <s v=""/>
    <m/>
    <m/>
    <m/>
    <s v="Prudence dans les prévisions 2023, intégration de Bombardier en bonne voie, carnet de commandes record à 81 Md euros sur les différents continents et flux de trésorerie positif"/>
    <m/>
    <n v="3257"/>
    <s v="p"/>
    <s v="FR001022047512015"/>
    <s v="FR0010220475"/>
    <n v="1"/>
    <x v="149"/>
    <m/>
    <m/>
    <m/>
  </r>
  <r>
    <m/>
    <m/>
    <m/>
    <m/>
    <m/>
    <x v="1"/>
    <n v="7.631854697869378E-2"/>
    <n v="-1.3703703703703702"/>
    <n v="-3.3171641791044775"/>
    <n v="-2.293165467625899"/>
    <m/>
    <m/>
    <m/>
    <m/>
    <m/>
    <m/>
    <m/>
    <m/>
    <m/>
    <m/>
    <m/>
    <s v=""/>
    <m/>
    <m/>
    <m/>
    <s v="Commandes de TGV en France de 15 rames pour 590 M euros (soit 40 M euros la rame) s'ajoute à la commande 100 rames. La SNCF exploite 320 rames de TGV. Encore 200 à remplacer soit 8 Md euros, probable d'ici 2025-2030"/>
    <m/>
    <n v="3258"/>
    <s v="p"/>
    <s v="FR00102204751"/>
    <s v="FR0010220475"/>
    <n v="1"/>
    <x v="149"/>
    <m/>
    <m/>
    <m/>
  </r>
  <r>
    <m/>
    <m/>
    <m/>
    <m/>
    <n v="29.52"/>
    <x v="10"/>
    <n v="5726000000"/>
    <n v="837000000"/>
    <n v="268000000"/>
    <n v="556000000"/>
    <n v="3019000000"/>
    <n v="5044000000"/>
    <n v="16.339374589252127"/>
    <n v="0.11022997620935765"/>
    <n v="2.3266774153540865E-2"/>
    <n v="308702146"/>
    <n v="9112887349.9200001"/>
    <n v="1.806678697446471"/>
    <n v="14.494489068004778"/>
    <m/>
    <m/>
    <s v=""/>
    <m/>
    <m/>
    <m/>
    <s v="R&amp;D à 2% du CA à horizon 2025. Recherche sur l'alimentation à pile, à hydrogène, la conduite autonome, la détection à 1000 m et le traitement automatique des signalisation. En bonne voie. 4000 locomotives diesel à remplacer"/>
    <m/>
    <n v="3259"/>
    <s v="p"/>
    <s v="FR001022047512014"/>
    <s v="FR0010220475"/>
    <n v="1"/>
    <x v="149"/>
    <m/>
    <m/>
    <m/>
  </r>
  <r>
    <m/>
    <m/>
    <m/>
    <m/>
    <m/>
    <x v="1"/>
    <n v="-0.71749962997681194"/>
    <n v="-0.5167436489607391"/>
    <n v="-0.77460050462573593"/>
    <n v="-0.27604166666666663"/>
    <m/>
    <m/>
    <m/>
    <m/>
    <m/>
    <m/>
    <m/>
    <m/>
    <m/>
    <m/>
    <m/>
    <s v=""/>
    <m/>
    <m/>
    <m/>
    <s v="RSE correct pas de séparation CEO et PDG"/>
    <m/>
    <n v="3260"/>
    <s v="p"/>
    <s v="FR00102204751"/>
    <s v="FR0010220475"/>
    <n v="1"/>
    <x v="149"/>
    <m/>
    <m/>
    <m/>
  </r>
  <r>
    <m/>
    <m/>
    <m/>
    <m/>
    <n v="31.16"/>
    <x v="11"/>
    <n v="20269000000"/>
    <n v="1732000000"/>
    <n v="1189000000"/>
    <n v="768000000"/>
    <n v="2342000000"/>
    <n v="4994000000"/>
    <n v="16.205960901590888"/>
    <n v="0.15378454144973969"/>
    <n v="0.11345419847328245"/>
    <n v="308158216"/>
    <n v="9602210010.5599995"/>
    <n v="1.9227493012735282"/>
    <n v="6.896195156212471"/>
    <m/>
    <m/>
    <s v=""/>
    <m/>
    <m/>
    <m/>
    <s v="En 2023, progression en ligne avec le plan de marche 2025, le CA progresse de 6% en organique et la marge est à 5,5% avec une bonne éxécution/ livraison et FCF positif. Amérique un peu faible en volume "/>
    <m/>
    <n v="3261"/>
    <s v="p"/>
    <s v="FR001022047512013"/>
    <s v="FR0010220475"/>
    <n v="1"/>
    <x v="149"/>
    <m/>
    <m/>
    <m/>
  </r>
  <r>
    <m/>
    <m/>
    <m/>
    <m/>
    <m/>
    <x v="1"/>
    <m/>
    <m/>
    <m/>
    <m/>
    <m/>
    <m/>
    <m/>
    <m/>
    <m/>
    <m/>
    <m/>
    <m/>
    <m/>
    <m/>
    <m/>
    <s v=""/>
    <m/>
    <m/>
    <m/>
    <s v="Projection 2025 : 17-18 Md euros de CA (5% par an soit 22% en cumulé) et de 8-10% de marge d'explotation (1,5-1,7 Md euros)"/>
    <m/>
    <n v="3262"/>
    <s v="p"/>
    <s v="FR00102204751"/>
    <s v="FR0010220475"/>
    <n v="1"/>
    <x v="149"/>
    <m/>
    <m/>
    <m/>
  </r>
  <r>
    <m/>
    <m/>
    <m/>
    <m/>
    <m/>
    <x v="1"/>
    <m/>
    <m/>
    <m/>
    <m/>
    <m/>
    <m/>
    <m/>
    <m/>
    <m/>
    <m/>
    <m/>
    <m/>
    <m/>
    <m/>
    <m/>
    <s v=""/>
    <m/>
    <m/>
    <m/>
    <s v="Répartition endettement : 700 M € ech 10/2026, 500 M € ech 07/2027, 750 M € ech 01/2029, 700 M € ech 07/2030"/>
    <m/>
    <n v="3263"/>
    <s v="p"/>
    <s v="FR00102204751"/>
    <s v="FR0010220475"/>
    <n v="1"/>
    <x v="149"/>
    <m/>
    <m/>
    <m/>
  </r>
  <r>
    <m/>
    <m/>
    <m/>
    <m/>
    <m/>
    <x v="1"/>
    <m/>
    <m/>
    <m/>
    <m/>
    <m/>
    <m/>
    <m/>
    <m/>
    <m/>
    <m/>
    <m/>
    <m/>
    <m/>
    <m/>
    <m/>
    <s v=""/>
    <m/>
    <m/>
    <m/>
    <s v="Exercice fiscal clos au 31 mars"/>
    <m/>
    <n v="3264"/>
    <s v="p"/>
    <s v="FR00102204751"/>
    <s v="FR0010220475"/>
    <n v="1"/>
    <x v="149"/>
    <m/>
    <m/>
    <m/>
  </r>
  <r>
    <m/>
    <m/>
    <m/>
    <m/>
    <m/>
    <x v="1"/>
    <m/>
    <m/>
    <m/>
    <m/>
    <m/>
    <m/>
    <m/>
    <m/>
    <m/>
    <m/>
    <m/>
    <m/>
    <m/>
    <m/>
    <m/>
    <s v=""/>
    <m/>
    <m/>
    <m/>
    <s v="En 2023 au S1, Répartition de la Dette : 700 M ech 2026 à 0,25%, 500 M ech 2027 à 0,125%, 750 M ech 2029 à 0%, 700 M ech 2030 à 0,5%. (Frais Financiers 45 M d'€) | Prêt bancaire non tiré : 2 500 M + Ligne Crédit non tiré 1 750 M. "/>
    <m/>
    <n v="3343"/>
    <e v="#N/A"/>
    <s v=""/>
    <m/>
    <m/>
    <x v="52"/>
    <m/>
    <m/>
    <m/>
  </r>
  <r>
    <m/>
    <m/>
    <m/>
    <m/>
    <m/>
    <x v="1"/>
    <m/>
    <m/>
    <m/>
    <m/>
    <m/>
    <m/>
    <m/>
    <m/>
    <m/>
    <m/>
    <m/>
    <m/>
    <m/>
    <m/>
    <m/>
    <s v=""/>
    <m/>
    <m/>
    <m/>
    <s v="Minoritaires : peu (&lt; 1%)"/>
    <m/>
    <n v="3265"/>
    <s v="p"/>
    <s v="FR00102204751"/>
    <s v="FR0010220475"/>
    <n v="1"/>
    <x v="149"/>
    <m/>
    <m/>
    <m/>
  </r>
  <r>
    <m/>
    <m/>
    <m/>
    <m/>
    <m/>
    <x v="1"/>
    <m/>
    <m/>
    <m/>
    <m/>
    <m/>
    <m/>
    <m/>
    <m/>
    <m/>
    <m/>
    <m/>
    <m/>
    <m/>
    <m/>
    <m/>
    <s v=""/>
    <m/>
    <m/>
    <m/>
    <s v="CAC : Price et Mazars"/>
    <m/>
    <n v="3266"/>
    <s v="p"/>
    <s v="FR00102204751"/>
    <s v="FR0010220475"/>
    <n v="1"/>
    <x v="149"/>
    <m/>
    <m/>
    <m/>
  </r>
  <r>
    <m/>
    <m/>
    <m/>
    <m/>
    <m/>
    <x v="1"/>
    <m/>
    <m/>
    <m/>
    <m/>
    <m/>
    <m/>
    <m/>
    <m/>
    <m/>
    <m/>
    <m/>
    <m/>
    <m/>
    <m/>
    <m/>
    <s v=""/>
    <m/>
    <m/>
    <m/>
    <s v="Pay-out ratio : 35% (moins en 2016-2017)"/>
    <m/>
    <n v="3310"/>
    <s v="p"/>
    <s v="FR00102204751"/>
    <s v="FR0010220475"/>
    <n v="1"/>
    <x v="149"/>
    <m/>
    <m/>
    <m/>
  </r>
  <r>
    <m/>
    <m/>
    <m/>
    <m/>
    <m/>
    <x v="1"/>
    <m/>
    <m/>
    <m/>
    <m/>
    <m/>
    <m/>
    <m/>
    <m/>
    <m/>
    <m/>
    <m/>
    <m/>
    <m/>
    <m/>
    <m/>
    <s v=""/>
    <m/>
    <m/>
    <m/>
    <m/>
    <m/>
    <n v="3267"/>
    <s v="p"/>
    <s v="FR00102204751"/>
    <s v="FR0010220475"/>
    <n v="1"/>
    <x v="149"/>
    <m/>
    <m/>
    <m/>
  </r>
  <r>
    <m/>
    <m/>
    <m/>
    <m/>
    <m/>
    <x v="1"/>
    <m/>
    <m/>
    <m/>
    <m/>
    <m/>
    <m/>
    <m/>
    <m/>
    <m/>
    <m/>
    <m/>
    <m/>
    <m/>
    <m/>
    <m/>
    <s v=""/>
    <m/>
    <m/>
    <m/>
    <m/>
    <m/>
    <n v="3268"/>
    <s v="p"/>
    <s v="FR00102204751"/>
    <s v="FR0010220475"/>
    <n v="1"/>
    <x v="149"/>
    <m/>
    <m/>
    <m/>
  </r>
  <r>
    <s v="Tencent"/>
    <s v="Service internet et mobile"/>
    <s v="Chine"/>
    <s v="RMB"/>
    <m/>
    <x v="0"/>
    <m/>
    <m/>
    <m/>
    <m/>
    <m/>
    <m/>
    <m/>
    <m/>
    <m/>
    <m/>
    <m/>
    <m/>
    <m/>
    <m/>
    <m/>
    <s v=""/>
    <m/>
    <m/>
    <m/>
    <m/>
    <m/>
    <n v="3269"/>
    <n v="0"/>
    <s v="KYG87572163412023"/>
    <s v="KYG875721634"/>
    <n v="1"/>
    <x v="150"/>
    <m/>
    <m/>
    <m/>
  </r>
  <r>
    <m/>
    <m/>
    <m/>
    <m/>
    <m/>
    <x v="1"/>
    <m/>
    <m/>
    <m/>
    <m/>
    <m/>
    <m/>
    <m/>
    <m/>
    <m/>
    <m/>
    <m/>
    <m/>
    <m/>
    <m/>
    <m/>
    <s v=""/>
    <m/>
    <m/>
    <m/>
    <m/>
    <m/>
    <n v="3270"/>
    <n v="0"/>
    <s v="KYG8757216341"/>
    <s v="KYG875721634"/>
    <n v="1"/>
    <x v="150"/>
    <m/>
    <m/>
    <m/>
  </r>
  <r>
    <m/>
    <m/>
    <m/>
    <m/>
    <n v="334"/>
    <x v="2"/>
    <n v="539010000000"/>
    <n v="181540000000"/>
    <n v="134568000000"/>
    <n v="107368000000"/>
    <n v="20429000000"/>
    <n v="736494000000"/>
    <n v="76.539938603752432"/>
    <n v="0.14578258614462575"/>
    <n v="0.12444806142764851"/>
    <n v="9622348978"/>
    <n v="3213864558652"/>
    <n v="3.6364457355298665"/>
    <n v="14.865315993959092"/>
    <m/>
    <n v="110715"/>
    <n v="4868446.0100257415"/>
    <m/>
    <m/>
    <m/>
    <m/>
    <m/>
    <n v="3271"/>
    <n v="0"/>
    <s v="KYG87572163412022"/>
    <s v="KYG875721634"/>
    <n v="1"/>
    <x v="150"/>
    <m/>
    <m/>
    <m/>
  </r>
  <r>
    <m/>
    <m/>
    <m/>
    <m/>
    <m/>
    <x v="1"/>
    <n v="-3.7684916392617285E-2"/>
    <n v="-6.8060247025123477E-2"/>
    <n v="-0.50457256461232602"/>
    <n v="-0.13264613694380711"/>
    <m/>
    <m/>
    <m/>
    <m/>
    <m/>
    <m/>
    <m/>
    <m/>
    <m/>
    <m/>
    <m/>
    <s v=""/>
    <m/>
    <m/>
    <m/>
    <m/>
    <m/>
    <n v="3272"/>
    <n v="0"/>
    <s v="KYG8757216341"/>
    <s v="KYG875721634"/>
    <n v="1"/>
    <x v="150"/>
    <m/>
    <m/>
    <m/>
  </r>
  <r>
    <m/>
    <m/>
    <m/>
    <m/>
    <n v="456.8"/>
    <x v="3"/>
    <n v="560118000000"/>
    <n v="194798000000"/>
    <n v="271620000000"/>
    <n v="123788000000"/>
    <n v="20243000000"/>
    <n v="806299000000"/>
    <n v="83.916240664478764"/>
    <n v="0.15352617329303397"/>
    <n v="0.23003549728870401"/>
    <n v="9608378469"/>
    <n v="4389107284639.2002"/>
    <n v="4.5362693043970044"/>
    <n v="18.880236983264719"/>
    <m/>
    <n v="112771"/>
    <n v="4966862.0478669163"/>
    <m/>
    <m/>
    <m/>
    <s v="Tencent Holding Limited est une entreprise Chinoise fondée en 1998. En Mai 2020 Tencent a annoncé investir 70 milliards de dollar US dans le développement d'infrastructure digital et hi-tech a Pékin."/>
    <m/>
    <n v="3273"/>
    <n v="0"/>
    <s v="KYG87572163412021"/>
    <s v="KYG875721634"/>
    <n v="1"/>
    <x v="150"/>
    <m/>
    <m/>
    <m/>
  </r>
  <r>
    <m/>
    <m/>
    <m/>
    <m/>
    <m/>
    <x v="1"/>
    <n v="0.16186805618937772"/>
    <n v="0.1412986799936724"/>
    <n v="0.47429669393227192"/>
    <n v="8.5219403301233232E-3"/>
    <m/>
    <m/>
    <m/>
    <m/>
    <m/>
    <m/>
    <m/>
    <m/>
    <m/>
    <m/>
    <m/>
    <s v=""/>
    <m/>
    <m/>
    <m/>
    <s v="Les services de Tencent incluent des réseaux sociaux, des portails web, de commerce en ligne et des jeux en ligne multijoueur. Il gère ainsi le service de messagerie instantanée Tencent QQ, opère l’un des plus importants portails web en Chine, QQ.com ainsi que l'application de messagerie instantanée WeChat."/>
    <m/>
    <n v="3274"/>
    <n v="0"/>
    <s v="KYG8757216341"/>
    <s v="KYG875721634"/>
    <n v="1"/>
    <x v="150"/>
    <m/>
    <m/>
    <m/>
  </r>
  <r>
    <m/>
    <m/>
    <s v="parité 1 € = 7,68 RMB"/>
    <m/>
    <n v="564"/>
    <x v="4"/>
    <n v="482084000000"/>
    <n v="170681000000"/>
    <n v="184237000000"/>
    <n v="122742000000"/>
    <n v="11063000000"/>
    <n v="703984000000"/>
    <n v="73.373517614148"/>
    <n v="0.17435339439532715"/>
    <n v="0.1803600322775985"/>
    <n v="9594524331"/>
    <n v="5411311722684"/>
    <n v="6.4055808591814589"/>
    <n v="26.485018458820843"/>
    <m/>
    <n v="85858"/>
    <n v="5614899.019310955"/>
    <m/>
    <m/>
    <m/>
    <s v="Dirigeants : Ma Huateng (PDG et fondateur depuis 1998) LAU Chi Ping (Executive Director)"/>
    <m/>
    <n v="3275"/>
    <n v="0"/>
    <s v="KYG87572163412020"/>
    <s v="KYG875721634"/>
    <n v="1"/>
    <x v="150"/>
    <m/>
    <m/>
    <m/>
  </r>
  <r>
    <m/>
    <m/>
    <m/>
    <m/>
    <m/>
    <x v="1"/>
    <n v="0.27775789911712234"/>
    <n v="0.24341434274557794"/>
    <n v="0.55745008199908708"/>
    <n v="0.30090831045775879"/>
    <m/>
    <m/>
    <m/>
    <m/>
    <m/>
    <m/>
    <m/>
    <m/>
    <m/>
    <m/>
    <m/>
    <s v=""/>
    <m/>
    <m/>
    <m/>
    <s v="Actionnaires : Naspers Limited 31%, Ma Huateng 8,58%, Vanguard Group 2,3%, Blackrock 1,9%"/>
    <m/>
    <n v="3276"/>
    <n v="0"/>
    <s v="KYG8757216341"/>
    <s v="KYG875721634"/>
    <n v="1"/>
    <x v="150"/>
    <m/>
    <m/>
    <m/>
  </r>
  <r>
    <m/>
    <m/>
    <s v="1 RMB = 1,2 dollar Hong Kong"/>
    <m/>
    <n v="384"/>
    <x v="5"/>
    <n v="377289000000"/>
    <n v="137268000000"/>
    <n v="118294000000"/>
    <n v="94351000000"/>
    <n v="-15522000000"/>
    <n v="432706000000"/>
    <n v="45.291881447343378"/>
    <n v="0.21804874441306568"/>
    <n v="0.19848747794738053"/>
    <n v="9553721024"/>
    <n v="3668628873216"/>
    <n v="7.6381447378851943"/>
    <n v="23.96442766669108"/>
    <m/>
    <n v="62885"/>
    <n v="5999666.057088336"/>
    <m/>
    <m/>
    <m/>
    <s v="Répartition de l'activité : Média sociaux 22%, Jeux 32%, Publicité en ligne 16%, FinTech et business services 29% autres 1%"/>
    <m/>
    <n v="3277"/>
    <n v="0"/>
    <s v="KYG87572163412019"/>
    <s v="KYG875721634"/>
    <n v="1"/>
    <x v="150"/>
    <m/>
    <m/>
    <m/>
  </r>
  <r>
    <m/>
    <m/>
    <m/>
    <m/>
    <m/>
    <x v="1"/>
    <n v="0.2065757577695766"/>
    <n v="0.24332451722763659"/>
    <n v="0.21143290185154839"/>
    <n v="0.21776223234682957"/>
    <m/>
    <m/>
    <m/>
    <m/>
    <m/>
    <m/>
    <m/>
    <m/>
    <m/>
    <m/>
    <m/>
    <s v=""/>
    <m/>
    <m/>
    <m/>
    <s v="Répartition géographique du CA : 93% Chine 7% reste du monde"/>
    <m/>
    <n v="3278"/>
    <n v="0"/>
    <s v="KYG8757216341"/>
    <s v="KYG875721634"/>
    <n v="1"/>
    <x v="150"/>
    <m/>
    <m/>
    <m/>
  </r>
  <r>
    <m/>
    <m/>
    <m/>
    <m/>
    <n v="315.2"/>
    <x v="6"/>
    <n v="312694000000"/>
    <n v="110404000000"/>
    <n v="97648000000"/>
    <n v="77479000000"/>
    <n v="-12170000000"/>
    <n v="323510000000"/>
    <n v="33.975839960527757"/>
    <n v="0.23949491514945442"/>
    <n v="0.21954647652084536"/>
    <n v="9521766066"/>
    <n v="3001260664003.1997"/>
    <n v="8.1378776327942361"/>
    <n v="23.735687049248789"/>
    <m/>
    <m/>
    <s v=""/>
    <m/>
    <m/>
    <m/>
    <s v="Janvier 2015, acquisition de Supercell (jeux vidéo mobile) pour 8,6 milliards $ US"/>
    <m/>
    <n v="3279"/>
    <n v="0"/>
    <s v="KYG87572163412018"/>
    <s v="KYG875721634"/>
    <n v="1"/>
    <x v="150"/>
    <m/>
    <m/>
    <m/>
  </r>
  <r>
    <m/>
    <m/>
    <m/>
    <m/>
    <m/>
    <x v="1"/>
    <n v="0.31516655450874831"/>
    <n v="0.23048459720921932"/>
    <n v="8.134925029345963E-2"/>
    <n v="0.18967846942849254"/>
    <m/>
    <m/>
    <m/>
    <m/>
    <m/>
    <m/>
    <m/>
    <m/>
    <m/>
    <m/>
    <m/>
    <s v=""/>
    <m/>
    <m/>
    <m/>
    <s v="Novembre 2017, achat de 12% de Snapchat pour y intégré le jeux vidéo."/>
    <m/>
    <n v="3280"/>
    <n v="0"/>
    <s v="KYG8757216341"/>
    <s v="KYG875721634"/>
    <n v="1"/>
    <x v="150"/>
    <m/>
    <m/>
    <m/>
  </r>
  <r>
    <m/>
    <m/>
    <m/>
    <m/>
    <n v="406"/>
    <x v="7"/>
    <n v="237760000000"/>
    <n v="89724000000"/>
    <n v="90302000000"/>
    <n v="65126000000"/>
    <n v="16332000000"/>
    <n v="256074000000"/>
    <n v="26.958334193776818"/>
    <n v="0.25432492170232041"/>
    <n v="0.23204848645037185"/>
    <n v="9498880686"/>
    <n v="3856545558516"/>
    <n v="12.550231438685692"/>
    <n v="36.000623750947348"/>
    <m/>
    <m/>
    <s v=""/>
    <m/>
    <m/>
    <m/>
    <s v="Décembre 2017, échange de 10% de capital avec Spotify"/>
    <m/>
    <n v="3281"/>
    <n v="0"/>
    <s v="KYG87572163412017"/>
    <s v="KYG875721634"/>
    <n v="1"/>
    <x v="150"/>
    <m/>
    <m/>
    <m/>
  </r>
  <r>
    <m/>
    <m/>
    <m/>
    <m/>
    <m/>
    <x v="1"/>
    <n v="0.56484881991338565"/>
    <n v="0.43443645083932858"/>
    <n v="0.52753907571554226"/>
    <n v="0.43386173491853808"/>
    <m/>
    <m/>
    <m/>
    <m/>
    <m/>
    <m/>
    <m/>
    <m/>
    <m/>
    <m/>
    <m/>
    <s v=""/>
    <m/>
    <m/>
    <m/>
    <s v="Janvier 2018, acquisition Wanda commercial, qui est un conglomérat aux activités liés au tourisme, hôtellerie et cinéma, pour 5,2 milliards $ US"/>
    <m/>
    <n v="3282"/>
    <n v="0"/>
    <s v="KYG8757216341"/>
    <s v="KYG875721634"/>
    <n v="1"/>
    <x v="150"/>
    <m/>
    <m/>
    <m/>
  </r>
  <r>
    <m/>
    <m/>
    <m/>
    <m/>
    <n v="189.7"/>
    <x v="8"/>
    <n v="151938000000"/>
    <n v="62550000000"/>
    <n v="59116000000"/>
    <n v="45420000000"/>
    <n v="109497000000"/>
    <n v="186247000000"/>
    <n v="19.673356075745772"/>
    <n v="0.24386969991462951"/>
    <n v="0.13992236528889851"/>
    <n v="9466966352"/>
    <n v="1795883516974.3999"/>
    <n v="8.6093597527476931"/>
    <n v="27.385522396003193"/>
    <m/>
    <m/>
    <s v=""/>
    <m/>
    <m/>
    <m/>
    <s v="Mars 2020, acquisition de 10% de Universal Music pour 3 milliards d'€ + option pour 10% supplémentaires."/>
    <m/>
    <n v="3283"/>
    <n v="0"/>
    <s v="KYG87572163412016"/>
    <s v="KYG875721634"/>
    <n v="1"/>
    <x v="150"/>
    <m/>
    <m/>
    <m/>
  </r>
  <r>
    <m/>
    <m/>
    <m/>
    <m/>
    <m/>
    <x v="1"/>
    <n v="0.47709088787999576"/>
    <n v="0.45299542381936853"/>
    <n v="0.45509144165210325"/>
    <n v="0.40141931502622641"/>
    <m/>
    <m/>
    <m/>
    <m/>
    <m/>
    <m/>
    <m/>
    <m/>
    <m/>
    <m/>
    <m/>
    <s v=""/>
    <m/>
    <m/>
    <m/>
    <s v="Septembre 2020, acquisition Sogou (moteur de recherche Chinois) pour 3,5 milliards $ US"/>
    <m/>
    <n v="3284"/>
    <n v="0"/>
    <s v="KYG8757216341"/>
    <s v="KYG875721634"/>
    <n v="1"/>
    <x v="150"/>
    <m/>
    <m/>
    <m/>
  </r>
  <r>
    <m/>
    <m/>
    <m/>
    <m/>
    <n v="152.5"/>
    <x v="9"/>
    <n v="102863000000"/>
    <n v="43049000000"/>
    <n v="40627000000"/>
    <n v="32410000000"/>
    <n v="65329000000"/>
    <n v="122100000000"/>
    <n v="12.988087221198274"/>
    <n v="0.26543816543816545"/>
    <n v="0.15173158902837874"/>
    <n v="9400922393"/>
    <n v="1433640664932.5"/>
    <n v="9.7846073227716346"/>
    <n v="29.269659088722541"/>
    <m/>
    <m/>
    <s v=""/>
    <m/>
    <m/>
    <m/>
    <s v="Acquisitions : Decembre 2020, acquisition de LeYou Technologies(jeux video) pour 1,5 milliards $ US "/>
    <m/>
    <n v="3285"/>
    <n v="0"/>
    <s v="KYG87572163412015"/>
    <s v="KYG875721634"/>
    <n v="1"/>
    <x v="150"/>
    <m/>
    <m/>
    <m/>
  </r>
  <r>
    <m/>
    <m/>
    <m/>
    <m/>
    <m/>
    <x v="1"/>
    <n v="0.30318502001722991"/>
    <n v="0.39281092273844953"/>
    <n v="0.3302010346408224"/>
    <n v="0.36119277614447709"/>
    <m/>
    <m/>
    <m/>
    <m/>
    <m/>
    <m/>
    <m/>
    <m/>
    <m/>
    <m/>
    <m/>
    <s v=""/>
    <m/>
    <m/>
    <m/>
    <s v="Minoritaire : faible"/>
    <m/>
    <n v="3286"/>
    <n v="0"/>
    <s v="KYG8757216341"/>
    <s v="KYG875721634"/>
    <n v="1"/>
    <x v="150"/>
    <m/>
    <m/>
    <m/>
  </r>
  <r>
    <m/>
    <m/>
    <m/>
    <m/>
    <n v="112.7"/>
    <x v="10"/>
    <n v="78932000000"/>
    <n v="30908000000"/>
    <n v="30542000000"/>
    <n v="23810000000"/>
    <n v="35584000000"/>
    <n v="82124000000"/>
    <n v="8.7670734514660804"/>
    <n v="0.28992742681798256"/>
    <n v="0.18163081523770686"/>
    <n v="9367321998"/>
    <n v="1055697189174.6"/>
    <n v="10.283933458424821"/>
    <n v="28.476179349672574"/>
    <m/>
    <m/>
    <s v=""/>
    <m/>
    <m/>
    <m/>
    <s v="Employés : 45 000 soit 1,3 M euros par salarié"/>
    <m/>
    <n v="3287"/>
    <n v="0"/>
    <s v="KYG87572163412014"/>
    <s v="KYG875721634"/>
    <n v="1"/>
    <x v="150"/>
    <m/>
    <m/>
    <m/>
  </r>
  <r>
    <m/>
    <m/>
    <m/>
    <m/>
    <m/>
    <x v="1"/>
    <n v="0.30601682407523834"/>
    <n v="0.50286881260332583"/>
    <n v="0.59122642492445565"/>
    <n v="0.53593084763256349"/>
    <m/>
    <m/>
    <m/>
    <m/>
    <m/>
    <m/>
    <m/>
    <m/>
    <m/>
    <m/>
    <m/>
    <s v=""/>
    <m/>
    <m/>
    <m/>
    <s v="CA par salarié : 1,380M €"/>
    <m/>
    <n v="3288"/>
    <n v="0"/>
    <s v="KYG8757216341"/>
    <s v="KYG875721634"/>
    <n v="1"/>
    <x v="150"/>
    <m/>
    <m/>
    <m/>
  </r>
  <r>
    <m/>
    <m/>
    <m/>
    <m/>
    <n v="96.6"/>
    <x v="11"/>
    <n v="60437200000"/>
    <n v="20566000000"/>
    <n v="19194000000"/>
    <n v="15502000000"/>
    <n v="15053000000"/>
    <n v="58423000000"/>
    <n v="31.456330084403191"/>
    <n v="0.26534070485938754"/>
    <n v="0.18285970929283032"/>
    <n v="1857273237"/>
    <n v="179412594694.19998"/>
    <n v="2.3991593996344545"/>
    <n v="7.5473640768668542"/>
    <m/>
    <m/>
    <s v=""/>
    <m/>
    <m/>
    <m/>
    <s v="Pay-out Ratio : 1,6 per share"/>
    <m/>
    <n v="3289"/>
    <n v="0"/>
    <s v="KYG87572163412013"/>
    <s v="KYG875721634"/>
    <n v="1"/>
    <x v="150"/>
    <m/>
    <m/>
    <m/>
  </r>
  <r>
    <m/>
    <m/>
    <m/>
    <m/>
    <m/>
    <x v="1"/>
    <m/>
    <m/>
    <m/>
    <m/>
    <m/>
    <m/>
    <m/>
    <m/>
    <m/>
    <m/>
    <m/>
    <m/>
    <m/>
    <m/>
    <m/>
    <s v=""/>
    <m/>
    <m/>
    <m/>
    <m/>
    <m/>
    <n v="3290"/>
    <n v="0"/>
    <s v="KYG8757216341"/>
    <s v="KYG875721634"/>
    <n v="1"/>
    <x v="150"/>
    <m/>
    <m/>
    <m/>
  </r>
  <r>
    <m/>
    <m/>
    <m/>
    <m/>
    <m/>
    <x v="1"/>
    <m/>
    <m/>
    <m/>
    <m/>
    <m/>
    <m/>
    <m/>
    <m/>
    <m/>
    <m/>
    <m/>
    <m/>
    <m/>
    <m/>
    <m/>
    <s v=""/>
    <m/>
    <m/>
    <m/>
    <m/>
    <m/>
    <n v="3291"/>
    <n v="0"/>
    <s v="KYG8757216341"/>
    <s v="KYG875721634"/>
    <n v="1"/>
    <x v="150"/>
    <m/>
    <m/>
    <m/>
  </r>
  <r>
    <m/>
    <m/>
    <m/>
    <m/>
    <m/>
    <x v="1"/>
    <m/>
    <m/>
    <m/>
    <m/>
    <m/>
    <m/>
    <m/>
    <m/>
    <m/>
    <m/>
    <m/>
    <m/>
    <m/>
    <m/>
    <m/>
    <s v=""/>
    <m/>
    <m/>
    <m/>
    <m/>
    <m/>
    <n v="3292"/>
    <n v="0"/>
    <s v="KYG8757216341"/>
    <s v="KYG875721634"/>
    <n v="1"/>
    <x v="150"/>
    <m/>
    <m/>
    <m/>
  </r>
  <r>
    <s v="Bureau Veritas"/>
    <s v="Certification"/>
    <s v="France"/>
    <s v="Euro"/>
    <n v="26"/>
    <x v="0"/>
    <m/>
    <m/>
    <m/>
    <m/>
    <m/>
    <m/>
    <m/>
    <m/>
    <m/>
    <m/>
    <m/>
    <m/>
    <m/>
    <m/>
    <m/>
    <s v=""/>
    <m/>
    <m/>
    <m/>
    <s v="Bureau Veritas est fondée en 1828 spécialisé dans les essais, l'inspection et la certification. "/>
    <m/>
    <n v="3293"/>
    <n v="0"/>
    <s v="FR000617434812023"/>
    <s v="FR0006174348"/>
    <n v="1"/>
    <x v="151"/>
    <m/>
    <m/>
    <m/>
  </r>
  <r>
    <m/>
    <m/>
    <m/>
    <m/>
    <m/>
    <x v="1"/>
    <m/>
    <m/>
    <m/>
    <m/>
    <m/>
    <m/>
    <m/>
    <m/>
    <m/>
    <m/>
    <m/>
    <m/>
    <m/>
    <m/>
    <m/>
    <s v=""/>
    <m/>
    <m/>
    <m/>
    <s v="Direction : Didier Michaud-Daniel DG, Aldo Cardoso Président du conseil d'administration"/>
    <m/>
    <n v="3294"/>
    <n v="0"/>
    <s v="FR00061743481"/>
    <s v="FR0006174348"/>
    <n v="1"/>
    <x v="151"/>
    <m/>
    <m/>
    <m/>
  </r>
  <r>
    <m/>
    <m/>
    <m/>
    <m/>
    <n v="24.61"/>
    <x v="2"/>
    <n v="5650600000"/>
    <n v="1073520000.0000001"/>
    <n v="799400000"/>
    <n v="484600000"/>
    <n v="990000000"/>
    <n v="1862100000"/>
    <n v="4.1076605906739161"/>
    <n v="0.26024381075130232"/>
    <n v="0.19619929174993864"/>
    <n v="453323725"/>
    <n v="11156296872.25"/>
    <n v="5.9912447624993286"/>
    <n v="11.314457925562634"/>
    <m/>
    <m/>
    <s v=""/>
    <m/>
    <m/>
    <m/>
    <s v="Actionnaires : Wendel 35,6% du capital, 63,3 % Flottant, 1 % Comité executif et salariés et autodétention"/>
    <m/>
    <n v="3295"/>
    <n v="0"/>
    <s v="FR000617434812022"/>
    <s v="FR0006174348"/>
    <n v="1"/>
    <x v="151"/>
    <m/>
    <m/>
    <m/>
  </r>
  <r>
    <m/>
    <m/>
    <m/>
    <m/>
    <m/>
    <x v="1"/>
    <n v="0.13440806247615988"/>
    <n v="8.0000000000000071E-2"/>
    <n v="0.11213132999443509"/>
    <n v="0.15134236160608228"/>
    <m/>
    <m/>
    <m/>
    <m/>
    <m/>
    <m/>
    <m/>
    <m/>
    <m/>
    <m/>
    <m/>
    <s v=""/>
    <m/>
    <m/>
    <m/>
    <s v="Répartition de l'activité : Marine &amp; offshore 7,8% ; Aggroalimentaire 21,9% ; Industrie 20,5% ; Batiment 27,9% ; Certification 7,2% ; Biens de consommation 12,4%."/>
    <m/>
    <n v="3296"/>
    <n v="0"/>
    <s v="FR00061743481"/>
    <s v="FR0006174348"/>
    <n v="1"/>
    <x v="151"/>
    <m/>
    <m/>
    <m/>
  </r>
  <r>
    <m/>
    <m/>
    <m/>
    <m/>
    <n v="29.18"/>
    <x v="3"/>
    <n v="4981100000"/>
    <n v="994000000"/>
    <n v="718800000"/>
    <n v="420900000"/>
    <n v="1051400000"/>
    <n v="1638500000"/>
    <n v="3.6144148422851683"/>
    <n v="0.25688129386634118"/>
    <n v="0.18705528086545967"/>
    <n v="453323725"/>
    <n v="13227986295.5"/>
    <n v="8.0732293533719872"/>
    <n v="14.365579774144869"/>
    <m/>
    <m/>
    <s v=""/>
    <m/>
    <m/>
    <m/>
    <s v="Répartition géographique : Europe 36,5% ; Asie Pacifique 30,3% ; Ameriques 22,7% ; Afrique Moyen Orient 8,5%."/>
    <m/>
    <n v="3297"/>
    <n v="0"/>
    <s v="FR000617434812021"/>
    <s v="FR0006174348"/>
    <n v="1"/>
    <x v="151"/>
    <m/>
    <m/>
    <m/>
  </r>
  <r>
    <m/>
    <m/>
    <m/>
    <m/>
    <m/>
    <x v="1"/>
    <n v="8.2612475548793807E-2"/>
    <n v="0.29023883696780883"/>
    <n v="0.76392638036809823"/>
    <n v="2.0302375809935205"/>
    <m/>
    <m/>
    <m/>
    <m/>
    <m/>
    <m/>
    <m/>
    <m/>
    <m/>
    <m/>
    <m/>
    <s v=""/>
    <m/>
    <m/>
    <m/>
    <s v="Concurrents : SGS, Apave, DNV, Lloyd's Register"/>
    <m/>
    <n v="3298"/>
    <n v="0"/>
    <s v="FR00061743481"/>
    <s v="FR0006174348"/>
    <n v="1"/>
    <x v="151"/>
    <m/>
    <m/>
    <m/>
  </r>
  <r>
    <m/>
    <m/>
    <m/>
    <m/>
    <n v="22.1"/>
    <x v="4"/>
    <n v="4601000000"/>
    <n v="770400000"/>
    <n v="407500000"/>
    <n v="138900000"/>
    <n v="1329100000"/>
    <n v="1238000000"/>
    <n v="2.7375747650906552"/>
    <n v="0.11219709208400647"/>
    <n v="0.11111760352148338"/>
    <n v="452225092"/>
    <n v="9994174533.2000008"/>
    <n v="8.0728388798061399"/>
    <n v="14.697916060747664"/>
    <m/>
    <m/>
    <s v=""/>
    <m/>
    <m/>
    <m/>
    <s v="En 2018, le groupe lance Origin, premier label de traçabilité alimentaire reposant sur la technologie Blockchain, permettant d’offrir aux consommateurs la preuve complète du parcours produit."/>
    <m/>
    <n v="3299"/>
    <n v="0"/>
    <s v="FR000617434812020"/>
    <s v="FR0006174348"/>
    <n v="1"/>
    <x v="151"/>
    <m/>
    <m/>
    <m/>
  </r>
  <r>
    <m/>
    <m/>
    <m/>
    <m/>
    <m/>
    <x v="1"/>
    <n v="-9.779006608231855E-2"/>
    <n v="-0.25"/>
    <n v="-0.43551738467931844"/>
    <n v="-0.64620478858889463"/>
    <m/>
    <m/>
    <m/>
    <m/>
    <m/>
    <m/>
    <m/>
    <m/>
    <m/>
    <m/>
    <m/>
    <s v=""/>
    <m/>
    <m/>
    <m/>
    <s v="En 2019 ils font l'acquisition de Q Certificazioni (société de certification biologique / alimentaire). En 2017 ils acquierent Primary Integration Solution aux USA pour afin d'étendre l'activités aux data centers. "/>
    <m/>
    <n v="3300"/>
    <n v="0"/>
    <s v="FR00061743481"/>
    <s v="FR0006174348"/>
    <n v="1"/>
    <x v="151"/>
    <m/>
    <m/>
    <m/>
  </r>
  <r>
    <m/>
    <m/>
    <m/>
    <m/>
    <n v="23.7"/>
    <x v="5"/>
    <n v="5099700000"/>
    <n v="1027200000"/>
    <n v="721900000"/>
    <n v="392600000"/>
    <n v="1813300000"/>
    <n v="1263800000"/>
    <n v="2.7954426048297836"/>
    <n v="0.31065041937015353"/>
    <n v="0.16422280718858664"/>
    <n v="452092988"/>
    <n v="10714603815.6"/>
    <n v="8.478084994144643"/>
    <n v="12.196168044781931"/>
    <m/>
    <m/>
    <s v=""/>
    <m/>
    <m/>
    <m/>
    <s v="Un partenariat avec Microsoft est signé en 2019, concernant le développement de l’intelligence artificielle dans ses laboratoires de tests."/>
    <m/>
    <n v="3301"/>
    <n v="0"/>
    <s v="FR000617434812019"/>
    <s v="FR0006174348"/>
    <n v="1"/>
    <x v="151"/>
    <m/>
    <m/>
    <m/>
  </r>
  <r>
    <m/>
    <m/>
    <m/>
    <m/>
    <m/>
    <x v="1"/>
    <n v="6.3434469815452088E-2"/>
    <n v="7.1898152979233965E-2"/>
    <n v="-4.762532981530343E-2"/>
    <n v="-5.896452540747843E-2"/>
    <m/>
    <m/>
    <m/>
    <m/>
    <m/>
    <m/>
    <m/>
    <m/>
    <m/>
    <m/>
    <m/>
    <s v=""/>
    <m/>
    <m/>
    <m/>
    <s v="Croissance annuelle de 3,8% sur les 6 dernières années"/>
    <m/>
    <n v="3302"/>
    <n v="0"/>
    <s v="FR00061743481"/>
    <s v="FR0006174348"/>
    <n v="1"/>
    <x v="151"/>
    <m/>
    <m/>
    <m/>
  </r>
  <r>
    <m/>
    <m/>
    <m/>
    <m/>
    <n v="17.2"/>
    <x v="6"/>
    <n v="4795500000"/>
    <n v="958300000"/>
    <n v="758000000"/>
    <n v="417200000"/>
    <n v="2115100000"/>
    <n v="959300000"/>
    <n v="2.1693018796244368"/>
    <n v="0.43490044824351087"/>
    <n v="0.17258652094717666"/>
    <n v="442216000"/>
    <n v="7606115200"/>
    <n v="7.9288180965287189"/>
    <n v="10.144229573202546"/>
    <m/>
    <m/>
    <s v=""/>
    <m/>
    <m/>
    <m/>
    <s v="SGS 2020 en CHF (1 CHF = 0,91€) : Chiffre d'affaire : 5 604 000 000 ; Résultat Opé : 795 000 000 ; Résultat Net : 505 000 000 ; Dettes :  ; Fonds propres : 1 060 000 000 ; cours de bourse : 2671 chf ; Nombre d'actions : 7 565 732 ; Salarié : 89 000"/>
    <m/>
    <n v="3303"/>
    <n v="0"/>
    <s v="FR000617434812018"/>
    <s v="FR0006174348"/>
    <n v="1"/>
    <x v="151"/>
    <m/>
    <m/>
    <m/>
  </r>
  <r>
    <m/>
    <m/>
    <m/>
    <m/>
    <m/>
    <x v="1"/>
    <n v="2.2625495799036166E-2"/>
    <n v="9.587020648967659E-3"/>
    <n v="1.6767270288396974E-2"/>
    <n v="2.643595289593792E-3"/>
    <m/>
    <m/>
    <m/>
    <m/>
    <m/>
    <m/>
    <m/>
    <m/>
    <m/>
    <m/>
    <m/>
    <s v=""/>
    <m/>
    <m/>
    <m/>
    <s v="En 2022, au S1, réalisation de 2 fusions-acquisitions (34 M de CA annualisé)"/>
    <m/>
    <n v="3304"/>
    <n v="0"/>
    <s v="FR00061743481"/>
    <s v="FR0006174348"/>
    <n v="1"/>
    <x v="151"/>
    <m/>
    <m/>
    <m/>
  </r>
  <r>
    <m/>
    <m/>
    <m/>
    <m/>
    <n v="22.8"/>
    <x v="7"/>
    <n v="4689400000"/>
    <n v="949200000"/>
    <n v="745500000"/>
    <n v="416100000"/>
    <n v="2094400000"/>
    <n v="970400000"/>
    <n v="2.1954751131221721"/>
    <n v="0.42879225061830173"/>
    <n v="0.17027212216131557"/>
    <n v="442000000"/>
    <n v="10077600000"/>
    <n v="10.384995877988459"/>
    <n v="12.823430257058575"/>
    <m/>
    <m/>
    <s v=""/>
    <m/>
    <m/>
    <m/>
    <s v="En 2022, au S1, confirmation des objectifs annuels, amélioration du CA généré +5,2 % en organique, hausse du résultat net de 8,4 %"/>
    <m/>
    <n v="3305"/>
    <n v="0"/>
    <s v="FR000617434812017"/>
    <s v="FR0006174348"/>
    <n v="1"/>
    <x v="151"/>
    <m/>
    <m/>
    <m/>
  </r>
  <r>
    <m/>
    <m/>
    <m/>
    <m/>
    <m/>
    <x v="1"/>
    <n v="3.0818605469093541E-2"/>
    <n v="0.16767130028293753"/>
    <n v="0.22113022113022107"/>
    <n v="0.30275516593613028"/>
    <m/>
    <m/>
    <m/>
    <m/>
    <m/>
    <m/>
    <m/>
    <m/>
    <m/>
    <m/>
    <m/>
    <s v=""/>
    <m/>
    <m/>
    <m/>
    <s v="Minoritaires : 5,6% en 2021"/>
    <m/>
    <n v="3306"/>
    <n v="0"/>
    <s v="FR00061743481"/>
    <s v="FR0006174348"/>
    <n v="1"/>
    <x v="151"/>
    <m/>
    <m/>
    <m/>
  </r>
  <r>
    <m/>
    <m/>
    <m/>
    <m/>
    <n v="18.399999999999999"/>
    <x v="8"/>
    <n v="4549200000"/>
    <n v="812900000"/>
    <n v="610500000"/>
    <n v="319400000"/>
    <n v="1996400000"/>
    <n v="1243100000"/>
    <n v="2.8124434389140269"/>
    <n v="0.25693829941275842"/>
    <n v="0.13191850594227505"/>
    <n v="442000000"/>
    <n v="8132799999.999999"/>
    <n v="6.5423537929370115"/>
    <n v="12.46057325624308"/>
    <m/>
    <m/>
    <s v=""/>
    <m/>
    <m/>
    <m/>
    <s v="CAC : Price et Ernst"/>
    <m/>
    <n v="3307"/>
    <n v="0"/>
    <s v="FR000617434812016"/>
    <s v="FR0006174348"/>
    <n v="1"/>
    <x v="151"/>
    <m/>
    <m/>
    <m/>
  </r>
  <r>
    <m/>
    <m/>
    <m/>
    <m/>
    <m/>
    <x v="1"/>
    <n v="-1.8468973850004344E-2"/>
    <n v="3.8451711803781263E-2"/>
    <n v="5.6776873809935902E-2"/>
    <n v="0.2510771641206424"/>
    <m/>
    <m/>
    <m/>
    <m/>
    <m/>
    <m/>
    <m/>
    <m/>
    <m/>
    <m/>
    <m/>
    <s v=""/>
    <m/>
    <m/>
    <m/>
    <s v="Pay-out ratio : 50% (suspendu en 2020)"/>
    <m/>
    <n v="3308"/>
    <n v="0"/>
    <s v="FR00061743481"/>
    <s v="FR0006174348"/>
    <n v="1"/>
    <x v="151"/>
    <m/>
    <m/>
    <m/>
  </r>
  <r>
    <m/>
    <m/>
    <m/>
    <m/>
    <n v="18.399999999999999"/>
    <x v="9"/>
    <n v="4634800000"/>
    <n v="782800000"/>
    <n v="577700000"/>
    <n v="255300000"/>
    <n v="1867000000"/>
    <n v="1124900000"/>
    <n v="2.5390885103367018"/>
    <n v="0.22695350697839808"/>
    <n v="0.13516160299475249"/>
    <n v="443033000"/>
    <n v="8151807199.999999"/>
    <n v="7.2466949951106754"/>
    <n v="12.798680633622892"/>
    <m/>
    <m/>
    <s v=""/>
    <m/>
    <m/>
    <m/>
    <m/>
    <m/>
    <n v="3309"/>
    <n v="0"/>
    <s v="FR000617434812015"/>
    <s v="FR0006174348"/>
    <n v="1"/>
    <x v="151"/>
    <m/>
    <m/>
    <m/>
  </r>
  <r>
    <m/>
    <m/>
    <m/>
    <m/>
    <m/>
    <x v="1"/>
    <n v="0.11106316672659711"/>
    <n v="4.8780487804878092E-3"/>
    <n v="2.4654132671160012E-2"/>
    <n v="-0.26021443059982619"/>
    <m/>
    <m/>
    <m/>
    <m/>
    <m/>
    <m/>
    <m/>
    <m/>
    <m/>
    <m/>
    <m/>
    <s v=""/>
    <m/>
    <m/>
    <m/>
    <m/>
    <m/>
    <n v="3310"/>
    <n v="0"/>
    <s v="FR00061743481"/>
    <s v="FR0006174348"/>
    <n v="1"/>
    <x v="151"/>
    <m/>
    <m/>
    <m/>
  </r>
  <r>
    <m/>
    <m/>
    <m/>
    <m/>
    <n v="18.5"/>
    <x v="10"/>
    <n v="4171500000"/>
    <n v="779000000"/>
    <n v="563800000"/>
    <n v="345100000"/>
    <n v="1878600000"/>
    <n v="1108000000"/>
    <n v="2.5065491514380986"/>
    <n v="0.31146209386281587"/>
    <n v="0.13214357463336235"/>
    <n v="442042000"/>
    <n v="8177777000"/>
    <n v="7.380665162454874"/>
    <n v="12.909341463414634"/>
    <m/>
    <m/>
    <s v=""/>
    <m/>
    <m/>
    <m/>
    <m/>
    <m/>
    <n v="3311"/>
    <n v="0"/>
    <s v="FR000617434812014"/>
    <s v="FR0006174348"/>
    <n v="1"/>
    <x v="151"/>
    <m/>
    <m/>
    <m/>
  </r>
  <r>
    <m/>
    <m/>
    <m/>
    <m/>
    <m/>
    <x v="1"/>
    <n v="6.0613765223360705E-2"/>
    <n v="5.4127198917456099E-2"/>
    <n v="-4.3758480325644555E-2"/>
    <n v="0.17141887304820091"/>
    <m/>
    <m/>
    <m/>
    <m/>
    <m/>
    <m/>
    <m/>
    <m/>
    <m/>
    <m/>
    <m/>
    <s v=""/>
    <m/>
    <m/>
    <m/>
    <m/>
    <m/>
    <n v="3312"/>
    <n v="0"/>
    <s v="FR00061743481"/>
    <s v="FR0006174348"/>
    <n v="1"/>
    <x v="151"/>
    <m/>
    <m/>
    <m/>
  </r>
  <r>
    <m/>
    <m/>
    <m/>
    <m/>
    <n v="19.899999999999999"/>
    <x v="11"/>
    <n v="3933100000"/>
    <n v="739000000"/>
    <n v="589600000"/>
    <n v="294600000"/>
    <n v="1320700000"/>
    <n v="956100000"/>
    <n v="2.1631466419303385"/>
    <n v="0.30812676498274238"/>
    <n v="0.18127196064652143"/>
    <n v="441995000"/>
    <n v="8795700500"/>
    <n v="9.199561238364188"/>
    <n v="13.689310554803789"/>
    <m/>
    <m/>
    <s v=""/>
    <m/>
    <m/>
    <m/>
    <m/>
    <m/>
    <n v="3313"/>
    <n v="0"/>
    <s v="FR000617434812013"/>
    <s v="FR0006174348"/>
    <n v="1"/>
    <x v="151"/>
    <m/>
    <m/>
    <m/>
  </r>
  <r>
    <m/>
    <m/>
    <m/>
    <m/>
    <m/>
    <x v="1"/>
    <m/>
    <m/>
    <m/>
    <m/>
    <m/>
    <m/>
    <m/>
    <m/>
    <m/>
    <m/>
    <m/>
    <m/>
    <m/>
    <m/>
    <m/>
    <s v=""/>
    <m/>
    <m/>
    <m/>
    <m/>
    <m/>
    <n v="3314"/>
    <n v="0"/>
    <s v="FR00061743481"/>
    <s v="FR0006174348"/>
    <n v="1"/>
    <x v="151"/>
    <m/>
    <m/>
    <m/>
  </r>
  <r>
    <m/>
    <m/>
    <m/>
    <m/>
    <m/>
    <x v="1"/>
    <m/>
    <m/>
    <m/>
    <m/>
    <m/>
    <m/>
    <m/>
    <m/>
    <m/>
    <m/>
    <m/>
    <m/>
    <m/>
    <m/>
    <m/>
    <s v=""/>
    <m/>
    <m/>
    <m/>
    <m/>
    <m/>
    <n v="3315"/>
    <n v="0"/>
    <s v="FR00061743481"/>
    <s v="FR0006174348"/>
    <n v="1"/>
    <x v="151"/>
    <m/>
    <m/>
    <m/>
  </r>
  <r>
    <m/>
    <m/>
    <m/>
    <m/>
    <s v="IPO le 23 octobre 2007 à 37,7 euros pour 107 021 960 titres soit 4 Md euros de capitalisation"/>
    <x v="1"/>
    <m/>
    <m/>
    <m/>
    <m/>
    <m/>
    <m/>
    <m/>
    <m/>
    <m/>
    <m/>
    <m/>
    <m/>
    <m/>
    <m/>
    <m/>
    <s v=""/>
    <m/>
    <m/>
    <m/>
    <m/>
    <m/>
    <n v="3316"/>
    <n v="0"/>
    <s v="FR00061743481"/>
    <s v="FR0006174348"/>
    <n v="1"/>
    <x v="151"/>
    <m/>
    <m/>
    <m/>
  </r>
  <r>
    <m/>
    <m/>
    <m/>
    <m/>
    <m/>
    <x v="1"/>
    <m/>
    <m/>
    <m/>
    <m/>
    <m/>
    <m/>
    <m/>
    <m/>
    <m/>
    <m/>
    <m/>
    <m/>
    <m/>
    <m/>
    <m/>
    <s v=""/>
    <m/>
    <m/>
    <m/>
    <m/>
    <m/>
    <n v="3317"/>
    <n v="0"/>
    <s v="FR00061743481"/>
    <s v="FR0006174348"/>
    <n v="1"/>
    <x v="151"/>
    <m/>
    <m/>
    <m/>
  </r>
  <r>
    <m/>
    <m/>
    <m/>
    <m/>
    <m/>
    <x v="1"/>
    <m/>
    <m/>
    <m/>
    <m/>
    <m/>
    <m/>
    <m/>
    <m/>
    <m/>
    <m/>
    <m/>
    <m/>
    <m/>
    <m/>
    <m/>
    <s v=""/>
    <m/>
    <m/>
    <m/>
    <m/>
    <m/>
    <n v="3318"/>
    <n v="0"/>
    <s v="FR00061743481"/>
    <s v="FR0006174348"/>
    <n v="1"/>
    <x v="151"/>
    <m/>
    <m/>
    <m/>
  </r>
  <r>
    <m/>
    <m/>
    <m/>
    <m/>
    <m/>
    <x v="1"/>
    <m/>
    <m/>
    <m/>
    <m/>
    <m/>
    <m/>
    <m/>
    <m/>
    <m/>
    <m/>
    <m/>
    <m/>
    <m/>
    <m/>
    <m/>
    <s v=""/>
    <m/>
    <m/>
    <m/>
    <m/>
    <m/>
    <n v="3319"/>
    <n v="0"/>
    <s v="FR00061743481"/>
    <s v="FR0006174348"/>
    <n v="1"/>
    <x v="151"/>
    <m/>
    <m/>
    <m/>
  </r>
  <r>
    <s v="SGS"/>
    <s v="Certification"/>
    <s v="Suisse"/>
    <s v="CHF"/>
    <n v="3047"/>
    <x v="3"/>
    <n v="6200000000"/>
    <n v="1500000000"/>
    <n v="980000000"/>
    <n v="600000000"/>
    <n v="1478000000"/>
    <n v="1060000000"/>
    <n v="140.10541213989606"/>
    <n v="0.56603773584905659"/>
    <n v="0.27029156816390859"/>
    <n v="7565732"/>
    <n v="23052785404"/>
    <n v="21.747910758490566"/>
    <n v="16.353856936"/>
    <m/>
    <m/>
    <s v=""/>
    <m/>
    <m/>
    <m/>
    <s v="SGS (Société générale de surveillance) est fondé en 1878 et propose des services dans les domaines du contrôle, de la vérification, de l'analyse et de la certification."/>
    <m/>
    <n v="3320"/>
    <n v="0"/>
    <s v="CH000249745812021"/>
    <s v="CH0002497458"/>
    <n v="1"/>
    <x v="152"/>
    <m/>
    <m/>
    <m/>
  </r>
  <r>
    <m/>
    <m/>
    <m/>
    <m/>
    <m/>
    <x v="1"/>
    <n v="0.10635260528194146"/>
    <n v="0.13293051359516617"/>
    <n v="8.8888888888888795E-2"/>
    <n v="0.18811881188118806"/>
    <m/>
    <m/>
    <m/>
    <m/>
    <m/>
    <m/>
    <m/>
    <m/>
    <m/>
    <m/>
    <m/>
    <s v=""/>
    <m/>
    <m/>
    <m/>
    <s v="Actionnariat : Groupe Bruxelles Lambert (18,91%), Famille August Von Finck (15,7%), MFS international (3%), Capital research management (2,92%)"/>
    <m/>
    <n v="3321"/>
    <n v="0"/>
    <s v="CH00024974581"/>
    <s v="CH0002497458"/>
    <n v="1"/>
    <x v="152"/>
    <m/>
    <m/>
    <m/>
  </r>
  <r>
    <m/>
    <m/>
    <m/>
    <m/>
    <n v="2670"/>
    <x v="4"/>
    <n v="5604000000"/>
    <n v="1324000000"/>
    <n v="900000000"/>
    <n v="505000000"/>
    <n v="1478000000"/>
    <n v="1060000000"/>
    <n v="140.10541213989606"/>
    <n v="0.47641509433962265"/>
    <n v="0.24822695035460993"/>
    <n v="7565732"/>
    <n v="20200504440"/>
    <n v="19.057079660377358"/>
    <n v="16.373492779456193"/>
    <m/>
    <m/>
    <s v=""/>
    <m/>
    <m/>
    <m/>
    <s v="Direction : Frankie Ng (PDG), Peter Kalantzis (directeur), Dominik de Daniel (directeur financier)"/>
    <m/>
    <n v="3322"/>
    <n v="0"/>
    <s v="CH000249745812020"/>
    <s v="CH0002497458"/>
    <n v="1"/>
    <x v="152"/>
    <m/>
    <m/>
    <m/>
  </r>
  <r>
    <m/>
    <m/>
    <m/>
    <m/>
    <m/>
    <x v="1"/>
    <n v="-0.15090909090909088"/>
    <n v="-0.12952005259697563"/>
    <n v="-7.9754601226993849E-2"/>
    <n v="-0.28062678062678059"/>
    <m/>
    <m/>
    <m/>
    <m/>
    <m/>
    <m/>
    <m/>
    <m/>
    <m/>
    <m/>
    <m/>
    <s v=""/>
    <m/>
    <m/>
    <m/>
    <s v="Secteurs d'activité : : Connectivity &amp; Products, Health &amp; Nutrition, Industries &amp; Environment and Natural Resources and two cross-divisional strategic units: Knowledge and Digital &amp; Innovation"/>
    <m/>
    <n v="3323"/>
    <n v="0"/>
    <s v="CH00024974581"/>
    <s v="CH0002497458"/>
    <n v="1"/>
    <x v="152"/>
    <m/>
    <m/>
    <m/>
  </r>
  <r>
    <m/>
    <m/>
    <m/>
    <m/>
    <n v="2641"/>
    <x v="5"/>
    <n v="6600000000"/>
    <n v="1521000000"/>
    <n v="978000000"/>
    <n v="702000000"/>
    <n v="762000000"/>
    <n v="1515000000"/>
    <n v="200.24499942636086"/>
    <n v="0.46336633663366339"/>
    <n v="0.30065876152832677"/>
    <n v="7565732"/>
    <n v="19981098212"/>
    <n v="13.188843704290429"/>
    <n v="13.637802900723209"/>
    <m/>
    <m/>
    <s v=""/>
    <m/>
    <m/>
    <m/>
    <s v="Répartition géographique : Europe/Afrique/Moyen-Orient 44,8%, Amerique 19,7%, Asie/Pacifique 35,5%."/>
    <m/>
    <n v="3324"/>
    <n v="0"/>
    <s v="CH000249745812019"/>
    <s v="CH0002497458"/>
    <n v="1"/>
    <x v="152"/>
    <m/>
    <m/>
    <m/>
  </r>
  <r>
    <m/>
    <m/>
    <m/>
    <m/>
    <m/>
    <x v="1"/>
    <n v="1.538461538461533E-2"/>
    <n v="0.17361111111111116"/>
    <n v="6.6521264994547469E-2"/>
    <n v="5.2473763118440875E-2"/>
    <m/>
    <m/>
    <m/>
    <m/>
    <m/>
    <m/>
    <m/>
    <m/>
    <m/>
    <m/>
    <m/>
    <s v=""/>
    <m/>
    <m/>
    <m/>
    <s v="Acquisitions : SYNLAB Analytics &amp; Services en 2021 (santé et agroalimentaire) et Thomas J. Stephens &amp; Associates (cosmétique et hygiène) en 2020 "/>
    <m/>
    <n v="3325"/>
    <n v="0"/>
    <s v="CH00024974581"/>
    <s v="CH0002497458"/>
    <n v="1"/>
    <x v="152"/>
    <m/>
    <m/>
    <m/>
  </r>
  <r>
    <m/>
    <m/>
    <m/>
    <m/>
    <n v="2200"/>
    <x v="6"/>
    <n v="6500000000"/>
    <n v="1296000000"/>
    <n v="917000000"/>
    <n v="667000000"/>
    <n v="772000000"/>
    <n v="1743000000"/>
    <n v="228.32868641445626"/>
    <n v="0.38267355134825015"/>
    <n v="0.25522862823061632"/>
    <n v="7633732"/>
    <n v="16794210400"/>
    <n v="9.635232587492828"/>
    <n v="13.554174691358025"/>
    <m/>
    <m/>
    <s v=""/>
    <m/>
    <m/>
    <m/>
    <s v="Concurrents : Bureau veritas, Apave, DNV"/>
    <m/>
    <n v="3326"/>
    <n v="0"/>
    <s v="CH000249745812018"/>
    <s v="CH0002497458"/>
    <n v="1"/>
    <x v="152"/>
    <m/>
    <m/>
    <m/>
  </r>
  <r>
    <m/>
    <m/>
    <m/>
    <m/>
    <m/>
    <x v="1"/>
    <m/>
    <m/>
    <m/>
    <m/>
    <m/>
    <m/>
    <m/>
    <m/>
    <m/>
    <m/>
    <m/>
    <m/>
    <m/>
    <m/>
    <m/>
    <s v=""/>
    <m/>
    <m/>
    <m/>
    <s v="Employés : 89 000"/>
    <m/>
    <n v="3327"/>
    <n v="0"/>
    <s v="CH00024974581"/>
    <s v="CH0002497458"/>
    <n v="1"/>
    <x v="152"/>
    <m/>
    <m/>
    <m/>
  </r>
  <r>
    <m/>
    <m/>
    <m/>
    <m/>
    <s v="IPO en 1981"/>
    <x v="1"/>
    <m/>
    <m/>
    <m/>
    <m/>
    <m/>
    <m/>
    <m/>
    <m/>
    <m/>
    <m/>
    <m/>
    <m/>
    <m/>
    <m/>
    <m/>
    <s v=""/>
    <m/>
    <m/>
    <m/>
    <s v="CA par salarié : 63K CHF soit 58K€"/>
    <m/>
    <n v="3328"/>
    <n v="0"/>
    <s v="CH00024974581"/>
    <s v="CH0002497458"/>
    <n v="1"/>
    <x v="152"/>
    <m/>
    <m/>
    <m/>
  </r>
  <r>
    <m/>
    <m/>
    <m/>
    <m/>
    <m/>
    <x v="1"/>
    <m/>
    <m/>
    <m/>
    <m/>
    <m/>
    <m/>
    <m/>
    <m/>
    <m/>
    <m/>
    <m/>
    <m/>
    <m/>
    <m/>
    <m/>
    <s v=""/>
    <m/>
    <m/>
    <m/>
    <s v="Minoritaires : &gt;5%"/>
    <m/>
    <n v="3329"/>
    <n v="0"/>
    <s v="CH00024974581"/>
    <s v="CH0002497458"/>
    <n v="1"/>
    <x v="152"/>
    <m/>
    <m/>
    <m/>
  </r>
  <r>
    <m/>
    <m/>
    <m/>
    <m/>
    <m/>
    <x v="1"/>
    <m/>
    <m/>
    <m/>
    <m/>
    <m/>
    <m/>
    <m/>
    <m/>
    <m/>
    <m/>
    <m/>
    <m/>
    <m/>
    <m/>
    <m/>
    <s v=""/>
    <m/>
    <m/>
    <m/>
    <s v="CAC : Deloitte"/>
    <m/>
    <n v="3330"/>
    <n v="0"/>
    <s v="CH00024974581"/>
    <s v="CH0002497458"/>
    <n v="1"/>
    <x v="152"/>
    <m/>
    <m/>
    <m/>
  </r>
  <r>
    <m/>
    <m/>
    <m/>
    <m/>
    <m/>
    <x v="1"/>
    <m/>
    <m/>
    <m/>
    <m/>
    <m/>
    <m/>
    <m/>
    <m/>
    <m/>
    <m/>
    <m/>
    <m/>
    <m/>
    <m/>
    <m/>
    <s v=""/>
    <m/>
    <m/>
    <m/>
    <s v="Pay-out ratio : proche de 100%"/>
    <m/>
    <n v="3331"/>
    <n v="0"/>
    <s v="CH00024974581"/>
    <s v="CH0002497458"/>
    <n v="1"/>
    <x v="152"/>
    <m/>
    <m/>
    <m/>
  </r>
  <r>
    <m/>
    <m/>
    <m/>
    <m/>
    <m/>
    <x v="1"/>
    <m/>
    <m/>
    <m/>
    <m/>
    <m/>
    <m/>
    <m/>
    <m/>
    <m/>
    <m/>
    <m/>
    <m/>
    <m/>
    <m/>
    <m/>
    <s v=""/>
    <m/>
    <m/>
    <m/>
    <m/>
    <m/>
    <n v="3332"/>
    <n v="0"/>
    <s v="CH00024974581"/>
    <s v="CH0002497458"/>
    <n v="1"/>
    <x v="152"/>
    <m/>
    <m/>
    <m/>
  </r>
  <r>
    <m/>
    <m/>
    <m/>
    <m/>
    <m/>
    <x v="1"/>
    <m/>
    <m/>
    <m/>
    <m/>
    <m/>
    <m/>
    <m/>
    <m/>
    <m/>
    <m/>
    <m/>
    <m/>
    <m/>
    <m/>
    <m/>
    <s v=""/>
    <m/>
    <m/>
    <m/>
    <m/>
    <m/>
    <n v="3333"/>
    <n v="0"/>
    <s v="CH00024974581"/>
    <s v="CH0002497458"/>
    <n v="1"/>
    <x v="152"/>
    <m/>
    <m/>
    <m/>
  </r>
  <r>
    <m/>
    <m/>
    <m/>
    <m/>
    <m/>
    <x v="1"/>
    <m/>
    <m/>
    <m/>
    <m/>
    <m/>
    <m/>
    <m/>
    <m/>
    <m/>
    <m/>
    <m/>
    <m/>
    <m/>
    <m/>
    <m/>
    <s v=""/>
    <m/>
    <m/>
    <m/>
    <m/>
    <m/>
    <n v="3334"/>
    <n v="0"/>
    <s v="CH00024974581"/>
    <s v="CH0002497458"/>
    <n v="1"/>
    <x v="152"/>
    <m/>
    <m/>
    <m/>
  </r>
  <r>
    <s v="Lacroix"/>
    <s v="Signalisation"/>
    <s v="France"/>
    <s v="Euro"/>
    <n v="43.1"/>
    <x v="3"/>
    <n v="501500000"/>
    <n v="31093000"/>
    <n v="18000000"/>
    <n v="12000000"/>
    <n v="31245000"/>
    <n v="145000000"/>
    <n v="29.514136253536609"/>
    <n v="8.2758620689655171E-2"/>
    <n v="7.1491389826661755E-2"/>
    <n v="4912900"/>
    <n v="211745990"/>
    <n v="1.4603171724137931"/>
    <n v="7.8149741099282792"/>
    <m/>
    <m/>
    <s v=""/>
    <m/>
    <m/>
    <m/>
    <s v="Lacroix est fondée en 1936 équipementier technologique international, qui a pour ambition de mettre sa technique et expertise industrielle au service d’un monde connecté et responsable. "/>
    <m/>
    <n v="3335"/>
    <n v="0"/>
    <s v="FR000006660712021"/>
    <s v="FR0000066607"/>
    <n v="1"/>
    <x v="153"/>
    <m/>
    <m/>
    <m/>
  </r>
  <r>
    <m/>
    <m/>
    <m/>
    <m/>
    <m/>
    <x v="1"/>
    <n v="4.1340058265208368E-2"/>
    <m/>
    <n v="0.10125420617925962"/>
    <n v="0.13026278609776765"/>
    <m/>
    <m/>
    <m/>
    <m/>
    <m/>
    <m/>
    <m/>
    <m/>
    <m/>
    <m/>
    <m/>
    <s v=""/>
    <m/>
    <m/>
    <m/>
    <s v="Direction : Vincent Bedouin (PDG), Nicolas Bedoin (DG)"/>
    <m/>
    <n v="3336"/>
    <n v="0"/>
    <s v="FR00000666071"/>
    <s v="FR0000066607"/>
    <n v="1"/>
    <x v="153"/>
    <m/>
    <m/>
    <m/>
  </r>
  <r>
    <m/>
    <m/>
    <m/>
    <m/>
    <n v="32.6"/>
    <x v="41"/>
    <n v="566329000"/>
    <n v="33413411"/>
    <n v="19084000"/>
    <n v="11009000"/>
    <n v="31245000"/>
    <n v="96765000"/>
    <n v="25.690550528864534"/>
    <n v="0.11377047486177853"/>
    <n v="0.10435747207249434"/>
    <n v="3766560"/>
    <n v="122789856"/>
    <s v="NS"/>
    <s v="NS"/>
    <m/>
    <m/>
    <s v=""/>
    <m/>
    <m/>
    <m/>
    <s v="Actionnariat : Famille Bedouin (62%) - flottant (38%)"/>
    <m/>
    <n v="3337"/>
    <n v="0"/>
    <s v="FR000006660712020 (15 mois)"/>
    <s v="FR0000066607"/>
    <n v="1"/>
    <x v="153"/>
    <m/>
    <m/>
    <m/>
  </r>
  <r>
    <m/>
    <m/>
    <m/>
    <m/>
    <m/>
    <x v="1"/>
    <n v="0.17595428485997444"/>
    <m/>
    <n v="0.16757418170694405"/>
    <n v="3.6921917679193728E-2"/>
    <m/>
    <m/>
    <m/>
    <m/>
    <m/>
    <m/>
    <m/>
    <m/>
    <m/>
    <m/>
    <m/>
    <s v=""/>
    <m/>
    <m/>
    <m/>
    <s v="Secteurs d'activité : Smart cities (22%), environnement (15%) et electroniques (63%)."/>
    <m/>
    <n v="3338"/>
    <n v="0"/>
    <s v="FR00000666071"/>
    <s v="FR0000066607"/>
    <n v="1"/>
    <x v="153"/>
    <m/>
    <m/>
    <m/>
  </r>
  <r>
    <m/>
    <m/>
    <m/>
    <m/>
    <n v="26.5"/>
    <x v="5"/>
    <n v="481591000"/>
    <m/>
    <n v="16345000"/>
    <n v="10617000"/>
    <n v="55768000"/>
    <n v="96390000"/>
    <n v="25.590990187332739"/>
    <n v="0.11014628073451603"/>
    <n v="7.5194863234269646E-2"/>
    <n v="3766560"/>
    <n v="99813840"/>
    <n v="1.035520697167756"/>
    <e v="#DIV/0!"/>
    <m/>
    <m/>
    <s v=""/>
    <m/>
    <m/>
    <m/>
    <s v="Répartition géographique : 14 pays avec principalement la France, l'Europe et l'Afrique du nord. Puis les États-Unis à partir de fin 2021 "/>
    <m/>
    <n v="3339"/>
    <n v="0"/>
    <s v="FR000006660712019"/>
    <s v="FR0000066607"/>
    <n v="1"/>
    <x v="153"/>
    <m/>
    <m/>
    <m/>
  </r>
  <r>
    <m/>
    <m/>
    <m/>
    <m/>
    <m/>
    <x v="1"/>
    <n v="2.8409928099648374E-2"/>
    <m/>
    <n v="0.35891253741270379"/>
    <n v="0.24935278889150392"/>
    <m/>
    <m/>
    <m/>
    <m/>
    <m/>
    <m/>
    <m/>
    <m/>
    <m/>
    <m/>
    <m/>
    <s v=""/>
    <m/>
    <m/>
    <m/>
    <s v="Concurrents : Zoller, Videoton, Foxconn, Flex, Jabil Circuit"/>
    <m/>
    <n v="3340"/>
    <n v="0"/>
    <s v="FR00000666071"/>
    <s v="FR0000066607"/>
    <n v="1"/>
    <x v="153"/>
    <m/>
    <m/>
    <m/>
  </r>
  <r>
    <m/>
    <m/>
    <m/>
    <m/>
    <n v="18.5"/>
    <x v="6"/>
    <n v="468287000"/>
    <m/>
    <n v="12028000"/>
    <n v="8498000"/>
    <n v="34288000"/>
    <n v="100133000"/>
    <n v="26.584735142942101"/>
    <n v="8.4867126721460462E-2"/>
    <n v="6.2636046451075358E-2"/>
    <n v="3766560"/>
    <n v="69681360"/>
    <n v="0.69588806886840504"/>
    <e v="#DIV/0!"/>
    <m/>
    <m/>
    <s v=""/>
    <m/>
    <m/>
    <m/>
    <s v="Employés : 4225"/>
    <m/>
    <n v="3341"/>
    <n v="0"/>
    <s v="FR000006660712018"/>
    <s v="FR0000066607"/>
    <n v="1"/>
    <x v="153"/>
    <m/>
    <m/>
    <m/>
  </r>
  <r>
    <m/>
    <m/>
    <m/>
    <m/>
    <m/>
    <x v="1"/>
    <n v="6.0872145839421687E-2"/>
    <m/>
    <n v="2.2267550569437411E-2"/>
    <n v="2.6824552924118006E-2"/>
    <m/>
    <m/>
    <m/>
    <m/>
    <m/>
    <m/>
    <m/>
    <m/>
    <m/>
    <m/>
    <m/>
    <s v=""/>
    <m/>
    <m/>
    <m/>
    <s v="CA par salarié : 134 K€"/>
    <m/>
    <n v="3342"/>
    <n v="0"/>
    <s v="FR00000666071"/>
    <s v="FR0000066607"/>
    <n v="1"/>
    <x v="153"/>
    <m/>
    <m/>
    <m/>
  </r>
  <r>
    <m/>
    <m/>
    <m/>
    <m/>
    <n v="26.5"/>
    <x v="7"/>
    <n v="441417000"/>
    <m/>
    <n v="11766000"/>
    <n v="8276000"/>
    <n v="29700000"/>
    <n v="93756000"/>
    <n v="24.891678348413407"/>
    <n v="8.8271683945560814E-2"/>
    <n v="6.6713646967340584E-2"/>
    <n v="3766560"/>
    <n v="99813840"/>
    <n v="1.0646128247792142"/>
    <e v="#DIV/0!"/>
    <m/>
    <m/>
    <s v=""/>
    <m/>
    <m/>
    <m/>
    <s v="2021 : augmentation de capital de 44,3 M€ (à un cours de 41,65€) pour financer le développement des activités. 15 Meuros de participation par la famille Bedouin."/>
    <m/>
    <n v="3343"/>
    <n v="0"/>
    <s v="FR000006660712017"/>
    <s v="FR0000066607"/>
    <n v="1"/>
    <x v="153"/>
    <m/>
    <m/>
    <m/>
  </r>
  <r>
    <m/>
    <m/>
    <m/>
    <m/>
    <m/>
    <x v="1"/>
    <n v="3.038996447228981E-2"/>
    <m/>
    <n v="-2.8121053442168487"/>
    <n v="-1.9378966455122395"/>
    <m/>
    <m/>
    <m/>
    <m/>
    <m/>
    <m/>
    <m/>
    <m/>
    <m/>
    <m/>
    <m/>
    <s v=""/>
    <m/>
    <m/>
    <m/>
    <s v="En décembre 2021, acquisition de Firstronic (crée en 1980, Electronic Manufacturing Services ) aux États-Unis dont Lacroix avait déjà 12,5% du capital. Les clients sont le secteur automobile, l'industrie et la santé avec 1300 salariés, 2 sites Michigan et Mexique"/>
    <m/>
    <n v="3344"/>
    <n v="0"/>
    <s v="FR00000666071"/>
    <s v="FR0000066607"/>
    <n v="1"/>
    <x v="153"/>
    <m/>
    <m/>
    <m/>
  </r>
  <r>
    <m/>
    <m/>
    <m/>
    <m/>
    <n v="18"/>
    <x v="8"/>
    <n v="428398000"/>
    <m/>
    <n v="-6493000"/>
    <n v="-8824000"/>
    <n v="34294000"/>
    <n v="85853000"/>
    <n v="22.793477337411325"/>
    <n v="-0.10278033382642424"/>
    <n v="-3.7829492205381739E-2"/>
    <n v="3766560"/>
    <n v="67798080"/>
    <n v="0.78969960280945339"/>
    <e v="#DIV/0!"/>
    <m/>
    <m/>
    <s v=""/>
    <m/>
    <m/>
    <m/>
    <s v="Firstronic réalise 87 M $ de CA et 8% de marge EBE en 2020, pour 2021, 140 M$ et 9% de marge d'EBE. BPI prend 26% du capital et deux dirigeants de Firstronic garde 7% du capital"/>
    <m/>
    <n v="3345"/>
    <n v="0"/>
    <s v="FR000006660712016"/>
    <s v="FR0000066607"/>
    <n v="1"/>
    <x v="153"/>
    <m/>
    <m/>
    <m/>
  </r>
  <r>
    <m/>
    <m/>
    <m/>
    <m/>
    <m/>
    <x v="1"/>
    <n v="8.4400906202933834E-2"/>
    <m/>
    <n v="-2.4493303571428573"/>
    <n v="-9.9221435793731043"/>
    <m/>
    <m/>
    <m/>
    <m/>
    <m/>
    <m/>
    <m/>
    <m/>
    <m/>
    <m/>
    <m/>
    <s v=""/>
    <m/>
    <m/>
    <m/>
    <s v="CA 2022 : 600 Me. Marge pas très élevé à suivre si la digitalisation améliore la marge"/>
    <m/>
    <n v="3346"/>
    <n v="0"/>
    <s v="FR00000666071"/>
    <s v="FR0000066607"/>
    <n v="1"/>
    <x v="153"/>
    <m/>
    <m/>
    <m/>
  </r>
  <r>
    <m/>
    <m/>
    <m/>
    <m/>
    <n v="21.7"/>
    <x v="9"/>
    <n v="395055000"/>
    <m/>
    <n v="4480000"/>
    <n v="989000"/>
    <n v="32259000"/>
    <n v="98449000"/>
    <n v="26.137642835903318"/>
    <n v="1.0045810521183557E-2"/>
    <n v="2.3992410564005265E-2"/>
    <n v="3766560"/>
    <n v="81734352"/>
    <n v="0.83022023585816007"/>
    <e v="#DIV/0!"/>
    <m/>
    <m/>
    <s v=""/>
    <m/>
    <m/>
    <m/>
    <s v="Minoritaire : 10%. En hausse avec l'acquistion de Firstronic"/>
    <m/>
    <n v="3347"/>
    <n v="0"/>
    <s v="FR000006660712015"/>
    <s v="FR0000066607"/>
    <n v="1"/>
    <x v="153"/>
    <m/>
    <m/>
    <m/>
  </r>
  <r>
    <m/>
    <m/>
    <m/>
    <m/>
    <m/>
    <x v="1"/>
    <n v="0.11014786796980824"/>
    <m/>
    <n v="-0.64294253606439788"/>
    <n v="-0.89137836353651845"/>
    <m/>
    <m/>
    <m/>
    <m/>
    <m/>
    <m/>
    <m/>
    <m/>
    <m/>
    <m/>
    <m/>
    <s v=""/>
    <m/>
    <m/>
    <m/>
    <s v="CAC : Ernst &amp; Young et Atlantique Revision Conseil"/>
    <m/>
    <n v="3348"/>
    <n v="0"/>
    <s v="FR00000666071"/>
    <s v="FR0000066607"/>
    <n v="1"/>
    <x v="153"/>
    <m/>
    <m/>
    <m/>
  </r>
  <r>
    <m/>
    <m/>
    <m/>
    <m/>
    <n v="22.3"/>
    <x v="10"/>
    <n v="355858000"/>
    <m/>
    <n v="12547000"/>
    <n v="9105000"/>
    <n v="22344000"/>
    <n v="101057000"/>
    <n v="26.830051824476445"/>
    <n v="9.0097667652908761E-2"/>
    <n v="7.1173653373959686E-2"/>
    <n v="3766560"/>
    <n v="83994288"/>
    <n v="0.83115754475197168"/>
    <e v="#DIV/0!"/>
    <m/>
    <m/>
    <s v=""/>
    <m/>
    <m/>
    <m/>
    <s v="Pay-out-ratio : environ 30%"/>
    <m/>
    <n v="3349"/>
    <n v="0"/>
    <s v="FR000006660712014"/>
    <s v="FR0000066607"/>
    <n v="1"/>
    <x v="153"/>
    <m/>
    <m/>
    <m/>
  </r>
  <r>
    <m/>
    <m/>
    <m/>
    <m/>
    <m/>
    <x v="1"/>
    <n v="8.2306354091898903E-2"/>
    <m/>
    <n v="0.40346756152125285"/>
    <n v="0.89411275223632214"/>
    <m/>
    <m/>
    <m/>
    <m/>
    <m/>
    <m/>
    <m/>
    <m/>
    <m/>
    <m/>
    <m/>
    <s v=""/>
    <m/>
    <m/>
    <m/>
    <m/>
    <m/>
    <n v="3350"/>
    <n v="0"/>
    <s v="FR00000666071"/>
    <s v="FR0000066607"/>
    <n v="1"/>
    <x v="153"/>
    <m/>
    <m/>
    <m/>
  </r>
  <r>
    <m/>
    <m/>
    <m/>
    <m/>
    <n v="17.600000000000001"/>
    <x v="11"/>
    <n v="328796000"/>
    <m/>
    <n v="8940000"/>
    <n v="4807000"/>
    <n v="28357000"/>
    <n v="94835000"/>
    <n v="25.178146637780895"/>
    <n v="5.0688037117098121E-2"/>
    <n v="5.0798753165789988E-2"/>
    <n v="3766560"/>
    <n v="66291456.000000007"/>
    <n v="0.6990188854325935"/>
    <e v="#DIV/0!"/>
    <m/>
    <m/>
    <s v=""/>
    <m/>
    <m/>
    <m/>
    <m/>
    <m/>
    <n v="3351"/>
    <n v="0"/>
    <s v="FR000006660712013"/>
    <s v="FR0000066607"/>
    <n v="1"/>
    <x v="153"/>
    <m/>
    <m/>
    <m/>
  </r>
  <r>
    <m/>
    <m/>
    <m/>
    <m/>
    <m/>
    <x v="1"/>
    <m/>
    <m/>
    <m/>
    <m/>
    <m/>
    <m/>
    <m/>
    <m/>
    <m/>
    <m/>
    <m/>
    <m/>
    <m/>
    <m/>
    <m/>
    <s v=""/>
    <m/>
    <m/>
    <m/>
    <m/>
    <m/>
    <n v="3352"/>
    <n v="0"/>
    <s v="FR00000666071"/>
    <s v="FR0000066607"/>
    <n v="1"/>
    <x v="153"/>
    <m/>
    <m/>
    <m/>
  </r>
  <r>
    <m/>
    <m/>
    <m/>
    <m/>
    <s v="IPO en 1993 à 13,5€"/>
    <x v="1"/>
    <m/>
    <m/>
    <m/>
    <m/>
    <m/>
    <m/>
    <m/>
    <m/>
    <m/>
    <m/>
    <m/>
    <m/>
    <m/>
    <m/>
    <m/>
    <s v=""/>
    <m/>
    <m/>
    <m/>
    <m/>
    <m/>
    <n v="3353"/>
    <n v="0"/>
    <s v="FR00000666071"/>
    <s v="FR0000066607"/>
    <n v="1"/>
    <x v="153"/>
    <m/>
    <m/>
    <m/>
  </r>
  <r>
    <m/>
    <m/>
    <m/>
    <m/>
    <m/>
    <x v="1"/>
    <m/>
    <m/>
    <m/>
    <m/>
    <m/>
    <m/>
    <m/>
    <m/>
    <m/>
    <m/>
    <m/>
    <m/>
    <m/>
    <m/>
    <m/>
    <s v=""/>
    <m/>
    <m/>
    <m/>
    <m/>
    <m/>
    <n v="3354"/>
    <n v="0"/>
    <s v="FR00000666071"/>
    <s v="FR0000066607"/>
    <n v="1"/>
    <x v="153"/>
    <m/>
    <m/>
    <m/>
  </r>
  <r>
    <m/>
    <m/>
    <m/>
    <m/>
    <m/>
    <x v="1"/>
    <m/>
    <m/>
    <m/>
    <m/>
    <m/>
    <m/>
    <m/>
    <m/>
    <m/>
    <m/>
    <m/>
    <m/>
    <m/>
    <m/>
    <m/>
    <s v=""/>
    <m/>
    <m/>
    <m/>
    <m/>
    <m/>
    <n v="3355"/>
    <n v="0"/>
    <s v="FR00000666071"/>
    <s v="FR0000066607"/>
    <n v="1"/>
    <x v="153"/>
    <m/>
    <m/>
    <m/>
  </r>
  <r>
    <m/>
    <m/>
    <m/>
    <m/>
    <m/>
    <x v="1"/>
    <m/>
    <m/>
    <m/>
    <m/>
    <m/>
    <m/>
    <m/>
    <m/>
    <m/>
    <m/>
    <m/>
    <m/>
    <m/>
    <m/>
    <m/>
    <s v=""/>
    <m/>
    <m/>
    <m/>
    <m/>
    <m/>
    <n v="3356"/>
    <n v="0"/>
    <s v="FR00000666071"/>
    <s v="FR0000066607"/>
    <n v="1"/>
    <x v="153"/>
    <m/>
    <m/>
    <m/>
  </r>
  <r>
    <s v="Cellnex"/>
    <s v="Télécomunication"/>
    <s v="Espagne"/>
    <s v="Euro"/>
    <n v="50.5"/>
    <x v="3"/>
    <m/>
    <m/>
    <m/>
    <m/>
    <m/>
    <m/>
    <m/>
    <m/>
    <m/>
    <n v="679327724"/>
    <n v="34306050062"/>
    <m/>
    <m/>
    <m/>
    <m/>
    <s v=""/>
    <m/>
    <m/>
    <m/>
    <s v="Cellnex est fondée en 2000. C'est une entreprise espagnole spécialisée dans les infrastructures de télécommunication notamment dans la gestion des pylônes de télécommunication."/>
    <m/>
    <n v="3357"/>
    <n v="0"/>
    <s v="ES010506600712021"/>
    <s v="ES0105066007"/>
    <n v="1"/>
    <x v="154"/>
    <m/>
    <m/>
    <m/>
  </r>
  <r>
    <m/>
    <m/>
    <m/>
    <m/>
    <m/>
    <x v="1"/>
    <m/>
    <m/>
    <m/>
    <m/>
    <m/>
    <m/>
    <m/>
    <m/>
    <m/>
    <m/>
    <m/>
    <m/>
    <m/>
    <m/>
    <m/>
    <s v=""/>
    <m/>
    <m/>
    <m/>
    <s v="Direction : Tobías Martínez-Gimeno (CEO), Bertrand Kan (Vice president), Franco Bernabè (Président conseil d'administration)."/>
    <m/>
    <n v="3358"/>
    <n v="0"/>
    <s v="ES01050660071"/>
    <s v="ES0105066007"/>
    <n v="1"/>
    <x v="154"/>
    <m/>
    <m/>
    <m/>
  </r>
  <r>
    <m/>
    <m/>
    <m/>
    <m/>
    <n v="45.5"/>
    <x v="4"/>
    <n v="1608000000"/>
    <n v="1182000000"/>
    <n v="158290000"/>
    <n v="-133000000"/>
    <n v="6500237000"/>
    <n v="8018237000"/>
    <n v="16.47440760912356"/>
    <n v="-1.6587187432848392E-2"/>
    <n v="7.6318626874973226E-3"/>
    <n v="486708669"/>
    <n v="22145244439.5"/>
    <n v="2.7618595508588735"/>
    <n v="24.234755870981388"/>
    <m/>
    <m/>
    <s v=""/>
    <m/>
    <m/>
    <m/>
    <s v="Actionnariat : Edizione (Benetton) 13%, GIC 7%, ADIA 7%, Criteria 4,7%, Blackrock 4,2% "/>
    <m/>
    <n v="3359"/>
    <n v="0"/>
    <s v="ES010506600712020"/>
    <s v="ES0105066007"/>
    <n v="1"/>
    <x v="154"/>
    <m/>
    <m/>
    <m/>
  </r>
  <r>
    <m/>
    <m/>
    <m/>
    <m/>
    <m/>
    <x v="1"/>
    <n v="0.55965082444228909"/>
    <n v="0.72303206997084546"/>
    <n v="0.11893401194641795"/>
    <n v="13.492753623188406"/>
    <m/>
    <m/>
    <m/>
    <m/>
    <m/>
    <m/>
    <m/>
    <m/>
    <m/>
    <m/>
    <m/>
    <s v=""/>
    <m/>
    <m/>
    <m/>
    <s v="Secteurs d'activité : 58104 sites pour 1,6MDS€ de chiffre d'affaire soit 27k€ par site en 2020"/>
    <m/>
    <n v="3360"/>
    <n v="0"/>
    <s v="ES01050660071"/>
    <s v="ES0105066007"/>
    <n v="1"/>
    <x v="154"/>
    <m/>
    <m/>
    <m/>
  </r>
  <r>
    <m/>
    <m/>
    <m/>
    <m/>
    <n v="33.78"/>
    <x v="5"/>
    <n v="1031000000"/>
    <n v="686000000"/>
    <n v="141465000"/>
    <n v="-9177000"/>
    <n v="3926237000"/>
    <n v="4160985000"/>
    <n v="10.798594664111487"/>
    <n v="-2.2054874026222158E-3"/>
    <n v="1.2244686741627719E-2"/>
    <n v="385326529"/>
    <n v="13016330149.620001"/>
    <n v="3.1281848287412717"/>
    <n v="24.697619751632654"/>
    <m/>
    <m/>
    <s v=""/>
    <m/>
    <m/>
    <m/>
    <s v="Répartition géographique : Europe (env 15 pays Européen, Espagne, Italie, UK, France, Suisse, Scandinavie, Pologne)"/>
    <m/>
    <n v="3361"/>
    <n v="0"/>
    <s v="ES010506600712019"/>
    <s v="ES0105066007"/>
    <n v="1"/>
    <x v="154"/>
    <m/>
    <m/>
    <m/>
  </r>
  <r>
    <m/>
    <m/>
    <m/>
    <m/>
    <m/>
    <x v="1"/>
    <n v="0.14810690423162587"/>
    <n v="0.16074450084602376"/>
    <n v="0.25713143161823515"/>
    <n v="-0.38750583995194554"/>
    <m/>
    <m/>
    <m/>
    <m/>
    <m/>
    <m/>
    <m/>
    <m/>
    <m/>
    <m/>
    <m/>
    <s v=""/>
    <m/>
    <m/>
    <m/>
    <s v="Concurrents : Ei Towers, Raiway, American Tower, Crown Castle"/>
    <m/>
    <n v="3362"/>
    <n v="0"/>
    <s v="ES01050660071"/>
    <s v="ES0105066007"/>
    <n v="1"/>
    <x v="154"/>
    <m/>
    <m/>
    <m/>
  </r>
  <r>
    <m/>
    <m/>
    <m/>
    <m/>
    <n v="16.690000000000001"/>
    <x v="6"/>
    <n v="898000000"/>
    <n v="591000000"/>
    <n v="112530000"/>
    <n v="-14983000"/>
    <n v="3166040000"/>
    <n v="477890000"/>
    <n v="2.0650373686464101"/>
    <n v="-3.135240327271966E-2"/>
    <n v="2.161704533292352E-2"/>
    <n v="231419541"/>
    <n v="3862392139.2900004"/>
    <n v="8.0821781985184877"/>
    <n v="11.892440168003386"/>
    <m/>
    <m/>
    <s v=""/>
    <m/>
    <m/>
    <m/>
    <s v="Employés : 2008 (en 2021)"/>
    <m/>
    <n v="3363"/>
    <n v="0"/>
    <s v="ES010506600712018"/>
    <s v="ES0105066007"/>
    <n v="1"/>
    <x v="154"/>
    <m/>
    <m/>
    <m/>
  </r>
  <r>
    <m/>
    <m/>
    <m/>
    <m/>
    <m/>
    <x v="1"/>
    <n v="0.13814955640050708"/>
    <n v="0.6647887323943662"/>
    <n v="0.14826530612244904"/>
    <n v="-1.454030303030303"/>
    <m/>
    <m/>
    <m/>
    <m/>
    <m/>
    <m/>
    <m/>
    <m/>
    <m/>
    <m/>
    <m/>
    <s v=""/>
    <m/>
    <m/>
    <m/>
    <s v="CA par employé : 800,7K €"/>
    <m/>
    <n v="3364"/>
    <n v="0"/>
    <s v="ES01050660071"/>
    <s v="ES0105066007"/>
    <n v="1"/>
    <x v="154"/>
    <m/>
    <m/>
    <m/>
  </r>
  <r>
    <m/>
    <m/>
    <m/>
    <m/>
    <n v="16.25"/>
    <x v="7"/>
    <n v="789000000"/>
    <n v="355000000"/>
    <n v="98000000"/>
    <n v="33000000"/>
    <n v="2662617000"/>
    <n v="467449000"/>
    <n v="2.0186719152162373"/>
    <n v="7.0595936669026998E-2"/>
    <n v="2.1916470770903872E-2"/>
    <n v="231562641"/>
    <n v="3762892916.25"/>
    <n v="8.0498469699368265"/>
    <n v="18.100027933098591"/>
    <m/>
    <m/>
    <s v=""/>
    <m/>
    <m/>
    <m/>
    <s v="4 augmentations de capital : Mars 2019 1,2 Mds ; Octobre 2019 2,5 Mds ; Juillet 2020 4 Mds ; Mars 2021 7 Mds €"/>
    <m/>
    <n v="3365"/>
    <n v="0"/>
    <s v="ES010506600712017"/>
    <s v="ES0105066007"/>
    <n v="1"/>
    <x v="154"/>
    <m/>
    <m/>
    <m/>
  </r>
  <r>
    <m/>
    <m/>
    <m/>
    <m/>
    <m/>
    <x v="1"/>
    <n v="0.11598302687411599"/>
    <n v="0.22413793103448265"/>
    <n v="0.12995653126405249"/>
    <n v="-0.17500000000000004"/>
    <m/>
    <m/>
    <m/>
    <m/>
    <m/>
    <m/>
    <m/>
    <m/>
    <m/>
    <m/>
    <m/>
    <s v=""/>
    <m/>
    <m/>
    <m/>
    <s v="En juillet 2020, Cellnex annonce une augmentation de capital de 4 milliards d'euros."/>
    <m/>
    <n v="3366"/>
    <n v="0"/>
    <s v="ES01050660071"/>
    <s v="ES0105066007"/>
    <n v="1"/>
    <x v="154"/>
    <m/>
    <m/>
    <m/>
  </r>
  <r>
    <m/>
    <m/>
    <m/>
    <m/>
    <n v="10.47"/>
    <x v="8"/>
    <n v="707000000"/>
    <n v="290000000"/>
    <n v="86729000"/>
    <n v="40000000"/>
    <n v="1491109000"/>
    <n v="469777000"/>
    <n v="2.0278652689418126"/>
    <n v="8.5146782409526223E-2"/>
    <n v="3.0960647380826826E-2"/>
    <n v="231660854"/>
    <n v="2425489141.3800001"/>
    <n v="5.1630649039437859"/>
    <n v="13.505510832344829"/>
    <m/>
    <m/>
    <s v=""/>
    <m/>
    <m/>
    <m/>
    <s v="Le 12 novembre 2020, Cellenex achète 24 600 pylônes dans toute l'Europe au groupe hongkongais CK Hutchinsopour. Ceci représente un investissement de 1,4 milliard d'euros"/>
    <m/>
    <n v="3367"/>
    <n v="0"/>
    <s v="ES010506600712016"/>
    <s v="ES0105066007"/>
    <n v="1"/>
    <x v="154"/>
    <m/>
    <m/>
    <m/>
  </r>
  <r>
    <m/>
    <m/>
    <m/>
    <m/>
    <m/>
    <x v="1"/>
    <n v="0.15334420880913546"/>
    <n v="0.23404255319148937"/>
    <n v="0.37019132028374169"/>
    <n v="-0.16666666666666663"/>
    <m/>
    <m/>
    <m/>
    <m/>
    <m/>
    <m/>
    <m/>
    <m/>
    <m/>
    <m/>
    <m/>
    <s v=""/>
    <m/>
    <m/>
    <m/>
    <s v="En février 2021, Altice France annonce céder sa participation majoritaire dans Hivory, qui gère 10 500 sites, à Cellnex, pour une valeur d'entreprise de 5,2 milliards d'euros. En mars 2021, Cellnex annonce une augmentation de capital de 7 milliards d'euros."/>
    <m/>
    <n v="3368"/>
    <n v="0"/>
    <s v="ES01050660071"/>
    <s v="ES0105066007"/>
    <n v="1"/>
    <x v="154"/>
    <m/>
    <m/>
    <m/>
  </r>
  <r>
    <m/>
    <m/>
    <m/>
    <m/>
    <n v="12.61"/>
    <x v="9"/>
    <n v="613000000"/>
    <n v="235000000"/>
    <n v="63297000"/>
    <n v="48000000"/>
    <n v="937355000"/>
    <n v="454366000"/>
    <n v="1.961151786378678"/>
    <n v="0.10564170734606022"/>
    <n v="3.1836769007581263E-2"/>
    <n v="231683240"/>
    <n v="2921525656.4000001"/>
    <n v="6.4298949666128191"/>
    <n v="16.420768750638299"/>
    <m/>
    <m/>
    <s v=""/>
    <m/>
    <m/>
    <m/>
    <s v="Le 12 novembre 2020, Cel+W2586lenex achète 24 600 pylônes dans toute l'Europe au groupe CK Hutchinson, pour un total de 10MDS €. Ils s'engagent également à déployer 5250 nouveaux sites dans les huit prochaines années pour son client hongkongais. Ceci représente un investissement de 1,4 milliard d'euros"/>
    <m/>
    <n v="3369"/>
    <n v="0"/>
    <s v="ES010506600712015"/>
    <s v="ES0105066007"/>
    <n v="1"/>
    <x v="154"/>
    <m/>
    <m/>
    <m/>
  </r>
  <r>
    <m/>
    <m/>
    <m/>
    <m/>
    <m/>
    <x v="1"/>
    <n v="0.40596330275229353"/>
    <n v="0.3202247191011236"/>
    <n v="-0.27244827586206899"/>
    <n v="-0.19999999999999996"/>
    <m/>
    <m/>
    <m/>
    <m/>
    <m/>
    <m/>
    <m/>
    <m/>
    <m/>
    <m/>
    <m/>
    <s v=""/>
    <m/>
    <m/>
    <m/>
    <s v="Minoritaire : 10%"/>
    <m/>
    <n v="3370"/>
    <n v="0"/>
    <s v="ES01050660071"/>
    <s v="ES0105066007"/>
    <n v="1"/>
    <x v="154"/>
    <m/>
    <m/>
    <m/>
  </r>
  <r>
    <m/>
    <m/>
    <m/>
    <m/>
    <m/>
    <x v="10"/>
    <n v="436000000"/>
    <n v="178000000"/>
    <n v="87000000"/>
    <n v="60000000"/>
    <m/>
    <m/>
    <m/>
    <m/>
    <m/>
    <m/>
    <m/>
    <m/>
    <m/>
    <m/>
    <m/>
    <s v=""/>
    <m/>
    <m/>
    <m/>
    <s v="CAC : Deloitte"/>
    <m/>
    <n v="3371"/>
    <n v="0"/>
    <s v="ES010506600712014"/>
    <s v="ES0105066007"/>
    <n v="1"/>
    <x v="154"/>
    <m/>
    <m/>
    <m/>
  </r>
  <r>
    <m/>
    <m/>
    <m/>
    <m/>
    <m/>
    <x v="1"/>
    <m/>
    <m/>
    <m/>
    <m/>
    <m/>
    <m/>
    <m/>
    <m/>
    <m/>
    <m/>
    <m/>
    <m/>
    <m/>
    <m/>
    <m/>
    <s v=""/>
    <m/>
    <m/>
    <m/>
    <s v="Pay-out ratio : pas de dividende"/>
    <m/>
    <n v="3372"/>
    <n v="0"/>
    <s v="ES01050660071"/>
    <s v="ES0105066007"/>
    <n v="1"/>
    <x v="154"/>
    <m/>
    <m/>
    <m/>
  </r>
  <r>
    <m/>
    <m/>
    <m/>
    <m/>
    <m/>
    <x v="1"/>
    <m/>
    <m/>
    <m/>
    <m/>
    <m/>
    <m/>
    <m/>
    <m/>
    <m/>
    <m/>
    <m/>
    <m/>
    <m/>
    <m/>
    <m/>
    <s v=""/>
    <m/>
    <m/>
    <m/>
    <m/>
    <m/>
    <n v="3373"/>
    <n v="0"/>
    <s v="ES01050660071"/>
    <s v="ES0105066007"/>
    <n v="1"/>
    <x v="154"/>
    <m/>
    <m/>
    <m/>
  </r>
  <r>
    <m/>
    <m/>
    <m/>
    <m/>
    <m/>
    <x v="1"/>
    <m/>
    <m/>
    <m/>
    <m/>
    <m/>
    <m/>
    <m/>
    <m/>
    <m/>
    <m/>
    <m/>
    <m/>
    <m/>
    <m/>
    <m/>
    <s v=""/>
    <m/>
    <m/>
    <m/>
    <m/>
    <m/>
    <n v="3374"/>
    <n v="0"/>
    <s v="ES01050660071"/>
    <s v="ES0105066007"/>
    <n v="1"/>
    <x v="154"/>
    <m/>
    <m/>
    <m/>
  </r>
  <r>
    <m/>
    <m/>
    <m/>
    <m/>
    <m/>
    <x v="1"/>
    <m/>
    <m/>
    <m/>
    <m/>
    <m/>
    <m/>
    <m/>
    <m/>
    <m/>
    <m/>
    <m/>
    <m/>
    <m/>
    <m/>
    <m/>
    <s v=""/>
    <m/>
    <m/>
    <m/>
    <m/>
    <m/>
    <n v="3375"/>
    <n v="0"/>
    <s v="ES01050660071"/>
    <s v="ES0105066007"/>
    <n v="1"/>
    <x v="154"/>
    <m/>
    <m/>
    <m/>
  </r>
  <r>
    <m/>
    <m/>
    <m/>
    <m/>
    <m/>
    <x v="1"/>
    <m/>
    <m/>
    <m/>
    <m/>
    <m/>
    <m/>
    <m/>
    <m/>
    <m/>
    <m/>
    <m/>
    <m/>
    <m/>
    <m/>
    <m/>
    <s v=""/>
    <m/>
    <m/>
    <m/>
    <m/>
    <m/>
    <n v="3376"/>
    <n v="0"/>
    <s v="ES01050660071"/>
    <s v="ES0105066007"/>
    <n v="1"/>
    <x v="154"/>
    <m/>
    <m/>
    <m/>
  </r>
  <r>
    <s v="Alten"/>
    <s v="Ingénièrie"/>
    <s v="France"/>
    <s v="Euro"/>
    <n v="133"/>
    <x v="0"/>
    <m/>
    <m/>
    <m/>
    <m/>
    <m/>
    <m/>
    <m/>
    <m/>
    <m/>
    <m/>
    <m/>
    <m/>
    <m/>
    <m/>
    <m/>
    <s v=""/>
    <m/>
    <m/>
    <m/>
    <s v="Création 1988"/>
    <m/>
    <n v="3377"/>
    <n v="0"/>
    <s v="FR000007194612023"/>
    <s v="FR0000071946"/>
    <n v="1"/>
    <x v="155"/>
    <m/>
    <m/>
    <m/>
  </r>
  <r>
    <m/>
    <m/>
    <m/>
    <m/>
    <m/>
    <x v="1"/>
    <m/>
    <m/>
    <m/>
    <m/>
    <m/>
    <m/>
    <m/>
    <m/>
    <m/>
    <m/>
    <m/>
    <m/>
    <m/>
    <m/>
    <m/>
    <s v=""/>
    <m/>
    <m/>
    <s v="Opération de croissance externe"/>
    <s v="Introduit en bourse en 1999"/>
    <m/>
    <n v="3378"/>
    <n v="0"/>
    <s v="FR00000719461"/>
    <s v="FR0000071946"/>
    <n v="1"/>
    <x v="155"/>
    <m/>
    <m/>
    <m/>
  </r>
  <r>
    <m/>
    <m/>
    <m/>
    <m/>
    <n v="116.8"/>
    <x v="2"/>
    <n v="3783100000"/>
    <n v="500325000"/>
    <n v="592879000"/>
    <n v="457525000"/>
    <n v="-418050000"/>
    <n v="1838618000"/>
    <n v="53.905020787502835"/>
    <n v="0.2488417931294048"/>
    <n v="0.29214743679992794"/>
    <n v="34108474"/>
    <n v="3983869763.1999998"/>
    <n v="2.166774046158582"/>
    <n v="7.9625638598910706"/>
    <m/>
    <n v="54000"/>
    <n v="70057.407407407401"/>
    <n v="174800000"/>
    <m/>
    <n v="201000000"/>
    <s v="Fondateurs : 14,88% (26,07% des droits de vote) - Public : 85,12% / Simon Azoulay - Président du CA : 4,67%"/>
    <m/>
    <n v="3379"/>
    <n v="0"/>
    <s v="FR000007194612022"/>
    <s v="FR0000071946"/>
    <n v="1"/>
    <x v="155"/>
    <m/>
    <m/>
    <m/>
  </r>
  <r>
    <m/>
    <m/>
    <m/>
    <m/>
    <m/>
    <x v="1"/>
    <m/>
    <m/>
    <m/>
    <m/>
    <m/>
    <m/>
    <m/>
    <m/>
    <m/>
    <m/>
    <m/>
    <m/>
    <m/>
    <m/>
    <m/>
    <s v=""/>
    <m/>
    <m/>
    <m/>
    <s v="Directeur Général : Simon Azoulay (64 ans), DG délégué : Bruno Benoliel en 2023, Gérald Attia avant"/>
    <m/>
    <n v="3380"/>
    <n v="0"/>
    <s v="FR00000719461"/>
    <s v="FR0000071946"/>
    <n v="1"/>
    <x v="155"/>
    <m/>
    <m/>
    <m/>
  </r>
  <r>
    <m/>
    <m/>
    <m/>
    <m/>
    <n v="153.4"/>
    <x v="3"/>
    <n v="2705033000"/>
    <n v="325000000"/>
    <n v="250000000"/>
    <n v="180000000"/>
    <n v="-220000000"/>
    <n v="1300000000"/>
    <n v="37.798259523896611"/>
    <n v="0.13846153846153847"/>
    <n v="0.16203703703703703"/>
    <n v="34393118"/>
    <n v="5275904301.1999998"/>
    <n v="4.0583879239999998"/>
    <n v="16.233551695999999"/>
    <m/>
    <n v="40000"/>
    <n v="67625.824999999997"/>
    <n v="174400000"/>
    <m/>
    <n v="203500000"/>
    <s v="Activité de R&amp;D externalisé dans les domaines de l'innovation, la R&amp;D et les système d'information"/>
    <m/>
    <n v="3381"/>
    <n v="0"/>
    <s v="FR000007194612021"/>
    <s v="FR0000071946"/>
    <n v="1"/>
    <x v="155"/>
    <m/>
    <m/>
    <m/>
  </r>
  <r>
    <m/>
    <m/>
    <m/>
    <m/>
    <m/>
    <x v="1"/>
    <n v="0.15999999999999992"/>
    <n v="0.55502392344497609"/>
    <n v="1.0965942922316989"/>
    <n v="0.8365285529175297"/>
    <m/>
    <m/>
    <m/>
    <m/>
    <m/>
    <m/>
    <m/>
    <m/>
    <m/>
    <m/>
    <m/>
    <s v=""/>
    <m/>
    <m/>
    <m/>
    <s v="Clients :  banque (20,4%), automobile (17%), aéronautique (12,1%), Défense, Média, Énergie"/>
    <m/>
    <n v="3382"/>
    <n v="0"/>
    <s v="FR00000719461"/>
    <s v="FR0000071946"/>
    <n v="1"/>
    <x v="155"/>
    <m/>
    <m/>
    <m/>
  </r>
  <r>
    <m/>
    <m/>
    <m/>
    <m/>
    <n v="92.65"/>
    <x v="4"/>
    <n v="2331925000"/>
    <n v="209000000"/>
    <n v="119241000"/>
    <n v="98011000"/>
    <n v="-195600000"/>
    <n v="1213604000"/>
    <n v="35.531032899765989"/>
    <n v="8.076028094831593E-2"/>
    <n v="8.1992506905670309E-2"/>
    <n v="34156170"/>
    <n v="3164569150.5"/>
    <n v="2.6075796969192586"/>
    <n v="15.141479188995214"/>
    <m/>
    <n v="33800"/>
    <n v="68991.863905325445"/>
    <n v="258800000"/>
    <m/>
    <n v="220000000"/>
    <s v="Leader mondial présent dans 30 pays en Europe, États-Unis et Asie. 65% de l'activité à l'international"/>
    <m/>
    <n v="3383"/>
    <n v="0"/>
    <s v="FR000007194612020"/>
    <s v="FR0000071946"/>
    <n v="1"/>
    <x v="155"/>
    <m/>
    <m/>
    <m/>
  </r>
  <r>
    <m/>
    <m/>
    <m/>
    <m/>
    <m/>
    <x v="1"/>
    <n v="-0.11130907012195124"/>
    <n v="-0.34928670614534885"/>
    <n v="-0.49947320038114262"/>
    <n v="-0.40319074440554115"/>
    <m/>
    <m/>
    <m/>
    <m/>
    <m/>
    <m/>
    <m/>
    <m/>
    <m/>
    <m/>
    <m/>
    <s v=""/>
    <m/>
    <m/>
    <m/>
    <s v="Activité peu capitalistique et générant un flux régulier de trésorerie qui se duplique à l'international"/>
    <m/>
    <n v="3384"/>
    <n v="0"/>
    <s v="FR00000719461"/>
    <s v="FR0000071946"/>
    <n v="1"/>
    <x v="155"/>
    <m/>
    <m/>
    <m/>
  </r>
  <r>
    <m/>
    <m/>
    <m/>
    <m/>
    <n v="114.6"/>
    <x v="5"/>
    <n v="2624000000"/>
    <n v="321186000"/>
    <n v="238231000"/>
    <n v="164225000"/>
    <n v="-74900000"/>
    <n v="1113752000"/>
    <n v="32.921576172572067"/>
    <n v="0.14745203600083323"/>
    <n v="0.16052498334700227"/>
    <n v="33830458"/>
    <n v="3876970486.7999997"/>
    <n v="3.4809997978005871"/>
    <n v="12.070795385851188"/>
    <m/>
    <n v="37200"/>
    <n v="70537.634408602156"/>
    <n v="178100000"/>
    <m/>
    <m/>
    <s v="Part de marché en France : 15%. Croissance autour de 5% par an jusqu'en 2025"/>
    <m/>
    <n v="3385"/>
    <n v="0"/>
    <s v="FR000007194612019"/>
    <s v="FR0000071946"/>
    <n v="1"/>
    <x v="155"/>
    <m/>
    <m/>
    <m/>
  </r>
  <r>
    <m/>
    <m/>
    <m/>
    <m/>
    <m/>
    <x v="1"/>
    <n v="0.15600570072933206"/>
    <n v="0.34207755306702325"/>
    <n v="0.11243363389726047"/>
    <n v="4.0261229247033903E-2"/>
    <m/>
    <m/>
    <m/>
    <m/>
    <m/>
    <m/>
    <m/>
    <m/>
    <m/>
    <m/>
    <m/>
    <s v=""/>
    <m/>
    <m/>
    <m/>
    <s v="Concurrents : Assystem dans le nucléaire"/>
    <m/>
    <n v="3386"/>
    <n v="0"/>
    <s v="FR00000719461"/>
    <s v="FR0000071946"/>
    <n v="1"/>
    <x v="155"/>
    <m/>
    <m/>
    <m/>
  </r>
  <r>
    <m/>
    <m/>
    <m/>
    <m/>
    <n v="72.45"/>
    <x v="6"/>
    <n v="2269885000"/>
    <n v="239320000"/>
    <n v="214153000"/>
    <n v="157869000"/>
    <n v="-12456000"/>
    <n v="967571000"/>
    <n v="29.008583362227359"/>
    <n v="0.16316011951577714"/>
    <n v="0.15695188537505955"/>
    <n v="33354645"/>
    <n v="2416544030.25"/>
    <n v="2.4975366461479314"/>
    <n v="10.097543165009192"/>
    <m/>
    <n v="33700"/>
    <n v="67355.63798219584"/>
    <m/>
    <m/>
    <m/>
    <s v="En 2021, redressement rapide de l'activité. Poursuite de la stratégie de build-up avec des acquistions en Europe de petite taille (Portugal, Belgique, UK, Italie…)"/>
    <m/>
    <n v="3387"/>
    <n v="0"/>
    <s v="FR000007194612018"/>
    <s v="FR0000071946"/>
    <n v="1"/>
    <x v="155"/>
    <m/>
    <m/>
    <m/>
  </r>
  <r>
    <m/>
    <m/>
    <m/>
    <m/>
    <m/>
    <x v="1"/>
    <n v="0.14369808065646561"/>
    <n v="0.15462365695152713"/>
    <n v="0.21255513467298548"/>
    <n v="7.3756163917701123E-2"/>
    <m/>
    <m/>
    <m/>
    <m/>
    <m/>
    <m/>
    <m/>
    <m/>
    <m/>
    <m/>
    <m/>
    <s v=""/>
    <m/>
    <m/>
    <m/>
    <s v="En 2022 au S1, CA organique +19,8 %. 4 Acquisitions internationales (augmentation du CA +144 M)"/>
    <m/>
    <n v="3388"/>
    <n v="0"/>
    <s v="FR00000719461"/>
    <s v="FR0000071946"/>
    <n v="1"/>
    <x v="155"/>
    <m/>
    <m/>
    <m/>
  </r>
  <r>
    <m/>
    <m/>
    <m/>
    <m/>
    <n v="72.8"/>
    <x v="7"/>
    <n v="1984689000"/>
    <n v="207271000"/>
    <n v="176613000"/>
    <n v="147025000"/>
    <n v="-27221000"/>
    <n v="832580000"/>
    <n v="24.959873925325855"/>
    <n v="0.17658963703187683"/>
    <n v="0.15350806286389049"/>
    <n v="33356739"/>
    <n v="2428370599.1999998"/>
    <n v="2.9166813990247182"/>
    <n v="11.715920698988279"/>
    <m/>
    <n v="28000"/>
    <n v="70881.75"/>
    <m/>
    <m/>
    <m/>
    <s v="En 2023, Gérald Attia ancien Directeur Général Délégué quitte ses fonctions pour se concentrer à un nouveau projet professionnel. Il est remplacé par Bruno Benoliel"/>
    <m/>
    <n v="3389"/>
    <n v="0"/>
    <s v="FR000007194612017"/>
    <s v="FR0000071946"/>
    <n v="1"/>
    <x v="155"/>
    <m/>
    <m/>
    <m/>
  </r>
  <r>
    <m/>
    <m/>
    <m/>
    <m/>
    <m/>
    <x v="1"/>
    <n v="0.13520688026009187"/>
    <n v="7.5514482300563568E-2"/>
    <n v="0.12214322474887074"/>
    <n v="0.30799341666295987"/>
    <m/>
    <m/>
    <m/>
    <m/>
    <m/>
    <m/>
    <m/>
    <m/>
    <m/>
    <m/>
    <m/>
    <s v=""/>
    <m/>
    <m/>
    <m/>
    <s v="Minoritaires : faible"/>
    <m/>
    <n v="3390"/>
    <n v="0"/>
    <s v="FR00000719461"/>
    <s v="FR0000071946"/>
    <n v="1"/>
    <x v="155"/>
    <m/>
    <m/>
    <m/>
  </r>
  <r>
    <m/>
    <m/>
    <m/>
    <m/>
    <n v="66.3"/>
    <x v="8"/>
    <n v="1748306000"/>
    <n v="192718000"/>
    <n v="157389000"/>
    <n v="112405000"/>
    <n v="-4578000"/>
    <n v="738747000"/>
    <n v="22.234827276000022"/>
    <n v="0.15215628625226227"/>
    <n v="0.15006394985350785"/>
    <n v="33224769"/>
    <n v="2202802184.6999998"/>
    <n v="2.981808636380249"/>
    <n v="11.430183920028227"/>
    <m/>
    <n v="24000"/>
    <n v="72846.083333333328"/>
    <n v="112400000"/>
    <m/>
    <n v="119000000"/>
    <s v="CAC : Grant Thorton &amp; KPMG"/>
    <m/>
    <n v="3391"/>
    <n v="0"/>
    <s v="FR000007194612016"/>
    <s v="FR0000071946"/>
    <n v="1"/>
    <x v="155"/>
    <m/>
    <m/>
    <m/>
  </r>
  <r>
    <m/>
    <m/>
    <m/>
    <m/>
    <m/>
    <x v="1"/>
    <n v="0.13459614019284749"/>
    <n v="0.17645837911752493"/>
    <n v="7.0178420866537916E-2"/>
    <n v="5.78099414654345E-2"/>
    <m/>
    <m/>
    <m/>
    <m/>
    <m/>
    <m/>
    <m/>
    <m/>
    <m/>
    <m/>
    <m/>
    <s v=""/>
    <m/>
    <m/>
    <m/>
    <s v="Pay-out ratio : 34%"/>
    <m/>
    <n v="3392"/>
    <n v="0"/>
    <s v="FR00000719461"/>
    <s v="FR0000071946"/>
    <n v="1"/>
    <x v="155"/>
    <m/>
    <m/>
    <m/>
  </r>
  <r>
    <m/>
    <m/>
    <m/>
    <m/>
    <n v="53.54"/>
    <x v="9"/>
    <n v="1540906000"/>
    <n v="163812000"/>
    <n v="147068000"/>
    <n v="106262000"/>
    <n v="-17390000"/>
    <n v="648034000"/>
    <n v="19.521902365002585"/>
    <n v="0.16397596422409935"/>
    <n v="0.16324201926919149"/>
    <n v="33195228"/>
    <n v="1777272507.1199999"/>
    <n v="2.7425605865124361"/>
    <n v="10.849464673650282"/>
    <m/>
    <n v="20400"/>
    <n v="75534.607843137259"/>
    <m/>
    <m/>
    <m/>
    <m/>
    <m/>
    <n v="3393"/>
    <n v="0"/>
    <s v="FR000007194612015"/>
    <s v="FR0000071946"/>
    <n v="1"/>
    <x v="155"/>
    <m/>
    <m/>
    <m/>
  </r>
  <r>
    <m/>
    <m/>
    <m/>
    <m/>
    <m/>
    <x v="1"/>
    <n v="0.12215566071399953"/>
    <n v="0.15377626268673539"/>
    <n v="0.25129112674738163"/>
    <n v="0.33684753481701413"/>
    <m/>
    <m/>
    <m/>
    <m/>
    <m/>
    <m/>
    <m/>
    <m/>
    <m/>
    <m/>
    <m/>
    <s v=""/>
    <m/>
    <m/>
    <m/>
    <m/>
    <m/>
    <n v="3394"/>
    <n v="0"/>
    <s v="FR00000719461"/>
    <s v="FR0000071946"/>
    <n v="1"/>
    <x v="155"/>
    <m/>
    <m/>
    <m/>
  </r>
  <r>
    <m/>
    <m/>
    <m/>
    <m/>
    <n v="34.82"/>
    <x v="10"/>
    <n v="1373166000"/>
    <n v="141979000"/>
    <n v="117533000"/>
    <n v="79487000"/>
    <n v="-25908000"/>
    <n v="561329000"/>
    <n v="16.947387104848971"/>
    <n v="0.14160501239023818"/>
    <n v="0.15366057737742822"/>
    <n v="33121861"/>
    <n v="1153303200.02"/>
    <n v="2.0545940081841487"/>
    <n v="8.1230548181069029"/>
    <m/>
    <n v="18400"/>
    <n v="74628.586956521744"/>
    <m/>
    <m/>
    <m/>
    <m/>
    <m/>
    <n v="3395"/>
    <n v="0"/>
    <s v="FR000007194612014"/>
    <s v="FR0000071946"/>
    <n v="1"/>
    <x v="155"/>
    <m/>
    <m/>
    <m/>
  </r>
  <r>
    <m/>
    <m/>
    <m/>
    <m/>
    <m/>
    <x v="1"/>
    <n v="0.1290737945120326"/>
    <n v="0.10831043527134199"/>
    <n v="6.1111913618143054E-2"/>
    <n v="7.7351585795608635E-2"/>
    <m/>
    <m/>
    <m/>
    <m/>
    <m/>
    <m/>
    <m/>
    <m/>
    <m/>
    <m/>
    <m/>
    <s v=""/>
    <m/>
    <m/>
    <m/>
    <m/>
    <m/>
    <n v="3396"/>
    <n v="0"/>
    <s v="FR00000719461"/>
    <s v="FR0000071946"/>
    <n v="1"/>
    <x v="155"/>
    <m/>
    <m/>
    <m/>
  </r>
  <r>
    <m/>
    <m/>
    <m/>
    <m/>
    <n v="33.799999999999997"/>
    <x v="11"/>
    <n v="1216188000"/>
    <n v="128104000"/>
    <n v="110764000"/>
    <n v="73780000"/>
    <n v="-74395000"/>
    <n v="502348000"/>
    <n v="15.409291396458521"/>
    <n v="0.14687029708488936"/>
    <n v="0.18117597025841622"/>
    <n v="32600331"/>
    <n v="1101891187.8"/>
    <n v="2.1934817851369965"/>
    <n v="8.6015361565602948"/>
    <m/>
    <n v="16000"/>
    <n v="76011.75"/>
    <m/>
    <m/>
    <m/>
    <m/>
    <m/>
    <n v="3397"/>
    <n v="0"/>
    <s v="FR000007194612013"/>
    <s v="FR0000071946"/>
    <n v="1"/>
    <x v="155"/>
    <m/>
    <m/>
    <m/>
  </r>
  <r>
    <m/>
    <m/>
    <m/>
    <m/>
    <m/>
    <x v="1"/>
    <n v="1.5174343431476833E-2"/>
    <n v="-6.4913410009228567E-3"/>
    <n v="-4.8255714040213116E-2"/>
    <n v="-5.6135503019138278E-2"/>
    <m/>
    <m/>
    <m/>
    <m/>
    <m/>
    <m/>
    <m/>
    <m/>
    <m/>
    <m/>
    <m/>
    <s v=""/>
    <m/>
    <m/>
    <m/>
    <m/>
    <m/>
    <n v="3398"/>
    <n v="0"/>
    <s v="FR00000719461"/>
    <s v="FR0000071946"/>
    <n v="1"/>
    <x v="155"/>
    <m/>
    <m/>
    <m/>
  </r>
  <r>
    <m/>
    <m/>
    <m/>
    <m/>
    <n v="25.2"/>
    <x v="12"/>
    <n v="1198009000"/>
    <n v="128941000"/>
    <n v="116380000"/>
    <n v="78168000"/>
    <n v="-58366000"/>
    <n v="446655000"/>
    <n v="13.982554450271843"/>
    <n v="0.17500755616751185"/>
    <n v="0.20980764327601348"/>
    <n v="31943734"/>
    <n v="804982096.79999995"/>
    <n v="1.8022457977633743"/>
    <n v="6.2430266307846223"/>
    <m/>
    <n v="15950"/>
    <n v="75110.282131661443"/>
    <m/>
    <m/>
    <m/>
    <m/>
    <m/>
    <n v="3399"/>
    <n v="0"/>
    <s v="FR000007194612012"/>
    <s v="FR0000071946"/>
    <n v="1"/>
    <x v="155"/>
    <m/>
    <m/>
    <m/>
  </r>
  <r>
    <m/>
    <m/>
    <m/>
    <m/>
    <m/>
    <x v="1"/>
    <n v="0.12419545089001272"/>
    <n v="0.10886465661065348"/>
    <n v="0.22078630470356231"/>
    <n v="0.31260075228371842"/>
    <m/>
    <m/>
    <m/>
    <m/>
    <m/>
    <m/>
    <m/>
    <m/>
    <m/>
    <m/>
    <m/>
    <s v=""/>
    <m/>
    <m/>
    <m/>
    <m/>
    <m/>
    <n v="3400"/>
    <n v="0"/>
    <s v="FR00000719461"/>
    <s v="FR0000071946"/>
    <n v="1"/>
    <x v="155"/>
    <m/>
    <m/>
    <m/>
  </r>
  <r>
    <m/>
    <m/>
    <m/>
    <m/>
    <n v="21.14"/>
    <x v="17"/>
    <n v="1065659000"/>
    <n v="116282000"/>
    <n v="95332000"/>
    <n v="59552000"/>
    <n v="-44079000"/>
    <n v="398838000"/>
    <n v="12.543842260046628"/>
    <n v="0.14931375646252362"/>
    <n v="0.18810629187702071"/>
    <n v="31795521"/>
    <n v="672157313.94000006"/>
    <n v="1.6852890495389108"/>
    <n v="5.7804072336217134"/>
    <m/>
    <n v="13100"/>
    <n v="81348.015267175579"/>
    <m/>
    <m/>
    <m/>
    <m/>
    <m/>
    <n v="3401"/>
    <n v="0"/>
    <s v="FR000007194612011"/>
    <s v="FR0000071946"/>
    <n v="1"/>
    <x v="155"/>
    <m/>
    <m/>
    <m/>
  </r>
  <r>
    <m/>
    <m/>
    <m/>
    <m/>
    <m/>
    <x v="1"/>
    <n v="0.1626647726404864"/>
    <n v="0.16929791042374753"/>
    <n v="7.9442003713936282E-2"/>
    <n v="0.11089969593523241"/>
    <m/>
    <m/>
    <m/>
    <m/>
    <m/>
    <m/>
    <m/>
    <m/>
    <m/>
    <m/>
    <m/>
    <s v=""/>
    <m/>
    <m/>
    <m/>
    <m/>
    <m/>
    <n v="3402"/>
    <n v="0"/>
    <s v="FR00000719461"/>
    <s v="FR0000071946"/>
    <n v="1"/>
    <x v="155"/>
    <m/>
    <m/>
    <m/>
  </r>
  <r>
    <m/>
    <m/>
    <m/>
    <m/>
    <n v="25.4"/>
    <x v="18"/>
    <n v="916566000"/>
    <n v="99446000"/>
    <n v="88316000"/>
    <n v="53607000"/>
    <n v="-41699000"/>
    <n v="367743000"/>
    <n v="11.650391132697139"/>
    <n v="0.14577299907816058"/>
    <n v="0.18960999128951919"/>
    <n v="31564863"/>
    <n v="801747520.19999993"/>
    <n v="2.1801843140454067"/>
    <n v="8.0621394545783627"/>
    <m/>
    <n v="12700"/>
    <n v="72170.551181102361"/>
    <m/>
    <m/>
    <m/>
    <m/>
    <m/>
    <n v="3403"/>
    <n v="0"/>
    <s v="FR000007194612010"/>
    <s v="FR0000071946"/>
    <n v="1"/>
    <x v="155"/>
    <m/>
    <m/>
    <m/>
  </r>
  <r>
    <m/>
    <m/>
    <m/>
    <m/>
    <m/>
    <x v="1"/>
    <n v="6.9409166270941736E-2"/>
    <n v="0.37853310969101317"/>
    <n v="1.7328877336303998"/>
    <n v="2.0925925925925926"/>
    <m/>
    <m/>
    <m/>
    <m/>
    <m/>
    <m/>
    <m/>
    <m/>
    <m/>
    <m/>
    <m/>
    <s v=""/>
    <m/>
    <m/>
    <m/>
    <m/>
    <m/>
    <n v="3404"/>
    <n v="0"/>
    <s v="FR00000719461"/>
    <s v="FR0000071946"/>
    <n v="1"/>
    <x v="155"/>
    <m/>
    <m/>
    <m/>
  </r>
  <r>
    <m/>
    <m/>
    <m/>
    <m/>
    <n v="19.5"/>
    <x v="38"/>
    <n v="857077000"/>
    <n v="72139000"/>
    <n v="32316000"/>
    <n v="17334000"/>
    <n v="2690000"/>
    <n v="335737000"/>
    <n v="10.567097910132661"/>
    <n v="5.1629698245948465E-2"/>
    <n v="6.6842184577471653E-2"/>
    <n v="31771921"/>
    <n v="619552459.5"/>
    <n v="1.8453505556432566"/>
    <n v="8.5883150514978031"/>
    <m/>
    <n v="11300"/>
    <n v="75847.52212389381"/>
    <m/>
    <m/>
    <m/>
    <m/>
    <m/>
    <n v="3405"/>
    <n v="0"/>
    <s v="FR000007194612009"/>
    <s v="FR0000071946"/>
    <n v="1"/>
    <x v="155"/>
    <m/>
    <m/>
    <m/>
  </r>
  <r>
    <m/>
    <m/>
    <m/>
    <m/>
    <m/>
    <x v="1"/>
    <n v="1.2753401931266506E-2"/>
    <n v="-0.29698676593837103"/>
    <n v="-0.62836377018262102"/>
    <n v="-0.68184571334177635"/>
    <m/>
    <m/>
    <m/>
    <m/>
    <m/>
    <m/>
    <m/>
    <m/>
    <m/>
    <m/>
    <m/>
    <s v=""/>
    <m/>
    <m/>
    <m/>
    <m/>
    <m/>
    <n v="3406"/>
    <n v="0"/>
    <s v="FR00000719461"/>
    <s v="FR0000071946"/>
    <n v="1"/>
    <x v="155"/>
    <m/>
    <m/>
    <m/>
  </r>
  <r>
    <m/>
    <m/>
    <m/>
    <m/>
    <n v="15.15"/>
    <x v="20"/>
    <n v="846284000"/>
    <n v="102614000"/>
    <n v="86956000"/>
    <n v="54483000"/>
    <n v="17718000"/>
    <n v="317549000"/>
    <n v="10.009192852427217"/>
    <n v="0.17157352093692627"/>
    <n v="0.18155440290872646"/>
    <n v="31725735"/>
    <n v="480644885.25"/>
    <n v="1.5136085619857094"/>
    <n v="4.6840088608766832"/>
    <m/>
    <n v="12500"/>
    <n v="67702.720000000001"/>
    <m/>
    <m/>
    <m/>
    <m/>
    <m/>
    <n v="3407"/>
    <n v="0"/>
    <s v="FR000007194612008"/>
    <s v="FR0000071946"/>
    <n v="1"/>
    <x v="155"/>
    <m/>
    <m/>
    <m/>
  </r>
  <r>
    <m/>
    <m/>
    <m/>
    <m/>
    <m/>
    <x v="1"/>
    <n v="0.20698389516740923"/>
    <n v="0.14560353681954186"/>
    <n v="0.18966248477966419"/>
    <n v="0.27062198278877769"/>
    <m/>
    <m/>
    <m/>
    <m/>
    <m/>
    <m/>
    <m/>
    <m/>
    <m/>
    <m/>
    <m/>
    <s v=""/>
    <m/>
    <m/>
    <m/>
    <m/>
    <m/>
    <n v="3408"/>
    <n v="0"/>
    <s v="FR00000719461"/>
    <s v="FR0000071946"/>
    <n v="1"/>
    <x v="155"/>
    <m/>
    <m/>
    <m/>
  </r>
  <r>
    <m/>
    <m/>
    <m/>
    <m/>
    <n v="26.2"/>
    <x v="15"/>
    <n v="701156000"/>
    <n v="89572000"/>
    <n v="73093000"/>
    <n v="42879000"/>
    <n v="-3249000"/>
    <n v="264244000"/>
    <n v="8.3992601490318464"/>
    <n v="0.16227047728614463"/>
    <n v="0.1960386214295293"/>
    <n v="31460390"/>
    <n v="824262218"/>
    <n v="3.1193223611510574"/>
    <n v="9.202230808734873"/>
    <m/>
    <n v="10480"/>
    <n v="66904.198473282449"/>
    <m/>
    <m/>
    <m/>
    <m/>
    <m/>
    <n v="3409"/>
    <n v="0"/>
    <s v="FR000007194612007"/>
    <s v="FR0000071946"/>
    <n v="1"/>
    <x v="155"/>
    <m/>
    <m/>
    <m/>
  </r>
  <r>
    <m/>
    <m/>
    <m/>
    <m/>
    <m/>
    <x v="1"/>
    <n v="0.21673761277481129"/>
    <n v="0.12696116052893136"/>
    <n v="2.0289259030776829E-3"/>
    <n v="-6.3715963927768238E-2"/>
    <m/>
    <m/>
    <m/>
    <m/>
    <m/>
    <m/>
    <m/>
    <m/>
    <m/>
    <m/>
    <m/>
    <s v=""/>
    <m/>
    <m/>
    <m/>
    <m/>
    <m/>
    <n v="3410"/>
    <n v="0"/>
    <s v="FR00000719461"/>
    <s v="FR0000071946"/>
    <n v="1"/>
    <x v="155"/>
    <m/>
    <m/>
    <m/>
  </r>
  <r>
    <m/>
    <m/>
    <m/>
    <m/>
    <n v="28.26"/>
    <x v="16"/>
    <n v="576259000"/>
    <n v="79481000"/>
    <n v="72945000"/>
    <n v="45797000"/>
    <n v="-7241000"/>
    <n v="213037000"/>
    <n v="6.8939570916320569"/>
    <n v="0.2149720471091876"/>
    <n v="0.24811706738712122"/>
    <n v="30901991"/>
    <n v="873290265.66000009"/>
    <n v="4.099242223932932"/>
    <n v="10.987409137529726"/>
    <m/>
    <n v="8700"/>
    <n v="66236.666666666672"/>
    <m/>
    <m/>
    <m/>
    <m/>
    <m/>
    <n v="3411"/>
    <n v="0"/>
    <s v="FR000007194612006"/>
    <s v="FR0000071946"/>
    <n v="1"/>
    <x v="155"/>
    <m/>
    <m/>
    <m/>
  </r>
  <r>
    <m/>
    <m/>
    <m/>
    <m/>
    <m/>
    <x v="1"/>
    <m/>
    <m/>
    <m/>
    <m/>
    <m/>
    <m/>
    <m/>
    <m/>
    <m/>
    <m/>
    <m/>
    <m/>
    <m/>
    <m/>
    <m/>
    <s v=""/>
    <m/>
    <m/>
    <m/>
    <m/>
    <m/>
    <n v="3412"/>
    <n v="0"/>
    <s v="FR00000719461"/>
    <s v="FR0000071946"/>
    <n v="1"/>
    <x v="155"/>
    <m/>
    <m/>
    <m/>
  </r>
  <r>
    <m/>
    <m/>
    <m/>
    <m/>
    <s v="IPO à 11,90 euros le 5 février 1999 au second marché"/>
    <x v="1"/>
    <m/>
    <m/>
    <m/>
    <m/>
    <m/>
    <m/>
    <m/>
    <m/>
    <m/>
    <m/>
    <m/>
    <m/>
    <m/>
    <m/>
    <m/>
    <s v=""/>
    <m/>
    <m/>
    <m/>
    <m/>
    <m/>
    <n v="3413"/>
    <n v="0"/>
    <s v="FR00000719461"/>
    <s v="FR0000071946"/>
    <n v="1"/>
    <x v="155"/>
    <m/>
    <m/>
    <m/>
  </r>
  <r>
    <m/>
    <m/>
    <m/>
    <m/>
    <m/>
    <x v="1"/>
    <m/>
    <m/>
    <m/>
    <m/>
    <m/>
    <m/>
    <m/>
    <m/>
    <m/>
    <m/>
    <m/>
    <m/>
    <m/>
    <m/>
    <m/>
    <s v=""/>
    <m/>
    <m/>
    <m/>
    <m/>
    <m/>
    <n v="3414"/>
    <n v="0"/>
    <s v="FR00000719461"/>
    <s v="FR0000071946"/>
    <n v="1"/>
    <x v="155"/>
    <m/>
    <m/>
    <m/>
  </r>
  <r>
    <m/>
    <m/>
    <m/>
    <m/>
    <m/>
    <x v="1"/>
    <m/>
    <m/>
    <m/>
    <m/>
    <m/>
    <m/>
    <m/>
    <m/>
    <m/>
    <m/>
    <m/>
    <m/>
    <m/>
    <m/>
    <m/>
    <s v=""/>
    <m/>
    <m/>
    <m/>
    <m/>
    <m/>
    <n v="3415"/>
    <n v="0"/>
    <s v="FR00000719461"/>
    <s v="FR0000071946"/>
    <n v="1"/>
    <x v="155"/>
    <m/>
    <m/>
    <m/>
  </r>
  <r>
    <m/>
    <m/>
    <m/>
    <m/>
    <m/>
    <x v="1"/>
    <m/>
    <m/>
    <m/>
    <m/>
    <m/>
    <m/>
    <m/>
    <m/>
    <m/>
    <m/>
    <m/>
    <m/>
    <m/>
    <m/>
    <m/>
    <s v=""/>
    <m/>
    <m/>
    <m/>
    <m/>
    <m/>
    <n v="3416"/>
    <n v="0"/>
    <s v="FR00000719461"/>
    <s v="FR0000071946"/>
    <n v="1"/>
    <x v="155"/>
    <m/>
    <m/>
    <m/>
  </r>
  <r>
    <s v="Somfy"/>
    <s v="Domotique"/>
    <s v="France"/>
    <s v="Euro"/>
    <m/>
    <x v="0"/>
    <m/>
    <m/>
    <m/>
    <m/>
    <m/>
    <m/>
    <m/>
    <m/>
    <m/>
    <m/>
    <m/>
    <m/>
    <m/>
    <m/>
    <m/>
    <s v=""/>
    <m/>
    <m/>
    <m/>
    <m/>
    <m/>
    <n v="3417"/>
    <n v="0"/>
    <s v="FR0013199916 12023"/>
    <s v="FR0013199916 "/>
    <n v="1"/>
    <x v="156"/>
    <m/>
    <m/>
    <m/>
  </r>
  <r>
    <m/>
    <m/>
    <m/>
    <m/>
    <m/>
    <x v="1"/>
    <m/>
    <m/>
    <m/>
    <m/>
    <m/>
    <m/>
    <m/>
    <m/>
    <m/>
    <m/>
    <m/>
    <m/>
    <m/>
    <m/>
    <m/>
    <s v=""/>
    <m/>
    <m/>
    <m/>
    <m/>
    <m/>
    <n v="3418"/>
    <n v="0"/>
    <s v="FR0013199916 1"/>
    <s v="FR0013199916 "/>
    <n v="1"/>
    <x v="156"/>
    <m/>
    <m/>
    <m/>
  </r>
  <r>
    <m/>
    <m/>
    <m/>
    <m/>
    <n v="100"/>
    <x v="2"/>
    <n v="1610802000"/>
    <n v="366725000"/>
    <n v="301056000"/>
    <n v="272597000"/>
    <n v="-730000000"/>
    <n v="1400000000"/>
    <n v="37.837837837837839"/>
    <n v="0.19471214285714286"/>
    <n v="0.31453611940298509"/>
    <n v="37000000"/>
    <n v="3700000000"/>
    <n v="2.6428571428571428"/>
    <n v="10.089303974367715"/>
    <m/>
    <n v="6880"/>
    <n v="234128.1976744186"/>
    <m/>
    <s v="E : 2"/>
    <m/>
    <s v="Création de Somfy en 1969 à Cluses en Haute-Savoie, en 1984 Somfy a été racheté par le Groupe Damart"/>
    <m/>
    <n v="3419"/>
    <n v="0"/>
    <s v="FR0013199916 12022"/>
    <s v="FR0013199916 "/>
    <n v="1"/>
    <x v="156"/>
    <m/>
    <m/>
    <m/>
  </r>
  <r>
    <m/>
    <m/>
    <m/>
    <m/>
    <m/>
    <x v="1"/>
    <n v="9.000000000000008E-2"/>
    <n v="0"/>
    <n v="0"/>
    <n v="0"/>
    <m/>
    <m/>
    <m/>
    <m/>
    <m/>
    <m/>
    <m/>
    <m/>
    <m/>
    <m/>
    <m/>
    <s v=""/>
    <m/>
    <s v="S : 1"/>
    <m/>
    <s v="Automatisation de la fermeture et ouverture de la maison et des bâtiments. Maison connectée à des fins de bien-être. Présent dans 59 pays"/>
    <m/>
    <n v="3420"/>
    <n v="0"/>
    <s v="FR0013199916 1"/>
    <s v="FR0013199916 "/>
    <n v="1"/>
    <x v="156"/>
    <m/>
    <m/>
    <m/>
  </r>
  <r>
    <m/>
    <m/>
    <m/>
    <m/>
    <n v="171.4"/>
    <x v="3"/>
    <n v="1477800000"/>
    <n v="366725000"/>
    <n v="301056000"/>
    <n v="272597000"/>
    <n v="-681456000"/>
    <n v="1371175000"/>
    <n v="37.058783783783781"/>
    <n v="0.19880540412420006"/>
    <n v="0.30554356194334215"/>
    <n v="37000000"/>
    <n v="6341800000"/>
    <n v="4.6250843254872649"/>
    <n v="17.293067012066263"/>
    <m/>
    <n v="6880"/>
    <n v="214796.51162790696"/>
    <n v="147739000"/>
    <s v="G : 2"/>
    <m/>
    <s v="Accès des maisons et bâtiments, Volets et protection solaires, stores intérieurs et rideaux, maison connectée (sécurité)"/>
    <m/>
    <n v="3421"/>
    <n v="0"/>
    <s v="FR0013199916 12021"/>
    <s v="FR0013199916 "/>
    <n v="1"/>
    <x v="156"/>
    <m/>
    <m/>
    <m/>
  </r>
  <r>
    <m/>
    <m/>
    <m/>
    <m/>
    <m/>
    <x v="1"/>
    <n v="0.17556280327738438"/>
    <n v="0.13739982135324924"/>
    <n v="0.15489607868711586"/>
    <n v="0.36995120186146546"/>
    <m/>
    <m/>
    <m/>
    <m/>
    <m/>
    <m/>
    <m/>
    <m/>
    <m/>
    <m/>
    <m/>
    <s v=""/>
    <m/>
    <m/>
    <m/>
    <s v="Actionnariat : JPJS (Holding de Jean Despature) (52,65 %) JPJ2 (9,12 %), Flottant (17,5 %) Autodétention (6,92 %), Famille Despature et autres (4,23 %), Compagnie Financière Industrielle (4,47 %), Manacor Dev Pte Ltd (1,38 %)"/>
    <m/>
    <n v="3422"/>
    <n v="0"/>
    <s v="FR0013199916 1"/>
    <s v="FR0013199916 "/>
    <n v="1"/>
    <x v="156"/>
    <m/>
    <m/>
    <m/>
  </r>
  <r>
    <m/>
    <m/>
    <m/>
    <m/>
    <n v="138.6"/>
    <x v="4"/>
    <n v="1257100000"/>
    <n v="322424000"/>
    <n v="260678000"/>
    <n v="198983000"/>
    <n v="-536856000"/>
    <n v="1170968000"/>
    <n v="31.647783783783783"/>
    <n v="0.16993034822471664"/>
    <n v="0.28776399121921681"/>
    <n v="37000000"/>
    <n v="5128200000"/>
    <n v="4.3794535802857126"/>
    <n v="15.905143537701909"/>
    <m/>
    <n v="6500"/>
    <n v="193400"/>
    <n v="202329000"/>
    <m/>
    <m/>
    <s v="CEO : Pierre Ribeiro, né en 1966, entrée dans la société en 1992. En poste de CEO depuis 2015 (expi Mandat 2025), passage au conseil d'administration en 2021"/>
    <m/>
    <n v="3423"/>
    <n v="0"/>
    <s v="FR0013199916 12020"/>
    <s v="FR0013199916 "/>
    <n v="1"/>
    <x v="156"/>
    <m/>
    <m/>
    <m/>
  </r>
  <r>
    <m/>
    <m/>
    <m/>
    <m/>
    <m/>
    <x v="1"/>
    <n v="4.7372985925326683E-2"/>
    <n v="0.22877809706014629"/>
    <n v="0.29305846288157622"/>
    <n v="0.21766188943419773"/>
    <m/>
    <m/>
    <m/>
    <m/>
    <m/>
    <m/>
    <m/>
    <m/>
    <m/>
    <m/>
    <m/>
    <s v=""/>
    <m/>
    <m/>
    <m/>
    <s v="Président : Jean Guillaume Despature"/>
    <m/>
    <n v="3424"/>
    <n v="0"/>
    <s v="FR0013199916 1"/>
    <s v="FR0013199916 "/>
    <n v="1"/>
    <x v="156"/>
    <m/>
    <m/>
    <m/>
  </r>
  <r>
    <m/>
    <m/>
    <m/>
    <m/>
    <n v="91"/>
    <x v="5"/>
    <n v="1200241000"/>
    <n v="262394000"/>
    <n v="201598000"/>
    <n v="163414000"/>
    <n v="-333550000"/>
    <n v="1012775000"/>
    <n v="27.372297297297298"/>
    <n v="0.16135271901458864"/>
    <n v="0.20776414295704662"/>
    <n v="37000000"/>
    <n v="3367000000"/>
    <n v="3.3245291402335169"/>
    <n v="12.83184828921393"/>
    <m/>
    <n v="6067"/>
    <n v="197831.05323883303"/>
    <n v="132776000"/>
    <m/>
    <m/>
    <s v="Décision de dissocier les fonctions de Président et Directeur Général le 2 juin 2021"/>
    <m/>
    <n v="3425"/>
    <n v="0"/>
    <s v="FR0013199916 12019"/>
    <s v="FR0013199916 "/>
    <n v="1"/>
    <x v="156"/>
    <m/>
    <m/>
    <m/>
  </r>
  <r>
    <m/>
    <m/>
    <m/>
    <m/>
    <m/>
    <x v="1"/>
    <n v="6.5253182026752121E-2"/>
    <n v="0.20378025002867295"/>
    <n v="0.18488086421929917"/>
    <n v="0.2954354478144372"/>
    <m/>
    <m/>
    <m/>
    <m/>
    <m/>
    <m/>
    <m/>
    <m/>
    <m/>
    <m/>
    <m/>
    <s v=""/>
    <m/>
    <m/>
    <m/>
    <s v="Répartition du CA par Pays : France (29,22 %), Europe (49,54 %), Amérique Nord (9 %), Afrique (5,34 %) Asie (5,24 %) Amérique Latine (1,3 %)"/>
    <m/>
    <n v="3426"/>
    <n v="0"/>
    <s v="FR0013199916 1"/>
    <s v="FR0013199916 "/>
    <n v="1"/>
    <x v="156"/>
    <m/>
    <m/>
    <m/>
  </r>
  <r>
    <m/>
    <m/>
    <m/>
    <m/>
    <n v="62"/>
    <x v="6"/>
    <n v="1126719000"/>
    <n v="217975000"/>
    <n v="170142000"/>
    <n v="126146000"/>
    <n v="-247168000"/>
    <n v="894329000"/>
    <n v="24.171054054054053"/>
    <n v="0.14105100024711265"/>
    <n v="0.18403364850477699"/>
    <n v="37000000"/>
    <n v="2294000000"/>
    <n v="2.5650515637981099"/>
    <n v="10.52414267691249"/>
    <m/>
    <n v="6168"/>
    <n v="182671.6926070039"/>
    <n v="40849000"/>
    <m/>
    <m/>
    <s v="Répartition du CA par Métier : "/>
    <m/>
    <n v="3427"/>
    <n v="0"/>
    <s v="FR0013199916 12018"/>
    <s v="FR0013199916 "/>
    <n v="1"/>
    <x v="156"/>
    <m/>
    <m/>
    <m/>
  </r>
  <r>
    <m/>
    <m/>
    <m/>
    <m/>
    <m/>
    <x v="1"/>
    <n v="-9.6146796056067352E-2"/>
    <n v="9.4052161671545065E-3"/>
    <n v="1.1635996075749944E-2"/>
    <n v="-0.20044368384356981"/>
    <m/>
    <m/>
    <m/>
    <m/>
    <m/>
    <m/>
    <m/>
    <m/>
    <m/>
    <m/>
    <m/>
    <s v=""/>
    <m/>
    <m/>
    <m/>
    <s v="En 2017 : Division par 5 de la valeur nominale de l'action effectué le 03/07/2017"/>
    <m/>
    <n v="3428"/>
    <n v="0"/>
    <s v="FR0013199916 1"/>
    <s v="FR0013199916 "/>
    <n v="1"/>
    <x v="156"/>
    <m/>
    <m/>
    <m/>
  </r>
  <r>
    <m/>
    <m/>
    <m/>
    <m/>
    <n v="85"/>
    <x v="7"/>
    <n v="1246573000"/>
    <n v="215944000"/>
    <n v="168185000"/>
    <n v="157770000"/>
    <n v="-104600000"/>
    <n v="770592000"/>
    <n v="20.826810810810812"/>
    <n v="0.20473869440637849"/>
    <n v="0.17677314442215519"/>
    <n v="37000000"/>
    <n v="3145000000"/>
    <n v="4.0812777708566923"/>
    <n v="14.563961026932908"/>
    <m/>
    <n v="5963"/>
    <n v="209051.31645145061"/>
    <n v="86316000"/>
    <m/>
    <m/>
    <s v="En 2018 : Lancement d'une fonctionnalité de géolocalisation via téléphone portable pour une ouverture de portail à distance"/>
    <m/>
    <n v="3429"/>
    <n v="0"/>
    <s v="FR0013199916 12017"/>
    <s v="FR0013199916 "/>
    <n v="1"/>
    <x v="156"/>
    <m/>
    <m/>
    <m/>
  </r>
  <r>
    <m/>
    <m/>
    <m/>
    <m/>
    <m/>
    <x v="1"/>
    <n v="0.10146685764120522"/>
    <n v="-4.0218434063906683E-3"/>
    <n v="-5.1864588324830208E-2"/>
    <n v="0.17588748686377831"/>
    <m/>
    <m/>
    <m/>
    <m/>
    <m/>
    <m/>
    <m/>
    <m/>
    <m/>
    <m/>
    <m/>
    <s v=""/>
    <m/>
    <m/>
    <m/>
    <s v="Solutions de pergolat connectées, avec gestion automatique de la luminosité, commandes vocales, protection du mobilier en cas de pluie…"/>
    <m/>
    <n v="3430"/>
    <n v="0"/>
    <s v="FR0013199916 1"/>
    <s v="FR0013199916 "/>
    <n v="1"/>
    <x v="156"/>
    <m/>
    <m/>
    <m/>
  </r>
  <r>
    <m/>
    <m/>
    <m/>
    <m/>
    <n v="77"/>
    <x v="8"/>
    <n v="1131739000"/>
    <n v="216816000"/>
    <n v="177385000"/>
    <n v="134171000"/>
    <n v="-15500000"/>
    <n v="657520000"/>
    <n v="17.770810810810811"/>
    <n v="0.20405615038325831"/>
    <n v="0.1934044110775365"/>
    <n v="37000000"/>
    <n v="2849000000"/>
    <n v="4.3329480472076893"/>
    <n v="13.14017415688879"/>
    <m/>
    <m/>
    <s v=""/>
    <n v="26976000"/>
    <m/>
    <m/>
    <s v="Solutions de fermeture automatique des portes et gestion de la fermeture depuis son smartphone."/>
    <m/>
    <n v="3431"/>
    <n v="0"/>
    <s v="FR0013199916 12016"/>
    <s v="FR0013199916 "/>
    <n v="1"/>
    <x v="156"/>
    <m/>
    <m/>
    <m/>
  </r>
  <r>
    <m/>
    <m/>
    <m/>
    <s v="Nominal de 1 € passé à 0,20 €"/>
    <m/>
    <x v="1"/>
    <n v="6.6522232033390249E-2"/>
    <n v="5.7788662786443012E-2"/>
    <n v="7.0389814144339757E-2"/>
    <n v="-0.14231560913867825"/>
    <m/>
    <m/>
    <m/>
    <m/>
    <m/>
    <m/>
    <m/>
    <m/>
    <m/>
    <m/>
    <m/>
    <s v=""/>
    <m/>
    <m/>
    <m/>
    <s v="Solutions de fenêtres connectées pour une ouverture et fermeture pilotable sur Smartphone"/>
    <m/>
    <n v="3432"/>
    <n v="0"/>
    <s v="FR0013199916 1"/>
    <s v="FR0013199916 "/>
    <n v="1"/>
    <x v="156"/>
    <m/>
    <m/>
    <m/>
  </r>
  <r>
    <m/>
    <m/>
    <m/>
    <m/>
    <n v="350"/>
    <x v="9"/>
    <n v="1061149000"/>
    <n v="204971000"/>
    <n v="165720000"/>
    <n v="156434000"/>
    <n v="-1176000"/>
    <n v="577921000"/>
    <n v="78.097432432432427"/>
    <n v="0.27068405543318202"/>
    <n v="0.20113568388109129"/>
    <n v="7400000"/>
    <n v="2590000000"/>
    <n v="4.481581392612485"/>
    <n v="12.635933863814881"/>
    <m/>
    <n v="7824"/>
    <n v="135627.42842535788"/>
    <n v="-903000"/>
    <m/>
    <m/>
    <s v="En 2022, Somfy dispose de 2 210 brevets en portefeuille, de 17 centres de R&amp;D dans le Monde et 57 % de produits éco-conçus, "/>
    <m/>
    <n v="3433"/>
    <n v="0"/>
    <s v="FR0013199916 12015"/>
    <s v="FR0013199916 "/>
    <n v="1"/>
    <x v="156"/>
    <m/>
    <m/>
    <m/>
  </r>
  <r>
    <m/>
    <m/>
    <m/>
    <m/>
    <m/>
    <x v="1"/>
    <n v="8.0895886958851193E-2"/>
    <n v="9.7633595553151764E-2"/>
    <n v="0.3165964884404544"/>
    <n v="2.5097709272845572"/>
    <m/>
    <m/>
    <m/>
    <m/>
    <m/>
    <m/>
    <m/>
    <m/>
    <m/>
    <m/>
    <m/>
    <s v=""/>
    <m/>
    <m/>
    <m/>
    <s v="Depuis environ 10 ans, Somfy a développé une application par téléphone pour gérer toute la domotique de ces produits"/>
    <m/>
    <n v="3434"/>
    <n v="0"/>
    <s v="FR0013199916 1"/>
    <s v="FR0013199916 "/>
    <n v="1"/>
    <x v="156"/>
    <m/>
    <m/>
    <m/>
  </r>
  <r>
    <m/>
    <m/>
    <m/>
    <m/>
    <n v="208"/>
    <x v="10"/>
    <n v="981731000"/>
    <n v="186739000"/>
    <n v="125870000"/>
    <n v="44571000"/>
    <n v="199863000"/>
    <n v="570629000"/>
    <n v="72.814031237239689"/>
    <n v="7.810854337932352E-2"/>
    <n v="0.11435420484573493"/>
    <n v="7836800"/>
    <n v="1630054400"/>
    <n v="2.8565922867572451"/>
    <n v="8.7290517781502519"/>
    <m/>
    <n v="7994"/>
    <n v="122808.48136102076"/>
    <n v="-30482000"/>
    <m/>
    <m/>
    <s v="Lancement de volets roulants alimentés via énergie solaire"/>
    <m/>
    <n v="3435"/>
    <n v="0"/>
    <s v="FR0013199916 12014"/>
    <s v="FR0013199916 "/>
    <n v="1"/>
    <x v="156"/>
    <m/>
    <m/>
    <m/>
  </r>
  <r>
    <m/>
    <m/>
    <m/>
    <m/>
    <m/>
    <x v="1"/>
    <n v="-1.511836364530128E-2"/>
    <n v="-2.1755757182071567E-2"/>
    <n v="-9.2966109633857208E-2"/>
    <n v="-0.56048713144660289"/>
    <m/>
    <m/>
    <m/>
    <m/>
    <m/>
    <m/>
    <m/>
    <m/>
    <m/>
    <m/>
    <m/>
    <s v=""/>
    <m/>
    <m/>
    <m/>
    <s v="La Box Tahoma de Somfy est compatible avec les suites Google Home et Amazon Alexa. Il est possible de commander sa maison à l'aide de sa voix avec Google Home, et Goggle Home communiquera avec la Box Tahoma pour agir sur les services Somfy"/>
    <m/>
    <n v="3436"/>
    <n v="0"/>
    <s v="FR0013199916 1"/>
    <s v="FR0013199916 "/>
    <n v="1"/>
    <x v="156"/>
    <m/>
    <m/>
    <m/>
  </r>
  <r>
    <m/>
    <m/>
    <m/>
    <m/>
    <n v="185"/>
    <x v="11"/>
    <n v="996801000"/>
    <n v="190892000"/>
    <n v="138771000"/>
    <n v="101410000"/>
    <n v="-92327000"/>
    <n v="929005000"/>
    <n v="118.54392098815843"/>
    <n v="0.10915980000107642"/>
    <n v="0.11610165439990056"/>
    <n v="7836800"/>
    <n v="1449808000"/>
    <n v="1.5606030107480584"/>
    <n v="7.5949123064350523"/>
    <m/>
    <n v="7753"/>
    <n v="128569.71494905198"/>
    <n v="45221000"/>
    <m/>
    <m/>
    <s v="Acquistion de 75% de la société italienne Teleco Automation, fondée en 1996, 180 personnes et 40 Me de CA sur les systèmes d'automatisation, le contrôle et éclairage intérieur et extérieur de l'habitat"/>
    <m/>
    <n v="3437"/>
    <n v="0"/>
    <s v="FR0013199916 12013"/>
    <s v="FR0013199916 "/>
    <n v="1"/>
    <x v="156"/>
    <m/>
    <m/>
    <m/>
  </r>
  <r>
    <m/>
    <m/>
    <m/>
    <m/>
    <m/>
    <x v="1"/>
    <n v="7.2349468140466833E-3"/>
    <n v="9.6721189035775534E-2"/>
    <n v="0.20874344546452273"/>
    <n v="0.19136288342477181"/>
    <m/>
    <m/>
    <m/>
    <m/>
    <m/>
    <m/>
    <m/>
    <m/>
    <m/>
    <m/>
    <m/>
    <s v=""/>
    <m/>
    <m/>
    <m/>
    <s v="Filiale chinoise consolidée par mise en équivalence : Dooya 275 Meuros de CA"/>
    <m/>
    <n v="3438"/>
    <n v="0"/>
    <s v="FR0013199916 1"/>
    <s v="FR0013199916 "/>
    <n v="1"/>
    <x v="156"/>
    <m/>
    <m/>
    <m/>
  </r>
  <r>
    <m/>
    <m/>
    <m/>
    <m/>
    <n v="130.5"/>
    <x v="12"/>
    <n v="989641000"/>
    <n v="174057000"/>
    <n v="114806000"/>
    <n v="85121000"/>
    <n v="-31088000"/>
    <n v="863557000"/>
    <n v="110.19255308289098"/>
    <n v="9.8570215978794687E-2"/>
    <n v="9.6537168351013669E-2"/>
    <n v="7836800"/>
    <n v="1022702400"/>
    <n v="1.184290556384813"/>
    <n v="5.8756752098450509"/>
    <m/>
    <n v="8095"/>
    <n v="122253.36627547869"/>
    <n v="4434000"/>
    <m/>
    <m/>
    <s v="CAC : Ernst &amp; Young et KPMG"/>
    <m/>
    <n v="3439"/>
    <n v="0"/>
    <s v="FR0013199916 12012"/>
    <s v="FR0013199916 "/>
    <n v="1"/>
    <x v="156"/>
    <m/>
    <m/>
    <m/>
  </r>
  <r>
    <m/>
    <m/>
    <m/>
    <m/>
    <m/>
    <x v="1"/>
    <n v="3.9069537918797081E-2"/>
    <n v="6.837837671943392E-2"/>
    <n v="-1.3185490802819277E-2"/>
    <n v="-0.14764784811647613"/>
    <m/>
    <m/>
    <m/>
    <m/>
    <m/>
    <m/>
    <m/>
    <m/>
    <m/>
    <m/>
    <m/>
    <s v=""/>
    <m/>
    <m/>
    <m/>
    <s v="Minoritaire : Très peu"/>
    <m/>
    <n v="3440"/>
    <n v="0"/>
    <s v="FR0013199916 1"/>
    <s v="FR0013199916 "/>
    <n v="1"/>
    <x v="156"/>
    <m/>
    <m/>
    <m/>
  </r>
  <r>
    <m/>
    <m/>
    <m/>
    <m/>
    <n v="151.9"/>
    <x v="17"/>
    <n v="952430000"/>
    <n v="162917000"/>
    <n v="116340000"/>
    <n v="99866000"/>
    <n v="15711000"/>
    <n v="841221000"/>
    <n v="107.34241016741527"/>
    <n v="0.1187155337301375"/>
    <n v="9.5034378457100444E-2"/>
    <n v="7836800"/>
    <n v="1190409920"/>
    <n v="1.4150977210507107"/>
    <n v="7.3068490090045852"/>
    <m/>
    <n v="7824"/>
    <n v="121731.85071574642"/>
    <n v="-18917000"/>
    <m/>
    <m/>
    <s v="Pay out ratio : environ 29 %"/>
    <m/>
    <n v="3441"/>
    <n v="0"/>
    <s v="FR0013199916 12011"/>
    <s v="FR0013199916 "/>
    <n v="1"/>
    <x v="156"/>
    <m/>
    <m/>
    <m/>
  </r>
  <r>
    <m/>
    <m/>
    <m/>
    <m/>
    <m/>
    <x v="1"/>
    <n v="0.11708104329549629"/>
    <n v="-7.1168757126567894E-2"/>
    <n v="-0.11925021954395421"/>
    <n v="-0.30403088673933043"/>
    <m/>
    <m/>
    <m/>
    <m/>
    <m/>
    <m/>
    <m/>
    <m/>
    <m/>
    <m/>
    <m/>
    <s v=""/>
    <m/>
    <m/>
    <m/>
    <m/>
    <m/>
    <n v="3442"/>
    <n v="0"/>
    <s v="FR0013199916 1"/>
    <s v="FR0013199916 "/>
    <n v="1"/>
    <x v="156"/>
    <m/>
    <m/>
    <m/>
  </r>
  <r>
    <m/>
    <m/>
    <m/>
    <m/>
    <n v="175"/>
    <x v="18"/>
    <n v="852606000"/>
    <n v="175400000"/>
    <n v="132092000"/>
    <n v="143492000"/>
    <n v="35139000"/>
    <n v="803325000"/>
    <n v="102.5067629644753"/>
    <n v="0.17862259981950021"/>
    <n v="0.11027831844897336"/>
    <n v="7836800"/>
    <n v="1371440000"/>
    <n v="1.7072044315812405"/>
    <n v="7.818928164196123"/>
    <m/>
    <n v="5472"/>
    <n v="155812.5"/>
    <n v="17945000"/>
    <m/>
    <m/>
    <m/>
    <m/>
    <n v="3443"/>
    <n v="0"/>
    <s v="FR0013199916 12010"/>
    <s v="FR0013199916 "/>
    <n v="1"/>
    <x v="156"/>
    <m/>
    <m/>
    <m/>
  </r>
  <r>
    <m/>
    <m/>
    <m/>
    <m/>
    <m/>
    <x v="1"/>
    <n v="0.12070422738857767"/>
    <n v="9.4102823209451403E-2"/>
    <n v="0.25851046599148231"/>
    <n v="0.71671950708859256"/>
    <m/>
    <m/>
    <m/>
    <m/>
    <m/>
    <m/>
    <m/>
    <m/>
    <m/>
    <m/>
    <m/>
    <s v=""/>
    <m/>
    <m/>
    <m/>
    <m/>
    <m/>
    <n v="3444"/>
    <n v="0"/>
    <s v="FR0013199916 1"/>
    <s v="FR0013199916 "/>
    <n v="1"/>
    <x v="156"/>
    <m/>
    <m/>
    <m/>
  </r>
  <r>
    <m/>
    <m/>
    <m/>
    <m/>
    <n v="126"/>
    <x v="38"/>
    <n v="760777000"/>
    <n v="160314000"/>
    <n v="104959000"/>
    <n v="83585000"/>
    <n v="20000"/>
    <n v="719239000"/>
    <n v="91.777128419763173"/>
    <n v="0.11621310857726014"/>
    <n v="0.10214860015655"/>
    <n v="7836800"/>
    <n v="987436800"/>
    <n v="1.3728910695888292"/>
    <n v="6.1593921928215876"/>
    <m/>
    <n v="5353"/>
    <n v="142121.61404819728"/>
    <n v="15229000"/>
    <m/>
    <m/>
    <m/>
    <m/>
    <n v="3445"/>
    <n v="0"/>
    <s v="FR0013199916 12009"/>
    <s v="FR0013199916 "/>
    <n v="1"/>
    <x v="156"/>
    <m/>
    <m/>
    <m/>
  </r>
  <r>
    <m/>
    <m/>
    <m/>
    <m/>
    <m/>
    <x v="1"/>
    <m/>
    <m/>
    <m/>
    <m/>
    <m/>
    <m/>
    <m/>
    <m/>
    <m/>
    <m/>
    <m/>
    <m/>
    <m/>
    <m/>
    <m/>
    <s v=""/>
    <m/>
    <m/>
    <m/>
    <m/>
    <m/>
    <n v="3446"/>
    <n v="0"/>
    <s v="FR0013199916 1"/>
    <s v="FR0013199916 "/>
    <n v="1"/>
    <x v="156"/>
    <m/>
    <m/>
    <m/>
  </r>
  <r>
    <m/>
    <m/>
    <m/>
    <m/>
    <m/>
    <x v="1"/>
    <m/>
    <m/>
    <m/>
    <m/>
    <m/>
    <m/>
    <m/>
    <m/>
    <m/>
    <m/>
    <m/>
    <m/>
    <m/>
    <m/>
    <m/>
    <s v=""/>
    <m/>
    <m/>
    <m/>
    <m/>
    <m/>
    <n v="3447"/>
    <n v="0"/>
    <s v="FR0013199916 1"/>
    <s v="FR0013199916 "/>
    <n v="1"/>
    <x v="156"/>
    <m/>
    <m/>
    <m/>
  </r>
  <r>
    <m/>
    <m/>
    <m/>
    <m/>
    <m/>
    <x v="1"/>
    <m/>
    <m/>
    <m/>
    <m/>
    <m/>
    <m/>
    <m/>
    <m/>
    <m/>
    <m/>
    <m/>
    <m/>
    <m/>
    <m/>
    <m/>
    <s v=""/>
    <m/>
    <m/>
    <m/>
    <m/>
    <m/>
    <n v="3448"/>
    <n v="0"/>
    <s v="FR0013199916 1"/>
    <s v="FR0013199916 "/>
    <n v="1"/>
    <x v="156"/>
    <m/>
    <m/>
    <m/>
  </r>
  <r>
    <m/>
    <m/>
    <m/>
    <m/>
    <m/>
    <x v="1"/>
    <m/>
    <m/>
    <m/>
    <m/>
    <m/>
    <m/>
    <m/>
    <m/>
    <m/>
    <m/>
    <m/>
    <m/>
    <m/>
    <m/>
    <m/>
    <s v=""/>
    <m/>
    <m/>
    <m/>
    <m/>
    <m/>
    <n v="3449"/>
    <n v="0"/>
    <s v="FR0013199916 1"/>
    <s v="FR0013199916 "/>
    <n v="1"/>
    <x v="156"/>
    <m/>
    <m/>
    <m/>
  </r>
  <r>
    <s v="Relx Plc"/>
    <s v="B to B"/>
    <s v="Royaume-Uni"/>
    <s v="GBP"/>
    <m/>
    <x v="0"/>
    <m/>
    <m/>
    <m/>
    <m/>
    <m/>
    <m/>
    <m/>
    <m/>
    <m/>
    <m/>
    <m/>
    <m/>
    <m/>
    <m/>
    <m/>
    <s v=""/>
    <m/>
    <m/>
    <m/>
    <m/>
    <m/>
    <n v="3450"/>
    <n v="0"/>
    <s v="GB00B2B0DG9712023"/>
    <s v="GB00B2B0DG97"/>
    <n v="1"/>
    <x v="157"/>
    <m/>
    <m/>
    <m/>
  </r>
  <r>
    <m/>
    <m/>
    <m/>
    <m/>
    <m/>
    <x v="1"/>
    <m/>
    <m/>
    <m/>
    <m/>
    <m/>
    <m/>
    <m/>
    <m/>
    <m/>
    <m/>
    <m/>
    <m/>
    <m/>
    <m/>
    <m/>
    <s v=""/>
    <m/>
    <m/>
    <m/>
    <m/>
    <m/>
    <n v="3451"/>
    <n v="0"/>
    <s v="GB00B2B0DG971"/>
    <s v="GB00B2B0DG97"/>
    <n v="1"/>
    <x v="157"/>
    <m/>
    <m/>
    <m/>
  </r>
  <r>
    <m/>
    <m/>
    <m/>
    <m/>
    <m/>
    <x v="2"/>
    <m/>
    <m/>
    <m/>
    <m/>
    <m/>
    <m/>
    <m/>
    <m/>
    <m/>
    <n v="1920590000"/>
    <n v="0"/>
    <m/>
    <m/>
    <m/>
    <m/>
    <m/>
    <m/>
    <m/>
    <m/>
    <m/>
    <m/>
    <n v="3452"/>
    <n v="0"/>
    <s v="GB00B2B0DG9712022"/>
    <s v="GB00B2B0DG97"/>
    <n v="1"/>
    <x v="157"/>
    <m/>
    <m/>
    <m/>
  </r>
  <r>
    <m/>
    <m/>
    <m/>
    <m/>
    <m/>
    <x v="1"/>
    <m/>
    <m/>
    <m/>
    <m/>
    <m/>
    <m/>
    <m/>
    <m/>
    <m/>
    <m/>
    <m/>
    <m/>
    <m/>
    <m/>
    <m/>
    <s v=""/>
    <m/>
    <m/>
    <m/>
    <s v="RELX Group, anciennement Reed Elsevier, est un groupe international d'édition professionnelle, issu de la fusion, en 1993, de la société britannique Reed International PLC et de la maison d'édition néerlandaise Elsevier NV"/>
    <m/>
    <n v="3453"/>
    <n v="0"/>
    <s v="GB00B2B0DG971"/>
    <s v="GB00B2B0DG97"/>
    <n v="1"/>
    <x v="157"/>
    <m/>
    <m/>
    <m/>
  </r>
  <r>
    <m/>
    <m/>
    <m/>
    <m/>
    <n v="24"/>
    <x v="3"/>
    <n v="7244000000"/>
    <n v="2697000000"/>
    <n v="2210000000"/>
    <n v="1689000000"/>
    <n v="6017000000"/>
    <n v="3232000000"/>
    <n v="1.682816217933031"/>
    <n v="0.52258663366336633"/>
    <n v="0.16726132554870796"/>
    <n v="1920590000"/>
    <n v="46094160000"/>
    <n v="14.261806930693069"/>
    <n v="17.090901001112346"/>
    <m/>
    <n v="33500"/>
    <n v="216238.80597014926"/>
    <n v="2230000000"/>
    <m/>
    <m/>
    <s v="Erik Nils Engstrom CEO depuis 2009, entrée en 2004."/>
    <m/>
    <n v="3454"/>
    <n v="0"/>
    <s v="GB00B2B0DG9712021"/>
    <s v="GB00B2B0DG97"/>
    <n v="1"/>
    <x v="157"/>
    <m/>
    <m/>
    <m/>
  </r>
  <r>
    <m/>
    <m/>
    <m/>
    <m/>
    <m/>
    <x v="1"/>
    <n v="1.8846694796061936E-2"/>
    <n v="5.0642773665757757E-2"/>
    <n v="6.4547206165703308E-2"/>
    <n v="9.4620868438107575E-2"/>
    <m/>
    <m/>
    <m/>
    <m/>
    <m/>
    <m/>
    <m/>
    <m/>
    <m/>
    <m/>
    <m/>
    <s v=""/>
    <m/>
    <m/>
    <m/>
    <s v="Actionnariat : BlackRock 7,72 %, Invesco 4,84 %, The Vanguard Group 2,96 % (Flottant pour le reste)"/>
    <m/>
    <n v="3455"/>
    <n v="0"/>
    <s v="GB00B2B0DG971"/>
    <s v="GB00B2B0DG97"/>
    <n v="1"/>
    <x v="157"/>
    <m/>
    <m/>
    <m/>
  </r>
  <r>
    <m/>
    <m/>
    <m/>
    <m/>
    <n v="17.899999999999999"/>
    <x v="4"/>
    <n v="7110000000"/>
    <n v="2567000000"/>
    <n v="2076000000"/>
    <n v="1543000000"/>
    <n v="6898000000"/>
    <n v="2099000000"/>
    <n v="1.0928933296539085"/>
    <n v="0.73511195807527396"/>
    <n v="0.16152050683561187"/>
    <n v="1920590000"/>
    <n v="34378561000"/>
    <n v="16.378542639352073"/>
    <n v="13.392505259057264"/>
    <m/>
    <n v="33200"/>
    <n v="214156.6265060241"/>
    <n v="2009000000"/>
    <m/>
    <m/>
    <s v="Répartition CA par activité  : Risque (solution avec des algorithmes avancées pour la gestion du risque) 34 %, Scientifique et technique 37 %, Juridique 22 %, Exhibitions (solutions digitales pour faciliter les recherches et transactions) 7%"/>
    <m/>
    <n v="3456"/>
    <n v="0"/>
    <s v="GB00B2B0DG9712020"/>
    <s v="GB00B2B0DG97"/>
    <n v="1"/>
    <x v="157"/>
    <m/>
    <m/>
    <m/>
  </r>
  <r>
    <m/>
    <m/>
    <m/>
    <m/>
    <m/>
    <x v="1"/>
    <n v="-9.7028194056388073E-2"/>
    <n v="-6.4163324826831958E-2"/>
    <n v="-0.16659975913287839"/>
    <n v="-0.14657079646017701"/>
    <m/>
    <m/>
    <m/>
    <m/>
    <m/>
    <m/>
    <m/>
    <m/>
    <m/>
    <m/>
    <m/>
    <s v=""/>
    <m/>
    <m/>
    <m/>
    <s v="Répartition CA par zone géographique : Amérique du Nord 60 %, Europe 20 %, RoW 20 %"/>
    <m/>
    <n v="3457"/>
    <n v="0"/>
    <s v="GB00B2B0DG971"/>
    <s v="GB00B2B0DG97"/>
    <n v="1"/>
    <x v="157"/>
    <m/>
    <m/>
    <m/>
  </r>
  <r>
    <m/>
    <m/>
    <m/>
    <m/>
    <n v="19.05"/>
    <x v="5"/>
    <n v="7874000000"/>
    <n v="2743000000"/>
    <n v="2491000000"/>
    <n v="1808000000"/>
    <n v="6191000000"/>
    <n v="2166000000"/>
    <n v="1.1277784430825943"/>
    <n v="0.83471837488457989"/>
    <n v="0.20865142993897332"/>
    <n v="1920590000"/>
    <n v="36587239500"/>
    <n v="16.891615650969531"/>
    <n v="13.338403025884068"/>
    <m/>
    <n v="33200"/>
    <n v="237168.67469879519"/>
    <n v="2402000000"/>
    <m/>
    <m/>
    <s v="Répartition CA par format : Distribution électronique 86 %, Impression 7 %, Présentielle (Face à Face) 7 %"/>
    <m/>
    <n v="3458"/>
    <n v="0"/>
    <s v="GB00B2B0DG9712019"/>
    <s v="GB00B2B0DG97"/>
    <n v="1"/>
    <x v="157"/>
    <m/>
    <m/>
    <m/>
  </r>
  <r>
    <m/>
    <m/>
    <m/>
    <m/>
    <m/>
    <x v="1"/>
    <n v="5.0987720234917155E-2"/>
    <n v="6.1943476577623002E-2"/>
    <n v="6.180733162830343E-2"/>
    <n v="8.0047789725208984E-2"/>
    <m/>
    <m/>
    <m/>
    <m/>
    <m/>
    <m/>
    <m/>
    <m/>
    <m/>
    <m/>
    <m/>
    <s v=""/>
    <m/>
    <m/>
    <m/>
    <m/>
    <m/>
    <n v="3459"/>
    <n v="0"/>
    <s v="GB00B2B0DG971"/>
    <s v="GB00B2B0DG97"/>
    <n v="1"/>
    <x v="157"/>
    <m/>
    <m/>
    <m/>
  </r>
  <r>
    <m/>
    <m/>
    <m/>
    <m/>
    <n v="20.52"/>
    <x v="6"/>
    <n v="7492000000"/>
    <n v="2583000000"/>
    <n v="2346000000"/>
    <n v="1674000000"/>
    <n v="6177000000"/>
    <n v="2329000000"/>
    <n v="1.212648196647905"/>
    <n v="0.7187634177758695"/>
    <n v="0.19306371972725136"/>
    <n v="1920590000"/>
    <n v="39410506800"/>
    <n v="16.921643108630313"/>
    <n v="15.257648780487806"/>
    <m/>
    <n v="32100"/>
    <n v="233395.63862928349"/>
    <n v="2243000000"/>
    <m/>
    <m/>
    <m/>
    <m/>
    <n v="3460"/>
    <n v="0"/>
    <s v="GB00B2B0DG9712018"/>
    <s v="GB00B2B0DG97"/>
    <n v="1"/>
    <x v="157"/>
    <m/>
    <m/>
    <m/>
  </r>
  <r>
    <m/>
    <m/>
    <m/>
    <m/>
    <m/>
    <x v="1"/>
    <n v="2.0569404713254302E-2"/>
    <n v="2.3375594294770208E-2"/>
    <n v="2.7145359019264514E-2"/>
    <n v="3.3333333333333437E-2"/>
    <m/>
    <m/>
    <m/>
    <m/>
    <m/>
    <m/>
    <m/>
    <m/>
    <m/>
    <m/>
    <m/>
    <s v=""/>
    <m/>
    <m/>
    <m/>
    <m/>
    <m/>
    <n v="3461"/>
    <n v="0"/>
    <s v="GB00B2B0DG971"/>
    <s v="GB00B2B0DG97"/>
    <n v="1"/>
    <x v="157"/>
    <m/>
    <m/>
    <m/>
  </r>
  <r>
    <m/>
    <m/>
    <m/>
    <m/>
    <n v="23.7"/>
    <x v="7"/>
    <n v="7341000000"/>
    <n v="2524000000"/>
    <n v="2284000000"/>
    <n v="1620000000"/>
    <n v="5042000000"/>
    <n v="2292000000"/>
    <n v="1.1933832832619142"/>
    <n v="0.70680628272251311"/>
    <n v="0.21799836378511045"/>
    <n v="1920590000"/>
    <n v="45517983000"/>
    <n v="19.859503926701571"/>
    <n v="18.034066164817748"/>
    <m/>
    <n v="31000"/>
    <n v="236806.45161290321"/>
    <m/>
    <m/>
    <m/>
    <m/>
    <m/>
    <n v="3462"/>
    <n v="0"/>
    <s v="GB00B2B0DG9712017"/>
    <s v="GB00B2B0DG97"/>
    <n v="1"/>
    <x v="157"/>
    <m/>
    <m/>
    <m/>
  </r>
  <r>
    <m/>
    <m/>
    <m/>
    <m/>
    <m/>
    <x v="1"/>
    <m/>
    <m/>
    <m/>
    <m/>
    <m/>
    <m/>
    <m/>
    <m/>
    <m/>
    <m/>
    <m/>
    <m/>
    <m/>
    <m/>
    <m/>
    <s v=""/>
    <m/>
    <m/>
    <m/>
    <s v="Minoritaires :"/>
    <m/>
    <n v="3463"/>
    <n v="0"/>
    <s v="GB00B2B0DG971"/>
    <s v="GB00B2B0DG97"/>
    <n v="1"/>
    <x v="157"/>
    <m/>
    <m/>
    <m/>
  </r>
  <r>
    <m/>
    <m/>
    <m/>
    <m/>
    <m/>
    <x v="1"/>
    <m/>
    <m/>
    <m/>
    <m/>
    <m/>
    <m/>
    <m/>
    <m/>
    <m/>
    <m/>
    <m/>
    <m/>
    <m/>
    <m/>
    <m/>
    <m/>
    <m/>
    <m/>
    <m/>
    <s v="CAC"/>
    <m/>
    <n v="3464"/>
    <n v="0"/>
    <s v="GB00B2B0DG971"/>
    <s v="GB00B2B0DG97"/>
    <n v="1"/>
    <x v="157"/>
    <m/>
    <m/>
    <m/>
  </r>
  <r>
    <m/>
    <m/>
    <m/>
    <m/>
    <m/>
    <x v="1"/>
    <m/>
    <m/>
    <m/>
    <m/>
    <m/>
    <m/>
    <m/>
    <m/>
    <m/>
    <m/>
    <m/>
    <m/>
    <m/>
    <m/>
    <m/>
    <s v=""/>
    <m/>
    <m/>
    <m/>
    <s v="Pay out ratio"/>
    <m/>
    <n v="3465"/>
    <n v="0"/>
    <s v="GB00B2B0DG971"/>
    <s v="GB00B2B0DG97"/>
    <n v="1"/>
    <x v="157"/>
    <m/>
    <m/>
    <m/>
  </r>
  <r>
    <m/>
    <m/>
    <m/>
    <m/>
    <m/>
    <x v="1"/>
    <m/>
    <m/>
    <m/>
    <m/>
    <m/>
    <m/>
    <m/>
    <m/>
    <m/>
    <m/>
    <m/>
    <m/>
    <m/>
    <m/>
    <m/>
    <s v=""/>
    <m/>
    <m/>
    <m/>
    <m/>
    <m/>
    <n v="3466"/>
    <n v="0"/>
    <s v="GB00B2B0DG971"/>
    <s v="GB00B2B0DG97"/>
    <n v="1"/>
    <x v="157"/>
    <m/>
    <m/>
    <m/>
  </r>
  <r>
    <m/>
    <m/>
    <m/>
    <m/>
    <m/>
    <x v="1"/>
    <m/>
    <m/>
    <m/>
    <m/>
    <m/>
    <m/>
    <m/>
    <m/>
    <m/>
    <m/>
    <m/>
    <m/>
    <m/>
    <m/>
    <m/>
    <s v=""/>
    <m/>
    <m/>
    <m/>
    <m/>
    <m/>
    <n v="3467"/>
    <e v="#N/A"/>
    <s v="1"/>
    <m/>
    <n v="1"/>
    <x v="157"/>
    <m/>
    <m/>
    <m/>
  </r>
  <r>
    <m/>
    <m/>
    <m/>
    <m/>
    <m/>
    <x v="1"/>
    <m/>
    <m/>
    <m/>
    <m/>
    <m/>
    <m/>
    <m/>
    <m/>
    <m/>
    <m/>
    <m/>
    <m/>
    <m/>
    <m/>
    <m/>
    <s v=""/>
    <m/>
    <m/>
    <m/>
    <m/>
    <m/>
    <n v="3468"/>
    <e v="#N/A"/>
    <s v="1"/>
    <m/>
    <n v="1"/>
    <x v="157"/>
    <m/>
    <m/>
    <m/>
  </r>
  <r>
    <s v="Universal Music"/>
    <s v="Editeur"/>
    <s v="Pays-Bas"/>
    <s v="EUR"/>
    <n v="22.51"/>
    <x v="2"/>
    <m/>
    <m/>
    <m/>
    <m/>
    <m/>
    <m/>
    <m/>
    <m/>
    <m/>
    <m/>
    <m/>
    <m/>
    <m/>
    <m/>
    <m/>
    <s v=""/>
    <m/>
    <m/>
    <m/>
    <s v="Créée en "/>
    <m/>
    <n v="3469"/>
    <e v="#N/A"/>
    <s v="12022"/>
    <m/>
    <n v="1"/>
    <x v="158"/>
    <m/>
    <m/>
    <m/>
  </r>
  <r>
    <m/>
    <m/>
    <m/>
    <m/>
    <m/>
    <x v="1"/>
    <m/>
    <m/>
    <m/>
    <m/>
    <m/>
    <m/>
    <m/>
    <m/>
    <m/>
    <m/>
    <m/>
    <m/>
    <m/>
    <m/>
    <m/>
    <s v=""/>
    <m/>
    <m/>
    <m/>
    <s v="Actionnariat : Vincent Bolloré 18 %, Vivendi 10 %, Concerto Partners LLC 20 %, W,A Ackman 10 %"/>
    <m/>
    <n v="3470"/>
    <e v="#N/A"/>
    <s v="1"/>
    <m/>
    <n v="1"/>
    <x v="158"/>
    <m/>
    <m/>
    <m/>
  </r>
  <r>
    <m/>
    <m/>
    <m/>
    <m/>
    <n v="25.05"/>
    <x v="3"/>
    <n v="8504000000"/>
    <n v="1686000000"/>
    <n v="1399000000"/>
    <n v="886000000"/>
    <n v="2010000000"/>
    <n v="2000000000"/>
    <n v="1.1029152255241053"/>
    <n v="0.443"/>
    <n v="0.24421446384039897"/>
    <n v="1813376000"/>
    <n v="45425068800"/>
    <n v="22.712534399999999"/>
    <n v="26.942508185053381"/>
    <m/>
    <n v="9505"/>
    <n v="894687.00683850609"/>
    <n v="638000000"/>
    <m/>
    <m/>
    <s v="Chairman &amp; CEO : LUCIAN GRAINGE (62 ans)"/>
    <m/>
    <n v="3471"/>
    <e v="#N/A"/>
    <s v="12021"/>
    <m/>
    <n v="1"/>
    <x v="158"/>
    <m/>
    <m/>
    <m/>
  </r>
  <r>
    <m/>
    <m/>
    <m/>
    <m/>
    <m/>
    <x v="1"/>
    <n v="0.14424111948331531"/>
    <n v="0.13382649630127763"/>
    <n v="0.14578214578214577"/>
    <n v="-0.35139092240117131"/>
    <m/>
    <m/>
    <m/>
    <m/>
    <m/>
    <m/>
    <m/>
    <m/>
    <m/>
    <m/>
    <m/>
    <s v=""/>
    <m/>
    <m/>
    <m/>
    <s v="Répartition du CA par activité : "/>
    <m/>
    <n v="3472"/>
    <e v="#N/A"/>
    <s v="1"/>
    <m/>
    <n v="1"/>
    <x v="158"/>
    <m/>
    <m/>
    <m/>
  </r>
  <r>
    <m/>
    <m/>
    <m/>
    <m/>
    <m/>
    <x v="4"/>
    <n v="7432000000"/>
    <n v="1487000000"/>
    <n v="1221000000"/>
    <n v="1366000000"/>
    <n v="1868000000"/>
    <n v="2000000000"/>
    <n v="1.1029152255241053"/>
    <n v="0.68300000000000005"/>
    <n v="0.22096690796277146"/>
    <n v="1813376000"/>
    <n v="0"/>
    <n v="0"/>
    <n v="0"/>
    <m/>
    <n v="9505"/>
    <n v="781904.26091530768"/>
    <n v="-158000000"/>
    <m/>
    <m/>
    <s v="Répartition du CA par zone géographique :"/>
    <m/>
    <n v="3473"/>
    <e v="#N/A"/>
    <s v="12020"/>
    <m/>
    <n v="1"/>
    <x v="158"/>
    <m/>
    <m/>
    <m/>
  </r>
  <r>
    <m/>
    <m/>
    <m/>
    <m/>
    <m/>
    <x v="1"/>
    <n v="3.8133817572286732E-2"/>
    <n v="0.17363851617995274"/>
    <n v="0.17516843118383063"/>
    <n v="0.40534979423868323"/>
    <m/>
    <m/>
    <m/>
    <m/>
    <m/>
    <m/>
    <m/>
    <m/>
    <m/>
    <m/>
    <m/>
    <s v=""/>
    <m/>
    <m/>
    <m/>
    <s v="Minoritaires :"/>
    <m/>
    <n v="3474"/>
    <e v="#N/A"/>
    <s v="1"/>
    <m/>
    <n v="1"/>
    <x v="158"/>
    <m/>
    <m/>
    <m/>
  </r>
  <r>
    <m/>
    <m/>
    <m/>
    <m/>
    <m/>
    <x v="5"/>
    <n v="7159000000"/>
    <n v="1267000000"/>
    <n v="1039000000"/>
    <n v="972000000"/>
    <n v="-993000000"/>
    <n v="2000000000"/>
    <n v="1.1029152255241053"/>
    <n v="0.48599999999999999"/>
    <n v="0.72224428997020851"/>
    <n v="1813376000"/>
    <n v="0"/>
    <n v="0"/>
    <n v="0"/>
    <m/>
    <n v="9505"/>
    <n v="753182.53550762753"/>
    <n v="485000000"/>
    <m/>
    <m/>
    <s v="Pay out ratio"/>
    <m/>
    <n v="3475"/>
    <e v="#N/A"/>
    <s v="12019"/>
    <m/>
    <n v="1"/>
    <x v="158"/>
    <m/>
    <m/>
    <m/>
  </r>
  <r>
    <m/>
    <m/>
    <m/>
    <m/>
    <m/>
    <x v="1"/>
    <m/>
    <m/>
    <m/>
    <m/>
    <m/>
    <m/>
    <m/>
    <m/>
    <m/>
    <m/>
    <m/>
    <m/>
    <m/>
    <m/>
    <m/>
    <s v=""/>
    <m/>
    <m/>
    <m/>
    <m/>
    <m/>
    <n v="3476"/>
    <e v="#N/A"/>
    <s v="1"/>
    <m/>
    <n v="1"/>
    <x v="158"/>
    <m/>
    <m/>
    <m/>
  </r>
  <r>
    <m/>
    <m/>
    <m/>
    <m/>
    <m/>
    <x v="1"/>
    <m/>
    <m/>
    <m/>
    <m/>
    <m/>
    <m/>
    <m/>
    <m/>
    <m/>
    <m/>
    <m/>
    <m/>
    <m/>
    <m/>
    <m/>
    <s v=""/>
    <m/>
    <m/>
    <m/>
    <m/>
    <m/>
    <n v="3477"/>
    <e v="#N/A"/>
    <s v="1"/>
    <m/>
    <n v="1"/>
    <x v="158"/>
    <m/>
    <m/>
    <m/>
  </r>
  <r>
    <m/>
    <m/>
    <m/>
    <m/>
    <m/>
    <x v="1"/>
    <m/>
    <m/>
    <m/>
    <m/>
    <m/>
    <m/>
    <m/>
    <m/>
    <m/>
    <m/>
    <m/>
    <m/>
    <m/>
    <m/>
    <m/>
    <s v=""/>
    <m/>
    <m/>
    <m/>
    <m/>
    <m/>
    <n v="3478"/>
    <e v="#N/A"/>
    <s v="1"/>
    <m/>
    <n v="1"/>
    <x v="158"/>
    <m/>
    <m/>
    <m/>
  </r>
  <r>
    <s v="Deezer"/>
    <s v="Plateforme musical"/>
    <s v="France"/>
    <s v="EUR"/>
    <n v="2.9"/>
    <x v="2"/>
    <n v="455000000"/>
    <m/>
    <m/>
    <n v="-100000000"/>
    <m/>
    <m/>
    <m/>
    <m/>
    <m/>
    <n v="112999100"/>
    <n v="327697390"/>
    <m/>
    <m/>
    <m/>
    <m/>
    <s v=""/>
    <m/>
    <m/>
    <m/>
    <s v="Streaming audio à la demande, via portable, tablette, ordinateur"/>
    <m/>
    <n v="3479"/>
    <e v="#N/A"/>
    <s v="12022"/>
    <m/>
    <n v="1"/>
    <x v="159"/>
    <m/>
    <m/>
    <m/>
  </r>
  <r>
    <m/>
    <m/>
    <m/>
    <m/>
    <m/>
    <x v="1"/>
    <m/>
    <m/>
    <m/>
    <m/>
    <m/>
    <m/>
    <m/>
    <m/>
    <m/>
    <m/>
    <m/>
    <m/>
    <m/>
    <m/>
    <m/>
    <s v=""/>
    <m/>
    <m/>
    <m/>
    <s v="90 millions de titres musicaux et podcast et divertissement et sport"/>
    <m/>
    <n v="3480"/>
    <e v="#N/A"/>
    <s v="1"/>
    <m/>
    <n v="1"/>
    <x v="159"/>
    <m/>
    <m/>
    <m/>
  </r>
  <r>
    <m/>
    <m/>
    <m/>
    <m/>
    <s v="IPO le 5 juillet 2022 à 7,25 €"/>
    <x v="1"/>
    <m/>
    <m/>
    <m/>
    <m/>
    <m/>
    <m/>
    <m/>
    <m/>
    <m/>
    <m/>
    <m/>
    <m/>
    <m/>
    <m/>
    <m/>
    <s v=""/>
    <m/>
    <m/>
    <m/>
    <s v="9,4 million d'abonnés au 30-06-2022 contre 9,7 au 30-06-2021"/>
    <m/>
    <n v="3481"/>
    <e v="#N/A"/>
    <s v="1"/>
    <m/>
    <n v="1"/>
    <x v="159"/>
    <m/>
    <m/>
    <m/>
  </r>
  <r>
    <m/>
    <m/>
    <m/>
    <m/>
    <m/>
    <x v="1"/>
    <m/>
    <m/>
    <m/>
    <m/>
    <m/>
    <m/>
    <m/>
    <m/>
    <m/>
    <m/>
    <m/>
    <m/>
    <m/>
    <m/>
    <m/>
    <s v=""/>
    <m/>
    <m/>
    <m/>
    <s v="France et Brésil 2/3 du CA, 2 % du Marché mondial"/>
    <m/>
    <n v="3482"/>
    <e v="#N/A"/>
    <s v="1"/>
    <m/>
    <n v="1"/>
    <x v="159"/>
    <m/>
    <m/>
    <m/>
  </r>
  <r>
    <m/>
    <m/>
    <m/>
    <m/>
    <m/>
    <x v="1"/>
    <m/>
    <m/>
    <m/>
    <m/>
    <m/>
    <m/>
    <m/>
    <m/>
    <m/>
    <m/>
    <m/>
    <m/>
    <m/>
    <m/>
    <m/>
    <s v=""/>
    <m/>
    <m/>
    <m/>
    <s v="Offre à 10,99 € / mois, mais ARPU à 3,90 € / mois"/>
    <m/>
    <n v="3483"/>
    <e v="#N/A"/>
    <s v="1"/>
    <m/>
    <n v="1"/>
    <x v="159"/>
    <m/>
    <m/>
    <m/>
  </r>
  <r>
    <m/>
    <m/>
    <m/>
    <m/>
    <m/>
    <x v="1"/>
    <m/>
    <m/>
    <m/>
    <m/>
    <m/>
    <m/>
    <m/>
    <m/>
    <m/>
    <m/>
    <m/>
    <m/>
    <m/>
    <m/>
    <m/>
    <s v=""/>
    <m/>
    <m/>
    <m/>
    <m/>
    <m/>
    <n v="3484"/>
    <e v="#N/A"/>
    <s v="1"/>
    <m/>
    <n v="1"/>
    <x v="159"/>
    <m/>
    <m/>
    <m/>
  </r>
  <r>
    <m/>
    <m/>
    <m/>
    <m/>
    <m/>
    <x v="1"/>
    <m/>
    <m/>
    <m/>
    <m/>
    <m/>
    <m/>
    <m/>
    <m/>
    <m/>
    <m/>
    <m/>
    <m/>
    <m/>
    <m/>
    <m/>
    <s v=""/>
    <m/>
    <m/>
    <m/>
    <m/>
    <m/>
    <n v="3485"/>
    <e v="#N/A"/>
    <s v="1"/>
    <m/>
    <n v="1"/>
    <x v="159"/>
    <m/>
    <m/>
    <m/>
  </r>
  <r>
    <m/>
    <m/>
    <m/>
    <m/>
    <m/>
    <x v="1"/>
    <m/>
    <m/>
    <m/>
    <m/>
    <m/>
    <m/>
    <m/>
    <m/>
    <m/>
    <m/>
    <m/>
    <m/>
    <m/>
    <m/>
    <m/>
    <s v=""/>
    <m/>
    <m/>
    <m/>
    <m/>
    <m/>
    <n v="3486"/>
    <e v="#N/A"/>
    <s v="1"/>
    <m/>
    <n v="1"/>
    <x v="159"/>
    <m/>
    <m/>
    <m/>
  </r>
  <r>
    <s v="Spotify"/>
    <s v="Plateforme musical"/>
    <s v="Suède"/>
    <s v="Euro"/>
    <n v="78.95"/>
    <x v="2"/>
    <m/>
    <m/>
    <m/>
    <m/>
    <m/>
    <m/>
    <m/>
    <m/>
    <m/>
    <m/>
    <m/>
    <m/>
    <m/>
    <m/>
    <m/>
    <s v=""/>
    <m/>
    <m/>
    <m/>
    <s v="Spotify est une société fondée en 2006 par Daniel Elk et Martin Lorentzon."/>
    <m/>
    <n v="3487"/>
    <n v="0"/>
    <s v="LU177876291112022"/>
    <s v="LU1778762911"/>
    <n v="1"/>
    <x v="160"/>
    <m/>
    <m/>
    <m/>
  </r>
  <r>
    <m/>
    <m/>
    <m/>
    <m/>
    <m/>
    <x v="1"/>
    <m/>
    <m/>
    <m/>
    <m/>
    <m/>
    <m/>
    <m/>
    <m/>
    <m/>
    <m/>
    <m/>
    <m/>
    <m/>
    <m/>
    <m/>
    <s v=""/>
    <m/>
    <m/>
    <m/>
    <s v="Utilisateurs : 158 millions d'abonnés et 356 millions utilisateurs au total. Disponible sur 178 marchés et dispose de 70 millions de chanson."/>
    <m/>
    <n v="3488"/>
    <n v="0"/>
    <s v="LU17787629111"/>
    <s v="LU1778762911"/>
    <n v="1"/>
    <x v="160"/>
    <m/>
    <m/>
    <m/>
  </r>
  <r>
    <m/>
    <m/>
    <m/>
    <m/>
    <n v="234.03"/>
    <x v="3"/>
    <m/>
    <m/>
    <m/>
    <m/>
    <m/>
    <m/>
    <m/>
    <m/>
    <m/>
    <m/>
    <m/>
    <m/>
    <m/>
    <m/>
    <m/>
    <s v=""/>
    <m/>
    <m/>
    <m/>
    <s v="Tarif : 9,99€ / Mois ou abonnement Hifi 14,90€/mois avec des formules à long termes pour réduire les coûts."/>
    <m/>
    <n v="3489"/>
    <n v="0"/>
    <s v="LU177876291112021"/>
    <s v="LU1778762911"/>
    <n v="1"/>
    <x v="160"/>
    <m/>
    <m/>
    <m/>
  </r>
  <r>
    <m/>
    <m/>
    <m/>
    <m/>
    <m/>
    <x v="1"/>
    <m/>
    <m/>
    <m/>
    <m/>
    <m/>
    <m/>
    <m/>
    <m/>
    <m/>
    <m/>
    <m/>
    <m/>
    <m/>
    <m/>
    <m/>
    <s v=""/>
    <m/>
    <m/>
    <m/>
    <s v="Selon une étude de l'ADAMI, pour un abonnement mensuel payé 9,99 euros : 6,54 euros seraient reversés aux intermédiaires (70 % aux producteurs, 30 % à la plateforme de musique), 1,99 euro pour l'État (TVA), 1 euro pour les droits d'auteur, enfin les artistes écoutés se partageraient 0,46 euro"/>
    <m/>
    <n v="3490"/>
    <n v="0"/>
    <s v="LU17787629111"/>
    <s v="LU1778762911"/>
    <n v="1"/>
    <x v="160"/>
    <m/>
    <m/>
    <m/>
  </r>
  <r>
    <m/>
    <m/>
    <m/>
    <m/>
    <n v="314.7"/>
    <x v="4"/>
    <n v="7880000000"/>
    <m/>
    <n v="-293000000"/>
    <n v="-581000000"/>
    <n v="-1747000000"/>
    <n v="2900000000"/>
    <n v="15.246078515401223"/>
    <n v="-0.20034482758620689"/>
    <n v="-0.17788378143972247"/>
    <n v="190212847"/>
    <n v="59859982950.900002"/>
    <n v="20.641373431344828"/>
    <e v="#DIV/0!"/>
    <m/>
    <m/>
    <s v=""/>
    <m/>
    <m/>
    <m/>
    <s v="Concurrents : Apple Music, Deezer, Youtube Music, Deezer (même grille tarifaire) Spotify #1 mondial en nombre d'utilisateurs."/>
    <m/>
    <n v="3491"/>
    <n v="0"/>
    <s v="LU177876291112020"/>
    <s v="LU1778762911"/>
    <n v="1"/>
    <x v="160"/>
    <m/>
    <m/>
    <m/>
  </r>
  <r>
    <m/>
    <m/>
    <m/>
    <m/>
    <m/>
    <x v="1"/>
    <n v="0.16499112950916617"/>
    <m/>
    <n v="3.0136986301369859"/>
    <n v="2.1236559139784945"/>
    <m/>
    <m/>
    <m/>
    <m/>
    <m/>
    <m/>
    <m/>
    <m/>
    <m/>
    <m/>
    <m/>
    <s v=""/>
    <m/>
    <m/>
    <m/>
    <s v="Effectifs : 5,5K"/>
    <m/>
    <n v="3492"/>
    <n v="0"/>
    <s v="LU17787629111"/>
    <s v="LU1778762911"/>
    <n v="1"/>
    <x v="160"/>
    <m/>
    <m/>
    <m/>
  </r>
  <r>
    <m/>
    <m/>
    <m/>
    <m/>
    <n v="153.19999999999999"/>
    <x v="5"/>
    <n v="6764000000"/>
    <m/>
    <n v="-73000000"/>
    <n v="-186000000"/>
    <n v="-1757000000"/>
    <n v="2439000000"/>
    <n v="13.231994232912079"/>
    <n v="-7.626076260762607E-2"/>
    <n v="-7.4926686217008792E-2"/>
    <n v="184325957"/>
    <n v="28238736612.399998"/>
    <n v="11.577997791061909"/>
    <e v="#DIV/0!"/>
    <m/>
    <m/>
    <s v=""/>
    <m/>
    <m/>
    <m/>
    <s v="CA par salarié : 1411K"/>
    <m/>
    <n v="3493"/>
    <n v="0"/>
    <s v="LU177876291112019"/>
    <s v="LU1778762911"/>
    <n v="1"/>
    <x v="160"/>
    <m/>
    <m/>
    <m/>
  </r>
  <r>
    <m/>
    <m/>
    <m/>
    <m/>
    <m/>
    <x v="1"/>
    <n v="0.28617607910249099"/>
    <m/>
    <n v="0.69767441860465107"/>
    <n v="1.3846153846153846"/>
    <m/>
    <m/>
    <m/>
    <m/>
    <m/>
    <m/>
    <m/>
    <m/>
    <m/>
    <m/>
    <m/>
    <s v=""/>
    <m/>
    <m/>
    <m/>
    <s v="Actionnaires : Daniel Elk (Co-Founder) 17,2% ; Martin Lorentzon (Co-Founder) 11,1% ; Baillie Gifford &amp; Co 10,9%, Morgan Stanley 7% ; T Rowe Price 6%, Tencent 8,7%."/>
    <m/>
    <n v="3494"/>
    <n v="0"/>
    <s v="LU17787629111"/>
    <s v="LU1778762911"/>
    <n v="1"/>
    <x v="160"/>
    <m/>
    <m/>
    <m/>
  </r>
  <r>
    <m/>
    <m/>
    <m/>
    <m/>
    <n v="112.2"/>
    <x v="6"/>
    <n v="5259000000"/>
    <m/>
    <n v="-43000000"/>
    <n v="-78000000"/>
    <n v="-1806000000"/>
    <n v="2147000000"/>
    <n v="11.871317724727209"/>
    <n v="-3.6329762459245456E-2"/>
    <n v="-8.8269794721407613E-2"/>
    <n v="180856081"/>
    <n v="20292052288.200001"/>
    <n v="9.4513517877037732"/>
    <e v="#DIV/0!"/>
    <m/>
    <m/>
    <s v=""/>
    <m/>
    <m/>
    <m/>
    <s v="Investissements : En Novembre 2020 Spotify acquiert Megaphone, spécialiste de la publicité ciblé pour 235M $"/>
    <m/>
    <n v="3495"/>
    <n v="0"/>
    <s v="LU177876291112018"/>
    <s v="LU1778762911"/>
    <n v="1"/>
    <x v="160"/>
    <m/>
    <m/>
    <m/>
  </r>
  <r>
    <m/>
    <m/>
    <m/>
    <m/>
    <m/>
    <x v="1"/>
    <n v="0.28581907090464553"/>
    <m/>
    <n v="-0.88624338624338628"/>
    <n v="-0.93684210526315792"/>
    <m/>
    <m/>
    <m/>
    <m/>
    <m/>
    <m/>
    <m/>
    <m/>
    <m/>
    <m/>
    <m/>
    <s v=""/>
    <m/>
    <m/>
    <m/>
    <s v="CAC : Ernst Young"/>
    <m/>
    <n v="3496"/>
    <n v="0"/>
    <s v="LU17787629111"/>
    <s v="LU1778762911"/>
    <n v="1"/>
    <x v="160"/>
    <m/>
    <m/>
    <m/>
  </r>
  <r>
    <m/>
    <m/>
    <m/>
    <m/>
    <m/>
    <x v="7"/>
    <n v="4090000000"/>
    <m/>
    <n v="-378000000"/>
    <n v="-1235000000"/>
    <n v="-1509000000"/>
    <n v="238000000"/>
    <n v="1.569312487298377"/>
    <n v="-5.1890756302521011"/>
    <n v="0.20818253343823759"/>
    <n v="151658769"/>
    <n v="0"/>
    <n v="0"/>
    <e v="#DIV/0!"/>
    <m/>
    <m/>
    <s v=""/>
    <m/>
    <m/>
    <m/>
    <s v="Minoritaire : peu"/>
    <m/>
    <n v="3497"/>
    <n v="0"/>
    <s v="LU177876291112017"/>
    <s v="LU1778762911"/>
    <n v="1"/>
    <x v="160"/>
    <m/>
    <m/>
    <m/>
  </r>
  <r>
    <m/>
    <m/>
    <m/>
    <m/>
    <m/>
    <x v="1"/>
    <n v="0.38550135501355021"/>
    <m/>
    <n v="8.3094555873925557E-2"/>
    <n v="1.2912801484230054"/>
    <m/>
    <m/>
    <m/>
    <m/>
    <m/>
    <m/>
    <m/>
    <m/>
    <m/>
    <m/>
    <m/>
    <s v=""/>
    <m/>
    <m/>
    <m/>
    <s v="Pay-out ratio : 0"/>
    <m/>
    <n v="3498"/>
    <n v="0"/>
    <s v="LU17787629111"/>
    <s v="LU1778762911"/>
    <n v="1"/>
    <x v="160"/>
    <m/>
    <m/>
    <m/>
  </r>
  <r>
    <m/>
    <m/>
    <m/>
    <m/>
    <m/>
    <x v="8"/>
    <n v="2952000000"/>
    <m/>
    <n v="-349000000"/>
    <n v="-539000000"/>
    <m/>
    <m/>
    <m/>
    <m/>
    <m/>
    <m/>
    <m/>
    <m/>
    <m/>
    <m/>
    <m/>
    <s v=""/>
    <m/>
    <m/>
    <m/>
    <m/>
    <m/>
    <n v="3499"/>
    <n v="0"/>
    <s v="LU177876291112016"/>
    <s v="LU1778762911"/>
    <n v="1"/>
    <x v="160"/>
    <m/>
    <m/>
    <m/>
  </r>
  <r>
    <m/>
    <m/>
    <m/>
    <m/>
    <m/>
    <x v="1"/>
    <m/>
    <m/>
    <m/>
    <m/>
    <m/>
    <m/>
    <m/>
    <m/>
    <m/>
    <m/>
    <m/>
    <m/>
    <m/>
    <m/>
    <m/>
    <s v=""/>
    <m/>
    <m/>
    <m/>
    <m/>
    <m/>
    <n v="3500"/>
    <n v="0"/>
    <s v="LU17787629111"/>
    <s v="LU1778762911"/>
    <n v="1"/>
    <x v="160"/>
    <m/>
    <m/>
    <m/>
  </r>
  <r>
    <m/>
    <m/>
    <m/>
    <m/>
    <s v="IPO le 3 avril 2018 à 165,4 euros"/>
    <x v="1"/>
    <m/>
    <m/>
    <m/>
    <m/>
    <m/>
    <m/>
    <m/>
    <m/>
    <m/>
    <m/>
    <m/>
    <m/>
    <m/>
    <m/>
    <m/>
    <s v=""/>
    <m/>
    <m/>
    <m/>
    <m/>
    <m/>
    <n v="3501"/>
    <n v="0"/>
    <s v="LU17787629111"/>
    <s v="LU1778762911"/>
    <n v="1"/>
    <x v="160"/>
    <m/>
    <m/>
    <m/>
  </r>
  <r>
    <m/>
    <m/>
    <m/>
    <m/>
    <m/>
    <x v="1"/>
    <m/>
    <m/>
    <m/>
    <m/>
    <m/>
    <m/>
    <m/>
    <m/>
    <m/>
    <m/>
    <m/>
    <m/>
    <m/>
    <m/>
    <m/>
    <s v=""/>
    <m/>
    <m/>
    <m/>
    <m/>
    <m/>
    <n v="3502"/>
    <n v="0"/>
    <s v="LU17787629111"/>
    <s v="LU1778762911"/>
    <n v="1"/>
    <x v="160"/>
    <m/>
    <m/>
    <m/>
  </r>
  <r>
    <m/>
    <m/>
    <m/>
    <m/>
    <m/>
    <x v="1"/>
    <m/>
    <m/>
    <m/>
    <m/>
    <m/>
    <m/>
    <m/>
    <m/>
    <m/>
    <m/>
    <m/>
    <m/>
    <m/>
    <m/>
    <m/>
    <s v=""/>
    <m/>
    <m/>
    <m/>
    <m/>
    <m/>
    <n v="3503"/>
    <n v="0"/>
    <s v="LU17787629111"/>
    <s v="LU1778762911"/>
    <n v="1"/>
    <x v="160"/>
    <m/>
    <m/>
    <m/>
  </r>
  <r>
    <m/>
    <m/>
    <m/>
    <m/>
    <m/>
    <x v="1"/>
    <m/>
    <m/>
    <m/>
    <m/>
    <m/>
    <m/>
    <m/>
    <m/>
    <m/>
    <m/>
    <m/>
    <m/>
    <m/>
    <m/>
    <m/>
    <s v=""/>
    <m/>
    <m/>
    <m/>
    <m/>
    <m/>
    <n v="3504"/>
    <n v="0"/>
    <s v="LU17787629111"/>
    <s v="LU1778762911"/>
    <n v="1"/>
    <x v="160"/>
    <m/>
    <m/>
    <m/>
  </r>
  <r>
    <s v="BioMérieux sa"/>
    <s v="Santé"/>
    <s v="France"/>
    <s v="Euro"/>
    <m/>
    <x v="0"/>
    <m/>
    <m/>
    <m/>
    <m/>
    <m/>
    <m/>
    <m/>
    <m/>
    <m/>
    <m/>
    <m/>
    <m/>
    <m/>
    <m/>
    <m/>
    <s v=""/>
    <m/>
    <m/>
    <m/>
    <s v="En 1963, création de la société à Marcy l'Étoile, près de Lyon. (Ancien nom : B-D Mérieux)"/>
    <m/>
    <n v="3505"/>
    <n v="0"/>
    <s v="FR001328028612023"/>
    <s v="FR0013280286"/>
    <n v="1"/>
    <x v="161"/>
    <m/>
    <m/>
    <m/>
  </r>
  <r>
    <m/>
    <m/>
    <m/>
    <m/>
    <m/>
    <x v="1"/>
    <m/>
    <m/>
    <m/>
    <m/>
    <m/>
    <m/>
    <m/>
    <m/>
    <m/>
    <m/>
    <m/>
    <m/>
    <m/>
    <m/>
    <m/>
    <s v=""/>
    <m/>
    <m/>
    <m/>
    <s v="Dirigeants : Alexandre Mérieux DG depuis 2015 et PDG depuis 2017, "/>
    <m/>
    <n v="3506"/>
    <n v="0"/>
    <s v="FR00132802861"/>
    <s v="FR0013280286"/>
    <n v="1"/>
    <x v="161"/>
    <m/>
    <m/>
    <m/>
  </r>
  <r>
    <m/>
    <m/>
    <m/>
    <m/>
    <n v="99"/>
    <x v="2"/>
    <n v="3589100000"/>
    <n v="864000000"/>
    <n v="587200000"/>
    <n v="452400000"/>
    <n v="-47100000"/>
    <n v="3604200000"/>
    <n v="30.450852061173414"/>
    <n v="0.12552022640253038"/>
    <n v="0.11555480588119535"/>
    <n v="118361220"/>
    <n v="11717760780"/>
    <n v="3.25114055268853"/>
    <n v="13.507709236111111"/>
    <m/>
    <n v="13800"/>
    <n v="260079.71014492755"/>
    <n v="195300000"/>
    <m/>
    <m/>
    <s v="Actionariat : 58,90 % Institut Mérieux, 4,60 % SITAM Belgique (Dassault), 1,73 % Sofina SA, 0,73 % Salariés, 0,10 %  Autodétention"/>
    <m/>
    <n v="3507"/>
    <n v="0"/>
    <s v="FR001328028612022"/>
    <s v="FR0013280286"/>
    <n v="1"/>
    <x v="161"/>
    <m/>
    <m/>
    <m/>
  </r>
  <r>
    <m/>
    <m/>
    <m/>
    <m/>
    <m/>
    <x v="1"/>
    <n v="6.3122037914691953E-2"/>
    <n v="-0.16295291610153073"/>
    <n v="-0.2513068978707127"/>
    <n v="-0.24737980369322909"/>
    <m/>
    <m/>
    <m/>
    <m/>
    <m/>
    <m/>
    <m/>
    <m/>
    <m/>
    <m/>
    <m/>
    <s v=""/>
    <m/>
    <m/>
    <m/>
    <s v="Concurrents : Abbott Laboratories, Becton Dickinson"/>
    <m/>
    <n v="3508"/>
    <n v="0"/>
    <s v="FR00132802861"/>
    <s v="FR0013280286"/>
    <n v="1"/>
    <x v="161"/>
    <m/>
    <m/>
    <m/>
  </r>
  <r>
    <m/>
    <m/>
    <m/>
    <m/>
    <n v="124.9"/>
    <x v="3"/>
    <n v="3376000000"/>
    <n v="1032200000"/>
    <n v="784300000"/>
    <n v="601100000"/>
    <n v="-341000000"/>
    <n v="3177000000"/>
    <n v="26.841561788565546"/>
    <n v="0.18920365124331129"/>
    <n v="0.19358603667136812"/>
    <n v="118361220"/>
    <n v="14783316378"/>
    <n v="4.6532314693106702"/>
    <n v="13.991781028870374"/>
    <m/>
    <n v="13000"/>
    <n v="259692.30769230769"/>
    <n v="541000000"/>
    <m/>
    <m/>
    <s v="Répartition du CA par activité : 38 % Biologie moléculaire, 31 % Microbiologie, 15 % Applications industrielles, 14 % Immunoessais, 3 % Autres gammes"/>
    <m/>
    <n v="3509"/>
    <n v="0"/>
    <s v="FR001328028612021"/>
    <s v="FR0013280286"/>
    <n v="1"/>
    <x v="161"/>
    <m/>
    <m/>
    <m/>
  </r>
  <r>
    <m/>
    <m/>
    <m/>
    <m/>
    <m/>
    <x v="1"/>
    <n v="8.2745349583066119E-2"/>
    <n v="0.25343047965998777"/>
    <n v="0.41877713458755417"/>
    <n v="0.48639960435212659"/>
    <m/>
    <m/>
    <m/>
    <m/>
    <m/>
    <m/>
    <m/>
    <m/>
    <m/>
    <m/>
    <m/>
    <s v=""/>
    <m/>
    <m/>
    <m/>
    <s v="Une présence mondiale dans 44 pays, 15 sites de Bio-industriels et 14 centres de R&amp;D"/>
    <m/>
    <n v="3510"/>
    <n v="0"/>
    <s v="FR00132802861"/>
    <s v="FR0013280286"/>
    <n v="1"/>
    <x v="161"/>
    <m/>
    <m/>
    <m/>
  </r>
  <r>
    <m/>
    <m/>
    <m/>
    <m/>
    <n v="115.4"/>
    <x v="4"/>
    <n v="3118000000"/>
    <n v="823500000"/>
    <n v="552800000"/>
    <n v="404400000"/>
    <n v="92000000"/>
    <n v="2481000000"/>
    <n v="20.961257411844858"/>
    <n v="0.1629987908101572"/>
    <n v="0.15039253789350951"/>
    <n v="118361220"/>
    <n v="13658884788"/>
    <n v="5.5053949165659004"/>
    <n v="16.698099317547054"/>
    <m/>
    <n v="12700"/>
    <n v="245511.81102362205"/>
    <n v="328000000"/>
    <m/>
    <m/>
    <s v="60 à 70 % des décisions médicales s'appuient sur les résultats d'un test de diagnostic "/>
    <m/>
    <n v="3511"/>
    <n v="0"/>
    <s v="FR001328028612020"/>
    <s v="FR0013280286"/>
    <n v="1"/>
    <x v="161"/>
    <m/>
    <m/>
    <m/>
  </r>
  <r>
    <m/>
    <m/>
    <m/>
    <m/>
    <m/>
    <x v="1"/>
    <n v="0.16560747663551401"/>
    <n v="0.42498702197612048"/>
    <n v="0.49123280280550308"/>
    <n v="0.48131868131868139"/>
    <m/>
    <m/>
    <m/>
    <m/>
    <m/>
    <m/>
    <m/>
    <m/>
    <m/>
    <m/>
    <m/>
    <s v=""/>
    <m/>
    <m/>
    <m/>
    <s v="Les dépenses de biologie médicale ne représentent que 2 à 3 % des dépenses de santé (2). Ce coût reste limité au regard de la valeur médicale du diagnostic et des économies qu’il peut générer tant "/>
    <m/>
    <n v="3512"/>
    <n v="0"/>
    <s v="FR00132802861"/>
    <s v="FR0013280286"/>
    <n v="1"/>
    <x v="161"/>
    <m/>
    <m/>
    <m/>
  </r>
  <r>
    <m/>
    <m/>
    <m/>
    <m/>
    <n v="79.349999999999994"/>
    <x v="5"/>
    <n v="2675000000"/>
    <n v="577900000"/>
    <n v="370700000"/>
    <n v="273000000"/>
    <n v="317000000"/>
    <n v="2255000000"/>
    <n v="19.051848232047625"/>
    <n v="0.12106430155210643"/>
    <n v="0.10089035769828926"/>
    <n v="118361220"/>
    <n v="9391962807"/>
    <n v="4.1649502470066517"/>
    <n v="16.800420154005884"/>
    <m/>
    <n v="12000"/>
    <n v="222916.66666666666"/>
    <n v="150000000"/>
    <m/>
    <m/>
    <s v="par la réduction des sur-prescriptions de traitements, que par le raccourcissement des délais de prise en charge et des durées d’hospitalisation."/>
    <m/>
    <n v="3513"/>
    <n v="0"/>
    <s v="FR001328028612019"/>
    <s v="FR0013280286"/>
    <n v="1"/>
    <x v="161"/>
    <m/>
    <m/>
    <m/>
  </r>
  <r>
    <m/>
    <m/>
    <m/>
    <m/>
    <m/>
    <x v="1"/>
    <n v="0.10491532424617933"/>
    <n v="6.9195189639222887E-2"/>
    <n v="7.138728323699417E-2"/>
    <n v="6.2256809338521402E-2"/>
    <m/>
    <m/>
    <m/>
    <m/>
    <m/>
    <m/>
    <m/>
    <m/>
    <m/>
    <m/>
    <m/>
    <s v=""/>
    <m/>
    <m/>
    <m/>
    <s v="En 2004 Introduction en bourse"/>
    <m/>
    <n v="3514"/>
    <n v="0"/>
    <s v="FR00132802861"/>
    <s v="FR0013280286"/>
    <n v="1"/>
    <x v="161"/>
    <m/>
    <m/>
    <m/>
  </r>
  <r>
    <m/>
    <m/>
    <m/>
    <m/>
    <n v="57.5"/>
    <x v="6"/>
    <n v="2421000000"/>
    <n v="540500000"/>
    <n v="346000000"/>
    <n v="257000000"/>
    <n v="366000000"/>
    <n v="2002000000"/>
    <n v="16.914323796256916"/>
    <n v="0.12837162837162838"/>
    <n v="0.10228040540540539"/>
    <n v="118361220"/>
    <n v="6805770150"/>
    <n v="3.3994855894105895"/>
    <n v="13.268769935245144"/>
    <m/>
    <n v="11200"/>
    <n v="216160.71428571429"/>
    <n v="179000000"/>
    <m/>
    <m/>
    <s v="En 2018, acquisition Hybiome société basée en Chine dans l'application des immunoessais, 190 M (dépreciation de l'actif : ramené à 84 M en 2023)"/>
    <m/>
    <n v="3515"/>
    <n v="0"/>
    <s v="FR001328028612018"/>
    <s v="FR0013280286"/>
    <n v="1"/>
    <x v="161"/>
    <m/>
    <m/>
    <m/>
  </r>
  <r>
    <m/>
    <m/>
    <m/>
    <m/>
    <m/>
    <x v="1"/>
    <n v="5.8129370629370625E-2"/>
    <n v="0.13741582491582482"/>
    <n v="3.3761577532118281E-2"/>
    <n v="7.9831932773109182E-2"/>
    <m/>
    <m/>
    <m/>
    <m/>
    <m/>
    <m/>
    <m/>
    <m/>
    <m/>
    <m/>
    <m/>
    <s v=""/>
    <m/>
    <m/>
    <m/>
    <s v="En 2022, la famille Agnelli entre au capital de la Institut Mérieux pour 10%, soit 5,8 % de BioMérieux"/>
    <m/>
    <n v="3516"/>
    <n v="0"/>
    <s v="FR00132802861"/>
    <s v="FR0013280286"/>
    <n v="1"/>
    <x v="161"/>
    <m/>
    <m/>
    <m/>
  </r>
  <r>
    <m/>
    <m/>
    <m/>
    <m/>
    <n v="74.69"/>
    <x v="7"/>
    <n v="2288000000"/>
    <n v="475200000"/>
    <n v="334700000"/>
    <n v="238000000"/>
    <n v="156000000"/>
    <n v="1737000000"/>
    <n v="14.675414802246884"/>
    <n v="0.13701784686240645"/>
    <n v="0.12376650818806127"/>
    <n v="118361220"/>
    <n v="8840399521.7999992"/>
    <n v="5.0894643188255611"/>
    <n v="18.931817175505049"/>
    <m/>
    <n v="10400"/>
    <n v="220000"/>
    <n v="165000000"/>
    <m/>
    <m/>
    <s v="Acquisition de la société Specific Diagnostic pour 425 M de dollars,"/>
    <m/>
    <n v="3517"/>
    <n v="0"/>
    <s v="FR001328028612017"/>
    <s v="FR0013280286"/>
    <n v="1"/>
    <x v="161"/>
    <m/>
    <m/>
    <m/>
  </r>
  <r>
    <s v="Le nombre d'actions a été multiplié par 3 suite à la division du nominal, (le 19 septembre 2017)"/>
    <m/>
    <m/>
    <m/>
    <m/>
    <x v="1"/>
    <n v="8.7969567284831296E-2"/>
    <n v="7.7795418462236254E-2"/>
    <n v="0.12390866353257213"/>
    <n v="0.32960893854748607"/>
    <m/>
    <m/>
    <m/>
    <m/>
    <m/>
    <m/>
    <m/>
    <m/>
    <m/>
    <m/>
    <m/>
    <s v=""/>
    <m/>
    <m/>
    <m/>
    <s v="Au T1, Baisse lié au COVID-19, impact sur l'activité Biologie moléculaire et Immunoessais, respectivement - 6% et - 15 % à change constant"/>
    <m/>
    <n v="3518"/>
    <n v="0"/>
    <s v="FR00132802861"/>
    <s v="FR0013280286"/>
    <n v="1"/>
    <x v="161"/>
    <m/>
    <m/>
    <m/>
  </r>
  <r>
    <m/>
    <m/>
    <m/>
    <m/>
    <n v="141.9"/>
    <x v="8"/>
    <n v="2103000000"/>
    <n v="440900000"/>
    <n v="297800000"/>
    <n v="179000000"/>
    <n v="275000000"/>
    <n v="1621000000"/>
    <n v="41.086092218380308"/>
    <n v="0.11042566317088218"/>
    <n v="0.10994725738396624"/>
    <n v="39453740"/>
    <n v="5598485706"/>
    <n v="3.4537234460209749"/>
    <n v="13.321582458607393"/>
    <m/>
    <n v="9800"/>
    <n v="214591.83673469388"/>
    <n v="85000000"/>
    <m/>
    <m/>
    <s v="En 2023, Changement de DG à la décision d'Alexandre Mérieux conserve fonction de Président et Pierre Boulud devient DG (7 ans d'expérience Biomérieux, 14 ans chez Ipsen auparavent)"/>
    <m/>
    <n v="3519"/>
    <n v="0"/>
    <s v="FR001328028612016"/>
    <s v="FR0013280286"/>
    <n v="1"/>
    <x v="161"/>
    <m/>
    <m/>
    <m/>
  </r>
  <r>
    <m/>
    <m/>
    <m/>
    <m/>
    <m/>
    <x v="1"/>
    <n v="7.0229007633587859E-2"/>
    <n v="0.16026315789473689"/>
    <n v="0.52796305797845045"/>
    <n v="0.6272727272727272"/>
    <m/>
    <m/>
    <m/>
    <m/>
    <m/>
    <m/>
    <m/>
    <m/>
    <m/>
    <m/>
    <m/>
    <s v=""/>
    <m/>
    <m/>
    <m/>
    <s v="Part du chiffre d'affaires accordé à la R&amp;D 13 %"/>
    <m/>
    <n v="3520"/>
    <n v="0"/>
    <s v="FR00132802861"/>
    <s v="FR0013280286"/>
    <n v="1"/>
    <x v="161"/>
    <m/>
    <m/>
    <m/>
  </r>
  <r>
    <m/>
    <m/>
    <m/>
    <m/>
    <n v="109.89000000000001"/>
    <x v="9"/>
    <n v="1965000000"/>
    <n v="380000000"/>
    <n v="194900000"/>
    <n v="110000000"/>
    <n v="219000000"/>
    <n v="1503000000"/>
    <n v="38.095247750910303"/>
    <n v="7.318695941450433E-2"/>
    <n v="7.9227642276422761E-2"/>
    <n v="39453740"/>
    <n v="4335571488.6000004"/>
    <n v="2.8846117688622757"/>
    <n v="11.985714443684211"/>
    <m/>
    <n v="9375"/>
    <n v="209600"/>
    <n v="102000000"/>
    <m/>
    <m/>
    <m/>
    <m/>
    <n v="3521"/>
    <n v="0"/>
    <s v="FR001328028612015"/>
    <s v="FR0013280286"/>
    <n v="1"/>
    <x v="161"/>
    <m/>
    <m/>
    <m/>
  </r>
  <r>
    <m/>
    <m/>
    <m/>
    <m/>
    <m/>
    <x v="1"/>
    <n v="0.15697126707489395"/>
    <n v="0.14457831325301207"/>
    <n v="-4.2730844793713141E-2"/>
    <n v="-0.18458117123795403"/>
    <m/>
    <m/>
    <m/>
    <m/>
    <m/>
    <m/>
    <m/>
    <m/>
    <m/>
    <m/>
    <m/>
    <s v=""/>
    <m/>
    <m/>
    <m/>
    <m/>
    <m/>
    <n v="3522"/>
    <n v="0"/>
    <s v="FR00132802861"/>
    <s v="FR0013280286"/>
    <n v="1"/>
    <x v="161"/>
    <m/>
    <m/>
    <m/>
  </r>
  <r>
    <m/>
    <m/>
    <m/>
    <m/>
    <n v="85.74"/>
    <x v="10"/>
    <n v="1698400000"/>
    <n v="332000000"/>
    <n v="203600000"/>
    <n v="134900000"/>
    <n v="174300000"/>
    <n v="1388600000"/>
    <n v="35.19564938583769"/>
    <n v="9.7148206827020023E-2"/>
    <n v="9.1189455499392155E-2"/>
    <n v="39453740"/>
    <n v="3382763667.5999999"/>
    <n v="2.4360965487541408"/>
    <n v="10.714047191566264"/>
    <m/>
    <n v="8947"/>
    <n v="189828.99295853358"/>
    <n v="158000000"/>
    <m/>
    <m/>
    <m/>
    <m/>
    <n v="3523"/>
    <n v="0"/>
    <s v="FR001328028612014"/>
    <s v="FR0013280286"/>
    <n v="1"/>
    <x v="161"/>
    <m/>
    <m/>
    <m/>
  </r>
  <r>
    <m/>
    <m/>
    <m/>
    <m/>
    <m/>
    <x v="1"/>
    <n v="6.9521410579345133E-2"/>
    <n v="-6.0288706481743559E-2"/>
    <n v="-0.20778210116731521"/>
    <n v="-0.18242424242424238"/>
    <m/>
    <m/>
    <m/>
    <m/>
    <m/>
    <m/>
    <m/>
    <m/>
    <m/>
    <m/>
    <m/>
    <s v=""/>
    <m/>
    <m/>
    <m/>
    <m/>
    <m/>
    <n v="3524"/>
    <n v="0"/>
    <s v="FR00132802861"/>
    <s v="FR0013280286"/>
    <n v="1"/>
    <x v="161"/>
    <m/>
    <m/>
    <m/>
  </r>
  <r>
    <m/>
    <m/>
    <m/>
    <m/>
    <n v="76.260000000000005"/>
    <x v="11"/>
    <n v="1588000000"/>
    <n v="353300000"/>
    <n v="257000000"/>
    <n v="165000000"/>
    <n v="-24900000"/>
    <n v="835600000"/>
    <n v="21.179234212016404"/>
    <n v="0.19746290090952609"/>
    <n v="0.22190699395584063"/>
    <n v="39453740"/>
    <n v="3008742212.4000001"/>
    <n v="3.6006967596936335"/>
    <n v="8.4456332080384939"/>
    <m/>
    <n v="7723"/>
    <n v="205619.57788424188"/>
    <n v="109000000"/>
    <m/>
    <m/>
    <m/>
    <m/>
    <n v="3525"/>
    <n v="0"/>
    <s v="FR001328028612013"/>
    <s v="FR0013280286"/>
    <n v="1"/>
    <x v="161"/>
    <m/>
    <m/>
    <m/>
  </r>
  <r>
    <m/>
    <m/>
    <m/>
    <m/>
    <m/>
    <x v="1"/>
    <n v="1.1464968152866239E-2"/>
    <n v="-4.2277339346110665E-3"/>
    <n v="9.3617021276595658E-2"/>
    <n v="0.23134328358208944"/>
    <m/>
    <m/>
    <m/>
    <m/>
    <m/>
    <m/>
    <m/>
    <m/>
    <m/>
    <m/>
    <m/>
    <s v=""/>
    <m/>
    <m/>
    <m/>
    <m/>
    <m/>
    <n v="3526"/>
    <n v="0"/>
    <s v="FR00132802861"/>
    <s v="FR0013280286"/>
    <n v="1"/>
    <x v="161"/>
    <m/>
    <m/>
    <m/>
  </r>
  <r>
    <m/>
    <m/>
    <m/>
    <m/>
    <n v="71.849999999999994"/>
    <x v="12"/>
    <n v="1570000000"/>
    <n v="354800000"/>
    <n v="235000000"/>
    <n v="134000000"/>
    <n v="48400000"/>
    <n v="772800000"/>
    <n v="19.587496647973044"/>
    <n v="0.17339544513457558"/>
    <n v="0.20031660983925961"/>
    <n v="39453740"/>
    <n v="2834751219"/>
    <n v="3.6681563392857144"/>
    <n v="8.1261308314543399"/>
    <m/>
    <n v="7413"/>
    <n v="211790.09847565088"/>
    <n v="134000000"/>
    <m/>
    <m/>
    <m/>
    <m/>
    <n v="3527"/>
    <n v="0"/>
    <s v="FR001328028612012"/>
    <s v="FR0013280286"/>
    <n v="1"/>
    <x v="161"/>
    <m/>
    <m/>
    <m/>
  </r>
  <r>
    <m/>
    <m/>
    <m/>
    <m/>
    <m/>
    <x v="1"/>
    <n v="0.10005605381165927"/>
    <n v="3.5005834305717576E-2"/>
    <n v="-4.1989400733795312E-2"/>
    <n v="-0.15297092288242731"/>
    <m/>
    <m/>
    <m/>
    <m/>
    <m/>
    <m/>
    <m/>
    <m/>
    <m/>
    <m/>
    <m/>
    <s v=""/>
    <m/>
    <m/>
    <m/>
    <s v="Taux d'impôt sur les sociétés : 24,1 % en 2022"/>
    <m/>
    <n v="3528"/>
    <n v="0"/>
    <s v="FR00132802861"/>
    <s v="FR0013280286"/>
    <n v="1"/>
    <x v="161"/>
    <m/>
    <m/>
    <m/>
  </r>
  <r>
    <m/>
    <m/>
    <m/>
    <m/>
    <n v="55.230000000000004"/>
    <x v="17"/>
    <n v="1427200000"/>
    <n v="342800000"/>
    <n v="245300000"/>
    <n v="158200000"/>
    <n v="131200000"/>
    <n v="646500000"/>
    <n v="16.386279222197945"/>
    <n v="0.24470224284609435"/>
    <n v="0.22079207920792079"/>
    <n v="39453740"/>
    <n v="2179030060.2000003"/>
    <n v="3.3705028000000006"/>
    <n v="6.739294224620771"/>
    <m/>
    <n v="7014"/>
    <n v="203478.75677216996"/>
    <n v="118000000"/>
    <m/>
    <m/>
    <s v="CAC : Grant Thorton et Ernst &amp; Young"/>
    <m/>
    <n v="3529"/>
    <n v="0"/>
    <s v="FR001328028612011"/>
    <s v="FR0013280286"/>
    <n v="1"/>
    <x v="161"/>
    <m/>
    <m/>
    <m/>
  </r>
  <r>
    <m/>
    <m/>
    <m/>
    <m/>
    <m/>
    <x v="1"/>
    <n v="5.1731761238025031E-2"/>
    <n v="2.6347305389221587E-2"/>
    <n v="5.3278688524589501E-3"/>
    <n v="-3.150598613736566E-3"/>
    <m/>
    <m/>
    <m/>
    <m/>
    <m/>
    <m/>
    <m/>
    <s v=" "/>
    <m/>
    <m/>
    <m/>
    <s v=""/>
    <m/>
    <m/>
    <m/>
    <s v="Minoritaire : peu"/>
    <m/>
    <n v="3530"/>
    <n v="0"/>
    <s v="FR00132802861"/>
    <s v="FR0013280286"/>
    <n v="1"/>
    <x v="161"/>
    <m/>
    <m/>
    <m/>
  </r>
  <r>
    <m/>
    <m/>
    <m/>
    <m/>
    <n v="76.23"/>
    <x v="18"/>
    <n v="1357000000"/>
    <n v="334000000"/>
    <n v="244000000"/>
    <n v="158700000"/>
    <n v="-24300000"/>
    <n v="579500000"/>
    <n v="14.688087872024299"/>
    <n v="0.27385677308024159"/>
    <n v="0.30763688760806918"/>
    <n v="39453740"/>
    <n v="3007558600.2000003"/>
    <n v="5.1899199313201043"/>
    <n v="8.9319119766467079"/>
    <m/>
    <n v="6306"/>
    <n v="215191.88074849351"/>
    <n v="80000000"/>
    <m/>
    <m/>
    <s v="Pay-out ratio : 16,60 %"/>
    <m/>
    <n v="3531"/>
    <n v="0"/>
    <s v="FR001328028612010"/>
    <s v="FR0013280286"/>
    <n v="1"/>
    <x v="161"/>
    <m/>
    <m/>
    <m/>
  </r>
  <r>
    <m/>
    <m/>
    <m/>
    <m/>
    <m/>
    <x v="1"/>
    <m/>
    <m/>
    <m/>
    <m/>
    <m/>
    <m/>
    <m/>
    <m/>
    <m/>
    <m/>
    <m/>
    <m/>
    <m/>
    <m/>
    <m/>
    <s v=""/>
    <m/>
    <m/>
    <m/>
    <m/>
    <m/>
    <n v="3532"/>
    <n v="0"/>
    <s v="FR00132802861"/>
    <s v="FR0013280286"/>
    <n v="1"/>
    <x v="161"/>
    <m/>
    <m/>
    <m/>
  </r>
  <r>
    <m/>
    <m/>
    <m/>
    <m/>
    <n v="81.680000000000007"/>
    <x v="38"/>
    <m/>
    <m/>
    <m/>
    <m/>
    <m/>
    <m/>
    <m/>
    <m/>
    <m/>
    <m/>
    <m/>
    <m/>
    <m/>
    <m/>
    <m/>
    <s v=""/>
    <m/>
    <m/>
    <m/>
    <m/>
    <m/>
    <n v="3533"/>
    <n v="0"/>
    <s v="FR001328028612009"/>
    <s v="FR0013280286"/>
    <n v="1"/>
    <x v="161"/>
    <m/>
    <m/>
    <m/>
  </r>
  <r>
    <m/>
    <m/>
    <m/>
    <m/>
    <m/>
    <x v="1"/>
    <m/>
    <m/>
    <m/>
    <m/>
    <m/>
    <m/>
    <m/>
    <m/>
    <m/>
    <m/>
    <m/>
    <m/>
    <m/>
    <m/>
    <m/>
    <s v=""/>
    <m/>
    <m/>
    <m/>
    <m/>
    <m/>
    <n v="3534"/>
    <n v="0"/>
    <s v="FR00132802861"/>
    <s v="FR0013280286"/>
    <n v="1"/>
    <x v="161"/>
    <m/>
    <m/>
    <m/>
  </r>
  <r>
    <m/>
    <m/>
    <m/>
    <m/>
    <n v="60"/>
    <x v="20"/>
    <m/>
    <m/>
    <m/>
    <m/>
    <m/>
    <m/>
    <m/>
    <m/>
    <m/>
    <m/>
    <m/>
    <m/>
    <m/>
    <m/>
    <m/>
    <s v=""/>
    <m/>
    <m/>
    <m/>
    <m/>
    <m/>
    <n v="3535"/>
    <n v="0"/>
    <s v="FR001328028612008"/>
    <s v="FR0013280286"/>
    <n v="1"/>
    <x v="161"/>
    <m/>
    <m/>
    <m/>
  </r>
  <r>
    <m/>
    <m/>
    <m/>
    <m/>
    <m/>
    <x v="1"/>
    <m/>
    <m/>
    <m/>
    <m/>
    <m/>
    <m/>
    <m/>
    <m/>
    <m/>
    <m/>
    <m/>
    <m/>
    <m/>
    <m/>
    <m/>
    <s v=""/>
    <m/>
    <m/>
    <m/>
    <m/>
    <m/>
    <n v="3615"/>
    <n v="0"/>
    <s v="FR00132802861"/>
    <s v="FR0013280286"/>
    <n v="1"/>
    <x v="161"/>
    <m/>
    <m/>
    <m/>
  </r>
  <r>
    <m/>
    <m/>
    <m/>
    <m/>
    <m/>
    <x v="1"/>
    <m/>
    <m/>
    <m/>
    <m/>
    <m/>
    <m/>
    <m/>
    <m/>
    <m/>
    <m/>
    <m/>
    <m/>
    <m/>
    <m/>
    <m/>
    <s v=""/>
    <m/>
    <m/>
    <m/>
    <m/>
    <m/>
    <n v="3616"/>
    <n v="0"/>
    <s v="FR00132802861"/>
    <s v="FR0013280286"/>
    <n v="1"/>
    <x v="161"/>
    <m/>
    <m/>
    <m/>
  </r>
  <r>
    <m/>
    <m/>
    <m/>
    <m/>
    <m/>
    <x v="1"/>
    <m/>
    <m/>
    <m/>
    <m/>
    <m/>
    <m/>
    <m/>
    <m/>
    <m/>
    <m/>
    <m/>
    <m/>
    <m/>
    <m/>
    <m/>
    <s v=""/>
    <m/>
    <m/>
    <m/>
    <m/>
    <m/>
    <n v="3536"/>
    <n v="0"/>
    <s v="FR00132802861"/>
    <s v="FR0013280286"/>
    <n v="1"/>
    <x v="161"/>
    <m/>
    <m/>
    <m/>
  </r>
  <r>
    <s v="ALD Automotive"/>
    <s v="Leasing véhicule"/>
    <s v="France"/>
    <s v="Euro"/>
    <n v="11.5"/>
    <x v="0"/>
    <m/>
    <m/>
    <m/>
    <m/>
    <m/>
    <m/>
    <m/>
    <m/>
    <m/>
    <n v="565745096"/>
    <n v="6506068604"/>
    <m/>
    <m/>
    <s v="Peut-être A- après l'acquisition de Lease Plan"/>
    <m/>
    <s v=""/>
    <m/>
    <m/>
    <m/>
    <s v="Financement de véhicules et gestion de flottes à destination des entreprises"/>
    <m/>
    <n v="3537"/>
    <n v="0"/>
    <s v="FR001325866212023"/>
    <s v="FR0013258662"/>
    <n v="1"/>
    <x v="162"/>
    <m/>
    <m/>
    <m/>
  </r>
  <r>
    <m/>
    <m/>
    <m/>
    <m/>
    <m/>
    <x v="1"/>
    <m/>
    <m/>
    <m/>
    <m/>
    <m/>
    <m/>
    <m/>
    <m/>
    <m/>
    <m/>
    <m/>
    <m/>
    <m/>
    <m/>
    <m/>
    <s v=""/>
    <m/>
    <m/>
    <m/>
    <s v="Actionnaires : Société Générale : 52,6%, actionnaires de Lease Plan : 30,8% "/>
    <m/>
    <n v="3538"/>
    <n v="0"/>
    <s v="FR00132586621"/>
    <s v="FR0013258662"/>
    <n v="1"/>
    <x v="162"/>
    <m/>
    <m/>
    <m/>
  </r>
  <r>
    <m/>
    <m/>
    <m/>
    <m/>
    <n v="10.76"/>
    <x v="2"/>
    <m/>
    <m/>
    <m/>
    <m/>
    <m/>
    <m/>
    <m/>
    <m/>
    <m/>
    <n v="442933959"/>
    <n v="4765969398.8400002"/>
    <m/>
    <m/>
    <m/>
    <n v="6893"/>
    <n v="0"/>
    <m/>
    <m/>
    <m/>
    <s v="CEO : Tim Torben Albertsen (59 ans)   Chairman : Diony Lebot (60 ans)"/>
    <m/>
    <n v="3539"/>
    <n v="0"/>
    <s v="FR001325866212022"/>
    <s v="FR0013258662"/>
    <n v="1"/>
    <x v="162"/>
    <m/>
    <m/>
    <m/>
  </r>
  <r>
    <m/>
    <m/>
    <m/>
    <m/>
    <m/>
    <x v="1"/>
    <m/>
    <m/>
    <m/>
    <m/>
    <m/>
    <m/>
    <m/>
    <m/>
    <m/>
    <m/>
    <m/>
    <m/>
    <m/>
    <m/>
    <m/>
    <s v=""/>
    <m/>
    <m/>
    <m/>
    <s v="Répartition CA : Principalement Européen 90 % environ, Amérique du sud afrique asie 12 %"/>
    <m/>
    <n v="3540"/>
    <n v="0"/>
    <s v="FR00132586621"/>
    <s v="FR0013258662"/>
    <n v="1"/>
    <x v="162"/>
    <m/>
    <m/>
    <m/>
  </r>
  <r>
    <m/>
    <m/>
    <m/>
    <m/>
    <n v="12.9"/>
    <x v="3"/>
    <n v="10480000000"/>
    <n v="1820600000"/>
    <n v="1120600000"/>
    <n v="873000000"/>
    <n v="18364000000"/>
    <n v="4811800000"/>
    <n v="10.86347050667208"/>
    <n v="0.18142898707344446"/>
    <n v="3.3846512310254664E-2"/>
    <n v="442933959"/>
    <n v="5713848071.1000004"/>
    <n v="1.1874658279853694"/>
    <n v="13.22522688734483"/>
    <m/>
    <n v="6893"/>
    <n v="1520382.9972435804"/>
    <m/>
    <m/>
    <m/>
    <s v="En 2015, 7 Milliard de CA et RN 500,000 €"/>
    <m/>
    <n v="3541"/>
    <n v="0"/>
    <s v="FR001325866212021"/>
    <s v="FR0013258662"/>
    <n v="1"/>
    <x v="162"/>
    <m/>
    <m/>
    <m/>
  </r>
  <r>
    <m/>
    <m/>
    <m/>
    <m/>
    <m/>
    <x v="1"/>
    <n v="5.4962754177571904E-2"/>
    <n v="0.38185958254269448"/>
    <n v="0.8289538110004897"/>
    <n v="0.71176470588235285"/>
    <m/>
    <m/>
    <m/>
    <m/>
    <m/>
    <m/>
    <m/>
    <m/>
    <m/>
    <m/>
    <m/>
    <s v=""/>
    <m/>
    <m/>
    <m/>
    <s v="En 2022, au mois d'avril procède à l'acquisition de Leaseplan pour un montant de 4,9 milliard d'euros et augmentation de capital de 1,2 Md euros. Finalisation en fin d'année"/>
    <m/>
    <n v="3542"/>
    <n v="0"/>
    <s v="FR00132586621"/>
    <s v="FR0013258662"/>
    <n v="1"/>
    <x v="162"/>
    <m/>
    <m/>
    <m/>
  </r>
  <r>
    <m/>
    <m/>
    <m/>
    <m/>
    <n v="11.5"/>
    <x v="4"/>
    <n v="9934000000"/>
    <n v="1317500000"/>
    <n v="612700000"/>
    <n v="510000000"/>
    <n v="17451000000"/>
    <n v="4164300000"/>
    <n v="9.4016272976712543"/>
    <n v="0.1224695627116202"/>
    <n v="1.9841963794164318E-2"/>
    <n v="442933959"/>
    <n v="5093740528.5"/>
    <n v="1.2231925001801023"/>
    <n v="17.111757516888044"/>
    <m/>
    <m/>
    <s v=""/>
    <m/>
    <m/>
    <m/>
    <s v="1,7 M de véhicules financés avec 43 pays et 3,5 M avec ALD. Arval numéro 2 avec 1 M de véhicules. VW : 11 M et RCI : 2,8 M "/>
    <m/>
    <n v="3543"/>
    <n v="0"/>
    <s v="FR001325866212020"/>
    <s v="FR0013258662"/>
    <n v="1"/>
    <x v="162"/>
    <m/>
    <m/>
    <m/>
  </r>
  <r>
    <m/>
    <m/>
    <m/>
    <m/>
    <m/>
    <x v="1"/>
    <m/>
    <m/>
    <m/>
    <m/>
    <m/>
    <m/>
    <m/>
    <m/>
    <m/>
    <m/>
    <m/>
    <m/>
    <m/>
    <m/>
    <m/>
    <s v=""/>
    <m/>
    <m/>
    <m/>
    <m/>
    <m/>
    <n v="3544"/>
    <n v="0"/>
    <s v="FR00132586621"/>
    <s v="FR0013258662"/>
    <n v="1"/>
    <x v="162"/>
    <m/>
    <m/>
    <m/>
  </r>
  <r>
    <m/>
    <m/>
    <m/>
    <m/>
    <s v="Introduction en 2017 à 14,30 €"/>
    <x v="1"/>
    <m/>
    <m/>
    <m/>
    <m/>
    <m/>
    <m/>
    <m/>
    <m/>
    <m/>
    <m/>
    <m/>
    <m/>
    <m/>
    <m/>
    <m/>
    <s v=""/>
    <m/>
    <m/>
    <m/>
    <s v="CAC : Deloitte et Ernst"/>
    <m/>
    <n v="3545"/>
    <n v="0"/>
    <s v="FR00132586621"/>
    <s v="FR0013258662"/>
    <n v="1"/>
    <x v="162"/>
    <m/>
    <m/>
    <m/>
  </r>
  <r>
    <m/>
    <m/>
    <m/>
    <m/>
    <m/>
    <x v="1"/>
    <m/>
    <m/>
    <m/>
    <m/>
    <m/>
    <m/>
    <m/>
    <m/>
    <m/>
    <m/>
    <m/>
    <m/>
    <m/>
    <m/>
    <m/>
    <s v=""/>
    <m/>
    <m/>
    <m/>
    <s v="Minoritaire : peu"/>
    <m/>
    <n v="3546"/>
    <n v="0"/>
    <s v="FR00132586621"/>
    <s v="FR0013258662"/>
    <n v="1"/>
    <x v="162"/>
    <m/>
    <m/>
    <m/>
  </r>
  <r>
    <m/>
    <m/>
    <m/>
    <m/>
    <m/>
    <x v="1"/>
    <m/>
    <m/>
    <m/>
    <m/>
    <m/>
    <m/>
    <m/>
    <m/>
    <m/>
    <m/>
    <m/>
    <m/>
    <m/>
    <m/>
    <m/>
    <s v=""/>
    <m/>
    <m/>
    <m/>
    <s v="Pay-out ratio : 50% - 60%"/>
    <m/>
    <n v="3547"/>
    <n v="0"/>
    <s v="FR00132586621"/>
    <s v="FR0013258662"/>
    <n v="1"/>
    <x v="162"/>
    <m/>
    <m/>
    <m/>
  </r>
  <r>
    <m/>
    <m/>
    <m/>
    <m/>
    <m/>
    <x v="1"/>
    <m/>
    <m/>
    <m/>
    <m/>
    <m/>
    <m/>
    <m/>
    <m/>
    <m/>
    <m/>
    <m/>
    <m/>
    <m/>
    <m/>
    <m/>
    <s v=""/>
    <m/>
    <m/>
    <m/>
    <m/>
    <m/>
    <n v="3548"/>
    <n v="0"/>
    <s v="FR00132586621"/>
    <s v="FR0013258662"/>
    <n v="1"/>
    <x v="162"/>
    <m/>
    <m/>
    <m/>
  </r>
  <r>
    <m/>
    <m/>
    <m/>
    <m/>
    <m/>
    <x v="1"/>
    <m/>
    <m/>
    <m/>
    <m/>
    <m/>
    <m/>
    <m/>
    <m/>
    <m/>
    <m/>
    <m/>
    <m/>
    <m/>
    <m/>
    <m/>
    <s v=""/>
    <m/>
    <m/>
    <m/>
    <m/>
    <m/>
    <n v="3549"/>
    <n v="0"/>
    <s v="FR00132586621"/>
    <s v="FR0013258662"/>
    <n v="1"/>
    <x v="162"/>
    <m/>
    <m/>
    <m/>
  </r>
  <r>
    <m/>
    <m/>
    <m/>
    <m/>
    <m/>
    <x v="1"/>
    <m/>
    <m/>
    <m/>
    <m/>
    <m/>
    <m/>
    <m/>
    <m/>
    <m/>
    <m/>
    <m/>
    <m/>
    <m/>
    <m/>
    <m/>
    <s v=""/>
    <m/>
    <m/>
    <m/>
    <m/>
    <m/>
    <n v="3550"/>
    <n v="0"/>
    <s v="FR00132586621"/>
    <s v="FR0013258662"/>
    <n v="1"/>
    <x v="162"/>
    <m/>
    <m/>
    <m/>
  </r>
  <r>
    <m/>
    <m/>
    <m/>
    <m/>
    <m/>
    <x v="1"/>
    <m/>
    <m/>
    <m/>
    <m/>
    <m/>
    <m/>
    <m/>
    <m/>
    <m/>
    <m/>
    <m/>
    <m/>
    <m/>
    <m/>
    <m/>
    <s v=""/>
    <m/>
    <m/>
    <m/>
    <m/>
    <m/>
    <n v="3551"/>
    <n v="0"/>
    <s v="FR00132586621"/>
    <s v="FR0013258662"/>
    <n v="1"/>
    <x v="162"/>
    <m/>
    <m/>
    <m/>
  </r>
  <r>
    <m/>
    <m/>
    <m/>
    <m/>
    <m/>
    <x v="1"/>
    <m/>
    <m/>
    <m/>
    <m/>
    <m/>
    <m/>
    <m/>
    <m/>
    <m/>
    <m/>
    <m/>
    <m/>
    <m/>
    <m/>
    <m/>
    <s v=""/>
    <m/>
    <m/>
    <m/>
    <m/>
    <m/>
    <n v="3552"/>
    <n v="0"/>
    <s v="FR00132586621"/>
    <s v="FR0013258662"/>
    <n v="1"/>
    <x v="162"/>
    <m/>
    <m/>
    <m/>
  </r>
  <r>
    <m/>
    <m/>
    <m/>
    <m/>
    <m/>
    <x v="1"/>
    <m/>
    <m/>
    <m/>
    <m/>
    <m/>
    <m/>
    <m/>
    <m/>
    <m/>
    <m/>
    <m/>
    <m/>
    <m/>
    <m/>
    <m/>
    <s v=""/>
    <m/>
    <m/>
    <m/>
    <m/>
    <m/>
    <n v="3553"/>
    <n v="0"/>
    <s v="FR00132586621"/>
    <s v="FR0013258662"/>
    <n v="1"/>
    <x v="162"/>
    <m/>
    <m/>
    <m/>
  </r>
  <r>
    <s v="Interparfums"/>
    <s v="fabrication de parfums"/>
    <s v="France"/>
    <s v="Euro"/>
    <n v="64.7"/>
    <x v="0"/>
    <m/>
    <m/>
    <m/>
    <m/>
    <m/>
    <m/>
    <m/>
    <m/>
    <m/>
    <m/>
    <m/>
    <m/>
    <m/>
    <m/>
    <m/>
    <s v=""/>
    <m/>
    <m/>
    <m/>
    <s v="Créée en 1982 et introduite en bourse en 1988 à la bourse de New-York"/>
    <m/>
    <n v="3554"/>
    <n v="0"/>
    <s v="FR000402422212023"/>
    <s v="FR0004024222"/>
    <n v="1"/>
    <x v="163"/>
    <m/>
    <m/>
    <m/>
  </r>
  <r>
    <m/>
    <m/>
    <m/>
    <m/>
    <m/>
    <x v="1"/>
    <m/>
    <m/>
    <m/>
    <m/>
    <m/>
    <m/>
    <m/>
    <m/>
    <m/>
    <m/>
    <m/>
    <m/>
    <m/>
    <m/>
    <m/>
    <s v=""/>
    <m/>
    <m/>
    <m/>
    <s v="Fondée par Philippe Benacin (63 ans) et Jean Madar (61 ans) toujours présent dans la société"/>
    <m/>
    <n v="3555"/>
    <n v="0"/>
    <s v="FR00040242221"/>
    <s v="FR0004024222"/>
    <n v="1"/>
    <x v="163"/>
    <m/>
    <m/>
    <m/>
  </r>
  <r>
    <m/>
    <m/>
    <m/>
    <m/>
    <n v="55.6"/>
    <x v="2"/>
    <n v="706600000"/>
    <n v="159008000"/>
    <n v="131800000"/>
    <n v="99500000"/>
    <m/>
    <n v="592500000"/>
    <m/>
    <n v="0.16793248945147679"/>
    <n v="0.15571308016877636"/>
    <m/>
    <m/>
    <m/>
    <m/>
    <m/>
    <m/>
    <s v=""/>
    <m/>
    <m/>
    <m/>
    <s v="PDG de Interparfums SA (soc d'exploitation) : Philippe Benacin, Jean Madar est simplement administrateur. "/>
    <m/>
    <n v="3556"/>
    <n v="0"/>
    <s v="FR000402422212022"/>
    <s v="FR0004024222"/>
    <n v="1"/>
    <x v="163"/>
    <m/>
    <m/>
    <m/>
  </r>
  <r>
    <m/>
    <m/>
    <m/>
    <m/>
    <m/>
    <x v="1"/>
    <n v="0.25998573466476471"/>
    <n v="0.52332777681975817"/>
    <n v="0.3326592517694642"/>
    <n v="0.39943741209563988"/>
    <m/>
    <m/>
    <m/>
    <m/>
    <m/>
    <m/>
    <m/>
    <m/>
    <m/>
    <m/>
    <m/>
    <s v=""/>
    <m/>
    <m/>
    <m/>
    <s v="DG de Interparfum INC (Holding) : Jean Madar"/>
    <m/>
    <n v="3557"/>
    <n v="0"/>
    <s v="FR00040242221"/>
    <s v="FR0004024222"/>
    <n v="1"/>
    <x v="163"/>
    <m/>
    <m/>
    <m/>
  </r>
  <r>
    <m/>
    <m/>
    <m/>
    <m/>
    <n v="66.819999999999993"/>
    <x v="3"/>
    <n v="560800000"/>
    <n v="104382000"/>
    <n v="98900000"/>
    <n v="71100000"/>
    <n v="-147900000"/>
    <n v="541400000"/>
    <n v="9.4671453771102012"/>
    <n v="0.13132619135574436"/>
    <n v="0.17593392630241422"/>
    <n v="57187249"/>
    <n v="3821251978.1799998"/>
    <n v="7.0580937905060948"/>
    <n v="35.191431263819432"/>
    <m/>
    <n v="298"/>
    <n v="1881879.1946308725"/>
    <m/>
    <m/>
    <m/>
    <s v="Structure de l'actionnariat : Holding détenue à 44 % par Jean Madar et Philippe Benacin et 56 % Public, la hodling détient 72 % de la société d'exploitation les 28 % restants Flottant."/>
    <m/>
    <n v="3558"/>
    <n v="0"/>
    <s v="FR000402422212021"/>
    <s v="FR0004024222"/>
    <n v="1"/>
    <x v="163"/>
    <m/>
    <m/>
    <m/>
  </r>
  <r>
    <m/>
    <m/>
    <m/>
    <m/>
    <m/>
    <x v="1"/>
    <n v="0.52640174197060419"/>
    <e v="#DIV/0!"/>
    <n v="1.1087420042643923"/>
    <n v="1.3159609120521174"/>
    <m/>
    <m/>
    <m/>
    <m/>
    <m/>
    <m/>
    <m/>
    <m/>
    <m/>
    <m/>
    <m/>
    <s v=""/>
    <m/>
    <m/>
    <m/>
    <s v="La stratégie du Groupe est de procéder à une acquisition de licence de marques de Luxe pour proposer des parfums au nom de la marque,"/>
    <m/>
    <n v="3559"/>
    <n v="0"/>
    <s v="FR00040242221"/>
    <s v="FR0004024222"/>
    <n v="1"/>
    <x v="163"/>
    <m/>
    <m/>
    <m/>
  </r>
  <r>
    <m/>
    <m/>
    <m/>
    <m/>
    <n v="35.5"/>
    <x v="4"/>
    <n v="367400000"/>
    <m/>
    <n v="46900000"/>
    <n v="30700000"/>
    <n v="-217200000"/>
    <n v="492489000"/>
    <n v="9.4730538878387289"/>
    <n v="6.2336417666181379E-2"/>
    <n v="0.11925649045185241"/>
    <n v="51988409"/>
    <n v="1845588519.5"/>
    <n v="3.7474715567251247"/>
    <e v="#DIV/0!"/>
    <m/>
    <n v="290"/>
    <n v="1266896.551724138"/>
    <m/>
    <m/>
    <m/>
    <s v="Marques en Licence : MontBlanc, Lacoste, Paul Smith, Lanvin, Karl Lagerfeld, Coach, Moncler, Maison Rochas, Boucheron, Jimmy Choo"/>
    <m/>
    <n v="3560"/>
    <n v="0"/>
    <s v="FR000402422212020"/>
    <s v="FR0004024222"/>
    <n v="1"/>
    <x v="163"/>
    <m/>
    <m/>
    <m/>
  </r>
  <r>
    <m/>
    <m/>
    <m/>
    <m/>
    <m/>
    <x v="1"/>
    <n v="-0.24137931034482762"/>
    <e v="#DIV/0!"/>
    <n v="-0.35841313269493846"/>
    <n v="-0.39328063241106714"/>
    <m/>
    <m/>
    <m/>
    <m/>
    <m/>
    <m/>
    <m/>
    <m/>
    <m/>
    <m/>
    <m/>
    <s v=""/>
    <m/>
    <m/>
    <m/>
    <s v="En 1995, changement de la stratégie de vente de parfums de masse à la vente de parfums avec l'exploitation d'une licence de marque de luxe"/>
    <m/>
    <n v="3561"/>
    <n v="0"/>
    <s v="FR00040242221"/>
    <s v="FR0004024222"/>
    <n v="1"/>
    <x v="163"/>
    <m/>
    <m/>
    <m/>
  </r>
  <r>
    <m/>
    <m/>
    <m/>
    <m/>
    <n v="27.7"/>
    <x v="5"/>
    <n v="484300000"/>
    <m/>
    <n v="73100000"/>
    <n v="50600000"/>
    <n v="-195700000"/>
    <n v="462829000"/>
    <n v="9.7927963135013414"/>
    <n v="0.10932763504447647"/>
    <n v="0.19155539084112919"/>
    <n v="47262190"/>
    <n v="1309162663"/>
    <n v="2.8286098386229037"/>
    <e v="#DIV/0!"/>
    <m/>
    <n v="300"/>
    <n v="1614333.3333333333"/>
    <m/>
    <m/>
    <m/>
    <s v="Interparfums gère tout le cycle de vie des parfums de la création à la distribution,"/>
    <m/>
    <n v="3562"/>
    <n v="0"/>
    <s v="FR000402422212019"/>
    <s v="FR0004024222"/>
    <n v="1"/>
    <x v="163"/>
    <m/>
    <m/>
    <m/>
  </r>
  <r>
    <m/>
    <m/>
    <m/>
    <m/>
    <m/>
    <x v="1"/>
    <n v="6.3694267515923553E-2"/>
    <e v="#DIV/0!"/>
    <n v="0.10422960725075536"/>
    <n v="7.2033898305084776E-2"/>
    <m/>
    <m/>
    <m/>
    <m/>
    <m/>
    <m/>
    <m/>
    <m/>
    <m/>
    <m/>
    <m/>
    <s v=""/>
    <m/>
    <m/>
    <m/>
    <s v="En 2012, Perte de la licence avec Burberry car la marque a souhaité développer elle-même son propre parfums, Burrberry a échoué et a demandé à un autre acteur de gérer les parfums pour elle (COTY)"/>
    <m/>
    <n v="3563"/>
    <n v="0"/>
    <s v="FR00040242221"/>
    <s v="FR0004024222"/>
    <n v="1"/>
    <x v="163"/>
    <m/>
    <m/>
    <m/>
  </r>
  <r>
    <m/>
    <m/>
    <m/>
    <m/>
    <n v="23.05"/>
    <x v="6"/>
    <n v="455300000"/>
    <m/>
    <n v="66200000"/>
    <n v="47200000"/>
    <n v="-182600000"/>
    <n v="444598000"/>
    <n v="10.34775984189036"/>
    <n v="0.10616332057274212"/>
    <n v="0.1768715791723601"/>
    <n v="42965628"/>
    <n v="990357725.39999998"/>
    <n v="2.227535268714659"/>
    <e v="#DIV/0!"/>
    <m/>
    <n v="276"/>
    <n v="1649637.6811594204"/>
    <m/>
    <m/>
    <m/>
    <m/>
    <m/>
    <n v="3564"/>
    <n v="0"/>
    <s v="FR000402422212018"/>
    <s v="FR0004024222"/>
    <n v="1"/>
    <x v="163"/>
    <m/>
    <m/>
    <m/>
  </r>
  <r>
    <m/>
    <m/>
    <m/>
    <m/>
    <m/>
    <x v="1"/>
    <m/>
    <m/>
    <m/>
    <m/>
    <m/>
    <m/>
    <m/>
    <m/>
    <m/>
    <m/>
    <m/>
    <m/>
    <m/>
    <m/>
    <m/>
    <s v=""/>
    <m/>
    <m/>
    <m/>
    <m/>
    <m/>
    <n v="3565"/>
    <n v="0"/>
    <s v="FR00040242221"/>
    <s v="FR0004024222"/>
    <n v="1"/>
    <x v="163"/>
    <m/>
    <m/>
    <m/>
  </r>
  <r>
    <m/>
    <m/>
    <m/>
    <m/>
    <n v="21.45"/>
    <x v="7"/>
    <m/>
    <m/>
    <m/>
    <m/>
    <m/>
    <m/>
    <m/>
    <m/>
    <m/>
    <m/>
    <m/>
    <m/>
    <m/>
    <m/>
    <n v="266"/>
    <n v="0"/>
    <m/>
    <m/>
    <m/>
    <s v="CAC : Deloitte et Ernst"/>
    <m/>
    <n v="3566"/>
    <n v="0"/>
    <s v="FR000402422212017"/>
    <s v="FR0004024222"/>
    <n v="1"/>
    <x v="163"/>
    <m/>
    <m/>
    <m/>
  </r>
  <r>
    <m/>
    <m/>
    <m/>
    <m/>
    <m/>
    <x v="1"/>
    <m/>
    <m/>
    <m/>
    <m/>
    <m/>
    <m/>
    <m/>
    <m/>
    <m/>
    <m/>
    <m/>
    <m/>
    <m/>
    <m/>
    <m/>
    <s v=""/>
    <m/>
    <m/>
    <m/>
    <s v="Minoritaire : non"/>
    <m/>
    <n v="3567"/>
    <n v="0"/>
    <s v="FR00040242221"/>
    <s v="FR0004024222"/>
    <n v="1"/>
    <x v="163"/>
    <m/>
    <m/>
    <m/>
  </r>
  <r>
    <m/>
    <m/>
    <m/>
    <m/>
    <m/>
    <x v="1"/>
    <m/>
    <m/>
    <m/>
    <m/>
    <m/>
    <m/>
    <m/>
    <m/>
    <m/>
    <m/>
    <m/>
    <m/>
    <m/>
    <m/>
    <n v="257"/>
    <n v="0"/>
    <m/>
    <m/>
    <m/>
    <s v="Pay-out ratio : 66 %"/>
    <m/>
    <n v="3568"/>
    <n v="0"/>
    <s v="FR00040242221"/>
    <s v="FR0004024222"/>
    <n v="1"/>
    <x v="163"/>
    <m/>
    <m/>
    <m/>
  </r>
  <r>
    <m/>
    <m/>
    <m/>
    <m/>
    <m/>
    <x v="1"/>
    <m/>
    <m/>
    <m/>
    <m/>
    <m/>
    <m/>
    <m/>
    <m/>
    <m/>
    <m/>
    <m/>
    <m/>
    <m/>
    <m/>
    <m/>
    <s v=""/>
    <m/>
    <m/>
    <m/>
    <m/>
    <m/>
    <n v="3569"/>
    <n v="0"/>
    <s v="FR00040242221"/>
    <s v="FR0004024222"/>
    <n v="1"/>
    <x v="163"/>
    <m/>
    <m/>
    <m/>
  </r>
  <r>
    <m/>
    <m/>
    <m/>
    <m/>
    <m/>
    <x v="1"/>
    <m/>
    <m/>
    <m/>
    <m/>
    <m/>
    <m/>
    <m/>
    <m/>
    <m/>
    <m/>
    <m/>
    <m/>
    <m/>
    <m/>
    <n v="223"/>
    <n v="0"/>
    <m/>
    <m/>
    <m/>
    <m/>
    <m/>
    <n v="3570"/>
    <e v="#N/A"/>
    <s v=""/>
    <m/>
    <m/>
    <x v="52"/>
    <m/>
    <m/>
    <m/>
  </r>
  <r>
    <m/>
    <m/>
    <m/>
    <m/>
    <m/>
    <x v="1"/>
    <m/>
    <m/>
    <m/>
    <m/>
    <m/>
    <m/>
    <m/>
    <m/>
    <m/>
    <m/>
    <m/>
    <m/>
    <m/>
    <m/>
    <m/>
    <s v=""/>
    <m/>
    <m/>
    <m/>
    <m/>
    <m/>
    <n v="3570"/>
    <e v="#N/A"/>
    <s v=""/>
    <m/>
    <m/>
    <x v="52"/>
    <m/>
    <m/>
    <m/>
  </r>
  <r>
    <m/>
    <m/>
    <m/>
    <m/>
    <m/>
    <x v="1"/>
    <m/>
    <m/>
    <m/>
    <m/>
    <m/>
    <m/>
    <m/>
    <m/>
    <m/>
    <m/>
    <m/>
    <m/>
    <m/>
    <m/>
    <m/>
    <s v=""/>
    <m/>
    <m/>
    <m/>
    <m/>
    <m/>
    <n v="3570"/>
    <e v="#N/A"/>
    <s v=""/>
    <m/>
    <m/>
    <x v="52"/>
    <m/>
    <m/>
    <m/>
  </r>
  <r>
    <s v="Givaudan"/>
    <s v="fabrication de parfums et arômes"/>
    <s v="Suisse"/>
    <s v="CHF"/>
    <m/>
    <x v="0"/>
    <m/>
    <m/>
    <m/>
    <m/>
    <m/>
    <m/>
    <m/>
    <m/>
    <m/>
    <m/>
    <m/>
    <m/>
    <m/>
    <m/>
    <m/>
    <s v=""/>
    <m/>
    <m/>
    <m/>
    <s v="Créée en 1895, introduite en bourse le 6 juin 2000 à la bourse suisse,"/>
    <m/>
    <n v="3570"/>
    <n v="0"/>
    <s v="CH001064593212023"/>
    <s v="CH0010645932"/>
    <n v="1"/>
    <x v="164"/>
    <m/>
    <m/>
    <m/>
  </r>
  <r>
    <m/>
    <m/>
    <m/>
    <m/>
    <m/>
    <x v="1"/>
    <m/>
    <m/>
    <m/>
    <m/>
    <m/>
    <m/>
    <m/>
    <m/>
    <m/>
    <m/>
    <m/>
    <m/>
    <m/>
    <m/>
    <m/>
    <s v=""/>
    <m/>
    <m/>
    <m/>
    <s v="CEO : Gilles Andrier (né en 1961, 62 ans) a travaillé chez Accenture avant de rejoindre Givaudan en 1993. CEO depuis 2005."/>
    <m/>
    <n v="3571"/>
    <n v="0"/>
    <s v="CH00106459321"/>
    <s v="CH0010645932"/>
    <n v="1"/>
    <x v="164"/>
    <m/>
    <m/>
    <m/>
  </r>
  <r>
    <m/>
    <m/>
    <m/>
    <m/>
    <n v="2833"/>
    <x v="2"/>
    <n v="7117000000"/>
    <n v="1476000000"/>
    <n v="1112000000"/>
    <n v="856000000"/>
    <n v="4530000000"/>
    <n v="4232000000"/>
    <n v="458.32680824113186"/>
    <n v="0.20226843100189035"/>
    <n v="8.8838164802556491E-2"/>
    <n v="9233586"/>
    <n v="26158749138"/>
    <n v="6.1811789078449904"/>
    <n v="20.791835459349592"/>
    <m/>
    <n v="16670"/>
    <n v="426934.61307738454"/>
    <n v="479000000"/>
    <m/>
    <m/>
    <s v="Président : Calvin Grieder, (né en 1955, 68 ans), première élection en 2014 et président depuis 2017. (également président du CA de SGS SA) "/>
    <m/>
    <n v="3572"/>
    <n v="0"/>
    <s v="CH001064593212022"/>
    <s v="CH0010645932"/>
    <n v="1"/>
    <x v="164"/>
    <m/>
    <m/>
    <m/>
  </r>
  <r>
    <m/>
    <m/>
    <m/>
    <m/>
    <m/>
    <x v="1"/>
    <n v="6.4781567923399175E-2"/>
    <n v="-4.0485829959514552E-3"/>
    <n v="2.1120293847566529E-2"/>
    <n v="4.2630937880633324E-2"/>
    <m/>
    <m/>
    <m/>
    <m/>
    <m/>
    <m/>
    <m/>
    <m/>
    <m/>
    <m/>
    <m/>
    <s v=""/>
    <m/>
    <m/>
    <m/>
    <s v="Actionnaires : Institutionnels 83 %, 17  % flottant, (45 % aux états-unis, 30 % en suisse, 15 % au royaume uni et 10 % autres pays)"/>
    <m/>
    <n v="3573"/>
    <n v="0"/>
    <s v="CH00106459321"/>
    <s v="CH0010645932"/>
    <n v="1"/>
    <x v="164"/>
    <m/>
    <m/>
    <m/>
  </r>
  <r>
    <m/>
    <m/>
    <m/>
    <m/>
    <n v="4792"/>
    <x v="3"/>
    <n v="6684000000"/>
    <n v="1482000000"/>
    <n v="1089000000"/>
    <n v="821000000"/>
    <n v="4394000000"/>
    <n v="3929000000"/>
    <n v="425.51182173426446"/>
    <n v="0.20895902265207431"/>
    <n v="9.1589571068124473E-2"/>
    <n v="9233586"/>
    <n v="44247344112"/>
    <n v="11.261731766861796"/>
    <n v="32.821419778677466"/>
    <s v="S&amp;P note : A-"/>
    <n v="15852"/>
    <n v="421650.26495079487"/>
    <n v="843000000"/>
    <m/>
    <m/>
    <s v="Répartition du CA par activité : 54 % Goût et Bien être,  45,7 % Parfums et Beauté"/>
    <m/>
    <n v="3574"/>
    <n v="0"/>
    <s v="CH001064593212021"/>
    <s v="CH0010645932"/>
    <n v="1"/>
    <x v="164"/>
    <m/>
    <m/>
    <m/>
  </r>
  <r>
    <m/>
    <m/>
    <m/>
    <m/>
    <m/>
    <x v="1"/>
    <n v="5.7260360645365438E-2"/>
    <n v="6.0844667143879816E-2"/>
    <n v="9.3373493975903665E-2"/>
    <n v="0.10497981157469716"/>
    <m/>
    <m/>
    <m/>
    <m/>
    <m/>
    <m/>
    <m/>
    <m/>
    <m/>
    <m/>
    <m/>
    <s v=""/>
    <m/>
    <m/>
    <m/>
    <s v="Répartition par sous actitivité : Goût (35 % Boissons, 37 % Aromes, 12 % Lait, 16 % Produit sucrés), Parfums (Grande consommation 65 %, parfums fin 20 %, beauté 15%)"/>
    <m/>
    <n v="3575"/>
    <n v="0"/>
    <s v="CH00106459321"/>
    <s v="CH0010645932"/>
    <n v="1"/>
    <x v="164"/>
    <m/>
    <m/>
    <m/>
  </r>
  <r>
    <m/>
    <m/>
    <m/>
    <m/>
    <n v="3730"/>
    <x v="4"/>
    <n v="6322000000"/>
    <n v="1397000000"/>
    <n v="996000000"/>
    <n v="743000000"/>
    <n v="4040000000"/>
    <n v="3490000000"/>
    <n v="377.96799639923211"/>
    <n v="0.21289398280802294"/>
    <n v="9.2589641434262945E-2"/>
    <n v="9233586"/>
    <n v="34441275780"/>
    <n v="9.8685603954154733"/>
    <n v="27.545651954187544"/>
    <m/>
    <n v="15852"/>
    <n v="398814.02977542265"/>
    <n v="811000000"/>
    <m/>
    <m/>
    <s v="150 nez et 400 aromaticiens, 11,000 matières premières (naturelle ou synthétiques, certaines sont fragiles comme les essences de rose ou le patchouli)"/>
    <m/>
    <n v="3576"/>
    <n v="0"/>
    <s v="CH001064593212020"/>
    <s v="CH0010645932"/>
    <n v="1"/>
    <x v="164"/>
    <m/>
    <m/>
    <m/>
  </r>
  <r>
    <m/>
    <m/>
    <m/>
    <m/>
    <m/>
    <x v="1"/>
    <n v="1.9184265677897772E-2"/>
    <n v="9.5686274509803937E-2"/>
    <n v="8.260869565217388E-2"/>
    <n v="5.8404558404558493E-2"/>
    <m/>
    <m/>
    <m/>
    <m/>
    <m/>
    <m/>
    <m/>
    <m/>
    <m/>
    <m/>
    <m/>
    <s v=""/>
    <m/>
    <m/>
    <m/>
    <s v="Clients activité Parfums : L’air du Temps Nina Ricci, Rive Gauche Yves Saint Laurent, Poison Christian Dior, Loulou Cacharel, Coco Mademoiselle Chanel, Opium Yves Saint-Laurent (2009)"/>
    <m/>
    <n v="3577"/>
    <n v="0"/>
    <s v="CH00106459321"/>
    <s v="CH0010645932"/>
    <n v="1"/>
    <x v="164"/>
    <m/>
    <m/>
    <m/>
  </r>
  <r>
    <m/>
    <m/>
    <m/>
    <m/>
    <n v="3031"/>
    <x v="5"/>
    <n v="6203000000"/>
    <n v="1275000000"/>
    <n v="920000000"/>
    <n v="702000000"/>
    <n v="3679000000"/>
    <n v="3640000000"/>
    <n v="394.21303922441399"/>
    <n v="0.19285714285714287"/>
    <n v="8.7990162590517826E-2"/>
    <n v="9233586"/>
    <n v="27986999166"/>
    <n v="7.6887360346153848"/>
    <n v="24.836077777254904"/>
    <m/>
    <n v="14969"/>
    <n v="414389.73879350658"/>
    <n v="787000000"/>
    <m/>
    <m/>
    <s v="Concurrents : Symrise, Firmenich, IFF (International Flavors et Fragrances)"/>
    <m/>
    <n v="3578"/>
    <n v="0"/>
    <s v="CH001064593212019"/>
    <s v="CH0010645932"/>
    <n v="1"/>
    <x v="164"/>
    <m/>
    <m/>
    <m/>
  </r>
  <r>
    <m/>
    <m/>
    <m/>
    <m/>
    <m/>
    <x v="1"/>
    <n v="0.12230866654604666"/>
    <n v="0.11353711790393017"/>
    <n v="4.1902604756511863E-2"/>
    <n v="5.8823529411764719E-2"/>
    <m/>
    <m/>
    <m/>
    <m/>
    <m/>
    <m/>
    <m/>
    <m/>
    <m/>
    <m/>
    <m/>
    <s v=""/>
    <m/>
    <m/>
    <m/>
    <s v="En 2013, Nestlé à vendu sa participation pour 1 Mds d'euros, soit (926.562 titres) issue de la vente de FIS à Givaudan."/>
    <m/>
    <n v="3579"/>
    <n v="0"/>
    <s v="CH00106459321"/>
    <s v="CH0010645932"/>
    <n v="1"/>
    <x v="164"/>
    <m/>
    <m/>
    <m/>
  </r>
  <r>
    <m/>
    <m/>
    <m/>
    <m/>
    <n v="2276"/>
    <x v="6"/>
    <n v="5527000000"/>
    <n v="1145000000"/>
    <n v="883000000"/>
    <n v="663000000"/>
    <n v="2847000000"/>
    <n v="3710000000"/>
    <n v="401.79405920949887"/>
    <n v="0.17870619946091645"/>
    <n v="9.4265670276040867E-2"/>
    <n v="9233586"/>
    <n v="21015641736"/>
    <n v="5.664593459838275"/>
    <n v="20.840735140611354"/>
    <m/>
    <n v="13598"/>
    <n v="406456.83188704221"/>
    <n v="703000000"/>
    <m/>
    <m/>
    <s v="En 2018, Givaudan achète Naturex au prix de 135 €par action, (environ 1,256 Md d'euros). Cette acquisition lui donne accès à plus de 600 sources végétales et lui permet de créer une plate-forme aux ingrédients naturels"/>
    <m/>
    <n v="3580"/>
    <n v="0"/>
    <s v="CH001064593212018"/>
    <s v="CH0010645932"/>
    <n v="1"/>
    <x v="164"/>
    <m/>
    <m/>
    <m/>
  </r>
  <r>
    <m/>
    <m/>
    <m/>
    <m/>
    <m/>
    <x v="1"/>
    <n v="9.4238764601069169E-2"/>
    <n v="5.1423324150596805E-2"/>
    <n v="1.6110471806674243E-2"/>
    <n v="-7.9166666666666718E-2"/>
    <m/>
    <m/>
    <m/>
    <m/>
    <m/>
    <m/>
    <m/>
    <m/>
    <m/>
    <m/>
    <m/>
    <s v=""/>
    <m/>
    <m/>
    <m/>
    <s v="En 2019, budget de la R&amp;D 496 millions chf"/>
    <m/>
    <n v="3581"/>
    <n v="0"/>
    <s v="CH00106459321"/>
    <s v="CH0010645932"/>
    <n v="1"/>
    <x v="164"/>
    <m/>
    <m/>
    <m/>
  </r>
  <r>
    <m/>
    <m/>
    <m/>
    <m/>
    <n v="2252"/>
    <x v="7"/>
    <n v="5051000000"/>
    <n v="1089000000"/>
    <n v="869000000"/>
    <n v="720000000"/>
    <n v="1074000000"/>
    <n v="3538000000"/>
    <n v="383.16641010329033"/>
    <n v="0.20350480497456189"/>
    <n v="0.13189505637467477"/>
    <n v="9233586"/>
    <n v="20794035672"/>
    <n v="5.8773419084228378"/>
    <n v="20.080840837465566"/>
    <m/>
    <n v="11170"/>
    <n v="452193.37511190691"/>
    <m/>
    <m/>
    <m/>
    <s v="En 2023, la commission européenne mène une enquête sur l'entente de plusieurs acteurs sur les prix des fragrances et parfums dont Givaudan et ses principaux concurrents"/>
    <m/>
    <n v="3582"/>
    <n v="0"/>
    <s v="CH001064593212017"/>
    <s v="CH0010645932"/>
    <n v="1"/>
    <x v="164"/>
    <m/>
    <m/>
    <m/>
  </r>
  <r>
    <m/>
    <m/>
    <m/>
    <m/>
    <m/>
    <x v="1"/>
    <m/>
    <m/>
    <m/>
    <m/>
    <m/>
    <m/>
    <m/>
    <m/>
    <m/>
    <m/>
    <m/>
    <m/>
    <m/>
    <m/>
    <m/>
    <s v=""/>
    <m/>
    <m/>
    <m/>
    <s v="Strat 2025 : Elargir les activités Activité : Colorants naturels, développement de texturiseurs à base de plante, parfumants durables, réduire ses émissions de gaz à effet de serre"/>
    <m/>
    <n v="3583"/>
    <n v="0"/>
    <s v="CH00106459321"/>
    <s v="CH0010645932"/>
    <n v="1"/>
    <x v="164"/>
    <m/>
    <m/>
    <m/>
  </r>
  <r>
    <m/>
    <m/>
    <m/>
    <m/>
    <m/>
    <x v="1"/>
    <m/>
    <m/>
    <m/>
    <m/>
    <m/>
    <m/>
    <m/>
    <m/>
    <m/>
    <m/>
    <m/>
    <m/>
    <m/>
    <m/>
    <m/>
    <s v=""/>
    <m/>
    <m/>
    <m/>
    <s v="Strat 2025 : Croissance organique moyenne de 4 à 5 %"/>
    <m/>
    <n v="3584"/>
    <n v="0"/>
    <s v="CH00106459321"/>
    <s v="CH0010645932"/>
    <n v="1"/>
    <x v="164"/>
    <m/>
    <m/>
    <m/>
  </r>
  <r>
    <m/>
    <m/>
    <m/>
    <m/>
    <m/>
    <x v="1"/>
    <m/>
    <m/>
    <m/>
    <m/>
    <m/>
    <m/>
    <m/>
    <m/>
    <m/>
    <m/>
    <m/>
    <m/>
    <m/>
    <m/>
    <m/>
    <s v=""/>
    <m/>
    <m/>
    <m/>
    <s v="Minoritaires : non"/>
    <m/>
    <n v="3585"/>
    <n v="0"/>
    <s v="CH00106459321"/>
    <s v="CH0010645932"/>
    <n v="1"/>
    <x v="164"/>
    <m/>
    <m/>
    <m/>
  </r>
  <r>
    <m/>
    <m/>
    <m/>
    <m/>
    <m/>
    <x v="1"/>
    <m/>
    <m/>
    <m/>
    <m/>
    <m/>
    <m/>
    <m/>
    <m/>
    <m/>
    <m/>
    <m/>
    <m/>
    <m/>
    <m/>
    <m/>
    <s v=""/>
    <m/>
    <m/>
    <m/>
    <s v="CAC : KPMG"/>
    <m/>
    <n v="3586"/>
    <n v="0"/>
    <s v="CH00106459321"/>
    <s v="CH0010645932"/>
    <n v="1"/>
    <x v="164"/>
    <m/>
    <m/>
    <m/>
  </r>
  <r>
    <m/>
    <m/>
    <m/>
    <m/>
    <m/>
    <x v="1"/>
    <m/>
    <m/>
    <m/>
    <m/>
    <m/>
    <m/>
    <m/>
    <m/>
    <m/>
    <m/>
    <m/>
    <m/>
    <m/>
    <m/>
    <m/>
    <s v=""/>
    <m/>
    <m/>
    <m/>
    <s v="Taux IS"/>
    <m/>
    <n v="3587"/>
    <n v="0"/>
    <s v="CH00106459321"/>
    <s v="CH0010645932"/>
    <n v="1"/>
    <x v="164"/>
    <m/>
    <m/>
    <m/>
  </r>
  <r>
    <m/>
    <m/>
    <m/>
    <m/>
    <m/>
    <x v="1"/>
    <m/>
    <m/>
    <m/>
    <m/>
    <m/>
    <m/>
    <m/>
    <m/>
    <m/>
    <m/>
    <m/>
    <m/>
    <m/>
    <m/>
    <m/>
    <s v=""/>
    <m/>
    <m/>
    <m/>
    <s v="Pay out : 72 %"/>
    <m/>
    <n v="3588"/>
    <n v="0"/>
    <s v="CH00106459321"/>
    <s v="CH0010645932"/>
    <n v="1"/>
    <x v="164"/>
    <m/>
    <m/>
    <m/>
  </r>
  <r>
    <m/>
    <m/>
    <m/>
    <m/>
    <m/>
    <x v="1"/>
    <m/>
    <m/>
    <m/>
    <m/>
    <m/>
    <m/>
    <m/>
    <m/>
    <m/>
    <m/>
    <m/>
    <m/>
    <m/>
    <m/>
    <m/>
    <s v=""/>
    <m/>
    <m/>
    <m/>
    <m/>
    <m/>
    <n v="3589"/>
    <n v="0"/>
    <s v="CH00106459321"/>
    <s v="CH0010645932"/>
    <n v="1"/>
    <x v="164"/>
    <m/>
    <m/>
    <m/>
  </r>
  <r>
    <m/>
    <m/>
    <m/>
    <m/>
    <m/>
    <x v="1"/>
    <m/>
    <m/>
    <m/>
    <m/>
    <m/>
    <m/>
    <m/>
    <m/>
    <m/>
    <m/>
    <m/>
    <m/>
    <m/>
    <m/>
    <m/>
    <s v=""/>
    <m/>
    <m/>
    <m/>
    <m/>
    <m/>
    <n v="3590"/>
    <n v="0"/>
    <s v="CH00106459321"/>
    <s v="CH0010645932"/>
    <n v="1"/>
    <x v="164"/>
    <m/>
    <m/>
    <m/>
  </r>
  <r>
    <m/>
    <m/>
    <m/>
    <m/>
    <m/>
    <x v="1"/>
    <m/>
    <m/>
    <m/>
    <m/>
    <m/>
    <m/>
    <m/>
    <m/>
    <m/>
    <m/>
    <m/>
    <m/>
    <m/>
    <m/>
    <m/>
    <s v=""/>
    <m/>
    <m/>
    <m/>
    <m/>
    <m/>
    <n v="3591"/>
    <n v="0"/>
    <s v="CH00106459321"/>
    <s v="CH0010645932"/>
    <n v="1"/>
    <x v="164"/>
    <m/>
    <m/>
    <m/>
  </r>
  <r>
    <s v="Eurofins"/>
    <s v="Laboratoire d'Analyses biologiques"/>
    <s v="Luxembourg"/>
    <m/>
    <n v="61.48"/>
    <x v="0"/>
    <m/>
    <m/>
    <m/>
    <m/>
    <m/>
    <m/>
    <m/>
    <m/>
    <m/>
    <m/>
    <m/>
    <m/>
    <m/>
    <m/>
    <m/>
    <s v=""/>
    <m/>
    <m/>
    <m/>
    <s v="Entreprise fondée par Dr Gilles Martin en 1987, introduit en bourse en 1997"/>
    <m/>
    <n v="3592"/>
    <n v="0"/>
    <s v="FR0014000MR312023"/>
    <s v="FR0014000MR3"/>
    <n v="1"/>
    <x v="165"/>
    <m/>
    <m/>
    <m/>
  </r>
  <r>
    <m/>
    <m/>
    <m/>
    <m/>
    <m/>
    <x v="1"/>
    <m/>
    <m/>
    <m/>
    <m/>
    <m/>
    <m/>
    <m/>
    <m/>
    <m/>
    <m/>
    <m/>
    <m/>
    <m/>
    <m/>
    <m/>
    <s v=""/>
    <m/>
    <m/>
    <m/>
    <s v="CEO : Gilles Martin (59 ans) Président et Directeur Général"/>
    <m/>
    <n v="3593"/>
    <n v="0"/>
    <s v="FR0014000MR31"/>
    <s v="FR0014000MR3"/>
    <n v="1"/>
    <x v="165"/>
    <m/>
    <m/>
    <m/>
  </r>
  <r>
    <m/>
    <m/>
    <m/>
    <m/>
    <n v="67.06"/>
    <x v="2"/>
    <n v="6712100000"/>
    <n v="1513000000"/>
    <n v="1036900000"/>
    <n v="683000000"/>
    <n v="2839000000"/>
    <n v="4782100000"/>
    <n v="24.811198226987965"/>
    <n v="0.14282428221910876"/>
    <n v="9.5239532350972961E-2"/>
    <n v="192739583"/>
    <n v="12925116435.98"/>
    <n v="2.7028118265991927"/>
    <n v="10.41911198676801"/>
    <m/>
    <n v="61379"/>
    <n v="109354.99112074162"/>
    <n v="491000000"/>
    <m/>
    <m/>
    <s v="Actionnaires : 33 % la Famille Martin, restant flottant"/>
    <m/>
    <n v="3594"/>
    <n v="0"/>
    <s v="FR0014000MR312022"/>
    <s v="FR0014000MR3"/>
    <n v="1"/>
    <x v="165"/>
    <m/>
    <m/>
    <m/>
  </r>
  <r>
    <m/>
    <m/>
    <m/>
    <m/>
    <m/>
    <x v="1"/>
    <n v="-8.3361864924003104E-4"/>
    <n v="-0.20452155625657198"/>
    <n v="-0.29596686583378595"/>
    <n v="-0.34540923902626031"/>
    <m/>
    <m/>
    <m/>
    <m/>
    <m/>
    <m/>
    <m/>
    <m/>
    <m/>
    <m/>
    <m/>
    <s v=""/>
    <m/>
    <m/>
    <m/>
    <s v="Répartition du CA par activité : Alimentation (historique), Environnement, Bâtiments, Pharmacie"/>
    <m/>
    <n v="3595"/>
    <n v="0"/>
    <s v="FR0014000MR31"/>
    <s v="FR0014000MR3"/>
    <n v="1"/>
    <x v="165"/>
    <m/>
    <m/>
    <m/>
  </r>
  <r>
    <m/>
    <m/>
    <m/>
    <m/>
    <n v="108.8"/>
    <x v="3"/>
    <n v="6717700000"/>
    <n v="1902000000"/>
    <n v="1472800000"/>
    <n v="1043400000"/>
    <n v="2238800000"/>
    <n v="4677200000"/>
    <n v="24.328497424623713"/>
    <n v="0.22308218592320192"/>
    <n v="0.14906882591093115"/>
    <n v="192251906"/>
    <n v="20917007372.799999"/>
    <n v="4.4721216481655688"/>
    <n v="12.174451825867507"/>
    <m/>
    <n v="50357"/>
    <n v="133401.51319578211"/>
    <n v="1015000000"/>
    <m/>
    <m/>
    <s v="Dispose de 900 laboratoires (+20 laboratoire en moyenne par an) dans le monde, présent dans 61 pays, 200 000 méthodes analytiques"/>
    <m/>
    <n v="3596"/>
    <n v="0"/>
    <s v="FR0014000MR312021"/>
    <s v="FR0014000MR3"/>
    <n v="1"/>
    <x v="165"/>
    <m/>
    <m/>
    <m/>
  </r>
  <r>
    <m/>
    <m/>
    <m/>
    <m/>
    <m/>
    <x v="1"/>
    <n v="0.23509836366979231"/>
    <n v="0.34607218683651797"/>
    <n v="0.438843298163345"/>
    <n v="0.47685774946921433"/>
    <m/>
    <m/>
    <m/>
    <m/>
    <m/>
    <m/>
    <m/>
    <m/>
    <m/>
    <m/>
    <m/>
    <s v=""/>
    <m/>
    <m/>
    <m/>
    <s v="L'ambition de l'entreprise : Devenir le leader dans les services analytiques de substance biologiques. Types d'études sur les produits : Sécurité, identité, pureté, composition, authenticité et origine"/>
    <m/>
    <n v="3597"/>
    <n v="0"/>
    <s v="FR0014000MR31"/>
    <s v="FR0014000MR3"/>
    <n v="1"/>
    <x v="165"/>
    <m/>
    <m/>
    <m/>
  </r>
  <r>
    <m/>
    <m/>
    <s v="Le 19 novembre 2020 multiplication du nombre d'action par 10"/>
    <m/>
    <n v="68.63"/>
    <x v="4"/>
    <n v="5439000000"/>
    <n v="1413000000"/>
    <n v="1023600000"/>
    <n v="706500000"/>
    <n v="2242300000"/>
    <n v="4647600000"/>
    <n v="24.359269347709755"/>
    <n v="0.15201394268009294"/>
    <n v="0.10399570385636947"/>
    <n v="190793900"/>
    <n v="13094185357"/>
    <n v="2.8174079862724848"/>
    <n v="10.853846678697806"/>
    <m/>
    <n v="44741"/>
    <n v="121566.34853937104"/>
    <n v="873200000"/>
    <m/>
    <m/>
    <s v="Travaille avec : Nestlé, PepsiCO, Unilever, Coca-Cola, Pfizer, Sanofi, GSK, Novatris, AstraZeneca, Merc &amp; Co,Johnson &amp; Johnson, Roche)"/>
    <m/>
    <n v="3598"/>
    <n v="0"/>
    <s v="FR0014000MR312020"/>
    <s v="FR0014000MR3"/>
    <n v="1"/>
    <x v="165"/>
    <m/>
    <m/>
    <m/>
  </r>
  <r>
    <m/>
    <m/>
    <m/>
    <m/>
    <m/>
    <x v="1"/>
    <n v="0.19197896120973046"/>
    <n v="0.51772287862513422"/>
    <n v="0.78482999128160413"/>
    <n v="0.96577629382303831"/>
    <m/>
    <m/>
    <m/>
    <m/>
    <m/>
    <m/>
    <m/>
    <m/>
    <m/>
    <m/>
    <m/>
    <s v=""/>
    <m/>
    <m/>
    <m/>
    <m/>
    <m/>
    <n v="3599"/>
    <n v="0"/>
    <s v="FR0014000MR31"/>
    <s v="FR0014000MR3"/>
    <n v="1"/>
    <x v="165"/>
    <m/>
    <m/>
    <m/>
  </r>
  <r>
    <m/>
    <m/>
    <m/>
    <m/>
    <n v="49.42"/>
    <x v="5"/>
    <n v="4563000000"/>
    <n v="931000000"/>
    <n v="573500000"/>
    <n v="359400000"/>
    <n v="3244700000"/>
    <n v="2838600000"/>
    <n v="15.854978279417042"/>
    <n v="0.12661170999788629"/>
    <n v="6.5992142422698213E-2"/>
    <n v="179035250"/>
    <n v="8847922055"/>
    <n v="3.1170020626365109"/>
    <n v="12.98885290547798"/>
    <m/>
    <n v="43320"/>
    <n v="105332.40997229917"/>
    <n v="258200000"/>
    <m/>
    <m/>
    <s v="En 2017, 60 acquisitions"/>
    <m/>
    <n v="3600"/>
    <n v="0"/>
    <s v="FR0014000MR312019"/>
    <s v="FR0014000MR3"/>
    <n v="1"/>
    <x v="165"/>
    <m/>
    <m/>
    <m/>
  </r>
  <r>
    <m/>
    <m/>
    <m/>
    <m/>
    <m/>
    <x v="1"/>
    <n v="0.20682359164242259"/>
    <n v="0.29305555555555562"/>
    <n v="0.10119047619047628"/>
    <n v="9.2670598146586958E-3"/>
    <m/>
    <m/>
    <m/>
    <m/>
    <m/>
    <m/>
    <m/>
    <m/>
    <m/>
    <m/>
    <m/>
    <s v=""/>
    <m/>
    <m/>
    <m/>
    <m/>
    <m/>
    <n v="3601"/>
    <n v="0"/>
    <s v="FR0014000MR31"/>
    <s v="FR0014000MR3"/>
    <n v="1"/>
    <x v="165"/>
    <m/>
    <m/>
    <m/>
  </r>
  <r>
    <m/>
    <m/>
    <m/>
    <m/>
    <n v="32.6"/>
    <x v="6"/>
    <n v="3781000000"/>
    <n v="720000000"/>
    <n v="520800000"/>
    <n v="356100000"/>
    <n v="2651000000"/>
    <n v="2669200000"/>
    <n v="15.035918450027316"/>
    <n v="0.13341075977821071"/>
    <n v="6.8523739709033499E-2"/>
    <n v="177521580"/>
    <n v="5787203508"/>
    <n v="2.1681415809980518"/>
    <n v="11.719727094444444"/>
    <m/>
    <n v="36518"/>
    <n v="103537.98126951093"/>
    <n v="182500000"/>
    <m/>
    <m/>
    <m/>
    <m/>
    <n v="3605"/>
    <n v="0"/>
    <s v="FR0014000MR312018"/>
    <s v="FR0014000MR3"/>
    <n v="1"/>
    <x v="165"/>
    <m/>
    <m/>
    <m/>
  </r>
  <r>
    <m/>
    <m/>
    <m/>
    <m/>
    <m/>
    <x v="1"/>
    <m/>
    <m/>
    <m/>
    <m/>
    <m/>
    <m/>
    <m/>
    <m/>
    <m/>
    <m/>
    <m/>
    <m/>
    <m/>
    <m/>
    <m/>
    <s v=""/>
    <m/>
    <m/>
    <m/>
    <s v="CAC"/>
    <m/>
    <n v="3606"/>
    <n v="0"/>
    <s v="FR0014000MR31"/>
    <s v="FR0014000MR3"/>
    <n v="1"/>
    <x v="165"/>
    <m/>
    <m/>
    <m/>
  </r>
  <r>
    <m/>
    <m/>
    <m/>
    <m/>
    <m/>
    <x v="22"/>
    <m/>
    <m/>
    <m/>
    <m/>
    <m/>
    <m/>
    <m/>
    <m/>
    <m/>
    <m/>
    <m/>
    <m/>
    <m/>
    <m/>
    <m/>
    <s v=""/>
    <m/>
    <m/>
    <m/>
    <s v="Minoritaire"/>
    <m/>
    <n v="3607"/>
    <n v="0"/>
    <s v="FR0014000MR31…"/>
    <s v="FR0014000MR3"/>
    <n v="1"/>
    <x v="165"/>
    <m/>
    <m/>
    <m/>
  </r>
  <r>
    <m/>
    <m/>
    <m/>
    <m/>
    <m/>
    <x v="1"/>
    <m/>
    <m/>
    <m/>
    <m/>
    <m/>
    <m/>
    <m/>
    <m/>
    <m/>
    <m/>
    <m/>
    <m/>
    <m/>
    <m/>
    <m/>
    <s v=""/>
    <m/>
    <m/>
    <m/>
    <s v="Pay Out ratio"/>
    <m/>
    <n v="3608"/>
    <n v="0"/>
    <s v="FR0014000MR31"/>
    <s v="FR0014000MR3"/>
    <n v="1"/>
    <x v="165"/>
    <m/>
    <m/>
    <m/>
  </r>
  <r>
    <m/>
    <m/>
    <m/>
    <m/>
    <n v="21.2"/>
    <x v="10"/>
    <n v="1410200000"/>
    <n v="230000000"/>
    <n v="189884000"/>
    <n v="128195000"/>
    <n v="493612000"/>
    <n v="656483000"/>
    <n v="4.3177038928150431"/>
    <n v="0.19527542982834284"/>
    <n v="0.11557201796373341"/>
    <n v="152044470"/>
    <n v="3223342764"/>
    <n v="4.9100171124004737"/>
    <n v="16.160672886956522"/>
    <m/>
    <n v="14855"/>
    <n v="94930.999663412993"/>
    <m/>
    <m/>
    <m/>
    <s v="Taux d'IS :"/>
    <m/>
    <n v="3609"/>
    <n v="0"/>
    <s v="FR0014000MR312014"/>
    <s v="FR0014000MR3"/>
    <n v="1"/>
    <x v="165"/>
    <m/>
    <m/>
    <m/>
  </r>
  <r>
    <m/>
    <m/>
    <m/>
    <m/>
    <m/>
    <x v="1"/>
    <m/>
    <m/>
    <m/>
    <m/>
    <m/>
    <m/>
    <m/>
    <m/>
    <m/>
    <m/>
    <m/>
    <m/>
    <m/>
    <m/>
    <m/>
    <s v=""/>
    <m/>
    <m/>
    <m/>
    <m/>
    <m/>
    <n v="3610"/>
    <n v="0"/>
    <s v="FR0014000MR31"/>
    <s v="FR0014000MR3"/>
    <n v="1"/>
    <x v="165"/>
    <m/>
    <m/>
    <m/>
  </r>
  <r>
    <m/>
    <m/>
    <m/>
    <m/>
    <m/>
    <x v="1"/>
    <m/>
    <m/>
    <m/>
    <m/>
    <m/>
    <m/>
    <m/>
    <m/>
    <m/>
    <m/>
    <m/>
    <m/>
    <m/>
    <m/>
    <m/>
    <s v=""/>
    <m/>
    <m/>
    <m/>
    <m/>
    <m/>
    <n v="3611"/>
    <n v="0"/>
    <s v="FR0014000MR31"/>
    <s v="FR0014000MR3"/>
    <n v="1"/>
    <x v="165"/>
    <m/>
    <m/>
    <m/>
  </r>
  <r>
    <m/>
    <m/>
    <m/>
    <m/>
    <m/>
    <x v="1"/>
    <m/>
    <m/>
    <m/>
    <m/>
    <m/>
    <m/>
    <m/>
    <m/>
    <m/>
    <m/>
    <m/>
    <m/>
    <m/>
    <m/>
    <m/>
    <s v=""/>
    <m/>
    <m/>
    <m/>
    <m/>
    <m/>
    <n v="3612"/>
    <n v="0"/>
    <s v="FR0014000MR31"/>
    <s v="FR0014000MR3"/>
    <n v="1"/>
    <x v="165"/>
    <m/>
    <m/>
    <m/>
  </r>
  <r>
    <m/>
    <m/>
    <m/>
    <m/>
    <m/>
    <x v="1"/>
    <m/>
    <m/>
    <m/>
    <m/>
    <m/>
    <m/>
    <m/>
    <m/>
    <m/>
    <m/>
    <m/>
    <m/>
    <m/>
    <m/>
    <m/>
    <s v=""/>
    <m/>
    <m/>
    <m/>
    <m/>
    <m/>
    <n v="3613"/>
    <n v="0"/>
    <s v="FR0014000MR31"/>
    <s v="FR0014000MR3"/>
    <n v="1"/>
    <x v="165"/>
    <m/>
    <m/>
    <m/>
  </r>
  <r>
    <m/>
    <m/>
    <m/>
    <m/>
    <m/>
    <x v="1"/>
    <m/>
    <m/>
    <m/>
    <m/>
    <m/>
    <m/>
    <m/>
    <m/>
    <m/>
    <m/>
    <m/>
    <m/>
    <m/>
    <m/>
    <m/>
    <s v=""/>
    <m/>
    <m/>
    <m/>
    <m/>
    <m/>
    <n v="3614"/>
    <n v="0"/>
    <s v="FR0014000MR31"/>
    <s v="FR0014000MR3"/>
    <n v="1"/>
    <x v="165"/>
    <m/>
    <m/>
    <m/>
  </r>
  <r>
    <m/>
    <m/>
    <m/>
    <m/>
    <m/>
    <x v="1"/>
    <m/>
    <m/>
    <m/>
    <m/>
    <m/>
    <m/>
    <m/>
    <m/>
    <m/>
    <m/>
    <m/>
    <m/>
    <m/>
    <m/>
    <m/>
    <s v=""/>
    <m/>
    <m/>
    <m/>
    <s v="Minoritaires : non"/>
    <m/>
    <n v="3615"/>
    <n v="0"/>
    <s v="FR0014000MR31"/>
    <s v="FR0014000MR3"/>
    <n v="1"/>
    <x v="165"/>
    <m/>
    <m/>
    <m/>
  </r>
  <r>
    <m/>
    <m/>
    <m/>
    <m/>
    <m/>
    <x v="1"/>
    <m/>
    <m/>
    <m/>
    <m/>
    <m/>
    <m/>
    <m/>
    <m/>
    <m/>
    <m/>
    <m/>
    <m/>
    <m/>
    <m/>
    <m/>
    <s v=""/>
    <m/>
    <m/>
    <m/>
    <s v="CAC :  Deloitte KPMG"/>
    <m/>
    <n v="3616"/>
    <n v="0"/>
    <s v="FR0014000MR31"/>
    <s v="FR0014000MR3"/>
    <n v="1"/>
    <x v="165"/>
    <m/>
    <m/>
    <m/>
  </r>
  <r>
    <m/>
    <m/>
    <m/>
    <m/>
    <m/>
    <x v="1"/>
    <m/>
    <m/>
    <m/>
    <m/>
    <m/>
    <m/>
    <m/>
    <m/>
    <m/>
    <m/>
    <m/>
    <m/>
    <m/>
    <m/>
    <m/>
    <s v=""/>
    <m/>
    <m/>
    <m/>
    <s v="Taux IS"/>
    <m/>
    <n v="3617"/>
    <n v="0"/>
    <s v="FR0014000MR31"/>
    <s v="FR0014000MR3"/>
    <n v="1"/>
    <x v="165"/>
    <m/>
    <m/>
    <m/>
  </r>
  <r>
    <m/>
    <m/>
    <m/>
    <m/>
    <m/>
    <x v="1"/>
    <m/>
    <m/>
    <m/>
    <m/>
    <m/>
    <m/>
    <m/>
    <m/>
    <m/>
    <m/>
    <m/>
    <m/>
    <m/>
    <m/>
    <m/>
    <s v=""/>
    <m/>
    <m/>
    <m/>
    <s v="Pay out : 29 %"/>
    <m/>
    <n v="3618"/>
    <n v="0"/>
    <s v="FR0014000MR31"/>
    <s v="FR0014000MR3"/>
    <n v="1"/>
    <x v="165"/>
    <m/>
    <m/>
    <m/>
  </r>
  <r>
    <m/>
    <m/>
    <m/>
    <m/>
    <m/>
    <x v="1"/>
    <m/>
    <m/>
    <m/>
    <m/>
    <m/>
    <m/>
    <m/>
    <m/>
    <m/>
    <m/>
    <m/>
    <m/>
    <m/>
    <m/>
    <m/>
    <s v=""/>
    <m/>
    <m/>
    <m/>
    <m/>
    <m/>
    <n v="3619"/>
    <n v="0"/>
    <s v="FR0014000MR31"/>
    <s v="FR0014000MR3"/>
    <n v="1"/>
    <x v="165"/>
    <m/>
    <m/>
    <m/>
  </r>
  <r>
    <m/>
    <m/>
    <m/>
    <m/>
    <m/>
    <x v="1"/>
    <m/>
    <m/>
    <m/>
    <m/>
    <m/>
    <m/>
    <m/>
    <m/>
    <m/>
    <m/>
    <m/>
    <m/>
    <m/>
    <m/>
    <m/>
    <s v=""/>
    <m/>
    <m/>
    <m/>
    <m/>
    <m/>
    <n v="3620"/>
    <n v="0"/>
    <s v="FR0014000MR31"/>
    <s v="FR0014000MR3"/>
    <n v="1"/>
    <x v="165"/>
    <m/>
    <m/>
    <m/>
  </r>
  <r>
    <m/>
    <m/>
    <m/>
    <m/>
    <m/>
    <x v="1"/>
    <m/>
    <m/>
    <m/>
    <m/>
    <m/>
    <m/>
    <m/>
    <m/>
    <m/>
    <m/>
    <m/>
    <m/>
    <m/>
    <m/>
    <m/>
    <s v=""/>
    <m/>
    <m/>
    <m/>
    <m/>
    <m/>
    <n v="3621"/>
    <n v="0"/>
    <s v="FR0014000MR31"/>
    <s v="FR0014000MR3"/>
    <n v="1"/>
    <x v="165"/>
    <m/>
    <m/>
    <m/>
  </r>
  <r>
    <s v="Medacta"/>
    <s v="Industrie médicale"/>
    <s v="Suisse"/>
    <s v="CHF"/>
    <n v="119.4"/>
    <x v="0"/>
    <m/>
    <m/>
    <m/>
    <m/>
    <m/>
    <m/>
    <m/>
    <m/>
    <m/>
    <m/>
    <m/>
    <m/>
    <m/>
    <m/>
    <m/>
    <s v=""/>
    <m/>
    <m/>
    <m/>
    <s v="En 1999 création de l'entreprise Medacta par Alberto Siccardi,"/>
    <m/>
    <n v="3622"/>
    <n v="0"/>
    <s v="CH046852522212023"/>
    <s v="CH0468525222"/>
    <n v="1"/>
    <x v="166"/>
    <m/>
    <m/>
    <m/>
  </r>
  <r>
    <m/>
    <m/>
    <m/>
    <m/>
    <m/>
    <x v="1"/>
    <m/>
    <m/>
    <m/>
    <m/>
    <m/>
    <m/>
    <m/>
    <m/>
    <m/>
    <m/>
    <m/>
    <m/>
    <m/>
    <m/>
    <m/>
    <s v=""/>
    <m/>
    <m/>
    <m/>
    <s v="Président : Alberto Siccardi né en 1944, président depuis 2018"/>
    <m/>
    <n v="3623"/>
    <n v="0"/>
    <s v="CH04685252221"/>
    <s v="CH0468525222"/>
    <n v="1"/>
    <x v="166"/>
    <m/>
    <m/>
    <m/>
  </r>
  <r>
    <m/>
    <m/>
    <m/>
    <m/>
    <n v="103"/>
    <x v="2"/>
    <n v="437100000"/>
    <n v="120400000"/>
    <n v="61464000"/>
    <n v="46249000"/>
    <n v="111600000"/>
    <n v="274655000"/>
    <n v="13.732749999999999"/>
    <n v="0.16838943401722162"/>
    <n v="0.11138962602425859"/>
    <n v="20000000"/>
    <n v="2060000000"/>
    <n v="7.5003185814931461"/>
    <n v="18.036544850498338"/>
    <m/>
    <n v="1537"/>
    <n v="284385.16590761225"/>
    <n v="21600000"/>
    <m/>
    <m/>
    <s v="CEO : Francesco Siccardi"/>
    <m/>
    <n v="3624"/>
    <n v="0"/>
    <s v="CH046852522212022"/>
    <s v="CH0468525222"/>
    <n v="1"/>
    <x v="166"/>
    <m/>
    <m/>
    <m/>
  </r>
  <r>
    <m/>
    <m/>
    <m/>
    <m/>
    <m/>
    <x v="1"/>
    <m/>
    <m/>
    <m/>
    <m/>
    <m/>
    <m/>
    <m/>
    <m/>
    <m/>
    <m/>
    <m/>
    <m/>
    <m/>
    <m/>
    <m/>
    <s v=""/>
    <m/>
    <m/>
    <m/>
    <s v="Actionnaires : 69,45 % Famille Siccardi, 4,95 % société en commandite Artisan Partners, Restant Flottant,"/>
    <m/>
    <n v="3625"/>
    <n v="0"/>
    <s v="CH04685252221"/>
    <s v="CH0468525222"/>
    <n v="1"/>
    <x v="166"/>
    <m/>
    <m/>
    <m/>
  </r>
  <r>
    <m/>
    <m/>
    <m/>
    <m/>
    <n v="142"/>
    <x v="3"/>
    <n v="363100000"/>
    <n v="107100000"/>
    <n v="58777000"/>
    <n v="51521000"/>
    <n v="93600000"/>
    <n v="226397000"/>
    <n v="11.319850000000001"/>
    <n v="0.22756926991082038"/>
    <n v="0.12857589289899593"/>
    <n v="20000000"/>
    <n v="2840000000"/>
    <n v="12.544335834838801"/>
    <n v="27.391223155929037"/>
    <m/>
    <n v="1341"/>
    <n v="270768.08351976139"/>
    <n v="33800000"/>
    <m/>
    <m/>
    <s v="Concurrents : Alphatec Spine, SeaSpine, Spinal Simplicity"/>
    <m/>
    <n v="3626"/>
    <n v="0"/>
    <s v="CH046852522212021"/>
    <s v="CH0468525222"/>
    <n v="1"/>
    <x v="166"/>
    <m/>
    <m/>
    <m/>
  </r>
  <r>
    <m/>
    <m/>
    <m/>
    <m/>
    <m/>
    <x v="1"/>
    <m/>
    <m/>
    <m/>
    <m/>
    <m/>
    <m/>
    <m/>
    <m/>
    <m/>
    <m/>
    <m/>
    <m/>
    <m/>
    <m/>
    <m/>
    <s v=""/>
    <m/>
    <m/>
    <m/>
    <s v="Présence géographique dans 53 pays."/>
    <m/>
    <n v="3627"/>
    <n v="0"/>
    <s v="CH04685252221"/>
    <s v="CH0468525222"/>
    <n v="1"/>
    <x v="166"/>
    <m/>
    <m/>
    <m/>
  </r>
  <r>
    <m/>
    <m/>
    <m/>
    <m/>
    <n v="87.6"/>
    <x v="4"/>
    <n v="302500000"/>
    <n v="88100000"/>
    <n v="49443000"/>
    <n v="37091000"/>
    <n v="83300000"/>
    <n v="164717000"/>
    <n v="8.2358499999999992"/>
    <n v="0.22518015748222708"/>
    <n v="0.13954728909711833"/>
    <n v="20000000"/>
    <n v="1752000000"/>
    <n v="10.636424898462211"/>
    <n v="20.83200908059024"/>
    <m/>
    <n v="1183"/>
    <n v="255705.83262890956"/>
    <n v="31900000"/>
    <m/>
    <m/>
    <s v="Répartition par zone géographique : Europe : 42,9%, North America : 31,3 %, Asia Pacific : 21,6%, Reste du Monde : 4,2 %"/>
    <m/>
    <n v="3628"/>
    <n v="0"/>
    <s v="CH046852522212020"/>
    <s v="CH0468525222"/>
    <n v="1"/>
    <x v="166"/>
    <m/>
    <m/>
    <m/>
  </r>
  <r>
    <m/>
    <m/>
    <m/>
    <m/>
    <m/>
    <x v="1"/>
    <m/>
    <m/>
    <m/>
    <m/>
    <m/>
    <m/>
    <m/>
    <m/>
    <m/>
    <m/>
    <m/>
    <m/>
    <m/>
    <m/>
    <m/>
    <s v=""/>
    <m/>
    <m/>
    <m/>
    <s v="Répartition par activité : Hanche 46,6 %, Genou 37,6 %, Colonne vertébrale 9,5%, Epaules 6,3 %"/>
    <m/>
    <n v="3629"/>
    <n v="0"/>
    <s v="CH04685252221"/>
    <s v="CH0468525222"/>
    <n v="1"/>
    <x v="166"/>
    <m/>
    <m/>
    <m/>
  </r>
  <r>
    <m/>
    <m/>
    <s v="IPO 4 avril 2019 à 96 CHF"/>
    <m/>
    <n v="72.400000000000006"/>
    <x v="5"/>
    <n v="310600000"/>
    <n v="91500000"/>
    <n v="19613000"/>
    <n v="11859000"/>
    <n v="105600000"/>
    <n v="123234000"/>
    <n v="6.1616999999999997"/>
    <n v="9.6231559472223574E-2"/>
    <n v="5.9995892218813636E-2"/>
    <n v="20000000"/>
    <n v="1448000000"/>
    <n v="11.750004057321844"/>
    <n v="16.979234972677595"/>
    <m/>
    <n v="1101"/>
    <n v="282107.17529518617"/>
    <n v="22300000"/>
    <m/>
    <m/>
    <s v="En 2002 développement du département cinétique (implant de genou)"/>
    <m/>
    <n v="3630"/>
    <n v="0"/>
    <s v="CH046852522212019"/>
    <s v="CH0468525222"/>
    <n v="1"/>
    <x v="166"/>
    <m/>
    <m/>
    <m/>
  </r>
  <r>
    <m/>
    <m/>
    <m/>
    <m/>
    <m/>
    <x v="1"/>
    <m/>
    <m/>
    <m/>
    <m/>
    <m/>
    <m/>
    <m/>
    <m/>
    <m/>
    <m/>
    <m/>
    <m/>
    <m/>
    <m/>
    <m/>
    <s v=""/>
    <m/>
    <m/>
    <m/>
    <s v="Développement d'une technologie propriétaire dans la chirurgie assistée par ordinateur,"/>
    <m/>
    <n v="3631"/>
    <n v="0"/>
    <s v="CH04685252221"/>
    <s v="CH0468525222"/>
    <n v="1"/>
    <x v="166"/>
    <m/>
    <m/>
    <m/>
  </r>
  <r>
    <m/>
    <m/>
    <m/>
    <m/>
    <m/>
    <x v="6"/>
    <m/>
    <m/>
    <m/>
    <m/>
    <m/>
    <m/>
    <m/>
    <m/>
    <m/>
    <m/>
    <m/>
    <m/>
    <m/>
    <m/>
    <m/>
    <s v=""/>
    <m/>
    <m/>
    <m/>
    <m/>
    <m/>
    <n v="3632"/>
    <n v="0"/>
    <s v="CH046852522212018"/>
    <s v="CH0468525222"/>
    <n v="1"/>
    <x v="166"/>
    <m/>
    <m/>
    <m/>
  </r>
  <r>
    <m/>
    <m/>
    <m/>
    <m/>
    <m/>
    <x v="1"/>
    <m/>
    <m/>
    <m/>
    <m/>
    <m/>
    <m/>
    <m/>
    <m/>
    <m/>
    <m/>
    <m/>
    <m/>
    <m/>
    <m/>
    <m/>
    <s v=""/>
    <m/>
    <m/>
    <m/>
    <m/>
    <m/>
    <n v="3633"/>
    <n v="0"/>
    <s v="CH04685252221"/>
    <s v="CH0468525222"/>
    <n v="1"/>
    <x v="166"/>
    <m/>
    <m/>
    <m/>
  </r>
  <r>
    <m/>
    <m/>
    <m/>
    <m/>
    <m/>
    <x v="7"/>
    <m/>
    <m/>
    <m/>
    <m/>
    <m/>
    <m/>
    <m/>
    <m/>
    <m/>
    <m/>
    <m/>
    <m/>
    <m/>
    <m/>
    <m/>
    <s v=""/>
    <m/>
    <m/>
    <m/>
    <m/>
    <m/>
    <n v="3634"/>
    <n v="0"/>
    <s v="CH046852522212017"/>
    <s v="CH0468525222"/>
    <n v="1"/>
    <x v="166"/>
    <m/>
    <m/>
    <m/>
  </r>
  <r>
    <m/>
    <m/>
    <m/>
    <m/>
    <m/>
    <x v="1"/>
    <m/>
    <m/>
    <m/>
    <m/>
    <m/>
    <m/>
    <m/>
    <m/>
    <m/>
    <m/>
    <m/>
    <m/>
    <m/>
    <m/>
    <m/>
    <s v=""/>
    <m/>
    <m/>
    <m/>
    <s v="CAC :"/>
    <m/>
    <n v="3635"/>
    <n v="0"/>
    <s v="CH04685252221"/>
    <s v="CH0468525222"/>
    <n v="1"/>
    <x v="166"/>
    <m/>
    <m/>
    <m/>
  </r>
  <r>
    <m/>
    <m/>
    <m/>
    <m/>
    <m/>
    <x v="8"/>
    <m/>
    <m/>
    <m/>
    <m/>
    <m/>
    <m/>
    <m/>
    <m/>
    <m/>
    <m/>
    <m/>
    <m/>
    <m/>
    <m/>
    <m/>
    <s v=""/>
    <m/>
    <m/>
    <m/>
    <s v="Minoritaire : non"/>
    <m/>
    <n v="3636"/>
    <n v="0"/>
    <s v="CH046852522212016"/>
    <s v="CH0468525222"/>
    <n v="1"/>
    <x v="166"/>
    <m/>
    <m/>
    <m/>
  </r>
  <r>
    <m/>
    <m/>
    <m/>
    <m/>
    <m/>
    <x v="1"/>
    <m/>
    <m/>
    <m/>
    <m/>
    <m/>
    <m/>
    <m/>
    <m/>
    <m/>
    <m/>
    <m/>
    <m/>
    <m/>
    <m/>
    <m/>
    <s v=""/>
    <m/>
    <m/>
    <m/>
    <s v="Pay Out ratio : environ 20 %"/>
    <m/>
    <n v="3637"/>
    <n v="0"/>
    <s v="CH04685252221"/>
    <s v="CH0468525222"/>
    <n v="1"/>
    <x v="166"/>
    <m/>
    <m/>
    <m/>
  </r>
  <r>
    <m/>
    <m/>
    <m/>
    <m/>
    <m/>
    <x v="1"/>
    <m/>
    <m/>
    <m/>
    <m/>
    <m/>
    <m/>
    <m/>
    <m/>
    <m/>
    <m/>
    <m/>
    <m/>
    <m/>
    <m/>
    <m/>
    <s v=""/>
    <m/>
    <m/>
    <m/>
    <s v="Taux d'IS :"/>
    <m/>
    <n v="3638"/>
    <n v="0"/>
    <s v="CH04685252221"/>
    <s v="CH0468525222"/>
    <n v="1"/>
    <x v="166"/>
    <m/>
    <m/>
    <m/>
  </r>
  <r>
    <m/>
    <m/>
    <m/>
    <m/>
    <m/>
    <x v="1"/>
    <m/>
    <m/>
    <m/>
    <m/>
    <m/>
    <m/>
    <m/>
    <m/>
    <m/>
    <m/>
    <m/>
    <m/>
    <m/>
    <m/>
    <m/>
    <s v=""/>
    <m/>
    <m/>
    <m/>
    <m/>
    <m/>
    <n v="3639"/>
    <n v="0"/>
    <s v="CH04685252221"/>
    <s v="CH0468525222"/>
    <n v="1"/>
    <x v="166"/>
    <m/>
    <m/>
    <m/>
  </r>
  <r>
    <m/>
    <m/>
    <m/>
    <m/>
    <m/>
    <x v="1"/>
    <m/>
    <m/>
    <m/>
    <m/>
    <m/>
    <m/>
    <m/>
    <m/>
    <m/>
    <m/>
    <m/>
    <m/>
    <m/>
    <m/>
    <m/>
    <s v=""/>
    <m/>
    <m/>
    <m/>
    <m/>
    <m/>
    <n v="3640"/>
    <n v="0"/>
    <s v="CH04685252221"/>
    <s v="CH0468525222"/>
    <n v="1"/>
    <x v="166"/>
    <m/>
    <m/>
    <m/>
  </r>
  <r>
    <m/>
    <m/>
    <m/>
    <m/>
    <m/>
    <x v="1"/>
    <m/>
    <m/>
    <m/>
    <m/>
    <m/>
    <m/>
    <m/>
    <m/>
    <m/>
    <m/>
    <m/>
    <m/>
    <m/>
    <m/>
    <m/>
    <s v=""/>
    <m/>
    <m/>
    <m/>
    <m/>
    <m/>
    <n v="3641"/>
    <n v="0"/>
    <s v="CH04685252221"/>
    <s v="CH0468525222"/>
    <n v="1"/>
    <x v="166"/>
    <m/>
    <m/>
    <m/>
  </r>
  <r>
    <s v="Ramsay Santé"/>
    <s v="Santé"/>
    <s v="France"/>
    <s v="EUR"/>
    <n v="19.5"/>
    <x v="0"/>
    <m/>
    <m/>
    <m/>
    <m/>
    <m/>
    <m/>
    <m/>
    <m/>
    <m/>
    <m/>
    <m/>
    <m/>
    <m/>
    <m/>
    <m/>
    <s v=""/>
    <m/>
    <m/>
    <m/>
    <s v="Créée en 2010 grâce au soutient du Crédit Agricole et de sa maison mère en autralie Ramsay Healthcare (créée en 1964),"/>
    <m/>
    <n v="3642"/>
    <n v="0"/>
    <s v="FR00004447112023"/>
    <s v="FR000044471"/>
    <n v="1"/>
    <x v="167"/>
    <m/>
    <m/>
    <m/>
  </r>
  <r>
    <m/>
    <m/>
    <m/>
    <m/>
    <m/>
    <x v="1"/>
    <m/>
    <m/>
    <m/>
    <m/>
    <m/>
    <m/>
    <m/>
    <m/>
    <m/>
    <m/>
    <m/>
    <m/>
    <m/>
    <m/>
    <m/>
    <s v=""/>
    <m/>
    <m/>
    <m/>
    <s v="Il s'agit du plus grand groupe Hospitalier mondial."/>
    <m/>
    <n v="3643"/>
    <n v="0"/>
    <s v="FR0000444711"/>
    <s v="FR000044471"/>
    <n v="1"/>
    <x v="167"/>
    <m/>
    <m/>
    <m/>
  </r>
  <r>
    <m/>
    <m/>
    <m/>
    <m/>
    <n v="18.3"/>
    <x v="2"/>
    <n v="4301000000"/>
    <n v="658400000"/>
    <n v="291300000"/>
    <n v="118400000"/>
    <n v="3709900000"/>
    <n v="1212400000"/>
    <n v="10.982909726442751"/>
    <n v="9.7657538766083796E-2"/>
    <n v="4.1425756252158545E-2"/>
    <n v="110389690"/>
    <n v="2020131327"/>
    <n v="1.6662251129990102"/>
    <n v="8.7029637408869984"/>
    <m/>
    <n v="35621"/>
    <n v="120743.38171303444"/>
    <n v="-347800000"/>
    <m/>
    <m/>
    <s v="Actionnariat : 53 % Ramsay Healthcare, 40 % Crédit Agricole, 7% Flottant"/>
    <m/>
    <n v="3644"/>
    <n v="0"/>
    <s v="FR00004447112022"/>
    <s v="FR000044471"/>
    <n v="1"/>
    <x v="167"/>
    <m/>
    <m/>
    <m/>
  </r>
  <r>
    <m/>
    <m/>
    <m/>
    <m/>
    <m/>
    <x v="1"/>
    <m/>
    <m/>
    <m/>
    <m/>
    <m/>
    <m/>
    <m/>
    <m/>
    <m/>
    <m/>
    <m/>
    <m/>
    <m/>
    <m/>
    <m/>
    <s v=""/>
    <m/>
    <m/>
    <m/>
    <s v="CEO : Pascal Roché, né en 1962 nommé le 30/06/2011, fin de mandat prévu pour 2026"/>
    <m/>
    <n v="3645"/>
    <n v="0"/>
    <s v="FR0000444711"/>
    <s v="FR000044471"/>
    <n v="1"/>
    <x v="167"/>
    <m/>
    <m/>
    <m/>
  </r>
  <r>
    <m/>
    <m/>
    <m/>
    <m/>
    <n v="21.4"/>
    <x v="3"/>
    <n v="4022600000"/>
    <n v="643800000"/>
    <n v="250600000"/>
    <n v="73800000"/>
    <n v="3230500000"/>
    <n v="1070300000"/>
    <n v="9.6956518312534445"/>
    <n v="6.8952630103709237E-2"/>
    <n v="4.0787760416666666E-2"/>
    <n v="110389690"/>
    <n v="2362339366"/>
    <n v="2.207174965897412"/>
    <n v="8.687231074867972"/>
    <m/>
    <n v="35550"/>
    <n v="113153.30520393811"/>
    <n v="333500000"/>
    <m/>
    <m/>
    <s v="Président du CA : Mc Nally Craig , né en 1962, nommé le 01/10/2014, fin 30/06/2024, CEO de Ramsay Healthcare"/>
    <m/>
    <n v="3646"/>
    <n v="0"/>
    <s v="FR00004447112021"/>
    <s v="FR000044471"/>
    <n v="1"/>
    <x v="167"/>
    <m/>
    <m/>
    <m/>
  </r>
  <r>
    <m/>
    <m/>
    <m/>
    <m/>
    <m/>
    <x v="1"/>
    <m/>
    <m/>
    <m/>
    <m/>
    <m/>
    <m/>
    <m/>
    <m/>
    <m/>
    <m/>
    <m/>
    <m/>
    <m/>
    <m/>
    <m/>
    <s v=""/>
    <m/>
    <m/>
    <m/>
    <s v="Répartition du CA par Activité : Médecine Obstétrique : 73 %, Soins Proximité 11%, SMR 5 , Santé mentale 5 %, Imagerie 3 %, Personnes agées 3 %, Transport 0,5 %"/>
    <m/>
    <n v="3647"/>
    <n v="0"/>
    <s v="FR0000444711"/>
    <s v="FR000044471"/>
    <n v="1"/>
    <x v="167"/>
    <m/>
    <m/>
    <m/>
  </r>
  <r>
    <m/>
    <m/>
    <m/>
    <m/>
    <m/>
    <x v="1"/>
    <m/>
    <m/>
    <m/>
    <m/>
    <m/>
    <m/>
    <m/>
    <m/>
    <m/>
    <m/>
    <m/>
    <m/>
    <m/>
    <m/>
    <m/>
    <s v=""/>
    <m/>
    <m/>
    <m/>
    <s v="Présence géographique dans 5 pays : Suède, Norvège, France, Italie, Suisse"/>
    <m/>
    <n v="3648"/>
    <n v="0"/>
    <s v="FR0000444711"/>
    <s v="FR000044471"/>
    <n v="1"/>
    <x v="167"/>
    <m/>
    <m/>
    <m/>
  </r>
  <r>
    <m/>
    <m/>
    <m/>
    <m/>
    <m/>
    <x v="1"/>
    <m/>
    <m/>
    <m/>
    <m/>
    <m/>
    <m/>
    <m/>
    <m/>
    <m/>
    <m/>
    <m/>
    <m/>
    <m/>
    <m/>
    <m/>
    <s v=""/>
    <m/>
    <m/>
    <m/>
    <s v="Gère 443 établissements, environ 10,000,000 de patients par an,"/>
    <m/>
    <n v="3649"/>
    <n v="0"/>
    <s v="FR0000444711"/>
    <s v="FR000044471"/>
    <n v="1"/>
    <x v="167"/>
    <m/>
    <m/>
    <m/>
  </r>
  <r>
    <m/>
    <m/>
    <m/>
    <m/>
    <m/>
    <x v="1"/>
    <m/>
    <m/>
    <m/>
    <m/>
    <m/>
    <m/>
    <m/>
    <m/>
    <m/>
    <m/>
    <m/>
    <m/>
    <m/>
    <m/>
    <m/>
    <s v=""/>
    <m/>
    <m/>
    <m/>
    <s v="Frais financiers 3 %"/>
    <m/>
    <n v="3650"/>
    <n v="0"/>
    <s v="FR0000444711"/>
    <s v="FR000044471"/>
    <n v="1"/>
    <x v="167"/>
    <m/>
    <m/>
    <m/>
  </r>
  <r>
    <m/>
    <m/>
    <m/>
    <m/>
    <m/>
    <x v="1"/>
    <m/>
    <m/>
    <m/>
    <m/>
    <m/>
    <m/>
    <m/>
    <m/>
    <m/>
    <m/>
    <m/>
    <m/>
    <m/>
    <m/>
    <m/>
    <s v=""/>
    <m/>
    <m/>
    <m/>
    <s v="Minoritaires : pas"/>
    <m/>
    <n v="3651"/>
    <n v="0"/>
    <s v="FR0000444711"/>
    <s v="FR000044471"/>
    <n v="1"/>
    <x v="167"/>
    <m/>
    <m/>
    <m/>
  </r>
  <r>
    <m/>
    <m/>
    <m/>
    <m/>
    <m/>
    <x v="1"/>
    <m/>
    <m/>
    <m/>
    <m/>
    <m/>
    <m/>
    <m/>
    <m/>
    <m/>
    <m/>
    <m/>
    <m/>
    <m/>
    <m/>
    <m/>
    <s v=""/>
    <m/>
    <m/>
    <m/>
    <s v="Taux d'IS : 25,83 %"/>
    <m/>
    <n v="3652"/>
    <n v="0"/>
    <s v="FR0000444711"/>
    <s v="FR000044471"/>
    <n v="1"/>
    <x v="167"/>
    <m/>
    <m/>
    <m/>
  </r>
  <r>
    <m/>
    <m/>
    <m/>
    <m/>
    <m/>
    <x v="1"/>
    <m/>
    <m/>
    <m/>
    <m/>
    <m/>
    <m/>
    <m/>
    <m/>
    <m/>
    <m/>
    <m/>
    <m/>
    <m/>
    <m/>
    <m/>
    <s v=""/>
    <m/>
    <m/>
    <m/>
    <s v="Pay Out : 0"/>
    <m/>
    <n v="3653"/>
    <n v="0"/>
    <s v="FR0000444711"/>
    <s v="FR000044471"/>
    <n v="1"/>
    <x v="167"/>
    <m/>
    <m/>
    <m/>
  </r>
  <r>
    <m/>
    <m/>
    <m/>
    <m/>
    <m/>
    <x v="1"/>
    <m/>
    <m/>
    <m/>
    <m/>
    <m/>
    <m/>
    <m/>
    <m/>
    <m/>
    <m/>
    <m/>
    <m/>
    <m/>
    <m/>
    <m/>
    <s v=""/>
    <m/>
    <m/>
    <m/>
    <s v="CAC : Ernst et Deloitte"/>
    <m/>
    <n v="3654"/>
    <n v="0"/>
    <s v="FR0000444711"/>
    <s v="FR000044471"/>
    <n v="1"/>
    <x v="167"/>
    <m/>
    <m/>
    <m/>
  </r>
  <r>
    <m/>
    <m/>
    <m/>
    <m/>
    <m/>
    <x v="1"/>
    <m/>
    <m/>
    <m/>
    <m/>
    <m/>
    <m/>
    <m/>
    <m/>
    <m/>
    <m/>
    <m/>
    <m/>
    <m/>
    <m/>
    <m/>
    <s v=""/>
    <m/>
    <m/>
    <m/>
    <m/>
    <m/>
    <n v="3655"/>
    <n v="0"/>
    <s v="FR0000444711"/>
    <s v="FR000044471"/>
    <n v="1"/>
    <x v="167"/>
    <m/>
    <m/>
    <m/>
  </r>
  <r>
    <m/>
    <m/>
    <m/>
    <m/>
    <m/>
    <x v="1"/>
    <m/>
    <m/>
    <m/>
    <m/>
    <m/>
    <m/>
    <m/>
    <m/>
    <m/>
    <m/>
    <m/>
    <m/>
    <m/>
    <m/>
    <m/>
    <s v=""/>
    <m/>
    <m/>
    <m/>
    <m/>
    <m/>
    <n v="3656"/>
    <n v="0"/>
    <s v="FR0000444711"/>
    <s v="FR000044471"/>
    <n v="1"/>
    <x v="167"/>
    <m/>
    <m/>
    <m/>
  </r>
  <r>
    <m/>
    <m/>
    <m/>
    <m/>
    <m/>
    <x v="1"/>
    <m/>
    <m/>
    <m/>
    <m/>
    <m/>
    <m/>
    <m/>
    <m/>
    <m/>
    <m/>
    <m/>
    <m/>
    <m/>
    <m/>
    <m/>
    <s v=""/>
    <m/>
    <m/>
    <m/>
    <m/>
    <m/>
    <n v="3657"/>
    <n v="0"/>
    <s v="FR0000444711"/>
    <s v="FR000044471"/>
    <n v="1"/>
    <x v="167"/>
    <m/>
    <m/>
    <m/>
  </r>
  <r>
    <s v="Amplifon"/>
    <s v="Appareils auditifs"/>
    <s v="Italie"/>
    <s v="EUR"/>
    <m/>
    <x v="0"/>
    <m/>
    <m/>
    <m/>
    <m/>
    <m/>
    <m/>
    <m/>
    <m/>
    <m/>
    <m/>
    <m/>
    <m/>
    <m/>
    <m/>
    <m/>
    <s v=""/>
    <m/>
    <m/>
    <m/>
    <s v="Créée en 1950"/>
    <m/>
    <n v="3658"/>
    <n v="0"/>
    <s v="IT0004056880 12023"/>
    <s v="IT0004056880 "/>
    <n v="1"/>
    <x v="168"/>
    <m/>
    <m/>
    <m/>
  </r>
  <r>
    <m/>
    <m/>
    <m/>
    <m/>
    <m/>
    <x v="1"/>
    <m/>
    <m/>
    <m/>
    <m/>
    <m/>
    <m/>
    <m/>
    <m/>
    <m/>
    <m/>
    <m/>
    <m/>
    <m/>
    <m/>
    <m/>
    <s v=""/>
    <m/>
    <m/>
    <m/>
    <s v="Présidente : Susan Carol Holland (67 ans) depuis 2011 et arrivée en 1988,"/>
    <m/>
    <n v="3659"/>
    <n v="0"/>
    <s v="IT0004056880 1"/>
    <s v="IT0004056880 "/>
    <n v="1"/>
    <x v="168"/>
    <m/>
    <m/>
    <m/>
  </r>
  <r>
    <m/>
    <m/>
    <m/>
    <m/>
    <n v="27.82"/>
    <x v="2"/>
    <n v="2119100000"/>
    <n v="525300000"/>
    <m/>
    <n v="183300000"/>
    <n v="830000000"/>
    <n v="1040350000"/>
    <n v="4.6328940778846341"/>
    <n v="0.1761907050511847"/>
    <n v="0"/>
    <n v="224557260"/>
    <n v="6247182973.1999998"/>
    <n v="6.0048858299610703"/>
    <n v="13.4726498633162"/>
    <m/>
    <n v="19400"/>
    <n v="109231.9587628866"/>
    <m/>
    <m/>
    <m/>
    <s v="CEO : Enrico Vita (54 ans) depuis 2015 et arrivé en 2014"/>
    <m/>
    <n v="3660"/>
    <n v="0"/>
    <s v="IT0004056880 12022"/>
    <s v="IT0004056880 "/>
    <n v="1"/>
    <x v="168"/>
    <m/>
    <m/>
    <m/>
  </r>
  <r>
    <m/>
    <m/>
    <m/>
    <m/>
    <m/>
    <x v="1"/>
    <m/>
    <m/>
    <m/>
    <m/>
    <m/>
    <m/>
    <m/>
    <m/>
    <m/>
    <m/>
    <m/>
    <m/>
    <m/>
    <m/>
    <m/>
    <s v=""/>
    <m/>
    <m/>
    <m/>
    <s v="Actionnariat : Ampliter SRL : 42,2 % et restant flottant"/>
    <m/>
    <n v="3661"/>
    <n v="0"/>
    <s v="IT0004056880 1"/>
    <s v="IT0004056880 "/>
    <n v="1"/>
    <x v="168"/>
    <m/>
    <m/>
    <m/>
  </r>
  <r>
    <m/>
    <m/>
    <m/>
    <m/>
    <n v="47.45"/>
    <x v="3"/>
    <n v="1948100000"/>
    <n v="482800000"/>
    <m/>
    <n v="175200000"/>
    <n v="871200000"/>
    <n v="927281000"/>
    <n v="4.1215919885241998"/>
    <n v="0.18893949083395434"/>
    <n v="0"/>
    <n v="224981270"/>
    <n v="10675361261.5"/>
    <n v="11.512541787764443"/>
    <n v="23.915826970795361"/>
    <m/>
    <m/>
    <s v=""/>
    <m/>
    <m/>
    <m/>
    <s v="Répartition du CA par zone géographique : Europe 68 %, Amérique du nord 17 %, Asie Pacifique 15,1 %"/>
    <m/>
    <n v="3662"/>
    <n v="0"/>
    <s v="IT0004056880 12021"/>
    <s v="IT0004056880 "/>
    <n v="1"/>
    <x v="168"/>
    <m/>
    <m/>
    <m/>
  </r>
  <r>
    <m/>
    <m/>
    <m/>
    <m/>
    <m/>
    <x v="1"/>
    <m/>
    <m/>
    <m/>
    <m/>
    <m/>
    <m/>
    <m/>
    <m/>
    <m/>
    <m/>
    <m/>
    <m/>
    <m/>
    <m/>
    <m/>
    <s v=""/>
    <m/>
    <m/>
    <m/>
    <s v="Répartition du CA par activité : Appareil auditif 89 %, Services 11 %"/>
    <m/>
    <n v="3663"/>
    <n v="0"/>
    <s v="IT0004056880 1"/>
    <s v="IT0004056880 "/>
    <n v="1"/>
    <x v="168"/>
    <m/>
    <m/>
    <m/>
  </r>
  <r>
    <m/>
    <m/>
    <m/>
    <m/>
    <n v="34.04"/>
    <x v="4"/>
    <n v="1503300000"/>
    <n v="365800000"/>
    <m/>
    <n v="96600000"/>
    <n v="633700000"/>
    <n v="800883000"/>
    <n v="3.5786029247820008"/>
    <n v="0.120616869130697"/>
    <n v="0"/>
    <n v="223797671"/>
    <n v="7618072720.8400002"/>
    <n v="9.5120919295827235"/>
    <n v="22.558153966211044"/>
    <m/>
    <m/>
    <s v=""/>
    <m/>
    <m/>
    <m/>
    <m/>
    <m/>
    <n v="3664"/>
    <n v="0"/>
    <s v="IT0004056880 12020"/>
    <s v="IT0004056880 "/>
    <n v="1"/>
    <x v="168"/>
    <m/>
    <m/>
    <m/>
  </r>
  <r>
    <m/>
    <m/>
    <m/>
    <m/>
    <m/>
    <x v="1"/>
    <m/>
    <m/>
    <m/>
    <m/>
    <m/>
    <m/>
    <m/>
    <m/>
    <m/>
    <m/>
    <m/>
    <m/>
    <m/>
    <m/>
    <m/>
    <s v=""/>
    <m/>
    <m/>
    <m/>
    <m/>
    <m/>
    <n v="3665"/>
    <n v="0"/>
    <s v="IT0004056880 1"/>
    <s v="IT0004056880 "/>
    <n v="1"/>
    <x v="168"/>
    <m/>
    <m/>
    <m/>
  </r>
  <r>
    <m/>
    <m/>
    <m/>
    <m/>
    <n v="25.64"/>
    <x v="5"/>
    <n v="1732100000"/>
    <n v="392800000"/>
    <m/>
    <n v="127100000"/>
    <n v="786700000"/>
    <n v="695031000"/>
    <n v="3.132694153706459"/>
    <n v="0.18286954107082992"/>
    <n v="0"/>
    <n v="221863663"/>
    <n v="5688584319.3199997"/>
    <n v="8.1846483384482127"/>
    <n v="16.484939713136455"/>
    <m/>
    <m/>
    <s v=""/>
    <m/>
    <m/>
    <m/>
    <m/>
    <m/>
    <n v="3666"/>
    <n v="0"/>
    <s v="IT0004056880 12019"/>
    <s v="IT0004056880 "/>
    <n v="1"/>
    <x v="168"/>
    <m/>
    <m/>
    <m/>
  </r>
  <r>
    <m/>
    <m/>
    <m/>
    <m/>
    <m/>
    <x v="1"/>
    <m/>
    <m/>
    <m/>
    <m/>
    <m/>
    <m/>
    <m/>
    <m/>
    <m/>
    <m/>
    <m/>
    <m/>
    <m/>
    <m/>
    <m/>
    <s v=""/>
    <m/>
    <m/>
    <m/>
    <m/>
    <m/>
    <n v="3667"/>
    <n v="0"/>
    <s v="IT0004056880 1"/>
    <s v="IT0004056880 "/>
    <n v="1"/>
    <x v="168"/>
    <m/>
    <m/>
    <m/>
  </r>
  <r>
    <m/>
    <m/>
    <m/>
    <m/>
    <n v="14.05"/>
    <x v="6"/>
    <n v="1362200000"/>
    <n v="233900000"/>
    <m/>
    <n v="107100000"/>
    <n v="840900000"/>
    <n v="594519000"/>
    <n v="2.7053294935051504"/>
    <n v="0.1801456303330928"/>
    <n v="0"/>
    <n v="219758444"/>
    <n v="3087606138.2000003"/>
    <n v="5.1934524181733472"/>
    <n v="16.79566540487388"/>
    <m/>
    <m/>
    <s v=""/>
    <m/>
    <m/>
    <m/>
    <s v="CAC"/>
    <m/>
    <n v="3668"/>
    <n v="0"/>
    <s v="IT0004056880 12018"/>
    <s v="IT0004056880 "/>
    <n v="1"/>
    <x v="168"/>
    <m/>
    <m/>
    <m/>
  </r>
  <r>
    <m/>
    <m/>
    <m/>
    <m/>
    <m/>
    <x v="1"/>
    <m/>
    <m/>
    <m/>
    <m/>
    <m/>
    <m/>
    <m/>
    <m/>
    <m/>
    <m/>
    <m/>
    <m/>
    <m/>
    <m/>
    <m/>
    <s v=""/>
    <m/>
    <m/>
    <m/>
    <s v="Minoritaires : très peu"/>
    <m/>
    <n v="3669"/>
    <n v="0"/>
    <s v="IT0004056880 1"/>
    <s v="IT0004056880 "/>
    <n v="1"/>
    <x v="168"/>
    <m/>
    <m/>
    <m/>
  </r>
  <r>
    <m/>
    <m/>
    <m/>
    <m/>
    <m/>
    <x v="1"/>
    <m/>
    <m/>
    <m/>
    <m/>
    <m/>
    <m/>
    <m/>
    <m/>
    <m/>
    <m/>
    <m/>
    <m/>
    <m/>
    <m/>
    <m/>
    <s v=""/>
    <m/>
    <m/>
    <m/>
    <s v="Pay out ratio : 30 %"/>
    <m/>
    <n v="3670"/>
    <n v="0"/>
    <s v="IT0004056880 1"/>
    <s v="IT0004056880 "/>
    <n v="1"/>
    <x v="168"/>
    <m/>
    <m/>
    <m/>
  </r>
  <r>
    <m/>
    <m/>
    <m/>
    <m/>
    <m/>
    <x v="1"/>
    <m/>
    <m/>
    <m/>
    <m/>
    <m/>
    <m/>
    <m/>
    <m/>
    <m/>
    <m/>
    <m/>
    <m/>
    <m/>
    <m/>
    <m/>
    <s v=""/>
    <m/>
    <m/>
    <m/>
    <m/>
    <m/>
    <n v="3671"/>
    <n v="0"/>
    <s v="IT0004056880 1"/>
    <s v="IT0004056880 "/>
    <n v="1"/>
    <x v="168"/>
    <m/>
    <m/>
    <m/>
  </r>
  <r>
    <m/>
    <m/>
    <m/>
    <m/>
    <m/>
    <x v="1"/>
    <m/>
    <m/>
    <m/>
    <m/>
    <m/>
    <m/>
    <m/>
    <m/>
    <m/>
    <m/>
    <m/>
    <m/>
    <m/>
    <m/>
    <m/>
    <s v=""/>
    <m/>
    <m/>
    <m/>
    <m/>
    <m/>
    <n v="3672"/>
    <n v="0"/>
    <s v="IT0004056880 1"/>
    <s v="IT0004056880 "/>
    <n v="1"/>
    <x v="168"/>
    <m/>
    <m/>
    <m/>
  </r>
  <r>
    <m/>
    <m/>
    <m/>
    <m/>
    <m/>
    <x v="1"/>
    <m/>
    <m/>
    <m/>
    <m/>
    <m/>
    <m/>
    <m/>
    <m/>
    <m/>
    <m/>
    <m/>
    <m/>
    <m/>
    <m/>
    <m/>
    <s v=""/>
    <m/>
    <m/>
    <m/>
    <m/>
    <m/>
    <n v="3673"/>
    <n v="0"/>
    <s v="IT0004056880 1"/>
    <s v="IT0004056880 "/>
    <n v="1"/>
    <x v="168"/>
    <m/>
    <m/>
    <m/>
  </r>
  <r>
    <s v="ID Logistics"/>
    <s v="Plateforme logistique"/>
    <s v="France"/>
    <s v="EUR"/>
    <n v="252"/>
    <x v="0"/>
    <m/>
    <m/>
    <m/>
    <m/>
    <m/>
    <m/>
    <m/>
    <m/>
    <m/>
    <m/>
    <m/>
    <m/>
    <m/>
    <m/>
    <m/>
    <s v=""/>
    <m/>
    <m/>
    <m/>
    <m/>
    <m/>
    <n v="3674"/>
    <n v="0"/>
    <s v="FR0010929125 12023"/>
    <s v="FR0010929125 "/>
    <n v="1"/>
    <x v="169"/>
    <m/>
    <m/>
    <m/>
  </r>
  <r>
    <m/>
    <m/>
    <m/>
    <m/>
    <m/>
    <x v="1"/>
    <m/>
    <m/>
    <m/>
    <m/>
    <m/>
    <m/>
    <m/>
    <m/>
    <m/>
    <m/>
    <m/>
    <m/>
    <m/>
    <m/>
    <m/>
    <s v=""/>
    <m/>
    <m/>
    <m/>
    <m/>
    <m/>
    <n v="3675"/>
    <n v="0"/>
    <s v="FR0010929125 1"/>
    <s v="FR0010929125 "/>
    <n v="1"/>
    <x v="169"/>
    <m/>
    <m/>
    <m/>
  </r>
  <r>
    <m/>
    <m/>
    <m/>
    <m/>
    <m/>
    <x v="2"/>
    <n v="2481300000"/>
    <n v="372800000"/>
    <n v="108200000"/>
    <n v="41700000"/>
    <n v="1042000000"/>
    <n v="324700000"/>
    <m/>
    <m/>
    <m/>
    <n v="5686160"/>
    <m/>
    <m/>
    <m/>
    <m/>
    <n v="30000"/>
    <n v="82710"/>
    <m/>
    <m/>
    <m/>
    <s v="Créée en 2001 par Eric Hémar actuel PDG et et Christophe Satin DG délégué (ancien de Geodis)"/>
    <m/>
    <n v="3676"/>
    <n v="0"/>
    <s v="FR0010929125 12022"/>
    <s v="FR0010929125 "/>
    <n v="1"/>
    <x v="169"/>
    <m/>
    <m/>
    <m/>
  </r>
  <r>
    <m/>
    <m/>
    <m/>
    <m/>
    <m/>
    <x v="1"/>
    <m/>
    <m/>
    <m/>
    <m/>
    <m/>
    <m/>
    <m/>
    <m/>
    <m/>
    <m/>
    <m/>
    <m/>
    <m/>
    <m/>
    <m/>
    <s v=""/>
    <m/>
    <m/>
    <m/>
    <s v="Eric Hémar a 59 ans, il a travaillé chez Geodis puis fondé IDLogistics en 2001"/>
    <m/>
    <n v="3677"/>
    <n v="0"/>
    <s v="FR0010929125 1"/>
    <s v="FR0010929125 "/>
    <n v="1"/>
    <x v="169"/>
    <m/>
    <m/>
    <m/>
  </r>
  <r>
    <m/>
    <m/>
    <m/>
    <m/>
    <m/>
    <x v="3"/>
    <n v="1910900000"/>
    <n v="270600000"/>
    <n v="75600000"/>
    <n v="35700000"/>
    <n v="710300000"/>
    <n v="267300000"/>
    <m/>
    <m/>
    <m/>
    <n v="5673788"/>
    <m/>
    <m/>
    <m/>
    <m/>
    <m/>
    <s v=""/>
    <m/>
    <m/>
    <m/>
    <s v="Actionnariat : 52,4% Eric Hémar, restant flottant"/>
    <m/>
    <n v="3678"/>
    <n v="0"/>
    <s v="FR0010929125 12021"/>
    <s v="FR0010929125 "/>
    <n v="1"/>
    <x v="169"/>
    <m/>
    <m/>
    <m/>
  </r>
  <r>
    <m/>
    <m/>
    <m/>
    <m/>
    <m/>
    <x v="1"/>
    <m/>
    <m/>
    <m/>
    <m/>
    <m/>
    <m/>
    <m/>
    <m/>
    <m/>
    <m/>
    <m/>
    <m/>
    <m/>
    <m/>
    <m/>
    <s v=""/>
    <m/>
    <m/>
    <m/>
    <s v="Le marché de la logistique contractuelle est estimé à 250 Mds, C'est un marché très éclaté, les 5 plus gros acteurs représentent 15 %"/>
    <m/>
    <n v="3679"/>
    <n v="0"/>
    <s v="FR0010929125 1"/>
    <s v="FR0010929125 "/>
    <n v="1"/>
    <x v="169"/>
    <m/>
    <m/>
    <m/>
  </r>
  <r>
    <m/>
    <m/>
    <m/>
    <m/>
    <m/>
    <x v="4"/>
    <n v="1642800000"/>
    <n v="223800000"/>
    <n v="60500000"/>
    <n v="28200000"/>
    <n v="438100000"/>
    <n v="229200000"/>
    <m/>
    <m/>
    <m/>
    <n v="5649427"/>
    <m/>
    <m/>
    <m/>
    <m/>
    <m/>
    <s v=""/>
    <m/>
    <m/>
    <m/>
    <s v="En 2021, Id Logistics représente 0,8% du marché et est classé 38ème, "/>
    <m/>
    <n v="3680"/>
    <n v="0"/>
    <s v="FR0010929125 12020"/>
    <s v="FR0010929125 "/>
    <n v="1"/>
    <x v="169"/>
    <m/>
    <m/>
    <m/>
  </r>
  <r>
    <m/>
    <m/>
    <m/>
    <m/>
    <m/>
    <x v="1"/>
    <m/>
    <m/>
    <m/>
    <m/>
    <m/>
    <m/>
    <m/>
    <m/>
    <m/>
    <m/>
    <m/>
    <m/>
    <m/>
    <m/>
    <m/>
    <s v=""/>
    <m/>
    <m/>
    <m/>
    <s v="Travaille avec : Bouygues, Leroy Merlin, Carrefour, Manomano, Darty, Saint Gobain, Pfizer, Sanofi, GSK, Novatris, AstraZeneca, Merc &amp; Co,Johnson &amp; Johnson, Roche"/>
    <m/>
    <n v="3681"/>
    <n v="0"/>
    <s v="FR0010929125 1"/>
    <s v="FR0010929125 "/>
    <n v="1"/>
    <x v="169"/>
    <m/>
    <m/>
    <m/>
  </r>
  <r>
    <m/>
    <m/>
    <m/>
    <m/>
    <m/>
    <x v="5"/>
    <m/>
    <m/>
    <m/>
    <m/>
    <m/>
    <m/>
    <m/>
    <m/>
    <m/>
    <m/>
    <m/>
    <m/>
    <m/>
    <m/>
    <m/>
    <s v=""/>
    <m/>
    <m/>
    <m/>
    <s v="Possède 8M de m² d'entrepôt, réparti dans 17 pays, Etats-unis, Europe"/>
    <m/>
    <n v="3682"/>
    <n v="0"/>
    <s v="FR0010929125 12019"/>
    <s v="FR0010929125 "/>
    <n v="1"/>
    <x v="169"/>
    <m/>
    <m/>
    <m/>
  </r>
  <r>
    <m/>
    <m/>
    <m/>
    <m/>
    <m/>
    <x v="1"/>
    <m/>
    <m/>
    <m/>
    <m/>
    <m/>
    <m/>
    <m/>
    <m/>
    <m/>
    <m/>
    <m/>
    <m/>
    <m/>
    <m/>
    <m/>
    <s v=""/>
    <m/>
    <m/>
    <m/>
    <m/>
    <m/>
    <n v="3683"/>
    <n v="0"/>
    <s v="FR0010929125 1"/>
    <s v="FR0010929125 "/>
    <n v="1"/>
    <x v="169"/>
    <m/>
    <m/>
    <m/>
  </r>
  <r>
    <m/>
    <m/>
    <m/>
    <m/>
    <m/>
    <x v="6"/>
    <m/>
    <m/>
    <m/>
    <m/>
    <m/>
    <m/>
    <m/>
    <m/>
    <m/>
    <m/>
    <m/>
    <m/>
    <m/>
    <m/>
    <m/>
    <s v=""/>
    <m/>
    <m/>
    <m/>
    <s v="CAC : Deloitte et Grant Thornton"/>
    <m/>
    <n v="3684"/>
    <n v="0"/>
    <s v="FR0010929125 12018"/>
    <s v="FR0010929125 "/>
    <n v="1"/>
    <x v="169"/>
    <m/>
    <m/>
    <m/>
  </r>
  <r>
    <m/>
    <m/>
    <m/>
    <m/>
    <m/>
    <x v="1"/>
    <m/>
    <m/>
    <m/>
    <m/>
    <m/>
    <m/>
    <m/>
    <m/>
    <m/>
    <m/>
    <m/>
    <m/>
    <m/>
    <m/>
    <m/>
    <s v=""/>
    <m/>
    <m/>
    <m/>
    <s v="Minoritaires :"/>
    <m/>
    <n v="3685"/>
    <e v="#N/A"/>
    <s v="1"/>
    <m/>
    <n v="1"/>
    <x v="52"/>
    <m/>
    <m/>
    <m/>
  </r>
  <r>
    <m/>
    <m/>
    <m/>
    <m/>
    <m/>
    <x v="1"/>
    <m/>
    <m/>
    <m/>
    <m/>
    <m/>
    <m/>
    <m/>
    <m/>
    <m/>
    <m/>
    <m/>
    <m/>
    <m/>
    <m/>
    <m/>
    <s v=""/>
    <m/>
    <m/>
    <m/>
    <s v="Payout : 0"/>
    <m/>
    <n v="3686"/>
    <e v="#N/A"/>
    <s v="1"/>
    <m/>
    <n v="1"/>
    <x v="52"/>
    <m/>
    <m/>
    <m/>
  </r>
  <r>
    <m/>
    <m/>
    <m/>
    <m/>
    <m/>
    <x v="1"/>
    <m/>
    <m/>
    <m/>
    <m/>
    <m/>
    <m/>
    <m/>
    <m/>
    <m/>
    <m/>
    <m/>
    <m/>
    <m/>
    <m/>
    <m/>
    <s v=""/>
    <m/>
    <m/>
    <m/>
    <m/>
    <m/>
    <n v="3687"/>
    <e v="#N/A"/>
    <s v="1"/>
    <m/>
    <n v="1"/>
    <x v="52"/>
    <m/>
    <m/>
    <m/>
  </r>
  <r>
    <m/>
    <m/>
    <m/>
    <m/>
    <m/>
    <x v="1"/>
    <m/>
    <m/>
    <m/>
    <m/>
    <m/>
    <m/>
    <m/>
    <m/>
    <m/>
    <m/>
    <m/>
    <m/>
    <m/>
    <m/>
    <m/>
    <s v=""/>
    <m/>
    <m/>
    <m/>
    <m/>
    <m/>
    <n v="3688"/>
    <e v="#N/A"/>
    <s v="1"/>
    <m/>
    <n v="1"/>
    <x v="52"/>
    <m/>
    <m/>
    <m/>
  </r>
  <r>
    <m/>
    <m/>
    <m/>
    <m/>
    <m/>
    <x v="1"/>
    <m/>
    <m/>
    <m/>
    <m/>
    <m/>
    <m/>
    <m/>
    <m/>
    <m/>
    <m/>
    <m/>
    <m/>
    <m/>
    <m/>
    <m/>
    <s v=""/>
    <m/>
    <m/>
    <m/>
    <m/>
    <m/>
    <n v="3689"/>
    <e v="#N/A"/>
    <s v="1"/>
    <m/>
    <n v="1"/>
    <x v="52"/>
    <m/>
    <m/>
    <m/>
  </r>
  <r>
    <m/>
    <m/>
    <m/>
    <m/>
    <m/>
    <x v="1"/>
    <m/>
    <m/>
    <m/>
    <m/>
    <m/>
    <m/>
    <m/>
    <m/>
    <m/>
    <m/>
    <m/>
    <m/>
    <m/>
    <m/>
    <m/>
    <s v=""/>
    <m/>
    <m/>
    <m/>
    <m/>
    <m/>
    <n v="3690"/>
    <e v="#N/A"/>
    <s v="1"/>
    <m/>
    <n v="1"/>
    <x v="52"/>
    <m/>
    <m/>
    <m/>
  </r>
  <r>
    <m/>
    <m/>
    <m/>
    <m/>
    <m/>
    <x v="1"/>
    <m/>
    <m/>
    <m/>
    <m/>
    <m/>
    <m/>
    <m/>
    <m/>
    <m/>
    <m/>
    <m/>
    <m/>
    <m/>
    <m/>
    <m/>
    <s v=""/>
    <m/>
    <m/>
    <m/>
    <m/>
    <m/>
    <n v="3691"/>
    <e v="#N/A"/>
    <s v="1"/>
    <m/>
    <n v="1"/>
    <x v="52"/>
    <m/>
    <m/>
    <m/>
  </r>
  <r>
    <m/>
    <m/>
    <m/>
    <m/>
    <m/>
    <x v="1"/>
    <m/>
    <m/>
    <m/>
    <m/>
    <m/>
    <m/>
    <m/>
    <m/>
    <m/>
    <m/>
    <m/>
    <m/>
    <m/>
    <m/>
    <m/>
    <s v=""/>
    <m/>
    <m/>
    <m/>
    <m/>
    <m/>
    <n v="3692"/>
    <e v="#N/A"/>
    <s v="1"/>
    <m/>
    <n v="1"/>
    <x v="52"/>
    <m/>
    <m/>
    <m/>
  </r>
  <r>
    <m/>
    <m/>
    <m/>
    <m/>
    <m/>
    <x v="1"/>
    <m/>
    <m/>
    <m/>
    <m/>
    <m/>
    <m/>
    <m/>
    <m/>
    <m/>
    <m/>
    <m/>
    <m/>
    <m/>
    <m/>
    <m/>
    <s v=""/>
    <m/>
    <m/>
    <m/>
    <m/>
    <m/>
    <n v="3693"/>
    <e v="#N/A"/>
    <s v="1"/>
    <m/>
    <n v="1"/>
    <x v="52"/>
    <m/>
    <m/>
    <m/>
  </r>
  <r>
    <m/>
    <m/>
    <m/>
    <m/>
    <m/>
    <x v="1"/>
    <m/>
    <m/>
    <m/>
    <m/>
    <m/>
    <m/>
    <m/>
    <m/>
    <m/>
    <m/>
    <m/>
    <m/>
    <m/>
    <m/>
    <m/>
    <s v=""/>
    <m/>
    <m/>
    <m/>
    <m/>
    <m/>
    <n v="3694"/>
    <e v="#N/A"/>
    <s v="1"/>
    <m/>
    <n v="1"/>
    <x v="52"/>
    <m/>
    <m/>
    <m/>
  </r>
  <r>
    <m/>
    <m/>
    <m/>
    <m/>
    <m/>
    <x v="1"/>
    <m/>
    <m/>
    <m/>
    <m/>
    <m/>
    <m/>
    <m/>
    <m/>
    <m/>
    <m/>
    <m/>
    <m/>
    <m/>
    <m/>
    <m/>
    <s v=""/>
    <m/>
    <m/>
    <m/>
    <m/>
    <m/>
    <n v="3695"/>
    <e v="#N/A"/>
    <s v="1"/>
    <m/>
    <n v="1"/>
    <x v="52"/>
    <m/>
    <m/>
    <m/>
  </r>
  <r>
    <m/>
    <m/>
    <m/>
    <m/>
    <m/>
    <x v="1"/>
    <m/>
    <m/>
    <m/>
    <m/>
    <m/>
    <m/>
    <m/>
    <m/>
    <m/>
    <m/>
    <m/>
    <m/>
    <m/>
    <m/>
    <m/>
    <s v=""/>
    <m/>
    <m/>
    <m/>
    <m/>
    <m/>
    <n v="3696"/>
    <e v="#N/A"/>
    <s v="1"/>
    <m/>
    <n v="1"/>
    <x v="52"/>
    <m/>
    <m/>
    <m/>
  </r>
  <r>
    <m/>
    <m/>
    <m/>
    <m/>
    <m/>
    <x v="1"/>
    <m/>
    <m/>
    <m/>
    <m/>
    <m/>
    <m/>
    <m/>
    <m/>
    <m/>
    <m/>
    <m/>
    <m/>
    <m/>
    <m/>
    <m/>
    <s v=""/>
    <m/>
    <m/>
    <m/>
    <m/>
    <m/>
    <n v="3697"/>
    <e v="#N/A"/>
    <s v="1"/>
    <m/>
    <n v="1"/>
    <x v="52"/>
    <m/>
    <m/>
    <m/>
  </r>
  <r>
    <m/>
    <m/>
    <m/>
    <m/>
    <m/>
    <x v="1"/>
    <m/>
    <m/>
    <m/>
    <m/>
    <m/>
    <m/>
    <m/>
    <m/>
    <m/>
    <m/>
    <m/>
    <m/>
    <m/>
    <m/>
    <m/>
    <s v=""/>
    <m/>
    <m/>
    <m/>
    <m/>
    <m/>
    <n v="3698"/>
    <e v="#N/A"/>
    <s v="1"/>
    <m/>
    <n v="1"/>
    <x v="52"/>
    <m/>
    <m/>
    <m/>
  </r>
  <r>
    <m/>
    <m/>
    <m/>
    <m/>
    <m/>
    <x v="1"/>
    <m/>
    <m/>
    <m/>
    <m/>
    <m/>
    <m/>
    <m/>
    <m/>
    <m/>
    <m/>
    <m/>
    <m/>
    <m/>
    <m/>
    <m/>
    <s v=""/>
    <m/>
    <m/>
    <m/>
    <m/>
    <m/>
    <n v="3699"/>
    <e v="#N/A"/>
    <s v="1"/>
    <m/>
    <n v="1"/>
    <x v="52"/>
    <m/>
    <m/>
    <m/>
  </r>
  <r>
    <m/>
    <m/>
    <m/>
    <m/>
    <m/>
    <x v="1"/>
    <m/>
    <m/>
    <m/>
    <m/>
    <m/>
    <m/>
    <m/>
    <m/>
    <m/>
    <m/>
    <m/>
    <m/>
    <m/>
    <m/>
    <m/>
    <s v=""/>
    <m/>
    <m/>
    <m/>
    <m/>
    <m/>
    <n v="3700"/>
    <e v="#N/A"/>
    <s v="1"/>
    <m/>
    <n v="1"/>
    <x v="52"/>
    <m/>
    <m/>
    <m/>
  </r>
  <r>
    <m/>
    <m/>
    <m/>
    <m/>
    <m/>
    <x v="1"/>
    <m/>
    <m/>
    <m/>
    <m/>
    <m/>
    <m/>
    <m/>
    <m/>
    <m/>
    <m/>
    <m/>
    <m/>
    <m/>
    <m/>
    <m/>
    <s v=""/>
    <m/>
    <m/>
    <m/>
    <m/>
    <m/>
    <n v="3701"/>
    <e v="#N/A"/>
    <s v="1"/>
    <m/>
    <n v="1"/>
    <x v="52"/>
    <m/>
    <m/>
    <m/>
  </r>
  <r>
    <m/>
    <m/>
    <m/>
    <m/>
    <m/>
    <x v="1"/>
    <m/>
    <m/>
    <m/>
    <m/>
    <m/>
    <m/>
    <m/>
    <m/>
    <m/>
    <m/>
    <m/>
    <m/>
    <m/>
    <m/>
    <m/>
    <s v=""/>
    <m/>
    <m/>
    <m/>
    <m/>
    <m/>
    <n v="3702"/>
    <e v="#N/A"/>
    <s v="1"/>
    <m/>
    <n v="1"/>
    <x v="52"/>
    <m/>
    <m/>
    <m/>
  </r>
  <r>
    <m/>
    <m/>
    <m/>
    <m/>
    <m/>
    <x v="1"/>
    <m/>
    <m/>
    <m/>
    <m/>
    <m/>
    <m/>
    <m/>
    <m/>
    <m/>
    <m/>
    <m/>
    <m/>
    <m/>
    <m/>
    <m/>
    <s v=""/>
    <m/>
    <m/>
    <m/>
    <m/>
    <m/>
    <n v="3703"/>
    <e v="#N/A"/>
    <s v="1"/>
    <m/>
    <n v="1"/>
    <x v="52"/>
    <m/>
    <m/>
    <m/>
  </r>
  <r>
    <m/>
    <m/>
    <m/>
    <m/>
    <m/>
    <x v="1"/>
    <m/>
    <m/>
    <m/>
    <m/>
    <m/>
    <m/>
    <m/>
    <m/>
    <m/>
    <m/>
    <m/>
    <m/>
    <m/>
    <m/>
    <m/>
    <s v=""/>
    <m/>
    <m/>
    <m/>
    <m/>
    <m/>
    <n v="3704"/>
    <e v="#N/A"/>
    <s v="1"/>
    <m/>
    <n v="1"/>
    <x v="52"/>
    <m/>
    <m/>
    <m/>
  </r>
  <r>
    <m/>
    <m/>
    <m/>
    <m/>
    <m/>
    <x v="1"/>
    <m/>
    <m/>
    <m/>
    <m/>
    <m/>
    <m/>
    <m/>
    <m/>
    <m/>
    <m/>
    <m/>
    <m/>
    <m/>
    <m/>
    <m/>
    <s v=""/>
    <m/>
    <m/>
    <m/>
    <m/>
    <m/>
    <n v="3705"/>
    <e v="#N/A"/>
    <s v="1"/>
    <m/>
    <n v="1"/>
    <x v="52"/>
    <m/>
    <m/>
    <m/>
  </r>
  <r>
    <m/>
    <m/>
    <m/>
    <m/>
    <m/>
    <x v="1"/>
    <m/>
    <m/>
    <m/>
    <m/>
    <m/>
    <m/>
    <m/>
    <m/>
    <m/>
    <m/>
    <m/>
    <m/>
    <m/>
    <m/>
    <m/>
    <s v=""/>
    <m/>
    <m/>
    <m/>
    <m/>
    <m/>
    <n v="3706"/>
    <e v="#N/A"/>
    <s v="1"/>
    <m/>
    <n v="1"/>
    <x v="52"/>
    <m/>
    <m/>
    <m/>
  </r>
  <r>
    <m/>
    <m/>
    <m/>
    <m/>
    <m/>
    <x v="1"/>
    <m/>
    <m/>
    <m/>
    <m/>
    <m/>
    <m/>
    <m/>
    <m/>
    <m/>
    <m/>
    <m/>
    <m/>
    <m/>
    <m/>
    <m/>
    <s v=""/>
    <m/>
    <m/>
    <m/>
    <m/>
    <m/>
    <n v="3707"/>
    <e v="#N/A"/>
    <s v="1"/>
    <m/>
    <n v="1"/>
    <x v="52"/>
    <m/>
    <m/>
    <m/>
  </r>
  <r>
    <m/>
    <m/>
    <m/>
    <m/>
    <m/>
    <x v="1"/>
    <m/>
    <m/>
    <m/>
    <m/>
    <m/>
    <m/>
    <m/>
    <m/>
    <m/>
    <m/>
    <m/>
    <m/>
    <m/>
    <m/>
    <m/>
    <s v=""/>
    <m/>
    <m/>
    <m/>
    <m/>
    <m/>
    <n v="3708"/>
    <e v="#N/A"/>
    <s v="1"/>
    <m/>
    <n v="1"/>
    <x v="52"/>
    <m/>
    <m/>
    <m/>
  </r>
  <r>
    <m/>
    <m/>
    <m/>
    <m/>
    <m/>
    <x v="1"/>
    <m/>
    <m/>
    <m/>
    <m/>
    <m/>
    <m/>
    <m/>
    <m/>
    <m/>
    <m/>
    <m/>
    <m/>
    <m/>
    <m/>
    <m/>
    <s v=""/>
    <m/>
    <m/>
    <m/>
    <m/>
    <m/>
    <n v="3709"/>
    <e v="#N/A"/>
    <s v="1"/>
    <m/>
    <n v="1"/>
    <x v="52"/>
    <m/>
    <m/>
    <m/>
  </r>
  <r>
    <m/>
    <m/>
    <m/>
    <m/>
    <m/>
    <x v="1"/>
    <m/>
    <m/>
    <m/>
    <m/>
    <m/>
    <m/>
    <m/>
    <m/>
    <m/>
    <m/>
    <m/>
    <m/>
    <m/>
    <m/>
    <m/>
    <s v=""/>
    <m/>
    <m/>
    <m/>
    <m/>
    <m/>
    <n v="3710"/>
    <e v="#N/A"/>
    <s v="1"/>
    <m/>
    <n v="1"/>
    <x v="52"/>
    <m/>
    <m/>
    <m/>
  </r>
  <r>
    <m/>
    <m/>
    <m/>
    <m/>
    <m/>
    <x v="1"/>
    <m/>
    <m/>
    <m/>
    <m/>
    <m/>
    <m/>
    <m/>
    <m/>
    <m/>
    <m/>
    <m/>
    <m/>
    <m/>
    <m/>
    <m/>
    <s v=""/>
    <m/>
    <m/>
    <m/>
    <m/>
    <m/>
    <n v="3711"/>
    <e v="#N/A"/>
    <s v="1"/>
    <m/>
    <n v="1"/>
    <x v="52"/>
    <m/>
    <m/>
    <m/>
  </r>
  <r>
    <m/>
    <m/>
    <m/>
    <m/>
    <m/>
    <x v="1"/>
    <m/>
    <m/>
    <m/>
    <m/>
    <m/>
    <m/>
    <m/>
    <m/>
    <m/>
    <m/>
    <m/>
    <m/>
    <m/>
    <m/>
    <m/>
    <s v=""/>
    <m/>
    <m/>
    <m/>
    <m/>
    <m/>
    <n v="3712"/>
    <e v="#N/A"/>
    <s v="1"/>
    <m/>
    <n v="1"/>
    <x v="52"/>
    <m/>
    <m/>
    <m/>
  </r>
  <r>
    <m/>
    <m/>
    <m/>
    <m/>
    <m/>
    <x v="1"/>
    <m/>
    <m/>
    <m/>
    <m/>
    <m/>
    <m/>
    <m/>
    <m/>
    <m/>
    <m/>
    <m/>
    <m/>
    <m/>
    <m/>
    <m/>
    <s v=""/>
    <m/>
    <m/>
    <m/>
    <m/>
    <m/>
    <n v="3713"/>
    <e v="#N/A"/>
    <s v="1"/>
    <m/>
    <n v="1"/>
    <x v="52"/>
    <m/>
    <m/>
    <m/>
  </r>
  <r>
    <m/>
    <m/>
    <m/>
    <m/>
    <m/>
    <x v="1"/>
    <m/>
    <m/>
    <m/>
    <m/>
    <m/>
    <m/>
    <m/>
    <m/>
    <m/>
    <m/>
    <m/>
    <m/>
    <m/>
    <m/>
    <m/>
    <s v=""/>
    <m/>
    <m/>
    <m/>
    <m/>
    <m/>
    <n v="3714"/>
    <e v="#N/A"/>
    <s v="1"/>
    <m/>
    <n v="1"/>
    <x v="52"/>
    <m/>
    <m/>
    <m/>
  </r>
  <r>
    <m/>
    <m/>
    <m/>
    <m/>
    <m/>
    <x v="1"/>
    <m/>
    <m/>
    <m/>
    <m/>
    <m/>
    <m/>
    <m/>
    <m/>
    <m/>
    <m/>
    <m/>
    <m/>
    <m/>
    <m/>
    <m/>
    <s v=""/>
    <m/>
    <m/>
    <m/>
    <m/>
    <m/>
    <n v="3715"/>
    <e v="#N/A"/>
    <s v="1"/>
    <m/>
    <n v="1"/>
    <x v="52"/>
    <m/>
    <m/>
    <m/>
  </r>
  <r>
    <m/>
    <m/>
    <m/>
    <m/>
    <m/>
    <x v="1"/>
    <m/>
    <m/>
    <m/>
    <m/>
    <m/>
    <m/>
    <m/>
    <m/>
    <m/>
    <m/>
    <m/>
    <m/>
    <m/>
    <m/>
    <m/>
    <s v=""/>
    <m/>
    <m/>
    <m/>
    <m/>
    <m/>
    <n v="3716"/>
    <e v="#N/A"/>
    <s v="1"/>
    <m/>
    <n v="1"/>
    <x v="52"/>
    <m/>
    <m/>
    <m/>
  </r>
  <r>
    <m/>
    <m/>
    <m/>
    <m/>
    <m/>
    <x v="1"/>
    <m/>
    <m/>
    <m/>
    <m/>
    <m/>
    <m/>
    <m/>
    <m/>
    <m/>
    <m/>
    <m/>
    <m/>
    <m/>
    <m/>
    <m/>
    <s v=""/>
    <m/>
    <m/>
    <m/>
    <m/>
    <m/>
    <n v="3717"/>
    <e v="#N/A"/>
    <s v="1"/>
    <m/>
    <n v="1"/>
    <x v="52"/>
    <m/>
    <m/>
    <m/>
  </r>
  <r>
    <m/>
    <m/>
    <m/>
    <m/>
    <m/>
    <x v="1"/>
    <m/>
    <m/>
    <m/>
    <m/>
    <m/>
    <m/>
    <m/>
    <m/>
    <m/>
    <m/>
    <m/>
    <m/>
    <m/>
    <m/>
    <m/>
    <s v=""/>
    <m/>
    <m/>
    <m/>
    <m/>
    <m/>
    <n v="3718"/>
    <e v="#N/A"/>
    <s v="1"/>
    <m/>
    <n v="1"/>
    <x v="52"/>
    <m/>
    <m/>
    <m/>
  </r>
  <r>
    <m/>
    <m/>
    <m/>
    <m/>
    <m/>
    <x v="1"/>
    <m/>
    <m/>
    <m/>
    <m/>
    <m/>
    <m/>
    <m/>
    <m/>
    <m/>
    <m/>
    <m/>
    <m/>
    <m/>
    <m/>
    <m/>
    <s v=""/>
    <m/>
    <m/>
    <m/>
    <m/>
    <m/>
    <n v="3719"/>
    <e v="#N/A"/>
    <s v="1"/>
    <m/>
    <n v="1"/>
    <x v="52"/>
    <m/>
    <m/>
    <m/>
  </r>
  <r>
    <m/>
    <m/>
    <m/>
    <m/>
    <m/>
    <x v="1"/>
    <m/>
    <m/>
    <m/>
    <m/>
    <m/>
    <m/>
    <m/>
    <m/>
    <m/>
    <m/>
    <m/>
    <m/>
    <m/>
    <m/>
    <m/>
    <s v=""/>
    <m/>
    <m/>
    <m/>
    <m/>
    <m/>
    <n v="3720"/>
    <e v="#N/A"/>
    <s v="1"/>
    <m/>
    <n v="1"/>
    <x v="52"/>
    <m/>
    <m/>
    <m/>
  </r>
  <r>
    <m/>
    <m/>
    <m/>
    <m/>
    <m/>
    <x v="1"/>
    <m/>
    <m/>
    <m/>
    <m/>
    <m/>
    <m/>
    <m/>
    <m/>
    <m/>
    <m/>
    <m/>
    <m/>
    <m/>
    <m/>
    <m/>
    <s v=""/>
    <m/>
    <m/>
    <m/>
    <m/>
    <m/>
    <n v="3721"/>
    <e v="#N/A"/>
    <s v="1"/>
    <m/>
    <n v="1"/>
    <x v="52"/>
    <m/>
    <m/>
    <m/>
  </r>
  <r>
    <m/>
    <m/>
    <m/>
    <m/>
    <m/>
    <x v="1"/>
    <m/>
    <m/>
    <m/>
    <m/>
    <m/>
    <m/>
    <m/>
    <m/>
    <m/>
    <m/>
    <m/>
    <m/>
    <m/>
    <m/>
    <m/>
    <s v=""/>
    <m/>
    <m/>
    <m/>
    <m/>
    <m/>
    <n v="3722"/>
    <e v="#N/A"/>
    <s v="1"/>
    <m/>
    <n v="1"/>
    <x v="52"/>
    <m/>
    <m/>
    <m/>
  </r>
  <r>
    <m/>
    <m/>
    <m/>
    <m/>
    <m/>
    <x v="1"/>
    <m/>
    <m/>
    <m/>
    <m/>
    <m/>
    <m/>
    <m/>
    <m/>
    <m/>
    <m/>
    <m/>
    <m/>
    <m/>
    <m/>
    <m/>
    <s v=""/>
    <m/>
    <m/>
    <m/>
    <m/>
    <m/>
    <n v="3723"/>
    <e v="#N/A"/>
    <s v="1"/>
    <m/>
    <n v="1"/>
    <x v="52"/>
    <m/>
    <m/>
    <m/>
  </r>
  <r>
    <m/>
    <m/>
    <m/>
    <m/>
    <m/>
    <x v="1"/>
    <m/>
    <m/>
    <m/>
    <m/>
    <m/>
    <m/>
    <m/>
    <m/>
    <m/>
    <m/>
    <m/>
    <m/>
    <m/>
    <m/>
    <m/>
    <s v=""/>
    <m/>
    <m/>
    <m/>
    <m/>
    <m/>
    <n v="3724"/>
    <e v="#N/A"/>
    <s v="1"/>
    <m/>
    <n v="1"/>
    <x v="52"/>
    <m/>
    <m/>
    <m/>
  </r>
  <r>
    <m/>
    <m/>
    <m/>
    <m/>
    <m/>
    <x v="1"/>
    <m/>
    <m/>
    <m/>
    <m/>
    <m/>
    <m/>
    <m/>
    <m/>
    <m/>
    <m/>
    <m/>
    <m/>
    <m/>
    <m/>
    <m/>
    <s v=""/>
    <m/>
    <m/>
    <m/>
    <m/>
    <m/>
    <n v="3725"/>
    <e v="#N/A"/>
    <s v="1"/>
    <m/>
    <n v="1"/>
    <x v="52"/>
    <m/>
    <m/>
    <m/>
  </r>
  <r>
    <m/>
    <m/>
    <m/>
    <m/>
    <m/>
    <x v="1"/>
    <m/>
    <m/>
    <m/>
    <m/>
    <m/>
    <m/>
    <m/>
    <m/>
    <m/>
    <m/>
    <m/>
    <m/>
    <m/>
    <m/>
    <m/>
    <s v=""/>
    <m/>
    <m/>
    <m/>
    <m/>
    <m/>
    <n v="3726"/>
    <e v="#N/A"/>
    <s v="1"/>
    <m/>
    <n v="1"/>
    <x v="52"/>
    <m/>
    <m/>
    <m/>
  </r>
  <r>
    <m/>
    <m/>
    <m/>
    <m/>
    <m/>
    <x v="1"/>
    <m/>
    <m/>
    <m/>
    <m/>
    <m/>
    <m/>
    <m/>
    <m/>
    <m/>
    <m/>
    <m/>
    <m/>
    <m/>
    <m/>
    <m/>
    <s v=""/>
    <m/>
    <m/>
    <m/>
    <m/>
    <m/>
    <n v="3727"/>
    <e v="#N/A"/>
    <s v="1"/>
    <m/>
    <n v="1"/>
    <x v="52"/>
    <m/>
    <m/>
    <m/>
  </r>
  <r>
    <m/>
    <m/>
    <m/>
    <m/>
    <m/>
    <x v="1"/>
    <m/>
    <m/>
    <m/>
    <m/>
    <m/>
    <m/>
    <m/>
    <m/>
    <m/>
    <m/>
    <m/>
    <m/>
    <m/>
    <m/>
    <m/>
    <s v=""/>
    <m/>
    <m/>
    <m/>
    <m/>
    <m/>
    <n v="3728"/>
    <e v="#N/A"/>
    <s v="1"/>
    <m/>
    <n v="1"/>
    <x v="52"/>
    <m/>
    <m/>
    <m/>
  </r>
  <r>
    <m/>
    <m/>
    <m/>
    <m/>
    <m/>
    <x v="1"/>
    <m/>
    <m/>
    <m/>
    <m/>
    <m/>
    <m/>
    <m/>
    <m/>
    <m/>
    <m/>
    <m/>
    <m/>
    <m/>
    <m/>
    <m/>
    <s v=""/>
    <m/>
    <m/>
    <m/>
    <m/>
    <m/>
    <n v="3729"/>
    <e v="#N/A"/>
    <s v="1"/>
    <m/>
    <n v="1"/>
    <x v="52"/>
    <m/>
    <m/>
    <m/>
  </r>
  <r>
    <m/>
    <m/>
    <m/>
    <m/>
    <m/>
    <x v="1"/>
    <m/>
    <m/>
    <m/>
    <m/>
    <m/>
    <m/>
    <m/>
    <m/>
    <m/>
    <m/>
    <m/>
    <m/>
    <m/>
    <m/>
    <m/>
    <s v=""/>
    <m/>
    <m/>
    <m/>
    <m/>
    <m/>
    <n v="3730"/>
    <e v="#N/A"/>
    <s v="1"/>
    <m/>
    <n v="1"/>
    <x v="52"/>
    <m/>
    <m/>
    <m/>
  </r>
  <r>
    <m/>
    <m/>
    <m/>
    <m/>
    <m/>
    <x v="1"/>
    <m/>
    <m/>
    <m/>
    <m/>
    <m/>
    <m/>
    <m/>
    <m/>
    <m/>
    <m/>
    <m/>
    <m/>
    <m/>
    <m/>
    <m/>
    <s v=""/>
    <m/>
    <m/>
    <m/>
    <m/>
    <m/>
    <n v="3731"/>
    <e v="#N/A"/>
    <s v="1"/>
    <m/>
    <n v="1"/>
    <x v="52"/>
    <m/>
    <m/>
    <m/>
  </r>
  <r>
    <m/>
    <m/>
    <m/>
    <m/>
    <m/>
    <x v="1"/>
    <m/>
    <m/>
    <m/>
    <m/>
    <m/>
    <m/>
    <m/>
    <m/>
    <m/>
    <m/>
    <m/>
    <m/>
    <m/>
    <m/>
    <m/>
    <s v=""/>
    <m/>
    <m/>
    <m/>
    <m/>
    <m/>
    <n v="3732"/>
    <e v="#N/A"/>
    <s v="1"/>
    <m/>
    <n v="1"/>
    <x v="52"/>
    <m/>
    <m/>
    <m/>
  </r>
  <r>
    <m/>
    <m/>
    <m/>
    <m/>
    <m/>
    <x v="1"/>
    <m/>
    <m/>
    <m/>
    <m/>
    <m/>
    <m/>
    <m/>
    <m/>
    <m/>
    <m/>
    <m/>
    <m/>
    <m/>
    <m/>
    <m/>
    <s v=""/>
    <m/>
    <m/>
    <m/>
    <m/>
    <m/>
    <n v="3733"/>
    <e v="#N/A"/>
    <s v="1"/>
    <m/>
    <n v="1"/>
    <x v="52"/>
    <m/>
    <m/>
    <m/>
  </r>
  <r>
    <m/>
    <m/>
    <m/>
    <m/>
    <m/>
    <x v="1"/>
    <m/>
    <m/>
    <m/>
    <m/>
    <m/>
    <m/>
    <m/>
    <m/>
    <m/>
    <m/>
    <m/>
    <m/>
    <m/>
    <m/>
    <m/>
    <s v=""/>
    <m/>
    <m/>
    <m/>
    <m/>
    <m/>
    <n v="3734"/>
    <e v="#N/A"/>
    <s v="1"/>
    <m/>
    <n v="1"/>
    <x v="52"/>
    <m/>
    <m/>
    <m/>
  </r>
  <r>
    <m/>
    <m/>
    <m/>
    <m/>
    <m/>
    <x v="1"/>
    <m/>
    <m/>
    <m/>
    <m/>
    <m/>
    <m/>
    <m/>
    <m/>
    <m/>
    <m/>
    <m/>
    <m/>
    <m/>
    <m/>
    <m/>
    <s v=""/>
    <m/>
    <m/>
    <m/>
    <m/>
    <m/>
    <n v="3735"/>
    <e v="#N/A"/>
    <s v="1"/>
    <m/>
    <n v="1"/>
    <x v="52"/>
    <m/>
    <m/>
    <m/>
  </r>
  <r>
    <m/>
    <m/>
    <m/>
    <m/>
    <m/>
    <x v="1"/>
    <m/>
    <m/>
    <m/>
    <m/>
    <m/>
    <m/>
    <m/>
    <m/>
    <m/>
    <m/>
    <m/>
    <m/>
    <m/>
    <m/>
    <m/>
    <s v=""/>
    <m/>
    <m/>
    <m/>
    <m/>
    <m/>
    <n v="3736"/>
    <e v="#N/A"/>
    <s v="1"/>
    <m/>
    <n v="1"/>
    <x v="52"/>
    <m/>
    <m/>
    <m/>
  </r>
  <r>
    <m/>
    <m/>
    <m/>
    <m/>
    <m/>
    <x v="1"/>
    <m/>
    <m/>
    <m/>
    <m/>
    <m/>
    <m/>
    <m/>
    <m/>
    <m/>
    <m/>
    <m/>
    <m/>
    <m/>
    <m/>
    <m/>
    <s v=""/>
    <m/>
    <m/>
    <m/>
    <m/>
    <m/>
    <n v="3737"/>
    <e v="#N/A"/>
    <s v="1"/>
    <m/>
    <n v="1"/>
    <x v="52"/>
    <m/>
    <m/>
    <m/>
  </r>
  <r>
    <m/>
    <m/>
    <m/>
    <m/>
    <m/>
    <x v="1"/>
    <m/>
    <m/>
    <m/>
    <m/>
    <m/>
    <m/>
    <m/>
    <m/>
    <m/>
    <m/>
    <m/>
    <m/>
    <m/>
    <m/>
    <m/>
    <s v=""/>
    <m/>
    <m/>
    <m/>
    <m/>
    <m/>
    <n v="3738"/>
    <e v="#N/A"/>
    <s v="1"/>
    <m/>
    <n v="1"/>
    <x v="52"/>
    <m/>
    <m/>
    <m/>
  </r>
  <r>
    <m/>
    <m/>
    <m/>
    <m/>
    <m/>
    <x v="1"/>
    <m/>
    <m/>
    <m/>
    <m/>
    <m/>
    <m/>
    <m/>
    <m/>
    <m/>
    <m/>
    <m/>
    <m/>
    <m/>
    <m/>
    <m/>
    <s v=""/>
    <m/>
    <m/>
    <m/>
    <m/>
    <m/>
    <n v="3739"/>
    <e v="#N/A"/>
    <s v="1"/>
    <m/>
    <n v="1"/>
    <x v="52"/>
    <m/>
    <m/>
    <m/>
  </r>
  <r>
    <m/>
    <m/>
    <m/>
    <m/>
    <m/>
    <x v="1"/>
    <m/>
    <m/>
    <m/>
    <m/>
    <m/>
    <m/>
    <m/>
    <m/>
    <m/>
    <m/>
    <m/>
    <m/>
    <m/>
    <m/>
    <m/>
    <s v=""/>
    <m/>
    <m/>
    <m/>
    <m/>
    <m/>
    <n v="3740"/>
    <e v="#N/A"/>
    <s v="1"/>
    <m/>
    <n v="1"/>
    <x v="52"/>
    <m/>
    <m/>
    <m/>
  </r>
  <r>
    <m/>
    <m/>
    <m/>
    <m/>
    <m/>
    <x v="1"/>
    <m/>
    <m/>
    <m/>
    <m/>
    <m/>
    <m/>
    <m/>
    <m/>
    <m/>
    <m/>
    <m/>
    <m/>
    <m/>
    <m/>
    <m/>
    <s v=""/>
    <m/>
    <m/>
    <m/>
    <m/>
    <m/>
    <n v="3741"/>
    <e v="#N/A"/>
    <s v="1"/>
    <m/>
    <n v="1"/>
    <x v="52"/>
    <m/>
    <m/>
    <m/>
  </r>
  <r>
    <m/>
    <m/>
    <m/>
    <m/>
    <m/>
    <x v="1"/>
    <m/>
    <m/>
    <m/>
    <m/>
    <m/>
    <m/>
    <m/>
    <m/>
    <m/>
    <m/>
    <m/>
    <m/>
    <m/>
    <m/>
    <m/>
    <s v=""/>
    <m/>
    <m/>
    <m/>
    <m/>
    <m/>
    <n v="3742"/>
    <e v="#N/A"/>
    <s v="1"/>
    <m/>
    <n v="1"/>
    <x v="52"/>
    <m/>
    <m/>
    <m/>
  </r>
  <r>
    <m/>
    <m/>
    <m/>
    <m/>
    <m/>
    <x v="1"/>
    <m/>
    <m/>
    <m/>
    <m/>
    <m/>
    <m/>
    <m/>
    <m/>
    <m/>
    <m/>
    <m/>
    <m/>
    <m/>
    <m/>
    <m/>
    <s v=""/>
    <m/>
    <m/>
    <m/>
    <m/>
    <m/>
    <n v="3743"/>
    <e v="#N/A"/>
    <s v="1"/>
    <m/>
    <n v="1"/>
    <x v="52"/>
    <m/>
    <m/>
    <m/>
  </r>
  <r>
    <m/>
    <m/>
    <m/>
    <m/>
    <m/>
    <x v="1"/>
    <m/>
    <m/>
    <m/>
    <m/>
    <m/>
    <m/>
    <m/>
    <m/>
    <m/>
    <m/>
    <m/>
    <m/>
    <m/>
    <m/>
    <m/>
    <s v=""/>
    <m/>
    <m/>
    <m/>
    <m/>
    <m/>
    <n v="3744"/>
    <e v="#N/A"/>
    <s v="1"/>
    <m/>
    <n v="1"/>
    <x v="52"/>
    <m/>
    <m/>
    <m/>
  </r>
  <r>
    <m/>
    <m/>
    <m/>
    <m/>
    <m/>
    <x v="1"/>
    <m/>
    <m/>
    <m/>
    <m/>
    <m/>
    <m/>
    <m/>
    <m/>
    <m/>
    <m/>
    <m/>
    <m/>
    <m/>
    <m/>
    <m/>
    <s v=""/>
    <m/>
    <m/>
    <m/>
    <m/>
    <m/>
    <n v="3745"/>
    <e v="#N/A"/>
    <s v="1"/>
    <m/>
    <n v="1"/>
    <x v="52"/>
    <m/>
    <m/>
    <m/>
  </r>
  <r>
    <m/>
    <m/>
    <m/>
    <m/>
    <m/>
    <x v="1"/>
    <m/>
    <m/>
    <m/>
    <m/>
    <m/>
    <m/>
    <m/>
    <m/>
    <m/>
    <m/>
    <m/>
    <m/>
    <m/>
    <m/>
    <m/>
    <s v=""/>
    <m/>
    <m/>
    <m/>
    <m/>
    <m/>
    <n v="3746"/>
    <e v="#N/A"/>
    <s v="1"/>
    <m/>
    <n v="1"/>
    <x v="52"/>
    <m/>
    <m/>
    <m/>
  </r>
  <r>
    <m/>
    <m/>
    <m/>
    <m/>
    <m/>
    <x v="1"/>
    <m/>
    <m/>
    <m/>
    <m/>
    <m/>
    <m/>
    <m/>
    <m/>
    <m/>
    <m/>
    <m/>
    <m/>
    <m/>
    <m/>
    <m/>
    <s v=""/>
    <m/>
    <m/>
    <m/>
    <m/>
    <m/>
    <n v="3747"/>
    <e v="#N/A"/>
    <s v="1"/>
    <m/>
    <n v="1"/>
    <x v="52"/>
    <m/>
    <m/>
    <m/>
  </r>
  <r>
    <m/>
    <m/>
    <m/>
    <m/>
    <m/>
    <x v="1"/>
    <m/>
    <m/>
    <m/>
    <m/>
    <m/>
    <m/>
    <m/>
    <m/>
    <m/>
    <m/>
    <m/>
    <m/>
    <m/>
    <m/>
    <m/>
    <s v=""/>
    <m/>
    <m/>
    <m/>
    <m/>
    <m/>
    <n v="3748"/>
    <e v="#N/A"/>
    <s v="1"/>
    <m/>
    <n v="1"/>
    <x v="52"/>
    <m/>
    <m/>
    <m/>
  </r>
  <r>
    <m/>
    <m/>
    <m/>
    <m/>
    <m/>
    <x v="1"/>
    <m/>
    <m/>
    <m/>
    <m/>
    <m/>
    <m/>
    <m/>
    <m/>
    <m/>
    <m/>
    <m/>
    <m/>
    <m/>
    <m/>
    <m/>
    <s v=""/>
    <m/>
    <m/>
    <m/>
    <m/>
    <m/>
    <n v="3749"/>
    <e v="#N/A"/>
    <s v="1"/>
    <m/>
    <n v="1"/>
    <x v="52"/>
    <m/>
    <m/>
    <m/>
  </r>
  <r>
    <m/>
    <m/>
    <m/>
    <m/>
    <m/>
    <x v="1"/>
    <m/>
    <m/>
    <m/>
    <m/>
    <m/>
    <m/>
    <m/>
    <m/>
    <m/>
    <m/>
    <m/>
    <m/>
    <m/>
    <m/>
    <m/>
    <s v=""/>
    <m/>
    <m/>
    <m/>
    <m/>
    <m/>
    <n v="3750"/>
    <e v="#N/A"/>
    <s v="1"/>
    <m/>
    <n v="1"/>
    <x v="52"/>
    <m/>
    <m/>
    <m/>
  </r>
  <r>
    <m/>
    <m/>
    <m/>
    <m/>
    <m/>
    <x v="1"/>
    <m/>
    <m/>
    <m/>
    <m/>
    <m/>
    <m/>
    <m/>
    <m/>
    <m/>
    <m/>
    <m/>
    <m/>
    <m/>
    <m/>
    <m/>
    <s v=""/>
    <m/>
    <m/>
    <m/>
    <m/>
    <m/>
    <n v="3751"/>
    <e v="#N/A"/>
    <s v="1"/>
    <m/>
    <n v="1"/>
    <x v="52"/>
    <m/>
    <m/>
    <m/>
  </r>
  <r>
    <m/>
    <m/>
    <m/>
    <m/>
    <m/>
    <x v="1"/>
    <m/>
    <m/>
    <m/>
    <m/>
    <m/>
    <m/>
    <m/>
    <m/>
    <m/>
    <m/>
    <m/>
    <m/>
    <m/>
    <m/>
    <m/>
    <s v=""/>
    <m/>
    <m/>
    <m/>
    <m/>
    <m/>
    <n v="3752"/>
    <e v="#N/A"/>
    <s v="1"/>
    <m/>
    <n v="1"/>
    <x v="52"/>
    <m/>
    <m/>
    <m/>
  </r>
  <r>
    <m/>
    <m/>
    <m/>
    <m/>
    <m/>
    <x v="1"/>
    <m/>
    <m/>
    <m/>
    <m/>
    <m/>
    <m/>
    <m/>
    <m/>
    <m/>
    <m/>
    <m/>
    <m/>
    <m/>
    <m/>
    <m/>
    <s v=""/>
    <m/>
    <m/>
    <m/>
    <m/>
    <m/>
    <n v="3753"/>
    <e v="#N/A"/>
    <s v="1"/>
    <m/>
    <n v="1"/>
    <x v="52"/>
    <m/>
    <m/>
    <m/>
  </r>
  <r>
    <m/>
    <m/>
    <m/>
    <m/>
    <m/>
    <x v="1"/>
    <m/>
    <m/>
    <m/>
    <m/>
    <m/>
    <m/>
    <m/>
    <m/>
    <m/>
    <m/>
    <m/>
    <m/>
    <m/>
    <m/>
    <m/>
    <s v=""/>
    <m/>
    <m/>
    <m/>
    <m/>
    <m/>
    <n v="3754"/>
    <e v="#N/A"/>
    <s v="1"/>
    <m/>
    <n v="1"/>
    <x v="52"/>
    <m/>
    <m/>
    <m/>
  </r>
  <r>
    <m/>
    <m/>
    <m/>
    <m/>
    <m/>
    <x v="1"/>
    <m/>
    <m/>
    <m/>
    <m/>
    <m/>
    <m/>
    <m/>
    <m/>
    <m/>
    <m/>
    <m/>
    <m/>
    <m/>
    <m/>
    <m/>
    <s v=""/>
    <m/>
    <m/>
    <m/>
    <m/>
    <m/>
    <n v="3755"/>
    <e v="#N/A"/>
    <s v="1"/>
    <m/>
    <n v="1"/>
    <x v="52"/>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54BD12-9626-49F0-9683-F478409C2400}" name="Tab Dyn Somme CA et EBE" cacheId="13" dataPosition="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chartFormat="9">
  <location ref="A3:I16" firstHeaderRow="1" firstDataRow="3" firstDataCol="1"/>
  <pivotFields count="37">
    <pivotField showAll="0"/>
    <pivotField showAll="0"/>
    <pivotField showAll="0"/>
    <pivotField showAll="0"/>
    <pivotField showAll="0"/>
    <pivotField axis="axisRow" showAll="0">
      <items count="43">
        <item x="40"/>
        <item x="16"/>
        <item x="15"/>
        <item x="20"/>
        <item x="38"/>
        <item x="18"/>
        <item x="17"/>
        <item x="12"/>
        <item x="11"/>
        <item x="10"/>
        <item x="9"/>
        <item x="8"/>
        <item x="7"/>
        <item x="6"/>
        <item x="5"/>
        <item x="4"/>
        <item x="3"/>
        <item x="2"/>
        <item x="0"/>
        <item h="1" x="22"/>
        <item h="1" x="37"/>
        <item h="1" x="41"/>
        <item h="1" x="24"/>
        <item h="1" x="13"/>
        <item h="1" x="23"/>
        <item h="1" x="39"/>
        <item h="1" x="21"/>
        <item h="1" x="36"/>
        <item h="1" x="35"/>
        <item h="1" x="34"/>
        <item h="1" x="33"/>
        <item h="1" x="32"/>
        <item h="1" x="31"/>
        <item h="1" x="30"/>
        <item h="1" x="29"/>
        <item h="1" x="28"/>
        <item h="1" x="27"/>
        <item h="1" x="26"/>
        <item h="1" x="25"/>
        <item h="1" x="1"/>
        <item h="1" x="14"/>
        <item h="1" x="19"/>
        <item t="default"/>
      </items>
    </pivotField>
    <pivotField dataField="1" showAll="0"/>
    <pivotField dataField="1" showAll="0"/>
    <pivotField showAl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171">
        <item h="1" x="108"/>
        <item h="1" x="35"/>
        <item h="1" x="1"/>
        <item h="1" x="47"/>
        <item h="1" x="74"/>
        <item h="1" x="142"/>
        <item h="1" x="149"/>
        <item h="1" x="155"/>
        <item h="1" x="93"/>
        <item h="1" x="36"/>
        <item h="1" x="51"/>
        <item h="1" x="10"/>
        <item h="1" x="132"/>
        <item h="1" x="85"/>
        <item h="1" x="41"/>
        <item h="1" x="148"/>
        <item h="1" x="94"/>
        <item h="1" x="40"/>
        <item h="1" x="106"/>
        <item h="1" x="75"/>
        <item h="1" x="17"/>
        <item h="1" x="103"/>
        <item h="1" x="91"/>
        <item h="1" x="151"/>
        <item h="1" x="68"/>
        <item h="1" x="44"/>
        <item h="1" x="46"/>
        <item h="1" x="154"/>
        <item h="1" x="19"/>
        <item h="1" x="16"/>
        <item h="1" x="61"/>
        <item h="1" x="67"/>
        <item h="1" x="34"/>
        <item h="1" x="37"/>
        <item h="1" x="101"/>
        <item x="18"/>
        <item h="1" x="128"/>
        <item h="1" x="15"/>
        <item h="1" x="0"/>
        <item h="1" x="129"/>
        <item h="1" x="11"/>
        <item h="1" x="104"/>
        <item h="1" x="3"/>
        <item h="1" x="22"/>
        <item h="1" x="14"/>
        <item h="1" x="76"/>
        <item h="1" x="137"/>
        <item h="1" x="48"/>
        <item h="1" x="127"/>
        <item h="1" x="114"/>
        <item h="1" x="53"/>
        <item h="1" x="134"/>
        <item h="1" x="121"/>
        <item h="1" x="72"/>
        <item h="1" x="63"/>
        <item h="1" x="99"/>
        <item h="1" x="100"/>
        <item h="1" x="126"/>
        <item h="1" x="77"/>
        <item h="1" x="96"/>
        <item h="1" x="116"/>
        <item h="1" x="92"/>
        <item h="1" x="110"/>
        <item h="1" x="33"/>
        <item h="1" x="50"/>
        <item h="1" x="84"/>
        <item h="1" x="24"/>
        <item h="1" x="65"/>
        <item h="1" x="112"/>
        <item h="1" x="153"/>
        <item h="1" x="8"/>
        <item h="1" x="7"/>
        <item h="1" x="109"/>
        <item h="1" x="125"/>
        <item h="1" x="115"/>
        <item h="1" x="25"/>
        <item h="1" x="97"/>
        <item h="1" x="122"/>
        <item h="1" x="20"/>
        <item h="1" x="60"/>
        <item h="1" x="86"/>
        <item h="1" x="107"/>
        <item h="1" x="28"/>
        <item h="1" x="138"/>
        <item h="1" x="56"/>
        <item h="1" x="140"/>
        <item h="1" x="69"/>
        <item h="1" x="143"/>
        <item h="1" x="98"/>
        <item h="1" x="90"/>
        <item h="1" x="105"/>
        <item h="1" x="66"/>
        <item h="1" x="39"/>
        <item h="1" x="136"/>
        <item h="1" x="120"/>
        <item h="1" x="118"/>
        <item h="1" x="78"/>
        <item h="1" x="64"/>
        <item h="1" x="27"/>
        <item h="1" x="135"/>
        <item h="1" x="88"/>
        <item h="1" x="23"/>
        <item h="1" x="29"/>
        <item h="1" x="123"/>
        <item h="1" x="111"/>
        <item h="1" x="73"/>
        <item h="1" x="5"/>
        <item h="1" x="83"/>
        <item h="1" x="38"/>
        <item h="1" x="133"/>
        <item h="1" x="117"/>
        <item h="1" x="130"/>
        <item h="1" x="54"/>
        <item h="1" x="152"/>
        <item h="1" x="70"/>
        <item h="1" x="79"/>
        <item h="1" x="49"/>
        <item h="1" x="4"/>
        <item h="1" x="131"/>
        <item h="1" x="156"/>
        <item h="1" x="42"/>
        <item h="1" x="45"/>
        <item h="1" x="160"/>
        <item h="1" x="144"/>
        <item h="1" x="119"/>
        <item h="1" x="43"/>
        <item h="1" x="13"/>
        <item h="1" x="2"/>
        <item h="1" x="95"/>
        <item h="1" x="150"/>
        <item h="1" x="89"/>
        <item h="1" x="26"/>
        <item h="1" x="55"/>
        <item h="1" x="124"/>
        <item h="1" x="21"/>
        <item h="1" x="113"/>
        <item h="1" x="62"/>
        <item h="1" x="82"/>
        <item h="1" x="12"/>
        <item h="1" x="6"/>
        <item h="1" x="71"/>
        <item h="1" x="58"/>
        <item h="1" x="9"/>
        <item h="1" x="87"/>
        <item h="1" x="102"/>
        <item h="1" x="57"/>
        <item h="1" x="30"/>
        <item h="1" x="31"/>
        <item h="1" x="59"/>
        <item h="1" x="52"/>
        <item h="1" x="139"/>
        <item h="1" x="157"/>
        <item h="1" x="158"/>
        <item h="1" x="159"/>
        <item h="1" x="161"/>
        <item h="1" x="162"/>
        <item h="1" x="80"/>
        <item h="1" x="32"/>
        <item h="1" x="163"/>
        <item h="1" x="164"/>
        <item h="1" x="165"/>
        <item h="1" x="81"/>
        <item h="1" x="141"/>
        <item h="1" x="166"/>
        <item h="1" x="167"/>
        <item h="1" x="168"/>
        <item h="1" x="169"/>
        <item h="1" x="145"/>
        <item h="1" x="146"/>
        <item h="1" x="147"/>
        <item t="default"/>
      </items>
    </pivotField>
    <pivotField showAll="0"/>
    <pivotField showAll="0"/>
    <pivotField showAll="0"/>
    <pivotField dragToRow="0" dragToCol="0" dragToPage="0" showAll="0" defaultSubtotal="0"/>
  </pivotFields>
  <rowFields count="1">
    <field x="5"/>
  </rowFields>
  <rowItems count="11">
    <i>
      <x v="9"/>
    </i>
    <i>
      <x v="10"/>
    </i>
    <i>
      <x v="11"/>
    </i>
    <i>
      <x v="12"/>
    </i>
    <i>
      <x v="13"/>
    </i>
    <i>
      <x v="14"/>
    </i>
    <i>
      <x v="15"/>
    </i>
    <i>
      <x v="16"/>
    </i>
    <i>
      <x v="17"/>
    </i>
    <i>
      <x v="18"/>
    </i>
    <i t="grand">
      <x/>
    </i>
  </rowItems>
  <colFields count="2">
    <field x="32"/>
    <field x="-2"/>
  </colFields>
  <colItems count="8">
    <i>
      <x v="35"/>
      <x/>
    </i>
    <i r="1" i="1">
      <x v="1"/>
    </i>
    <i r="1" i="2">
      <x v="2"/>
    </i>
    <i r="1" i="3">
      <x v="3"/>
    </i>
    <i t="grand">
      <x/>
    </i>
    <i t="grand" i="1">
      <x/>
    </i>
    <i t="grand" i="2">
      <x/>
    </i>
    <i t="grand" i="3">
      <x/>
    </i>
  </colItems>
  <dataFields count="4">
    <dataField name="Somme de Chiffre d'affaires" fld="6" baseField="5" baseItem="16"/>
    <dataField name="Somme de EBE" fld="7" baseField="0" baseItem="0"/>
    <dataField name="Somme de Résultat Net (PdG)" fld="9" baseField="5" baseItem="6"/>
    <dataField name="Somme de Capitalisation boursière" fld="16" baseField="0" baseItem="0" numFmtId="164"/>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34EDB6-E041-45BF-8460-9F69E72FF38A}" name="Tab Dyn Productivité" cacheId="1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chartFormat="4">
  <location ref="A3:C15" firstHeaderRow="1" firstDataRow="2" firstDataCol="1"/>
  <pivotFields count="37">
    <pivotField showAll="0"/>
    <pivotField showAll="0"/>
    <pivotField showAll="0"/>
    <pivotField showAll="0"/>
    <pivotField showAll="0"/>
    <pivotField axis="axisRow" showAll="0">
      <items count="43">
        <item x="40"/>
        <item x="16"/>
        <item x="15"/>
        <item x="20"/>
        <item x="38"/>
        <item x="18"/>
        <item x="17"/>
        <item x="12"/>
        <item x="11"/>
        <item x="10"/>
        <item x="9"/>
        <item x="8"/>
        <item x="7"/>
        <item x="6"/>
        <item x="5"/>
        <item x="4"/>
        <item x="3"/>
        <item x="2"/>
        <item x="0"/>
        <item h="1" x="22"/>
        <item h="1" x="37"/>
        <item h="1" x="41"/>
        <item h="1" x="24"/>
        <item h="1" x="13"/>
        <item h="1" x="23"/>
        <item h="1" x="39"/>
        <item h="1" x="21"/>
        <item h="1" x="36"/>
        <item h="1" x="35"/>
        <item h="1" x="34"/>
        <item h="1" x="33"/>
        <item h="1" x="32"/>
        <item h="1" x="31"/>
        <item h="1" x="30"/>
        <item h="1" x="29"/>
        <item h="1" x="28"/>
        <item h="1" x="27"/>
        <item h="1" x="26"/>
        <item h="1" x="25"/>
        <item h="1" x="1"/>
        <item h="1" x="14"/>
        <item h="1" x="19"/>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71">
        <item h="1" x="108"/>
        <item h="1" x="35"/>
        <item h="1" x="1"/>
        <item h="1" x="47"/>
        <item h="1" x="74"/>
        <item h="1" x="142"/>
        <item h="1" x="149"/>
        <item h="1" x="155"/>
        <item h="1" x="93"/>
        <item h="1" x="36"/>
        <item h="1" x="51"/>
        <item h="1" x="10"/>
        <item h="1" x="132"/>
        <item h="1" x="85"/>
        <item h="1" x="41"/>
        <item h="1" x="148"/>
        <item h="1" x="94"/>
        <item h="1" x="40"/>
        <item h="1" x="106"/>
        <item h="1" x="75"/>
        <item h="1" x="17"/>
        <item h="1" x="103"/>
        <item h="1" x="91"/>
        <item h="1" x="151"/>
        <item h="1" x="68"/>
        <item h="1" x="44"/>
        <item h="1" x="46"/>
        <item h="1" x="154"/>
        <item h="1" x="19"/>
        <item h="1" x="16"/>
        <item h="1" x="61"/>
        <item h="1" x="67"/>
        <item h="1" x="34"/>
        <item h="1" x="37"/>
        <item h="1" x="101"/>
        <item x="18"/>
        <item h="1" x="128"/>
        <item h="1" x="15"/>
        <item h="1" x="0"/>
        <item h="1" x="129"/>
        <item h="1" x="11"/>
        <item h="1" x="104"/>
        <item h="1" x="3"/>
        <item h="1" x="22"/>
        <item h="1" x="14"/>
        <item h="1" x="76"/>
        <item h="1" x="137"/>
        <item h="1" x="48"/>
        <item h="1" x="127"/>
        <item h="1" x="114"/>
        <item h="1" x="53"/>
        <item h="1" x="134"/>
        <item h="1" x="121"/>
        <item h="1" x="72"/>
        <item h="1" x="63"/>
        <item h="1" x="99"/>
        <item h="1" x="100"/>
        <item h="1" x="126"/>
        <item h="1" x="77"/>
        <item h="1" x="96"/>
        <item h="1" x="116"/>
        <item h="1" x="92"/>
        <item h="1" x="110"/>
        <item h="1" x="33"/>
        <item h="1" x="50"/>
        <item h="1" x="84"/>
        <item h="1" x="24"/>
        <item h="1" x="65"/>
        <item h="1" x="112"/>
        <item h="1" x="153"/>
        <item h="1" x="8"/>
        <item h="1" x="7"/>
        <item h="1" x="109"/>
        <item h="1" x="125"/>
        <item h="1" x="115"/>
        <item h="1" x="25"/>
        <item h="1" x="97"/>
        <item h="1" x="122"/>
        <item h="1" x="20"/>
        <item h="1" x="60"/>
        <item h="1" x="86"/>
        <item h="1" x="107"/>
        <item h="1" x="28"/>
        <item h="1" x="138"/>
        <item h="1" x="56"/>
        <item h="1" x="140"/>
        <item h="1" x="69"/>
        <item h="1" x="143"/>
        <item h="1" x="98"/>
        <item h="1" x="90"/>
        <item h="1" x="105"/>
        <item h="1" x="66"/>
        <item h="1" x="39"/>
        <item h="1" x="136"/>
        <item h="1" x="120"/>
        <item h="1" x="118"/>
        <item h="1" x="78"/>
        <item h="1" x="64"/>
        <item h="1" x="27"/>
        <item h="1" x="135"/>
        <item h="1" x="88"/>
        <item h="1" x="23"/>
        <item h="1" x="29"/>
        <item h="1" x="123"/>
        <item h="1" x="111"/>
        <item h="1" x="73"/>
        <item h="1" x="5"/>
        <item h="1" x="83"/>
        <item h="1" x="38"/>
        <item h="1" x="133"/>
        <item h="1" x="117"/>
        <item h="1" x="130"/>
        <item h="1" x="54"/>
        <item h="1" x="152"/>
        <item h="1" x="70"/>
        <item h="1" x="79"/>
        <item h="1" x="49"/>
        <item h="1" x="4"/>
        <item h="1" x="131"/>
        <item h="1" x="156"/>
        <item h="1" x="42"/>
        <item h="1" x="45"/>
        <item h="1" x="160"/>
        <item h="1" x="144"/>
        <item h="1" x="119"/>
        <item h="1" x="43"/>
        <item h="1" x="13"/>
        <item h="1" x="2"/>
        <item h="1" x="95"/>
        <item h="1" x="150"/>
        <item h="1" x="89"/>
        <item h="1" x="26"/>
        <item h="1" x="55"/>
        <item h="1" x="124"/>
        <item h="1" x="21"/>
        <item h="1" x="113"/>
        <item h="1" x="62"/>
        <item h="1" x="82"/>
        <item h="1" x="12"/>
        <item h="1" x="6"/>
        <item h="1" x="71"/>
        <item h="1" x="58"/>
        <item h="1" x="9"/>
        <item h="1" x="87"/>
        <item h="1" x="102"/>
        <item h="1" x="57"/>
        <item h="1" x="30"/>
        <item h="1" x="31"/>
        <item h="1" x="59"/>
        <item h="1" x="52"/>
        <item h="1" x="139"/>
        <item h="1" x="157"/>
        <item h="1" x="158"/>
        <item h="1" x="159"/>
        <item h="1" x="161"/>
        <item h="1" x="162"/>
        <item h="1" x="80"/>
        <item h="1" x="32"/>
        <item h="1" x="163"/>
        <item h="1" x="164"/>
        <item h="1" x="165"/>
        <item h="1" x="81"/>
        <item h="1" x="141"/>
        <item h="1" x="166"/>
        <item h="1" x="167"/>
        <item h="1" x="168"/>
        <item h="1" x="169"/>
        <item h="1" x="145"/>
        <item h="1" x="146"/>
        <item h="1" x="147"/>
        <item t="default"/>
      </items>
    </pivotField>
    <pivotField showAll="0"/>
    <pivotField showAll="0"/>
    <pivotField showAll="0"/>
    <pivotField dragToRow="0" dragToCol="0" dragToPage="0" showAll="0" defaultSubtotal="0"/>
  </pivotFields>
  <rowFields count="1">
    <field x="5"/>
  </rowFields>
  <rowItems count="11">
    <i>
      <x v="9"/>
    </i>
    <i>
      <x v="10"/>
    </i>
    <i>
      <x v="11"/>
    </i>
    <i>
      <x v="12"/>
    </i>
    <i>
      <x v="13"/>
    </i>
    <i>
      <x v="14"/>
    </i>
    <i>
      <x v="15"/>
    </i>
    <i>
      <x v="16"/>
    </i>
    <i>
      <x v="17"/>
    </i>
    <i>
      <x v="18"/>
    </i>
    <i t="grand">
      <x/>
    </i>
  </rowItems>
  <colFields count="1">
    <field x="32"/>
  </colFields>
  <colItems count="2">
    <i>
      <x v="35"/>
    </i>
    <i t="grand">
      <x/>
    </i>
  </colItems>
  <dataFields count="1">
    <dataField name="Somme de Dettes" fld="10"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2" connectionId="2" xr16:uid="{B9FE2ACC-22D1-4EB3-9D7B-7E1A131C7D08}" autoFormatId="16" applyNumberFormats="0" applyBorderFormats="0" applyFontFormats="0" applyPatternFormats="0" applyAlignmentFormats="0" applyWidthHeightFormats="0">
  <queryTableRefresh nextId="44">
    <queryTableFields count="28">
      <queryTableField id="41" name="Notation par agence " tableColumnId="27"/>
      <queryTableField id="1" name="Liste des sociétés" tableColumnId="1"/>
      <queryTableField id="2" name="Isin" tableColumnId="2"/>
      <queryTableField id="8" name="EBE 2022" tableColumnId="6"/>
      <queryTableField id="5" name="RN Groupe 2023" tableColumnId="5"/>
      <queryTableField id="10" name="RN Groupe 2022" tableColumnId="7"/>
      <queryTableField id="33" name="RN Groupe 2022_x000a_Manuel" tableColumnId="23"/>
      <queryTableField id="13" name="RN Groupe 2021" tableColumnId="9"/>
      <queryTableField id="37" name="RN Groupe 2021_x000a_Manuel" tableColumnId="25"/>
      <queryTableField id="14" name="RN Groupe 2020" tableColumnId="10"/>
      <queryTableField id="15" name="RN Groupe 2019" tableColumnId="11"/>
      <queryTableField id="16" name="RN Groupe 2018" tableColumnId="12"/>
      <queryTableField id="17" name="RN Groupe 2017" tableColumnId="13"/>
      <queryTableField id="18" name="RN Groupe 2016" tableColumnId="14"/>
      <queryTableField id="4" name="PER 2021" tableColumnId="4"/>
      <queryTableField id="7" name="Sous secteur" tableColumnId="3"/>
      <queryTableField id="11" name="Indice" tableColumnId="8"/>
      <queryTableField id="25" name="Capitalisation 2016" tableColumnId="15"/>
      <queryTableField id="26" name="Capitalisation 2017" tableColumnId="16"/>
      <queryTableField id="27" name="Capitalisation 2018" tableColumnId="17"/>
      <queryTableField id="28" name="Capitalisation 2019" tableColumnId="18"/>
      <queryTableField id="29" name="Capitalisation 2020" tableColumnId="19"/>
      <queryTableField id="30" name="Capitalisation 2021" tableColumnId="20"/>
      <queryTableField id="38" name="Capitalisation 2021_x000a_Manuel" tableColumnId="26"/>
      <queryTableField id="31" name="Capitalisation 2022" tableColumnId="21"/>
      <queryTableField id="35" name="Capitalisation 2022_x000a_Manuel" tableColumnId="24"/>
      <queryTableField id="32" name="Capitalisation 2023" tableColumnId="22"/>
      <queryTableField id="42" name="Description" tableColumnId="2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4" xr16:uid="{91ED8FC8-74A0-4A51-BF9A-B17774699229}" autoFormatId="16" applyNumberFormats="0" applyBorderFormats="0" applyFontFormats="0" applyPatternFormats="0" applyAlignmentFormats="0" applyWidthHeightFormats="0">
  <queryTableRefresh nextId="97">
    <queryTableFields count="40">
      <queryTableField id="2" name="Grand Secteur" tableColumnId="2"/>
      <queryTableField id="93" name="Notation par agence " tableColumnId="39"/>
      <queryTableField id="3" name="Industrie" tableColumnId="3"/>
      <queryTableField id="47" name="Secteurs" tableColumnId="14"/>
      <queryTableField id="4" name="Liste des sociétés" tableColumnId="4"/>
      <queryTableField id="39" name="Capitalisation boursière" tableColumnId="13"/>
      <queryTableField id="5" name="Marge OP (2021)" tableColumnId="5"/>
      <queryTableField id="6" name="Valeur Ajoutée" tableColumnId="6"/>
      <queryTableField id="51" name="EBE 2022" tableColumnId="18"/>
      <queryTableField id="7" name="Tendance long-terme" tableColumnId="7"/>
      <queryTableField id="8" name="Concurrence" tableColumnId="8"/>
      <queryTableField id="9" name="Analysée_x000a_1 = Oui_x000a_0 = Non" tableColumnId="9"/>
      <queryTableField id="10" name="Barrière à l'entrée" tableColumnId="10"/>
      <queryTableField id="11" name="ESG" tableColumnId="11"/>
      <queryTableField id="37" name="P/E2" tableColumnId="1"/>
      <queryTableField id="45" name="RN Groupe 2023" tableColumnId="16"/>
      <queryTableField id="53" name="RN Groupe 2022" tableColumnId="19"/>
      <queryTableField id="85" name="RN Groupe 2022_x000a_Manuel" tableColumnId="35"/>
      <queryTableField id="57" name="RN Groupe 2021" tableColumnId="21"/>
      <queryTableField id="89" name="RN Groupe 2021_x000a_Manuel" tableColumnId="37"/>
      <queryTableField id="58" name="RN Groupe 2020" tableColumnId="22"/>
      <queryTableField id="59" name="RN Groupe 2019" tableColumnId="23"/>
      <queryTableField id="60" name="RN Groupe 2018" tableColumnId="24"/>
      <queryTableField id="61" name="RN Groupe 2017" tableColumnId="25"/>
      <queryTableField id="62" name="RN Groupe 2016" tableColumnId="26"/>
      <queryTableField id="42" name="PER 2021" tableColumnId="15"/>
      <queryTableField id="49" name="Sous secteur" tableColumnId="17"/>
      <queryTableField id="54" name="Indice" tableColumnId="20"/>
      <queryTableField id="69" name="Capitalisation 2016" tableColumnId="27"/>
      <queryTableField id="70" name="Capitalisation 2017" tableColumnId="28"/>
      <queryTableField id="71" name="Capitalisation 2018" tableColumnId="29"/>
      <queryTableField id="72" name="Capitalisation 2019" tableColumnId="30"/>
      <queryTableField id="73" name="Capitalisation 2020" tableColumnId="31"/>
      <queryTableField id="74" name="Capitalisation 2021" tableColumnId="32"/>
      <queryTableField id="90" name="Capitalisation 2021_x000a_Manuel" tableColumnId="38"/>
      <queryTableField id="75" name="Capitalisation 2022" tableColumnId="33"/>
      <queryTableField id="87" name="Capitalisation 2022_x000a_Manuel" tableColumnId="36"/>
      <queryTableField id="76" name="Capitalisation 2023" tableColumnId="34"/>
      <queryTableField id="94" name="Description" tableColumnId="40"/>
      <queryTableField id="12" name="Personnalisé" tableColumnId="12"/>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016">
  <rv s="0">
    <v>12</v>
    <v>P/E</v>
    <v>0</v>
  </rv>
  <rv s="0">
    <v>12</v>
    <v>Description</v>
    <v>0</v>
  </rv>
  <rv s="1">
    <v>https://www.bing.com/financeapi/forcetrigger?t=a1xroc&amp;q=XNYS%3aMMM&amp;form=skydnc</v>
    <v>Learn more on Bing</v>
  </rv>
  <rv s="2">
    <v>0</v>
    <v>1</v>
    <v>3M COMPANY (XNYS:MMM)</v>
    <v>3</v>
    <v>4</v>
    <v>Finance</v>
    <v>5</v>
    <v>fr-FR</v>
    <v>a1xroc</v>
    <v>268435456</v>
    <v>1</v>
    <v>Avec Refinitiv</v>
    <v>XNYS</v>
    <v>539318400</v>
    <v>1929</v>
    <v>142.18</v>
    <v>88.23</v>
    <v>0.99329999999999996</v>
    <v>77473088160</v>
    <v>New York Stock Exchange</v>
    <v>144.84</v>
    <v>MMM</v>
    <v>45747.603631978905</v>
    <v>La société 3M est une entreprise technologique diversifiée. La Société est un fabricant et un distributeur d'une variété de produits et de services. Les segments de la Société comprennent la sécurité et l'industrie, le transport et l'électronique, et la consommation. Son segment sécurité et industrie comprend les abrasifs, le marché secondaire automobile, les systèmes de fermeture et de masquage, les marchés de l'électricité, la sécurité personnelle, les granulés de toiture et les adhésifs et rubans industriels. Ce segment offre des produits de réparation de collision et de peinture en aérosol, ainsi que des fixations refermables, des rubans et des matériaux d'étiquetage pour les biens durables. Son secteur du transport et de l'électronique comprend les matériaux de pointe, l'automobile et l'aérospatiale, les solutions commerciales, les matériaux et systèmes d'affichage, les solutions de matériaux électroniques et la sécurité des transports. Son segment Grand public comprend les marchés de la consommation et de la rénovation domiciliaire, l'entretien de la maison et de l'automobile, ainsi que la papeterie et le bureau. Ses marques comprennent 3M Cubitron II abrasives, Scotch-Brite, Filtrete, Command, Scotchgard, post-it et autres.</v>
    <v>USD</v>
    <v>61500</v>
    <v>XNYS</v>
    <v>144.15</v>
    <v>156.35</v>
    <v>Consumer Goods Conglomerates</v>
    <v>2</v>
    <v>-8.2159999999999993E-3</v>
    <v>-1.19</v>
    <v>3M COMPANY</v>
    <v>3M COMPANY</v>
    <v>143.88999999999999</v>
    <v>19.9621</v>
    <v>143.65</v>
    <v>3M Center, Bldg. 220-13E-26A, SAINT PAUL, MN, 55144-1000 US</v>
    <v>Bourse</v>
    <v>3M COMPANY (XNYS:MMM)</v>
    <v>388199</v>
    <v>4489876</v>
  </rv>
  <rv s="3">
    <v>3</v>
  </rv>
  <rv s="1">
    <v>https://www.bing.com/financeapi/forcetrigger?t=b1ldf2&amp;q=XSWX%3aABBN&amp;form=skydnc</v>
    <v>Learn more on Bing</v>
  </rv>
  <rv s="2">
    <v>0</v>
    <v>1</v>
    <v>Abb Ltd (XSWX:ABBN)</v>
    <v>3</v>
    <v>6</v>
    <v>Finance</v>
    <v>7</v>
    <v>fr-FR</v>
    <v>b1ldf2</v>
    <v>268435456</v>
    <v>1</v>
    <v>Avec Refinitiv</v>
    <v>XSWX</v>
    <v>1860615000</v>
    <v>1999</v>
    <v>44.93</v>
    <v>40.770000000000003</v>
    <v>1.1142000000000001</v>
    <v>87275340000</v>
    <v>SIX Swiss Exchange</v>
    <v>46.96</v>
    <v>ABBN</v>
    <v>45747.593217592592</v>
    <v>Abb Ltd est une société de portefeuille. Les secteurs de la Société comprennent Produits d’Électrification, Robotique et Mouvement, Automatisation Industrielle, Réseaux Électriques et Entreprises et Autres. Elle opère dans quatre divisions: Produits d'Électrification, Robotique et Mouvement, Automatisation Industrielle et Réseaux Électriques. Elle est engagée dans le service aux clients des services publics, de l'industrie, des transports et des infrastructures. Le secteur Produits d’Électrification fabrique et vend des produits et services, notamment des appareillages de commutation à basse et moyenne tension, des disjoncteurs, des commutateurs et des produits de contrôle. Le secteur Robotique et Motion fabrique et vend des moteurs, des générateurs, des entraînements à vitesse variable ainsi que des robots et de la robotique. Le secteur Automation Industrielle développe et vend des systèmes d’optimisation des contrôles et des installations, ainsi que des produits et solutions d’automatisation. Le secteur Réseaux Électriques fournit des produits, des systèmes, des solutions de services et des logiciels d’automatisation et d’automatisation.</v>
    <v>CHF</v>
    <v>109900</v>
    <v>XSWX</v>
    <v>45.82</v>
    <v>54</v>
    <v>Machinery, Equipment &amp; Components</v>
    <v>5</v>
    <v>-3.6840000000000005E-2</v>
    <v>-1.73</v>
    <v>Abb Ltd</v>
    <v>Abb Ltd</v>
    <v>45.82</v>
    <v>24.331600000000002</v>
    <v>45.23</v>
    <v>Affolternstrasse 44, ZUERICH, ZUERICH, 8050 CH</v>
    <v>Bourse</v>
    <v>Abb Ltd (XSWX:ABBN)</v>
    <v>2063985</v>
    <v>3109820</v>
  </rv>
  <rv s="3">
    <v>6</v>
  </rv>
  <rv s="1">
    <v>https://www.bing.com/financeapi/forcetrigger?t=a1mpqh&amp;q=XNYS%3aABBV&amp;form=skydnc</v>
    <v>Learn more on Bing</v>
  </rv>
  <rv s="2">
    <v>0</v>
    <v>1</v>
    <v>ABBVIE INC. (XNYS:ABBV)</v>
    <v>3</v>
    <v>4</v>
    <v>Finance</v>
    <v>5</v>
    <v>fr-FR</v>
    <v>a1mpqh</v>
    <v>268435456</v>
    <v>1</v>
    <v>Avec Refinitiv</v>
    <v>XNYS</v>
    <v>1768978000</v>
    <v>2012</v>
    <v>204.41</v>
    <v>153.58000000000001</v>
    <v>0.54710000000000003</v>
    <v>368672704980</v>
    <v>New York Stock Exchange</v>
    <v>205.29</v>
    <v>ABBV</v>
    <v>45747.603621678129</v>
    <v>AbbVie Inc. est une société biopharmaceutique diversifiée axée sur la recherche. La Société est engagée dans la recherche et le développement, la fabrication, la commercialisation et la vente de médicaments et de thérapies. Elle propose des produits dans les catégories thérapeutiques, y compris les produits immunologiques, qui comprennent Humira, Skyrizi et Rinvoq ; produits oncologiques, qui comprennent Imbruvica, Venclexta/Venclyxto, Epkinly et Elahere ; produits esthétiques, qui comprennent Botox Cosmetic, la Collection Juvederm de remplisseurs et autres ; produits neuroscientifiques, qui comprennent Botox Therapeutic, Vraylar, Duopa et Duodopa, Ubrelvy et Qulipta ; produits de soins oculaires, qui se compose d'Ozurdex, Lumigan/Ganfort, Alphagan/Combigan, Restasis et d'autres soins oculaires, et d'autres produits clés, qui comprennent Mavyret/Maviret, Creon, Lupron, Linzess/Constella et Synthroid. Ses produits sont vendus à des grossistes, des distributeurs, des organismes gouvernementaux, des établissements de soins de santé, des pharmacies spécialisées et des détaillants indépendants.</v>
    <v>USD</v>
    <v>55000</v>
    <v>XNYS</v>
    <v>208.67</v>
    <v>218.66</v>
    <v>Pharmaceuticals</v>
    <v>8</v>
    <v>1.5198E-2</v>
    <v>3.12</v>
    <v>ABBVIE INC.</v>
    <v>ABBVIE INC.</v>
    <v>204.41</v>
    <v>85.771000000000001</v>
    <v>208.41</v>
    <v>1 N Waukegan Rd, NORTH CHICAGO, IL, 60064 US</v>
    <v>Bourse</v>
    <v>ABBVIE INC. (XNYS:ABBV)</v>
    <v>1299228</v>
    <v>6994348</v>
  </rv>
  <rv s="3">
    <v>9</v>
  </rv>
  <rv s="1">
    <v>https://www.bing.com/financeapi/forcetrigger?t=ae79c7&amp;q=XPAR%3aAC&amp;form=skydnc</v>
    <v>Learn more on Bing</v>
  </rv>
  <rv s="2">
    <v>0</v>
    <v>1</v>
    <v>ACCOR SA (XPAR:AC)</v>
    <v>3</v>
    <v>8</v>
    <v>Finance</v>
    <v>7</v>
    <v>fr-FR</v>
    <v>ae79c7</v>
    <v>268435456</v>
    <v>1</v>
    <v>Avec Refinitiv</v>
    <v>XPAR</v>
    <v>243667700</v>
    <v>1983</v>
    <v>41.56</v>
    <v>31.73</v>
    <v>1.3105</v>
    <v>10401540000</v>
    <v>Euronext Paris</v>
    <v>42.79</v>
    <v>AC</v>
    <v>45747.593263888892</v>
    <v>Accor sa est un groupe hôtelier basé en France. Elle opère à travers deux divisions : services hôteliers - exploitation d'hôtels sous contrats de gestion, services hôteliers couvre les activités de gestion hôtelière et franchisée fournissant divers services à ses franchisés et hôtels sous gestion, tels que l'utilisation de ses marques, accès au système centralisé de réservation et d'achat et à Accor Academie pour la formation des employés, entre autres. la gestion des hôtels détenus et loués comprend les activités de location d'hôtels, telles que la conception, la construction, la rénovation et l'entretien d'hôtels, entre autres. La Société offre également des solutions numériques aux hôtels indépendants et aux restaurateurs, des services de réservation d'hôtels pour les entreprises et les agences de voyages, des services de conciergerie, des ventes numériques de chambres et de séjours d'hôtel de luxe et haut de gamme et des locations de maisons de luxe possédant un portefeuille d'environ 5 000 adresses dans le monde entier. Elle opère dans le monde entier en détenant plus de 35 marques.</v>
    <v>EUR</v>
    <v>19423</v>
    <v>XPAR</v>
    <v>42.55</v>
    <v>51.1</v>
    <v>Hotels &amp; Entertainment Services</v>
    <v>11</v>
    <v>-1.8696000000000001E-2</v>
    <v>-0.8</v>
    <v>ACCOR SA</v>
    <v>ACCOR SA</v>
    <v>42.38</v>
    <v>18.312100000000001</v>
    <v>41.99</v>
    <v>82 rue de Henri Farman, ISSY-LES-MOULINEAUX, ILE-DE-FRANCE, 92130 FR</v>
    <v>Bourse</v>
    <v>ACCOR SA (XPAR:AC)</v>
    <v>353230</v>
    <v>770630</v>
  </rv>
  <rv s="3">
    <v>12</v>
  </rv>
  <rv s="1">
    <v>https://www.bing.com/financeapi/forcetrigger?t=aapyfr&amp;q=XBRU%3aACKB&amp;form=skydnc</v>
    <v>Learn more on Bing</v>
  </rv>
  <rv s="4">
    <v>9</v>
    <v>10</v>
    <v>ACKERMANS &amp; VAN HAAREN NV (XBRU:ACKB)</v>
    <v>3</v>
    <v>11</v>
    <v>Finance</v>
    <v>7</v>
    <v>fr-FR</v>
    <v>aapyfr</v>
    <v>268435456</v>
    <v>1</v>
    <v>Avec Refinitiv</v>
    <v>XBRU</v>
    <v>33157750</v>
    <v>198.9</v>
    <v>154.19999999999999</v>
    <v>0.88300000000000001</v>
    <v>6764181000</v>
    <v>Euronext Brussels</v>
    <v>204</v>
    <v>ACKB</v>
    <v>45747.593043981484</v>
    <v>Ackermans &amp; Van Haaren NV est un groupe indépendant et diversifié basé en Belgique, actif dans différents secteurs en investissant dans des sociétés basées sur des partenariats à long terme. Elle opère dans cinq secteurs Marine Engineering &amp; Contracting, Private Banking, Real Estate &amp; Senior Care, Energy &amp; Resources et Growth Capital. Les activités Marine Engineering &amp; Contracting vont du dragage à la construction (marine) en passant par les énergies renouvelables et les minéraux des grands fonds marins. Private Banking est principalement active dans la gestion discrétionnaire d'actifs, avec un accent particulier sur les entrepreneurs et les professions libérales. Ses activités Real Estate &amp; Senior Care vont du développement et de la gestion de biens immobiliers aux personnes âgées et aux soins de santé. Energy &amp; Resources met l'accent sur l'agriculture tropicale durable. Le segment Capital de croissance fournit du capital de développement à des entreprises contrôlées par des familles ayant une position concurrentielle et un fort potentiel de croissance.</v>
    <v>EUR</v>
    <v>9615</v>
    <v>XBRU</v>
    <v>202.8</v>
    <v>208</v>
    <v>Construction &amp; Engineering</v>
    <v>14</v>
    <v>-2.1568999999999998E-2</v>
    <v>-4.4000000000000004</v>
    <v>ACKERMANS &amp; VAN HAAREN NV</v>
    <v>ACKERMANS &amp; VAN HAAREN NV</v>
    <v>202.8</v>
    <v>14.498900000000001</v>
    <v>199.6</v>
    <v>Begijnenvest 113, ANTWERPEN, ANTWERPEN, 2000 BE</v>
    <v>Bourse</v>
    <v>ACKERMANS &amp; VAN HAAREN NV (XBRU:ACKB)</v>
    <v>11525</v>
    <v>33250</v>
  </rv>
  <rv s="3">
    <v>15</v>
  </rv>
  <rv s="1">
    <v>https://www.bing.com/financeapi/forcetrigger?t=af3y27&amp;q=XFRA%3aADS&amp;form=skydnc</v>
    <v>Learn more on Bing</v>
  </rv>
  <rv s="2">
    <v>0</v>
    <v>1</v>
    <v>Adidas AG (XFRA:ADS)</v>
    <v>3</v>
    <v>8</v>
    <v>Finance</v>
    <v>7</v>
    <v>fr-FR</v>
    <v>af3y27</v>
    <v>268435456</v>
    <v>1</v>
    <v>Avec Refinitiv</v>
    <v>XFRA</v>
    <v>180000000</v>
    <v>1989</v>
    <v>215</v>
    <v>93.44</v>
    <v>0.89690000000000003</v>
    <v>39942000000</v>
    <v>Deutsche Boerse AG</v>
    <v>219.5</v>
    <v>ADS</v>
    <v>45747.593055555553</v>
    <v>Adidas AG est une entreprise allemande qui conçoit, développe, produit et commercialise une gamme de produits sportifs et sportifs. Les segments de la Société comprennent l'Europe, l'Amérique du Nord, l'Asie-Pacifique, la Russie/CEI et l'Amérique latine; marchés émergents, Adidas Golf, Runtastic et autres entreprises gérées de manière centralisée. Son secteur comprend les activités de gros, de détail et de commerce électronique liées à la distribution et à la vente de produits de la marque Adidas aux clients de détail et aux consommateurs finaux. La Société possède plus de 2 500 magasins de détail, magasins franchisés monomarques, boutiques-in-shops, coentreprises avec des partenaires de vente au détail et des magasins comarqués, et un canal de commerce électronique, qui est disponible pour les clients dans plus de 50 pays. Les produits de marque adidas comprennent les chaussures, les vêtements et la quincaillerie, tels que les sacs et les balles.</v>
    <v>EUR</v>
    <v>62035</v>
    <v>XFRA</v>
    <v>218.3</v>
    <v>335.05</v>
    <v>Textiles &amp; Apparel</v>
    <v>17</v>
    <v>-1.6855999999999999E-2</v>
    <v>-3.7</v>
    <v>Adidas AG</v>
    <v>Adidas AG</v>
    <v>218.3</v>
    <v>52.44</v>
    <v>215.8</v>
    <v>Adi-Dassler-Strasse 1, HERZOGENAURACH, BAYERN, 91074 DE</v>
    <v>Bourse</v>
    <v>Adidas AG (XFRA:ADS)</v>
    <v>156</v>
    <v>498080</v>
  </rv>
  <rv s="3">
    <v>18</v>
  </rv>
  <rv s="1">
    <v>https://www.bing.com/financeapi/forcetrigger?t=ae9vtc&amp;q=XPAR%3aRBT&amp;form=skydnc</v>
    <v>Learn more on Bing</v>
  </rv>
  <rv s="2">
    <v>0</v>
    <v>1</v>
    <v>ROBERTET SA (XPAR:RBT)</v>
    <v>3</v>
    <v>8</v>
    <v>Finance</v>
    <v>7</v>
    <v>fr-FR</v>
    <v>ae9vtc</v>
    <v>268435456</v>
    <v>1</v>
    <v>Avec Refinitiv</v>
    <v>XPAR</v>
    <v>2169300</v>
    <v>1957</v>
    <v>813</v>
    <v>784</v>
    <v>0.17910000000000001</v>
    <v>1779851000</v>
    <v>Euronext Paris</v>
    <v>826</v>
    <v>RBT</v>
    <v>45747.59175925926</v>
    <v>Robertet sa est une holding française spécialisée dans la production et la distribution d'additifs et ingrédients d'arôme et de parfum. Les activités de la Société sont menées par l'intermédiaire de trois divisions : matières premières, qui fournit des ingrédients à l'industrie cosmétique pour des produits tels que des savons, des shampooings et d'autres produits de beauté, ainsi que des désodorisants; parfum, qui fournit des ingrédients qui entrent dans la création d'un certain nombre de parfums et de parfums, et de saveurs, y compris des produits pour les industries de l'alimentation et des boissons. La Société opère à l'échelle mondiale par l'intermédiaire d'un réseau de filiales, dont Bionov, Robertet GmbH, Robertet Argentina, Robertet do Brasil, Robertet Hiyoki, Robertet Turquie, Robertet de Mexico, Robertet USA, Robertet Italia, Robertet Savoury, et Aroma Esencial SL, entre autres.</v>
    <v>EUR</v>
    <v>2358</v>
    <v>XPAR</v>
    <v>831</v>
    <v>975</v>
    <v>Chemicals</v>
    <v>20</v>
    <v>-1.5738000000000002E-2</v>
    <v>-13</v>
    <v>ROBERTET SA</v>
    <v>ROBERTET SA</v>
    <v>831</v>
    <v>19.6892</v>
    <v>813</v>
    <v>37 Avenue Sidi Brahim, Bp 52100, GRASSE, PACA, 06130 FR</v>
    <v>Bourse</v>
    <v>ROBERTET SA (XPAR:RBT)</v>
    <v>346</v>
    <v>910</v>
  </rv>
  <rv s="3">
    <v>21</v>
  </rv>
  <rv s="1">
    <v>http://en.wikipedia.org/wiki/Public_domain</v>
    <v>Public domain</v>
  </rv>
  <rv s="1">
    <v>http://es.wikipedia.org/wiki/Adobe_(empresa)</v>
    <v>Wikipedia</v>
  </rv>
  <rv s="5">
    <v>23</v>
    <v>24</v>
  </rv>
  <rv s="6">
    <v>17</v>
    <v>https://www.bing.com/th?id=AMMS_503c684ccc667ad525fe1d703881df2c&amp;qlt=95</v>
    <v>25</v>
    <v>0</v>
    <v>https://www.bing.com/images/search?form=xlimg&amp;q=adobe+systems</v>
    <v>Image of ADOBE INC.</v>
  </rv>
  <rv s="1">
    <v>https://www.bing.com/financeapi/forcetrigger?t=a1mv7w&amp;q=XNAS%3aADBE&amp;form=skydnc</v>
    <v>Learn more on Bing</v>
  </rv>
  <rv s="7">
    <v>12</v>
    <v>13</v>
    <v>ADOBE INC. (XNAS:ADBE)</v>
    <v>15</v>
    <v>16</v>
    <v>Finance</v>
    <v>5</v>
    <v>fr-FR</v>
    <v>a1mv7w</v>
    <v>268435456</v>
    <v>1</v>
    <v>Avec Refinitiv</v>
    <v>XNAS</v>
    <v>426200000</v>
    <v>1997</v>
    <v>374.8</v>
    <v>374.5</v>
    <v>1.4858</v>
    <v>160238414000</v>
    <v>Nasdaq Stock Market</v>
    <v>385.71</v>
    <v>ADBE</v>
    <v>45747.603663321097</v>
    <v>Adobe Inc est une entreprise technologique mondiale. Les produits, services et solutions de la Société sont utilisés dans le monde entier pour imaginer, créer, gérer, livrer, mesurer, optimisez et interagissez avec le contenu sur toutes les surfaces et alimentez les expériences numériques. Ses segments comprennent les médias numériques, l'expérience numérique, l'édition et la publicité. Le segment des médias numériques est centré sur Adobe Creative Cloud et Adobe document Cloud, qui comprennent Adobe Express, Adobe Firefly, Photoshop et d'autres produits, offrant une variété d'outils aux professionnels de la création, aux communicateurs et aux autres consommateurs. Le segment expérience numérique fournit une plateforme intégrée et un ensemble de produits, services et solutions via Adobe Experience Cloud. Le segment publication et publicité contient des produits et services hérités. En outre, sa solution Adobe GenStudio permet aux entreprises de simplifier leur processus de chaîne logistique de contenu grâce à des capacités d'intelligence artificielle générative (IA) et à une automatisation intelligente.</v>
    <v>USD</v>
    <v>30709</v>
    <v>XNAS</v>
    <v>381.55</v>
    <v>587.75</v>
    <v>26</v>
    <v>Software &amp; IT Services</v>
    <v>27</v>
    <v>-2.5252E-2</v>
    <v>-9.74</v>
    <v>ADOBE INC.</v>
    <v>ADOBE INC.</v>
    <v>380</v>
    <v>24.7317</v>
    <v>375.97</v>
    <v>345 Park Avenue, SAN JOSE, CA, 95110-2704 US</v>
    <v>Bourse</v>
    <v>ADOBE INC. (XNAS:ADBE)</v>
    <v>705238</v>
    <v>4157500</v>
  </rv>
  <rv s="3">
    <v>28</v>
  </rv>
  <rv s="1">
    <v>https://www.bing.com/financeapi/forcetrigger?t=b1ao52&amp;q=XAMS%3aADYEN&amp;form=skydnc</v>
    <v>Learn more on Bing</v>
  </rv>
  <rv s="2">
    <v>0</v>
    <v>1</v>
    <v>Adyen NV (XAMS:ADYEN)</v>
    <v>3</v>
    <v>8</v>
    <v>Finance</v>
    <v>7</v>
    <v>fr-FR</v>
    <v>b1ao52</v>
    <v>268435456</v>
    <v>1</v>
    <v>Avec Refinitiv</v>
    <v>XAMS</v>
    <v>31485190</v>
    <v>2006</v>
    <v>1401.4</v>
    <v>957.4</v>
    <v>2.2393999999999998</v>
    <v>45622040000</v>
    <v>Euronext Amsterdam</v>
    <v>1449</v>
    <v>ADYEN</v>
    <v>45747.593182870369</v>
    <v>Adyen NV, anciennement Adyen BV, est un fournisseur de solutions de paiement mobiles, en ligne et de points de vente (POS) basées aux Pays-Bas. Il exploite une plateforme en ligne permettant aux commerçants d'accepter les paiements à l'échelle internationale et de tous les canaux de vente, tels que les boutiques en ligne, les paiements mobiles à partir d'applications et de sites Web, et POS, tels que les comptoirs, les terminaux mobiles, les tablettes et les caisses enregistreuses, entre autres. La plateforme couvre l'ensemble de la chaîne de paiement, y compris les processus techniques, contractuels, de rapprochement et de règlement. La plate-forme est disponible sous forme de pages de paiement prêtes à l'emploi (HPP), d'interface de programmation d'application (API) et de solution de chiffrement côté client (EE). Les clients de la Société comprennent Mango, KLM, Netflix, Superdry, Uber, Groupon et Crocs, entre autres. Elle possède des bureaux aux Pays-Bas, au Royaume-Uni, en France, en Allemagne, en Belgique, au Brésil, en Chine, en Australie, au Mexique, à Singapour, en Espagne, en Suède et aux États-Unis.</v>
    <v>EUR</v>
    <v>4345</v>
    <v>XAMS</v>
    <v>1444.4</v>
    <v>1869.2</v>
    <v>Financial Technology (Fintech) &amp; Infrastructure</v>
    <v>30</v>
    <v>-3.2160000000000001E-2</v>
    <v>-46.6</v>
    <v>Adyen NV</v>
    <v>Adyen NV</v>
    <v>1434</v>
    <v>48.828000000000003</v>
    <v>1402.4</v>
    <v>Simon Carmiggeltstraat 6-50, AMSTERDAM, NOORD-HOLLAND, 1011 DJ NL</v>
    <v>Bourse</v>
    <v>Adyen NV (XAMS:ADYEN)</v>
    <v>24796</v>
    <v>75910</v>
  </rv>
  <rv s="3">
    <v>31</v>
  </rv>
  <rv s="1">
    <v>https://www.bing.com/financeapi/forcetrigger?t=aapyim&amp;q=XBRU%3aAED&amp;form=skydnc</v>
    <v>Learn more on Bing</v>
  </rv>
  <rv s="2">
    <v>0</v>
    <v>1</v>
    <v>AEDIFICA NV (XBRU:AED)</v>
    <v>3</v>
    <v>8</v>
    <v>Finance</v>
    <v>7</v>
    <v>fr-FR</v>
    <v>aapyim</v>
    <v>268435456</v>
    <v>1</v>
    <v>Avec Refinitiv</v>
    <v>XBRU</v>
    <v>47550120</v>
    <v>2005</v>
    <v>61.65</v>
    <v>54</v>
    <v>1.1079000000000001</v>
    <v>2986147000</v>
    <v>Euronext Brussels</v>
    <v>62.8</v>
    <v>AED</v>
    <v>45747.59275462963</v>
    <v>Aedifica sa est une société belge engagée dans le secteur financier. La Société est une société immobilière réglementée (REIT belge) qui se veut l'entité active dans le secteur immobilier résidentiel. Sa stratégie repose sur deux tendances démographiques : le vieillissement de la population en Europe occidentale et la croissance démographique dans les principales villes belges. Aedifica sa opère à travers deux piliers dans lesquels elle concentre ses activités, tels que le logement pour personnes âgées en Europe de l'Ouest et les immeubles d'habitation dans les villes belges. Ses deux pôles sont concentrés dans deux segments principaux, y compris les logements pour personnes âgées et les immeubles d'habitation, avec un segment non stratégique résiduel comprenant les hôtels et d'autres types de bâtiments. Aedifica sa détient une filiale allemande Aedifica Asset Management GmbH, qui conseille et accompagne la Société dans le développement et la gestion de son portefeuille immobilier en Allemagne. Elle opère également par l'intermédiaire d'un certain nombre de sites de soins de santé et d'une résidence de soins aux pays-Bas.</v>
    <v>EUR</v>
    <v>126</v>
    <v>XBRU</v>
    <v>62.9</v>
    <v>65.75</v>
    <v>Residential &amp; Commercial REIT</v>
    <v>33</v>
    <v>-7.9619999999999995E-4</v>
    <v>-0.05</v>
    <v>AEDIFICA NV</v>
    <v>AEDIFICA NV</v>
    <v>62.75</v>
    <v>14.5809</v>
    <v>62.75</v>
    <v>Rue Belliard 40, Bte 11, BRUXELLES, BRUXELLES-CAPITALE, 1040 BE</v>
    <v>Bourse</v>
    <v>AEDIFICA NV (XBRU:AED)</v>
    <v>16871</v>
    <v>65960</v>
  </rv>
  <rv s="3">
    <v>34</v>
  </rv>
  <rv s="1">
    <v>https://www.bing.com/financeapi/forcetrigger?t=alnyhw&amp;q=XAMS%3aAGN&amp;form=skydnc</v>
    <v>Learn more on Bing</v>
  </rv>
  <rv s="2">
    <v>0</v>
    <v>1</v>
    <v>Aegon Ltd (XAMS:AGN)</v>
    <v>3</v>
    <v>8</v>
    <v>Finance</v>
    <v>7</v>
    <v>fr-FR</v>
    <v>alnyhw</v>
    <v>268435456</v>
    <v>1</v>
    <v>Avec Refinitiv</v>
    <v>XAMS</v>
    <v>1652797000</v>
    <v>2023</v>
    <v>5.9960000000000004</v>
    <v>5.19</v>
    <v>1.0261</v>
    <v>10072150000</v>
    <v>Euronext Amsterdam</v>
    <v>6.0940000000000003</v>
    <v>AGN</v>
    <v>45747.593206018515</v>
    <v>Aegon Ltd. (Aegon) est une société holding internationale de services financiers. La Société offre des produits et des services dans les domaines de l'assurance, de l'épargne à long terme, des services bancaires et de la gestion d'actifs. Aux États-Unis, la Société opère sous deux marques : Transamerica et World Financial Group Insurance Agency, qui offre des solutions d'assurance-vie, d'investissement et de retraite. Aux pays-Bas, Aegon se concentre sur l'assurance vie, l'épargne à long terme, les solutions de retraite et de rente, et les prêts hypothécaires. Au Royaume-Uni, Aegon est la plate-forme de placement, offrant une gamme de solutions de placement, de retraite et de produits de protection aux particuliers, aux conseillers et aux employeurs. En Chine, la Société détient une participation dans Aegon THTF Life Insurance Company, qui offre des solutions d'assurance vie par l'intermédiaire d'un réseau de succursales, principalement dans l'est de la Chine. Elle a également conclu un partenariat avec Banco Santander pour distribuer des produits d'assurance vie, santé et non-vie par l'intermédiaire de ses succursales en Espagne et au Portugal.</v>
    <v>EUR</v>
    <v>15582</v>
    <v>XAMS</v>
    <v>6.0620000000000003</v>
    <v>6.54</v>
    <v>Insurance</v>
    <v>36</v>
    <v>-1.1158999999999999E-2</v>
    <v>-6.8000000000000005E-2</v>
    <v>Aegon Ltd</v>
    <v>Aegon Ltd</v>
    <v>6.0220000000000002</v>
    <v>16.470300000000002</v>
    <v>6.0259999999999998</v>
    <v>Aegonplein 50, DEN HAAG, ZUID-HOLLAND, 2591 TV NL</v>
    <v>Bourse</v>
    <v>Aegon Ltd (XAMS:AGN)</v>
    <v>2287207</v>
    <v>8522750</v>
  </rv>
  <rv s="3">
    <v>37</v>
  </rv>
  <rv s="1">
    <v>https://www.bing.com/financeapi/forcetrigger?t=ae79tc&amp;q=XPAR%3aADP&amp;form=skydnc</v>
    <v>Learn more on Bing</v>
  </rv>
  <rv s="2">
    <v>0</v>
    <v>1</v>
    <v>AEROPORTS DE PARIS SA (XPAR:ADP)</v>
    <v>3</v>
    <v>8</v>
    <v>Finance</v>
    <v>7</v>
    <v>fr-FR</v>
    <v>ae79tc</v>
    <v>268435456</v>
    <v>1</v>
    <v>Avec Refinitiv</v>
    <v>XPAR</v>
    <v>98960600</v>
    <v>1955</v>
    <v>94.1</v>
    <v>94.1</v>
    <v>1.1257999999999999</v>
    <v>9490321000</v>
    <v>Euronext Paris</v>
    <v>95.9</v>
    <v>ADP</v>
    <v>45747.593078703707</v>
    <v>Aeroports de Paris SA est une société basée en France active dans le secteur de la gestion aéroportuaire. Par l'intermédiaire de ses filiales, elle exploite cinq secteurs: aviation, commerce de détail et services, immobilier, développements internationaux et aéroportuaires et autres activités. Le secteur Aviation fournit des biens et services liés aux opérations aéroportuaires, tels que des points de contrôle de sécurité, des systèmes de contrôle, des services de sauvetage et de lutte contre les incendies d'aéronefs, entre autres. Le secteur commerce de détail et services couvre les activités de vente au détail destinées au grand public, y compris la location de commerces de détail, bars et restaurants, banques et location de voitures, entre autres. Le secteur Immobilier comprend tous les services de location immobilière de la Société, à l'exception des contrats de location simple dans les terminaux d'aéroport. Le secteur développements internationaux et aéroportuaires conçoit et exploite des activités aéroportuaires. Le secteur Autres activités comprend, entre autres, les services de télécommunications et de sécurité.</v>
    <v>EUR</v>
    <v>28174</v>
    <v>XPAR</v>
    <v>95.25</v>
    <v>133.19999999999999</v>
    <v>Transport Infrastructure</v>
    <v>39</v>
    <v>-9.9059999999999999E-3</v>
    <v>-0.95</v>
    <v>AEROPORTS DE PARIS SA</v>
    <v>AEROPORTS DE PARIS SA</v>
    <v>94.5</v>
    <v>27.1328</v>
    <v>94.95</v>
    <v>1 Rue de France, TREMBLAY-EN-FRANCE, ILE-DE-FRANCE, 93290 FR</v>
    <v>Bourse</v>
    <v>AEROPORTS DE PARIS SA (XPAR:ADP)</v>
    <v>27643</v>
    <v>91300</v>
  </rv>
  <rv s="3">
    <v>40</v>
  </rv>
  <rv s="1">
    <v>https://www.bing.com/financeapi/forcetrigger?t=aapyoc&amp;q=XBRU%3aAGS&amp;form=skydnc</v>
    <v>Learn more on Bing</v>
  </rv>
  <rv s="2">
    <v>0</v>
    <v>1</v>
    <v>AGEAS SA (XBRU:AGS)</v>
    <v>3</v>
    <v>8</v>
    <v>Finance</v>
    <v>7</v>
    <v>fr-FR</v>
    <v>aapyoc</v>
    <v>268435456</v>
    <v>1</v>
    <v>Avec Refinitiv</v>
    <v>XBRU</v>
    <v>187971200</v>
    <v>1993</v>
    <v>55.1</v>
    <v>39.82</v>
    <v>0.66449999999999998</v>
    <v>10479390000</v>
    <v>Euronext Brussels</v>
    <v>55.75</v>
    <v>AGS</v>
    <v>45747.593101851853</v>
    <v>Ageas sa est une compagnie d'assurance internationale basée en Belgique. Les secteurs d'activité de la Société comprennent la Belgique, l'Europe (à l'exclusion de la Belgique), l'Asie, la réassurance et le compte général. Les activités d'assurance belges opèrent sous le nom d'AG Insurance. L'entreprise au Royaume-Uni est un fournisseur national de solutions d'assurance non-vie. Le secteur Europe de la Société comprend les activités d'assurance de la Société en Europe, à l'exclusion de la Belgique et du Royaume-Uni. La Société opère dans un certain nombre de pays en Asie avec son bureau régional et la filiale à part entière tous deux basés à Hong Kong. Le secteur de la réassurance opère par l'intermédiaire d'Intreas NV, une filiale de la Société, qui travaille comme réassurance interne. Le compte général comprend les activités non liées à l'activité assurance principale, telles que les activités financières du groupe et autres activités de détention.</v>
    <v>EUR</v>
    <v>14837</v>
    <v>XBRU</v>
    <v>55.6</v>
    <v>56.7</v>
    <v>Insurance</v>
    <v>42</v>
    <v>-1.0762000000000001E-2</v>
    <v>-0.6</v>
    <v>AGEAS SA</v>
    <v>AGEAS SA</v>
    <v>55.3</v>
    <v>8.0447000000000006</v>
    <v>55.15</v>
    <v>Avenue du Boulevard 21, BRUXELLES, BRUXELLES-CAPITALE, 1210 BE</v>
    <v>Bourse</v>
    <v>AGEAS SA (XBRU:AGS)</v>
    <v>112423</v>
    <v>643630</v>
  </rv>
  <rv s="3">
    <v>43</v>
  </rv>
  <rv s="1">
    <v>https://www.bing.com/financeapi/forcetrigger?t=ae7ak2&amp;q=XPAR%3aAF&amp;form=skydnc</v>
    <v>Learn more on Bing</v>
  </rv>
  <rv s="2">
    <v>0</v>
    <v>1</v>
    <v>AIR FRANCE - KLM SA (XPAR:AF)</v>
    <v>3</v>
    <v>8</v>
    <v>Finance</v>
    <v>7</v>
    <v>fr-FR</v>
    <v>ae7ak2</v>
    <v>268435456</v>
    <v>1</v>
    <v>Avec Refinitiv</v>
    <v>XPAR</v>
    <v>262769900</v>
    <v>1955</v>
    <v>8.5559999999999992</v>
    <v>6.95</v>
    <v>2.0482</v>
    <v>2400666000</v>
    <v>Euronext Paris</v>
    <v>9.1359999999999992</v>
    <v>AF</v>
    <v>45747.593240740738</v>
    <v>Air France KLM-sa est une compagnie aérienne basée en France. La Société est engagée dans le transport de passagers. Ses activités comprennent également le fret, la maintenance aéronautique et d'autres activités liées au transport aérien, y compris la restauration. Les deux sous-groupes Air France et KLM de la Société ont un programme de flyer, Flying Blue, qui permet aux membres d'acquérir des miles lorsqu'ils voyagent avec des partenaires aériens ou lors de transactions avec des partenaires non aériens. Ses activités comprennent le transport de passagers, le transport de marchandises, la maintenance et d'autres activités. Le réseau de la Société est organisé autour des hubs de Paris-Charles de Gaulle et Amsterdam-Schiphol. Grâce à ces deux hubs, la Société relie l'Europe au reste du monde, avec environ 320 destinations dans plus de 115 pays. Transavia, la filiale de la société, exerce des activités aux pays-Bas et en France destinées aux clients de loisirs moyen-courriers, ainsi qu'à ses vols charters et ses tour-opérateurs.</v>
    <v>EUR</v>
    <v>80730</v>
    <v>XPAR</v>
    <v>9.0039999999999996</v>
    <v>12.16</v>
    <v>Passenger Transportation Services</v>
    <v>45</v>
    <v>-6.1077000000000006E-2</v>
    <v>-0.55800000000000005</v>
    <v>AIR FRANCE - KLM SA</v>
    <v>AIR FRANCE - KLM SA</v>
    <v>9</v>
    <v>9.2355999999999998</v>
    <v>8.5779999999999994</v>
    <v>7 Rue Du Cirque, PARIS, ILE-DE-FRANCE, 75008 FR</v>
    <v>Bourse</v>
    <v>AIR FRANCE - KLM SA (XPAR:AF)</v>
    <v>1059928</v>
    <v>1570500</v>
  </rv>
  <rv s="3">
    <v>46</v>
  </rv>
  <rv s="1">
    <v>https://www.bing.com/financeapi/forcetrigger?t=ae7bjc&amp;q=XPAR%3aAI&amp;form=skydnc</v>
    <v>Learn more on Bing</v>
  </rv>
  <rv s="2">
    <v>0</v>
    <v>1</v>
    <v>L'AIR LIQUIDE SOCIETE ANONYME POUR L'ETUDE ET L'EXPLOITATION DES PROCEDES GEORGES CLAUDE SA (XPAR:AI)</v>
    <v>3</v>
    <v>8</v>
    <v>Finance</v>
    <v>7</v>
    <v>fr-FR</v>
    <v>ae7bjc</v>
    <v>268435456</v>
    <v>1</v>
    <v>Avec Refinitiv</v>
    <v>XPAR</v>
    <v>578299400</v>
    <v>1955</v>
    <v>174.24</v>
    <v>153.41999999999999</v>
    <v>0.74850000000000005</v>
    <v>101965800000</v>
    <v>Euronext Paris</v>
    <v>176.32</v>
    <v>AI</v>
    <v>45747.59326310156</v>
    <v>L'Air Liquide Societe Anonyme Pour l'etude Et l'exploitation Des Procedes Georges Claude SA, anciennement Air Liquide SA, est une société gazière basée en France, qui fournit des technologies et des services liés aux gaz. Elle opère sur deux segments: La Production de gaz industriels et médicaux qui comprennent l'oxygène, l'azote, l'hydrogène, le gaz de synthèse. En outre, le groupe fournit des équipements et des services pour le contrôle des systèmes de fluides, la gestion des gaz chimiques et des liquides, les services de soins à domicile et d'hygiène hospitalière et l'équipement de salle d'opération. Le Chiffre d'affaires par marché est ventilé entre les industries, la santé et l'électronique; et D'autres qui comprennent les activités d'ingénierie et de construction des usines de production de gaz et la fabrication de produits de technologie de pointe. La Société assiste à travers le monde de nombreuses industries, telles que l'aéronautique, l'automobile, les boissons, les produits chimiques, construction, fabrication électronique, alimentation et verre, entre autres.</v>
    <v>EUR</v>
    <v>66657</v>
    <v>XPAR</v>
    <v>175.84</v>
    <v>185.78</v>
    <v>Chemicals</v>
    <v>48</v>
    <v>-3.63E-3</v>
    <v>-0.64</v>
    <v>L'AIR LIQUIDE SOCIETE ANONYME POUR L'ETUDE ET L'EXPLOITATION DES PROCEDES GEORGES CLAUDE SA</v>
    <v>L'AIR LIQUIDE SOCIETE ANONYME POUR L'ETUDE ET L'EXPLOITATION DES PROCEDES GEORGES CLAUDE SA</v>
    <v>175.24</v>
    <v>30.743500000000001</v>
    <v>175.68</v>
    <v>75 Quai D Orsay, PARIS, ILE-DE-FRANCE, 75007 FR</v>
    <v>Bourse</v>
    <v>L'AIR LIQUIDE SOCIETE ANONYME POUR L'ETUDE ET L'EXPLOITATION DES PROCEDES GEORGES CLAUDE SA (XPAR:AI)</v>
    <v>400619</v>
    <v>798680</v>
  </rv>
  <rv s="3">
    <v>49</v>
  </rv>
  <rv s="1">
    <v>http://en.wikipedia.org/wiki/Airbus</v>
    <v>Wikipedia</v>
  </rv>
  <rv s="5">
    <v>23</v>
    <v>51</v>
  </rv>
  <rv s="6">
    <v>17</v>
    <v>https://www.bing.com/th?id=AMMS_abaa60abfe41f3cc31a73bc766832b19&amp;qlt=95</v>
    <v>52</v>
    <v>0</v>
    <v>https://www.bing.com/images/search?form=xlimg&amp;q=airbus</v>
    <v>Image of Airbus SE</v>
  </rv>
  <rv s="1">
    <v>https://www.bing.com/financeapi/forcetrigger?t=ae7bur&amp;q=XPAR%3aAIR&amp;form=skydnc</v>
    <v>Learn more on Bing</v>
  </rv>
  <rv s="7">
    <v>12</v>
    <v>13</v>
    <v>Airbus SE (XPAR:AIR)</v>
    <v>15</v>
    <v>18</v>
    <v>Finance</v>
    <v>7</v>
    <v>fr-FR</v>
    <v>ae7bur</v>
    <v>268435456</v>
    <v>1</v>
    <v>Avec Refinitiv</v>
    <v>XPAR</v>
    <v>792283700</v>
    <v>1998</v>
    <v>161.6</v>
    <v>124.72</v>
    <v>1.4295</v>
    <v>131725100000</v>
    <v>Euronext Paris</v>
    <v>166.26</v>
    <v>AIR</v>
    <v>45747.593252314815</v>
    <v>Airbus SE, anciennement Airbus Group SE, est une société basée aux Pays-Bas active dans l'industrie aérospatiale et de la défense. La Société opère à travers trois segments : Airbus, Airbus Helicopters et Airbus Defence and Space. Le segment Airbus se concentre sur le développement, la fabrication, la commercialisation et la vente d'avions à réaction commerciaux et de composants d'avions, ainsi que sur la conversion d'avions et les services associés. Le segment Airbus Helicopters est spécialisé dans le développement, la fabrication, la commercialisation et la vente d'hélicoptères civils et militaires, ainsi que dans la fourniture de services liés aux hélicoptères. Le segment Airbus Defence and Space produit des avions de combat militaires et des avions d'entraînement, fournit des solutions de marché de l'électronique de défense et de la sécurité mondiale, et fabrique et commercialise des missiles.</v>
    <v>EUR</v>
    <v>156921</v>
    <v>XPAR</v>
    <v>164.98</v>
    <v>177.3</v>
    <v>53</v>
    <v>Aerospace &amp; Defense</v>
    <v>54</v>
    <v>-2.1412E-2</v>
    <v>-3.56</v>
    <v>Airbus SE</v>
    <v>Airbus SE</v>
    <v>164.68</v>
    <v>30.674099999999999</v>
    <v>162.69999999999999</v>
    <v>Mendelweg 30, LEIDEN, ZUID-HOLLAND, 2333 CS NL</v>
    <v>Bourse</v>
    <v>Airbus SE (XPAR:AIR)</v>
    <v>475333</v>
    <v>1121460</v>
  </rv>
  <rv s="3">
    <v>55</v>
  </rv>
  <rv s="1">
    <v>https://www.bing.com/financeapi/forcetrigger?t=alnynm&amp;q=XAMS%3aAKZA&amp;form=skydnc</v>
    <v>Learn more on Bing</v>
  </rv>
  <rv s="4">
    <v>9</v>
    <v>10</v>
    <v>Akzo Nobel NV (XAMS:AKZA)</v>
    <v>3</v>
    <v>11</v>
    <v>Finance</v>
    <v>7</v>
    <v>fr-FR</v>
    <v>alnynm</v>
    <v>268435456</v>
    <v>1</v>
    <v>Avec Refinitiv</v>
    <v>XAMS</v>
    <v>170784600</v>
    <v>55.02</v>
    <v>52.82</v>
    <v>1.0803</v>
    <v>9676657000</v>
    <v>Euronext Amsterdam</v>
    <v>56.66</v>
    <v>AKZA</v>
    <v>45747.593171296299</v>
    <v>Akzo Nobel NV est une société de peintures et de revêtements basée aux Pays-Bas. La société opère à travers deux segments d'activité : Peintures décoratives et Revêtements de performance. Le segment Peintures décoratives fournit une gamme de produits, notamment des peintures, des laques et des vernis. Il propose également une gamme de machines de mélange et de concepts de couleurs pour le secteur de la construction et de la rénovation, ainsi que des revêtements spéciaux pour le métal, le bois et d'autres matériaux de construction essentiels. Le segment Revêtements de performance dispose d'un portefeuille qui comprend des peintures et des revêtements pour les navires, les voitures, les avions, les yachts et les composants architecturaux (acier de construction, produits de construction, revêtements de sol), les biens de consommation (appareils mobiles, électroménagers, canettes de boissons, meubles) et les installations pétrolières et gazières.</v>
    <v>EUR</v>
    <v>34600</v>
    <v>XAMS</v>
    <v>56.36</v>
    <v>70.400000000000006</v>
    <v>Chemicals</v>
    <v>57</v>
    <v>-6.3539999999999994E-3</v>
    <v>-0.36</v>
    <v>Akzo Nobel NV</v>
    <v>Akzo Nobel NV</v>
    <v>56.08</v>
    <v>17.913900000000002</v>
    <v>56.3</v>
    <v>AkzoNobel Center, Christian Neefestraat 2, AMSTERDAM, NOORD-HOLLAND, 1077 WW NL</v>
    <v>Bourse</v>
    <v>Akzo Nobel NV (XAMS:AKZA)</v>
    <v>128686</v>
    <v>405480</v>
  </rv>
  <rv s="3">
    <v>58</v>
  </rv>
  <rv s="1">
    <v>https://www.bing.com/financeapi/forcetrigger?t=ae796h&amp;q=XPAR%3aABIO&amp;form=skydnc</v>
    <v>Learn more on Bing</v>
  </rv>
  <rv s="8">
    <v>19</v>
    <v>20</v>
    <v>Albioma SA (XPAR:ABIO)</v>
    <v>3</v>
    <v>21</v>
    <v>Finance</v>
    <v>7</v>
    <v>fr-FR</v>
    <v>ae796h</v>
    <v>268435456</v>
    <v>1</v>
    <v>1</v>
    <v>Avec Refinitiv</v>
    <v>XPAR</v>
    <v>32420230</v>
    <v>1971</v>
    <v>47.14</v>
    <v>29.22</v>
    <v>0.36759999999999998</v>
    <v>1526993000</v>
    <v>Euronext Paris</v>
    <v>47.1</v>
    <v>ABIO</v>
    <v>44817.666666666664</v>
    <v xml:space="preserve">Albioma SA is a France-based independent power producer. The Company specializes in the design, construction, management and operation of electrical power cogeneration plants. The Company is principally engaged in the production of energy from combined bagasse and coal power plants located in the French overseas departments, fuel oil thermal power plant and gas-powered plants. Furthermore, it produces renewable energy resources. The Company also operates around five wind farms in France and is active in the solar energy sector. The Company operates via its subsidiaries in the French overseas departments in the Caribbean and Indian Ocean Regions, as well as in mainland France, Italy and Spain. </v>
    <v>EUR</v>
    <v>678</v>
    <v>XPAR</v>
    <v>47.8</v>
    <v>50.85</v>
    <v>Electrical Utilities &amp; IPPs</v>
    <v>60</v>
    <v>0</v>
    <v>0</v>
    <v>Albioma SA</v>
    <v>Albioma SA</v>
    <v>47.8</v>
    <v>26.341100000000001</v>
    <v>47.14</v>
    <v>Tour Opus 12, 77 esplanade du General de Gaulle, La Defense Cedex, PARIS, ILE-DE-FRANCE, 92914 FR</v>
    <v>Bourse</v>
    <v>Albioma SA (XPAR:ABIO)</v>
    <v>11133</v>
  </rv>
  <rv s="3">
    <v>61</v>
  </rv>
  <rv s="1">
    <v>http://en.wikipedia.org/wiki/Alcon</v>
    <v>Wikipedia</v>
  </rv>
  <rv s="5">
    <v>23</v>
    <v>63</v>
  </rv>
  <rv s="6">
    <v>17</v>
    <v>https://www.bing.com/th?id=AMMS_2871957dd1dea5cd93eb0f98586becca&amp;qlt=95</v>
    <v>64</v>
    <v>0</v>
    <v>https://www.bing.com/images/search?form=xlimg&amp;q=alcon</v>
    <v>Image of Alcon AG</v>
  </rv>
  <rv s="1">
    <v>https://www.bing.com/financeapi/forcetrigger?t=bpodec&amp;q=XSWX%3aALC&amp;form=skydnc</v>
    <v>Learn more on Bing</v>
  </rv>
  <rv s="7">
    <v>12</v>
    <v>13</v>
    <v>Alcon AG (XSWX:ALC)</v>
    <v>15</v>
    <v>22</v>
    <v>Finance</v>
    <v>7</v>
    <v>fr-FR</v>
    <v>bpodec</v>
    <v>268435456</v>
    <v>1</v>
    <v>Avec Refinitiv</v>
    <v>XSWX</v>
    <v>499700000</v>
    <v>2018</v>
    <v>82.96</v>
    <v>70.900000000000006</v>
    <v>1.0361</v>
    <v>42126820000</v>
    <v>SIX Swiss Exchange</v>
    <v>84.4</v>
    <v>ALC</v>
    <v>45747.593233332809</v>
    <v>Alcon AG est une entreprise de soins oculaires basée en Suisse. La société recherche, développe, fabrique, distribue et vend une gamme complète de produits de soins oculaires dans deux secteurs clés : la chirurgie et les soins de la vue. L'activité chirurgicale de la Société se concentre sur les produits ophtalmiques pour la chirurgie de la cataracte, la chirurgie vitréo-rétinienne, la chirurgie réfractive au laser et la chirurgie du glaucome. Le portefeuille chirurgical comprend les implants, les consommables et l'équipement chirurgical requis pour ces procédures et répond aux besoins de bout en bout du chirurgien ophtalmologiste. L'activité Vision Care de la Société comprend des lentilles de contact quotidiennes jetables, réutilisables et rehaussant la couleur et un portefeuille de produits de santé oculaire, y compris des produits pour la sécheresse oculaire, les allergies oculaires, le glaucome et le soin des lentilles de contact, ainsi que des vitamines oculaires et des anti-rougeurs. La société opère dans 60 pays et sert des consommateurs et des patients dans plus de 140 pays.</v>
    <v>CHF</v>
    <v>25599</v>
    <v>XSWX</v>
    <v>84.42</v>
    <v>87</v>
    <v>65</v>
    <v>Healthcare Equipment &amp; Supplies</v>
    <v>66</v>
    <v>-1.3507E-2</v>
    <v>-1.1399999999999999</v>
    <v>Alcon AG</v>
    <v>Alcon AG</v>
    <v>83.98</v>
    <v>45.376300000000001</v>
    <v>83.26</v>
    <v>Rue Louis d'Affry 6, FRIBOURG, FRIBOURG, 1701 CH</v>
    <v>Bourse</v>
    <v>Alcon AG (XSWX:ALC)</v>
    <v>401256</v>
    <v>1072060</v>
  </rv>
  <rv s="3">
    <v>67</v>
  </rv>
  <rv s="1">
    <v>https://www.bing.com/financeapi/forcetrigger?t=ae7f27&amp;q=XPAR%3aALD&amp;form=skydnc</v>
    <v>Learn more on Bing</v>
  </rv>
  <rv s="2">
    <v>0</v>
    <v>1</v>
    <v>AYVENS SA (XPAR:AYV)</v>
    <v>3</v>
    <v>8</v>
    <v>Finance</v>
    <v>7</v>
    <v>fr-FR</v>
    <v>ae7f27</v>
    <v>268435456</v>
    <v>1</v>
    <v>Avec Refinitiv</v>
    <v>XPAR</v>
    <v>816960400</v>
    <v>1998</v>
    <v>7.9950000000000001</v>
    <v>5.17</v>
    <v>0.92059999999999997</v>
    <v>6927824000</v>
    <v>Euronext Paris</v>
    <v>8.48</v>
    <v>AYV</v>
    <v>45747.593055555553</v>
    <v>AYVENS SA est une société basée en France dont l'activité principale est la location de voitures particulières. La société se concentre sur la fourniture de solutions de financement et de gestion de véhicules. Cela implique également des services tels que le financement, les achats, la logistique, la location de véhicules, la location sous contrat et les services de gestion de flotte. Il se concentre sur la décarbonisation et la garantie de la circulation des spectateurs tout en permettant la continuité de l'activité de la vie sociale, économique et culturelle en matière de transport. Il fournit divers services dans différentes catégories comme les secteurs industriels et commerciaux. Elle exploite une chaîne d'agences dans toute la France.</v>
    <v>EUR</v>
    <v>14578</v>
    <v>XPAR</v>
    <v>8.4250000000000007</v>
    <v>8.7100000000000009</v>
    <v>Freight &amp; Logistics Services</v>
    <v>69</v>
    <v>-4.4810999999999997E-2</v>
    <v>-0.38</v>
    <v>AYVENS SA</v>
    <v>AYVENS SA</v>
    <v>8.4</v>
    <v>10.1205</v>
    <v>8.1</v>
    <v>1-3 rue Eugene et Armand Peugeot, REUIL-MALMAISON, ILE-DE-FRANCE, 92500 FR</v>
    <v>Bourse</v>
    <v>AYVENS SA (XPAR:AYV)</v>
    <v>266320</v>
    <v>665570</v>
  </rv>
  <rv s="3">
    <v>70</v>
  </rv>
  <rv s="1">
    <v>https://www.bing.com/financeapi/forcetrigger?t=a1na6h&amp;q=XNAS%3aALGN&amp;form=skydnc</v>
    <v>Learn more on Bing</v>
  </rv>
  <rv s="2">
    <v>0</v>
    <v>1</v>
    <v>ALIGN TECHNOLOGY, INC. (XNAS:ALGN)</v>
    <v>3</v>
    <v>4</v>
    <v>Finance</v>
    <v>5</v>
    <v>fr-FR</v>
    <v>a1na6h</v>
    <v>268435456</v>
    <v>1</v>
    <v>Avec Refinitiv</v>
    <v>XNAS</v>
    <v>73597650</v>
    <v>1997</v>
    <v>153.97</v>
    <v>153.97</v>
    <v>1.7250000000000001</v>
    <v>11444993917</v>
    <v>Nasdaq Stock Market</v>
    <v>159.21</v>
    <v>ALGN</v>
    <v>45747.603633818748</v>
    <v>Align Technology, Inc. est une société mondiale de dispositifs médicaux qui conçoit, fabrique et vend le système Invisalign d'aligneurs transparents, de scanners intra-oraux iTero et de logiciels de conception et de fabrication assistée par ordinateur Exocad (CAD/CAM) pour l'orthodontie numérique et la dentisterie restauratrice. La Société fournit la plateforme numérique Align. Ses segments comprennent Clear aligner, Imaging Systems et CAD/CAM services (systèmes et services). Le segment Clear aligner comprend des produits complets, des produits non complets et des produits non-case. Ses produits complets incluent Invisalign Comprehensive et Invisalign First. Les produits autres que case de l'entreprise comprennent des produits de rétention, des outils de formation Invisalign et d'ajustement. Il offre jusqu'à quatre ensembles d'aligneurs transparents personnalisés appelés Vivera Retainers. Le segment systèmes et services comprend ses systèmes d'acquisition intra-orale iTero. Ses services comprennent des logiciels d'abonnement, des consommables, des locations, des baux et des services de paiement à la numérisation.</v>
    <v>USD</v>
    <v>20945</v>
    <v>XNAS</v>
    <v>157.1</v>
    <v>331.63499999999999</v>
    <v>Healthcare Equipment &amp; Supplies</v>
    <v>72</v>
    <v>-2.3254999999999998E-2</v>
    <v>-3.7023999999999999</v>
    <v>ALIGN TECHNOLOGY, INC.</v>
    <v>ALIGN TECHNOLOGY, INC.</v>
    <v>157.1</v>
    <v>27.421600000000002</v>
    <v>155.5076</v>
    <v>410 North Scottsdale Road, Suite 1300, TEMPE, AZ, 85288 US</v>
    <v>Bourse</v>
    <v>ALIGN TECHNOLOGY, INC. (XNAS:ALGN)</v>
    <v>211929</v>
    <v>1271724</v>
  </rv>
  <rv s="3">
    <v>73</v>
  </rv>
  <rv s="1">
    <v>https://www.bing.com/financeapi/forcetrigger?t=c1ugvh&amp;q=XAMS%3aALLFG&amp;form=skydnc</v>
    <v>Learn more on Bing</v>
  </rv>
  <rv s="2">
    <v>0</v>
    <v>1</v>
    <v>ALLFUNDS GROUP PLC (XAMS:ALLFG)</v>
    <v>3</v>
    <v>8</v>
    <v>Finance</v>
    <v>7</v>
    <v>fr-FR</v>
    <v>c1ugvh</v>
    <v>268435456</v>
    <v>1</v>
    <v>Avec Refinitiv</v>
    <v>XAMS</v>
    <v>610622300</v>
    <v>2017</v>
    <v>5.2149999999999999</v>
    <v>4.6500000000000004</v>
    <v>1.3284</v>
    <v>3306520000</v>
    <v>Euronext Amsterdam</v>
    <v>5.415</v>
    <v>ALLFG</v>
    <v>45747.592907245315</v>
    <v>Allfunds Group plc est une société de technologie patrimoniale basée au Royaume-Uni. La plate-forme technologique interentreprises (B2B) de gestion de patrimoine de la Société relie les maisons de fonds et les distributeurs, permettant une mise en correspondance efficace de l'offre et de la demande de produits de gestion d'actifs. Son offre de services comprend des données et des analyses, des outils de portfolio et de reporting, des services de recherche et de réglementation. Elle opère sur deux segments : le chiffre d'affaires net des plateformes et le chiffre d'affaires net des abonnements et autres. Elle offre un réseau de distribution de fonds à l'échelle mondiale et un accès à l'univers des fonds communs de placement et des fonds négociés en bourse (ETF). Il exploite une plateforme à architecture ouverte qui fournit un écosystème numérique. Par le biais de sa plateforme, elle propose une variété de fonds à travers le monde, à travers des stratégies actives et passives, y compris des fonds d'actions, des fonds à revenu fixe, des fonds multi-actifs, des fonds alternatifs, et ETF. Elle exerce également des activités d'agents payeurs locaux en Italie. Il opère dans environ 62 pays à travers le monde.</v>
    <v>EUR</v>
    <v>1057</v>
    <v>XAMS</v>
    <v>5.3550000000000004</v>
    <v>7.22</v>
    <v>Financial Technology (Fintech) &amp; Infrastructure</v>
    <v>75</v>
    <v>-3.2318E-2</v>
    <v>-0.17499999999999999</v>
    <v>ALLFUNDS GROUP PLC</v>
    <v>ALLFUNDS GROUP PLC</v>
    <v>5.35</v>
    <v>42.271700000000003</v>
    <v>5.24</v>
    <v>Fitzroy Place,8, 2 Mortimer Street, LONDON, W1T 3JJ GB</v>
    <v>Bourse</v>
    <v>ALLFUNDS GROUP PLC (XAMS:ALLFG)</v>
    <v>148519</v>
    <v>625190</v>
  </rv>
  <rv s="3">
    <v>76</v>
  </rv>
  <rv s="1">
    <v>https://www.bing.com/financeapi/forcetrigger?t=af4ak2&amp;q=XFRA%3aALV&amp;form=skydnc</v>
    <v>Learn more on Bing</v>
  </rv>
  <rv s="2">
    <v>0</v>
    <v>1</v>
    <v>Allianz SE (XFRA:ALV)</v>
    <v>3</v>
    <v>8</v>
    <v>Finance</v>
    <v>7</v>
    <v>fr-FR</v>
    <v>af4ak2</v>
    <v>268435456</v>
    <v>1</v>
    <v>Avec Refinitiv</v>
    <v>XFRA</v>
    <v>386166700</v>
    <v>2006</v>
    <v>349.6</v>
    <v>116.52</v>
    <v>1.0266</v>
    <v>137205000000</v>
    <v>Deutsche Boerse AG</v>
    <v>355.1</v>
    <v>ALV</v>
    <v>45747.593055555553</v>
    <v>Allianz SE est une société de services financiers basée en Allemagne. La société est la société holding du groupe Allianz (Allianz SE et ses filiales). Ses segments comprennent les secteurs des biens-risques, de la vie/santé, de la gestion d'actifs et des sociétés et autres. La Société offre une gamme de couvertures de réassurance, principalement aux entités d'assurance d'Allianz, ainsi qu'à des clients tiers. Le secteur des dommages est l'activité principale et de réassurance du groupe Allianz, qui offre une gamme de produits et services à la fois aux particuliers et aux entreprises. Le segment Vie/Santé offre une gamme de produits d'assurance-vie et de santé individuelle et collective. Le secteur de la gestion d'actifs fournit des produits et services de gestion d'actifs institutionnels et de détail à des investisseurs externes et fournit des services de gestion d'investissements aux activités d'assurance du groupe Allianz. Le segment des sociétés et autres comprend les placements de portefeuille et de trésorerie, les placements bancaires et les placements alternatifs.</v>
    <v>EUR</v>
    <v>156626</v>
    <v>XFRA</v>
    <v>354</v>
    <v>358.8</v>
    <v>Insurance</v>
    <v>78</v>
    <v>-1.3236000000000001E-2</v>
    <v>-4.7</v>
    <v>Allianz SE</v>
    <v>Allianz SE</v>
    <v>352.2</v>
    <v>14.42</v>
    <v>350.4</v>
    <v>Koenigstrasse 28, MUENCHEN, BAYERN, 80802 DE</v>
    <v>Bourse</v>
    <v>Allianz SE (XFRA:ALV)</v>
    <v>2955</v>
    <v>853720</v>
  </rv>
  <rv s="3">
    <v>79</v>
  </rv>
  <rv s="1">
    <v>https://www.bing.com/financeapi/forcetrigger?t=a1u3rw&amp;q=XNAS%3aGOOGL&amp;form=skydnc</v>
    <v>Learn more on Bing</v>
  </rv>
  <rv s="2">
    <v>0</v>
    <v>1</v>
    <v>ALPHABET INC. (XNAS:GOOGL)</v>
    <v>3</v>
    <v>4</v>
    <v>Finance</v>
    <v>5</v>
    <v>fr-FR</v>
    <v>a1u3rw</v>
    <v>268435456</v>
    <v>1</v>
    <v>Avec Refinitiv</v>
    <v>XNAS</v>
    <v>12208000000</v>
    <v>2015</v>
    <v>150.66200000000001</v>
    <v>147.215</v>
    <v>1.0347</v>
    <v>1893602000000</v>
    <v>Nasdaq Stock Market</v>
    <v>154.33000000000001</v>
    <v>GOOGL</v>
    <v>45747.603688228905</v>
    <v>Alphabet Inc est une société holding. Les segments de l'entreprise comprennent Google services, Google Cloud et d'autres Paris. Le segment des services Google comprend des produits et services tels que les publicités, Android, Chrome, les appareils, Google Maps, Google Play, Rechercher et YouTube. Le segment Google Cloud comprend des services d'infrastructure et de plate-forme, des outils de collaboration et d'autres services pour les clients d'entreprise. Son segment Other Bets est engagé dans la vente de services liés aux soins de santé et de services Internet. Google Cloud propose des services cloud adaptés aux entreprises, notamment Google Cloud Platform et Google Workspace. Google Cloud Platform donne accès à des solutions telles que la cybersécurité, les bases de données, les analyses et les offres d'intelligence artificielle (IA), y compris son infrastructure IA, sa plateforme Vertex ai et Duet ai pour Google Cloud. Google Workspace inclut des outils de communication et de collaboration basés sur le cloud pour les entreprises, tels que Calendar, Gmail, Docs, Drive, Meet et autres services d'entreprise.</v>
    <v>USD</v>
    <v>183323</v>
    <v>XNAS</v>
    <v>153.84</v>
    <v>207.05</v>
    <v>Software &amp; IT Services</v>
    <v>81</v>
    <v>-1.8985000000000002E-2</v>
    <v>-2.93</v>
    <v>ALPHABET INC.</v>
    <v>ALPHABET INC.</v>
    <v>153.16999999999999</v>
    <v>18.7395</v>
    <v>151.4</v>
    <v>1600 Amphitheatre Parkway, MOUNTAIN VIEW, CA, 94043 US</v>
    <v>Bourse</v>
    <v>ALPHABET INC. (XNAS:GOOGL)</v>
    <v>12008614</v>
    <v>34916275</v>
  </rv>
  <rv s="3">
    <v>82</v>
  </rv>
  <rv s="1">
    <v>https://www.bing.com/financeapi/forcetrigger?t=ae7lz2&amp;q=XPAR%3aALO&amp;form=skydnc</v>
    <v>Learn more on Bing</v>
  </rv>
  <rv s="2">
    <v>0</v>
    <v>1</v>
    <v>ALSTOM SA (XPAR:ALO)</v>
    <v>3</v>
    <v>8</v>
    <v>Finance</v>
    <v>7</v>
    <v>fr-FR</v>
    <v>ae7lz2</v>
    <v>268435456</v>
    <v>1</v>
    <v>Avec Refinitiv</v>
    <v>XPAR</v>
    <v>461510500</v>
    <v>1992</v>
    <v>19.87</v>
    <v>12.3</v>
    <v>1.2297</v>
    <v>9622495000</v>
    <v>Euronext Paris</v>
    <v>20.85</v>
    <v>ALO</v>
    <v>45747.593182870369</v>
    <v>Alstom sa est un fabricant français d'infrastructures pour le secteur du transport ferroviaire. L'offre de la Société comprend une gamme de solutions comprenant le matériel roulant, les systèmes, les services ainsi que la signalisation pour le transport ferroviaire de passagers et de marchandises. Les services ferroviaires de la Compagnie comprennent l'entretien, la modernisation, la gestion des pièces de rechange, le soutien et les services d'assistance technique. Les infrastructures ferroviaires de la Société comprennent des infrastructures pour la pose de voies, des lignes électriques, des équipements électromécaniques, des appareils de télécommunication et des informations aux voyageurs en gare, des terminaux pour l'achat automatique de billets, l'accès aux escaliers mécaniques, aux ascenseurs pour handicapés, aux portes plates-formes automatiques, à la ventilation, à la climatisation et aux systèmes d'éclairage, entre autres. Alstom commercialise ses produits et services dans le monde entier.</v>
    <v>EUR</v>
    <v>84748</v>
    <v>XPAR</v>
    <v>20.440000000000001</v>
    <v>26.02</v>
    <v>Machinery, Equipment &amp; Components</v>
    <v>84</v>
    <v>-2.6859000000000001E-2</v>
    <v>-0.56000000000000005</v>
    <v>ALSTOM SA</v>
    <v>ALSTOM SA</v>
    <v>20.440000000000001</v>
    <v>0</v>
    <v>20.29</v>
    <v>48 rue Albert Dhalenne, SAINT-OUEN, ILE-DE-FRANCE, 93400 FR</v>
    <v>Bourse</v>
    <v>ALSTOM SA (XPAR:ALO)</v>
    <v>775410</v>
    <v>1637410</v>
  </rv>
  <rv s="3">
    <v>85</v>
  </rv>
  <rv s="1">
    <v>https://www.bing.com/financeapi/forcetrigger?t=ae7oww&amp;q=XPAR%3aALTA&amp;form=skydnc</v>
    <v>Learn more on Bing</v>
  </rv>
  <rv s="2">
    <v>0</v>
    <v>1</v>
    <v>ALTAREA SCA (XPAR:ALTA)</v>
    <v>3</v>
    <v>8</v>
    <v>Finance</v>
    <v>7</v>
    <v>fr-FR</v>
    <v>ae7oww</v>
    <v>268435456</v>
    <v>1</v>
    <v>Avec Refinitiv</v>
    <v>XPAR</v>
    <v>21896830</v>
    <v>1954</v>
    <v>99</v>
    <v>73.2</v>
    <v>1.0288999999999999</v>
    <v>2211580000</v>
    <v>Euronext Paris</v>
    <v>101</v>
    <v>ALTA</v>
    <v>45747.592199074075</v>
    <v>Altarea SCA est une société basée en France active dans le secteur de l'immobilier. La Société et ses filiales exercent leurs activités à la fois en tant que fiducie de placement immobilier (FPI) et promoteur. Altarea SCA présente ses activités en trois segments principaux: Commerce de détail, Résidentiel et Bureaux. Le secteur du Commerce de détail comprend des centres commerciaux régionaux, des parcs de vente au détail, ainsi que des magasins de détail spécialisés dans les voyages et les dépanneurs. Le secteur Résidentiel comprend les activités de développement de propriétés résidentielles, y compris les logements sociaux, entre autres. Le secteur des bureaux comprend le développement de bureaux et les services aux investisseurs. L’activité principale d’Altarea est en tant que FPI investissant dans des centres commerciaux. Cette activité comprend également les fonctions de gestion d’actifs et de biens réalisées sur une base propriétaire et pour des tiers. Outre la France, la Société est également présente en Espagne et en Italie.</v>
    <v>EUR</v>
    <v>1981</v>
    <v>XPAR</v>
    <v>100.6</v>
    <v>111.8</v>
    <v>Real Estate Operations</v>
    <v>87</v>
    <v>-1.5842000000000002E-2</v>
    <v>-1.6</v>
    <v>ALTAREA SCA</v>
    <v>ALTAREA SCA</v>
    <v>100.2</v>
    <v>291.06630000000001</v>
    <v>99.4</v>
    <v>87 Rue de Richelieu, PARIS, ILE-DE-FRANCE, 75002 FR</v>
    <v>Bourse</v>
    <v>ALTAREA SCA (XPAR:ALTA)</v>
    <v>5875</v>
    <v>7400</v>
  </rv>
  <rv s="3">
    <v>88</v>
  </rv>
  <rv s="1">
    <v>https://www.bing.com/financeapi/forcetrigger?t=ae7su2&amp;q=XPAR%3aATE&amp;form=skydnc</v>
    <v>Learn more on Bing</v>
  </rv>
  <rv s="2">
    <v>0</v>
    <v>1</v>
    <v>ALTEN SA (XPAR:ATE)</v>
    <v>3</v>
    <v>8</v>
    <v>Finance</v>
    <v>7</v>
    <v>fr-FR</v>
    <v>ae7su2</v>
    <v>268435456</v>
    <v>1</v>
    <v>Avec Refinitiv</v>
    <v>XPAR</v>
    <v>35266870</v>
    <v>1988</v>
    <v>88.75</v>
    <v>74.400000000000006</v>
    <v>1.5945</v>
    <v>3218102000</v>
    <v>Euronext Paris</v>
    <v>91.25</v>
    <v>ATE</v>
    <v>45747.592837071097</v>
    <v>Alten sa est une société française qui fournit des services de conseil et d'ingénierie en technologie, ainsi que des services de technologies de l'information (IT) et de réseaux. Les activités de la Société comprennent la conception, le développement et la fabrication de nouveaux produits et systèmes, ainsi que la prestation de services liés à la mise en place et à la restructuration de systèmes d'information et de plateformes de services. Les principaux clients de la Société sont les divisions techniques et INFORMATIQUES des entreprises de télécommunications, des fabricants d'équipements de télécommunications, des fabricants d'équipements électriques et électroniques, et des entreprises dans l'aviation, l'aérospatiale, la défense, le transport, les procédés, et des services. La Société possède des filiales telles que Geci Engineering, CV CPrime et cPrime inc, entre autres.</v>
    <v>EUR</v>
    <v>58300</v>
    <v>XPAR</v>
    <v>90.55</v>
    <v>136.5</v>
    <v>Software &amp; IT Services</v>
    <v>90</v>
    <v>-1.7534000000000001E-2</v>
    <v>-1.6</v>
    <v>ALTEN SA</v>
    <v>ALTEN SA</v>
    <v>90.35</v>
    <v>17.031199999999998</v>
    <v>89.65</v>
    <v>40 avenue Andre Morizet, BOULOGNE-BILLANCOURT, ILE-DE-FRANCE, 92100 FR</v>
    <v>Bourse</v>
    <v>ALTEN SA (XPAR:ATE)</v>
    <v>23041</v>
    <v>66060</v>
  </rv>
  <rv s="3">
    <v>91</v>
  </rv>
  <rv s="1">
    <v>https://www.bing.com/financeapi/forcetrigger?t=amfrdm&amp;q=BMEX%3aAMS&amp;form=skydnc</v>
    <v>Learn more on Bing</v>
  </rv>
  <rv s="2">
    <v>0</v>
    <v>1</v>
    <v>Amadeus IT Group SA (BMEX:AMS)</v>
    <v>3</v>
    <v>8</v>
    <v>Finance</v>
    <v>7</v>
    <v>fr-FR</v>
    <v>amfrdm</v>
    <v>268435456</v>
    <v>1</v>
    <v>Avec Refinitiv</v>
    <v>BMEX</v>
    <v>450499200</v>
    <v>2005</v>
    <v>70.22</v>
    <v>54.7</v>
    <v>1.2911999999999999</v>
    <v>32300790000</v>
    <v>Bolsas y Mercados Espanoles</v>
    <v>71.7</v>
    <v>AMS</v>
    <v>45747.593188125</v>
    <v>AMADEUS IT GROUP, S.A., anciennement Amadeus IT Holding SA, est une société basée en Espagne engagée dans la fourniture de services des technologies de l'information, principalement pour les industries du tourisme et du voyage. Les activités de la Société sont réparties en 2 segments d'activité :Distribution et Solutions informatiques. La division Distribution offre un Système Mondial de Distribution, un système informatisé de réservation dans le monde entier utilisé comme un point d'accès unique pour la réservation des sièges d'avion, des chambres d'hôtel et d'autres services liés aux voyages par les agences de voyage et les sociétés de gestion de voyage. La division Solutions informatiques offre une gamme de solutions technologiques qui permettent d'automatiser les processus de base pour les fournisseurs de voyage. Ses clients comprennent des transporteurs de services complets et des compagnies aériennes bas prix, les gestionnaires d'hôtel, les opérateurs ferroviaires, les opérateurs de croisière et de ferry, les assureurs de voyage et les compagnies de location de voitures, entre autres. La Société exerce ses activités par l'intermédiaire de nombreuses filiales en Europe, dans les Amériques, en Asie, en Afrique et en Australie.</v>
    <v>EUR</v>
    <v>20643</v>
    <v>BMEX</v>
    <v>71.42</v>
    <v>75.400000000000006</v>
    <v>Software &amp; IT Services</v>
    <v>93</v>
    <v>-2.0642000000000001E-2</v>
    <v>-1.48</v>
    <v>Amadeus IT Group SA</v>
    <v>Amadeus IT Group SA</v>
    <v>71.08</v>
    <v>24.996500000000001</v>
    <v>70.22</v>
    <v>Salvador de Madariaga 1, MADRID, MADRID, 28027 ES</v>
    <v>Bourse</v>
    <v>Amadeus IT Group SA (BMEX:AMS)</v>
    <v>407332</v>
    <v>1130110</v>
  </rv>
  <rv s="3">
    <v>94</v>
  </rv>
  <rv s="1">
    <v>https://www.bing.com/financeapi/forcetrigger?t=a1nhlh&amp;q=XNAS%3aAMZN&amp;form=skydnc</v>
    <v>Learn more on Bing</v>
  </rv>
  <rv s="2">
    <v>0</v>
    <v>1</v>
    <v>AMAZON.COM, INC. (XNAS:AMZN)</v>
    <v>3</v>
    <v>4</v>
    <v>Finance</v>
    <v>5</v>
    <v>fr-FR</v>
    <v>a1nhlh</v>
    <v>268435456</v>
    <v>1</v>
    <v>Avec Refinitiv</v>
    <v>XNAS</v>
    <v>10597730000</v>
    <v>1996</v>
    <v>184.67</v>
    <v>151.61000000000001</v>
    <v>1.3832</v>
    <v>1959361311050</v>
    <v>Nasdaq Stock Market</v>
    <v>192.72</v>
    <v>AMZN</v>
    <v>45747.60366771953</v>
    <v>Amazon.com, Inc. fournit une gamme de produits et de services à ses clients. Les produits offerts dans ses magasins comprennent les marchandises et le contenu qu'elle a achetés pour la revente et les produits offerts par des vendeurs tiers. Les segments de la société comprennent l'Amérique du Nord, l'International et Amazon Web services (AWS). Il sert les consommateurs par le biais de ses magasins en ligne et physiques et se concentre sur la sélection, le prix et la commodité. Les clients accèdent à ses offres via ses sites Web, applications mobiles, Alexa, appareils, streaming, et en visitant physiquement ses magasins. Il fabrique et vend des appareils électroniques, y compris Kindle, Fire Tablet, Fire TV, Echo, Ring, Blink et eero, et elle développe et produit du contenu multimédia. Il sert les développeurs et les entreprises de toutes tailles, y compris les start-ups, les agences gouvernementales et les établissements universitaires, via AWS, qui offre un large éventail de services technologiques à la demande, y compris le calcul, le stockage, la base de données, l'analyse, et l'apprentissage automatique, et d'autres services.</v>
    <v>USD</v>
    <v>1556000</v>
    <v>XNAS</v>
    <v>188.25</v>
    <v>242.52</v>
    <v>Diversified Retail</v>
    <v>96</v>
    <v>-4.0655000000000004E-2</v>
    <v>-7.835</v>
    <v>AMAZON.COM, INC.</v>
    <v>AMAZON.COM, INC.</v>
    <v>188</v>
    <v>33.551200000000001</v>
    <v>184.88499999999999</v>
    <v>410 Terry Avenue North, SEATTLE, WA, 98109 US</v>
    <v>Bourse</v>
    <v>AMAZON.COM, INC. (XNAS:AMZN)</v>
    <v>17272149</v>
    <v>45443844</v>
  </rv>
  <rv s="3">
    <v>97</v>
  </rv>
  <rv s="1">
    <v>https://www.bing.com/financeapi/forcetrigger?t=a1o2lh&amp;q=XNYS%3aAXP&amp;form=skydnc</v>
    <v>Learn more on Bing</v>
  </rv>
  <rv s="2">
    <v>0</v>
    <v>1</v>
    <v>AMERICAN EXPRESS COMPANY (XNYS:AXP)</v>
    <v>3</v>
    <v>4</v>
    <v>Finance</v>
    <v>5</v>
    <v>fr-FR</v>
    <v>a1o2lh</v>
    <v>268435456</v>
    <v>1</v>
    <v>Avec Refinitiv</v>
    <v>XNYS</v>
    <v>701109500</v>
    <v>1965</v>
    <v>259</v>
    <v>214.51480000000001</v>
    <v>1.1637</v>
    <v>183571500385</v>
    <v>New York Stock Exchange</v>
    <v>265.48</v>
    <v>AXP</v>
    <v>45747.603637800785</v>
    <v>American Express Company est une société de paiement intégrée à l'échelle mondiale. La Société fournit à ses clients un accès à des produits, des idées et des expériences qui favorisent l'activité. Elle fournit des cartes de crédit et de paiement aux consommateurs, aux petites entreprises, aux entreprises de taille moyenne et aux entreprises. Elle opère dans quatre secteurs : U.S. Consumer services (USCS), commercial services (CS), International Card services (ICS) et Global Merchant and Network services (GMNS). USCS offre des services de voyage et de style de vie ainsi que des produits bancaires et de financement sans carte. CS offre des produits de gestion des paiements et des dépenses, des services bancaires et des produits de financement sans carte. Le CS émet également des cartes d'entreprise et fournit des services à des clients d'entreprise sélectionnés dans le monde entier. ICS fournit également des services à des clients internationaux, y compris des services de voyage et de style de vie, et gère certaines coentreprises internationales et ses activités de coalition de fidélisation. GMNS fournit des programmes et des capacités de marketing multicanal, des services et des analyses de données.</v>
    <v>USD</v>
    <v>75100</v>
    <v>XNYS</v>
    <v>264.61</v>
    <v>326.27499999999998</v>
    <v>Banking Services</v>
    <v>99</v>
    <v>-1.3749000000000001E-2</v>
    <v>-3.65</v>
    <v>AMERICAN EXPRESS COMPANY</v>
    <v>AMERICAN EXPRESS COMPANY</v>
    <v>262.5</v>
    <v>18.951000000000001</v>
    <v>261.83</v>
    <v>200 Vesey Street, 50Th Floor, NEW YORK, NY, 10285 US</v>
    <v>Bourse</v>
    <v>AMERICAN EXPRESS COMPANY (XNYS:AXP)</v>
    <v>617596</v>
    <v>3284592</v>
  </rv>
  <rv s="3">
    <v>100</v>
  </rv>
  <rv s="1">
    <v>https://www.bing.com/financeapi/forcetrigger?t=aje3hw&amp;q=XMIL%3aAMP&amp;form=skydnc</v>
    <v>Learn more on Bing</v>
  </rv>
  <rv s="4">
    <v>9</v>
    <v>10</v>
    <v>Amplifon SpA (XMIL:AMP)</v>
    <v>3</v>
    <v>11</v>
    <v>Finance</v>
    <v>23</v>
    <v>fr-FR</v>
    <v>aje3hw</v>
    <v>268435456</v>
    <v>1</v>
    <v>Avec Refinitiv</v>
    <v>XMIL</v>
    <v>226388600</v>
    <v>18.39</v>
    <v>18.39</v>
    <v>0.37919999999999998</v>
    <v>4354585000</v>
    <v>Borsa Italiana</v>
    <v>19.234999999999999</v>
    <v>AMP</v>
    <v>45747.593090277776</v>
    <v>Amplifon SpA est une société basée en Italie, active dans le marché de la vente au détail de produits d’audition. La Société fournit des solutions personnalisées et un service client aux personnes malentendantes. Elle propose une large gamme de services allant du diagnostic des difficultés auditives à l’ajustement, au service et à la maintenance des appareils auditifs. La Société est organisée en trois secteurs d’exploitation géographiques: Europe, Moyen-Orient et Afrique - EMEA - (Italie, France, Pays-Bas, Allemagne, Royaume-Uni, Irlande, Espagne, Portugal, Suisse, Belgique, Luxembourg, Hongrie, Égypte et Turquie , Pologne et Israël), Amériques (États-Unis, Canada, Chili, Argentine, Équateur, Colombie, Panama et Mexique) et Asie-Pacifique (Australie, Nouvelle-Zélande, Inde et Chine).</v>
    <v>EUR</v>
    <v>15070</v>
    <v>XMIL</v>
    <v>19.11</v>
    <v>35.14</v>
    <v>Healthcare Equipment &amp; Supplies</v>
    <v>102</v>
    <v>-2.7033999999999999E-2</v>
    <v>-0.52</v>
    <v>Amplifon SpA</v>
    <v>Amplifon SpA</v>
    <v>19.010000000000002</v>
    <v>29.877300000000002</v>
    <v>18.715</v>
    <v>Via Ripamonti 133, MILANO, MILANO, 20141 IT</v>
    <v>Bourse</v>
    <v>Amplifon SpA (XMIL:AMP)</v>
    <v>942971</v>
    <v>1170840</v>
  </rv>
  <rv s="3">
    <v>103</v>
  </rv>
  <rv s="1">
    <v>https://www.bing.com/financeapi/forcetrigger?t=ae7rdm&amp;q=XPAR%3aAMUN&amp;form=skydnc</v>
    <v>Learn more on Bing</v>
  </rv>
  <rv s="2">
    <v>0</v>
    <v>1</v>
    <v>AMUNDI SA (XPAR:AMUN)</v>
    <v>3</v>
    <v>8</v>
    <v>Finance</v>
    <v>7</v>
    <v>fr-FR</v>
    <v>ae7rdm</v>
    <v>268435456</v>
    <v>1</v>
    <v>Avec Refinitiv</v>
    <v>XPAR</v>
    <v>205419300</v>
    <v>1978</v>
    <v>71.5</v>
    <v>59.1</v>
    <v>1.1765000000000001</v>
    <v>15211300000</v>
    <v>Euronext Paris</v>
    <v>74.05</v>
    <v>AMUN</v>
    <v>45747.593206018515</v>
    <v>Amundi SA est une société basée en France, qui opère dans le domaine de la gestion d'actifs. La Société offre ses services aux particuliers, aux institutionnels et aux entreprises, avec un large éventail de stratégies et de contacts afin d'accompagner ses clients dans leurs investissements. Son offre produit concerne toutes les classes d'actifs, telles que la gestion active, qui comprend les actions, les obligations et le multi-actifs ; la gestion passive, qui englobe les fonds négociés en bourse, les fonds indiciels et le Smart Beta ; les actifs réels et alternatifs, qui comprennent l'immobilier, la dette privée, les fonds d'infrastructure et le capital-investissement, ainsi que la gestion de trésorerie et les produits structurés, entre autres. La ligne métier Amundi Services propose aux sociétés de gestion et aux investisseurs institutionnels des services de gestion et d'administration de fonds, d'accès au marché et de domiciliation de fonds. La Société est active en Europe, au Moyen-Orient, en Asie-Pacifique et en Amérique.</v>
    <v>EUR</v>
    <v>5476</v>
    <v>XPAR</v>
    <v>73.400000000000006</v>
    <v>76</v>
    <v>Investment Banking &amp; Investment Services</v>
    <v>105</v>
    <v>-2.7008999999999998E-2</v>
    <v>-2</v>
    <v>AMUNDI SA</v>
    <v>AMUNDI SA</v>
    <v>73.3</v>
    <v>11.2323</v>
    <v>72.05</v>
    <v>91-93 Boulevard Pasteur, PARIS, ILE-DE-FRANCE, 75015 FR</v>
    <v>Bourse</v>
    <v>AMUNDI SA (XPAR:AMUN)</v>
    <v>56795</v>
    <v>161900</v>
  </rv>
  <rv s="3">
    <v>106</v>
  </rv>
  <rv s="1">
    <v>https://www.bing.com/financeapi/forcetrigger?t=aapy4c&amp;q=XBRU%3aABI&amp;form=skydnc</v>
    <v>Learn more on Bing</v>
  </rv>
  <rv s="4">
    <v>9</v>
    <v>10</v>
    <v>ANHEUSER-BUSCH INBEV SA (XBRU:ABI)</v>
    <v>3</v>
    <v>11</v>
    <v>Finance</v>
    <v>7</v>
    <v>fr-FR</v>
    <v>aapy4c</v>
    <v>268435456</v>
    <v>1</v>
    <v>Avec Refinitiv</v>
    <v>XBRU</v>
    <v>1797199000</v>
    <v>56.64</v>
    <v>44.89</v>
    <v>0.91479999999999995</v>
    <v>103485600000</v>
    <v>Euronext Brussels</v>
    <v>57.72</v>
    <v>ABI</v>
    <v>45747.593206018515</v>
    <v>Anheuser-Busch Inbev sa est une société basée en Belgique. La Société est principalement engagée dans la fabrication de bière. La société opère dans six segments : Amérique du Nord, Amérique du Sud, Amérique du Sud, EMEA, Asie Pacifique, global Export et Holding sociétés. Le portefeuille de marques de la Société comprend des marques mondiales, telles que Budweiser, Corona et Stella Artois ; des marques internationales, notamment Beck's, Leffe et Hoegaarden, et des champions locaux, tels que Bud Light, Skol, Brahma, Antarctique, Quilmes, Victoria, Modelo Especial, Michelob Ultra, Harbin, Sedrin, Klinskoye, Sibirskaya Korona, Chernigivske, Cass et Jupiler. Les activités de boissons gazeuses de la Société consistent à la fois en sa propre production et en des ententes avec PepsiCo relatives à la mise en bouteille et aux ententes de distribution entre ses diverses filiales et PepsiCo. AmBev, filiale de la société, est embouteilleur de PepsiCo. Les marques distribuées dans le cadre de ces accords sont Pepsi, 7UP et Gatorade.</v>
    <v>EUR</v>
    <v>143885</v>
    <v>XBRU</v>
    <v>57.18</v>
    <v>62.16</v>
    <v>Beverages</v>
    <v>108</v>
    <v>-1.3514E-2</v>
    <v>-0.78</v>
    <v>ANHEUSER-BUSCH INBEV SA</v>
    <v>ANHEUSER-BUSCH INBEV SA</v>
    <v>56.8</v>
    <v>20.471699999999998</v>
    <v>56.94</v>
    <v>Brouwerijplein 1B, LEUVEN (LOUVAIN), VLAAMS-BRABANT, 3000 BE</v>
    <v>Bourse</v>
    <v>ANHEUSER-BUSCH INBEV SA (XBRU:ABI)</v>
    <v>1139419</v>
    <v>2326220</v>
  </rv>
  <rv s="3">
    <v>109</v>
  </rv>
  <rv s="1">
    <v>https://www.bing.com/financeapi/forcetrigger?t=c3h6jc&amp;q=XPAR%3aANTIN&amp;form=skydnc</v>
    <v>Learn more on Bing</v>
  </rv>
  <rv s="2">
    <v>0</v>
    <v>1</v>
    <v>ANTIN INFRASTRUCTURE PARTNERS SAS (XPAR:ANTIN)</v>
    <v>3</v>
    <v>8</v>
    <v>Finance</v>
    <v>7</v>
    <v>fr-FR</v>
    <v>c3h6jc</v>
    <v>268435456</v>
    <v>1</v>
    <v>Avec Refinitiv</v>
    <v>XPAR</v>
    <v>179193300</v>
    <v>2012</v>
    <v>10.42</v>
    <v>9.4</v>
    <v>1.5980000000000001</v>
    <v>1920952000</v>
    <v>Euronext Paris</v>
    <v>10.72</v>
    <v>ANTIN</v>
    <v>45747.593101851853</v>
    <v>Antin Infrastructure Partners SAS est une société de capital-investissement Française spécialisée dans la gestion de fonds d’investissement. Le Cabinet se concentre sur les entreprises d’infrastructure opérant dans les secteurs de l’énergie et de l’environnement, des télécommunications, des transports et de l’infrastructure sociale. Il génère des rendements ajustés au risque pour les investisseurs grâce à une combinaison d’appréciation du capital et de rendement en espèces.</v>
    <v>EUR</v>
    <v>241</v>
    <v>XPAR</v>
    <v>10.8</v>
    <v>13.86</v>
    <v>Investment Banking &amp; Investment Services</v>
    <v>111</v>
    <v>-1.6791E-2</v>
    <v>-0.18</v>
    <v>ANTIN INFRASTRUCTURE PARTNERS SAS</v>
    <v>ANTIN INFRASTRUCTURE PARTNERS SAS</v>
    <v>10.8</v>
    <v>14.270200000000001</v>
    <v>10.54</v>
    <v>374, rue Saint-Honore, PARIS, ILE-DE-FRANCE, 75001 FR</v>
    <v>Bourse</v>
    <v>ANTIN INFRASTRUCTURE PARTNERS SAS (XPAR:ANTIN)</v>
    <v>13891</v>
    <v>27230</v>
  </rv>
  <rv s="3">
    <v>112</v>
  </rv>
  <rv s="1">
    <v>https://www.bing.com/financeapi/forcetrigger?t=alnyw7&amp;q=XAMS%3aAPAM&amp;form=skydnc</v>
    <v>Learn more on Bing</v>
  </rv>
  <rv s="2">
    <v>0</v>
    <v>1</v>
    <v>APERAM SA (XAMS:APAM)</v>
    <v>3</v>
    <v>8</v>
    <v>Finance</v>
    <v>7</v>
    <v>fr-FR</v>
    <v>alnyw7</v>
    <v>268435456</v>
    <v>1</v>
    <v>Avec Refinitiv</v>
    <v>XAMS</v>
    <v>73184570</v>
    <v>2010</v>
    <v>29.56</v>
    <v>22.96</v>
    <v>1.9589000000000001</v>
    <v>2218956000</v>
    <v>Euronext Amsterdam</v>
    <v>30.32</v>
    <v>APAM</v>
    <v>45747.593252314815</v>
    <v>Aperam SA est un producteur d’acier basé en France. La société se concentre sur la production d’aciers inoxydables et spéciaux, de produits spécialisés, y compris les aciers électriques et les alliages spéciaux à orientation céréalière (GO) et non céréalière (ONG). Ses trois segments d’exploitation comprennent : acier inoxydable et électrique, services et solutions, et alliages et spécialités. La Société, via des filiales, opère à travers des centres de service et des réseaux de distribution avec des produits personnalisés. Ses installations de production sont au Brésil, en Belgique et en France. La société vend ses produits dans plus de 40 pays, et à des clients opérant dans un éventail d’industries, y compris l’aérospatiale, automobile, restauration, construction, électroménager, génie électrique, procédés industriels, médical, et pétrole et gaz.</v>
    <v>EUR</v>
    <v>11600</v>
    <v>XAMS</v>
    <v>30.02</v>
    <v>33.18</v>
    <v>Metals &amp; Mining</v>
    <v>114</v>
    <v>-1.847E-2</v>
    <v>-0.56000000000000005</v>
    <v>APERAM SA</v>
    <v>APERAM SA</v>
    <v>29.76</v>
    <v>9.4749999999999996</v>
    <v>29.76</v>
    <v>24-26 Boulevard d'Avranches, LUXEMBOURG, 1160 LU</v>
    <v>Bourse</v>
    <v>APERAM SA (XAMS:APAM)</v>
    <v>73319</v>
    <v>206820</v>
  </rv>
  <rv s="3">
    <v>115</v>
  </rv>
  <rv s="1">
    <v>https://www.bing.com/financeapi/forcetrigger?t=a1mou2&amp;q=XNAS%3aAAPL&amp;form=skydnc</v>
    <v>Learn more on Bing</v>
  </rv>
  <rv s="2">
    <v>0</v>
    <v>1</v>
    <v>APPLE INC. (XNAS:AAPL)</v>
    <v>3</v>
    <v>4</v>
    <v>Finance</v>
    <v>5</v>
    <v>fr-FR</v>
    <v>a1mou2</v>
    <v>268435456</v>
    <v>1</v>
    <v>Avec Refinitiv</v>
    <v>XNAS</v>
    <v>15037870000</v>
    <v>1977</v>
    <v>216.24</v>
    <v>164.07499999999999</v>
    <v>1.2650999999999999</v>
    <v>3288331032900</v>
    <v>Nasdaq Stock Market</v>
    <v>217.9</v>
    <v>AAPL</v>
    <v>45747.603675682811</v>
    <v>Apple Inc. conçoit, fabrique et commercialise des smartphones, des ordinateurs personnels, des tablettes, des wearables et des accessoires, et vend divers services connexes. Ses catégories de produits incluent iPhone, Mac, iPad, et portables, Maison et Accessoires. Ses plateformes logicielles incluent iOS, iPadOS, macOS, watchOS et tvOS. Ses services comprennent la publicité, AppleCare, les services cloud, le contenu numérique et les services de paiement. Elle exploite diverses plateformes, dont l'App Store, qui permettent aux clients de découvrir et de télécharger des applications et du contenu numérique, tels que des livres, de la musique, des vidéos, des jeux et des podcasts. Elle propose également du contenu numérique par le biais de services par abonnement, notamment Apple Arcade, Apple Fitness+, Apple Music, Apple News+ et Apple TV+. Ses produits incluent iPhone 15 Pro, iPhone 15, iPhone 14, iPhone 13, MacBook Air, MacBook Pro, iMac, Mac mini, Mac Studio, Mac Pro, et autres. Il fournit également DarwinAI, qui se spécialise dans l'inspection visuelle de la qualité en utilisant sa plate-forme explicable d'IA.</v>
    <v>USD</v>
    <v>164000</v>
    <v>XNAS</v>
    <v>219.31</v>
    <v>260.10000000000002</v>
    <v>Computers, Phones &amp; Household Electronics</v>
    <v>117</v>
    <v>3.5339999999999998E-3</v>
    <v>0.77</v>
    <v>APPLE INC.</v>
    <v>APPLE INC.</v>
    <v>217.21</v>
    <v>31.182500000000001</v>
    <v>218.67</v>
    <v>One Apple Park Way, CUPERTINO, CA, 95014 US</v>
    <v>Bourse</v>
    <v>APPLE INC. (XNAS:AAPL)</v>
    <v>13521489</v>
    <v>51670678</v>
  </rv>
  <rv s="3">
    <v>118</v>
  </rv>
  <rv s="1">
    <v>https://www.bing.com/financeapi/forcetrigger?t=alog2w&amp;q=XAMS%3aMT&amp;form=skydnc</v>
    <v>Learn more on Bing</v>
  </rv>
  <rv s="2">
    <v>0</v>
    <v>1</v>
    <v>ArcelorMittal SA (XAMS:MT)</v>
    <v>3</v>
    <v>8</v>
    <v>Finance</v>
    <v>7</v>
    <v>fr-FR</v>
    <v>alog2w</v>
    <v>268435456</v>
    <v>1</v>
    <v>Avec Refinitiv</v>
    <v>XAMS</v>
    <v>852809800</v>
    <v>2001</v>
    <v>26.08</v>
    <v>18.434999999999999</v>
    <v>1.7456</v>
    <v>22817510000</v>
    <v>Euronext Amsterdam</v>
    <v>26.82</v>
    <v>MT</v>
    <v>45747.593229166669</v>
    <v>ArcelorMittal SA est une société holding basée au Luxembourg. La Société, par l'intermédiaire de ses filiales, possède et exploite des installations de production d'acier, de minerai de fer et d'extraction de charbon en Europe, en Amérique du Nord et du Sud, en Asie et en Afrique. La Société est organisée en cinq segments opérationnels : ALENA, Brésil, Europe, Afrique et Communauté des États indépendants (CEI), et Exploitation minière. Les segments ALENA, Brésil, Europe et ACIS produisent des produits plats, longs et tubulaires, notamment des brames, des bobines laminées à chaud, des bobines laminées à froid, des produits en acier revêtus, entre autres. Le secteur minier fournit des opérations sidérurgiques et comprend toutes les mines détenues par la Société en Amérique, en Europe, en Afrique et dans les pays de la Communauté des États Indépendants (CEI).</v>
    <v>EUR</v>
    <v>125416</v>
    <v>XAMS</v>
    <v>26.57</v>
    <v>32.18</v>
    <v>Metals &amp; Mining</v>
    <v>120</v>
    <v>-1.1186E-2</v>
    <v>-0.3</v>
    <v>ArcelorMittal SA</v>
    <v>ArcelorMittal SA</v>
    <v>26.4</v>
    <v>16.792899999999999</v>
    <v>26.52</v>
    <v>24-26 Boulevard d'Avranches, LUXEMBOURG, 1160 LU</v>
    <v>Bourse</v>
    <v>ArcelorMittal SA (XAMS:MT)</v>
    <v>2337547</v>
    <v>2710010</v>
  </rv>
  <rv s="3">
    <v>121</v>
  </rv>
  <rv s="1">
    <v>https://www.bing.com/financeapi/forcetrigger?t=aapz6h&amp;q=XBRU%3aARGX&amp;form=skydnc</v>
    <v>Learn more on Bing</v>
  </rv>
  <rv s="2">
    <v>0</v>
    <v>1</v>
    <v>argenx SE (XBRU:ARGX)</v>
    <v>3</v>
    <v>8</v>
    <v>Finance</v>
    <v>7</v>
    <v>fr-FR</v>
    <v>aapz6h</v>
    <v>268435456</v>
    <v>1</v>
    <v>Avec Refinitiv</v>
    <v>XBRU</v>
    <v>60760960</v>
    <v>2008</v>
    <v>532.20000000000005</v>
    <v>323.39999999999998</v>
    <v>0.60499999999999998</v>
    <v>33459630000</v>
    <v>Euronext Brussels</v>
    <v>552</v>
    <v>ARGX</v>
    <v>45747.593182870369</v>
    <v>argenx SE, anciennement arGEN X BV, est une société biopharmaceutique basée aux Pays-Bas. Il s'occupe principalement de créer et de développer un pipeline de thérapies par anticorps différenciés pour le traitement des maladies auto-immunes graves en utilisant sa plateforme de découverte, Simple Antibody, qui exploite les caractéristiques du système immunitaire des lamas. La société développe un pipeline de thérapies par anticorps ciblant les indications du cancer et des maladies auto-immunes. Il comprend, mais n'est pas limité à : Empasiprubart, un inhibiteur du complément ciblant C2, bloquant la fonction des voies classiques et lectine, tout en laissant intacte la voie alternative, ARGX-119 un antagoniste du récepteur MuSK avec potentiel dans de multiples indications neuromusculaires.</v>
    <v>EUR</v>
    <v>1599</v>
    <v>XBRU</v>
    <v>544.20000000000005</v>
    <v>658</v>
    <v>Biotechnology &amp; Medical Research</v>
    <v>123</v>
    <v>-2.6811999999999999E-2</v>
    <v>-14.8</v>
    <v>argenx SE</v>
    <v>argenx SE</v>
    <v>541.20000000000005</v>
    <v>41.532800000000002</v>
    <v>537.20000000000005</v>
    <v>Laarderhoogtweg 25, AMSTERDAM, NOORD-HOLLAND, 1101 EB NL</v>
    <v>Bourse</v>
    <v>argenx SE (XBRU:ARGX)</v>
    <v>31438</v>
    <v>89330</v>
  </rv>
  <rv s="3">
    <v>124</v>
  </rv>
  <rv s="1">
    <v>https://www.bing.com/financeapi/forcetrigger?t=ae7c1h&amp;q=XPAR%3aAKE&amp;form=skydnc</v>
    <v>Learn more on Bing</v>
  </rv>
  <rv s="2">
    <v>0</v>
    <v>1</v>
    <v>ARKEMA SA (XPAR:AKE)</v>
    <v>3</v>
    <v>8</v>
    <v>Finance</v>
    <v>7</v>
    <v>fr-FR</v>
    <v>ae7c1h</v>
    <v>268435456</v>
    <v>1</v>
    <v>Avec Refinitiv</v>
    <v>XPAR</v>
    <v>76060830</v>
    <v>2002</v>
    <v>69.150000000000006</v>
    <v>69.150000000000006</v>
    <v>1.1653</v>
    <v>5461167000</v>
    <v>Euronext Paris</v>
    <v>71.8</v>
    <v>AKE</v>
    <v>45747.593148148146</v>
    <v>Arkema sa est un producteur de produits chimiques basé en France, qui fournit des produits chimiques de spécialité et des matériaux avancés. La société fabrique une gamme de produits pour les industries, y compris la construction, l'emballage, la chimie, l'automobile, industrie électronique, alimentaire et pharmaceutique. La société opère dans cinq secteurs d'activité : matériaux avancés qui comprennent des polymères haute performance, des tensioactifs spéciaux, des tamis moléculaires, des peroxydes organiques, des composés oxygénés, AC ; adhésifs qui comprennent des mastics, des adhésifs pour sols et carrelages, des produits imperméabilisants, etc ; solutions de revêtement qui comprennent des résines, des émulsions pour adhésifs, des produits de revêtement de surface, des absorbants, etc; les produits intermédiaires qui comprennent les polymères thermoplastiques (PMMA), le polyméthacrylate de méthyle, les produits acryliques, les gaz fluorés, etc. La Société possède des centres de production situés en Europe, en Amérique du Nord et en Asie. Elle opère par l'intermédiaire d'un réseau de filiales, comme XL Brands.</v>
    <v>EUR</v>
    <v>21082</v>
    <v>XPAR</v>
    <v>71</v>
    <v>104.4</v>
    <v>Chemicals</v>
    <v>126</v>
    <v>-1.3928000000000001E-2</v>
    <v>-1</v>
    <v>ARKEMA SA</v>
    <v>ARKEMA SA</v>
    <v>70.75</v>
    <v>15.385999999999999</v>
    <v>70.8</v>
    <v>420 rue d'Estienne d'Orves, COLOMBES, ILE-DE-FRANCE, 92700 FR</v>
    <v>Bourse</v>
    <v>ARKEMA SA (XPAR:AKE)</v>
    <v>106417</v>
    <v>250850</v>
  </rv>
  <rv s="3">
    <v>127</v>
  </rv>
  <rv s="1">
    <v>https://www.bing.com/financeapi/forcetrigger?t=alnz2w&amp;q=XAMS%3aASM&amp;form=skydnc</v>
    <v>Learn more on Bing</v>
  </rv>
  <rv s="2">
    <v>0</v>
    <v>1</v>
    <v>ASM International NV (XAMS:ASM)</v>
    <v>3</v>
    <v>8</v>
    <v>Finance</v>
    <v>7</v>
    <v>fr-FR</v>
    <v>alnz2w</v>
    <v>268435456</v>
    <v>1</v>
    <v>Avec Refinitiv</v>
    <v>XAMS</v>
    <v>49328550</v>
    <v>1968</v>
    <v>413.3</v>
    <v>412.4</v>
    <v>1.9858</v>
    <v>21290200000</v>
    <v>Euronext Amsterdam</v>
    <v>431.6</v>
    <v>ASM</v>
    <v>45747.593229166669</v>
    <v>ASM International N.V. est un fournisseur d'équipement de traitement de plaquettes, principalement pour l'industrie manufacturière de semi-conducteurs. La société conçoit, fabrique et vend de l'équipement et des services à ses clients pour la production de dispositifs semi-conducteurs ou de circuits intégrés (CI). La Société opère dans deux segments, dont le front-end et le back-end. Le segment frontal fabrique et vend des équipements utilisés dans le traitement des plaquettes, englobant les étapes de fabrication dans lesquelles les plaquettes de silicium sont en couches avec des dispositifs semi-conducteurs. Le segment avant comprend les activités de fabrication, de service et de vente en Europe, aux États-Unis, au Japon et en Asie du Sud-Est. Le secteur Back-end fabrique et vend des équipements et des matériaux utilisés dans l'assemblage et l'emballage, englobant les processus dans lesquels les plaquettes de silicium sont séparées en circuits individuels. La Société fournit des équipements aux fabricants de dispositifs semi-conducteurs analogiques principalement pour le dépôt de films minces.</v>
    <v>EUR</v>
    <v>4617</v>
    <v>XAMS</v>
    <v>424.4</v>
    <v>748</v>
    <v>Semiconductors &amp; Semiconductor Equipment</v>
    <v>129</v>
    <v>-3.4986000000000003E-2</v>
    <v>-15.1</v>
    <v>ASM International NV</v>
    <v>ASM International NV</v>
    <v>423.8</v>
    <v>30.921099999999999</v>
    <v>416.5</v>
    <v>Versterkerstraat 8, ALMERE, FLEVOLAND, 1322 AP NL</v>
    <v>Bourse</v>
    <v>ASM International NV (XAMS:ASM)</v>
    <v>82470</v>
    <v>167630</v>
  </rv>
  <rv s="3">
    <v>130</v>
  </rv>
  <rv s="1">
    <v>https://www.bing.com/financeapi/forcetrigger?t=alnz5r&amp;q=XAMS%3aASML&amp;form=skydnc</v>
    <v>Learn more on Bing</v>
  </rv>
  <rv s="2">
    <v>0</v>
    <v>1</v>
    <v>ASML Holding NV (XAMS:ASML)</v>
    <v>3</v>
    <v>8</v>
    <v>Finance</v>
    <v>7</v>
    <v>fr-FR</v>
    <v>alnz5r</v>
    <v>268435456</v>
    <v>1</v>
    <v>Avec Refinitiv</v>
    <v>XAMS</v>
    <v>393830700</v>
    <v>1994</v>
    <v>602.6</v>
    <v>602.6</v>
    <v>1.8742000000000001</v>
    <v>246380500000</v>
    <v>Euronext Amsterdam</v>
    <v>625.6</v>
    <v>ASML</v>
    <v>45747.593229166669</v>
    <v>ASML Holding N.V. est une société holding basée aux Pays-Bas. La Société exerce ses activités par l’intermédiaire de ses filiales aux Pays-Bas, aux États-Unis, en Italie, en France, en Allemagne, au Royaume-Uni, en Irlande, en Belgique, en Corée du Sud, à Taïwan, à Singapour, en Chine, à Hong Kong, au Japon, en Malaisie et en Israël. La société opère par l’intermédiaire d’un segment d’activité qui est engagé dans le développement, la production, la commercialisation, la vente, la mise à niveau et l’entretien des systèmes avancés d’équipement de semi-conducteurs, composé de lithographie, métrologie et systèmes d’inspection. La société propose des systèmes TWINSCAN, équipés d’un système de lithographie avec une lampe au mercure comme source de lumière (i-line), Krypton Fluoride (KrF) et Argon Fluoride (ArF) sources de lumière pour le traitement des wafers pour les environnements de fabrication pour lesquels l’imagerie à une petite résolution est nécessaire. Les systèmes TWINSCAN comprennent également des systèmes de lithographie par immersion (systèmes d’immersion TWINSCAN).</v>
    <v>EUR</v>
    <v>42786</v>
    <v>XAMS</v>
    <v>617.6</v>
    <v>1021.8</v>
    <v>Semiconductors &amp; Semiconductor Equipment</v>
    <v>132</v>
    <v>-2.3497000000000001E-2</v>
    <v>-14.7</v>
    <v>ASML Holding NV</v>
    <v>ASML Holding NV</v>
    <v>616.6</v>
    <v>32.502899999999997</v>
    <v>610.9</v>
    <v>De Run 6501, VELDHOVEN, NOORD-BRABANT, 5504 DR NL</v>
    <v>Bourse</v>
    <v>ASML Holding NV (XAMS:ASML)</v>
    <v>481357</v>
    <v>773510</v>
  </rv>
  <rv s="3">
    <v>133</v>
  </rv>
  <rv s="1">
    <v>https://www.bing.com/financeapi/forcetrigger?t=afv8f2&amp;q=XETR%3aZEG&amp;form=skydnc</v>
    <v>Learn more on Bing</v>
  </rv>
  <rv s="2">
    <v>0</v>
    <v>1</v>
    <v>ASTRAZENECA PLC (XETR:ZEG)</v>
    <v>3</v>
    <v>24</v>
    <v>Finance</v>
    <v>7</v>
    <v>fr-FR</v>
    <v>afv8f2</v>
    <v>268435456</v>
    <v>1</v>
    <v>Avec Refinitiv</v>
    <v>XETR</v>
    <v>1550607000</v>
    <v>1992</v>
    <v>133.9</v>
    <v>117.3</v>
    <v>0.61780000000000002</v>
    <v>177113600000</v>
    <v>Xetra</v>
    <v>136.75</v>
    <v>ZEG</v>
    <v>45747.593194444446</v>
    <v>AstraZeneca Plc est une société biopharmaceutique scientifique. La Société se concentre sur la découverte, le développement et la commercialisation de médicaments sur ordonnance en oncologie, maladies rares et produits biopharmaceutiques, y compris cardiovasculaires, rénaux et métaboliques, et respiratoire et immunologie. Son portefeuille forme un portefeuille de thérapies expérimentales à divers stades de développement clinique et comprend le portefeuille Alexion rare Disease qui comprend environ 178 projets. Ses principaux produits d'oncologie commercialisés comprennent Tagrisso, Imfinzi, Lynparza, Calquence, Enhertu, Orpathys, Zoladex, Faslodex et autres. Ses produits pour maladies rares comprennent Soliris, Ultomiris, Strensiq et Kanuma. Ses produits biopharmaceutiques comprennent Farxiga, Lokelma, Crestor, Breztri et autres. Il se concentre également sur la découverte, le développement et la fabrication de thérapies de récepteurs de lymphocytes T. Il propose également un vaccin candidat expérimental IVX-A12, qui cible à la fois le virus respiratoire syncytial et le métapneumovirus humain.</v>
    <v>EUR</v>
    <v>94300</v>
    <v>XETR</v>
    <v>135.94999999999999</v>
    <v>158.19999999999999</v>
    <v>Pharmaceuticals</v>
    <v>135</v>
    <v>-1.9377999999999999E-2</v>
    <v>-2.65</v>
    <v>ASTRAZENECA PLC</v>
    <v>ASTRAZENECA PLC</v>
    <v>135.69999999999999</v>
    <v>31.2</v>
    <v>134.1</v>
    <v>1 Francis Crick Avenue, Cambridge Biomedical Campus, CAMBRIDGE, CB2 0AA GB</v>
    <v>Bourse</v>
    <v>ASTRAZENECA PLC (XETR:ZEG)</v>
    <v>16928</v>
    <v>1773990</v>
  </rv>
  <rv s="3">
    <v>136</v>
  </rv>
  <rv s="1">
    <v>https://www.bing.com/financeapi/forcetrigger?t=ae7t3m&amp;q=XPAR%3aATO&amp;form=skydnc</v>
    <v>Learn more on Bing</v>
  </rv>
  <rv s="2">
    <v>0</v>
    <v>1</v>
    <v>ATOS SE (XPAR:ATO)</v>
    <v>3</v>
    <v>8</v>
    <v>Finance</v>
    <v>7</v>
    <v>fr-FR</v>
    <v>ae7t3m</v>
    <v>268435456</v>
    <v>1</v>
    <v>Avec Refinitiv</v>
    <v>XPAR</v>
    <v>190358700000</v>
    <v>1982</v>
    <v>3.8999999999999998E-3</v>
    <v>0</v>
    <v>-4.9109999999999996</v>
    <v>761434900</v>
    <v>Euronext Paris</v>
    <v>4.0000000000000001E-3</v>
    <v>ATO</v>
    <v>45747.593090277776</v>
    <v>Atos se est une entreprise française qui fournit des services de transformation digitale et des services INFORMATIQUES. L'activité de la Société est organisée autour de 3 pôles, tels que les services d'externalisation, les services d'intégration et de conseil de systèmes et les services transactionnels. Il offre le traitement des transactions de paiement électronique, la gestion des paiements à distance, le développement de solutions de paiement, etc Il fournit une technologie numérique sécurisée et sans carbone. La Société offre à ses clients une approche de bout en bout en leur proposant des solutions numériques de pointe, des services de conseil, ainsi que des solutions de sécurité numérique et de décarbonisation. Il fournit une solution de cloud et de lieu de travail numérique et des services de sécurité gérés.</v>
    <v>EUR</v>
    <v>78112</v>
    <v>XPAR</v>
    <v>4.1000000000000003E-3</v>
    <v>1.73</v>
    <v>Software &amp; IT Services</v>
    <v>138</v>
    <v>-2.5000000000000001E-2</v>
    <v>-1E-4</v>
    <v>ATOS SE</v>
    <v>ATOS SE</v>
    <v>4.1000000000000003E-3</v>
    <v>2.24E-2</v>
    <v>3.8999999999999998E-3</v>
    <v>River Ouest 80, Quai Voltaire, BEZONS, ILE-DE-FRANCE, 95870 FR</v>
    <v>Bourse</v>
    <v>ATOS SE (XPAR:ATO)</v>
    <v>285789627</v>
    <v>677576730</v>
  </rv>
  <rv s="3">
    <v>139</v>
  </rv>
  <rv s="1">
    <v>http://zh.wikipedia.org/wiki/安盛</v>
    <v>Wikipedia</v>
  </rv>
  <rv s="5">
    <v>23</v>
    <v>141</v>
  </rv>
  <rv s="6">
    <v>17</v>
    <v>https://www.bing.com/th?id=AMMS_5dd8814ab6b5531b762ec573d9293b6d&amp;qlt=95</v>
    <v>142</v>
    <v>0</v>
    <v>https://www.bing.com/images/search?form=xlimg&amp;q=axa</v>
    <v>Image of AXA SA</v>
  </rv>
  <rv s="1">
    <v>https://www.bing.com/financeapi/forcetrigger?t=ae8a3m&amp;q=XPAR%3aCS&amp;form=skydnc</v>
    <v>Learn more on Bing</v>
  </rv>
  <rv s="7">
    <v>12</v>
    <v>13</v>
    <v>AXA SA (XPAR:CS)</v>
    <v>15</v>
    <v>18</v>
    <v>Finance</v>
    <v>7</v>
    <v>fr-FR</v>
    <v>ae8a3m</v>
    <v>268435456</v>
    <v>1</v>
    <v>Avec Refinitiv</v>
    <v>XPAR</v>
    <v>2215019000</v>
    <v>1985</v>
    <v>39.24</v>
    <v>29.04</v>
    <v>1.3749</v>
    <v>88578090000</v>
    <v>Euronext Paris</v>
    <v>39.99</v>
    <v>CS</v>
    <v>45747.593240740738</v>
    <v>AXA sa (AXA) est une société holding basée en France, spécialisée dans la protection financière. AXA propose une large gamme de produits à travers des segments d'activité : vie et épargne, biens et risques divers, santé, gestion d'actifs et banque. Son offre couvre les assurances automobile, habitation, biens et responsabilité civile générale, les services bancaires, les véhicules d'épargne et d'autres produits de placement pour les particuliers et les particuliers et les entreprises et les groupes, ainsi que les produits de santé, de protection et de retraite pour les particuliers ou les professionnels. AXA opère sur sept segments géographiques : France, Europe, Asie, AXA XL, Etats-Unis, international et transversal &amp; Central Holdings. AXA sa est la société holding du Groupe AXA.</v>
    <v>EUR</v>
    <v>100041</v>
    <v>XPAR</v>
    <v>39.840000000000003</v>
    <v>40.4</v>
    <v>143</v>
    <v>Insurance</v>
    <v>144</v>
    <v>-1.5504E-2</v>
    <v>-0.62</v>
    <v>AXA SA</v>
    <v>AXA SA</v>
    <v>39.64</v>
    <v>11.4023</v>
    <v>39.369999999999997</v>
    <v>25 avenue Matignon, PARIS, ILE-DE-FRANCE, 75008 FR</v>
    <v>Bourse</v>
    <v>AXA SA (XPAR:CS)</v>
    <v>2549235</v>
    <v>4376620</v>
  </rv>
  <rv s="3">
    <v>145</v>
  </rv>
  <rv s="1">
    <v>https://www.bing.com/financeapi/forcetrigger?t=a1o4sm&amp;q=XNYS%3aBAC&amp;form=skydnc</v>
    <v>Learn more on Bing</v>
  </rv>
  <rv s="2">
    <v>0</v>
    <v>1</v>
    <v>BANK OF AMERICA CORPORATION (XNYS:BAC)</v>
    <v>3</v>
    <v>4</v>
    <v>Finance</v>
    <v>5</v>
    <v>fr-FR</v>
    <v>a1o4sm</v>
    <v>268435456</v>
    <v>1</v>
    <v>Avec Refinitiv</v>
    <v>XNYS</v>
    <v>7602798000</v>
    <v>1998</v>
    <v>40.61</v>
    <v>34.15</v>
    <v>1.2569999999999999</v>
    <v>311068480170</v>
    <v>New York Stock Exchange</v>
    <v>41.25</v>
    <v>BAC</v>
    <v>45747.60365774297</v>
    <v>Bank of America Corporation est une société holding bancaire et une société holding financière. Ses segments comprennent Consumer Banking, Global Wealth &amp; Investment Management (GWIM), Global Banking et Global Markets. Le segment services bancaires aux consommateurs offre une gamme de produits et services de crédit, bancaires et d'investissement aux consommateurs et aux petites entreprises. Le GWIM comprend deux activités : Merrill Wealth Management, qui fournit des solutions sur mesure pour répondre aux besoins des clients grâce à un ensemble complet de produits de gestion de placements, de courtage, de services bancaires et de retraite, et Bank of America Private Bank, qui fournit des solutions complètes de gestion de patrimoine. Le secteur Global Banking propose une gamme de produits et services liés aux prêts, des solutions intégrées de gestion du fonds de roulement et de trésorerie, ainsi que des services de souscription et de conseil. Le segment Global Markets offre des services de vente et de négociation ainsi que des services de recherche aux clients institutionnels dans les secteurs des titres à revenu fixe, du crédit, des devises, des matières premières et des actions.</v>
    <v>USD</v>
    <v>213000</v>
    <v>XNYS</v>
    <v>41.11</v>
    <v>48.08</v>
    <v>Banking Services</v>
    <v>147</v>
    <v>-8.1209999999999997E-3</v>
    <v>-0.33500000000000002</v>
    <v>BANK OF AMERICA CORPORATION</v>
    <v>BANK OF AMERICA CORPORATION</v>
    <v>40.765000000000001</v>
    <v>12.8505</v>
    <v>40.914999999999999</v>
    <v>Bank Of America Corporate Center, 100 N Tryon St, CHARLOTTE, NC, 28255 US</v>
    <v>Bourse</v>
    <v>BANK OF AMERICA CORPORATION (XNYS:BAC)</v>
    <v>9198269</v>
    <v>43884357</v>
  </rv>
  <rv s="3">
    <v>148</v>
  </rv>
  <rv s="1">
    <v>https://www.bing.com/financeapi/forcetrigger?t=af55zr&amp;q=XFRA%3aBAS&amp;form=skydnc</v>
    <v>Learn more on Bing</v>
  </rv>
  <rv s="2">
    <v>0</v>
    <v>1</v>
    <v>BASF SE (XFRA:BAS)</v>
    <v>3</v>
    <v>8</v>
    <v>Finance</v>
    <v>7</v>
    <v>fr-FR</v>
    <v>af55zr</v>
    <v>268435456</v>
    <v>1</v>
    <v>Avec Refinitiv</v>
    <v>XFRA</v>
    <v>892522200</v>
    <v>2008</v>
    <v>45.1</v>
    <v>37.409999999999997</v>
    <v>1.2397</v>
    <v>42341250000</v>
    <v>Deutsche Boerse AG</v>
    <v>47.534999999999997</v>
    <v>BAS</v>
    <v>45747.593055555553</v>
    <v>BASF SE est une société chimique basée en Allemagne. La société opère à travers six segments, qui comprennent les produits chimiques, les matériaux, les solutions industrielles, les technologies de surface, la nutrition et les soins et les solutions agricoles. Le segment des produits chimiques comprend les divisions pétrochimiques et intermédiaires. Le segment des matériaux comprend les divisions des matériaux de performance et des monomères. Le segment des solutions industrielles comprend les divisions des dispersions, des résines, des additifs et des produits chimiques de performance. Le segment des technologies de surface comprend les divisions des catalyseurs et des solutions de revêtements. Le segment Nutrition &amp; Care comprend les divisions Care Chemicals et Nutrition and Health. Le segment des solutions agricoles comprend la division Agricultural Solutions, qui se concentre sur la fourniture de produits de protection des cultures, de solutions de traitement des semences et de régulateurs de croissance des plantes. BASF SE est une société chimique basée en Allemagne. La société opère à travers six segments, qui comprennent les produits chimiques, les matériaux, les solutions industrielles, les technologies de surface, la nutrition et les soins et les solutions agricoles. Le segment des produits chimiques comprend les divisions pétrochimiques et intermédiaires. Le segment des matériaux comprend les divisions des matériaux de performance et des monomères.</v>
    <v>EUR</v>
    <v>111991</v>
    <v>XFRA</v>
    <v>46.7</v>
    <v>95.7</v>
    <v>Chemicals</v>
    <v>150</v>
    <v>-3.8707999999999999E-2</v>
    <v>-1.84</v>
    <v>BASF SE</v>
    <v>BASF SE</v>
    <v>46.6</v>
    <v>33.119999999999997</v>
    <v>45.695</v>
    <v>Carl-Bosch-Str. 38, LUDWIGSHAFEN AM RHEIN, RHEINLAND-PFALZ, 67056 DE</v>
    <v>Bourse</v>
    <v>BASF SE (XFRA:BAS)</v>
    <v>20111</v>
    <v>2914130</v>
  </rv>
  <rv s="3">
    <v>151</v>
  </rv>
  <rv s="1">
    <v>https://www.bing.com/financeapi/forcetrigger?t=af56c7&amp;q=XFRA%3aBAYN&amp;form=skydnc</v>
    <v>Learn more on Bing</v>
  </rv>
  <rv s="9">
    <v>25</v>
    <v>26</v>
    <v>Bayer AG (XFRA:BAYN)</v>
    <v>3</v>
    <v>27</v>
    <v>Finance</v>
    <v>7</v>
    <v>fr-FR</v>
    <v>af56c7</v>
    <v>268435456</v>
    <v>1</v>
    <v>Avec Refinitiv</v>
    <v>XFRA</v>
    <v>982424100</v>
    <v>1952</v>
    <v>21.94</v>
    <v>18.5</v>
    <v>1.1041000000000001</v>
    <v>22173310000</v>
    <v>Deutsche Boerse AG</v>
    <v>22.535</v>
    <v>BAYN</v>
    <v>45747.593055555553</v>
    <v>Bayer AG est une société allemande spécialisée dans les sciences de la vie. Les segments de la Société sont Crop Science, Pharmaceuticals et Consumer Health. Le segment Crop Science se concentre sur les semences, les caractéristiques améliorées des plantes, les produits chimiques et biologiques de protection des cultures, les solutions numériques et le service à la clientèle pour une agriculture durable. Le secteur pharmaceutique se concentre sur les produits sur ordonnance, en particulier pour la cardiologie et la santé des femmes, ainsi que sur les thérapies spécialisées axées sur les domaines de la cardiologie, de l'oncologie, de l'hématologie et de l'ophtalmologie, ainsi que sur la thérapie génique et autres. Le segment de la santé grand public développe, produit et commercialise des médicaments en vente libre pour l'automédication. Son portefeuille de segment santé grand public comprend des produits en dermatologie, compléments alimentaires, analgésiques, gastro-intestinaux, rhume, allergies, sinus et grippe, soins des pieds et protection solaire, entre autres.</v>
    <v>EUR</v>
    <v>92815</v>
    <v>XFRA</v>
    <v>22.42</v>
    <v>105.98699999999999</v>
    <v>Pharmaceuticals</v>
    <v>153</v>
    <v>-1.9303000000000001E-2</v>
    <v>-0.435</v>
    <v>Bayer AG</v>
    <v>Bayer AG</v>
    <v>22.42</v>
    <v>22.1</v>
    <v>Kaiser-Wilhelm-Allee 1, LEVERKUSEN, NORDRHEIN-WESTFALEN, 51373 DE</v>
    <v>Bourse</v>
    <v>Bayer AG (XFRA:BAYN)</v>
    <v>3329</v>
    <v>4590780</v>
  </rv>
  <rv s="3">
    <v>154</v>
  </rv>
  <rv s="1">
    <v>https://www.bing.com/financeapi/forcetrigger?t=af5lim&amp;q=XFRA%3aBMW&amp;form=skydnc</v>
    <v>Learn more on Bing</v>
  </rv>
  <rv s="2">
    <v>0</v>
    <v>1</v>
    <v>Bayerische Motoren Werke AG (XFRA:BMW)</v>
    <v>3</v>
    <v>8</v>
    <v>Finance</v>
    <v>7</v>
    <v>fr-FR</v>
    <v>af5lim</v>
    <v>268435456</v>
    <v>1</v>
    <v>Avec Refinitiv</v>
    <v>XFRA</v>
    <v>638716100</v>
    <v>1995</v>
    <v>72.739999999999995</v>
    <v>36.884999999999998</v>
    <v>1.1482000000000001</v>
    <v>48257220000</v>
    <v>Deutsche Boerse AG</v>
    <v>76.2</v>
    <v>BMW</v>
    <v>45747.593055555553</v>
    <v>Bayerische Motoren Werke Aktiengesellschaft est une société basée en Allemagne. La Société fabrique des automobiles et des motocycles. Les activités de la société sont divisées en trois segments : Segment automobile, Segment motocyclettes, Segment services financiers. Le segment automobile compte trois marques : BMW, MINI et Rolls-Royce. Il offre une variété de groupes motopropulseurs allant des moteurs purement électriques (BEV1) et des hybrides rechargeables modernes (PHEV2) aux moteurs à combustion efficaces. La gamme de produits comprend des automobiles allant de la classe compacte à la classe de luxe. Le segment Motos propose également une gamme de véhicules dans les catégories Sport, Tour, Roadster, Heritage et Adventure. Le secteur des services financiers fournit du financement par crédit et la location de véhicules et de motos de marque BMW à des clients particuliers.</v>
    <v>EUR</v>
    <v>159104</v>
    <v>XFRA</v>
    <v>75.459999999999994</v>
    <v>115.25</v>
    <v>Automobiles &amp; Auto Parts</v>
    <v>156</v>
    <v>-3.3857999999999999E-2</v>
    <v>-2.58</v>
    <v>Bayerische Motoren Werke AG</v>
    <v>Bayerische Motoren Werke AG</v>
    <v>75.28</v>
    <v>6.67</v>
    <v>73.62</v>
    <v>Petuelring 130, MUENCHEN, BAYERN, 80788 DE</v>
    <v>Bourse</v>
    <v>Bayerische Motoren Werke AG (XFRA:BMW)</v>
    <v>4081</v>
    <v>1543030</v>
  </rv>
  <rv s="3">
    <v>157</v>
  </rv>
  <rv s="1">
    <v>https://www.bing.com/financeapi/forcetrigger?t=alo152&amp;q=XAMS%3aBESI&amp;form=skydnc</v>
    <v>Learn more on Bing</v>
  </rv>
  <rv s="4">
    <v>9</v>
    <v>10</v>
    <v>BE Semiconductor Industries NV (XAMS:BESI)</v>
    <v>3</v>
    <v>11</v>
    <v>Finance</v>
    <v>7</v>
    <v>fr-FR</v>
    <v>alo152</v>
    <v>268435456</v>
    <v>1</v>
    <v>Avec Refinitiv</v>
    <v>XAMS</v>
    <v>81146740</v>
    <v>95.14</v>
    <v>91.2</v>
    <v>1.8352999999999999</v>
    <v>7996200000</v>
    <v>Euronext Amsterdam</v>
    <v>98.54</v>
    <v>BESI</v>
    <v>45747.593217592592</v>
    <v>BE Semiconductor Industries N.V. (Besi) est une holding. La Société est engagée dans le développement, la fabrication, la commercialisation, la vente et le service d'équipements de montage semi-conducteurs pour les industries mondiales des semi-conducteurs et de l'électronique. Il fonctionne à travers trois segments: Die Attach, Packaging and Plating. Elle développe des processus d'assemblage et des équipements pour les applications d'emballage au plomb, au substrat et aux plaquettes sur une gamme de marchés d'utilisateurs finaux, y compris l'électronique, l'informatique, l'automobile, l'industrie et l'énergie solaire. La Société propose des produits, tels que des équipements de fixation à la masse, qui incluent des systèmes de liaison par compression à une seule puce, multi-puissants, multi-modules, flip chip, thermo-compression (TCB) et des systèmes améliorés de blocage des matrices à grille à billes (eWLB) et triage Systèmes; Les équipements d'emballage, y compris les systèmes de moulage par niveau de plaquettes et de sécrétions, et les équipements de plaquage, y compris les systèmes de placage métallique et les produits chimiques pour procédés connexes.</v>
    <v>EUR</v>
    <v>1812</v>
    <v>XAMS</v>
    <v>97.72</v>
    <v>171.3</v>
    <v>Semiconductors &amp; Semiconductor Equipment</v>
    <v>159</v>
    <v>-2.3746999999999997E-2</v>
    <v>-2.34</v>
    <v>BE Semiconductor Industries NV</v>
    <v>BE Semiconductor Industries NV</v>
    <v>96.64</v>
    <v>42.719000000000001</v>
    <v>96.2</v>
    <v>Ratio 6, DUIVEN, GELDERLAND, 6921 RW NL</v>
    <v>Bourse</v>
    <v>BE Semiconductor Industries NV (XAMS:BESI)</v>
    <v>199173</v>
    <v>393050</v>
  </rv>
  <rv s="3">
    <v>160</v>
  </rv>
  <rv s="1">
    <v>https://www.bing.com/financeapi/forcetrigger?t=c2cirw&amp;q=XPAR%3aBLV&amp;form=skydnc</v>
    <v>Learn more on Bing</v>
  </rv>
  <rv s="9">
    <v>25</v>
    <v>26</v>
    <v>BELIEVE SA (XPAR:BLV)</v>
    <v>3</v>
    <v>27</v>
    <v>Finance</v>
    <v>7</v>
    <v>fr-FR</v>
    <v>c2cirw</v>
    <v>268435456</v>
    <v>1</v>
    <v>Avec Refinitiv</v>
    <v>XPAR</v>
    <v>100618500</v>
    <v>2005</v>
    <v>14.94</v>
    <v>12.8</v>
    <v>1.4954000000000001</v>
    <v>1517327000</v>
    <v>Euronext Paris</v>
    <v>15.08</v>
    <v>BLV</v>
    <v>45747.48778935185</v>
    <v>Believe SAS est une société basée en France qui fournit des services de distribution numérique d’artistes et de labels. La Société propose de construire et de coordonner des stratégies de marketing et de promotion digitales sur mesure en France et à l’étranger. Il place la musique de l’artiste / étiquette à vendre dans des magasins numériques tels que iTunes, Beatport, Vodafone, Amazon numérique et Emusic, et d’autres; puis assigne artistes et répertoire (A&amp;R) professionnel dédié à l’artiste / label et offre ensuite un accès permanent à la zone artiste / label pour surveiller les ventes et la promotion. La Société aide les artistes indépendants à atteindre un public local ainsi que le succès mondial grâce à des solutions basées sur les données, basées sur la technologie interne qui leur permet de maximiser leurs revenus.</v>
    <v>EUR</v>
    <v>2028</v>
    <v>XPAR</v>
    <v>15.08</v>
    <v>16.920000000000002</v>
    <v>Media &amp; Publishing</v>
    <v>162</v>
    <v>-9.2840000000000006E-3</v>
    <v>-0.14000000000000001</v>
    <v>BELIEVE SA</v>
    <v>BELIEVE SA</v>
    <v>15.08</v>
    <v>14.94</v>
    <v>24 rue Toulouse Lautrec, PARIS, ILE-DE-FRANCE, 75017 FR</v>
    <v>Bourse</v>
    <v>BELIEVE SA (XPAR:BLV)</v>
    <v>110</v>
    <v>790</v>
  </rv>
  <rv s="3">
    <v>163</v>
  </rv>
  <rv s="1">
    <v>https://www.bing.com/financeapi/forcetrigger?t=ae7uh7&amp;q=XPAR%3aBB&amp;form=skydnc</v>
    <v>Learn more on Bing</v>
  </rv>
  <rv s="4">
    <v>9</v>
    <v>10</v>
    <v>SOCIETE BIC S.A. (XPAR:BB)</v>
    <v>3</v>
    <v>11</v>
    <v>Finance</v>
    <v>7</v>
    <v>fr-FR</v>
    <v>ae7uh7</v>
    <v>268435456</v>
    <v>1</v>
    <v>Avec Refinitiv</v>
    <v>XPAR</v>
    <v>41621160</v>
    <v>62.2</v>
    <v>50.6</v>
    <v>0.36830000000000002</v>
    <v>2626295000</v>
    <v>Euronext Paris</v>
    <v>63.1</v>
    <v>BB</v>
    <v>45747.592835648145</v>
    <v>Société BIC SA est une société Française qui fabrique des produits de consommation. La Société distribue des articles de papeterie, des produits promotionnels et des produits de papier imprimé tels que des briquets, des rasoirs, des stylos, des crayons et du liquide correcteur. Il crée également des produits essentiels et des produits de bureau qui sont commercialisés pour les entreprises, les marchands, les magasins de proximité et les grossistes. Elle est présente dans le monde entier en Europe, au Moyen-Orient, en Afrique, en Amérique du Nord, en Amérique latine, en Asie et en Océanie.</v>
    <v>EUR</v>
    <v>10322</v>
    <v>XPAR</v>
    <v>62.9</v>
    <v>71.5</v>
    <v>Professional &amp; Commercial Services</v>
    <v>165</v>
    <v>-9.5090000000000001E-3</v>
    <v>-0.6</v>
    <v>SOCIETE BIC S.A.</v>
    <v>SOCIETE BIC S.A.</v>
    <v>62.8</v>
    <v>12.3704</v>
    <v>62.5</v>
    <v>12 boulevard Victor Hugo, Cedex, CLICHY, ILE-DE-FRANCE, 92611 FR</v>
    <v>Bourse</v>
    <v>SOCIETE BIC S.A. (XPAR:BB)</v>
    <v>7220</v>
    <v>28930</v>
  </rv>
  <rv s="3">
    <v>166</v>
  </rv>
  <rv s="1">
    <v>https://www.bing.com/financeapi/forcetrigger?t=ae7v7w&amp;q=XPAR%3aBIM&amp;form=skydnc</v>
    <v>Learn more on Bing</v>
  </rv>
  <rv s="2">
    <v>0</v>
    <v>1</v>
    <v>BIOMERIEUX SA (XPAR:BIM)</v>
    <v>3</v>
    <v>8</v>
    <v>Finance</v>
    <v>7</v>
    <v>fr-FR</v>
    <v>ae7v7w</v>
    <v>268435456</v>
    <v>1</v>
    <v>Avec Refinitiv</v>
    <v>XPAR</v>
    <v>118361200</v>
    <v>1967</v>
    <v>114.1</v>
    <v>88.25</v>
    <v>0.3725</v>
    <v>13777250000</v>
    <v>Euronext Paris</v>
    <v>116.4</v>
    <v>BIM</v>
    <v>45747.592847222222</v>
    <v>BioMérieux sa est une société française spécialisée dans le diagnostic in vitro pour applications médicales et industrielles. La Société conçoit, développe, fabrique et vend des systèmes utilisés dans des applications cliniques, telles que le diagnostic de la tuberculose, des infections respiratoires, entre autres, et des applications industrielles, telles que l'analyse d'échantillons industriels ou environnementaux. La Société fournit également à ses clients des services connexes pour l'installation et la maintenance des instruments, ainsi que la formation des utilisateurs de produits. BioMérieux sa opère à travers ses nombreuses filiales dans différents pays, dont bioMérieux Deutschland GmbH, bioMérieux Austria GmbH, Advencis, bioMérieux Benelux sa/NV, ainsi que BioFire Diagnostics Inc, ChromID CARBA SMART et la nouvelle boîte de Petri bi-plaque.</v>
    <v>EUR</v>
    <v>14754</v>
    <v>XPAR</v>
    <v>116.4</v>
    <v>120</v>
    <v>Healthcare Equipment &amp; Supplies</v>
    <v>168</v>
    <v>-1.89E-2</v>
    <v>-2.2000000000000002</v>
    <v>BIOMERIEUX SA</v>
    <v>BIOMERIEUX SA</v>
    <v>116.4</v>
    <v>31.820699999999999</v>
    <v>114.2</v>
    <v>376, chemin de l'Orme, CRAPONNE, AUVERGNE-RHONE-ALPES, 69280 FR</v>
    <v>Bourse</v>
    <v>BIOMERIEUX SA (XPAR:BIM)</v>
    <v>24390</v>
    <v>122020</v>
  </rv>
  <rv s="3">
    <v>169</v>
  </rv>
  <rv s="1">
    <v>https://www.bing.com/financeapi/forcetrigger?t=a1ol27&amp;q=XNAS%3aBL&amp;form=skydnc</v>
    <v>Learn more on Bing</v>
  </rv>
  <rv s="2">
    <v>0</v>
    <v>1</v>
    <v>BLACKLINE, INC (XNAS:BL)</v>
    <v>3</v>
    <v>4</v>
    <v>Finance</v>
    <v>5</v>
    <v>fr-FR</v>
    <v>a1ol27</v>
    <v>268435456</v>
    <v>1</v>
    <v>Avec Refinitiv</v>
    <v>XNAS</v>
    <v>63076640</v>
    <v>2013</v>
    <v>47.994999999999997</v>
    <v>43.368000000000002</v>
    <v>0.96350000000000002</v>
    <v>3031463318</v>
    <v>Nasdaq Stock Market</v>
    <v>48.81</v>
    <v>BL</v>
    <v>45747.603670589844</v>
    <v>BlackLine, Inc. est une société de portefeuille qui exerce ses activités par l'intermédiaire de sa filiale, BlackLine Systems, Inc. La Société fournit des solutions de clôture de comptabilité financière fournies principalement sous forme de logiciel en tant que service (SaaS). Les solutions de la Société permettent à ses clients de traiter divers aspects de leurs processus critiques, y compris la clôture financière, la comptabilité intersociétés, la facturation à la caisse et la consolidation. Les solutions cloud de la société comprennent les rapprochements de comptes, le rapprochement de transactions, la gestion des tâches, les entrées de journal, l'analyse des écarts, consolidation Integrity Manager, Compliance, BlackLine Cash application, Credit &amp; Risk Management, recouvrement Management, litiges et déductions, Team &amp; Task Management, AR Intelligence, fonctionnalité de création inter-sociétés, traitement inter-sociétés et compensation et règlement. Ces solutions sont proposées aux clients sous la forme de solutions évolutives qui prennent en charge les processus critiques d'enregistrement à déclaration et de facturation à la caisse.</v>
    <v>USD</v>
    <v>1830</v>
    <v>XNAS</v>
    <v>48.51</v>
    <v>69.09</v>
    <v>Software &amp; IT Services</v>
    <v>171</v>
    <v>-1.5365999999999999E-2</v>
    <v>-0.75</v>
    <v>BLACKLINE, INC</v>
    <v>BLACKLINE, INC</v>
    <v>48.45</v>
    <v>21.116499999999998</v>
    <v>48.06</v>
    <v>21300 Victory Boulevard, 12Th Floor, WOODLAND HILLS, CA, 91367 US</v>
    <v>Bourse</v>
    <v>BLACKLINE, INC (XNAS:BL)</v>
    <v>63313</v>
    <v>732319</v>
  </rv>
  <rv s="3">
    <v>172</v>
  </rv>
  <rv s="1">
    <v>https://www.bing.com/financeapi/forcetrigger?t=a1om4c&amp;q=XNYS%3aBLK&amp;form=skydnc</v>
    <v>Learn more on Bing</v>
  </rv>
  <rv s="2">
    <v>0</v>
    <v>1</v>
    <v>BLACKROCK FINANCE, INC. (XNYS:BLK)</v>
    <v>3</v>
    <v>4</v>
    <v>Finance</v>
    <v>5</v>
    <v>fr-FR</v>
    <v>a1om4c</v>
    <v>268435456</v>
    <v>1</v>
    <v>Avec Refinitiv</v>
    <v>XNYS</v>
    <v>160128500</v>
    <v>2006</v>
    <v>922.69</v>
    <v>745.55139999999994</v>
    <v>1.3172999999999999</v>
    <v>143255277519</v>
    <v>New York Stock Exchange</v>
    <v>946.7</v>
    <v>BLK</v>
    <v>45747.603648425778</v>
    <v>BlackRock, Inc. est une société de gestion de placements. La Société fournit une gamme de services de gestion de placements et de technologie à des clients institutionnels et de détail. Sa plate-forme diversifiée de stratégies de placement actives, indicielles et de gestion de trésorerie à la recherche d'alpha dans toutes les classes d'actifs permet à la Société d'adapter les résultats de placement et les solutions de répartition d'actifs pour ses clients. L'offre de produits de la Société comprend des portefeuilles à actifs uniques et multiples investissant dans des actions, des titres à revenu fixe, des instruments de remplacement et des instruments du marché monétaire. Ses produits sont proposés directement et par l'intermédiaire d'intermédiaires dans une gamme de véhicules, y compris les fonds communs de placement à capital ouvert et fermé, les iShares et les fonds négociés en bourse (ETF), les comptes séparés, les fonds de placement collectif et d'autres véhicules de placement collectif. La Société offre également des services technologiques, y compris la plateforme technologique de gestion des investissements et des risques, Aladdin, Aladdin Wealth, eFront et Cachematrix, ainsi que des services de conseil et des solutions.</v>
    <v>USD</v>
    <v>19300</v>
    <v>XNYS</v>
    <v>935.36</v>
    <v>1084.22</v>
    <v>Investment Banking &amp; Investment Services</v>
    <v>174</v>
    <v>-2.5331000000000003E-2</v>
    <v>-23.980899999999998</v>
    <v>BLACKROCK FINANCE, INC.</v>
    <v>BLACKROCK FINANCE, INC.</v>
    <v>933</v>
    <v>21.988900000000001</v>
    <v>922.71910000000003</v>
    <v>50 Hudson Yards, NEW YORK, NY, 10001 US</v>
    <v>Bourse</v>
    <v>BLACKROCK FINANCE, INC. (XNYS:BLK)</v>
    <v>129634</v>
    <v>1008583</v>
  </rv>
  <rv s="3">
    <v>175</v>
  </rv>
  <rv s="1">
    <v>https://www.bing.com/financeapi/forcetrigger?t=ae7w1h&amp;q=XPAR%3aBNP&amp;form=skydnc</v>
    <v>Learn more on Bing</v>
  </rv>
  <rv s="2">
    <v>0</v>
    <v>1</v>
    <v>BNP PARIBAS SA (XPAR:BNP)</v>
    <v>3</v>
    <v>8</v>
    <v>Finance</v>
    <v>7</v>
    <v>fr-FR</v>
    <v>ae7w1h</v>
    <v>268435456</v>
    <v>1</v>
    <v>Avec Refinitiv</v>
    <v>XPAR</v>
    <v>1130811000</v>
    <v>1966</v>
    <v>76.28</v>
    <v>54.63</v>
    <v>1.6005</v>
    <v>88825180000</v>
    <v>Euronext Paris</v>
    <v>78.55</v>
    <v>BNP</v>
    <v>45747.593240740738</v>
    <v>BNP Paribas SA est une institution bancaire internationale basée en France. La société organise ses activités en trois grands domaines d’activité : les services bancaires aux entreprises et institutionnels (CIB), les services bancaires aux particuliers et aux entreprises (CPBS) et les services de protection des investissements (IPS). La CIB comprend les services bancaires mondiaux, les marchés mondiaux et les services de valeurs mobilières. CBPS couvre les services bancaires commerciaux et personnels en France, en Belgique, en Italie, au Luxembourg et dans la zone euro-méditerranéenne. IPS fournit des services tels que la gestion de patrimoine, la gestion d’actifs, l’immobilier et les placements principaux.</v>
    <v>EUR</v>
    <v>177952</v>
    <v>XPAR</v>
    <v>77.8</v>
    <v>81.92</v>
    <v>Banking Services</v>
    <v>177</v>
    <v>-2.1770000000000001E-2</v>
    <v>-1.71</v>
    <v>BNP PARIBAS SA</v>
    <v>BNP PARIBAS SA</v>
    <v>77.650000000000006</v>
    <v>8.0246999999999993</v>
    <v>76.84</v>
    <v>16 Boulevard Des Italiens, Paris 9, PARIS, ILE-DE-FRANCE, 75009 FR</v>
    <v>Bourse</v>
    <v>BNP PARIBAS SA (XPAR:BNP)</v>
    <v>1862972</v>
    <v>3744680</v>
  </rv>
  <rv s="3">
    <v>178</v>
  </rv>
  <rv s="1">
    <v>https://www.bing.com/financeapi/forcetrigger?t=a1o4ec&amp;q=XNYS%3aBA&amp;form=skydnc</v>
    <v>Learn more on Bing</v>
  </rv>
  <rv s="9">
    <v>25</v>
    <v>26</v>
    <v>THE BOEING COMPANY (XNYS:BA)</v>
    <v>3</v>
    <v>28</v>
    <v>Finance</v>
    <v>5</v>
    <v>fr-FR</v>
    <v>a1o4ec</v>
    <v>268435456</v>
    <v>1</v>
    <v>Avec Refinitiv</v>
    <v>XNYS</v>
    <v>752407500</v>
    <v>1934</v>
    <v>166.792</v>
    <v>137.03</v>
    <v>1.2212000000000001</v>
    <v>127420210125</v>
    <v>New York Stock Exchange</v>
    <v>173.31</v>
    <v>BA</v>
    <v>45747.603617291403</v>
    <v>The Boeing Company est une entreprise aérospatiale. La société opère dans trois segments : avions commerciaux (BCA), Défense, espace et sécurité (BDS), Global services (BGS). Son segment BCA développe, produit et commercialise des avions à réaction commerciaux pour l'industrie du transport aérien commercial dans le monde entier. Sa famille d'avions à réaction commerciaux en production comprend le modèle 737 à carrosserie étroite et les modèles 767, 777 et 787 à carrosserie large. Son segment BDS est engagé dans la recherche, le développement, la production et la modification d'avions militaires habités et non habités et de systèmes d'armes de grève, de surveillance et de mobilité. Son segment BGS fournit des services à ses clients commerciaux et de défense dans le monde entier. Il soutient les plates-formes et systèmes aérospatiaux avec une gamme de produits et de services, y compris la gestion de la chaîne d'approvisionnement et de la logistique, l'ingénierie, la maintenance et les modifications, les mises à niveau et les conversions, les pièces de rechange, systèmes et services de formation aux pilotes et à la maintenance, documents techniques et de maintenance, et autres.</v>
    <v>USD</v>
    <v>172000</v>
    <v>XNYS</v>
    <v>171</v>
    <v>196.95</v>
    <v>Aerospace &amp; Defense</v>
    <v>180</v>
    <v>-2.2848999999999998E-2</v>
    <v>-3.96</v>
    <v>THE BOEING COMPANY</v>
    <v>THE BOEING COMPANY</v>
    <v>170.44499999999999</v>
    <v>169.35</v>
    <v>929 Long Bridge Drive, ARLINGTON, VA, 22202 US</v>
    <v>Bourse</v>
    <v>THE BOEING COMPANY (XNYS:BA)</v>
    <v>1909271</v>
    <v>8504372</v>
  </rv>
  <rv s="3">
    <v>181</v>
  </rv>
  <rv s="1">
    <v>https://www.bing.com/financeapi/forcetrigger?t=ae7wfr&amp;q=XPAR%3aBOL&amp;form=skydnc</v>
    <v>Learn more on Bing</v>
  </rv>
  <rv s="2">
    <v>0</v>
    <v>1</v>
    <v>BOLLORE SE (XPAR:BOL)</v>
    <v>3</v>
    <v>8</v>
    <v>Finance</v>
    <v>7</v>
    <v>fr-FR</v>
    <v>ae7wfr</v>
    <v>268435456</v>
    <v>1</v>
    <v>Avec Refinitiv</v>
    <v>XPAR</v>
    <v>2831406000</v>
    <v>1955</v>
    <v>5.41</v>
    <v>5.28</v>
    <v>0.60699999999999998</v>
    <v>15682630000</v>
    <v>Euronext Paris</v>
    <v>5.54</v>
    <v>BOL</v>
    <v>45747.593148148146</v>
    <v>Bollore SE est une société de holding basée en France qui opère dans plus de 100 pays. La société est active dans plusieurs divisions : Bolloré Africa Logistics, dont les opérations de transit, l'arrimage, les concessions maritimes et ferroviaires ; Bolloré Logistics, avec une présence sur les cinq continents ; Bolloré Energy, qui distribue le fioul domestique et des produits pétroliers ; IER, qui conçoit, fabrique et vend des terminaux pour le contrôle et la lecture de billets ; Films plastiques, pour les condensateurs et l'emballage ; Batteries et supercapacités ; Véhicules électriques ; Autolib', qui offre un réseau de location de voitures électriques ; Communication et médias, qui a lancé Digital Terrestial Television (DTT) ; Plantations, car la société détient des plantations d'huile de palme et de caoutchouc, par le biais du groupe Socfin et Financial Assets.</v>
    <v>EUR</v>
    <v>91287</v>
    <v>XPAR</v>
    <v>5.5149999999999997</v>
    <v>6.43</v>
    <v>Media &amp; Publishing</v>
    <v>183</v>
    <v>-1.8953000000000001E-2</v>
    <v>-0.105</v>
    <v>BOLLORE SE</v>
    <v>BOLLORE SE</v>
    <v>5.4950000000000001</v>
    <v>8.4303000000000008</v>
    <v>5.4349999999999996</v>
    <v>Tour Bollore, 31-32, quai de Dion-Bouton, Puteaux cedex, PUTEAUX, ILE-DE-FRANCE, 92811 FR</v>
    <v>Bourse</v>
    <v>BOLLORE SE (XPAR:BOL)</v>
    <v>386152</v>
    <v>1615460</v>
  </rv>
  <rv s="3">
    <v>184</v>
  </rv>
  <rv s="1">
    <v>https://www.bing.com/financeapi/forcetrigger?t=alo1gh&amp;q=XAMS%3aBOKA&amp;form=skydnc</v>
    <v>Learn more on Bing</v>
  </rv>
  <rv s="10">
    <v>0</v>
    <v>29</v>
    <v>Koninklijke Boskalis Westminster NV (XAMS:BOKA)</v>
    <v>3</v>
    <v>8</v>
    <v>Finance</v>
    <v>7</v>
    <v>fr-FR</v>
    <v>alo1gh</v>
    <v>268435456</v>
    <v>1</v>
    <v>1</v>
    <v>Avec Refinitiv</v>
    <v>XAMS</v>
    <v>129324900</v>
    <v>1930</v>
    <v>32.72</v>
    <v>22.5</v>
    <v>0.85860000000000003</v>
    <v>4247030000</v>
    <v>Euronext Amsterdam</v>
    <v>32.840000000000003</v>
    <v>BOKA</v>
    <v>44873.708333333336</v>
    <v>Koninklijke Boskalis Westminster NV (Boskalis) is the Netherlands-based company engaged in the dredging and earthmoving, maritime infrastructure and maritime services sectors. It is divided in four segments. Dredging segment is engaged in port construction and maintenance, land reclamation, coastal defense, and riverbank protection, among others. Towage &amp; Salvage provides assistance to incoming and outgoing vessels, management and maintenance of oil and gas terminals, wreck clearance, and environmental services. Offshore energy conducts offshore dredging and rock installation projects, heavy transport, lift and installation work, and support services for offshore industry. Inland Infra comprises construction of roads, railways, bridges, dams and terminals, including earthmoving, soil improvement and remediation. It operates through numerous subsidiaries, including STRABAG Wasserbau GmbH.</v>
    <v>EUR</v>
    <v>7872</v>
    <v>XAMS</v>
    <v>32.9</v>
    <v>33.56</v>
    <v>Construction &amp; Engineering</v>
    <v>186</v>
    <v>0</v>
    <v>0</v>
    <v>Koninklijke Boskalis Westminster NV</v>
    <v>Koninklijke Boskalis Westminster NV</v>
    <v>32.72</v>
    <v>21.777200000000001</v>
    <v>32.82</v>
    <v>Rosmolenweg 20, PAPENDRECHT, ZUID-HOLLAND, 3356 LK NL</v>
    <v>Bourse</v>
    <v>Koninklijke Boskalis Westminster NV (XAMS:BOKA)</v>
    <v>46527</v>
    <v>22470</v>
  </rv>
  <rv s="3">
    <v>187</v>
  </rv>
  <rv s="1">
    <v>https://www.bing.com/financeapi/forcetrigger?t=ae8itc&amp;q=XPAR%3aEN&amp;form=skydnc</v>
    <v>Learn more on Bing</v>
  </rv>
  <rv s="4">
    <v>9</v>
    <v>10</v>
    <v>BOUYGUES SA (XPAR:EN)</v>
    <v>3</v>
    <v>11</v>
    <v>Finance</v>
    <v>7</v>
    <v>fr-FR</v>
    <v>ae8itc</v>
    <v>268435456</v>
    <v>1</v>
    <v>Avec Refinitiv</v>
    <v>XPAR</v>
    <v>378957800</v>
    <v>36.33</v>
    <v>27.47</v>
    <v>0.89259999999999995</v>
    <v>13987330000</v>
    <v>Euronext Paris</v>
    <v>36.909999999999997</v>
    <v>EN</v>
    <v>45747.593240740738</v>
    <v>Bouygues sa est un groupe de services diversifiés basé en France. La Société exploite des activités telles que, la construction, les télécommunications, les médias et ainsi de suite Elle propose la construction et l'entretien d'infrastructures de transport, de loisirs et de développement urbain, des activités de construction et de travaux publics concernant les réseaux, le génie électrique et thermique, l'entretien d'installations et le développement immobilier. Il fournit la téléphonie mobile, la téléphonie fixe, l'accès à Internet, etc Il fournit une aide à la décision pertinente pour de nombreuses activités du Groupe. Par exemple, à partir de l'analyse des données physiques d'un site, de la réglementation et des facteurs environnementaux, l'intelligence artificielle permet d'optimiser le potentiel constructif d'un terrain et de faciliter les interactions entre les différents acteurs. un projet immobilier (promoteurs, architectes, bureaux d'études et communautés).</v>
    <v>EUR</v>
    <v>200862</v>
    <v>XPAR</v>
    <v>36.729999999999997</v>
    <v>38.26</v>
    <v>Construction &amp; Engineering</v>
    <v>189</v>
    <v>-1.1650000000000001E-2</v>
    <v>-0.43</v>
    <v>BOUYGUES SA</v>
    <v>BOUYGUES SA</v>
    <v>36.6</v>
    <v>13.177899999999999</v>
    <v>36.479999999999997</v>
    <v>32 avenue Hoche, PARIS, ILE-DE-FRANCE, 75008 FR</v>
    <v>Bourse</v>
    <v>BOUYGUES SA (XPAR:EN)</v>
    <v>350638</v>
    <v>881140</v>
  </rv>
  <rv s="3">
    <v>190</v>
  </rv>
  <rv s="1">
    <v>https://www.bing.com/financeapi/forcetrigger?t=af5oar&amp;q=XFRA%3aBNR&amp;form=skydnc</v>
    <v>Learn more on Bing</v>
  </rv>
  <rv s="2">
    <v>0</v>
    <v>1</v>
    <v>Brenntag SE (XFRA:BNR)</v>
    <v>3</v>
    <v>8</v>
    <v>Finance</v>
    <v>7</v>
    <v>fr-FR</v>
    <v>af5oar</v>
    <v>268435456</v>
    <v>1</v>
    <v>Avec Refinitiv</v>
    <v>XFRA</v>
    <v>144385400</v>
    <v>2021</v>
    <v>60</v>
    <v>29.32</v>
    <v>0.83509999999999995</v>
    <v>8917240000</v>
    <v>Deutsche Boerse AG</v>
    <v>62.54</v>
    <v>BNR</v>
    <v>45747.593055555553</v>
    <v>Brenntag se est une société allemande active dans les domaines de la distribution de produits chimiques et d'ingrédients. La Société offre une large gamme de produits comprenant plus de 20 000 produits chimiques et ingrédients ainsi que des services tels que la livraison juste à temps, le mélange de produits, le reconditionnement, la gestion des stocks et la manutention des retours de fûts. Elle propose également des solutions sur mesure pour les applications, le marketing et la chaîne logistique, un support technique et de formulation, un savoir-faire réglementaire complet et des solutions numériques telles que des canaux de vente numériques et des plateformes de produits. La Société gère ses activités à travers deux divisions mondiales : Brenntag Specialties se concentre sur la vente d'ingrédients et de services à valeur ajoutée, et elle se concentre sur les industries Nutrition, Pharma, soins personnels / maison, industriel et institutionnel, Science des matériaux (revêtements et construction, polymères, caoutchouc), traitement de l'eau et lubrifiants. Brenntag Essentials commercialise un large portefeuille de produits chimiques de traitement pour un grand nombre d'industries et d'applications.</v>
    <v>EUR</v>
    <v>18122</v>
    <v>XFRA</v>
    <v>61.28</v>
    <v>88.34</v>
    <v>Chemicals</v>
    <v>192</v>
    <v>-4.0613999999999997E-2</v>
    <v>-2.54</v>
    <v>Brenntag SE</v>
    <v>Brenntag SE</v>
    <v>61.26</v>
    <v>16.91</v>
    <v>60</v>
    <v>Messeallee 11, ESSEN, NORDRHEIN-WESTFALEN, 45131 DE</v>
    <v>Bourse</v>
    <v>Brenntag SE (XFRA:BNR)</v>
    <v>83</v>
    <v>357090</v>
  </rv>
  <rv s="3">
    <v>193</v>
  </rv>
  <rv s="1">
    <v>https://www.bing.com/financeapi/forcetrigger?t=c2tw4c&amp;q=XLON%3aBPT&amp;form=skydnc</v>
    <v>Learn more on Bing</v>
  </rv>
  <rv s="2">
    <v>0</v>
    <v>1</v>
    <v>BRIDGEPOINT GROUP PLC (XLON:BPT)</v>
    <v>3</v>
    <v>30</v>
    <v>Finance</v>
    <v>31</v>
    <v>fr-FR</v>
    <v>c2tw4c</v>
    <v>268435456</v>
    <v>1</v>
    <v>Avec Refinitiv</v>
    <v>XLON</v>
    <v>825563400</v>
    <v>2018</v>
    <v>322</v>
    <v>202.4</v>
    <v>2.3816999999999999</v>
    <v>2793707000</v>
    <v>London Stock Exchange</v>
    <v>338.4</v>
    <v>BPT</v>
    <v>45747.592744443748</v>
    <v>Bridgepoint Group plc est un gestionnaire de fonds de capital-investissement et de crédit basé au Royaume-Uni. Il se concentre sur l'investissement dans les entreprises du marché intermédiaire via quatre stratégies de fonds distinctes. La stratégie Middle Market est mise en œuvre via son fonds phare de rachat, qui investit dans des entreprises généralement évaluées entre 250 millions d'euros et un milliard d'euros. La stratégie Small Mid Cap est mise en œuvre via Bridgepoint Development Capital, qui se concentre sur l'investissement dans les petites entreprises de taille intermédiaire d'une valeur pouvant atteindre 200 millions de livres sterling. La stratégie Small Cap est mise en œuvre via Bridgepoint Growth, qui se concentre sur les entreprises qui utilisent les technologies numériques pour réaliser une croissance transformationnelle sur leurs marchés finaux, recherchant généralement des investissements en actions de 5 à 20 millions de livres sterling. La stratégie de crédit est mise en œuvre via Bridgepoint Credit, sa plateforme de crédit privé qui investit dans la structure du capital et le spectre risque-récompense à travers trois stratégies complémentaires de dette syndiquée, de prêt direct et d'opportunités de crédit.</v>
    <v>GBp</v>
    <v>513</v>
    <v>XLON</v>
    <v>336</v>
    <v>410</v>
    <v>Investment Banking &amp; Investment Services</v>
    <v>195</v>
    <v>-4.6098999999999994E-2</v>
    <v>-15.6</v>
    <v>BRIDGEPOINT GROUP PLC</v>
    <v>BRIDGEPOINT GROUP PLC</v>
    <v>326</v>
    <v>44.177500000000002</v>
    <v>322.8</v>
    <v>5 Marble Arch, LONDON, W1H 7EJ GB</v>
    <v>Bourse</v>
    <v>BRIDGEPOINT GROUP PLC (XLON:BPT)</v>
    <v>182940</v>
    <v>747470</v>
  </rv>
  <rv s="3">
    <v>196</v>
  </rv>
  <rv s="1">
    <v>https://www.bing.com/financeapi/forcetrigger?t=ao6rmw&amp;q=XLON%3aBT.A&amp;form=skydnc</v>
    <v>Learn more on Bing</v>
  </rv>
  <rv s="2">
    <v>0</v>
    <v>1</v>
    <v>BT GROUP PLC (XLON:BT.A)</v>
    <v>3</v>
    <v>30</v>
    <v>Finance</v>
    <v>31</v>
    <v>fr-FR</v>
    <v>ao6rmw</v>
    <v>268435456</v>
    <v>1</v>
    <v>Avec Refinitiv</v>
    <v>XLON</v>
    <v>9956837000</v>
    <v>2001</v>
    <v>163.1</v>
    <v>101.65</v>
    <v>1.0388999999999999</v>
    <v>16458650000</v>
    <v>London Stock Exchange</v>
    <v>165.3</v>
    <v>BT.A</v>
    <v>45747.592798760939</v>
    <v>BT Group plc est un fournisseur britannique de télécommunications fixes et mobiles et de produits, solutions et services numériques sécurisés connexes. La Société fournit également des services gérés de télécommunications, de sécurité et d'infrastructure de réseau et de technologie de l'information (TI) à des clients répartis dans 180 pays. La Société se compose de trois unités orientées client : Consumer, Business et Openreach. L'unité Consumer dessert les particuliers et les familles au Royaume-Uni. La Business Unit couvre les entreprises et les services publics au Royaume-Uni et à l'international. L'unité Openreach est une filiale indépendante, détenue à 100 %, qui vend en gros des services d'infrastructure d'accès fixe à ses clients plus de 650 fournisseurs de communications à travers le Royaume-Uni. British Telecommunications plc est une filiale en propriété exclusive de la Société et englobe pratiquement toutes les activités et tous les actifs de la Société. Ses unités technologiques construisent, entretiennent et gèrent ses actifs numériques et réseau.</v>
    <v>GBp</v>
    <v>91700</v>
    <v>XLON</v>
    <v>165.55</v>
    <v>166.691</v>
    <v>Telecommunications Services</v>
    <v>198</v>
    <v>-2.722E-3</v>
    <v>-0.45</v>
    <v>BT GROUP PLC</v>
    <v>BT GROUP PLC</v>
    <v>165.55</v>
    <v>20.897600000000001</v>
    <v>164.85</v>
    <v>Bt Centre - 81 Newgate St, England, LONDON, EC1A 7AJ GB</v>
    <v>Bourse</v>
    <v>BT GROUP PLC (XLON:BT.A)</v>
    <v>4511183</v>
    <v>18916440</v>
  </rv>
  <rv s="3">
    <v>199</v>
  </rv>
  <rv s="1">
    <v>https://www.bing.com/financeapi/forcetrigger?t=ae7xtc&amp;q=XPAR%3aBVI&amp;form=skydnc</v>
    <v>Learn more on Bing</v>
  </rv>
  <rv s="2">
    <v>0</v>
    <v>1</v>
    <v>BUREAU VERITAS SA (XPAR:BVI)</v>
    <v>3</v>
    <v>8</v>
    <v>Finance</v>
    <v>7</v>
    <v>fr-FR</v>
    <v>ae7xtc</v>
    <v>268435456</v>
    <v>1</v>
    <v>Avec Refinitiv</v>
    <v>XPAR</v>
    <v>453871500</v>
    <v>1985</v>
    <v>27.68</v>
    <v>25.18</v>
    <v>0.83640000000000003</v>
    <v>12799180000</v>
    <v>Euronext Paris</v>
    <v>28.2</v>
    <v>BVI</v>
    <v>45747.593182870369</v>
    <v>Bureau Veritas sa, anciennement Bureau Veritas Registre International de classification de navires et d'Aerions, est une société française principalement engagée dans le secteur du soutien aux entreprises. Il offre une gamme de services, y compris la gestion des actifs, la certification, les services de classification, inspections et audits, essais et analyses, et formation. Elle est présente dans plus de 140 pays à travers un réseau de bureaux et de laboratoires. La Société opère par l'intermédiaire de ses filiales, dont BV Algeria, BV Argentina, Bivac Congo et Cesmec Chile, Unicar Group, Quiktrak Inc, Dairy Technical services Ltd ; Sistema PRI, une société brésilienne spécialisée dans l'assistance à la gestion de projets ; Analysts Inc, un spécialiste américain de la surveillance de l'état des huiles (OCM) ; MatthewsDaniel Ltd, qui fournit des services pour le marché de l'assurance, Ningbo Hengxin Engineering Testing Co, Ltd (Ningbo Hengxin), Kuhlmann Monitoramento Agricola Ltda, SIEMIC Inc, California Code Check and Primary Integration solutions.</v>
    <v>EUR</v>
    <v>84245</v>
    <v>XPAR</v>
    <v>28.14</v>
    <v>31.54</v>
    <v>Professional &amp; Commercial Services</v>
    <v>201</v>
    <v>-7.8009999999999998E-3</v>
    <v>-0.22</v>
    <v>BUREAU VERITAS SA</v>
    <v>BUREAU VERITAS SA</v>
    <v>28.04</v>
    <v>22.034400000000002</v>
    <v>27.98</v>
    <v>Immeuble Newtime, 40/52 boulevard du Parc, NEUILLY-SUR-SEINE, ILE-DE-FRANCE, 92200 FR</v>
    <v>Bourse</v>
    <v>BUREAU VERITAS SA (XPAR:BVI)</v>
    <v>907461</v>
    <v>1378380</v>
  </rv>
  <rv s="3">
    <v>202</v>
  </rv>
  <rv s="1">
    <v>https://www.bing.com/financeapi/forcetrigger?t=a1q7jc&amp;q=XNYS%3aCPB&amp;form=skydnc</v>
    <v>Learn more on Bing</v>
  </rv>
  <rv s="2">
    <v>0</v>
    <v>1</v>
    <v>THE CAMPBELL'S COMPANY (XNAS:CPB)</v>
    <v>3</v>
    <v>4</v>
    <v>Finance</v>
    <v>5</v>
    <v>fr-FR</v>
    <v>a1q7jc</v>
    <v>268435456</v>
    <v>1</v>
    <v>Avec Refinitiv</v>
    <v>XNAS</v>
    <v>298181900</v>
    <v>1922</v>
    <v>39.86</v>
    <v>36.92</v>
    <v>0.1847</v>
    <v>11843780000</v>
    <v>Nasdaq Stock Market</v>
    <v>39.72</v>
    <v>CPB</v>
    <v>45747.603623066403</v>
    <v>Campbell Soup Company est un fabricant et un distributeur de produits alimentaires et de boissons de marque. Les segments de la Société comprennent les repas et boissons et les collations. Son segment repas et boissons comprend ses soupes, repas simples et boissons dans la vente au détail et la restauration aux États-Unis et au Canada. Le segment comprend les soupes condensées et prêtes à servir Campbell's ; le bouillon et les stocks Swanson ; le bouillon, les soupes et les boissons non laitières Pacific Foods ; les sauces pour pâtes Prego ; les sauces mexicaines Pace ; les sauces de macles, les pâtes, haricots et sauces à dîner ; volaille en conserve Swanson ; jus et boissons V8 et jus de tomate Campbell's. Son segment snacks comprend des biscuits Pepperidge Farm, des craquelins, des produits de boulangerie frais et des produits surgelés, y compris des craquelins de poisson rouge, des bretzels Snyder's of Hanover, des craquelins lance sandwich, des chips Cape Cod, des chips de marque Kettle, des collations fin juillet, des chips de bretzel snack Factory, du pop-corn et d'autres produits de grignotage dans la vente au détail aux États-Unis.</v>
    <v>USD</v>
    <v>14400</v>
    <v>XNAS</v>
    <v>40.450000000000003</v>
    <v>52.805</v>
    <v>Food &amp; Tobacco</v>
    <v>204</v>
    <v>1.7623E-2</v>
    <v>0.7</v>
    <v>THE CAMPBELL'S COMPANY</v>
    <v>THE CAMPBELL'S COMPANY</v>
    <v>40.03</v>
    <v>23.195699999999999</v>
    <v>40.42</v>
    <v>Campbell Pl, CAMDEN, NJ, 08103 US</v>
    <v>Bourse</v>
    <v>THE CAMPBELL'S COMPANY (XNAS:CPB)</v>
    <v>365716</v>
    <v>4053010</v>
  </rv>
  <rv s="3">
    <v>205</v>
  </rv>
  <rv s="1">
    <v>https://www.bing.com/financeapi/forcetrigger?t=ae8177&amp;q=XPAR%3aCAP&amp;form=skydnc</v>
    <v>Learn more on Bing</v>
  </rv>
  <rv s="2">
    <v>0</v>
    <v>1</v>
    <v>Capgemini SE (XPAR:CAP)</v>
    <v>3</v>
    <v>8</v>
    <v>Finance</v>
    <v>7</v>
    <v>fr-FR</v>
    <v>ae8177</v>
    <v>268435456</v>
    <v>1</v>
    <v>Avec Refinitiv</v>
    <v>XPAR</v>
    <v>171347500</v>
    <v>1984</v>
    <v>137.55000000000001</v>
    <v>137.55000000000001</v>
    <v>1.0831</v>
    <v>24896790000</v>
    <v>Euronext Paris</v>
    <v>145.30000000000001</v>
    <v>CAP</v>
    <v>45747.593171296299</v>
    <v>Capgemini se est une société française spécialisée dans le conseil, les services technologiques et la transformation numérique. Elle opère sur quatre segments : les services applicatifs, les services de technologie et d'ingénierie, les services de conseil et les autres services gérés. Application services conçoit et développe des solutions technologiques et aide les clients à optimiser leurs applications, entre autres. Technology and Engineering services assiste et soutient les équipes internes de technologie de l'information (TI) et d'ingénierie au sein des entreprises clientes. Le conseil se concentre sur la stratégie, la technologie, la science des données et la conception créative pour aider les clients à créer de nouveaux modèles et de nouveaux produits et services au sein de l'économie numérique. Les autres services gérés intègrent, gèrent et/ou développent les systèmes d'infrastructure INFORMATIQUE DES clients, entre autres.</v>
    <v>EUR</v>
    <v>341118</v>
    <v>XPAR</v>
    <v>144</v>
    <v>215.3</v>
    <v>Software &amp; IT Services</v>
    <v>207</v>
    <v>-4.9208999999999996E-2</v>
    <v>-7.15</v>
    <v>Capgemini SE</v>
    <v>Capgemini SE</v>
    <v>143.30000000000001</v>
    <v>14.799300000000001</v>
    <v>138.15</v>
    <v>Place de l'etoile, 11 rue de Tilsitt, PARIS, ILE-DE-FRANCE, 75017 FR</v>
    <v>Bourse</v>
    <v>Capgemini SE (XPAR:CAP)</v>
    <v>264037</v>
    <v>586410</v>
  </rv>
  <rv s="3">
    <v>208</v>
  </rv>
  <rv s="1">
    <v>https://www.bing.com/financeapi/forcetrigger?t=ae7zrw&amp;q=XPAR%3aCA&amp;form=skydnc</v>
    <v>Learn more on Bing</v>
  </rv>
  <rv s="2">
    <v>0</v>
    <v>1</v>
    <v>CARREFOUR SA (XPAR:CA)</v>
    <v>3</v>
    <v>8</v>
    <v>Finance</v>
    <v>7</v>
    <v>fr-FR</v>
    <v>ae7zrw</v>
    <v>268435456</v>
    <v>1</v>
    <v>Avec Refinitiv</v>
    <v>XPAR</v>
    <v>677969200</v>
    <v>1963</v>
    <v>13.074999999999999</v>
    <v>12.29</v>
    <v>0.58660000000000001</v>
    <v>8986481000</v>
    <v>Euronext Paris</v>
    <v>13.255000000000001</v>
    <v>CA</v>
    <v>45747.593136574076</v>
    <v>Carrefour sa est un groupe de distribution au détail basé en France, qui opère sur quatre segments géographiques : la France, le reste de l'Europe, l'Amérique latine et l'Asie. Le Groupe exploite plus de 12 000 magasins et sites e-commerce dans plus de 30 pays à travers le monde. Ses magasins existent dans une variété de formats et de canaux, tels que les hypermarchés, les supermarchés, les dépanneurs, les magasins de trésorerie et de transport, les magasins hyper cash, les lecteurs et le commerce électronique. Son offre de produits comprend une large gamme de produits frais locaux, des viandes préparées sur place, du poisson frais, ainsi que des produits de boulangerie, des biens de consommation et des produits non alimentaires. En outre, le Groupe offre des services complémentaires, notamment des points de retrait des colis, la copie de clés, la location de véhicules, les pharmacies et soins de santé/beauté, la livraison de mazout, des services financiers et d'assurance, ainsi que des services de loisirs, tels que des agences de voyages, des billets pour des spectacles et des services photo, entre autres.</v>
    <v>EUR</v>
    <v>324750</v>
    <v>XPAR</v>
    <v>13.23</v>
    <v>16.920000000000002</v>
    <v>Food &amp; Drug Retailing</v>
    <v>210</v>
    <v>-5.6579999999999998E-3</v>
    <v>-7.4999999999999997E-2</v>
    <v>CARREFOUR SA</v>
    <v>CARREFOUR SA</v>
    <v>13.18</v>
    <v>11.9505</v>
    <v>13.18</v>
    <v>93 Avenue de Paris, MASSY, ILE-DE-FRANCE, 91300 FR</v>
    <v>Bourse</v>
    <v>CARREFOUR SA (XPAR:CA)</v>
    <v>901501</v>
    <v>3241150</v>
  </rv>
  <rv s="3">
    <v>211</v>
  </rv>
  <rv s="1">
    <v>https://www.bing.com/financeapi/forcetrigger?t=ae87sm&amp;q=XPAR%3aCO&amp;form=skydnc</v>
    <v>Learn more on Bing</v>
  </rv>
  <rv s="9">
    <v>25</v>
    <v>26</v>
    <v>CASINO, GUICHARD-PERRACHON SA (XPAR:CO)</v>
    <v>3</v>
    <v>27</v>
    <v>Finance</v>
    <v>7</v>
    <v>fr-FR</v>
    <v>ae87sm</v>
    <v>268435456</v>
    <v>1</v>
    <v>Avec Refinitiv</v>
    <v>XPAR</v>
    <v>400939700</v>
    <v>1955</v>
    <v>0.61480000000000001</v>
    <v>0.61</v>
    <v>1.1906000000000001</v>
    <v>257042400</v>
    <v>Euronext Paris</v>
    <v>0.6411</v>
    <v>CO</v>
    <v>45747.591504629629</v>
    <v>Casino Guichard Perrachon SA est une société française de distribution alimentaire qui gère des magasins en France et à l’étranger. La Société opère dans tous les formats d’aliments et de produits non alimentaires : hypermarchés, supermarchés, dépanneurs, magasins de rabais et magasins de gros. En France, la Société opère sous des marques diversifiées telles que : hypermarchés, supermarchés Casino, Monoprix, Franprix, Leader Price, Spar, Vival, Le Petit Casino, Casino Restauration. À l’étranger, la Société exerce ses activités en Amérique du Sud, notamment au Brésil et en Colombie. La société est active dans d’autres secteurs, tels que l’énergie où sa filiale GreenYellow est engagée dans la production d’énergie (en particulier le solaire photovoltaïque) et d’autres services énergétiques. Dans le secteur financier, sa filiale Banque Casino est la banque de détail qui simplifie l’accès aux produits bancaires et d’assurance.</v>
    <v>EUR</v>
    <v>24078</v>
    <v>XPAR</v>
    <v>0.68600000000000005</v>
    <v>54</v>
    <v>Food &amp; Drug Retailing</v>
    <v>213</v>
    <v>-4.0243000000000001E-2</v>
    <v>-2.58E-2</v>
    <v>CASINO, GUICHARD-PERRACHON SA</v>
    <v>CASINO, GUICHARD-PERRACHON SA</v>
    <v>0.65410000000000001</v>
    <v>0.61529999999999996</v>
    <v>1 Cours Antoine Guichard, Bp 306, SAINT-ETIENNE, AUVERGNE-RHONE-ALPES, 42000 FR</v>
    <v>Bourse</v>
    <v>CASINO, GUICHARD-PERRACHON SA (XPAR:CO)</v>
    <v>512348</v>
    <v>401420</v>
  </rv>
  <rv s="3">
    <v>214</v>
  </rv>
  <rv s="1">
    <v>https://www.bing.com/financeapi/forcetrigger?t=a1p7zr&amp;q=XNYS%3aCAT&amp;form=skydnc</v>
    <v>Learn more on Bing</v>
  </rv>
  <rv s="2">
    <v>0</v>
    <v>1</v>
    <v>CATERPILLAR INC. (XNYS:CAT)</v>
    <v>3</v>
    <v>4</v>
    <v>Finance</v>
    <v>5</v>
    <v>fr-FR</v>
    <v>a1p7zr</v>
    <v>268435456</v>
    <v>1</v>
    <v>Avec Refinitiv</v>
    <v>XNYS</v>
    <v>477932000</v>
    <v>1986</v>
    <v>322</v>
    <v>307.05</v>
    <v>1.1941999999999999</v>
    <v>155282783219</v>
    <v>New York Stock Exchange</v>
    <v>329.69</v>
    <v>CAT</v>
    <v>45747.60364678203</v>
    <v>Caterpillar Inc est un fabricant de matériel de construction et d'exploitation minière, de moteurs diesel et à gaz naturel pour véhicules de chantier, de turbines à gaz industrielles et de locomotives diesel-électriques. La Société opère dans ses trois secteurs principaux : les industries de la construction, les industries des ressources et l'énergie et le transport. Elle fournit également des services de financement et des services connexes par l'intermédiaire de son secteur produits financiers. Le secteur construction Industries est principalement responsable de l'assistance aux clients utilisant des machines dans les applications de construction d'infrastructures et de bâtiments. Le secteur Resource Industries est principalement responsable de l'assistance aux clients utilisant des machines dans les mines, la construction lourde, les carrières et les granulats. Le secteur énergie et transport est principalement chargé de soutenir les clients utilisant des moteurs alternatifs, des turbines, des locomotives diesel-électriques et des services connexes dans les industries du pétrole et du gaz, de la production d'électricité, des applications industrielles et des transports.</v>
    <v>USD</v>
    <v>112900</v>
    <v>XNYS</v>
    <v>327.2</v>
    <v>418.5</v>
    <v>Machinery, Equipment &amp; Components</v>
    <v>216</v>
    <v>-1.4512000000000001E-2</v>
    <v>-4.7843999999999998</v>
    <v>CATERPILLAR INC.</v>
    <v>CATERPILLAR INC.</v>
    <v>325.52999999999997</v>
    <v>14.932600000000001</v>
    <v>324.90559999999999</v>
    <v>5205 N. O'connor Boulevard, Suite 100, IRVING, TX, 75039 US</v>
    <v>Bourse</v>
    <v>CATERPILLAR INC. (XNYS:CAT)</v>
    <v>405986</v>
    <v>2650959</v>
  </rv>
  <rv s="3">
    <v>217</v>
  </rv>
  <rv s="1">
    <v>https://www.bing.com/financeapi/forcetrigger?t=amfthw&amp;q=BMEX%3aCLNX&amp;form=skydnc</v>
    <v>Learn more on Bing</v>
  </rv>
  <rv s="2">
    <v>0</v>
    <v>1</v>
    <v>Cellnex Telecom SA (BMEX:CLNX)</v>
    <v>3</v>
    <v>8</v>
    <v>Finance</v>
    <v>7</v>
    <v>fr-FR</v>
    <v>amfthw</v>
    <v>268435456</v>
    <v>1</v>
    <v>Avec Refinitiv</v>
    <v>BMEX</v>
    <v>706475300</v>
    <v>2008</v>
    <v>32.880000000000003</v>
    <v>28.39</v>
    <v>0.59299999999999997</v>
    <v>23447920000</v>
    <v>Bolsas y Mercados Espanoles</v>
    <v>33.19</v>
    <v>CLNX</v>
    <v>45747.593206018515</v>
    <v>Cellnex Telecom SA est une société basée en Espagne engagée dans le secteur des télécommunications sans fil (télécom). Ses activités sont divisées en trois segments: Infrastructures de Radio et Télédiffusion, Location de Sites de Télécom, Services de Réseau et autres. La division Infrastructures de Radio et Télédiffusion comprend la distribution et transmission télévisuelle et modulation de fréquence, exploitation et entretien du réseau de radiodiffusion, ainsi que des services de radio par contournement, entre autres. La division Location de Site de Télécom permet d'accéder à l'infrastructure sans fil, principalement grâce à l'hébergement d'infrastructures et la co-implantation d'équipements de télécommunications, principalement pour les opérateurs de réseaux mobiles et d'autres opérateurs de réseaux de télécommunications sans fil et à large bande. Les Services de Réseau et d'autres divisions offrent des services de connectivité pour une variété d'opérateurs de télécommunications et de communication radio, entre autres. La Société développe également des réseaux mobiles de 5ème génération (5G) via Alticom BV.</v>
    <v>EUR</v>
    <v>2663</v>
    <v>BMEX</v>
    <v>33.51</v>
    <v>37.31</v>
    <v>Telecommunications Services</v>
    <v>219</v>
    <v>-4.8209999999999998E-3</v>
    <v>-0.16</v>
    <v>Cellnex Telecom SA</v>
    <v>Cellnex Telecom SA</v>
    <v>33.17</v>
    <v>3044.9540999999999</v>
    <v>33.03</v>
    <v>Calle Juan Esplandiu, 11-13, MADRID, MADRID, 28007 ES</v>
    <v>Bourse</v>
    <v>Cellnex Telecom SA (BMEX:CLNX)</v>
    <v>545201</v>
    <v>1224280</v>
  </rv>
  <rv s="3">
    <v>220</v>
  </rv>
  <rv s="1">
    <v>https://www.bing.com/financeapi/forcetrigger?t=aaq1yc&amp;q=XBRU%3aCFEB&amp;form=skydnc</v>
    <v>Learn more on Bing</v>
  </rv>
  <rv s="2">
    <v>0</v>
    <v>1</v>
    <v>COMPAGNIE D'ENTREPRISES CFE SA (XBRU:CFEB)</v>
    <v>3</v>
    <v>8</v>
    <v>Finance</v>
    <v>7</v>
    <v>fr-FR</v>
    <v>aaq1yc</v>
    <v>268435456</v>
    <v>1</v>
    <v>Avec Refinitiv</v>
    <v>XBRU</v>
    <v>25314480</v>
    <v>1880</v>
    <v>7.57</v>
    <v>5.6</v>
    <v>1.2690999999999999</v>
    <v>193655800</v>
    <v>Euronext Brussels</v>
    <v>7.65</v>
    <v>CFEB</v>
    <v>45747.575706018521</v>
    <v>La Compagnie d'entreprises CFE sa, également connue sous le nom d'Aannemingsmaatschappij CFE NV, est une société belge active dans le secteur de la construction et des services associés. Il opère à travers six divisions : Partenariat public-privé (PPP), construction, immobilier et services de gestion, multiethnique, ferroviaire et routier, dragage et environnement. La division PPP est spécialisée dans les projets de partenariat public-privé. La division construction est engagée dans la construction de gares, tunnels, hôtels et immeubles de bureaux. La division Real Estate &amp; Management services est engagée dans la promotion de la propriété, la gestion de projet et l'assistance à la coordination de projet. La division multiethnique pose des voies ferrées, installe des lignes électriques aériennes et fournit des services généraux d'électricité. La division Rail &amp; Road est spécialisée dans les travaux de signalisation et de pose de voies ferrées, les travaux ferroviaires, le transport de lignes énergétiques haute et basse tension, entre autres. Les activités de dragage et d'environnement sont principalement réalisées par DEME.</v>
    <v>EUR</v>
    <v>2990</v>
    <v>XBRU</v>
    <v>7.63</v>
    <v>8.19</v>
    <v>Homebuilding &amp; Construction Supplies</v>
    <v>222</v>
    <v>-2.614E-3</v>
    <v>-0.02</v>
    <v>COMPAGNIE D'ENTREPRISES CFE SA</v>
    <v>COMPAGNIE D'ENTREPRISES CFE SA</v>
    <v>7.6</v>
    <v>7.9020999999999999</v>
    <v>7.63</v>
    <v>Av. Edmond Van Nieuwenhuyse 30, BRUXELLES, BRUXELLES-CAPITALE, 1160 BE</v>
    <v>Bourse</v>
    <v>COMPAGNIE D'ENTREPRISES CFE SA (XBRU:CFEB)</v>
    <v>4905</v>
    <v>2830</v>
  </rv>
  <rv s="3">
    <v>223</v>
  </rv>
  <rv s="1">
    <v>https://www.bing.com/financeapi/forcetrigger?t=ae851h&amp;q=XPAR%3aCGG&amp;form=skydnc</v>
    <v>Learn more on Bing</v>
  </rv>
  <rv s="2">
    <v>0</v>
    <v>1</v>
    <v>VIRIDIEN SA (XPAR:VIRI)</v>
    <v>3</v>
    <v>8</v>
    <v>Finance</v>
    <v>7</v>
    <v>fr-FR</v>
    <v>ae851h</v>
    <v>268435456</v>
    <v>1</v>
    <v>Avec Refinitiv</v>
    <v>XPAR</v>
    <v>7161460</v>
    <v>1984</v>
    <v>69.3</v>
    <v>31.84</v>
    <v>2.0693999999999999</v>
    <v>531606900</v>
    <v>Euronext Paris</v>
    <v>74.41</v>
    <v>VIRI</v>
    <v>45747.592653529689</v>
    <v>Viridian sa est une société basée en France qui fournit des services et des produits géophysiques aux sociétés pétrolières et gazières. La Société fournit des services géophysiques tels que l'enregistrement, le traitement et l'interprétation de données sismiques terrestres et marines. Elle fournit la fabrication d'équipements sismiques comme les dispositifs d'enregistrement et de transmission, les vibrateurs d'acquisition de données sismiques, les capteurs, le traitement de données, les logiciels d'interprétation. Il s'agit d'un contrôleur de technologie et de calcul haute performance (HPC) mondial qui fournit des données, des produits, des services et des solutions en sciences de la Terre, science des données, détection et surveillance. Son portefeuille soutient des clients dans des secteurs tels que le numérique, la transition énergétique, les ressources naturelles et l'environnement. Parallèlement aux activités actuelles, elle se concentre également sur les marchés à faibles émissions de carbone, les minéraux, l'exploitation minière, ainsi que sur les marchés de la surveillance des infrastructures et de l'informatique en dehors du pétrole et du gaz.</v>
    <v>EUR</v>
    <v>3378</v>
    <v>XPAR</v>
    <v>73.69</v>
    <v>78.73</v>
    <v>Oil &amp; Gas Related Equipment and Services</v>
    <v>225</v>
    <v>-6.0340999999999999E-2</v>
    <v>-4.49</v>
    <v>VIRIDIEN SA</v>
    <v>VIRIDIEN SA</v>
    <v>73.69</v>
    <v>12.648999999999999</v>
    <v>69.92</v>
    <v>27 Avenue Carnot, MASSY, ILE-DE-FRANCE, 91300 FR</v>
    <v>Bourse</v>
    <v>VIRIDIEN SA (XPAR:VIRI)</v>
    <v>33667</v>
    <v>62800</v>
  </rv>
  <rv s="3">
    <v>226</v>
  </rv>
  <rv s="1">
    <v>https://www.bing.com/financeapi/forcetrigger?t=a1qlz2&amp;q=XNYS%3aCVX&amp;form=skydnc</v>
    <v>Learn more on Bing</v>
  </rv>
  <rv s="2">
    <v>0</v>
    <v>1</v>
    <v>CHEVRON CORPORATION (XNYS:CVX)</v>
    <v>3</v>
    <v>4</v>
    <v>Finance</v>
    <v>5</v>
    <v>fr-FR</v>
    <v>a1qlz2</v>
    <v>268435456</v>
    <v>1</v>
    <v>Avec Refinitiv</v>
    <v>XNYS</v>
    <v>1760599000</v>
    <v>1926</v>
    <v>166.24</v>
    <v>135.3672</v>
    <v>0.91059999999999997</v>
    <v>296379235660</v>
    <v>New York Stock Exchange</v>
    <v>166.09</v>
    <v>CVX</v>
    <v>45747.603676376566</v>
    <v>Chevron Corporation est une entreprise énergétique intégrée. La Société produit du pétrole brut et du gaz naturel ; elle fabrique des carburants, des lubrifiants, des produits pétrochimiques et des additifs pour le transport ; elle met au point des technologies qui améliorent ses activités et l'industrie. Les activités en amont de la Société consistent principalement à explorer, mettre en valeur, produire et transporter du pétrole brut et du gaz naturel ; liquéfaction, transport et regazéification associés au gaz naturel liquéfié (GNL) ; transporter du pétrole brut par les principaux oléoducs internationaux d'exportation de pétrole ; traiter, transporter, stocker et commercialiser le gaz naturel ; capter et stocker le carbone; et une usine gaz-liquides. Les activités en aval de la Société comprennent principalement le raffinage du pétrole brut en produits pétroliers ; la commercialisation du pétrole brut, des produits raffinés et des lubrifiants ; la fabrication et la commercialisation de carburants renouvelables ; le transport du pétrole brut et des produits raffinés par pipeline, navire, équipement motorisé et wagon ; et d'autres activités.</v>
    <v>USD</v>
    <v>45298</v>
    <v>XNYS</v>
    <v>168.45</v>
    <v>168.96</v>
    <v>Oil &amp; Gas</v>
    <v>228</v>
    <v>1.3547E-2</v>
    <v>2.25</v>
    <v>CHEVRON CORPORATION</v>
    <v>CHEVRON CORPORATION</v>
    <v>166.58</v>
    <v>17.127099999999999</v>
    <v>168.34</v>
    <v>1400 SMITH STREET, HOUSTON, TX, 77002 US</v>
    <v>Bourse</v>
    <v>CHEVRON CORPORATION (XNYS:CVX)</v>
    <v>1337746</v>
    <v>8925639</v>
  </rv>
  <rv s="3">
    <v>229</v>
  </rv>
  <rv s="1">
    <v>https://www.bing.com/financeapi/forcetrigger?t=a1qgcw&amp;q=XNAS%3aCTAS&amp;form=skydnc</v>
    <v>Learn more on Bing</v>
  </rv>
  <rv s="2">
    <v>0</v>
    <v>1</v>
    <v>CINTAS CORPORATION (XNAS:CTAS)</v>
    <v>3</v>
    <v>4</v>
    <v>Finance</v>
    <v>5</v>
    <v>fr-FR</v>
    <v>a1qgcw</v>
    <v>268435456</v>
    <v>1</v>
    <v>Avec Refinitiv</v>
    <v>XNAS</v>
    <v>403669000</v>
    <v>1986</v>
    <v>202.55</v>
    <v>162.16249999999999</v>
    <v>1.1955</v>
    <v>82384806210</v>
    <v>Nasdaq Stock Market</v>
    <v>203.22</v>
    <v>CTAS</v>
    <v>45747.60354196719</v>
    <v>Cintas Corporation développe des programmes uniformes utilisant des tissus. La Société aide les entreprises de tous types et de toutes tailles, principalement aux États-Unis, ainsi qu'au Canada et en Amérique latine. La Société exerce ses activités dans deux secteurs : le secteur des services de location et d'installation d'uniformes et le secteur des services de premiers soins et de sécurité. Le segment Services de location d'uniformes et d'installations comprend la location et l'entretien d'uniformes et d'autres vêtements, y compris des vêtements ignifuges, des tapis, des vadrouilles et des serviettes d'atelier et d'autres articles accessoires. Ce segment comprend également les services et fournitures de nettoyage des toilettes et la vente d'articles de ses catalogues à ses clients. Le segment Services de premiers soins et de sécurité comprend les produits et services de premiers soins et de sécurité. Le reste de ses segments, qui comprend le segment Services de protection contre l'incendie et le segment Vente directe uniforme, est inclus dans tous les autres. Elle fournit ses produits et services à de petites entreprises de services et de fabrication ainsi qu'à des sociétés.</v>
    <v>USD</v>
    <v>46500</v>
    <v>XNAS</v>
    <v>206.02</v>
    <v>228.12</v>
    <v>Professional &amp; Commercial Services</v>
    <v>231</v>
    <v>4.2810000000000001E-3</v>
    <v>0.87</v>
    <v>CINTAS CORPORATION</v>
    <v>CINTAS CORPORATION</v>
    <v>203.85</v>
    <v>47.424100000000003</v>
    <v>204.09</v>
    <v>6800 Cintas Blvd, P O Box 625737, CINCINNATI, OH, 45262 US</v>
    <v>Bourse</v>
    <v>CINTAS CORPORATION (XNAS:CTAS)</v>
    <v>266157</v>
    <v>1883133</v>
  </rv>
  <rv s="3">
    <v>232</v>
  </rv>
  <rv s="1">
    <v>https://www.bing.com/financeapi/forcetrigger?t=a1qe5r&amp;q=XNAS%3aCSCO&amp;form=skydnc</v>
    <v>Learn more on Bing</v>
  </rv>
  <rv s="2">
    <v>0</v>
    <v>1</v>
    <v>CISCO SYSTEMS, INC. (XNAS:CSCO)</v>
    <v>3</v>
    <v>4</v>
    <v>Finance</v>
    <v>5</v>
    <v>fr-FR</v>
    <v>a1qe5r</v>
    <v>268435456</v>
    <v>1</v>
    <v>Avec Refinitiv</v>
    <v>XNAS</v>
    <v>3978292000</v>
    <v>2021</v>
    <v>60.24</v>
    <v>44.5</v>
    <v>0.85850000000000004</v>
    <v>242715594920</v>
    <v>Nasdaq Stock Market</v>
    <v>60.86</v>
    <v>CSCO</v>
    <v>45747.603637210159</v>
    <v>Cisco Systems, Inc. conçoit et vend une gamme de technologies qui alimentent Internet. La société intègre ses portefeuilles de produits dans les domaines de la mise en réseau, de la sécurité, de la collaboration, des applications et du cloud. Les segments de la société comprennent les Amériques, l'Europe, le moyen-Orient et l'Afrique (EMEA), ainsi que l'Asie-Pacifique, Japon et Chine (APJC). Sa catégorie de produits Networking représente ses principales technologies de réseau de commutation, routage, sans fil, cinquième génération (5G), silicium, solutions optiques et produits de calcul. Sa catégorie de produits sécurité comprend ses offres de sécurité cloud et applicative, de sécurité industrielle, de sécurité réseau et de sécurité des utilisateurs et des appareils. Sa catégorie de produits collaboration comprend ses offres de réunions, de périphériques de collaboration, d'appels, de centre de contacts et de plate-forme en tant que service (CPaaS). Sa catégorie de produits observabilité se compose de ses offres d'observabilité de pile complète.</v>
    <v>USD</v>
    <v>90400</v>
    <v>XNAS</v>
    <v>61.18</v>
    <v>66.5</v>
    <v>Communications &amp; Networking</v>
    <v>234</v>
    <v>2.4650000000000002E-3</v>
    <v>0.15</v>
    <v>CISCO SYSTEMS, INC.</v>
    <v>CISCO SYSTEMS, INC.</v>
    <v>60.67</v>
    <v>26.6816</v>
    <v>61.01</v>
    <v>170 West Tasman Dr, SAN JOSE, CA, 95134-1706 US</v>
    <v>Bourse</v>
    <v>CISCO SYSTEMS, INC. (XNAS:CSCO)</v>
    <v>3419692</v>
    <v>23007730</v>
  </rv>
  <rv s="3">
    <v>235</v>
  </rv>
  <rv s="1">
    <v>https://www.bing.com/financeapi/forcetrigger?t=a1qiec&amp;q=XNAS%3aCTXS&amp;form=skydnc</v>
    <v>Learn more on Bing</v>
  </rv>
  <rv s="10">
    <v>0</v>
    <v>29</v>
    <v>Citrix Systems Inc (XNAS:CTXS)</v>
    <v>3</v>
    <v>4</v>
    <v>Finance</v>
    <v>5</v>
    <v>fr-FR</v>
    <v>a1qiec</v>
    <v>268435456</v>
    <v>1</v>
    <v>1</v>
    <v>Avec Refinitiv</v>
    <v>XNAS</v>
    <v>126885100</v>
    <v>1989</v>
    <v>103.88500000000001</v>
    <v>78.069999999999993</v>
    <v>7.3400000000000007E-2</v>
    <v>13178280000</v>
    <v>Nasdaq Stock Market</v>
    <v>103.86</v>
    <v>CTXS</v>
    <v>44833.937117765628</v>
    <v>Citrix Systems, Inc. is an enterprise software company that delivers digital workspace solutions. The Company’s Workspace solutions are complemented by content collaboration and collaborative work management solutions, App Delivery and Security solutions, which deliver the applications and data. Its Workspace solution comes with ready integrations with used business applications, including Salesforce, Workday, Systems Applications and Products (SAP) Ariba and SAP Concur, ServiceNow, Microsoft Outlook and Google Workspace, and is compatible with identity and access management providers, including Okta, Ping, Radius and GoogleID. The Company’s App Delivery and Security products can be consumed through perpetual licenses or under pooled licensing agreements that enable customers to consume in either a hardware form factor or as software over the term of the agreement. Its App Delivery and Security capabilities include Citrix ADC, and Citrix SD-WAN and Secure Access Service Edge (SASE).</v>
    <v>USD</v>
    <v>9700</v>
    <v>XNAS</v>
    <v>103.96</v>
    <v>108.84</v>
    <v>Software &amp; IT Services</v>
    <v>237</v>
    <v>0</v>
    <v>0</v>
    <v>Citrix Systems Inc</v>
    <v>Citrix Systems Inc</v>
    <v>103.91</v>
    <v>40.002000000000002</v>
    <v>103.9</v>
    <v>851 W Cypress Creek Rd, FORT LAUDERDALE, FL, 33309-2009 US</v>
    <v>Bourse</v>
    <v>Citrix Systems Inc (XNAS:CTXS)</v>
    <v>6631341</v>
    <v>1689261</v>
  </rv>
  <rv s="3">
    <v>238</v>
  </rv>
  <rv s="1">
    <v>https://www.bing.com/financeapi/forcetrigger?t=ae87ec&amp;q=XPAR%3aCNP&amp;form=skydnc</v>
    <v>Learn more on Bing</v>
  </rv>
  <rv s="10">
    <v>0</v>
    <v>29</v>
    <v>CNP Assurances SA (XPAR:CNP)</v>
    <v>3</v>
    <v>8</v>
    <v>Finance</v>
    <v>7</v>
    <v>fr-FR</v>
    <v>ae87ec</v>
    <v>268435456</v>
    <v>1</v>
    <v>1</v>
    <v>Avec Refinitiv</v>
    <v>XPAR</v>
    <v>686618500</v>
    <v>1987</v>
    <v>20.82</v>
    <v>13.06</v>
    <v>1.5987</v>
    <v>14295400000</v>
    <v>Euronext Paris</v>
    <v>20.9</v>
    <v>CNP</v>
    <v>44715.666666666664</v>
    <v xml:space="preserve">CNP Assurances SA (CNP) is a France-based personal insurance provider. The Company’s product portfolio includes savings products, risk and contingency products and pension products. It offers a range of products and services in both individual and group insurance sectors. It divides its activities into Savings, Pensions, Personal Risk, Loan Insurance, Health Insurance, Property &amp; Casualty and Other. The Company operates through a number of subsidiaries, including Previposte, CNP IAM, CNP International and CAIXA Seguros, Tempo Dental, Azimut and Isalud, among others. In addition, CNP SA offers a range of services for the elderly and disabled people, through Filassistance International and Age d'Or Expansion. The Company is present in France, Spain, Argentina, Portugal, among others. </v>
    <v>EUR</v>
    <v>5591</v>
    <v>XPAR</v>
    <v>20.9</v>
    <v>21.9</v>
    <v>Insurance</v>
    <v>240</v>
    <v>0</v>
    <v>0</v>
    <v>CNP Assurances SA</v>
    <v>CNP Assurances SA</v>
    <v>20.9</v>
    <v>9.4748000000000001</v>
    <v>20.82</v>
    <v>4 Place Raoul Dautry, Paris Cedex 15, PARIS, ILE-DE-FRANCE, 75716 FR</v>
    <v>Bourse</v>
    <v>CNP Assurances SA (XPAR:CNP)</v>
    <v>46338</v>
    <v>61590</v>
  </rv>
  <rv s="3">
    <v>241</v>
  </rv>
  <rv s="1">
    <v>https://www.bing.com/financeapi/forcetrigger?t=ae87yc&amp;q=XPAR%3aCOFA&amp;form=skydnc</v>
    <v>Learn more on Bing</v>
  </rv>
  <rv s="2">
    <v>0</v>
    <v>1</v>
    <v>COFACE SA (XPAR:COFA)</v>
    <v>3</v>
    <v>8</v>
    <v>Finance</v>
    <v>7</v>
    <v>fr-FR</v>
    <v>ae87yc</v>
    <v>268435456</v>
    <v>1</v>
    <v>Avec Refinitiv</v>
    <v>XPAR</v>
    <v>150179800</v>
    <v>2000</v>
    <v>17.53</v>
    <v>12.72</v>
    <v>0.84340000000000004</v>
    <v>2665691000</v>
    <v>Euronext Paris</v>
    <v>17.75</v>
    <v>COFA</v>
    <v>45747.593101851853</v>
    <v>COFACE SA est une société basée en France. Elle dispose d‘une assurance-crédit globale pour la protection des entreprises contre le risque de défaillance financière de leurs clients. L‘assurance-crédit Coface constitue également une analyse du risque que la Société fournit à ses clients afin de mieux prévenir les risques qu‘ils doivent prendre.</v>
    <v>EUR</v>
    <v>4100</v>
    <v>XPAR</v>
    <v>17.68</v>
    <v>18.02</v>
    <v>Insurance</v>
    <v>243</v>
    <v>-7.3240000000000006E-3</v>
    <v>-0.13</v>
    <v>COFACE SA</v>
    <v>COFACE SA</v>
    <v>17.649999999999999</v>
    <v>10.256600000000001</v>
    <v>17.62</v>
    <v>1 PLACE COSTES ET BELLONTE, BOIS-COLOMBES, ILE-DE-FRANCE, 92270 FR</v>
    <v>Bourse</v>
    <v>COFACE SA (XPAR:COFA)</v>
    <v>178700</v>
    <v>254980</v>
  </rv>
  <rv s="3">
    <v>244</v>
  </rv>
  <rv s="1">
    <v>https://www.bing.com/financeapi/forcetrigger?t=aaq252&amp;q=XBRU%3aCOFB&amp;form=skydnc</v>
    <v>Learn more on Bing</v>
  </rv>
  <rv s="2">
    <v>0</v>
    <v>1</v>
    <v>COFINIMMO SA (XBRU:COFB)</v>
    <v>3</v>
    <v>8</v>
    <v>Finance</v>
    <v>7</v>
    <v>fr-FR</v>
    <v>aaq252</v>
    <v>268435456</v>
    <v>1</v>
    <v>Avec Refinitiv</v>
    <v>XBRU</v>
    <v>38096220</v>
    <v>1983</v>
    <v>60.6</v>
    <v>51.75</v>
    <v>1.0328999999999999</v>
    <v>2335298000</v>
    <v>Euronext Brussels</v>
    <v>61.3</v>
    <v>COFB</v>
    <v>45747.593206018515</v>
    <v>Cofinimmo SA est une société d'investissement immobilier basée en Belgique. La société est principalement active dans l'acquisition, le développement et la gestion d'immeubles locatifs. Elle se concentre sur les immeubles locatifs tels que les bureaux, les immeubles de soins, les immeubles d'exploitation d'entreprises et les immeubles publics. Ses principaux segments comprennent l'immobilier de bureaux, les maisons de repos et les réseaux immobiliers de distribution. Elle se concentre principalement sur la fourniture de services tels que la gestion des installations, les patrouilles et la gestion des espaces de travail. Elle gère un portefeuille immobilier comprenant des bureaux situés principalement à Anvers et à Bruxelles, des immeubles de soins situés en Belgique et en Allemagne, dont Villa Sonnenmond, un opérateur d'établissements de soins infirmiers basé à Neustadt, des réseaux immobiliers de distribution, des services, des partenariats public-privé et du développement.</v>
    <v>EUR</v>
    <v>150</v>
    <v>XBRU</v>
    <v>61.6</v>
    <v>67.75</v>
    <v>Residential &amp; Commercial REIT</v>
    <v>246</v>
    <v>1.6309999999999999E-3</v>
    <v>0.1</v>
    <v>COFINIMMO SA</v>
    <v>COFINIMMO SA</v>
    <v>61.6</v>
    <v>36.058799999999998</v>
    <v>61.4</v>
    <v>Bld de la Woluwe 58, WOLUWE-SAINT-LAMBERT, BRUXELLES-CAPITALE, 1200 BE</v>
    <v>Bourse</v>
    <v>COFINIMMO SA (XBRU:COFB)</v>
    <v>26499</v>
    <v>79410</v>
  </rv>
  <rv s="3">
    <v>247</v>
  </rv>
  <rv s="1">
    <v>https://www.bing.com/financeapi/forcetrigger?t=a1qhz2&amp;q=XNAS%3aCTSH&amp;form=skydnc</v>
    <v>Learn more on Bing</v>
  </rv>
  <rv s="2">
    <v>0</v>
    <v>1</v>
    <v>COGNIZANT TECHNOLOGY SOLUTIONS CORPORATION (XNAS:CTSH)</v>
    <v>3</v>
    <v>4</v>
    <v>Finance</v>
    <v>5</v>
    <v>fr-FR</v>
    <v>a1qhz2</v>
    <v>268435456</v>
    <v>1</v>
    <v>Avec Refinitiv</v>
    <v>XNAS</v>
    <v>494615500</v>
    <v>1988</v>
    <v>75.239999999999995</v>
    <v>63.79</v>
    <v>1.0347999999999999</v>
    <v>37239600995</v>
    <v>Nasdaq Stock Market</v>
    <v>75.900000000000006</v>
    <v>CTSH</v>
    <v>45747.60361615703</v>
    <v>Cognizant Technology solutions Corporation est une société de services professionnels. La Société opère dans quatre secteurs : les services financiers (FS), les sciences de la santé (HS), les produits et ressources (P&amp;R) et les communications, médias et technologie (CMT). Le segment FS comprend les banques, les marchés de capitaux, les paiements et les compagnies d'assurance. Son segment HS comprend des prestataires de soins de santé et des organismes payeurs, ainsi que des sociétés du secteur des sciences de la vie, notamment des sociétés pharmaceutiques, biotechnologiques et de dispositifs médicaux. Son segment P&amp;R comprend des fabricants, des constructeurs automobiles, des détaillants et des entreprises de voyages et d'hôtellerie, ainsi que des entreprises fournissant des services logistiques, énergétiques et utilitaires. Son segment CMT comprend des sociétés mondiales de communications, de médias et de divertissement, d'éducation, de services d'information et de technologie. Ses services comprennent les services et solutions numériques, le conseil, le développement d'applications, l'intégration de systèmes, l'ingénierie et l'assurance qualité, la maintenance des applications, ainsi que l'infrastructure et la sécurité.</v>
    <v>USD</v>
    <v>336800</v>
    <v>XNAS</v>
    <v>76.174999999999997</v>
    <v>90.82</v>
    <v>Software &amp; IT Services</v>
    <v>249</v>
    <v>-8.036999999999999E-3</v>
    <v>-0.61</v>
    <v>COGNIZANT TECHNOLOGY SOLUTIONS CORPORATION</v>
    <v>COGNIZANT TECHNOLOGY SOLUTIONS CORPORATION</v>
    <v>75.45</v>
    <v>16.750599999999999</v>
    <v>75.290000000000006</v>
    <v>300 Frank W. Burr Blvd., Ste. 36, 6 Fl., TEANECK, NJ, 07666 US</v>
    <v>Bourse</v>
    <v>COGNIZANT TECHNOLOGY SOLUTIONS CORPORATION (XNAS:CTSH)</v>
    <v>427316</v>
    <v>4679069</v>
  </rv>
  <rv s="3">
    <v>250</v>
  </rv>
  <rv s="1">
    <v>https://www.bing.com/financeapi/forcetrigger?t=a1pwqh&amp;q=XNAS%3aCMCSA&amp;form=skydnc</v>
    <v>Learn more on Bing</v>
  </rv>
  <rv s="2">
    <v>0</v>
    <v>1</v>
    <v>COMCAST CORPORATION (XNAS:CMCSA)</v>
    <v>3</v>
    <v>4</v>
    <v>Finance</v>
    <v>5</v>
    <v>fr-FR</v>
    <v>a1pwqh</v>
    <v>268435456</v>
    <v>1</v>
    <v>Avec Refinitiv</v>
    <v>XNAS</v>
    <v>3781023000</v>
    <v>2001</v>
    <v>36.354999999999997</v>
    <v>32.5</v>
    <v>0.94159999999999999</v>
    <v>138461000000</v>
    <v>Nasdaq Stock Market</v>
    <v>36.619999999999997</v>
    <v>CMCSA</v>
    <v>45747.603666747658</v>
    <v>Comcast Corporation est une société mondiale de médias et de technologie. Il fournit le haut débit, le sans fil et la vidéo via Xfinity, Comcast Business et Sky ; produit, distribue, et diffusez du divertissement, du sport et des informations via des marques telles que NBC, Telemundo, Universal, Peacock, et Sky ; et donne vie aux parcs à thème et aux attractions grâce à des destinations et des expériences universelles. Il opère à travers deux activités principales : connectivité et plateformes et contenu et expériences. Le segment connectivité et plateformes regroupe ses activités haut débit, sans fil, vidéo et voix filaire aux États-Unis, au Royaume-Uni et en Italie. Elle comprend également les activités de ses réseaux de télévision de divertissement Sky au Royaume-Uni et en Italie. Le segment Content &amp; Experiences regroupe des entreprises de médias et de divertissement qui produisent et distribuent du contenu de divertissement, de sport, d'actualités et d'autres contenus destinés au public, et qui possèdent et exploitent des parcs à thème et des attractions aux États-Unis et en Asie.</v>
    <v>USD</v>
    <v>182000</v>
    <v>XNAS</v>
    <v>36.99</v>
    <v>45.31</v>
    <v>Telecommunications Services</v>
    <v>252</v>
    <v>-4.6420000000000003E-3</v>
    <v>-0.17</v>
    <v>COMCAST CORPORATION</v>
    <v>COMCAST CORPORATION</v>
    <v>36.83</v>
    <v>8.8134999999999994</v>
    <v>36.450000000000003</v>
    <v>One Comcast Center, PHILADELPHIA, PA, 19103-2838 US</v>
    <v>Bourse</v>
    <v>COMCAST CORPORATION (XNAS:CMCSA)</v>
    <v>4095606</v>
    <v>28466135</v>
  </rv>
  <rv s="3">
    <v>253</v>
  </rv>
  <rv s="1">
    <v>https://www.bing.com/financeapi/forcetrigger?t=b1lczr&amp;q=XSWX%3aCFR&amp;form=skydnc</v>
    <v>Learn more on Bing</v>
  </rv>
  <rv s="2">
    <v>0</v>
    <v>1</v>
    <v>COMPAGNIE FINANCIERE RICHEMONT SA (XSWX:CFR)</v>
    <v>3</v>
    <v>6</v>
    <v>Finance</v>
    <v>7</v>
    <v>fr-FR</v>
    <v>b1lczr</v>
    <v>268435456</v>
    <v>1</v>
    <v>Avec Refinitiv</v>
    <v>XSWX</v>
    <v>537582100</v>
    <v>2002</v>
    <v>151.55000000000001</v>
    <v>112.8</v>
    <v>1.7384999999999999</v>
    <v>85260820000</v>
    <v>SIX Swiss Exchange</v>
    <v>158.4</v>
    <v>CFR</v>
    <v>45747.593240740738</v>
    <v>Compagnie Financière Richemont SA est une Société de bijoux basée en Suisse. Les segments de la société sont : Jewellery Maisons et Specialist Watchmakers. Le segment Jewellery Maisons comprend les entreprises, qui sont engagées dans la conception, la fabrication et la distribution de produits de joaillerie. Les activités sont les suivantes sont : Cartier, Van Cleef &amp; Arpels et Giampiero Bodino. Son segment Specialist Watchmakers comprend les entreprises dont l'activité principale consiste en la conception, la fabrication et la distribution de montres de précision. Les entreprises dans le segment Watchmakers comprennent Piaget, A. Lange &amp; Sohne, Jaeger-LeCoultre, Vacheron Constantin, Officine Panerai, IWC Schaffhausen, Baume &amp; Mercier et Roger Dubuis. Les autres segments opérant dans la société sont Montblanc, Alfred Dunhill, Chloé, Purdey, Shanghai Tang, Peter Millar, les sociétés d'immeubles de placement et d'autres entités manufacturières.</v>
    <v>CHF</v>
    <v>37117</v>
    <v>XSWX</v>
    <v>157.1</v>
    <v>187.55</v>
    <v>Textiles &amp; Apparel</v>
    <v>255</v>
    <v>-3.4722000000000003E-2</v>
    <v>-5.5</v>
    <v>COMPAGNIE FINANCIERE RICHEMONT SA</v>
    <v>COMPAGNIE FINANCIERE RICHEMONT SA</v>
    <v>156.55000000000001</v>
    <v>0</v>
    <v>152.9</v>
    <v>Chemin de la Chenaie 50, BELLEVUE, GENEVE, 1293 CH</v>
    <v>Bourse</v>
    <v>COMPAGNIE FINANCIERE RICHEMONT SA (XSWX:CFR)</v>
    <v>650433</v>
    <v>1058750</v>
  </rv>
  <rv s="3">
    <v>256</v>
  </rv>
  <rv s="1">
    <v>https://www.bing.com/financeapi/forcetrigger?t=af755r&amp;q=XFRA%3aCON&amp;form=skydnc</v>
    <v>Learn more on Bing</v>
  </rv>
  <rv s="2">
    <v>0</v>
    <v>1</v>
    <v>Continental AG (XFRA:CON)</v>
    <v>3</v>
    <v>8</v>
    <v>Finance</v>
    <v>7</v>
    <v>fr-FR</v>
    <v>af755r</v>
    <v>268435456</v>
    <v>1</v>
    <v>Avec Refinitiv</v>
    <v>XFRA</v>
    <v>200006000</v>
    <v>1871</v>
    <v>63.5</v>
    <v>44.47</v>
    <v>1.2930999999999999</v>
    <v>13352400000</v>
    <v>Deutsche Boerse AG</v>
    <v>67.12</v>
    <v>CON</v>
    <v>45747.593055555553</v>
    <v>Continental AG est une société basée en Allemagne qui propose des solutions de mobilité au secteur automobile. La Société opère dans quatre secteurs du groupe : automobile, pneus, ContiTech et Contract Manufacturing. Le secteur automobile propose des technologies pour la sécurité, le freinage, le châssis, le mouvement et les systèmes de contrôle de mouvement, qui est divisé en cinq secteurs d'activité : architecture et réseaux, mobilité autonome, sécurité et mouvement, logiciels et technologies centrales et expérience utilisateur. Le secteur des pneus offre des solutions dans la technologie des pneus, qui est divisé en cinq secteurs d'activité : équipement d'origine, remplacement APAC, remplacement EMEA, remplacement Amériques et pneus spéciaux. Le secteur du groupe ContiTech développe des produits et des systèmes en caoutchouc, plastique, métal et textile. Il est divisé en cinq secteurs d'activité : Industrial solutions Americas, Industrial solutions APAC, Industrial solutions EMEA, original Equipment solutions et surface solutions. Le secteur de la fabrication sous contrat s'occupe de la fabrication sous contrat.</v>
    <v>EUR</v>
    <v>190159</v>
    <v>XFRA</v>
    <v>66</v>
    <v>247</v>
    <v>Automobiles &amp; Auto Parts</v>
    <v>258</v>
    <v>-5.3933000000000002E-2</v>
    <v>-3.62</v>
    <v>Continental AG</v>
    <v>Continental AG</v>
    <v>66</v>
    <v>11.68</v>
    <v>63.5</v>
    <v>Vahrenwalder Strasse 9, HANNOVER, NIEDERSACHSEN, 30165 DE</v>
    <v>Bourse</v>
    <v>Continental AG (XFRA:CON)</v>
    <v>836</v>
    <v>413640</v>
  </rv>
  <rv s="3">
    <v>259</v>
  </rv>
  <rv s="1">
    <v>https://www.bing.com/financeapi/forcetrigger?t=a1q6k2&amp;q=XNAS%3aCOST&amp;form=skydnc</v>
    <v>Learn more on Bing</v>
  </rv>
  <rv s="2">
    <v>0</v>
    <v>1</v>
    <v>COSTCO WHOLESALE CORPORATION (XNAS:COST)</v>
    <v>3</v>
    <v>4</v>
    <v>Finance</v>
    <v>5</v>
    <v>fr-FR</v>
    <v>a1q6k2</v>
    <v>268435456</v>
    <v>1</v>
    <v>Avec Refinitiv</v>
    <v>XNAS</v>
    <v>443683300</v>
    <v>1987</v>
    <v>922.04319999999996</v>
    <v>697.27</v>
    <v>0.95599999999999996</v>
    <v>413411897649</v>
    <v>Nasdaq Stock Market</v>
    <v>929.66</v>
    <v>COST</v>
    <v>45747.603665775001</v>
    <v>Costco Wholesale Corporation exploite des entrepôts de membres et des sites Web de commerce électronique. La Société exploite 861 entrepôts, dont 591 aux États-Unis et à Porto Rico, 107 au Canada, 40 au Mexique, 33 au Japon, 29 au Royaume-Uni, 18 en Corée, 15 en Australie, 14 à Taïwan, cinq en Chine, quatre en Espagne, deux en France, un en Islande, un en Nouvelle-Zélande et un en Suède. Elle exploite également des sites de commerce électronique aux États-Unis, au Canada, au Royaume-Uni, au Mexique, en Corée, Taïwan, Japon et Australie. Il offre un large choix de marchandises, la commodité des départements spécialisés et des services exclusifs aux membres. Elle opère dans trois secteurs : opérations aux États-Unis, opérations au Canada et autres opérations internationales. La Société offre des catégories de marchandises (aliments et articles divers, non alimentaires et aliments frais), des services auxiliaires d'entrepôt (essence, pharmacie, optique, aire de restauration, appareils auditifs et installation de pneus) et d'autres entreprises (commerce électronique, centres d'affaires, voyages et autres).</v>
    <v>USD</v>
    <v>333000</v>
    <v>XNAS</v>
    <v>933.55</v>
    <v>1078.2349999999999</v>
    <v>Diversified Retail</v>
    <v>261</v>
    <v>2.2720000000000001E-3</v>
    <v>2.1124999999999998</v>
    <v>COSTCO WHOLESALE CORPORATION</v>
    <v>COSTCO WHOLESALE CORPORATION</v>
    <v>925</v>
    <v>54.036499999999997</v>
    <v>931.77250000000004</v>
    <v>999 Lake Dr, ISSAQUAH, WA, 98027- US</v>
    <v>Bourse</v>
    <v>COSTCO WHOLESALE CORPORATION (XNAS:COST)</v>
    <v>485359</v>
    <v>2509593</v>
  </rv>
  <rv s="3">
    <v>262</v>
  </rv>
  <rv s="1">
    <v>https://www.bing.com/financeapi/forcetrigger?t=aexeoc&amp;q=XFRA%3a1COV&amp;form=skydnc</v>
    <v>Learn more on Bing</v>
  </rv>
  <rv s="9">
    <v>25</v>
    <v>26</v>
    <v>Covestro AG (XFRA:1COV)</v>
    <v>3</v>
    <v>27</v>
    <v>Finance</v>
    <v>7</v>
    <v>fr-FR</v>
    <v>aexeoc</v>
    <v>268435456</v>
    <v>1</v>
    <v>Avec Refinitiv</v>
    <v>XFRA</v>
    <v>189000000</v>
    <v>2015</v>
    <v>58.06</v>
    <v>23.66</v>
    <v>0.98950000000000005</v>
    <v>11003580000</v>
    <v>Deutsche Boerse AG</v>
    <v>58.36</v>
    <v>1COV</v>
    <v>45747.592361111114</v>
    <v>Covestro AG est une entreprise allemande spécialisée dans la fabrication de matériaux polymères. La Société développe, produit et commercialise des polyuréthannes, des polycarbonates et des matières premières, ainsi que des revêtements, des adhésifs et d'autres spécialités. Les activités de la Société sont divisées en trois segments: les polyuréthanes, qui offrent des précurseurs, tels que la mousse de polyuréthane qui est flexible et principalement utilisée dans les industries du meuble et de l’automobile, et la mousse rigide utilisée comme matériau isolant dans le secteur de la construction et dans les chaînes de réfrigération; Polycarbonates, fournissant des polycarbonates plastiques sous forme de granulés, de matériaux composites et de produits semi-finis destinés aux secteurs de l'automobile, de la construction, des technologies médicales, de l'éclairage, ainsi que d’autres secteurs ; et le dernier segment regroupe les Revêtements, les Adhésifs et les Spécialités en produisant des précurseurs pour revêtements, adhésifs, mastics et spécialités, ainsi que des matériaux polymères et des dispersions aqueuses pour une utilisation dans l’automobile et le transport, la transformation du bois et le meuble, , ainsi que d’autres utilisations.</v>
    <v>EUR</v>
    <v>17503</v>
    <v>XFRA</v>
    <v>58.06</v>
    <v>95.64</v>
    <v>Chemicals</v>
    <v>264</v>
    <v>-5.1409999999999997E-3</v>
    <v>-0.3</v>
    <v>Covestro AG</v>
    <v>Covestro AG</v>
    <v>58.06</v>
    <v>58.06</v>
    <v>Kaiser-Wilhelm-Allee 60, LEVERKUSEN, NORDRHEIN-WESTFALEN, 51373 DE</v>
    <v>Bourse</v>
    <v>Covestro AG (XFRA:1COV)</v>
    <v>225</v>
    <v>144770</v>
  </rv>
  <rv s="3">
    <v>265</v>
  </rv>
  <rv s="1">
    <v>https://www.bing.com/financeapi/forcetrigger?t=b17rc7&amp;q=XPAR%3aCOV&amp;form=skydnc</v>
    <v>Learn more on Bing</v>
  </rv>
  <rv s="2">
    <v>0</v>
    <v>1</v>
    <v>COVIVIO SA (XPAR:COV)</v>
    <v>3</v>
    <v>8</v>
    <v>Finance</v>
    <v>7</v>
    <v>fr-FR</v>
    <v>b17rc7</v>
    <v>268435456</v>
    <v>1</v>
    <v>Avec Refinitiv</v>
    <v>XPAR</v>
    <v>111463400</v>
    <v>1964</v>
    <v>51</v>
    <v>43.02</v>
    <v>1.4207000000000001</v>
    <v>5796096000</v>
    <v>Euronext Paris</v>
    <v>52</v>
    <v>COV</v>
    <v>45747.593194444446</v>
    <v>Covivio sa, anciennement foncière des régions sa, est une société de fiducie d'investissement immobilier basée en France avec un portefeuille diversifié d'actifs immobiliers de bureaux. La Société loue des biens immobiliers à des constructeurs et des sociétés de services, dont France Télécom, Thales, EDF, Accor, Dassault systèmes, SUEZ environnement, IBM et Eiffage. Les actifs de la Société sont constitués de bureaux en France et en Italie par l'intermédiaire de sa filiale Beni Stabili. Covivio sa est également active sur le marché immobilier du secteur des services via une participation dans foncière des murs, spécialisée dans les établissements de loisirs, de restauration et de santé. Par ailleurs, sa filiale foncière Europe logistique investit dans l'immobilier logistique en France et en Allemagne. La Société détient également un intérêt dans l'immobilier résidentiel via foncière Developpement logements. Elle opère également par l'intermédiaire d'autres filiales, telles que CB 21 et Urbis Park.</v>
    <v>EUR</v>
    <v>969</v>
    <v>XPAR</v>
    <v>51.9</v>
    <v>56.85</v>
    <v>Residential &amp; Commercial REIT</v>
    <v>267</v>
    <v>-7.6920000000000001E-3</v>
    <v>-0.4</v>
    <v>COVIVIO SA</v>
    <v>COVIVIO SA</v>
    <v>51.85</v>
    <v>85.456000000000003</v>
    <v>51.6</v>
    <v>18 avenue Francois Mitterrand, METZ, GRAND EST, 57000 FR</v>
    <v>Bourse</v>
    <v>COVIVIO SA (XPAR:COV)</v>
    <v>29918</v>
    <v>117230</v>
  </rv>
  <rv s="3">
    <v>268</v>
  </rv>
  <rv s="1">
    <v>https://www.bing.com/financeapi/forcetrigger?t=ae79f2&amp;q=XPAR%3aACA&amp;form=skydnc</v>
    <v>Learn more on Bing</v>
  </rv>
  <rv s="4">
    <v>9</v>
    <v>10</v>
    <v>CREDIT AGRICOLE SA (XPAR:ACA)</v>
    <v>3</v>
    <v>11</v>
    <v>Finance</v>
    <v>7</v>
    <v>fr-FR</v>
    <v>ae79f2</v>
    <v>268435456</v>
    <v>1</v>
    <v>Avec Refinitiv</v>
    <v>XPAR</v>
    <v>3025902000</v>
    <v>16.63</v>
    <v>12.34</v>
    <v>1.4649000000000001</v>
    <v>51273910000</v>
    <v>Euronext Paris</v>
    <v>16.945</v>
    <v>ACA</v>
    <v>45747.593229166669</v>
    <v>Crédit Agricole SA est un groupe bancaire basé en France. La société exerce des activités de banque de détail en France (Crédit Lyonnais) et à l'étranger. Elle propose des services bancaires et d'assurance à travers un réseau de banques régionales, locales et d'agences. Elle propose des services de gestion d'actifs, d'assurance et de banque privée, d'actifs sous gestion. La société propose des activités telles que la finance, l'investissement et la banque de marché, le financement bancaire spécialisé, les opérations sur actions, le conseil en fusions et acquisitions, le capital investissement, etc. Son activité de banque de détail LCL est organisée en quatre lignes de métiers : la banque de détail aux particuliers, la banque de détail aux professionnels, la banque privée et la banque d'affaires. La société propose des produits et services financiers aux particuliers, aux professionnels, aux grandes entreprises et aux collectivités locales en France et à l'étranger.</v>
    <v>EUR</v>
    <v>80518</v>
    <v>XPAR</v>
    <v>16.850000000000001</v>
    <v>17.350000000000001</v>
    <v>Banking Services</v>
    <v>270</v>
    <v>-1.3573E-2</v>
    <v>-0.23</v>
    <v>CREDIT AGRICOLE SA</v>
    <v>CREDIT AGRICOLE SA</v>
    <v>16.82</v>
    <v>8.0350000000000001</v>
    <v>16.715</v>
    <v>12 place des Etats-Unis, Montrouge cedex, MONTROUGE, ILE-DE-FRANCE, 92127 FR</v>
    <v>Bourse</v>
    <v>CREDIT AGRICOLE SA (XPAR:ACA)</v>
    <v>3347789</v>
    <v>5957370</v>
  </rv>
  <rv s="3">
    <v>271</v>
  </rv>
  <rv s="1">
    <v>https://www.bing.com/financeapi/forcetrigger?t=c4eo9c&amp;q=XFRA%3aDTG&amp;form=skydnc</v>
    <v>Learn more on Bing</v>
  </rv>
  <rv s="11">
    <v>32</v>
    <v>33</v>
    <v>Daimler Truck Holding AG (XFRA:DTG)</v>
    <v>3</v>
    <v>34</v>
    <v>Finance</v>
    <v>7</v>
    <v>fr-FR</v>
    <v>c4eo9c</v>
    <v>268435456</v>
    <v>1</v>
    <v>Avec Refinitiv</v>
    <v>XFRA</v>
    <v>791868300</v>
    <v>2021</v>
    <v>36.299999999999997</v>
    <v>1.169</v>
    <v>29798000000</v>
    <v>Deutsche Boerse AG</v>
    <v>37.979999999999997</v>
    <v>DTG</v>
    <v>45747.593055555553</v>
    <v>Daimler Truck Holding AG est une société basée en Allemagne. La société divise ses activités en activités industrielles et services financiers. L'activité industrielle comprend les segments de véhicules Trucks North America, Mercedes-Benz, Trucks Asia, Daimler Buses et la réconciliation. Trucks Asia regroupe les activités commerciales de Mitsubishi Fuso Truck and Bus Corporation (MFTBC) basée au Japon et de Daimler India Commercial Vehicles (DICV) en Inde. Daimler Buses est un fournisseur de services complets d'autobus et de châssis avec un poids brut autorisé supérieur à huit tonnes. Le segment des services financiers offre aux clients un ensemble complet de véhicules, de produits de financement et de leasing et d'autres services. La société est la société mère du groupe Daimler Truck. Le groupe Daimler Truck réunit huit marques de véhicules sous son égide : Freightliner, Thomas Built Buses, Western Star, Mercedes-Benz, FUSO, BharatBenz, RIZON et Setra.</v>
    <v>EUR</v>
    <v>102895</v>
    <v>XFRA</v>
    <v>37.49</v>
    <v>Machinery, Equipment &amp; Components</v>
    <v>273</v>
    <v>-2.5013000000000001E-2</v>
    <v>-0.95</v>
    <v>Daimler Truck Holding AG</v>
    <v>Daimler Truck Holding AG</v>
    <v>37.49</v>
    <v>10.37</v>
    <v>37.03</v>
    <v>Fasanenweg 10, LEINFELDEN-ECHTERDINGEN, BADEN-WUERTTEMBERG, 70771 DE</v>
    <v>Bourse</v>
    <v>Daimler Truck Holding AG (XFRA:DTG)</v>
    <v>2607</v>
    <v>1751690</v>
  </rv>
  <rv s="3">
    <v>274</v>
  </rv>
  <rv s="1">
    <v>https://www.bing.com/financeapi/forcetrigger?t=ae7vjc&amp;q=XPAR%3aBN&amp;form=skydnc</v>
    <v>Learn more on Bing</v>
  </rv>
  <rv s="2">
    <v>0</v>
    <v>1</v>
    <v>DANONE SA (XPAR:BN)</v>
    <v>3</v>
    <v>8</v>
    <v>Finance</v>
    <v>7</v>
    <v>fr-FR</v>
    <v>ae7vjc</v>
    <v>268435456</v>
    <v>1</v>
    <v>Avec Refinitiv</v>
    <v>XPAR</v>
    <v>679554000</v>
    <v>1955</v>
    <v>70.459999999999994</v>
    <v>56.14</v>
    <v>0.51060000000000005</v>
    <v>48126010000</v>
    <v>Euronext Paris</v>
    <v>70.819999999999993</v>
    <v>BN</v>
    <v>45747.593263888892</v>
    <v>Danone SA est une entreprise mondiale d'alimentation et de boissons basée en France. Elle opère à travers quatre segments: Produits laitiers essentiels et produits à base de plantes (EDP), Eaux et Nutrition spécialisée, y compris Nutrition précoce et Nutrition médicale. EDP produit et distribue des produits laitiers fermentés frais et d'autres spécialités laitières, des produits et boissons à base de plantes, des crèmes à café et des produits biologiques ; Waters vend de l'eau en bouteille et de l'eau vendue en petits et grands contenants ; Early Life Nutrition propose des préparations pour bébés (laits infantiles, laits de suite, laits de croissance), des desserts à base de lait et de fruits, des céréales, des petits pots pour bébés et des aliments pour bébés prêts à l'emploi ; Advanced Medical Nutrition propose des produits de nutrition clinique pour adultes ou enfants à prendre par voie orale ou par sonde en cas de malnutrition liée à une maladie ou à d'autres causes. Le portefeuille de marques de la Société comprend Activia, Actimel, Alpro, Danette, Danonino, Danio, evian, Volvic, Nutrilon/Aptamil, Nutricia, et d'autres.</v>
    <v>EUR</v>
    <v>89528</v>
    <v>XPAR</v>
    <v>71.040000000000006</v>
    <v>72.92</v>
    <v>Food &amp; Tobacco</v>
    <v>276</v>
    <v>-1.694E-3</v>
    <v>-0.12</v>
    <v>DANONE SA</v>
    <v>DANONE SA</v>
    <v>70.739999999999995</v>
    <v>22.569199999999999</v>
    <v>70.7</v>
    <v>17, boulevard Haussmann, PARIS, ILE-DE-FRANCE, 75009 FR</v>
    <v>Bourse</v>
    <v>DANONE SA (XPAR:BN)</v>
    <v>446916</v>
    <v>1566420</v>
  </rv>
  <rv s="3">
    <v>277</v>
  </rv>
  <rv s="1">
    <v>https://www.bing.com/financeapi/forcetrigger?t=ae7r27&amp;q=XPAR%3aAM&amp;form=skydnc</v>
    <v>Learn more on Bing</v>
  </rv>
  <rv s="2">
    <v>0</v>
    <v>1</v>
    <v>DASSAULT AVIATION SA (XPAR:AM)</v>
    <v>3</v>
    <v>8</v>
    <v>Finance</v>
    <v>7</v>
    <v>fr-FR</v>
    <v>ae7r27</v>
    <v>268435456</v>
    <v>1</v>
    <v>Avec Refinitiv</v>
    <v>XPAR</v>
    <v>78397030</v>
    <v>1971</v>
    <v>301.2</v>
    <v>160.9</v>
    <v>0.70579999999999998</v>
    <v>24224680000</v>
    <v>Euronext Paris</v>
    <v>309</v>
    <v>AM</v>
    <v>45747.593206018515</v>
    <v>DASSAULT AVIATION S.A. est une société basée en France qui opère dans l'industrie de l'aviation civile et militaire mondiale. La société se spécialise dans la conception, la fabrication et la vente d'avions de combat et de jets d'affaires. Son portefeuille de produits comprend la famille Falcon pour le marché de l'aviation civile, ainsi que les avions Mirage 2000, Rafale et Neuron pour le secteur militaire. Elle offre également des pièces de rechange, des outils et un éventail de services tels que le support technique, l'entretien et la réparation des équipements et pièces du fuselage, entre autres. La société possède des bureaux en Europe, en Asie, en Amérique du Sud et au Moyen-Orient. DASSAULT AVIATION S.A. a un certain nombre de filiales, implantées en Europe et en Amérique du Nord, dont DFJ-Little Rock, Sogitec Industries, DFJ Wilmington Corp., DFJ Teterboro, Dassault Falcon Service - Le Bourget, Aero-Precision Repair &amp; Overhaul Co., Inc, Dassault Procurement Services Inc., Dassault Aircraft Services et Midway Aircraft Instruments Company.</v>
    <v>EUR</v>
    <v>14589</v>
    <v>XPAR</v>
    <v>309.8</v>
    <v>323</v>
    <v>Aerospace &amp; Defense</v>
    <v>279</v>
    <v>-1.9417E-2</v>
    <v>-6</v>
    <v>DASSAULT AVIATION SA</v>
    <v>DASSAULT AVIATION SA</v>
    <v>305.39999999999998</v>
    <v>26.241099999999999</v>
    <v>303</v>
    <v>9, Rond-Point des Champs-Elysees, Marcel-Dassault, PARIS, ILE-DE-FRANCE, 75008 FR</v>
    <v>Bourse</v>
    <v>DASSAULT AVIATION SA (XPAR:AM)</v>
    <v>36172</v>
    <v>111170</v>
  </rv>
  <rv s="3">
    <v>280</v>
  </rv>
  <rv s="1">
    <v>https://www.bing.com/financeapi/forcetrigger?t=ae8e9c&amp;q=XPAR%3aDSY&amp;form=skydnc</v>
    <v>Learn more on Bing</v>
  </rv>
  <rv s="2">
    <v>0</v>
    <v>1</v>
    <v>DASSAULT SYSTEMES SE (XPAR:DSY)</v>
    <v>3</v>
    <v>8</v>
    <v>Finance</v>
    <v>7</v>
    <v>fr-FR</v>
    <v>ae8e9c</v>
    <v>268435456</v>
    <v>1</v>
    <v>Avec Refinitiv</v>
    <v>XPAR</v>
    <v>1338435000</v>
    <v>1981</v>
    <v>34.82</v>
    <v>31.04</v>
    <v>0.63129999999999997</v>
    <v>48424590000</v>
    <v>Euronext Paris</v>
    <v>36.18</v>
    <v>DSY</v>
    <v>45747.593136574076</v>
    <v>Dassault systèmes se est une société française de logiciels qui propose différents types de solutions tridimensionnelles (3D). Son produit, 3DEXPERIENCE, est une plate-forme d'expérience métier structurée en quatre quadrants regroupant douze marques : applications sociales et collaboratives (dont ENOVIA, 3DEXCITE, CENTRIC PLM), applications de modélisation 3D (dont SOLIDWORKS, CATIA, GEOVIA, BIOVIA), applications de simulation (dont 3DVIA, DELMIA, SIMULIA) et applications de renseignement (dont NETVIBES, EXALEAD, MEDIADATA). La structure de la société est divisée en trois secteurs : industries manufacturières (transport et mobilité ; aérospatiale et défense ; Marine et Offshore ; équipement industriel ; haute technologie; maison et mode de vie ; biens de consommation emballés et vente au détail) Sciences de la vie et soins de santé (Sciences de la vie) - (Sciences de la vie) infrastructures et villes (énergie et matériaux ; construction, villes et territoires ; services aux entreprises).</v>
    <v>EUR</v>
    <v>25000</v>
    <v>XPAR</v>
    <v>36.020000000000003</v>
    <v>41.71</v>
    <v>Software &amp; IT Services</v>
    <v>282</v>
    <v>-3.0404E-2</v>
    <v>-1.1000000000000001</v>
    <v>DASSAULT SYSTEMES SE</v>
    <v>DASSAULT SYSTEMES SE</v>
    <v>35.840000000000003</v>
    <v>39.545299999999997</v>
    <v>35.08</v>
    <v>10, rue Marcel Dassault, Paris Campus, VELIZY VILLACOUBLAY, ILE-DE-FRANCE, 78140 FR</v>
    <v>Bourse</v>
    <v>DASSAULT SYSTEMES SE (XPAR:DSY)</v>
    <v>778125</v>
    <v>1459250</v>
  </rv>
  <rv s="3">
    <v>283</v>
  </rv>
  <rv s="1">
    <v>https://www.bing.com/financeapi/forcetrigger?t=brjvjc&amp;q=XNAS%3aDDOG&amp;form=skydnc</v>
    <v>Learn more on Bing</v>
  </rv>
  <rv s="2">
    <v>0</v>
    <v>1</v>
    <v>DATADOG, INC. (XNAS:DDOG)</v>
    <v>3</v>
    <v>4</v>
    <v>Finance</v>
    <v>5</v>
    <v>fr-FR</v>
    <v>brjvjc</v>
    <v>268435456</v>
    <v>1</v>
    <v>Avec Refinitiv</v>
    <v>XNAS</v>
    <v>342764000</v>
    <v>2010</v>
    <v>96.63</v>
    <v>96.63</v>
    <v>1.1930000000000001</v>
    <v>33433200560</v>
    <v>Nasdaq Stock Market</v>
    <v>101.1</v>
    <v>DDOG</v>
    <v>45747.603650335157</v>
    <v>Datadog, Inc. est la plateforme d'observabilité et de sécurité pour les applications cloud. La plate-forme SaaS (Software as a Service) de l'entreprise intègre et automatise la surveillance de l'infrastructure, la surveillance des performances des applications, la gestion des journaux, la surveillance des utilisateurs réels et diverses autres fonctionnalités afin de fournir une observabilité et une sécurité unifiées et en temps réel à l'ensemble de la pile technologique de ses clients. Sa plate-forme est composée de produits pouvant être utilisés individuellement ou en tant que solution unifiée et comprend une place de marché où les clients peuvent accéder aux produits construits par ses partenaires sur la plate-forme Datadog. Les produits de la société comprennent la surveillance de l'infrastructure, la surveillance des performances applicatives (APM), la gestion des journaux, la surveillance de l'expérience numérique, le profileur continu, la surveillance des bases de données, surveillance du réseau, gestion des incidents, pipelines d'observabilité, gestion des coûts du cloud, surveillance du service universel, gestion de la sécurité dans le cloud, gestion de la sécurité des applications, visibilité ci et autres.</v>
    <v>USD</v>
    <v>6500</v>
    <v>XNAS</v>
    <v>99.7</v>
    <v>170.08</v>
    <v>Software &amp; IT Services</v>
    <v>285</v>
    <v>-3.5213000000000001E-2</v>
    <v>-3.56</v>
    <v>DATADOG, INC.</v>
    <v>DATADOG, INC.</v>
    <v>99.35</v>
    <v>188.0856</v>
    <v>97.54</v>
    <v>620 8th Avenue, 45th Floor, NEW YORK, NY, 10018 US</v>
    <v>Bourse</v>
    <v>DATADOG, INC. (XNAS:DDOG)</v>
    <v>760547</v>
    <v>5045522</v>
  </rv>
  <rv s="3">
    <v>286</v>
  </rv>
  <rv s="1">
    <v>https://www.bing.com/financeapi/forcetrigger?t=a1qvjc&amp;q=XNYS%3aDE&amp;form=skydnc</v>
    <v>Learn more on Bing</v>
  </rv>
  <rv s="2">
    <v>0</v>
    <v>1</v>
    <v>DEERE &amp; COMPANY (XNYS:DE)</v>
    <v>3</v>
    <v>4</v>
    <v>Finance</v>
    <v>5</v>
    <v>fr-FR</v>
    <v>a1qvjc</v>
    <v>268435456</v>
    <v>1</v>
    <v>Avec Refinitiv</v>
    <v>XNYS</v>
    <v>271413900</v>
    <v>1958</v>
    <v>458.38</v>
    <v>340.20010000000002</v>
    <v>1.0132000000000001</v>
    <v>126291600000</v>
    <v>New York Stock Exchange</v>
    <v>463.69</v>
    <v>DE</v>
    <v>45747.603596087502</v>
    <v>Deere &amp; Company est engagée dans la livraison de matériel agricole, de construction et forestier. La Société définit, développe et fournit des solutions globales d'équipement et de technologie. Ses segments comprennent la production et l'agriculture de précision (APP), la petite agriculture et le gazon (SAT), la construction et la foresterie (CF) et les services financiers (FS). Le segment PPA fournit des solutions pour les producteurs à grande échelle de production de gros grains, de petits grains, de coton et de canne à sucre. SAT segment fournit des solutions pour les producteurs laitiers et de bétail, les producteurs de cultures à forte valeur ajoutée et les clients de gazon et de services publics. CF segment propose une gamme de machines et de solutions technologiques organisées le long des systèmes de production de terrassement, de foresterie et de construction routière. Le secteur FS finance les ventes et les locations par les concessionnaires John Deere de matériel de production et d'agriculture de précision neuf et d'occasion, de matériel SAT et de matériel de construction et forestier. Ses produits technologiques incluent le tracteur John Deere Autonomous 8R et la pelle rétro E-Power.</v>
    <v>USD</v>
    <v>75800</v>
    <v>XNYS</v>
    <v>464.245</v>
    <v>515.04999999999995</v>
    <v>Machinery, Equipment &amp; Components</v>
    <v>288</v>
    <v>-1.8979999999999999E-3</v>
    <v>-0.88</v>
    <v>DEERE &amp; COMPANY</v>
    <v>DEERE &amp; COMPANY</v>
    <v>460.38</v>
    <v>20.555099999999999</v>
    <v>462.81</v>
    <v>One John Deere Place, MOLINE, IL, 61265 US</v>
    <v>Bourse</v>
    <v>DEERE &amp; COMPANY (XNYS:DE)</v>
    <v>283524</v>
    <v>1393795</v>
  </rv>
  <rv s="3">
    <v>289</v>
  </rv>
  <rv s="1">
    <v>https://www.bing.com/financeapi/forcetrigger?t=af83xm&amp;q=XFRA%3aDHER&amp;form=skydnc</v>
    <v>Learn more on Bing</v>
  </rv>
  <rv s="9">
    <v>25</v>
    <v>26</v>
    <v>Delivery Hero SE (XFRA:DHER)</v>
    <v>3</v>
    <v>27</v>
    <v>Finance</v>
    <v>7</v>
    <v>fr-FR</v>
    <v>af83xm</v>
    <v>268435456</v>
    <v>1</v>
    <v>Avec Refinitiv</v>
    <v>XFRA</v>
    <v>293781600</v>
    <v>2018</v>
    <v>22.02</v>
    <v>15.151999999999999</v>
    <v>1.1347</v>
    <v>6633590000</v>
    <v>Deutsche Boerse AG</v>
    <v>22.84</v>
    <v>DHER</v>
    <v>45747.593055555553</v>
    <v>Delivery Hero SE est une société basée en Allemagne, qui est principalement engagée dans l’industrie de la commande alimentaire en ligne. La Société fonctionne comme un fournisseur de services de livraison de nourriture en ligne des restaurants et des cafés. La Société propose des pizzas, des hamburgers, des aliments biologiques, une cuisine végétalienne et des plats Asiatiques, entre autres. Son portefeuille de marques comprend Foodpanda, PedidosYa, Clickdelivery, Talabat, Yemeksepeti, Donesi, Hungerstation, Carriage, Otlob, Mjam et d’autres. La Société opère à l’échelle mondiale, sur le territoire de plus de 40 pays, comprenant l’Europe, le Moyen-Orient, l’Afrique du Nord, l’Asie et les Amériques. Les services de la Société sont disponibles en version Web et application mobile.</v>
    <v>EUR</v>
    <v>43292</v>
    <v>XFRA</v>
    <v>22.28</v>
    <v>147</v>
    <v>Software &amp; IT Services</v>
    <v>291</v>
    <v>-3.5901999999999996E-2</v>
    <v>-0.82</v>
    <v>Delivery Hero SE</v>
    <v>Delivery Hero SE</v>
    <v>22.28</v>
    <v>22.02</v>
    <v>Oranienburger Strasse 70, BERLIN, BERLIN, 10117 DE</v>
    <v>Bourse</v>
    <v>Delivery Hero SE (XFRA:DHER)</v>
    <v>1</v>
    <v>919680</v>
  </rv>
  <rv s="3">
    <v>292</v>
  </rv>
  <rv s="1">
    <v>https://www.bing.com/financeapi/forcetrigger?t=c6jhxm&amp;q=XBRU%3aDEME&amp;form=skydnc</v>
    <v>Learn more on Bing</v>
  </rv>
  <rv s="2">
    <v>0</v>
    <v>1</v>
    <v>DEME GROUP NV (XBRU:DEME)</v>
    <v>3</v>
    <v>8</v>
    <v>Finance</v>
    <v>7</v>
    <v>fr-FR</v>
    <v>c6jhxm</v>
    <v>268435456</v>
    <v>1</v>
    <v>Avec Refinitiv</v>
    <v>XBRU</v>
    <v>25314480</v>
    <v>2022</v>
    <v>129.19999999999999</v>
    <v>122.4</v>
    <v>0.69199999999999995</v>
    <v>3382015000</v>
    <v>Euronext Brussels</v>
    <v>133.6</v>
    <v>DEME</v>
    <v>45747.592928240738</v>
    <v>DEME Group NV est une société basée en Belgique qui fournit des services d'ingénierie. La société fournit des solutions marines durables mondiales. Son activité s'organise autour de quatre segments, tels que DEME Offshore Energy, DEME Dredging &amp; Infra, DEME Environmental et DEME Concessions. Elle offre des services d'ingénierie et de sous-traitance à l'échelle mondiale dans les secteurs des énergies renouvelables et non renouvelables offshore. La société est impliquée dans l'ensemble du périmètre de l'équilibre de l'usine pour les parcs éoliens offshore qui comprend l'ingénierie, l'approvisionnement, la construction et l'installation de fondations, de turbines, d'inter -câbles de réseau, câbles d'exportation et sous-stations. Il fournit une grande variété d'activités de dragage dans le monde entier, y compris le dragage d'investissement et d'entretien, la remise en état des terres, la construction de ports, la protection des côtes et les travaux de rechargement des plages. Elle offre des solutions pour l'assainissement des sols et le réaménagement des friches industrielles, ainsi que le dragage environnemental et le traitement des sédiments.</v>
    <v>EUR</v>
    <v>5822</v>
    <v>XBRU</v>
    <v>132.19999999999999</v>
    <v>175</v>
    <v>Construction &amp; Engineering</v>
    <v>294</v>
    <v>-2.5449000000000003E-2</v>
    <v>-3.4</v>
    <v>DEME GROUP NV</v>
    <v>DEME GROUP NV</v>
    <v>132</v>
    <v>11.7233</v>
    <v>130.19999999999999</v>
    <v>Scheldedijk 30, Zwijndrecht, ANTWERPEN, 2070 BE</v>
    <v>Bourse</v>
    <v>DEME GROUP NV (XBRU:DEME)</v>
    <v>5833</v>
    <v>6210</v>
  </rv>
  <rv s="3">
    <v>295</v>
  </rv>
  <rv s="1">
    <v>https://www.bing.com/financeapi/forcetrigger?t=ae8c7w&amp;q=XPAR%3aDBG&amp;form=skydnc</v>
    <v>Learn more on Bing</v>
  </rv>
  <rv s="2">
    <v>0</v>
    <v>1</v>
    <v>DERICHEBOURG SA (XPAR:DBG)</v>
    <v>3</v>
    <v>8</v>
    <v>Finance</v>
    <v>7</v>
    <v>fr-FR</v>
    <v>ae8c7w</v>
    <v>268435456</v>
    <v>1</v>
    <v>Avec Refinitiv</v>
    <v>XPAR</v>
    <v>159397500</v>
    <v>1989</v>
    <v>5.3949999999999996</v>
    <v>3.86</v>
    <v>1.5923</v>
    <v>906174700</v>
    <v>Euronext Paris</v>
    <v>5.6849999999999996</v>
    <v>DBG</v>
    <v>45747.592701110938</v>
    <v>Derichebourg SA est un opérateur mondial basé en France qui s'engage dans les services environnementaux, d'entreprise et aéroportuaires. Les activités de la Société peuvent être divisées en deux branches distinctes : la division Environnement et la division Multiservices. Les services environnementaux comprennent le recyclage, la gestion des déchets et l'élimination des déchets industriels produits par les fabricants, les collectivités et les particuliers. La division multiservices joue un rôle important sur le marché européen des services aux entreprises et aux collectivités qui se concentrent sur le cœur de métier, améliorent l'organisation et contrôlent les coûts.</v>
    <v>EUR</v>
    <v>5561</v>
    <v>XPAR</v>
    <v>5.61</v>
    <v>6.18</v>
    <v>Professional &amp; Commercial Services</v>
    <v>297</v>
    <v>-4.3975E-2</v>
    <v>-0.25</v>
    <v>DERICHEBOURG SA</v>
    <v>DERICHEBOURG SA</v>
    <v>5.5949999999999998</v>
    <v>12.116400000000001</v>
    <v>5.4349999999999996</v>
    <v>119, Av. du General Michel Bizot, PARIS Cedex 12, PARIS, ILE-DE-FRANCE, 75579 FR</v>
    <v>Bourse</v>
    <v>DERICHEBOURG SA (XPAR:DBG)</v>
    <v>304192</v>
    <v>254150</v>
  </rv>
  <rv s="3">
    <v>298</v>
  </rv>
  <rv s="1">
    <v>https://www.bing.com/financeapi/forcetrigger?t=af7u7w&amp;q=XFRA%3aDBK&amp;form=skydnc</v>
    <v>Learn more on Bing</v>
  </rv>
  <rv s="2">
    <v>0</v>
    <v>1</v>
    <v>Deutsche Bank AG (XFRA:DBK)</v>
    <v>3</v>
    <v>8</v>
    <v>Finance</v>
    <v>7</v>
    <v>fr-FR</v>
    <v>af7u7w</v>
    <v>268435456</v>
    <v>1</v>
    <v>Avec Refinitiv</v>
    <v>XFRA</v>
    <v>1948253000</v>
    <v>1952</v>
    <v>21.414999999999999</v>
    <v>4.468</v>
    <v>1.0718000000000001</v>
    <v>43221990000</v>
    <v>Deutsche Boerse AG</v>
    <v>22.055</v>
    <v>DBK</v>
    <v>45747.593055555553</v>
    <v>Deutsche Bank AG est une banque et holding pour ses filiales. La Société offre une gamme de services tels que des produits et services financiers, d’investissement et connexes à des particuliers, des entreprises et des clients institutionnels. Elle opère par l’intermédiaire de quatre divisions commerciales : Corporate Bank, Investment Bank, Private Bank et Asset Management. Corporate Bank se concentre principalement sur le service aux clients des entreprises et agit en tant que fournisseur spécialisé de services aux institutions financières, offrant des services de banque correspondante, de fiducie et d’agence ainsi que des services de valeurs mobilières. Investment Bank regroupe les activités de la société dans le domaine des titres à revenu fixe et des devises (FIC) ainsi que celles de l’origination et du conseil, ainsi que de Deutsche Bank Research. La division Banque privée est axée sur les particuliers et les clients privés, les personnes fortunées, les entrepreneurs et les familles. Asset Management opère sous la marque DWS et sert une clientèle diversifiée d’investisseurs institutionnels et particuliers dans le monde entier.</v>
    <v>EUR</v>
    <v>89753</v>
    <v>XFRA</v>
    <v>21.984999999999999</v>
    <v>23.52</v>
    <v>Banking Services</v>
    <v>300</v>
    <v>-2.1989999999999999E-2</v>
    <v>-0.48499999999999999</v>
    <v>Deutsche Bank AG</v>
    <v>Deutsche Bank AG</v>
    <v>21.984999999999999</v>
    <v>14.55</v>
    <v>21.57</v>
    <v>Taunusanlage 12, FRANKFURT AM MAIN, HESSEN, 60325 DE</v>
    <v>Bourse</v>
    <v>Deutsche Bank AG (XFRA:DBK)</v>
    <v>36083</v>
    <v>8366420</v>
  </rv>
  <rv s="3">
    <v>301</v>
  </rv>
  <rv s="1">
    <v>https://www.bing.com/financeapi/forcetrigger?t=af7tpr&amp;q=XFRA%3aDB1&amp;form=skydnc</v>
    <v>Learn more on Bing</v>
  </rv>
  <rv s="2">
    <v>0</v>
    <v>1</v>
    <v>Deutsche Boerse AG (XFRA:DB1)</v>
    <v>3</v>
    <v>8</v>
    <v>Finance</v>
    <v>7</v>
    <v>fr-FR</v>
    <v>af7tpr</v>
    <v>268435456</v>
    <v>1</v>
    <v>Avec Refinitiv</v>
    <v>XFRA</v>
    <v>188300000</v>
    <v>1990</v>
    <v>270.5</v>
    <v>93.18</v>
    <v>0.68869999999999998</v>
    <v>51142280000</v>
    <v>Deutsche Boerse AG</v>
    <v>271.8</v>
    <v>DB1</v>
    <v>45747.592361111114</v>
    <v>Deutsche Boerse AG est une société de bourse basée en Allemagne. La société fournit des infrastructures pour les marchés financiers dans le monde entier. Elle offre également une large gamme de produits et services le long de la chaîne de valeur des transactions sur les marchés financiers. Les activités de la société se déroulent dans quatre segments : Solutions de gestion des investissements, Trading et compensation, Services de fonds et Services de valeurs mobilières. Solutions de gestion des investissements fournit des produits axés sur les données, des familles d'indices et des solutions de logiciel en tant que service (SaaS). Le segment de négociation et de compensation organise et exploite des marchés réglementés pour les valeurs mobilières, les produits dérivés, les matières premières, les devises et autres classes d'actifs. Le secteur des services de fonds tend à externaliser les opérations de distribution de fonds. Le secteur des services de valeurs mobilières offre une gamme de services de titres à revenu fixe</v>
    <v>EUR</v>
    <v>15495</v>
    <v>XFRA</v>
    <v>271.89999999999998</v>
    <v>273.89999999999998</v>
    <v>Investment Banking &amp; Investment Services</v>
    <v>303</v>
    <v>-4.7829999999999999E-3</v>
    <v>-1.3</v>
    <v>Deutsche Boerse AG</v>
    <v>Deutsche Boerse AG</v>
    <v>270.8</v>
    <v>25.36</v>
    <v>270.5</v>
    <v>FRANKFURT AM MAIN, HESSEN, 60485 DE</v>
    <v>Bourse</v>
    <v>Deutsche Boerse AG (XFRA:DB1)</v>
    <v>229</v>
    <v>453110</v>
  </rv>
  <rv s="3">
    <v>304</v>
  </rv>
  <rv s="1">
    <v>https://www.bing.com/financeapi/forcetrigger?t=af8esm&amp;q=XFRA%3aDTE&amp;form=skydnc</v>
    <v>Learn more on Bing</v>
  </rv>
  <rv s="2">
    <v>0</v>
    <v>1</v>
    <v>Deutsche Telekom AG (XFRA:DTE)</v>
    <v>3</v>
    <v>8</v>
    <v>Finance</v>
    <v>7</v>
    <v>fr-FR</v>
    <v>af8esm</v>
    <v>268435456</v>
    <v>1</v>
    <v>Avec Refinitiv</v>
    <v>XFRA</v>
    <v>4986458000</v>
    <v>1995</v>
    <v>33.92</v>
    <v>10.45</v>
    <v>0.73680000000000001</v>
    <v>170187800000</v>
    <v>Deutsche Boerse AG</v>
    <v>34.14</v>
    <v>DTE</v>
    <v>45747.592361111114</v>
    <v>Deutsche Telekom AG est une société basée en Allemagne qui fournit des services de technologie de l'information (TI) et de télécommunications. Les segments opérationnels de la société comprennent l'Allemagne, qui comprend les activités de réseau fixe et mobile en Allemagne; États-Unis, qui se compose d'activités mobiles sur le marché américain; L'Europe, constituée d'opérations sur réseau fixe et mobile des entreprises nationales dans divers pays européens, tels que la Grèce, la Roumanie, la Hongrie, la Pologne, la République tchèque, la Croatie, la Slovaquie, l'Autriche, l'Albanie, la Macédoine et le Monténégro; les Solutions systèmes, qui exploite des systèmes de technologies de l'information et de la communication (TIC) pour les sociétés multinationales et les institutions du secteur public; Développement du groupe, comprenant les entités T-Mobile Netherlands et Deutsche Funkturm (DFMG) et sa participation au capital de Stroeer SE &amp; Co. KGaA, et du siège du groupe et des services de groupe, qui comprend les opérations du siège du service et de diverses autres filiales de la société .</v>
    <v>EUR</v>
    <v>198194</v>
    <v>XFRA</v>
    <v>34.5</v>
    <v>35.92</v>
    <v>Telecommunications Services</v>
    <v>306</v>
    <v>3.5149999999999999E-3</v>
    <v>0.12</v>
    <v>Deutsche Telekom AG</v>
    <v>Deutsche Telekom AG</v>
    <v>34</v>
    <v>14.72</v>
    <v>34.26</v>
    <v>Friedrich-Ebert-Allee 140, BONN, NORDRHEIN-WESTFALEN, 53113 DE</v>
    <v>Bourse</v>
    <v>Deutsche Telekom AG (XFRA:DTE)</v>
    <v>22396</v>
    <v>7483440</v>
  </rv>
  <rv s="3">
    <v>307</v>
  </rv>
  <rv s="1">
    <v>https://www.bing.com/financeapi/forcetrigger?t=c5obxm&amp;q=XNYS%3aDO&amp;form=skydnc</v>
    <v>Learn more on Bing</v>
  </rv>
  <rv s="12">
    <v>25</v>
    <v>35</v>
    <v>Diamond Offshore (XNYS:DO)</v>
    <v>3</v>
    <v>28</v>
    <v>Finance</v>
    <v>36</v>
    <v>fr-FR</v>
    <v>c5obxm</v>
    <v>268435456</v>
    <v>1</v>
    <v>1</v>
    <v>Avec Refinitiv</v>
    <v>XNYS</v>
    <v>103213100</v>
    <v>1989</v>
    <v>13.97</v>
    <v>11.02</v>
    <v>1.3009999999999999</v>
    <v>1480075000</v>
    <v>New York Stock Exchange</v>
    <v>14.34</v>
    <v>DO</v>
    <v>45538.959348645316</v>
    <v>Diamond Offshore Drilling, Inc. provides offshore drilling services. The Company provides contract drilling services to the energy industry around the globe with a fleet of approximately 13 offshore drilling rigs, consisting of four owned drill ships, seven owned semisubmersible rigs and two managed rigs. The Company also provides management and marketing services. It provides offshore drilling services to a customer base that includes independent oil and gas companies and government-owned oil companies. The Company's fleet enables it to offer services in the floater market on a worldwide basis. The principal markets for its offshore contract drilling services are the Gulf of Mexico, including the United States, and Mexico; Canada; South America, principally offshore Brazil; Australia and Southeast Asia; Europe, principally offshore the United Kingdom; East and West Africa, and the Mediterranean. Its semisubmersible rigs include Ocean Apex, Ocean Onyx, Ocean Valiant and Ocean Patriot.</v>
    <v>USD</v>
    <v>2140</v>
    <v>XNYS</v>
    <v>14.36</v>
    <v>17.32</v>
    <v>Oil &amp; Gas Related Equipment and Services</v>
    <v>309</v>
    <v>0</v>
    <v>0</v>
    <v>Diamond Offshore</v>
    <v>Diamond Offshore</v>
    <v>14.24</v>
    <v>13.99</v>
    <v>777 N Eldridge Pkwy, Suite 1100, HOUSTON, TX, 77079 US</v>
    <v>Bourse</v>
    <v>Diamond Offshore (XNYS:DO)</v>
    <v>5888939</v>
    <v>1837680</v>
  </rv>
  <rv s="3">
    <v>310</v>
  </rv>
  <rv s="1">
    <v>https://www.bing.com/financeapi/forcetrigger?t=af9doc&amp;q=XFRA%3aEOAN&amp;form=skydnc</v>
    <v>Learn more on Bing</v>
  </rv>
  <rv s="2">
    <v>0</v>
    <v>1</v>
    <v>E.ON SE (XFRA:EOAN)</v>
    <v>3</v>
    <v>8</v>
    <v>Finance</v>
    <v>7</v>
    <v>fr-FR</v>
    <v>af9doc</v>
    <v>268435456</v>
    <v>1</v>
    <v>Avec Refinitiv</v>
    <v>XFRA</v>
    <v>2641319000</v>
    <v>2017</v>
    <v>13.715</v>
    <v>7.3</v>
    <v>0.6946</v>
    <v>36595470000</v>
    <v>Deutsche Boerse AG</v>
    <v>13.795</v>
    <v>EOAN</v>
    <v>45747.593055555553</v>
    <v>E.ON SE est une entreprise énergétique basée en Allemagne. Les activités commerciales de la société sont divisées en quatre segments principaux : les réseaux d'énergie, les solutions clients, l'innogy et les énergies renouvelables. Le segment Réseaux énergétiques comprend ses réseaux de distribution d'électricité et de gaz et les activités connexes. Le segment Customer Solutions sert de plate-forme pour travailler avec ses clients afin de façonner la transition énergétique de l'Europe, en fournissant de l'électricité, du gaz et de la chaleur. Le segment Innogy comprend les activités de réseau et de vente, ainsi que les fonctions d'entreprise et les services internes du groupe innogy. Le secteur des énergies renouvelables construit, exploite et gère des actifs de production éolienne et solaire. De plus, elle possède une activité nucléaire en Allemagne, qui est exploitée par sa filiale PreussenElektra et n'est pas une activité stratégique. Les clients de la Société sont des particuliers, des petites et moyennes entreprises, des entreprises industrielles et commerciales et publiques.</v>
    <v>EUR</v>
    <v>76566</v>
    <v>XFRA</v>
    <v>13.93</v>
    <v>13.93</v>
    <v>Multiline Utilities</v>
    <v>312</v>
    <v>6.8869999999999999E-3</v>
    <v>9.5000000000000001E-2</v>
    <v>E.ON SE</v>
    <v>E.ON SE</v>
    <v>13.74</v>
    <v>7.79</v>
    <v>13.89</v>
    <v>Bruesseler Platz 1, ESSEN, NORDRHEIN-WESTFALEN, 45131 DE</v>
    <v>Bourse</v>
    <v>E.ON SE (XFRA:EOAN)</v>
    <v>24509</v>
    <v>7212340</v>
  </rv>
  <rv s="3">
    <v>313</v>
  </rv>
  <rv s="1">
    <v>https://www.bing.com/financeapi/forcetrigger?t=ao8g3m&amp;q=XLON%3aEZJ&amp;form=skydnc</v>
    <v>Learn more on Bing</v>
  </rv>
  <rv s="2">
    <v>0</v>
    <v>1</v>
    <v>EASYJET PLC (XLON:EZJ)</v>
    <v>3</v>
    <v>30</v>
    <v>Finance</v>
    <v>31</v>
    <v>fr-FR</v>
    <v>ao8g3m</v>
    <v>268435456</v>
    <v>1</v>
    <v>Avec Refinitiv</v>
    <v>XLON</v>
    <v>758010000</v>
    <v>2000</v>
    <v>444.1</v>
    <v>404.7</v>
    <v>3.0331999999999999</v>
    <v>3483056000</v>
    <v>London Stock Exchange</v>
    <v>459.5</v>
    <v>EZJ</v>
    <v>45747.593166562503</v>
    <v>EasyJet Plc est une société holding basée au Royaume-Uni qui fournit des vols et des vacances à forfait, principalement en Europe. La Société opère dans deux segments : les activités aériennes et les activités de vacances. Le segment commercial des compagnies aériennes exploite son réseau de routes. Le secteur vacances vend des forfaits vacances. Sa flotte comprend A319, A320, A320 NEO et A321 NEO. Il relie les entreprises, les familles et les vacanciers à travers le Royaume-Uni, la France, l'Allemagne, l'Italie et d'autres destinations européennes. Elle vend des sièges via son propre site Web, www.easyjet.com et sa plateforme easyJet Worldwide, son application mobile, ses systèmes de distribution mondiaux, ses outils de réservation en ligne, ses agrégateurs de contenu et ses tour-opérateurs. Il permet aux passagers de réserver des vols sur les itinéraires aériens européens. Sa flotte totale comprend plus de 336 appareils, exploitant 1024 routes dans 36 pays et 155 aéroports. Ses filiales comprennent easyJet Airline Company Limited, easyJet Sterling Limited et d'autres.</v>
    <v>GBp</v>
    <v>17639</v>
    <v>XLON</v>
    <v>459.1</v>
    <v>594</v>
    <v>Passenger Transportation Services</v>
    <v>315</v>
    <v>-3.3090000000000001E-2</v>
    <v>-15.205</v>
    <v>EASYJET PLC</v>
    <v>EASYJET PLC</v>
    <v>452</v>
    <v>7.5963000000000003</v>
    <v>444.29500000000002</v>
    <v>Hangar 89, London Luton Airport, LUTON, BEDFORDSHIRE, LU2 9PA GB</v>
    <v>Bourse</v>
    <v>EASYJET PLC (XLON:EZJ)</v>
    <v>2144702</v>
    <v>5094950</v>
  </rv>
  <rv s="3">
    <v>316</v>
  </rv>
  <rv s="1">
    <v>https://www.bing.com/financeapi/forcetrigger?t=ae8fbh&amp;q=XPAR%3aEDEN&amp;form=skydnc</v>
    <v>Learn more on Bing</v>
  </rv>
  <rv s="2">
    <v>0</v>
    <v>1</v>
    <v>EDENRED SE (XPAR:EDEN)</v>
    <v>3</v>
    <v>8</v>
    <v>Finance</v>
    <v>7</v>
    <v>fr-FR</v>
    <v>ae8fbh</v>
    <v>268435456</v>
    <v>1</v>
    <v>Avec Refinitiv</v>
    <v>XPAR</v>
    <v>241526700</v>
    <v>2006</v>
    <v>30.06</v>
    <v>27.72</v>
    <v>0.65110000000000001</v>
    <v>7487327000</v>
    <v>Euronext Paris</v>
    <v>31</v>
    <v>EDEN</v>
    <v>45747.593113425923</v>
    <v>Edenred se, anciennement New services Holding sa, est une société française spécialisée dans la fourniture de bons de services prépayés aux entreprises. Il conçoit et gère des solutions qui améliorent l'efficacité des organisations et le pouvoir d'achat des individus. En veillant à ce que les fonds alloués soient utilisés spécifiquement comme prévu, les solutions de la Société permettent à ses clients de gérer plus efficacement leurs avantages sociaux (tels que ticket Restaurant, ticket Alimentacion, ticket Universal Employment Service Voucher (CESU) et Childcare Vouchers, entre autres), le processus de gestion des dépenses (ticket car, ticket Clean Way et Repom, entre autres) et des programmes d'incitation et de récompenses (tels que ticket compliments, ticket Kadeos, entre autres). Edenred sa accompagne également les institutions publiques dans la gestion de leurs programmes sociaux. La Société opère également par l'intermédiaire de Vasa Slovensko et est présente dans plus de 40 pays en Amérique, en Europe, en Afrique et en Asie. Il opère également par le biais de l'UTA.</v>
    <v>EUR</v>
    <v>12507</v>
    <v>XPAR</v>
    <v>30.79</v>
    <v>50.54</v>
    <v>Professional &amp; Commercial Services</v>
    <v>318</v>
    <v>-1.6452000000000001E-2</v>
    <v>-0.51</v>
    <v>EDENRED SE</v>
    <v>EDENRED SE</v>
    <v>30.78</v>
    <v>14.985300000000001</v>
    <v>30.49</v>
    <v>Direction de la Communication, Immeuble Be Issy, 14-16 boulevard Garibaldi, ISSY-LES-MOULINEAUX, ILE-DE-FRANCE, 92130 FR</v>
    <v>Bourse</v>
    <v>EDENRED SE (XPAR:EDEN)</v>
    <v>285709</v>
    <v>622730</v>
  </rv>
  <rv s="3">
    <v>319</v>
  </rv>
  <rv s="1">
    <v>https://www.bing.com/financeapi/forcetrigger?t=ae8fh7&amp;q=XPAR%3aEDF&amp;form=skydnc</v>
    <v>Learn more on Bing</v>
  </rv>
  <rv s="8">
    <v>19</v>
    <v>20</v>
    <v>Electricite de France SA (XPAR:EDF)</v>
    <v>3</v>
    <v>21</v>
    <v>Finance</v>
    <v>7</v>
    <v>fr-FR</v>
    <v>ae8fh7</v>
    <v>268435456</v>
    <v>1</v>
    <v>1</v>
    <v>Avec Refinitiv</v>
    <v>XPAR</v>
    <v>4169515000</v>
    <v>1955</v>
    <v>12</v>
    <v>7.27</v>
    <v>0.95920000000000005</v>
    <v>48011200000</v>
    <v>Euronext Paris</v>
    <v>12</v>
    <v>EDF</v>
    <v>45063.666666666664</v>
    <v xml:space="preserve">Electricite de France SA (EDF SA) is a France-based electricity producer, marketer and distributor. The Company generates energy using nuclear technology, as well as thermal, hydroelectric and other renewable sources. It is involved in energy generation and energy sales to industries, local authorities and residential consumers. In addition, EDF SA manages low and medium-voltage public distribution network and involves in electricity transmission network. It also provides energy services, such as district heating and thermal energy services. The group is present in France, Belgium, the United States, Poland, Italy, China, Vietnam and other countries worldwide. The Company has such subsidiaries Dalkia (including Citelum), under Dalkia's brand and SINOP Energy Company, among others. </v>
    <v>EUR</v>
    <v>165028</v>
    <v>XPAR</v>
    <v>12.01</v>
    <v>12.07</v>
    <v>Multiline Utilities</v>
    <v>321</v>
    <v>0</v>
    <v>0</v>
    <v>Electricite de France SA</v>
    <v>Electricite de France SA</v>
    <v>12</v>
    <v>0</v>
    <v>12</v>
    <v>22-30, avenue de Wagram, PARIS, ILE-DE-FRANCE, 75008 FR</v>
    <v>Bourse</v>
    <v>Electricite de France SA (XPAR:EDF)</v>
    <v>238073</v>
  </rv>
  <rv s="3">
    <v>322</v>
  </rv>
  <rv s="1">
    <v>https://www.bing.com/financeapi/forcetrigger?t=ae8our&amp;q=XPAR%3aFGR&amp;form=skydnc</v>
    <v>Learn more on Bing</v>
  </rv>
  <rv s="2">
    <v>0</v>
    <v>1</v>
    <v>EIFFAGE SA (XPAR:FGR)</v>
    <v>3</v>
    <v>8</v>
    <v>Finance</v>
    <v>7</v>
    <v>fr-FR</v>
    <v>ae8our</v>
    <v>268435456</v>
    <v>1</v>
    <v>Avec Refinitiv</v>
    <v>XPAR</v>
    <v>98000000</v>
    <v>1970</v>
    <v>106.45</v>
    <v>81.16</v>
    <v>1.1832</v>
    <v>10784900000</v>
    <v>Euronext Paris</v>
    <v>110.05</v>
    <v>FGR</v>
    <v>45747.593148148146</v>
    <v>Eiffage sa est une société française qui fournit des services de groupe construction et concessions. Elle mène des activités à travers cinq divisions telles que la construction et l'entretien d'infrastructures de transport et de génie civil : routes, autoroutes, ponts, chemins de fer, etc En outre, le groupe produit et commercialise des agrégats, des revêtements et des liants ; conception, construction, et maintenance d'installations électriques, climatiques et mécaniques ; construction et rénovation de bâtiments : maisons, bureaux, centres commerciaux, parkings, stades, prisons, hôpitaux, etc De plus, la Société développe une activité de développement immobilier ; construction et gestion sous concession d'infrastructures et de structures ; et autres.</v>
    <v>EUR</v>
    <v>81817</v>
    <v>XPAR</v>
    <v>109.6</v>
    <v>112.3</v>
    <v>Construction &amp; Engineering</v>
    <v>324</v>
    <v>-2.726E-2</v>
    <v>-3</v>
    <v>EIFFAGE SA</v>
    <v>EIFFAGE SA</v>
    <v>109.25</v>
    <v>9.6449999999999996</v>
    <v>107.05</v>
    <v>3-7 place de l'Europe, VELIZY VILLACOUBLAY, ILE-DE-FRANCE, 78140 FR</v>
    <v>Bourse</v>
    <v>EIFFAGE SA (XPAR:FGR)</v>
    <v>116989</v>
    <v>235710</v>
  </rv>
  <rv s="3">
    <v>325</v>
  </rv>
  <rv s="1">
    <v>https://www.bing.com/financeapi/forcetrigger?t=a1rjec&amp;q=XNAS%3aEA&amp;form=skydnc</v>
    <v>Learn more on Bing</v>
  </rv>
  <rv s="2">
    <v>0</v>
    <v>1</v>
    <v>ELECTRONIC ARTS INC. (XNAS:EA)</v>
    <v>3</v>
    <v>4</v>
    <v>Finance</v>
    <v>5</v>
    <v>fr-FR</v>
    <v>a1rjec</v>
    <v>268435456</v>
    <v>1</v>
    <v>Avec Refinitiv</v>
    <v>XNAS</v>
    <v>260617600</v>
    <v>1991</v>
    <v>143.03</v>
    <v>115.21</v>
    <v>0.77900000000000003</v>
    <v>37474204704</v>
    <v>Nasdaq Stock Market</v>
    <v>144.25</v>
    <v>EA</v>
    <v>45747.603609455466</v>
    <v>Electronic Arts Inc. est une société de divertissement interactif numérique. La Société développe, commercialise, publie et fournit des jeux, du contenu et des services auxquels les consommateurs peuvent jouer sur une gamme de plates-formes, notamment des consoles de jeux, des ordinateurs personnels (PC), des téléphones mobiles et des tablettes. Son portefeuille comprend des marques qu'il détient à 100%, telles que Apex Legends, Battlefield et Les Sims, ou des licences d'autres, telles que Madden NFL, Star Wars et les plus de 300 licences de son écosystème de football mondial. La société développe et publie des jeux et des services dans divers genres, tels que le sport, la course, le jeu de tir à la première personne, l'action, le jeu de rôle et la simulation. La Société commercialise et vend ses jeux et services par l'intermédiaire de canaux de vente au détail et de canaux de distribution numériques. La Société propose également des services en direct, notamment du contenu, des offres d'abonnement et la vente de ses jeux de base et de ses jeux gratuits.</v>
    <v>USD</v>
    <v>13700</v>
    <v>XNAS</v>
    <v>144.63</v>
    <v>168.5</v>
    <v>Software &amp; IT Services</v>
    <v>327</v>
    <v>-3.189E-3</v>
    <v>-0.46</v>
    <v>ELECTRONIC ARTS INC.</v>
    <v>ELECTRONIC ARTS INC.</v>
    <v>144.12</v>
    <v>36.57</v>
    <v>143.79</v>
    <v>209 Redwood Shores Pkwy, REDWOOD CITY, CA, 94065 US</v>
    <v>Bourse</v>
    <v>ELECTRONIC ARTS INC. (XNAS:EA)</v>
    <v>595853</v>
    <v>4088681</v>
  </rv>
  <rv s="3">
    <v>328</v>
  </rv>
  <rv s="1">
    <v>https://www.bing.com/financeapi/forcetrigger?t=a1wyu2&amp;q=XNYS%3aLLY&amp;form=skydnc</v>
    <v>Learn more on Bing</v>
  </rv>
  <rv s="2">
    <v>0</v>
    <v>1</v>
    <v>ELI LILLY AND COMPANY (XNYS:LLY)</v>
    <v>3</v>
    <v>4</v>
    <v>Finance</v>
    <v>5</v>
    <v>fr-FR</v>
    <v>a1wyu2</v>
    <v>268435456</v>
    <v>1</v>
    <v>Avec Refinitiv</v>
    <v>XNYS</v>
    <v>947989100</v>
    <v>1901</v>
    <v>789.4</v>
    <v>711.40009999999995</v>
    <v>0.50780000000000003</v>
    <v>760856146458</v>
    <v>New York Stock Exchange</v>
    <v>822.51</v>
    <v>LLY</v>
    <v>45747.603600046095</v>
    <v>Eli Lilly and Company est engagée dans des activités de fabrication de médicaments. La Société découvre, développe, fabrique et commercialise des produits dans le segment des produits pharmaceutiques à usage humain. Son diabète, l'obésité et d'autres produits cardiométaboliques comprennent Basaglar, Humalog, Humulin, Jardiance, Mounjaro, Trulicity et Zepbound. Ses produits oncologiques incluent Alimta, Cyramza, Erbitux, Jaypirca, Retevmo, Tyvyt et Verzenio. Ses produits immunologiques comprennent Ebglyss, Olumiant, Omvoh et Taltz. Ses produits en neurosciences incluent Cymbalta et Emgality. Ses autres produits et thérapies comprennent Cialis et Forteo. La Société fabrique et distribue ses produits par l'intermédiaire d'installations situées aux États-Unis (É.-U.), y compris à Porto Rico, ainsi qu'en Europe et en Asie. La Société, par l'intermédiaire de sa filiale POINT Biopharma Global Inc, est engagée dans la découverte, le développement et la fabrication de produits radiopharmaceutiques, ainsi que dans le développement de radioligands cliniques et précliniques pour le traitement du cancer.</v>
    <v>USD</v>
    <v>47000</v>
    <v>XNYS</v>
    <v>810.8</v>
    <v>972.53</v>
    <v>Pharmaceuticals</v>
    <v>330</v>
    <v>-2.4205999999999998E-2</v>
    <v>-19.9099</v>
    <v>ELI LILLY AND COMPANY</v>
    <v>ELI LILLY AND COMPANY</v>
    <v>808.95500000000004</v>
    <v>70.117099999999994</v>
    <v>802.6001</v>
    <v>Lilly Corporate Ctr, Drop Code 1094, INDIANAPOLIS, IN, 46285 US</v>
    <v>Bourse</v>
    <v>ELI LILLY AND COMPANY (XNYS:LLY)</v>
    <v>660829</v>
    <v>3517338</v>
  </rv>
  <rv s="3">
    <v>331</v>
  </rv>
  <rv s="1">
    <v>https://www.bing.com/financeapi/forcetrigger?t=aaq3a2&amp;q=XBRU%3aELI&amp;form=skydnc</v>
    <v>Learn more on Bing</v>
  </rv>
  <rv s="2">
    <v>0</v>
    <v>1</v>
    <v>ELIA GROUP SA (XBRU:ELI)</v>
    <v>3</v>
    <v>8</v>
    <v>Finance</v>
    <v>7</v>
    <v>fr-FR</v>
    <v>aaq3a2</v>
    <v>268435456</v>
    <v>1</v>
    <v>Avec Refinitiv</v>
    <v>XBRU</v>
    <v>109072600</v>
    <v>2001</v>
    <v>80.25</v>
    <v>57.17</v>
    <v>0.81110000000000004</v>
    <v>8916686000</v>
    <v>Euronext Brussels</v>
    <v>81.75</v>
    <v>ELI</v>
    <v>45747.593206018515</v>
    <v>Elia Group SA, anciennement Elia System Operator SA, est un gestionnaire de réseau de transport d'électricité à haute tension basé en Belgique. La Société transporte de l'électricité sur son réseau haute tension depuis des générateurs jusqu'aux grands consommateurs industriels ainsi qu'aux distributeurs, qui alimentent à leur tour les ménages et les entreprises belges. Il est attribué par le gestionnaire du réseau de transport d'électricité belge sous des licences délivrées par le gouvernement fédéral et les gouvernements régionaux. Ses formes de grille sont la connexion entre la France et les marchés d'Europe du Nord. La Société opère à travers de nombreuses filiales et entités affiliées en Belgique, en Allemagne, au Luxembourg, aux Pays-Bas et en France, entre autres. Il est actif via Elia Grid International.</v>
    <v>EUR</v>
    <v>4020</v>
    <v>XBRU</v>
    <v>81.900000000000006</v>
    <v>101.18</v>
    <v>Electrical Utilities &amp; IPPs</v>
    <v>333</v>
    <v>-7.339E-3</v>
    <v>-0.6</v>
    <v>ELIA GROUP SA</v>
    <v>ELIA GROUP SA</v>
    <v>81.75</v>
    <v>15.8948</v>
    <v>81.150000000000006</v>
    <v>boulevard de l'Empereur 20, BRUXELLES, BRUXELLES-CAPITALE, 1000 BE</v>
    <v>Bourse</v>
    <v>ELIA GROUP SA (XBRU:ELI)</v>
    <v>49579</v>
    <v>183810</v>
  </rv>
  <rv s="3">
    <v>334</v>
  </rv>
  <rv s="1">
    <v>https://www.bing.com/financeapi/forcetrigger?t=ae8ha2&amp;q=XPAR%3aELIOR&amp;form=skydnc</v>
    <v>Learn more on Bing</v>
  </rv>
  <rv s="9">
    <v>25</v>
    <v>26</v>
    <v>ELIOR GROUP SA (XPAR:ELIOR)</v>
    <v>3</v>
    <v>27</v>
    <v>Finance</v>
    <v>7</v>
    <v>fr-FR</v>
    <v>ae8ha2</v>
    <v>268435456</v>
    <v>1</v>
    <v>Avec Refinitiv</v>
    <v>XPAR</v>
    <v>253611800</v>
    <v>1996</v>
    <v>2.492</v>
    <v>2.14</v>
    <v>2.2280000000000002</v>
    <v>652796800</v>
    <v>Euronext Paris</v>
    <v>2.5739999999999998</v>
    <v>ELIOR</v>
    <v>45747.593136574076</v>
    <v>Elior Group SA est une société basée en France, opérant en tant qu'opérateur dans le secteur des services de restauration et de soutien. La Société couvre un certain nombre de secteurs dans les domaines des affaires, de l’éducation, ainsi que de la santé, entre autres. Le modèle du groupe Elior repose sur trois activités principales : restauration collective, restauration en concession et services d'assistance. Les activités s'organisent autour de deux marques commerciales principales: Elior, qui regroupe des offres de restauration dédiées aux professionnels et aux entreprises, et Elior Services, qui englobe des solutions de nettoyage destinées notamment aux établissements de santé et aux environnements industriels sensibles, ainsi que des services de gestion d’installations.</v>
    <v>EUR</v>
    <v>133156</v>
    <v>XPAR</v>
    <v>2.552</v>
    <v>4.4800000000000004</v>
    <v>Hotels &amp; Entertainment Services</v>
    <v>336</v>
    <v>-1.9424999999999998E-2</v>
    <v>-0.05</v>
    <v>ELIOR GROUP SA</v>
    <v>ELIOR GROUP SA</v>
    <v>2.552</v>
    <v>2.524</v>
    <v>Tour Egee - 11, allee de l'Arche, Paris La Defense Cedex, PARIS, ILE-DE-FRANCE, 92032 FR</v>
    <v>Bourse</v>
    <v>ELIOR GROUP SA (XPAR:ELIOR)</v>
    <v>932466</v>
    <v>1370750</v>
  </rv>
  <rv s="3">
    <v>337</v>
  </rv>
  <rv s="1">
    <v>https://www.bing.com/financeapi/forcetrigger?t=ae8hcw&amp;q=XPAR%3aELIS&amp;form=skydnc</v>
    <v>Learn more on Bing</v>
  </rv>
  <rv s="2">
    <v>0</v>
    <v>1</v>
    <v>ELIS SA (XPAR:ELIS)</v>
    <v>3</v>
    <v>8</v>
    <v>Finance</v>
    <v>7</v>
    <v>fr-FR</v>
    <v>ae8hcw</v>
    <v>268435456</v>
    <v>1</v>
    <v>Avec Refinitiv</v>
    <v>XPAR</v>
    <v>236664400</v>
    <v>2007</v>
    <v>20.399999999999999</v>
    <v>17.64</v>
    <v>1.6144000000000001</v>
    <v>4946287000</v>
    <v>Euronext Paris</v>
    <v>20.9</v>
    <v>ELIS</v>
    <v>45747.592789351853</v>
    <v>Elis sa est une entreprise française qui propose de nombreux services dans les domaines de la propreté, de l'image, de l'hygiène et du bien-être. La Société propose la location et l'entretien de linge plat, de vêtements professionnels, ainsi que des appareils d'hygiène et des services de bien-être. Ses services de linge de maison comprennent : tabliers, torchons et serviettes de verre ; linge de maison pour hôtels et restaurants ; linge de maison pour salons de beauté et spas, installations de coiffure et de fitness, ainsi que linge pour établissements de soins de santé. Elle offre ses services de vêtements à : hôtels, restaurants et réceptions et salons de beauté et spas, entre autres. Il propose également des accessoires et consommables pour les opérateurs de salle blanche. Elle fournit des solutions sanitaires pour le lavage des mains et les distributeurs de papier toilette, entre autres. Elle dessert les secteurs de l'hôtellerie, de la restauration, de la santé, de l'industrie, du commerce de détail et des services, grâce à son réseau et ses centres de distribution en Europe et en Amérique du Sud. Elle opère par l'intermédiaire de Lavebras et Berendsen plc.</v>
    <v>EUR</v>
    <v>56757</v>
    <v>XPAR</v>
    <v>20.7</v>
    <v>23.58</v>
    <v>Professional &amp; Commercial Services</v>
    <v>339</v>
    <v>-1.6268000000000001E-2</v>
    <v>-0.34</v>
    <v>ELIS SA</v>
    <v>ELIS SA</v>
    <v>20.68</v>
    <v>14.3306</v>
    <v>20.56</v>
    <v>5 Boulevard Louis Loucheur, SAINT-CLOUD, ILE-DE-FRANCE, 92210 FR</v>
    <v>Bourse</v>
    <v>ELIS SA (XPAR:ELIS)</v>
    <v>67131</v>
    <v>332540</v>
  </rv>
  <rv s="3">
    <v>340</v>
  </rv>
  <rv s="1">
    <v>https://www.bing.com/financeapi/forcetrigger?t=ae8j2w&amp;q=XPAR%3aENGI&amp;form=skydnc</v>
    <v>Learn more on Bing</v>
  </rv>
  <rv s="2">
    <v>0</v>
    <v>1</v>
    <v>ENGIE SA (XPAR:ENGI)</v>
    <v>3</v>
    <v>8</v>
    <v>Finance</v>
    <v>7</v>
    <v>fr-FR</v>
    <v>ae8j2w</v>
    <v>268435456</v>
    <v>1</v>
    <v>Avec Refinitiv</v>
    <v>XPAR</v>
    <v>2435285000</v>
    <v>1986</v>
    <v>17.934999999999999</v>
    <v>13.07</v>
    <v>0.74029999999999996</v>
    <v>43981250000</v>
    <v>Euronext Paris</v>
    <v>18.059999999999999</v>
    <v>ENGI</v>
    <v>45747.593229166669</v>
    <v>ENGIE sa est un groupe mondial d'énergie et de services basé en France. Elle opère dans les secteurs d'activité suivants : infrastructures, énergies renouvelables, solutions énergétiques, FlexGen et commerce de détail, nucléaire et autres. La Société développe des solutions intégrées pour accompagner les entreprises et les collectivités locales dans la transition zéro carbone. Elle intervient dans la chaîne de valeur du gaz et de l'électricité (hydrogène, gaz naturel et biogaz) en amont de l'approvisionnement des clients. Les énergies renouvelables couvrent à la fois la production et la commercialisation de l'électricité produite à partir de toutes les sources d'énergie renouvelables. La Société produit et commercialise de l'électricité à partir d'autres sources d'énergie, comme le gaz et le charbon. Il comprend également approvisionnement qui combine les activités d'achats-vente en gros et les activités d'affaires aux clients solutions client et nucléaire, dédié aux activités nucléaires.</v>
    <v>EUR</v>
    <v>98000</v>
    <v>XPAR</v>
    <v>18.155000000000001</v>
    <v>18.155000000000001</v>
    <v>Multiline Utilities</v>
    <v>342</v>
    <v>-2.7689999999999998E-3</v>
    <v>-0.05</v>
    <v>ENGIE SA</v>
    <v>ENGIE SA</v>
    <v>18.094999999999999</v>
    <v>10.8612</v>
    <v>18.010000000000002</v>
    <v>our T1 - 1 place Samuel de Champlain, Faubourg de l Arche, Paris La Defense cedex, PARIS, ILE-DE-FRANCE, 92930 FR</v>
    <v>Bourse</v>
    <v>ENGIE SA (XPAR:ENGI)</v>
    <v>1748747</v>
    <v>6441080</v>
  </rv>
  <rv s="3">
    <v>343</v>
  </rv>
  <rv s="1">
    <v>https://www.bing.com/financeapi/forcetrigger?t=brkdoc&amp;q=XSTO%3aEQT&amp;form=skydnc</v>
    <v>Learn more on Bing</v>
  </rv>
  <rv s="11">
    <v>32</v>
    <v>33</v>
    <v>EQT AB (XSTO:EQT)</v>
    <v>3</v>
    <v>37</v>
    <v>Finance</v>
    <v>38</v>
    <v>fr-FR</v>
    <v>brkdoc</v>
    <v>268435456</v>
    <v>1</v>
    <v>Avec Refinitiv</v>
    <v>XSTO</v>
    <v>1241125000</v>
    <v>2011</v>
    <v>299.5</v>
    <v>2.008</v>
    <v>388787600000</v>
    <v>NASDAQ Stockholm</v>
    <v>312.2</v>
    <v>EQT</v>
    <v>45747.593055555553</v>
    <v>EQT AB est une société d'investissement mondiale différenciée basée en Suède. La Société gère et conseille une gamme de fonds d'investissement spécialisés et d'autres véhicules d'investissement qui investissent à travers le monde. Il comprend trois segments d'activité: Private Capital, Real Assets et Credit. Le secteur d'activité Private Capital investit dans des entreprises de taille moyenne à grande en Europe et aux États-Unis, en Chine et en Asie du Sud-Est, des entreprises axées sur la technologie dans tous les secteurs et des entreprises publiques. Le segment d'activité Real Assets investit dans les infrastructures et les activités immobilières. Credit offrent une plateforme d'investissement.</v>
    <v>SEK</v>
    <v>1941</v>
    <v>XSTO</v>
    <v>309.3</v>
    <v>Investment Banking &amp; Investment Services</v>
    <v>345</v>
    <v>-2.3702999999999998E-2</v>
    <v>-7.4</v>
    <v>EQT AB</v>
    <v>EQT AB</v>
    <v>307.89999999999998</v>
    <v>41.58</v>
    <v>304.8</v>
    <v>Regeringsgatan 25, STOCKHOLM, STOCKHOLM, 111 53 SE</v>
    <v>Bourse</v>
    <v>EQT AB (XSTO:EQT)</v>
    <v>608261</v>
    <v>910460</v>
  </rv>
  <rv s="3">
    <v>346</v>
  </rv>
  <rv s="1">
    <v>https://www.bing.com/financeapi/forcetrigger?t=ae8jyc&amp;q=XPAR%3aERA&amp;form=skydnc</v>
    <v>Learn more on Bing</v>
  </rv>
  <rv s="2">
    <v>0</v>
    <v>1</v>
    <v>ERAMET SA (XPAR:ERA)</v>
    <v>3</v>
    <v>8</v>
    <v>Finance</v>
    <v>7</v>
    <v>fr-FR</v>
    <v>ae8jyc</v>
    <v>268435456</v>
    <v>1</v>
    <v>Avec Refinitiv</v>
    <v>XPAR</v>
    <v>28755050</v>
    <v>1963</v>
    <v>49.6</v>
    <v>48.06</v>
    <v>1.5624</v>
    <v>1498138000</v>
    <v>Euronext Paris</v>
    <v>52.1</v>
    <v>ERA</v>
    <v>45747.593217592592</v>
    <v>ERAMET S.A. est une société métallurgique et minière intégrée basée en France. Les activités de la Société sont réparties sur trois pôles d'activités : Le pôle Nickel, qui se consacre à la production de minerai de nickel en Nouvelle-Calédonie (exploitation minière), le traitement de minerai pour produire le ferro-nickel, le nickel de haute pureté, la production de dérivés chimiques du nickel et la fabrication de carbure de tungstène et de poudres de cobalt ; le pôle Manganèse, qui se consacre à la production de minerai de manganèse et le frittage, le traitement de minerai pour produire des alliages de manganèse, la production de chrome de haute pureté et des durcisseurs pour la production d'aluminium, la collecte et le recyclage des catalyseurs utilisés par les raffineries de pétrole, l'extraction et la valorisation du métal ; et le pôle Alliages, qui se consacre à la production de pièces forgées en matrice fermée en titane, aluminium, aciers et alliages à base de nickel sur presses de grande puissance, la production d'aciers rapides, d'aciers spéciaux de hautes performances, d'alliages à base de nickel et d'aciers à outils, entre autres.</v>
    <v>EUR</v>
    <v>8993</v>
    <v>XPAR</v>
    <v>51.4</v>
    <v>114.5</v>
    <v>Metals &amp; Mining</v>
    <v>348</v>
    <v>-3.7427999999999996E-2</v>
    <v>-1.95</v>
    <v>ERAMET SA</v>
    <v>ERAMET SA</v>
    <v>51.4</v>
    <v>104.2</v>
    <v>50.15</v>
    <v>10, Boulevard de Grenelle, Cs 63205, PARIS, ILE-DE-FRANCE, 75015 FR</v>
    <v>Bourse</v>
    <v>ERAMET SA (XPAR:ERA)</v>
    <v>79699</v>
    <v>67520</v>
  </rv>
  <rv s="3">
    <v>349</v>
  </rv>
  <rv s="1">
    <v>https://www.bing.com/financeapi/forcetrigger?t=ae8krw&amp;q=XPAR%3aESI&amp;form=skydnc</v>
    <v>Learn more on Bing</v>
  </rv>
  <rv s="8">
    <v>19</v>
    <v>20</v>
    <v>ESI Group SA (XPAR:ESI)</v>
    <v>3</v>
    <v>21</v>
    <v>Finance</v>
    <v>7</v>
    <v>fr-FR</v>
    <v>ae8krw</v>
    <v>268435456</v>
    <v>1</v>
    <v>1</v>
    <v>Avec Refinitiv</v>
    <v>XPAR</v>
    <v>6094430</v>
    <v>1991</v>
    <v>154</v>
    <v>72.8</v>
    <v>0.49080000000000001</v>
    <v>941589600</v>
    <v>Euronext Paris</v>
    <v>154.5</v>
    <v>ESI</v>
    <v>45299.708333333336</v>
    <v>ESI Group SA is a France-based technology company. The Company specializes in the design, development and marketing of software packages designed for performing virtual testing (digital simulations for prototypes, manufacturing processes and product behavior). It offers services such as, sales of licenses and maintenance, provision of services, engineering, consulting, training services, among others. The Company provides virtual prototyping software for scientific, engineering, construction, automotive and land transportation, aerospace, defense, naval and heavy industry for consumers and workers, adaptable and business models. Its software evaluates the performance of proposed designs in the early phases of the project with the goal of identifying and eliminating design flaws. It is present in more than 18 countries around the world. The Company ESI Group SA is the subsidiary of Keysight Technologies Inc.</v>
    <v>EUR</v>
    <v>985</v>
    <v>XPAR</v>
    <v>155</v>
    <v>155</v>
    <v>Software &amp; IT Services</v>
    <v>351</v>
    <v>0</v>
    <v>0</v>
    <v>ESI Group SA</v>
    <v>ESI Group SA</v>
    <v>154.5</v>
    <v>69.058300000000003</v>
    <v>154</v>
    <v>3 bis rue Saarinen, Immeuble le Seville, Rungis Cedex, RUNGIS, ILE-DE-FRANCE, 94528 FR</v>
    <v>Bourse</v>
    <v>ESI Group SA (XPAR:ESI)</v>
    <v>402</v>
  </rv>
  <rv s="3">
    <v>352</v>
  </rv>
  <rv s="1">
    <v>https://www.bing.com/financeapi/forcetrigger?t=ae8gm7&amp;q=XPAR%3aEL&amp;form=skydnc</v>
    <v>Learn more on Bing</v>
  </rv>
  <rv s="2">
    <v>0</v>
    <v>1</v>
    <v>ESSILORLUXOTTICA SA (XPAR:EL)</v>
    <v>3</v>
    <v>8</v>
    <v>Finance</v>
    <v>7</v>
    <v>fr-FR</v>
    <v>ae8gm7</v>
    <v>268435456</v>
    <v>1</v>
    <v>Avec Refinitiv</v>
    <v>XPAR</v>
    <v>457507200</v>
    <v>1993</v>
    <v>262.7</v>
    <v>188.25</v>
    <v>0.87739999999999996</v>
    <v>121971400000</v>
    <v>Euronext Paris</v>
    <v>266.60000000000002</v>
    <v>EL</v>
    <v>45747.593206018515</v>
    <v>EssilorLuxottica sa est une société ophtalmique basée en France. La Société conçoit, distribue, fabrique et commercialise une gamme de verres, montures et lunettes de soleil pour améliorer et protéger la vue. Elle développe et commercialise également des équipements pour laboratoires et instruments de prescription, ainsi que des services pour les professionnels de la vue. Elle opère sur trois segments : les lentilles et les instruments optiques, qui comprennent les lentilles correctrices, les instruments optiques destinés aux opticiens et aux optométristes ; les équipements, qui comprennent les machines et consommables utilisés par les usines et les laboratoires de prescription ; et les lunettes de soleil et lecteurs, qui comprennent les lunettes de lecture et les lunettes de soleil sans prescription. Les actifs d'EssilorLuxottica comprennent des marques reconnues, telles que Ray-Ban et Oakley pour les lunettes, Varilux et transitions pour les technologies optiques ophtalmiques, et Sunglass Hut et Lenscrafters pour les réseaux de distribution internationaux.</v>
    <v>EUR</v>
    <v>196754</v>
    <v>XPAR</v>
    <v>268</v>
    <v>298</v>
    <v>Healthcare Equipment &amp; Supplies</v>
    <v>354</v>
    <v>-5.2510000000000005E-3</v>
    <v>-1.4</v>
    <v>ESSILORLUXOTTICA SA</v>
    <v>ESSILORLUXOTTICA SA</v>
    <v>265.60000000000002</v>
    <v>51.266300000000001</v>
    <v>265.2</v>
    <v>1-6 rue Paul Cezanne, PARIS, ILE-DE-FRANCE, 75008 FR</v>
    <v>Bourse</v>
    <v>ESSILORLUXOTTICA SA (XPAR:EL)</v>
    <v>225882</v>
    <v>622020</v>
  </rv>
  <rv s="3">
    <v>355</v>
  </rv>
  <rv s="1">
    <v>https://www.bing.com/financeapi/forcetrigger?t=aaq2ar&amp;q=XBRU%3aCOLR&amp;form=skydnc</v>
    <v>Learn more on Bing</v>
  </rv>
  <rv s="2">
    <v>0</v>
    <v>1</v>
    <v>Colruyt Group NV (XBRU:COLR)</v>
    <v>3</v>
    <v>8</v>
    <v>Finance</v>
    <v>7</v>
    <v>fr-FR</v>
    <v>aaq2ar</v>
    <v>268435456</v>
    <v>1</v>
    <v>Avec Refinitiv</v>
    <v>XBRU</v>
    <v>124497900</v>
    <v>1950</v>
    <v>37.700000000000003</v>
    <v>34.5</v>
    <v>0.2031</v>
    <v>4715979000</v>
    <v>Euronext Brussels</v>
    <v>37.880000000000003</v>
    <v>COLR</v>
    <v>45747.593090277776</v>
    <v>Colruyt Group NV, anciennement Etablissementen Franz Colruyt NV est une société belge spécialisée dans la vente au détail et la vente en gros de produits alimentaires. La division commerce de détail de la Société comprend la fourniture directe de produits aux clients de détail opérant par l'intermédiaire des marques Colruyt, DreamBaby, bio-Planet, Dreamland et ColliShop, entre autres. Elle dispose d'un portefeuille de formats alimentaires et non alimentaires, en Belgique, en France et au Luxembourg. La Société possède également une division des activités corporatives, qui combine les services de soutien, les processus et les systèmes et l'administration centrale, entre autres.</v>
    <v>EUR</v>
    <v>32837</v>
    <v>XBRU</v>
    <v>38.42</v>
    <v>48.16</v>
    <v>Food &amp; Drug Retailing</v>
    <v>357</v>
    <v>1.2143999999999999E-2</v>
    <v>0.46</v>
    <v>Colruyt Group NV</v>
    <v>Colruyt Group NV</v>
    <v>37.700000000000003</v>
    <v>12.9824</v>
    <v>38.340000000000003</v>
    <v>Wilgenveld Edingensesteenweg 196, HALLE (HAL), VLAAMS-BRABANT, 1500 BE</v>
    <v>Bourse</v>
    <v>Colruyt Group NV (XBRU:COLR)</v>
    <v>23931</v>
    <v>95420</v>
  </rv>
  <rv s="3">
    <v>358</v>
  </rv>
  <rv s="1">
    <v>https://www.bing.com/financeapi/forcetrigger?t=ae9w5r&amp;q=XPAR%3aRF&amp;form=skydnc</v>
    <v>Learn more on Bing</v>
  </rv>
  <rv s="2">
    <v>0</v>
    <v>1</v>
    <v>EURAZEO SE (XPAR:RF)</v>
    <v>3</v>
    <v>8</v>
    <v>Finance</v>
    <v>7</v>
    <v>fr-FR</v>
    <v>ae9w5r</v>
    <v>268435456</v>
    <v>1</v>
    <v>Avec Refinitiv</v>
    <v>XPAR</v>
    <v>73085760</v>
    <v>1969</v>
    <v>67.599999999999994</v>
    <v>63.95</v>
    <v>1.37</v>
    <v>5192743000</v>
    <v>Euronext Paris</v>
    <v>71.05</v>
    <v>RF</v>
    <v>45747.593084536718</v>
    <v>Eurazeo SE est une société d'investissement basée en France. La Société opère à travers plusieurs divisions d'investissement : Eurazeo Capital avec des investissements dans Iberchem, Albingia et Europcar Mobility Group ; Eurazeo PME ; Eurazeo Growth avec des investissements dans Doctolib et PayFit ; Eurazeo Brands avec des investissements dans les biens de consommation et la distribution, notamment dans la beauté avec Pat McGrath Labs, la mode avec Bandier, la maison avec Herschel Supply, les loisirs, le bien-être, ou les entreprises alimentaires avec Q Mixers ; Eurazeo Patrimoine avec des investissements dans l'immobilier et les infrastructures. Elle possède un portefeuille diversifié de plus de 35 milliards d'euros d'actifs sous gestion dans tous les secteurs d'activité, dont environ 24,2 milliards d'euros provenant de tiers, investis dans plus de 600 entreprises de taille moyenne. La Société est présente dans 12 bureaux en Europe, en Asie et aux États-Unis. Son approche de la création de valeur repose sur une croissance durable.</v>
    <v>EUR</v>
    <v>445</v>
    <v>XPAR</v>
    <v>70.400000000000006</v>
    <v>86.75</v>
    <v>Investment Banking &amp; Investment Services</v>
    <v>360</v>
    <v>-3.8704999999999996E-2</v>
    <v>-2.75</v>
    <v>EURAZEO SE</v>
    <v>EURAZEO SE</v>
    <v>70.400000000000006</v>
    <v>0</v>
    <v>68.3</v>
    <v>1 Rue Georges Berger, PARIS, ILE-DE-FRANCE, 75017 FR</v>
    <v>Bourse</v>
    <v>EURAZEO SE (XPAR:RF)</v>
    <v>48022</v>
    <v>152170</v>
  </rv>
  <rv s="3">
    <v>361</v>
  </rv>
  <rv s="1">
    <v>https://www.bing.com/financeapi/forcetrigger?t=ae8k27&amp;q=XPAR%3aERF&amp;form=skydnc</v>
    <v>Learn more on Bing</v>
  </rv>
  <rv s="2">
    <v>0</v>
    <v>1</v>
    <v>EUROFINS SCIENTIFIC SE (XPAR:ERF)</v>
    <v>3</v>
    <v>8</v>
    <v>Finance</v>
    <v>7</v>
    <v>fr-FR</v>
    <v>ae8k27</v>
    <v>268435456</v>
    <v>1</v>
    <v>Avec Refinitiv</v>
    <v>XPAR</v>
    <v>192981200</v>
    <v>2012</v>
    <v>48.74</v>
    <v>39.47</v>
    <v>0.58030000000000004</v>
    <v>9631690000</v>
    <v>Euronext Paris</v>
    <v>49.91</v>
    <v>ERF</v>
    <v>45747.593206018515</v>
    <v>Eurofins Scientific SE est une société luxembourgeoise active dans le secteur des services de soutien aux entreprises. La société fait partie d'un groupe international de laboratoires fournissant une gamme de services d'essais analytiques aux industries pharmaceutiques, alimentaires, environnementales et des produits de consommation ainsi qu'aux gouvernements. Elle opère par l'intermédiaire de plusieurs filiales, telles que VRL Laboratories aux États-Unis, Institut Nehring GmbH en Allemagne, Agfirst Bay of Plenty, un laboratoire d'essai de maturité des fruits en Nouvelle-Zélande et Megalab SA, un laboratoire de diagnostic clinique en Espagne.</v>
    <v>EUR</v>
    <v>62696</v>
    <v>XPAR</v>
    <v>49.98</v>
    <v>62.1</v>
    <v>Healthcare Providers &amp; Services</v>
    <v>363</v>
    <v>-1.0819E-2</v>
    <v>-0.54</v>
    <v>EUROFINS SCIENTIFIC SE</v>
    <v>EUROFINS SCIENTIFIC SE</v>
    <v>49.5</v>
    <v>26.985700000000001</v>
    <v>49.37</v>
    <v>23 val Fleuri, LUXEMBOURG, 1526 LU</v>
    <v>Bourse</v>
    <v>EUROFINS SCIENTIFIC SE (XPAR:ERF)</v>
    <v>153271</v>
    <v>468360</v>
  </rv>
  <rv s="3">
    <v>364</v>
  </rv>
  <rv s="1">
    <v>https://www.bing.com/financeapi/forcetrigger?t=ae8j5r&amp;q=XPAR%3aENX&amp;form=skydnc</v>
    <v>Learn more on Bing</v>
  </rv>
  <rv s="2">
    <v>0</v>
    <v>1</v>
    <v>Euronext NV (XPAR:ENX)</v>
    <v>3</v>
    <v>8</v>
    <v>Finance</v>
    <v>7</v>
    <v>fr-FR</v>
    <v>ae8j5r</v>
    <v>268435456</v>
    <v>1</v>
    <v>Avec Refinitiv</v>
    <v>XPAR</v>
    <v>104235500</v>
    <v>2014</v>
    <v>131.6</v>
    <v>82.85</v>
    <v>0.57920000000000005</v>
    <v>13800780000</v>
    <v>Euronext Paris</v>
    <v>132.4</v>
    <v>ENX</v>
    <v>45747.593171296299</v>
    <v>Euronext NV est une société basée aux Pays-Bas qui est la société mère du groupe d’échange paneuropéen Euronext. Euronext propose une gamme diversifiée de produits et services, combinant les marchés actions, titres à revenu fixe et dérivés à Amsterdam, Bruxelles, Dublin, Lisbonne, Londres et Paris. Les activités de la Société comprennent la cotation, le cash trading, le trading sur dérivés, les données et indices de marché, les solutions post-trade et de marché, entre autres. Les marchés réglementés d’Euronext constituent une plate-forme de cotation pour les entreprises qui souhaitent lever des capitaux et entrer dans la zone euro. Il fournit une plate-forme de négociation électronique, qui permet aux investisseurs de passer des ordres directement avec la bourse. La société vend des données en temps réel, historiques et de référence générées par l’activité sur les marchés Euronext. Il calcule et publie également un portefeuille de plus de 500 indices de référence, dont l’indice AEX-Index et l’indice CAC 40. La Société offre des solutions et des services technologiques aux opérateurs d’échanges et de marchés.</v>
    <v>EUR</v>
    <v>2297</v>
    <v>XPAR</v>
    <v>133.4</v>
    <v>133.4</v>
    <v>Investment Banking &amp; Investment Services</v>
    <v>366</v>
    <v>4.5319999999999996E-3</v>
    <v>0.6</v>
    <v>Euronext NV</v>
    <v>Euronext NV</v>
    <v>132</v>
    <v>23.418299999999999</v>
    <v>133</v>
    <v>Beursplein 5, AMSTERDAM, NOORD-HOLLAND, 1012 JW NL</v>
    <v>Bourse</v>
    <v>Euronext NV (XPAR:ENX)</v>
    <v>86899</v>
    <v>241880</v>
  </rv>
  <rv s="3">
    <v>367</v>
  </rv>
  <rv s="1">
    <v>https://www.bing.com/financeapi/forcetrigger?t=ae8mc7&amp;q=XPAR%3aEUCAR&amp;form=skydnc</v>
    <v>Learn more on Bing</v>
  </rv>
  <rv s="10">
    <v>0</v>
    <v>29</v>
    <v>Europcar Mobility Group SA (XPAR:EUCAR)</v>
    <v>3</v>
    <v>8</v>
    <v>Finance</v>
    <v>7</v>
    <v>fr-FR</v>
    <v>ae8mc7</v>
    <v>268435456</v>
    <v>1</v>
    <v>1</v>
    <v>Avec Refinitiv</v>
    <v>XPAR</v>
    <v>5015640000</v>
    <v>2006</v>
    <v>0.50600000000000001</v>
    <v>0.41</v>
    <v>2.1120999999999999</v>
    <v>2552961000</v>
    <v>Euronext Paris</v>
    <v>0.50639999999999996</v>
    <v>EUCAR</v>
    <v>44743.666666666664</v>
    <v>Europcar Mobility Group SA, formerly known as Europcar Groupe SA, is a France-based company that specializes in the car rental business. The Company is active in over 100 countries through its own operations, franchisees and partnerships. The Company's main markets are Germany, the United Kingdom, France, Italy, Spain, Australia and New Zealand, Portugal, Belgium, Germany and Austria. Its car rental services are aimed at business customers, as well as leisure customers. The Company also has partnerships with EasyJet, Accor, AAdvantage (American Airlines' travel awards program), Delta, American Express Company and Taxeo, a FinTech startup. In addition, through Bluemove, it offers carsharing services through a mobile application. It operates through Brunel, a London-based ride-hailing business and GuidaMi by Ubeeqo and Buchbinder Group.</v>
    <v>EUR</v>
    <v>7876</v>
    <v>XPAR</v>
    <v>0.50900000000000001</v>
    <v>0.53</v>
    <v>Passenger Transportation Services</v>
    <v>369</v>
    <v>0</v>
    <v>0</v>
    <v>Europcar Mobility Group SA</v>
    <v>Europcar Mobility Group SA</v>
    <v>0.50600000000000001</v>
    <v>25.707100000000001</v>
    <v>0.50900000000000001</v>
    <v>13 ter Boulevard Berthier, PARIS, ILE-DE-FRANCE, 75017 FR</v>
    <v>Bourse</v>
    <v>Europcar Mobility Group SA (XPAR:EUCAR)</v>
    <v>292010</v>
    <v>1768360</v>
  </rv>
  <rv s="3">
    <v>370</v>
  </rv>
  <rv s="1">
    <v>https://www.bing.com/financeapi/forcetrigger?t=ae8lzr&amp;q=XPAR%3aETL&amp;form=skydnc</v>
    <v>Learn more on Bing</v>
  </rv>
  <rv s="2">
    <v>0</v>
    <v>1</v>
    <v>EUTELSAT COMMUNICATIONS SA (XPAR:ETL)</v>
    <v>3</v>
    <v>8</v>
    <v>Finance</v>
    <v>7</v>
    <v>fr-FR</v>
    <v>ae8lzr</v>
    <v>268435456</v>
    <v>1</v>
    <v>Avec Refinitiv</v>
    <v>XPAR</v>
    <v>475178400</v>
    <v>2005</v>
    <v>3.9159999999999999</v>
    <v>1.1499999999999999</v>
    <v>-0.38919999999999999</v>
    <v>1932075000</v>
    <v>Euronext Paris</v>
    <v>4.0659999999999998</v>
    <v>ETL</v>
    <v>45747.592974537038</v>
    <v>Eutelsat Communications sa est un opérateur mondial de télécommunications par satellite basé en France, spécialisé dans la fourniture de services de connectivité et de vidéo dans le monde entier. La Société fournit un opérateur de satellites GEO-LEO entièrement intégré, avec une flotte de 35 satellites géostationnaires et une constellation en orbite basse (LEO) composée de plus de 600 satellites. Elle répond aux besoins de ses clients présents dans quatre segments de marché clés : la vidéo, où elle distribue plus de 6 500 chaînes de télévision, et les marchés à forte croissance de la connectivité mobile, de la connectivité fixe et des services à domicile. gouvernements. La richesse incomparable de ses ressources en orbite et de son infrastructure au sol permet à Eutelsat Communications de répondre aux besoins de ses clients dans le monde entier grâce à des solutions intégrées.</v>
    <v>EUR</v>
    <v>1514</v>
    <v>XPAR</v>
    <v>4.7380000000000004</v>
    <v>9.3000000000000007</v>
    <v>Telecommunications Services</v>
    <v>372</v>
    <v>4.0826000000000001E-2</v>
    <v>0.16600000000000001</v>
    <v>EUTELSAT COMMUNICATIONS SA</v>
    <v>EUTELSAT COMMUNICATIONS SA</v>
    <v>3.98</v>
    <v>0</v>
    <v>4.2320000000000002</v>
    <v>32, boulevard Gallieni, ISSY-LES-MOULINEAUX, ILE-DE-FRANCE, 92130 FR</v>
    <v>Bourse</v>
    <v>EUTELSAT COMMUNICATIONS SA (XPAR:ETL)</v>
    <v>3898303</v>
    <v>5133090</v>
  </rv>
  <rv s="3">
    <v>373</v>
  </rv>
  <rv s="1">
    <v>https://www.bing.com/financeapi/forcetrigger?t=a269ec&amp;q=XNYS%3aXOM&amp;form=skydnc</v>
    <v>Learn more on Bing</v>
  </rv>
  <rv s="2">
    <v>0</v>
    <v>1</v>
    <v>EXXON MOBIL CORPORATION (XNYS:XOM)</v>
    <v>3</v>
    <v>4</v>
    <v>Finance</v>
    <v>5</v>
    <v>fr-FR</v>
    <v>a269ec</v>
    <v>268435456</v>
    <v>1</v>
    <v>Avec Refinitiv</v>
    <v>XNYS</v>
    <v>4339143000</v>
    <v>1882</v>
    <v>117.78</v>
    <v>103.67</v>
    <v>0.58030000000000004</v>
    <v>518874719940</v>
    <v>New York Stock Exchange</v>
    <v>117.73</v>
    <v>XOM</v>
    <v>45747.603610555467</v>
    <v>Exxon Mobil Corporation est une société internationale spécialisée dans l'énergie et la pétrochimie. Les principales activités de la Société comprennent l'exploration et la production de pétrole brut et de gaz naturel ; la fabrication, le commerce, le transport et la vente de pétrole brut, de gaz naturel, de produits pétroliers, de produits pétrochimiques et de divers produits spécialisés ; et la poursuite d'occasions d'affaires à faibles émissions, notamment le captage et le stockage du carbone, l'hydrogène, les combustibles à faibles émissions et le lithium. Ses segments comprennent les produits en amont, les produits énergétiques, les produits chimiques et les produits spécialisés. Le segment amont explore et produit du pétrole brut et du gaz naturel. Les segments produits énergétiques, produits chimiques et produits spécialisés fabriquent et vendent des produits pétroliers et pétrochimiques. Les produits énergétiques comprennent les combustibles, les aromatiques, les catalyseurs et les licences. Ses produits chimiques se composent d'oléfines, de polyoléfines et d'intermédiaires. Ses produits spécialisés comprennent des lubrifiants finis, des synthétiques, des élastomères et des résines.</v>
    <v>USD</v>
    <v>61000</v>
    <v>XNYS</v>
    <v>119.66500000000001</v>
    <v>126.34</v>
    <v>Oil &amp; Gas</v>
    <v>375</v>
    <v>1.5713999999999999E-2</v>
    <v>1.85</v>
    <v>EXXON MOBIL CORPORATION</v>
    <v>EXXON MOBIL CORPORATION</v>
    <v>117.78</v>
    <v>15.2432</v>
    <v>119.58</v>
    <v>22777 SPRINGWOODS VILLAGE PARKWAY, SPRING, TX, 77389-1425 US</v>
    <v>Bourse</v>
    <v>EXXON MOBIL CORPORATION (XNYS:XOM)</v>
    <v>2800040</v>
    <v>17448257</v>
  </rv>
  <rv s="3">
    <v>376</v>
  </rv>
  <rv s="1">
    <v>https://www.bing.com/financeapi/forcetrigger?t=bjo577&amp;q=XNYS%3aFTCH&amp;form=skydnc</v>
    <v>Learn more on Bing</v>
  </rv>
  <rv s="13">
    <v>39</v>
    <v>40</v>
    <v>FARFETCH LIMITED (OTCM:FTCHQ)</v>
    <v>3</v>
    <v>41</v>
    <v>Finance</v>
    <v>42</v>
    <v>fr-FR</v>
    <v>bjo577</v>
    <v>268435456</v>
    <v>1</v>
    <v>Avec Refinitiv</v>
    <v>OTCM</v>
    <v>352607900</v>
    <v>2018</v>
    <v>9.9999999999999995E-7</v>
    <v>9.9999999999999995E-7</v>
    <v>2.3233999999999999</v>
    <v>350</v>
    <v>OTC Markets</v>
    <v>9.9999999999999995E-7</v>
    <v>FTCHQ</v>
    <v>45744.724709258597</v>
    <v>Farfetch Limited exploite un marché mondial pour l'industrie de la mode de luxe. La Société met en relation des clients dans plus de 190 pays et territoires avec des articles de plus de 50 pays et plus de 1 400 marques, boutiques et grands magasins du monde entier. Ses activités dans le segment plateforme numérique comprennent le marché Farfetch, FPS, BrownsFashion.com, StadiumGoods.com, VioletGrey.com, Luxclusif, Farfetch future Retail et tout autre canal de vente en ligne exploité par la Société, y compris les sites Web respectifs des marques du portefeuille New Guards. Le segment de la plateforme numérique comprend également les ventes directes aux consommateurs de produits personnels, appelées ventes par première partie. Son segment Brand Platform comprend la production et la distribution en gros de marques détenues et licenciées par New Guards et comprend les opérations de magasins franchisés. Son segment in-Store couvre les activités des magasins qu'elle exploite, notamment Browns, Stadium Goods, Violet Grey et certaines marques du portefeuille New Guards.</v>
    <v>USD</v>
    <v>6728</v>
    <v>OTCM</v>
    <v>9.9999999999999995E-7</v>
    <v>1.8700000000000001E-2</v>
    <v>Software &amp; IT Services</v>
    <v>378</v>
    <v>0</v>
    <v>FARFETCH LIMITED</v>
    <v>FARFETCH LIMITED</v>
    <v>9.9999999999999995E-7</v>
    <v>0</v>
    <v>9.9999999999999995E-7</v>
    <v>211 Old Street, The Bower, 4Th Floor, LONDON, EC1V 9NR GB</v>
    <v>Bourse</v>
    <v>FARFETCH LIMITED (OTCM:FTCHQ)</v>
    <v>20</v>
    <v>39273794</v>
  </rv>
  <rv s="3">
    <v>379</v>
  </rv>
  <rv s="1">
    <v>https://www.bing.com/financeapi/forcetrigger?t=ae8op2&amp;q=XPAR%3aFGA&amp;form=skydnc</v>
    <v>Learn more on Bing</v>
  </rv>
  <rv s="9">
    <v>25</v>
    <v>26</v>
    <v>FIGEAC AERO SARL (XPAR:FGA)</v>
    <v>3</v>
    <v>27</v>
    <v>Finance</v>
    <v>7</v>
    <v>fr-FR</v>
    <v>ae8op2</v>
    <v>268435456</v>
    <v>1</v>
    <v>Avec Refinitiv</v>
    <v>XPAR</v>
    <v>42821220</v>
    <v>1989</v>
    <v>8.6999999999999993</v>
    <v>5.0599999999999996</v>
    <v>1.5744</v>
    <v>387960300</v>
    <v>Euronext Paris</v>
    <v>9.06</v>
    <v>FGA</v>
    <v>45747.586397696097</v>
    <v>FIGEAC AERO S.A., anciennement Figeac Aero SARL, est une société basée en France spécialisée dans la fabrication de pièces et de composants pour l'industrie aéronautique. Elle offre une gamme de produits et de services tels que la conception, la fabrication et l'assemblage de sous-ensembles ; la fabrication de pièces de structure, allant des petits accessoires aux grands panneaux ; la fourniture de pièces de moteur, comme le tour vertical et les lames, et le fraisage de l'aluminium et des matériaux durs ; et la production de pièces de précision, tels que les trains d'atterrissage et les inverseurs de poussée. Les clients de la Société comprennent Airbus, Embraer, ATR, Boeing, Bombardier, Eurocopter et Gulfstream, entre autres. Elle est une filiale de Figeac Aero Group qui comprend les entreprises engagées dans la fourniture de produits et services liés à l'aéronautique. Elle opère à travers le Groupe Sonaca et PECISS, une société de services de technologie industrielle basée en Tunisie.</v>
    <v>EUR</v>
    <v>2964</v>
    <v>XPAR</v>
    <v>8.98</v>
    <v>10.25</v>
    <v>Aerospace &amp; Defense</v>
    <v>381</v>
    <v>-3.3113000000000004E-2</v>
    <v>-0.3</v>
    <v>FIGEAC AERO SARL</v>
    <v>FIGEAC AERO SARL</v>
    <v>8.9600000000000009</v>
    <v>8.76</v>
    <v>Zone industrielle de l'Aiguille, FIGEAC, OCCITANIE, 46100 FR</v>
    <v>Bourse</v>
    <v>FIGEAC AERO SARL (XPAR:FGA)</v>
    <v>12041</v>
    <v>20670</v>
  </rv>
  <rv s="3">
    <v>382</v>
  </rv>
  <rv s="1">
    <v>https://www.bing.com/financeapi/forcetrigger?t=ae8q3m&amp;q=XPAR%3aFNAC&amp;form=skydnc</v>
    <v>Learn more on Bing</v>
  </rv>
  <rv s="2">
    <v>0</v>
    <v>1</v>
    <v>FNAC DARTY SA (XPAR:FNAC)</v>
    <v>3</v>
    <v>8</v>
    <v>Finance</v>
    <v>7</v>
    <v>fr-FR</v>
    <v>ae8q3m</v>
    <v>268435456</v>
    <v>1</v>
    <v>Avec Refinitiv</v>
    <v>XPAR</v>
    <v>29682150</v>
    <v>1955</v>
    <v>27.7</v>
    <v>24.55</v>
    <v>1.3266</v>
    <v>838520600</v>
    <v>Euronext Paris</v>
    <v>28.25</v>
    <v>FNAC</v>
    <v>45747.589930555558</v>
    <v>Fnac Darty sa, anciennement Groupe Fnac sa, est une société basée en France. La Société est un détaillant de produits culturels, de loisirs et technologiques destinés au grand public en magasin et sur Internet, en France et dans le monde entier : Espagne, Portugal, Brésil, Belgique, Suisse et Maroc. Elle poursuit son élan dans l'économie de la réparation à travers sa filiale NSF. Fnac Darty sa propose à ses clients deux produits tels que : des produits éditoriaux (musique, vidéo, livres et papeterie, jeux vidéo) et des produits techniques (photo, télévision (TV)-vidéo, audio, ordinateurs, entre autres). Le téléphone, la réservation de billets et les activités de voyage complètent l'offre.</v>
    <v>EUR</v>
    <v>29666</v>
    <v>XPAR</v>
    <v>28.15</v>
    <v>35.950000000000003</v>
    <v>Specialty Retailers</v>
    <v>384</v>
    <v>-1.2388999999999999E-2</v>
    <v>-0.35</v>
    <v>FNAC DARTY SA</v>
    <v>FNAC DARTY SA</v>
    <v>28.1</v>
    <v>27.289400000000001</v>
    <v>27.9</v>
    <v>9 rue des Bateaux-Lavoirs, IVRY SUR SEINE, ILE-DE-FRANCE, 94200 FR</v>
    <v>Bourse</v>
    <v>FNAC DARTY SA (XPAR:FNAC)</v>
    <v>10395</v>
    <v>15900</v>
  </rv>
  <rv s="3">
    <v>385</v>
  </rv>
  <rv s="1">
    <v>https://www.bing.com/financeapi/forcetrigger?t=ae8j8m&amp;q=XPAR%3aEO&amp;form=skydnc</v>
    <v>Learn more on Bing</v>
  </rv>
  <rv s="2">
    <v>0</v>
    <v>1</v>
    <v>FORVIA SE (XPAR:FRVIA)</v>
    <v>3</v>
    <v>8</v>
    <v>Finance</v>
    <v>7</v>
    <v>fr-FR</v>
    <v>ae8j8m</v>
    <v>268435456</v>
    <v>1</v>
    <v>Avec Refinitiv</v>
    <v>XPAR</v>
    <v>197089300</v>
    <v>1974</v>
    <v>7.4779999999999998</v>
    <v>7.4</v>
    <v>1.8153999999999999</v>
    <v>1565284000</v>
    <v>Euronext Paris</v>
    <v>7.9420000000000002</v>
    <v>FRVIA</v>
    <v>45747.593229166669</v>
    <v>Forvia se anciennement Faurecia se est un équipementier automobile basé en France. La société présente ses activités dans quatre secteurs principaux : Faurecia Seating, Faurecia Interiors, Faurecia Clarion Electronics et Faurecia Clean Mobility. Faurecia Seating développe des systèmes de sièges qui optimisent le confort et la sécurité des utilisateurs. Elle développe également des solutions pour le confort thermique et postural, la santé et le bien-être et la sécurité avancée. Le segment Faurecia Interiors développe des systèmes intérieurs complets, y compris des tableaux de bord, des panneaux de porte, des consoles centrales ainsi que des surfaces intelligentes, des solutions pour des interfaces homme-machine intuitives et un confort et une qualité de l'air personnalisés dans l'habitacle. Le segment Faurecia Clarion Electronics développe et produit des systèmes d'infodivertissement embarqués, des systèmes sonores entièrement numériques, une assistance avancée à la conduite, des services de connectivité et de cloud pour les clients du monde entier. Le segment mobilité propre de Faurecia développe des solutions pour conduire la mobilité et l'industrie vers zéro émission.</v>
    <v>EUR</v>
    <v>153462</v>
    <v>XPAR</v>
    <v>7.9039999999999999</v>
    <v>16.52</v>
    <v>Automobiles &amp; Auto Parts</v>
    <v>387</v>
    <v>-4.4824999999999997E-2</v>
    <v>-0.35599999999999998</v>
    <v>FORVIA SE</v>
    <v>FORVIA SE</v>
    <v>7.85</v>
    <v>0</v>
    <v>7.5860000000000003</v>
    <v>23-27 Avenue des Champs Pierreux, NANTERRE, ILE-DE-FRANCE, 92000 FR</v>
    <v>Bourse</v>
    <v>FORVIA SE (XPAR:FRVIA)</v>
    <v>619400</v>
    <v>1065170</v>
  </rv>
  <rv s="3">
    <v>388</v>
  </rv>
  <rv s="1">
    <v>https://www.bing.com/financeapi/forcetrigger?t=afaaim&amp;q=XFRA%3aFME&amp;form=skydnc</v>
    <v>Learn more on Bing</v>
  </rv>
  <rv s="2">
    <v>0</v>
    <v>1</v>
    <v>Fresenius Medical Care AG (XFRA:FME)</v>
    <v>3</v>
    <v>8</v>
    <v>Finance</v>
    <v>7</v>
    <v>fr-FR</v>
    <v>afaaim</v>
    <v>268435456</v>
    <v>1</v>
    <v>Avec Refinitiv</v>
    <v>XFRA</v>
    <v>293413500</v>
    <v>2006</v>
    <v>45.23</v>
    <v>25.6</v>
    <v>0.95209999999999995</v>
    <v>13482350000</v>
    <v>Deutsche Boerse AG</v>
    <v>46.26</v>
    <v>FME</v>
    <v>45747.592361111114</v>
    <v>Fresenius Medical Care AG, anciennement Fresenius Medical Care AG &amp; Co. KGaA est une société basée en Allemagne, qui est un institut de dialyse rénale. La Société fournit des soins de dialyse et des services connexes aux personnes souffrant d'insuffisance rénale terminale (IRT), ainsi que d'autres services de santé. La Société développe et fabrique également une grande variété de produits de soins de santé, y compris des produits de dialyse et non dialysés. Ses produits de dialyse comprennent des machines d'hémodialyse, des cycleurs péritonéaux, des dialyseurs, des solutions péritonéales et des granulés, des lignées sanguines, des produits pharmaceutiques rénaux et des systèmes de traitement de l'eau. Ses produits non dialysés comprennent des produits cardiopulmonaires aigus et des produits d'aphérèse. La Société fournit aux cliniques de dialyse qu'elle possède, exploite ou gère une vaste gamme de produits, et vend des produits de dialyse à d'autres fournisseurs de services de dialyse.</v>
    <v>EUR</v>
    <v>111513</v>
    <v>XFRA</v>
    <v>45.63</v>
    <v>93.54</v>
    <v>Healthcare Providers &amp; Services</v>
    <v>390</v>
    <v>-2.2265E-2</v>
    <v>-1.03</v>
    <v>Fresenius Medical Care AG</v>
    <v>Fresenius Medical Care AG</v>
    <v>45.63</v>
    <v>24.67</v>
    <v>45.23</v>
    <v>Else-Kroener-Strasse 1, BAD HOMBURG VOR DER HOHE, HESSEN, 61352 DE</v>
    <v>Bourse</v>
    <v>Fresenius Medical Care AG (XFRA:FME)</v>
    <v>147</v>
    <v>492420</v>
  </rv>
  <rv s="3">
    <v>391</v>
  </rv>
  <rv s="1">
    <v>https://www.bing.com/financeapi/forcetrigger?t=afaf6h&amp;q=XFRA%3aFRE&amp;form=skydnc</v>
    <v>Learn more on Bing</v>
  </rv>
  <rv s="2">
    <v>0</v>
    <v>1</v>
    <v>Fresenius SE &amp; Co KGaA (XFRA:FRE)</v>
    <v>3</v>
    <v>8</v>
    <v>Finance</v>
    <v>7</v>
    <v>fr-FR</v>
    <v>afaf6h</v>
    <v>268435456</v>
    <v>1</v>
    <v>Avec Refinitiv</v>
    <v>XFRA</v>
    <v>563237300</v>
    <v>2011</v>
    <v>38.950000000000003</v>
    <v>19.78</v>
    <v>1.0374000000000001</v>
    <v>22535120000</v>
    <v>Deutsche Boerse AG</v>
    <v>39.89</v>
    <v>FRE</v>
    <v>45747.593055555553</v>
    <v>Fresenius SE &amp; Co KGaA est une entreprise de soins de santé basée en Allemagne. La Société possède des divisions opérationnelles, Fresenius Kabi et Fresenius Helios, ainsi que des participations, Fresenius Vamed et Fresenius Medical Care. Fresenius Kabi propose des produits de santé pour les patients atteints de maladies graves et chroniques, des médicaments essentiels et des technologies médicales pour la perfusion, la transfusion et la nutrition clinique. Son portefeuille de produits comprend des médicaments génériques administrés par voie intraveineuse, des thérapies de perfusion et de la nutrition clinique. Fresenius Helios est un opérateur hospitalier privé qui gère des cliniques, des établissements médicaux, des centres de réadaptation et autres. Fresenius Vamed fournit des services pour les hôpitaux et autres établissements de soins de santé, tels que la prévention, la construction, les services et la gestion opérationnelle. Fresenius Medical Care propose des produits et des services tout au long de la chaîne de valeur de la dialyse et est un fournisseur de produits de dialyse tels que les appareils de dialyse, les dialyseurs et les accessoires jetables associés.</v>
    <v>EUR</v>
    <v>177091</v>
    <v>XFRA</v>
    <v>39.79</v>
    <v>71.099999999999994</v>
    <v>Healthcare Providers &amp; Services</v>
    <v>393</v>
    <v>-1.6795999999999998E-2</v>
    <v>-0.67</v>
    <v>Fresenius SE &amp; Co KGaA</v>
    <v>Fresenius SE &amp; Co KGaA</v>
    <v>39.79</v>
    <v>25.72</v>
    <v>39.22</v>
    <v>Else-Kroener-Str. 1, BAD HOMBURG, HESSEN, 61352 DE</v>
    <v>Bourse</v>
    <v>Fresenius SE &amp; Co KGaA (XFRA:FRE)</v>
    <v>446</v>
    <v>1033870</v>
  </rv>
  <rv s="3">
    <v>394</v>
  </rv>
  <rv s="1">
    <v>https://www.bing.com/financeapi/forcetrigger?t=alo85r&amp;q=XAMS%3aGLPG&amp;form=skydnc</v>
    <v>Learn more on Bing</v>
  </rv>
  <rv s="2">
    <v>0</v>
    <v>1</v>
    <v>GALAPAGOS NV (XAMS:GLPG)</v>
    <v>3</v>
    <v>8</v>
    <v>Finance</v>
    <v>7</v>
    <v>fr-FR</v>
    <v>alo85r</v>
    <v>268435456</v>
    <v>1</v>
    <v>Avec Refinitiv</v>
    <v>XAMS</v>
    <v>65897070</v>
    <v>1999</v>
    <v>22.66</v>
    <v>21.7</v>
    <v>-0.15559999999999999</v>
    <v>1548581000</v>
    <v>Euronext Amsterdam</v>
    <v>23.5</v>
    <v>GLPG</v>
    <v>45747.593148148146</v>
    <v>Galapagos NV est une société belge de biotechnologie de stade clinique. La Société est engagée dans la découverte et le développement de médicaments à petites molécules avec des modes d'action. Son pipeline comprend des études précliniques de phase 3, 2, 1 et des programmes de découverte de petites molécules et d'anticorps dans la mucoviscidose, l'inflammation et d'autres indications. La Société se concentre sur le développement d'un portefeuille de thérapies au stade clinique pour l'amélioration des paradigmes de traitement existants. Il développe des médicaments transformationnels dans des domaines où les besoins sont élevés non satisfaits en combinant la science interne et externe dans le but d'ajouter des années de vie et d'améliorer la vie des patients à travers le monde. Il découvre quelles protéines sont impliquées dans la cause de maladies telles que, rhumatoïde, arthrite, maladie intestinale inflammatoire et fibrose. La Société a acquis CellPoint et AboundBio afin de développer une thérapie cellulaire, qui est un traitement transformateur potentiel de différents types de cancer.</v>
    <v>EUR</v>
    <v>704</v>
    <v>XAMS</v>
    <v>23.28</v>
    <v>31.08</v>
    <v>Biotechnology &amp; Medical Research</v>
    <v>396</v>
    <v>-1.7871999999999999E-2</v>
    <v>-0.42</v>
    <v>GALAPAGOS NV</v>
    <v>GALAPAGOS NV</v>
    <v>23.28</v>
    <v>0</v>
    <v>23.08</v>
    <v>Generaal De Wittelaan L11 A3, MALINES (MECHELEN), ANTWERPEN, 2800 BE</v>
    <v>Bourse</v>
    <v>GALAPAGOS NV (XAMS:GLPG)</v>
    <v>32025</v>
    <v>79230</v>
  </rv>
  <rv s="3">
    <v>397</v>
  </rv>
  <rv s="1">
    <v>https://www.bing.com/financeapi/forcetrigger?t=ae8s52&amp;q=XPAR%3aGFC&amp;form=skydnc</v>
    <v>Learn more on Bing</v>
  </rv>
  <rv s="4">
    <v>9</v>
    <v>10</v>
    <v>GECINA SA (XPAR:GFC)</v>
    <v>3</v>
    <v>11</v>
    <v>Finance</v>
    <v>7</v>
    <v>fr-FR</v>
    <v>ae8s52</v>
    <v>268435456</v>
    <v>1</v>
    <v>Avec Refinitiv</v>
    <v>XPAR</v>
    <v>76738690</v>
    <v>86.3</v>
    <v>83.2</v>
    <v>1.0644</v>
    <v>6703125000</v>
    <v>Euronext Paris</v>
    <v>87.35</v>
    <v>GFC</v>
    <v>45747.59309857578</v>
    <v>Gecina sa est une société basée en France qui est engagée dans des sociétés immobilières. La Société fournit un revenu locatif brut par type d'actif, comme les bureaux et les entreprises, le logement et la résidence étudiante. ITS propose 6 000 unités de logement en opération sont situées dans le centre de Paris et en région parisienne. La Société fournit des bureaux et des commerces, des logements, des résidences étudiantes. Elle sert les clients en créant des produits sur mesure avec de nouveaux espaces et agiles.</v>
    <v>EUR</v>
    <v>473</v>
    <v>XPAR</v>
    <v>87.3</v>
    <v>107.6</v>
    <v>Residential &amp; Commercial REIT</v>
    <v>399</v>
    <v>-9.1590000000000005E-3</v>
    <v>-0.8</v>
    <v>GECINA SA</v>
    <v>GECINA SA</v>
    <v>87.05</v>
    <v>20.709499999999998</v>
    <v>86.55</v>
    <v>16 rue des Capucines, Paris Cedex 02, PARIS, ILE-DE-FRANCE, 75084 FR</v>
    <v>Bourse</v>
    <v>GECINA SA (XPAR:GFC)</v>
    <v>32373</v>
    <v>135020</v>
  </rv>
  <rv s="3">
    <v>400</v>
  </rv>
  <rv s="14">
    <v>43</v>
    <v>44</v>
    <v>GE HealthCare Technologies Inc. (XNAS:GEHC)</v>
    <v>45</v>
    <v>4</v>
    <v>Finance</v>
    <v>5</v>
    <v>fr-FR</v>
    <v>c8bc4c</v>
    <v>268435456</v>
    <v>1</v>
    <v>Avec Refinitiv</v>
    <v>XNAS</v>
    <v>457298300</v>
    <v>2022</v>
    <v>79.2</v>
    <v>74.510000000000005</v>
    <v>0.84399999999999997</v>
    <v>36675323660</v>
    <v>Nasdaq Stock Market</v>
    <v>80.010000000000005</v>
    <v>GEHC</v>
    <v>45747.603569895313</v>
    <v>GE Healthcare technologies Inc. est une société spécialisée dans les technologies médicales, les diagnostics pharmaceutiques et les solutions numériques. Elle développe, fabrique et commercialise un portefeuille de produits, services et solutions numériques complémentaires utilisés dans le diagnostic, le traitement et le suivi des patients. Ses segments incluent l'imagerie, l'échographie, les solutions de soins aux patients (PCS) et le diagnostic pharmaceutique (PDX). Son segment imagerie offre une gamme complète d'appareils de lecture, d'applications cliniques, de capacités de service et de solutions numériques. Son segment échographie comprend des appareils médicaux et des solutions d'échographie avec une gamme de soins continus, y compris le dépistage, le diagnostic, le traitement et la surveillance de certaines maladies. Sa gamme de PRODUITS PCS comprend la surveillance des patients, l'anesthésie et les soins respiratoires, la cardiologie diagnostique, les soins maternels et infantiles, ainsi que les consommables et services. Son segment PDX comprend deux secteurs d'activité : les produits de contraste et l'imagerie moléculaire.</v>
    <v>USD</v>
    <v>53000</v>
    <v>XNAS</v>
    <v>80.284999999999997</v>
    <v>94.8</v>
    <v>Healthcare Equipment &amp; Supplies</v>
    <v>2.3749999999999999E-3</v>
    <v>0.19</v>
    <v>GE HealthCare Technologies Inc.</v>
    <v>GE HealthCare Technologies Inc.</v>
    <v>79.7</v>
    <v>18.311399999999999</v>
    <v>80.2</v>
    <v>500 West Monroe Street, CHICAGO, IL, 60661 US</v>
    <v>Bourse</v>
    <v>GE HealthCare Technologies Inc. (XNAS:GEHC)</v>
    <v>791675</v>
    <v>3444525</v>
  </rv>
  <rv s="3">
    <v>402</v>
  </rv>
  <rv s="1">
    <v>https://www.bing.com/financeapi/forcetrigger?t=a1tyrw&amp;q=XNYS%3aGM&amp;form=skydnc</v>
    <v>Learn more on Bing</v>
  </rv>
  <rv s="2">
    <v>0</v>
    <v>1</v>
    <v>GENERAL MOTORS COMPANY (XNYS:GM)</v>
    <v>3</v>
    <v>4</v>
    <v>Finance</v>
    <v>5</v>
    <v>fr-FR</v>
    <v>a1tyrw</v>
    <v>268435456</v>
    <v>1</v>
    <v>Avec Refinitiv</v>
    <v>XNYS</v>
    <v>995001900</v>
    <v>2009</v>
    <v>45.63</v>
    <v>38.96</v>
    <v>1.2761</v>
    <v>46282513378</v>
    <v>New York Stock Exchange</v>
    <v>46.68</v>
    <v>GM</v>
    <v>45747.603615068751</v>
    <v>General Motors Company conçoit, fabrique et vend des camions, des véhicules multisegments, des voitures et des pièces automobiles et offre des services et des abonnements logiciels dans le monde entier. La Société fournit des services de financement automobile par l'entremise de sa General Motors Financial Company, Inc. (Services financiers GM). GM Amérique du Nord (GMNA) et GM International (GMI) développent, fabriquent et commercialisent des véhicules sous les marques Buick, Cadillac, Chevrolet et GMC. Les segments de la société comprennent GM Amérique du Nord, GMI, croisières et services financiers GM. Son segment croisière est engagé dans le développement et la commercialisation de la technologie des véhicules autonomes. Ses services et abonnements logiciels, dont OnStar, nos systèmes avancés d'aide à la conduite (ADAS), dont la technologie d'aide à la conduite Super Cruise, et sa plateforme logicielle de bout en bout. La Société se concentre également sur l'investissement dans les véhicules électriques (VE) et AVS, les services et abonnements logiciels et de nouvelles opportunités d'affaires.</v>
    <v>USD</v>
    <v>162000</v>
    <v>XNYS</v>
    <v>46.905000000000001</v>
    <v>61.24</v>
    <v>Automobiles &amp; Auto Parts</v>
    <v>404</v>
    <v>-3.5349999999999999E-3</v>
    <v>-0.16500000000000001</v>
    <v>GENERAL MOTORS COMPANY</v>
    <v>GENERAL MOTORS COMPANY</v>
    <v>45.63</v>
    <v>7.6051000000000002</v>
    <v>46.515000000000001</v>
    <v>300 Renaissance Center, DETROIT, MI, 48265-3000 US</v>
    <v>Bourse</v>
    <v>GENERAL MOTORS COMPANY (XNYS:GM)</v>
    <v>2912515</v>
    <v>17944308</v>
  </rv>
  <rv s="3">
    <v>405</v>
  </rv>
  <rv s="1">
    <v>https://www.bing.com/financeapi/forcetrigger?t=ae8s27&amp;q=XPAR%3aGET&amp;form=skydnc</v>
    <v>Learn more on Bing</v>
  </rv>
  <rv s="2">
    <v>0</v>
    <v>1</v>
    <v>GETLINK S.E. (XPAR:GET)</v>
    <v>3</v>
    <v>8</v>
    <v>Finance</v>
    <v>7</v>
    <v>fr-FR</v>
    <v>ae8s27</v>
    <v>268435456</v>
    <v>1</v>
    <v>Avec Refinitiv</v>
    <v>XPAR</v>
    <v>550000000</v>
    <v>2005</v>
    <v>15.92</v>
    <v>14.52</v>
    <v>0.76759999999999995</v>
    <v>8940250000</v>
    <v>Euronext Paris</v>
    <v>16.254999999999999</v>
    <v>GET</v>
    <v>45747.593171296299</v>
    <v>Getlink SE, anciennement dénommée Groupe Eurotunnel SE, est une société basée en France qui regroupe un groupe de sociétés actives dans les domaines de la gestion des infrastructures et des opérations de transport. Ses différentes entités partagent l'attention à la qualité et au service client, avec une priorité donnée à la sécurité. La Société gère et exploite le tunnel sous la Manche entre le Royaume-Uni et la France et son infrastructure ferroviaire. La Société est également engagée dans le transport de passagers et de marchandises entre l'Europe continentale et le Royaume-Uni. En outre, Elle assure le transport par ferry à travers la Manche. Getlink SE a des participations directes et indirectes dans un certain nombre de sociétés, notamment Channel Tunnel Group Limited, France Manche SA et Europorte SAS, entre autres.</v>
    <v>EUR</v>
    <v>3467</v>
    <v>XPAR</v>
    <v>16.190000000000001</v>
    <v>16.89</v>
    <v>Transport Infrastructure</v>
    <v>407</v>
    <v>-1.7533E-2</v>
    <v>-0.28499999999999998</v>
    <v>GETLINK S.E.</v>
    <v>GETLINK S.E.</v>
    <v>16.175000000000001</v>
    <v>27.7531</v>
    <v>15.97</v>
    <v>37-39 Rue de la Bienfaisance, PARIS, ILE-DE-FRANCE, 75008 FR</v>
    <v>Bourse</v>
    <v>GETLINK S.E. (XPAR:GET)</v>
    <v>139548</v>
    <v>632850</v>
  </rv>
  <rv s="3">
    <v>408</v>
  </rv>
  <rv s="1">
    <v>https://www.bing.com/financeapi/forcetrigger?t=a1tvoc&amp;q=XNAS%3aGILD&amp;form=skydnc</v>
    <v>Learn more on Bing</v>
  </rv>
  <rv s="2">
    <v>0</v>
    <v>1</v>
    <v>GILEAD SCIENCES, INC. (XNAS:GILD)</v>
    <v>3</v>
    <v>4</v>
    <v>Finance</v>
    <v>5</v>
    <v>fr-FR</v>
    <v>a1tvoc</v>
    <v>268435456</v>
    <v>1</v>
    <v>Avec Refinitiv</v>
    <v>XNAS</v>
    <v>1246635000</v>
    <v>1987</v>
    <v>109.6</v>
    <v>62.07</v>
    <v>0.34329999999999999</v>
    <v>138956170275</v>
    <v>Nasdaq Stock Market</v>
    <v>111.79</v>
    <v>GILD</v>
    <v>45747.603641365626</v>
    <v>Gilead Sciences, Inc. est une société biopharmaceutique. Elle s'emploie à faire progresser les médicaments pour prévenir et traiter les maladies potentiellement mortelles, notamment le virus de l'immunodéficience humaine (VIH), l'hépatite virale, la maladie à coronavirus 2019 (COVID-19) et le cancer. Il est axé sur la découverte, le développement et la commercialisation de médicaments dans des domaines où les besoins médicaux ne sont pas satisfaits. Son portefeuille de produits commercialisés comprend AmBisome, Atripla, Biktarvy, Cayston, Complera, Descovy, Descovy pour la préparation, Emtriva, Epclusa, Eviplera, Genvoya, Harvoni, Hepcludex, Hepsera, Jyseleca, Letairis, Odefsey, Sovaldi, Stribild, Sunlenca, Tecartus, Trodelvy, Truvada, Truvada pour la préparation, Tybost, Veklury, Vemlidy, Viread, Vosevi, Yescarta et Zydelig. Ses produits candidats comprennent Bulevirtide, Lenacapavir, Axicabtagene ciloleucel, Domvanalimab et zimberelimab, et seladelpar. Seladelpar doit être utilisé pour le traitement de la cholangite biliaire primitive (CBP), y compris le prurit. La Société opère dans plus de 35 pays.</v>
    <v>USD</v>
    <v>17600</v>
    <v>XNAS</v>
    <v>111.465</v>
    <v>119.96</v>
    <v>Pharmaceuticals</v>
    <v>410</v>
    <v>-2.9070000000000003E-3</v>
    <v>-0.32500000000000001</v>
    <v>GILEAD SCIENCES, INC.</v>
    <v>GILEAD SCIENCES, INC.</v>
    <v>109.67</v>
    <v>326.48790000000002</v>
    <v>111.465</v>
    <v>333 LAKESIDE DR, FOSTER CITY, CA, 94404-1147 US</v>
    <v>Bourse</v>
    <v>GILEAD SCIENCES, INC. (XNAS:GILD)</v>
    <v>1373592</v>
    <v>10312056</v>
  </rv>
  <rv s="3">
    <v>411</v>
  </rv>
  <rv s="1">
    <v>https://www.bing.com/financeapi/forcetrigger?t=b1lclh&amp;q=XSWX%3aGIVN&amp;form=skydnc</v>
    <v>Learn more on Bing</v>
  </rv>
  <rv s="2">
    <v>0</v>
    <v>1</v>
    <v>Givaudan SA (XSWX:GIVN)</v>
    <v>3</v>
    <v>6</v>
    <v>Finance</v>
    <v>7</v>
    <v>fr-FR</v>
    <v>b1lclh</v>
    <v>268435456</v>
    <v>1</v>
    <v>Avec Refinitiv</v>
    <v>XSWX</v>
    <v>9233590</v>
    <v>1929</v>
    <v>3791</v>
    <v>3736</v>
    <v>0.94089999999999996</v>
    <v>35392340000</v>
    <v>SIX Swiss Exchange</v>
    <v>3833</v>
    <v>GIVN</v>
    <v>45747.593148148146</v>
    <v>Givaudan SA est une holding basée en Suisse, et spécialisée dans l'industrie du parfum et des saveurs. La Société a deux divisions : Parfums et Saveurs. Le segment Parfums se compose de la fabrication et de la vente de parfums à travers quatre unités commerciales : Parfumerie fine, incluant les parfums ; Produits de consommation, incluant les soins personnels, de la peau et des cheveux, les produits ménagers et les soins bucco-dentaires ; Ingrédients de parfum ; et Activités cosmétiques, composée de produits de beauté. La division commerciale Saveurs se compose de la fabrication et la vente de saveurs en quatre unités commerciales : Boissons, comprenant des saveurs pour les boissons gazeuses, jus de fruits et boissons instantanées ; Produits laitiers, comprenant des glaces, yaourts, desserts et matières grasses à tartiner ; Produits salés, couvrant les soupes et les sauces ; et Confiserie. La Société s'engage aussi dans des activités de recherche et de développement de matières premières synthétiques et naturelles utilisées en parfumerie. La Société opère Induchem Holding AG comme une filiale à part entière.</v>
    <v>CHF</v>
    <v>16942</v>
    <v>XSWX</v>
    <v>3837</v>
    <v>4690</v>
    <v>Chemicals</v>
    <v>413</v>
    <v>-7.3050000000000007E-3</v>
    <v>-28</v>
    <v>Givaudan SA</v>
    <v>Givaudan SA</v>
    <v>3816</v>
    <v>32.5852</v>
    <v>3805</v>
    <v>Chemin de la Parfumerie 5, VERNIER, GENEVE, 1214 CH</v>
    <v>Bourse</v>
    <v>Givaudan SA (XSWX:GIVN)</v>
    <v>7290</v>
    <v>21000</v>
  </rv>
  <rv s="3">
    <v>414</v>
  </rv>
  <rv s="1">
    <v>https://www.bing.com/financeapi/forcetrigger?t=adzetc&amp;q=XCSE%3aGN&amp;form=skydnc</v>
    <v>Learn more on Bing</v>
  </rv>
  <rv s="15">
    <v>46</v>
    <v>47</v>
    <v>GN Store Nord A/S (XCSE:GN)</v>
    <v>3</v>
    <v>48</v>
    <v>Finance</v>
    <v>38</v>
    <v>fr-FR</v>
    <v>adzetc</v>
    <v>268435456</v>
    <v>1</v>
    <v>Avec Refinitiv</v>
    <v>XCSE</v>
    <v>150912700</v>
    <v>107.2</v>
    <v>0.96399999999999997</v>
    <v>17219140000</v>
    <v>Nasdaq Copenhagen</v>
    <v>114.1</v>
    <v>GN</v>
    <v>45747.593055555553</v>
    <v>GN Store Nord A/S est une société basée au Danemark qui propose des solutions audio. La société se concentre sur le système auditif humain, le son et la parole, les technologies sans fil et le développement de logiciels reliant les connaissances et les connaissances des industries des prothèses auditives et des casques. Les segments de la société comprennent GN Hearing, GN Audio et Other GN. Le segment GN Audio est engagé dans la vente de solutions de communication mains libres sous forme de casques pour téléphones mobiles et téléphones traditionnels. Le segment GN Hearing opère dans l'industrie des aides auditives, produisant et vendant principalement des aides auditives et des produits connexes. GN Hearing est un fabricant en gros. Elle propose un portefeuille de solutions audio médicales, professionnelles et grand public, et propose des marques dans les domaines de la technologie médicale, des appareils auditifs et de l'audio. Ses solutions audio sont commercialisées par ses marques ReSound et Jabra. Elle fournit des produits et des solutions aux utilisateurs dans plus de 90 pays à travers le monde.</v>
    <v>DKK</v>
    <v>7347</v>
    <v>XCSE</v>
    <v>112.85</v>
    <v>Computers, Phones &amp; Household Electronics</v>
    <v>416</v>
    <v>-5.7405999999999999E-2</v>
    <v>-6.55</v>
    <v>GN Store Nord A/S</v>
    <v>GN Store Nord A/S</v>
    <v>112.3</v>
    <v>16.829999999999998</v>
    <v>107.55</v>
    <v>Lautrupbjerg 7, BALLERUP, DENMARK-NA, 2750 DK</v>
    <v>Bourse</v>
    <v>GN Store Nord A/S (XCSE:GN)</v>
    <v>569786</v>
    <v>606520</v>
  </rv>
  <rv s="3">
    <v>417</v>
  </rv>
  <rv s="1">
    <v>https://www.bing.com/financeapi/forcetrigger?t=a1u7xm&amp;q=XNYS%3aGS&amp;form=skydnc</v>
    <v>Learn more on Bing</v>
  </rv>
  <rv s="2">
    <v>0</v>
    <v>1</v>
    <v>THE GOLDMAN SACHS GROUP, INC. (XNYS:GS)</v>
    <v>3</v>
    <v>4</v>
    <v>Finance</v>
    <v>5</v>
    <v>fr-FR</v>
    <v>a1u7xm</v>
    <v>268435456</v>
    <v>1</v>
    <v>Avec Refinitiv</v>
    <v>XNYS</v>
    <v>310790400</v>
    <v>1998</v>
    <v>528.59</v>
    <v>387.12</v>
    <v>1.3236000000000001</v>
    <v>165781815168</v>
    <v>New York Stock Exchange</v>
    <v>543.12</v>
    <v>GS</v>
    <v>45747.6036254625</v>
    <v>Goldman Sachs Group, Inc. est une institution financière mondiale qui offre une gamme de services financiers à une clientèle vaste et diversifiée qui comprend des sociétés, des institutions financières, des gouvernements et des particuliers. Ses segments incluent Global Banking &amp; Markets, Asset &amp; Wealth Management et Platform solutions. Le segment Global Banking &amp; Markets offre une gamme de services, notamment des services de financement, de conseil, de distribution des risques et de couverture pour ses clients institutionnels et corporatifs. Il facilite les transactions avec les clients et crée des marchés pour les titres à revenu fixe, les actions, les devises et les produits de base. Le segment Asset &amp; Wealth Management gère les actifs et offre des produits de placement dans toutes les classes d'actifs à un ensemble diversifié de clients. Elle fournit également des solutions de conseil en investissement et en patrimoine. Le segment des solutions de plateforme comprend des plateformes grand public, telles que des partenariats offrant des cartes de crédit et des financements au point de vente, ainsi que des services bancaires transactionnels et d'autres plateformes.</v>
    <v>USD</v>
    <v>46500</v>
    <v>XNYS</v>
    <v>538.35</v>
    <v>672.19</v>
    <v>Investment Banking &amp; Investment Services</v>
    <v>419</v>
    <v>-1.7860000000000001E-2</v>
    <v>-9.6999999999999993</v>
    <v>THE GOLDMAN SACHS GROUP, INC.</v>
    <v>THE GOLDMAN SACHS GROUP, INC.</v>
    <v>533.61</v>
    <v>13.398899999999999</v>
    <v>533.41999999999996</v>
    <v>200 West St, NEW YORK, NY, 10282 US</v>
    <v>Bourse</v>
    <v>THE GOLDMAN SACHS GROUP, INC. (XNYS:GS)</v>
    <v>380820</v>
    <v>2990865</v>
  </rv>
  <rv s="3">
    <v>420</v>
  </rv>
  <rv s="1">
    <v>https://www.bing.com/financeapi/forcetrigger?t=aaq4c7&amp;q=XBRU%3aGBLB&amp;form=skydnc</v>
    <v>Learn more on Bing</v>
  </rv>
  <rv s="4">
    <v>9</v>
    <v>10</v>
    <v>GROEP BRUSSEL LAMBERT NV (XBRU:GBLB)</v>
    <v>3</v>
    <v>11</v>
    <v>Finance</v>
    <v>7</v>
    <v>fr-FR</v>
    <v>aaq4c7</v>
    <v>268435456</v>
    <v>1</v>
    <v>Avec Refinitiv</v>
    <v>XBRU</v>
    <v>138400000</v>
    <v>68.55</v>
    <v>62.65</v>
    <v>0.85570000000000002</v>
    <v>9722600000</v>
    <v>Euronext Brussels</v>
    <v>70.25</v>
    <v>GBLB</v>
    <v>45747.592858796299</v>
    <v>Groep Brussel Lambert NV est une société holding d'investissement basée en Belgique. La Société possède un portefeuille diversifié composé de sociétés mondiales, telles qu'Imerys, Adidas, Pernod Ricard, LafargeHolcim, Umicore et Ontex, entre autres. Elle opère sous trois secteurs d'activité, tels que Holding, qui comprend la société mère et les filiales. Son activité principale consiste à gérer des participations ainsi que les sociétés opérationnelles non consolidées et associées. Son Imerys, qui se compose du groupe Imerys engagé dans les solutions et spécialités énergétiques, la filtration et les additifs de performance, les matériaux céramiques, les minéraux à haute résistance et le capital de sienne.</v>
    <v>EUR</v>
    <v>69</v>
    <v>XBRU</v>
    <v>69.75</v>
    <v>72.400000000000006</v>
    <v>Holding Companies</v>
    <v>422</v>
    <v>-1.7082E-2</v>
    <v>-1.2</v>
    <v>GROEP BRUSSEL LAMBERT NV</v>
    <v>GROEP BRUSSEL LAMBERT NV</v>
    <v>69.5</v>
    <v>0</v>
    <v>69.05</v>
    <v>Avenue Marnix 24, BRUXELLES, BRUXELLES-CAPITALE, 1000 BE</v>
    <v>Bourse</v>
    <v>GROEP BRUSSEL LAMBERT NV (XBRU:GBLB)</v>
    <v>32264</v>
    <v>145990</v>
  </rv>
  <rv s="3">
    <v>423</v>
  </rv>
  <rv s="1">
    <v>https://www.bing.com/financeapi/forcetrigger?t=ae8uhw&amp;q=XPAR%3aGTT&amp;form=skydnc</v>
    <v>Learn more on Bing</v>
  </rv>
  <rv s="2">
    <v>0</v>
    <v>1</v>
    <v>GAZTRANSPORT ET TECHNIGAZ SA (XPAR:GTT)</v>
    <v>3</v>
    <v>8</v>
    <v>Finance</v>
    <v>7</v>
    <v>fr-FR</v>
    <v>ae8uhw</v>
    <v>268435456</v>
    <v>1</v>
    <v>Avec Refinitiv</v>
    <v>XPAR</v>
    <v>37117770</v>
    <v>1966</v>
    <v>139.1</v>
    <v>117.3</v>
    <v>0.3584</v>
    <v>5267012000</v>
    <v>Euronext Paris</v>
    <v>141.9</v>
    <v>GTT</v>
    <v>45747.593206018515</v>
    <v>Gaztransport et Technigaz SA est une société d'ingénierie basée en France spécialisée dans les systèmes de confinement pour l'expédition et le stockage en conditions cryogéniques de GNL (gaz naturel liquéfié). Elle propose, avec ses filiales, des prestations de conseil, d'études d'ingénierie, d'assistance, de support aux opérations, de maintenance de réservoirs à membrane, de solutions numériques et de formation, entre autres. La société travaille sur de nouvelles technologies de confinement du GNL, ainsi que sur des solutions à utiliser avec d'autres gaz liquéfiés, des technologies et des solutions d'ingénierie pour l'industrie offshore, les transporteurs multigaz et les petits et moyens transporteurs. Il offre également de nouvelles applications pour le marché en pleine croissance du GNL comme carburant de propulsion. La société gère son propre laboratoire d'essais et participe activement à la recherche via ses partenariats avec des sociétés d'ingénierie, des instituts de recherche, des laboratoires et des universités.</v>
    <v>EUR</v>
    <v>512</v>
    <v>XPAR</v>
    <v>142</v>
    <v>160.6</v>
    <v>Oil &amp; Gas Related Equipment and Services</v>
    <v>425</v>
    <v>-4.228E-3</v>
    <v>-0.6</v>
    <v>GAZTRANSPORT ET TECHNIGAZ SA</v>
    <v>GAZTRANSPORT ET TECHNIGAZ SA</v>
    <v>141.4</v>
    <v>14.937900000000001</v>
    <v>141.30000000000001</v>
    <v>1 route de Versailles, ST-REMY-LES-CHEVREUSE, ILE-DE-FRANCE, 78470 FR</v>
    <v>Bourse</v>
    <v>GAZTRANSPORT ET TECHNIGAZ SA (XPAR:GTT)</v>
    <v>46743</v>
    <v>96880</v>
  </rv>
  <rv s="3">
    <v>426</v>
  </rv>
  <rv s="1">
    <v>https://www.bing.com/financeapi/forcetrigger?t=ae8rk2&amp;q=XPAR%3aGBT&amp;form=skydnc</v>
    <v>Learn more on Bing</v>
  </rv>
  <rv s="2">
    <v>0</v>
    <v>1</v>
    <v>GUERBET S.A. (XPAR:GBT)</v>
    <v>3</v>
    <v>8</v>
    <v>Finance</v>
    <v>7</v>
    <v>fr-FR</v>
    <v>ae8rk2</v>
    <v>268435456</v>
    <v>1</v>
    <v>Avec Refinitiv</v>
    <v>XPAR</v>
    <v>12641110</v>
    <v>1968</v>
    <v>18.46</v>
    <v>18.46</v>
    <v>0.72689999999999999</v>
    <v>255982600</v>
    <v>Euronext Paris</v>
    <v>20.25</v>
    <v>GBT</v>
    <v>45747.593043981484</v>
    <v>GUERBET S.A. est un groupe pharmaceutique basé en France spécialisé dans la fabrication et la commercialisation de produits de contraste d'imagerie médicale destinés à des fins diagnostiques. Il met au point des produits de contraste d'imagerie médicale pour les examens radiologiques par rayons X et par IRM, les échographies et la médecine nucléaire. Les produits de contraste sont utilisés dans le diagnostic des troubles cardio-vasculaires, inflammatoires et neurodégénératifs. Le portefeuille de produits de la société comprend des marques telles que Xenetix, Hexabrix, Optiray, Oxilan, Telebrix, Lipiodol, Dotarem, Endorem, Artirem, Lumirem et Lipiodol, entre autres. GUERBET S.A. est également active dans le secteur des produits de chimie fine à travers sa filiale Simafex. La société opère par le biais de ses filiales, dont Simafex, Medex, SCI KALB, Guerbet LLC, Guerbet Asie Pacifique et Guerbet GmbH, entre autres.</v>
    <v>EUR</v>
    <v>2920</v>
    <v>XPAR</v>
    <v>19.899999999999999</v>
    <v>40.25</v>
    <v>Healthcare Equipment &amp; Supplies</v>
    <v>428</v>
    <v>-8.049400000000001E-2</v>
    <v>-1.63</v>
    <v>GUERBET S.A.</v>
    <v>GUERBET S.A.</v>
    <v>19.899999999999999</v>
    <v>7.0340999999999996</v>
    <v>18.62</v>
    <v>15 rue des Vanesses, Zone Paris Nord II, VILLEPINTE, ILE-DE-FRANCE, 93420 FR</v>
    <v>Bourse</v>
    <v>GUERBET S.A. (XPAR:GBT)</v>
    <v>48605</v>
    <v>31680</v>
  </rv>
  <rv s="3">
    <v>429</v>
  </rv>
  <rv s="1">
    <v>https://www.bing.com/financeapi/forcetrigger?t=afc6sm&amp;q=XFRA%3aHNR1&amp;form=skydnc</v>
    <v>Learn more on Bing</v>
  </rv>
  <rv s="2">
    <v>0</v>
    <v>1</v>
    <v>Hannover Rueck SE (XFRA:HNR1)</v>
    <v>3</v>
    <v>8</v>
    <v>Finance</v>
    <v>7</v>
    <v>fr-FR</v>
    <v>afc6sm</v>
    <v>268435456</v>
    <v>1</v>
    <v>Avec Refinitiv</v>
    <v>XFRA</v>
    <v>120597100</v>
    <v>2006</v>
    <v>272.8</v>
    <v>99.1</v>
    <v>0.54759999999999998</v>
    <v>33417460000</v>
    <v>Deutsche Boerse AG</v>
    <v>277</v>
    <v>HNR1</v>
    <v>45747.592361111114</v>
    <v>Hannover Rueck SE, une société de réassurance basée en Allemagne, opère à travers deux segments : la réassurance IARD et la réassurance vie et santé. Le segment IARD propose des solutions telles que la réassurance structurée, facultative, aéronautique, maritime et couvre les risques de crédit, de caution, politiques et agricoles. Le segment vie et santé fournit des solutions financières, de longévité, de mortalité et de morbidité. Les solutions financières aident les clients à optimiser leur capital et à gérer les risques financiers. Les solutions de longévité traitent des risques financiers liés à l'augmentation de l'espérance de vie. Les solutions de mortalité protègent contre les taux de mortalité plus élevés que prévu et les solutions de morbidité couvrent les risques financiers de maladie et d'invalidité. La société dispose d'un réseau composé d'environ 170 filiales, sociétés affiliées, succursales et bureaux de représentation.</v>
    <v>EUR</v>
    <v>3895</v>
    <v>XFRA</v>
    <v>275.10000000000002</v>
    <v>280</v>
    <v>Insurance</v>
    <v>431</v>
    <v>-1.1552E-2</v>
    <v>-3.2</v>
    <v>Hannover Rueck SE</v>
    <v>Hannover Rueck SE</v>
    <v>275.10000000000002</v>
    <v>14.37</v>
    <v>273.8</v>
    <v>Karl-Wiechert-Allee 50, HANNOVER, NIEDERSACHSEN, 30625 DE</v>
    <v>Bourse</v>
    <v>Hannover Rueck SE (XFRA:HNR1)</v>
    <v>53</v>
    <v>124860</v>
  </rv>
  <rv s="3">
    <v>432</v>
  </rv>
  <rv s="1">
    <v>https://www.bing.com/financeapi/forcetrigger?t=ae9svh&amp;q=XPAR%3aPIG&amp;form=skydnc</v>
    <v>Learn more on Bing</v>
  </rv>
  <rv s="2">
    <v>0</v>
    <v>1</v>
    <v>HAULOTTE GROUP SA (XPAR:PIG)</v>
    <v>3</v>
    <v>8</v>
    <v>Finance</v>
    <v>7</v>
    <v>fr-FR</v>
    <v>ae9svh</v>
    <v>268435456</v>
    <v>1</v>
    <v>Avec Refinitiv</v>
    <v>XPAR</v>
    <v>31371270</v>
    <v>1985</v>
    <v>2.87</v>
    <v>2.0699999999999998</v>
    <v>1.0587</v>
    <v>90349270</v>
    <v>Euronext Paris</v>
    <v>2.88</v>
    <v>PIG</v>
    <v>45747.584293981483</v>
    <v>Haulotte Group sa est une société française spécialisée dans la fabrication de matériels de levage et de terrassement. Elle opère à travers trois divisions : fabrication et vente de matériel de levage, location de matériel de levage et prestation de services tels que financement, pièces détachées, réparations, formation et assistance technique. La société offre deux catégories de produits principales : les personnes de levage de matériel, tels que télescopique, ciseaux, articulé, mâts, poussées, remorques et flèches montées sur camion ; équipements de levage de matériaux et de terrassement, tels que chargeuses-pelleteuses et chargeurs télescopiques. Haulotte Group dispose de six usines de production : trois en France, une en Roumanie, une en Chine et une aux États-Unis. Elle opère par le biais de filiales, dont Haulotte France Sarl et Telescopelle SAS, entre autres. Elle est présente dans plus de 100 pays à travers le monde.</v>
    <v>EUR</v>
    <v>2019</v>
    <v>XPAR</v>
    <v>2.9</v>
    <v>3.23</v>
    <v>Machinery, Equipment &amp; Components</v>
    <v>434</v>
    <v>-3.4720000000000003E-3</v>
    <v>-0.01</v>
    <v>HAULOTTE GROUP SA</v>
    <v>HAULOTTE GROUP SA</v>
    <v>2.89</v>
    <v>457.1429</v>
    <v>2.87</v>
    <v>Rue Emile Zola, LORETTE, AUVERGNE-RHONE-ALPES, 42420 FR</v>
    <v>Bourse</v>
    <v>HAULOTTE GROUP SA (XPAR:PIG)</v>
    <v>1542</v>
    <v>17390</v>
  </rv>
  <rv s="3">
    <v>435</v>
  </rv>
  <rv s="1">
    <v>https://www.bing.com/financeapi/forcetrigger?t=afbvu2&amp;q=XFRA%3aHEI&amp;form=skydnc</v>
    <v>Learn more on Bing</v>
  </rv>
  <rv s="2">
    <v>0</v>
    <v>1</v>
    <v>Heidelberg Materials AG (XFRA:HEI)</v>
    <v>3</v>
    <v>8</v>
    <v>Finance</v>
    <v>7</v>
    <v>fr-FR</v>
    <v>afbvu2</v>
    <v>268435456</v>
    <v>1</v>
    <v>Avec Refinitiv</v>
    <v>XFRA</v>
    <v>178430800</v>
    <v>1889</v>
    <v>156.80000000000001</v>
    <v>29.1</v>
    <v>1.3077000000000001</v>
    <v>29012840000</v>
    <v>Deutsche Boerse AG</v>
    <v>162.94999999999999</v>
    <v>HEI</v>
    <v>45747.593055555553</v>
    <v>Heidelberg Materials AG est une entreprise allemande de matériaux de construction. Ses produits sont utilisés pour la construction de maisons, de voies de circulation, d'installations commerciales et industrielles. Les activités principales de la Société comprennent la production et la distribution de ciment et de granulats, les deux matières premières essentielles à la production de béton. Elle offre également des services tels que le commerce mondial du ciment et du charbon par mer. Les secteurs d'activité de la société sont les produits durables, le ciment, les granulats, le béton prêt à l'emploi et l'asphalte. Les produits durables incluent l'utilisation de scories de haut fourneau et de cendres volantes comme matériaux cimentaires secondaires (MCS), le co-traitement des déchets et le recyclage du béton. Le ciment et les granulats se concentrent sur les matières premières pour le béton, à savoir le ciment et les granulats, tels que le sable, le gravier et la roche concassée. Le béton prêt à l'emploi et l'asphalte comprennent les activités de béton prêt à l'emploi et d'asphalte de la Société.</v>
    <v>EUR</v>
    <v>51129</v>
    <v>XFRA</v>
    <v>159.80000000000001</v>
    <v>182.5</v>
    <v>Construction Materials</v>
    <v>437</v>
    <v>-3.4980000000000004E-2</v>
    <v>-5.7</v>
    <v>Heidelberg Materials AG</v>
    <v>Heidelberg Materials AG</v>
    <v>159.80000000000001</v>
    <v>17.2</v>
    <v>157.25</v>
    <v>Berliner Strasse 6, HEIDELBERG, BADEN-WUERTTEMBERG, 69120 DE</v>
    <v>Bourse</v>
    <v>Heidelberg Materials AG (XFRA:HEI)</v>
    <v>2655</v>
    <v>620800</v>
  </rv>
  <rv s="3">
    <v>438</v>
  </rv>
  <rv s="1">
    <v>https://www.bing.com/financeapi/forcetrigger?t=alo8pr&amp;q=XAMS%3aHEIA&amp;form=skydnc</v>
    <v>Learn more on Bing</v>
  </rv>
  <rv s="2">
    <v>0</v>
    <v>1</v>
    <v>Heineken NV (XAMS:HEIA)</v>
    <v>3</v>
    <v>8</v>
    <v>Finance</v>
    <v>7</v>
    <v>fr-FR</v>
    <v>alo8pr</v>
    <v>268435456</v>
    <v>1</v>
    <v>Avec Refinitiv</v>
    <v>XAMS</v>
    <v>576002600</v>
    <v>1873</v>
    <v>74.84</v>
    <v>63.58</v>
    <v>0.65410000000000001</v>
    <v>43672520000</v>
    <v>Euronext Amsterdam</v>
    <v>75.819999999999993</v>
    <v>HEIA</v>
    <v>45747.593090277776</v>
    <v>Hieneken NV est la société néerlandaise spécialisée dans le brassage et la vente de bière. La gamme de produits HEINEKEN se compose principalement de bière, de boissons gazeuses et de cidre. La Société opère dans cinq secteurs : Afrique, Moyen-Orient et Europe de l'est ; Amériques ; Asie-Pacifique, Europe, et siège social et autres/éliminations. Le segment Afrique, Moyen-Orient et Europe de l'est comprend des marques telles que Heineken, Primus, Amstel, Walia et Goldberg. Le segment Amériques comprend des marques telles que Heineken, Tecate, Amstel, sol et dos Equis. Le segment Asie-Pacifique comprend des marques telles que Heineken, Anchor, Larue, Tiger et Bintang. Le segment Europe comprend des marques telles que Heineken, Cruzcampo, birra Moretti, Zywiec et Strongbow Apple Ciders. La Société possède, commercialise et vend dans plus de 190 pays.</v>
    <v>EUR</v>
    <v>88497</v>
    <v>XAMS</v>
    <v>75.44</v>
    <v>97.5</v>
    <v>Beverages</v>
    <v>440</v>
    <v>-1.0287999999999999E-2</v>
    <v>-0.78</v>
    <v>Heineken NV</v>
    <v>Heineken NV</v>
    <v>75.2</v>
    <v>43.437399999999997</v>
    <v>75.040000000000006</v>
    <v>Tweede Weteringplantsoen 21, AMSTERDAM, NOORD-HOLLAND, 1017 ZD NL</v>
    <v>Bourse</v>
    <v>Heineken NV (XAMS:HEIA)</v>
    <v>319703</v>
    <v>877960</v>
  </rv>
  <rv s="3">
    <v>441</v>
  </rv>
  <rv s="1">
    <v>https://www.bing.com/financeapi/forcetrigger?t=afbxh7&amp;q=XFRA%3aHFG&amp;form=skydnc</v>
    <v>Learn more on Bing</v>
  </rv>
  <rv s="9">
    <v>25</v>
    <v>26</v>
    <v>Hellofresh SE (XFRA:HFG)</v>
    <v>3</v>
    <v>27</v>
    <v>Finance</v>
    <v>7</v>
    <v>fr-FR</v>
    <v>afbxh7</v>
    <v>268435456</v>
    <v>1</v>
    <v>Avec Refinitiv</v>
    <v>XFRA</v>
    <v>173190600</v>
    <v>2016</v>
    <v>7.6779999999999999</v>
    <v>4.468</v>
    <v>0.39789999999999998</v>
    <v>1370976000</v>
    <v>Deutsche Boerse AG</v>
    <v>8.1679999999999993</v>
    <v>HFG</v>
    <v>45747.593055555553</v>
    <v>Hellofresh SE est une société basée en Allemagne qui fournit des services de restauration en ligne. La société propose des ingrédients préportionnés qui permettent aux abonnés de préparer chaque semaine des repas faits maison à l'aide de ses recettes. Les utilisateurs ont le choix entre différents types de repas et de recettes qui sont livrés certains jours de la semaine. La Société livre ses produits à des clients dans différentes régions géographiques. Les activités commerciales de la Société sont divisées en deux secteurs opérationnels : le secteur États-Unis, qui comprend les activités aux États-Unis et le secteur International, qui comprend les activités en Australie, en Autriche, en Belgique, au Canada, en Allemagne, aux Pays-Bas, en Suisse et au Royaume-Uni. L'entreprise opère sous la marque HelloFresh.</v>
    <v>EUR</v>
    <v>21783</v>
    <v>XFRA</v>
    <v>7.8159999999999998</v>
    <v>97.36</v>
    <v>Food &amp; Drug Retailing</v>
    <v>443</v>
    <v>-5.9989999999999995E-2</v>
    <v>-0.49</v>
    <v>Hellofresh SE</v>
    <v>Hellofresh SE</v>
    <v>7.8159999999999998</v>
    <v>7.6779999999999999</v>
    <v>Prinzenstrasse 89, BERLIN, BERLIN, 10969 DE</v>
    <v>Bourse</v>
    <v>Hellofresh SE (XFRA:HFG)</v>
    <v>1409</v>
    <v>1725320</v>
  </rv>
  <rv s="3">
    <v>444</v>
  </rv>
  <rv s="1">
    <v>https://www.bing.com/financeapi/forcetrigger?t=afbwc7&amp;q=XFRA%3aHEN&amp;form=skydnc</v>
    <v>Learn more on Bing</v>
  </rv>
  <rv s="2">
    <v>0</v>
    <v>1</v>
    <v>Henkel AG &amp; Co KGaA (XFRA:HEN)</v>
    <v>3</v>
    <v>8</v>
    <v>Finance</v>
    <v>7</v>
    <v>fr-FR</v>
    <v>afbwc7</v>
    <v>268435456</v>
    <v>1</v>
    <v>Avec Refinitiv</v>
    <v>XFRA</v>
    <v>437958700</v>
    <v>2001</v>
    <v>66.25</v>
    <v>55</v>
    <v>0.64359999999999995</v>
    <v>30534630000</v>
    <v>Deutsche Boerse AG</v>
    <v>67.55</v>
    <v>HEN</v>
    <v>45747.593055555553</v>
    <v>Henkel AG &amp; Co KGaA anciennement Henkel Kommanditgesellschaft auf Aktien est une société basée en Allemagne. La Société est engagée dans le secteur des produits de consommation et de l'industrie, opérant dans deux secteurs : les technologies adhésives et les marques de consommation. Elle opère dans les régions d'Europe, IMEA (Inde, moyen-Orient, Afrique), Amérique du Nord, Amérique latine et Asie-Pacifique. Le secteur des technologies adhésives de la société couvre les adhésifs, les mastics et les revêtements fonctionnels, fournissant des solutions pour la mobilité et l'électronique, l'emballage et les biens de consommation et les artisans, la construction et les professionnels sous des marques telles que Loctite, Bonderite, Aquence et Technomelt. Le secteur des marques grand public se concentre sur les deux catégories mondiales blanchisserie et soins à domicile et cheveux. Dans ce segment, la Société offre des biens de consommation de marque dans les produits de blanchisserie et de soins à domicile et les soins capillaires, elle opère également dans les affaires professionnelles des cheveux. Son portefeuille comprend des marques telles que persil, Schwarzkopf, Dial, Purex, Got2b et palette.</v>
    <v>EUR</v>
    <v>47150</v>
    <v>XFRA</v>
    <v>66.5</v>
    <v>104.9</v>
    <v>Chemicals</v>
    <v>446</v>
    <v>-1.5544000000000001E-2</v>
    <v>-1.05</v>
    <v>Henkel AG &amp; Co KGaA</v>
    <v>Henkel AG &amp; Co KGaA</v>
    <v>66.25</v>
    <v>13.77</v>
    <v>66.5</v>
    <v>Henkelstrasse 67, DUESSELDORF, NORDRHEIN-WESTFALEN, 40589 DE</v>
    <v>Bourse</v>
    <v>Henkel AG &amp; Co KGaA (XFRA:HEN)</v>
    <v>6</v>
    <v>574810</v>
  </rv>
  <rv s="3">
    <v>447</v>
  </rv>
  <rv s="1">
    <v>https://www.bing.com/financeapi/forcetrigger?t=ae9wk2&amp;q=XPAR%3aRMS&amp;form=skydnc</v>
    <v>Learn more on Bing</v>
  </rv>
  <rv s="2">
    <v>0</v>
    <v>1</v>
    <v>HERMES INTERNATIONAL S.C.A. (XPAR:RMS)</v>
    <v>3</v>
    <v>8</v>
    <v>Finance</v>
    <v>7</v>
    <v>fr-FR</v>
    <v>ae9wk2</v>
    <v>268435456</v>
    <v>1</v>
    <v>Avec Refinitiv</v>
    <v>XPAR</v>
    <v>105569400</v>
    <v>1957</v>
    <v>2392</v>
    <v>1888</v>
    <v>0.94979999999999998</v>
    <v>257167100000</v>
    <v>Euronext Paris</v>
    <v>2436</v>
    <v>RMS</v>
    <v>45747.593194444446</v>
    <v>Hermes International SCA est une société basée en France. La Société est principalement spécialisée dans la conception, la fabrication et la commercialisation de produits de luxe. Ses produits se répartissent entre les articles de maroquinerie et de sellerie, tels que les sacs à main, les bagages, la petite maroquinerie, les agendas, les articles d'écriture, les selles, les brides, les objets d'équitation et les vêtements, entre autres; les vêtements, les chaussures et les accessoires; la soie et les produits textiles; les horloges et les articles d'horlogerie; les parfums et les produits de beauté; et les autres produits, qui comprennent principalement les bijoux et les produits de décoration intérieure. Les filiales de la Société sont, entre autres, Castille Investissements, Compagnie Hermès de Participations, Comptoir Nouveau de la Parfumerie et Grafton Immobilier. La Société exerce ses activités par l'intermédiaire de magasins dans le monde entier.</v>
    <v>EUR</v>
    <v>23242</v>
    <v>XPAR</v>
    <v>2432</v>
    <v>2957</v>
    <v>Textiles &amp; Apparel</v>
    <v>449</v>
    <v>-1.2315E-2</v>
    <v>-30</v>
    <v>HERMES INTERNATIONAL S.C.A.</v>
    <v>HERMES INTERNATIONAL S.C.A.</v>
    <v>2410</v>
    <v>55.454900000000002</v>
    <v>2406</v>
    <v>24 rue du Faubourg Saint Honore, PARIS, ILE-DE-FRANCE, 75008 FR</v>
    <v>Bourse</v>
    <v>HERMES INTERNATIONAL S.C.A. (XPAR:RMS)</v>
    <v>29495</v>
    <v>67840</v>
  </rv>
  <rv s="3">
    <v>450</v>
  </rv>
  <rv s="1">
    <v>https://www.bing.com/financeapi/forcetrigger?t=ae8x1h&amp;q=XPAR%3aICAD&amp;form=skydnc</v>
    <v>Learn more on Bing</v>
  </rv>
  <rv s="2">
    <v>0</v>
    <v>1</v>
    <v>ICADE S.A. (XPAR:ICAD)</v>
    <v>3</v>
    <v>8</v>
    <v>Finance</v>
    <v>7</v>
    <v>fr-FR</v>
    <v>ae8x1h</v>
    <v>268435456</v>
    <v>1</v>
    <v>Avec Refinitiv</v>
    <v>XPAR</v>
    <v>76234540</v>
    <v>1955</v>
    <v>20.84</v>
    <v>19.36</v>
    <v>1.3614999999999999</v>
    <v>1628370000</v>
    <v>Euronext Paris</v>
    <v>21.36</v>
    <v>ICAD</v>
    <v>45747.589386574073</v>
    <v>Icade SA est une société immobilière d'investissement basée en France impliquée en particulier dans l'investissement en immobilier commercial. Ses activités sont organisées autour des divisions Bureaux, Parcs commerciaux, Santé, Centres commerciaux, Entrepôts et Investissements publics. La division Bureaux détient et gère des immeubles de bureaux. La division Parcs commerciaux est en charge du campus de l'entreprise créé à Paris, et combine diverses activités à travers de nombreux secteurs. L'unité Santé investit dans les hôpitaux ; la division Centres commerciaux détient deux grands centres commerciaux combinant boutiques et loisirs. La Société loue également des espaces dans ses entrepôts, investit dans des bâtiments sous-traités par le gouvernement et les loue aux utilisateurs du secteur public tels que les ministères et les autorités locales. L'actionnaire principal de la Société est Credit Agricole Assurances. Elle opère à travers Arkadea et ANF Immobilier SA.</v>
    <v>EUR</v>
    <v>1006</v>
    <v>XPAR</v>
    <v>21.36</v>
    <v>29.74</v>
    <v>Residential &amp; Commercial REIT</v>
    <v>452</v>
    <v>-1.5918000000000002E-2</v>
    <v>-0.34</v>
    <v>ICADE S.A.</v>
    <v>ICADE S.A.</v>
    <v>21.36</v>
    <v>0</v>
    <v>21.02</v>
    <v>Open, 27 rue Camille Desmoulins, ISSY-LES-MOULINEAUX, ILE-DE-FRANCE, 92130 FR</v>
    <v>Bourse</v>
    <v>ICADE S.A. (XPAR:ICAD)</v>
    <v>60022</v>
    <v>171660</v>
  </rv>
  <rv s="3">
    <v>453</v>
  </rv>
  <rv s="1">
    <v>https://www.bing.com/financeapi/forcetrigger?t=ao9zar&amp;q=XLON%3aICP&amp;form=skydnc</v>
    <v>Learn more on Bing</v>
  </rv>
  <rv s="2">
    <v>0</v>
    <v>1</v>
    <v>INTERMEDIATE CAPITAL GROUP PLC (XLON:ICG)</v>
    <v>3</v>
    <v>30</v>
    <v>Finance</v>
    <v>31</v>
    <v>fr-FR</v>
    <v>ao9zar</v>
    <v>268435456</v>
    <v>1</v>
    <v>Avec Refinitiv</v>
    <v>XLON</v>
    <v>290636500</v>
    <v>1988</v>
    <v>1940</v>
    <v>1852</v>
    <v>2.5962000000000001</v>
    <v>5876669000</v>
    <v>London Stock Exchange</v>
    <v>2022</v>
    <v>ICG</v>
    <v>45747.592997685184</v>
    <v>Intermediate Capital Group plc est un gestionnaire d'actifs alternatifs mondial basé au Royaume-Uni. La Société gère le capital pour le compte de sa clientèle mondiale, principalement à travers des fonds fermés à long terme. Elle fournit diverses solutions de capital pour les entreprises et les propriétaires d'actifs réels, et crée de la valeur pour les parties prenantes, les actionnaires et les communautés. La société opère à travers deux segments : la société de gestion de fonds (FMC) et la société d'investissement (IC). La société opère dans quatre classes d'actifs, qui comprennent les capitaux propres structurés et privés, la dette privée, les actifs réels et le crédit. Son activité de capital-investissement et de fonds propres consiste à fournir des solutions de financement structurées et en actions aux entreprises privées. Sa dette privée consiste à fournir un financement par emprunt aux entreprises emprunteuses. Ses actifs réels consistent à fournir des solutions de financement dans les secteurs de l'immobilier et des infrastructures. Son crédit comprend des investissements sur les marchés publics primaires et secondaires du crédit.</v>
    <v>GBp</v>
    <v>637</v>
    <v>XLON</v>
    <v>2002</v>
    <v>2468</v>
    <v>Investment Banking &amp; Investment Services</v>
    <v>455</v>
    <v>-3.0168E-2</v>
    <v>-61</v>
    <v>INTERMEDIATE CAPITAL GROUP PLC</v>
    <v>INTERMEDIATE CAPITAL GROUP PLC</v>
    <v>2002</v>
    <v>14.5206</v>
    <v>1961</v>
    <v>Procession House, 55 Ludgate Hill,, LONDON, EC4M 7JW GB</v>
    <v>Bourse</v>
    <v>INTERMEDIATE CAPITAL GROUP PLC (XLON:ICG)</v>
    <v>209096</v>
    <v>681770</v>
  </rv>
  <rv s="3">
    <v>456</v>
  </rv>
  <rv s="1">
    <v>https://www.bing.com/financeapi/forcetrigger?t=ae8x77&amp;q=XPAR%3aIDL&amp;form=skydnc</v>
    <v>Learn more on Bing</v>
  </rv>
  <rv s="2">
    <v>0</v>
    <v>1</v>
    <v>ID LOGISTICS SAS (XPAR:IDL)</v>
    <v>3</v>
    <v>8</v>
    <v>Finance</v>
    <v>7</v>
    <v>fr-FR</v>
    <v>ae8x77</v>
    <v>268435456</v>
    <v>1</v>
    <v>Avec Refinitiv</v>
    <v>XPAR</v>
    <v>6548330</v>
    <v>2001</v>
    <v>362.5</v>
    <v>323.5</v>
    <v>0.65620000000000001</v>
    <v>2409785000</v>
    <v>Euronext Paris</v>
    <v>368</v>
    <v>IDL</v>
    <v>45747.592789351853</v>
    <v>ID Logistics SAS est une société française active dans le secteur de la logistique. Elle est spécialisée dans la fourniture de services de logistique et de transport. La Société réalise les prestations de logistique et d'optimisation de la chaîne d'approvisionnement pour les industriels européens et les distributeurs français. Un autre secteur d'activité utilisant ses services appartient à l'industrie des cosmétiques et du commerce électronique, ainsi qu'à l'industrie alimentaire et des boissons. La Société offre à ses clients une gamme de services pour leur chaîne d'approvisionnement, tels que l'entreposage, la logistique sous température dirigée et le commerce électronique. Elle offre des services à valeur ajoutée comprenant la gestion des stocks, le conditionnement, l'exécution des commandes, le contrôle qualité, le co-packing, le pooling et le centre de consolidation des fournisseurs. L'unité d'affaires de la Société, La Fileche Cavaillonnaise, est propriétaire de sa flotte de camions et offre des services de transport, d'organisation et d'optimisation. Elle est présente en France et à l'étranger, comme le Brésil, la Chine et la Russie, entre autres. En juillet 2013, elle a finalisé l'acquisition de CEPL.</v>
    <v>EUR</v>
    <v>28864</v>
    <v>XPAR</v>
    <v>367</v>
    <v>466</v>
    <v>Freight &amp; Logistics Services</v>
    <v>458</v>
    <v>-6.7930000000000004E-3</v>
    <v>-2.5</v>
    <v>ID LOGISTICS SAS</v>
    <v>ID LOGISTICS SAS</v>
    <v>366</v>
    <v>43.0334</v>
    <v>365.5</v>
    <v>55, Chemin des Engranauds, ORGON, PACA, 13660 FR</v>
    <v>Bourse</v>
    <v>ID LOGISTICS SAS (XPAR:IDL)</v>
    <v>3309</v>
    <v>5970</v>
  </rv>
  <rv s="3">
    <v>459</v>
  </rv>
  <rv s="1">
    <v>https://www.bing.com/financeapi/forcetrigger?t=alock2&amp;q=XAMS%3aIMCD&amp;form=skydnc</v>
    <v>Learn more on Bing</v>
  </rv>
  <rv s="4">
    <v>9</v>
    <v>10</v>
    <v>IMCD NV (XAMS:IMCD)</v>
    <v>3</v>
    <v>11</v>
    <v>Finance</v>
    <v>7</v>
    <v>fr-FR</v>
    <v>alock2</v>
    <v>268435456</v>
    <v>1</v>
    <v>Avec Refinitiv</v>
    <v>XAMS</v>
    <v>59108000</v>
    <v>121.9</v>
    <v>121.9</v>
    <v>1.3448</v>
    <v>7483073000</v>
    <v>Euronext Amsterdam</v>
    <v>126.6</v>
    <v>IMCD</v>
    <v>45747.593182870369</v>
    <v>IMCD NV est une société basée aux Pays-Bas qui se spécialise dans la vente, la commercialisation et la distribution d'ingrédients chimiques et alimentaires spécialisés. Son portefeuille de produits comprend des produits chimiques provenant de divers domaines, notamment la pharmacie, les soins personnels, les revêtements, l'alimentation et la nutrition, les lubrifiants, la synthèse, les plastiques, les détergents, les produits agrochimiques, le textile, le traitement des eaux usées et des déchets, la coupe et le sablage au jet, les arômes et les parfums, le pétrole et le gaz et le polissage, entre autres. La société exploite une chaîne d'approvisionnement internationale avec des entrepôts locaux et fournit des services à valeur ajoutée, qui comprennent le reconditionnement, la dilution et le mélange. La société opère dans le monde entier.</v>
    <v>EUR</v>
    <v>5126</v>
    <v>XAMS</v>
    <v>125.25</v>
    <v>169.05</v>
    <v>Chemicals</v>
    <v>461</v>
    <v>-3.3570000000000003E-2</v>
    <v>-4.25</v>
    <v>IMCD NV</v>
    <v>IMCD NV</v>
    <v>125.15</v>
    <v>26.033300000000001</v>
    <v>122.35</v>
    <v>Wilhelminaplein 32, ROTTERDAM, ZUID-HOLLAND, 3072 DE NL</v>
    <v>Bourse</v>
    <v>IMCD NV (XAMS:IMCD)</v>
    <v>26379</v>
    <v>125420</v>
  </rv>
  <rv s="3">
    <v>462</v>
  </rv>
  <rv s="1">
    <v>https://www.bing.com/financeapi/forcetrigger?t=ae9oyc&amp;q=XPAR%3aNK&amp;form=skydnc</v>
    <v>Learn more on Bing</v>
  </rv>
  <rv s="2">
    <v>0</v>
    <v>1</v>
    <v>IMERYS SA (XPAR:NK)</v>
    <v>3</v>
    <v>8</v>
    <v>Finance</v>
    <v>7</v>
    <v>fr-FR</v>
    <v>ae9oyc</v>
    <v>268435456</v>
    <v>1</v>
    <v>Avec Refinitiv</v>
    <v>XPAR</v>
    <v>84940960</v>
    <v>1956</v>
    <v>29.92</v>
    <v>25.54</v>
    <v>1.3036000000000001</v>
    <v>2658652000</v>
    <v>Euronext Paris</v>
    <v>31.3</v>
    <v>NK</v>
    <v>45747.592418981483</v>
    <v>Imerys sa est une société française de minéraux spécialisés qui propose une gamme de solutions personnalisables à de nombreux secteurs, tels que les matériaux de construction, l'énergie mobile, la sidérurgie, l'agroalimentaire, l'automobile et les cosmétiques. La Société opère dans deux secteurs : minéraux de performance. Performance Minerals fournit des additifs pour peintures et revêtements, des composants pour céramiques techniques et conventionnelles, des additifs pour plastiques et polymères, des charges et des revêtements pour papier d'impression et d'écriture, ainsi que des cartons et emballages, des agents de filtration pour aliments liquides et plasma sanguin, du graphite spécialisé pour l'énergie mobile et la précision. La Société est active à l'échelle mondiale. Il soutient un large éventail de secteurs, de la construction et de l'automobile aux biens de consommation. La Société fournit des solutions renommées basées sur le traitement et le raffinage des ressources minérales, des minéraux synthétiques et des formulations.</v>
    <v>EUR</v>
    <v>12392</v>
    <v>XPAR</v>
    <v>30.76</v>
    <v>38.5</v>
    <v>Metals &amp; Mining</v>
    <v>464</v>
    <v>-3.5144000000000002E-2</v>
    <v>-1.1000000000000001</v>
    <v>IMERYS SA</v>
    <v>IMERYS SA</v>
    <v>30.7</v>
    <v>0</v>
    <v>30.2</v>
    <v>43 quai de Grenelle, PARIS, ILE-DE-FRANCE, 75015 FR</v>
    <v>Bourse</v>
    <v>IMERYS SA (XPAR:NK)</v>
    <v>50121</v>
    <v>70050</v>
  </rv>
  <rv s="3">
    <v>465</v>
  </rv>
  <rv s="1">
    <v>https://www.bing.com/financeapi/forcetrigger?t=afcqvh&amp;q=XFRA%3aIFX&amp;form=skydnc</v>
    <v>Learn more on Bing</v>
  </rv>
  <rv s="2">
    <v>0</v>
    <v>1</v>
    <v>Infineon Technologies AG (XFRA:IFX)</v>
    <v>3</v>
    <v>8</v>
    <v>Finance</v>
    <v>7</v>
    <v>fr-FR</v>
    <v>afcqvh</v>
    <v>268435456</v>
    <v>1</v>
    <v>Avec Refinitiv</v>
    <v>XFRA</v>
    <v>1305921000</v>
    <v>1999</v>
    <v>29.84</v>
    <v>10.220000000000001</v>
    <v>1.6112</v>
    <v>40653320000</v>
    <v>Deutsche Boerse AG</v>
    <v>31.2</v>
    <v>IFX</v>
    <v>45747.573611111111</v>
    <v>Infineon Technologies AG est une société basée en Allemagne. La société est un développeur et fabricant de semi-conducteurs et de solutions de systèmes connexes. La société opère à travers quatre divisions : Automotive, Green Industrial Power, Power &amp; Sensor Systems et Connected Secure Systems. La division Automotive conçoit, développe, fabrique et commercialise des semi-conducteurs pour soutenir les applications automobiles telles que l'électromobilité, la conduite automatisée, la connectivité et la sécurité avancée. La division Industrial Power Control fournit des produits, des solutions et des services pour la production, la transmission, le stockage et l'utilisation de l'énergie. Power &amp; Sensor Systems fournit des semi-conducteurs et des dispositifs d'alimentation et de connectivité tels que des chargeurs, des serveurs, des cartes mères, des outils électriques et des systèmes d'éclairage. Connected Secure Systems fournit des technologies de l'Internet des objets (IoT) telles que l'informatique, la connectivité sans fil et les technologies qui fournissent des connexions sécurisées.</v>
    <v>EUR</v>
    <v>58008</v>
    <v>XFRA</v>
    <v>30.725000000000001</v>
    <v>43.755000000000003</v>
    <v>Semiconductors &amp; Semiconductor Equipment</v>
    <v>467</v>
    <v>-3.125E-2</v>
    <v>-0.97499999999999998</v>
    <v>Infineon Technologies AG</v>
    <v>Infineon Technologies AG</v>
    <v>30.704999999999998</v>
    <v>29.88</v>
    <v>30.225000000000001</v>
    <v>Am Campeon 1-15, NEUBIBERG, BAYERN, 85579 DE</v>
    <v>Bourse</v>
    <v>Infineon Technologies AG (XFRA:IFX)</v>
    <v>9500</v>
    <v>4415300</v>
  </rv>
  <rv s="3">
    <v>468</v>
  </rv>
  <rv s="1">
    <v>https://www.bing.com/financeapi/forcetrigger?t=alocyc&amp;q=XAMS%3aINGA&amp;form=skydnc</v>
    <v>Learn more on Bing</v>
  </rv>
  <rv s="2">
    <v>0</v>
    <v>1</v>
    <v>ING Groep NV (XAMS:INGA)</v>
    <v>3</v>
    <v>8</v>
    <v>Finance</v>
    <v>7</v>
    <v>fr-FR</v>
    <v>alocyc</v>
    <v>268435456</v>
    <v>1</v>
    <v>Avec Refinitiv</v>
    <v>XAMS</v>
    <v>3147391000</v>
    <v>1991</v>
    <v>17.78</v>
    <v>14.236000000000001</v>
    <v>1.3797999999999999</v>
    <v>57597260000</v>
    <v>Euronext Amsterdam</v>
    <v>18.3</v>
    <v>INGA</v>
    <v>45747.593210022656</v>
    <v>ING Groep NV (ING) est une institution financière. La société offre des services bancaires. Les segments de la société comprennent Retail Netherlands, qui offre des comptes courants et d'épargne, des prêts aux entreprises, des prêts hypothécaires et d'autres prêts aux consommateurs aux Pays-Bas; Retail Belgique, qui offre des produits similaires à ceux des Pays-Bas; Retail Germany, qui offre des comptes courants et d'épargne, des prêts hypothécaires et d'autres prêts à la clientèle; Retail Other, qui offre des produits similaires à ceux des Pays-Bas, et Wholesale Banking, qui offre des activités de banque de gros (une gamme complète de produits de la gestion de trésorerie au financement d'entreprise), immobilier et bail. Les métiers de la Banque de détail de la société fournissent des produits et des services aux particuliers, aux petites et moyennes entreprises (PME) et aux entreprises moyennes. Les activités bancaires d'ING en Australie sont entreprises par ING Bank (Australia) Limited (trading ING Direct) et ING Bank NV Sydney Branch.</v>
    <v>EUR</v>
    <v>60000</v>
    <v>XAMS</v>
    <v>18.18</v>
    <v>19.042000000000002</v>
    <v>Banking Services</v>
    <v>470</v>
    <v>-1.9126000000000001E-2</v>
    <v>-0.35</v>
    <v>ING Groep NV</v>
    <v>ING Groep NV</v>
    <v>18.148</v>
    <v>9.2490000000000006</v>
    <v>17.95</v>
    <v>Bijlmerdreef 106, AMSTERDAM, NOORD-HOLLAND, 1102 CT NL</v>
    <v>Bourse</v>
    <v>ING Groep NV (XAMS:INGA)</v>
    <v>6901394</v>
    <v>12317080</v>
  </rv>
  <rv s="3">
    <v>471</v>
  </rv>
  <rv s="1">
    <v>https://www.bing.com/financeapi/forcetrigger?t=a1vmf2&amp;q=XNAS%3aINTC&amp;form=skydnc</v>
    <v>Learn more on Bing</v>
  </rv>
  <rv s="2">
    <v>0</v>
    <v>1</v>
    <v>INTEL CORPORATION (XNAS:INTC)</v>
    <v>3</v>
    <v>4</v>
    <v>Finance</v>
    <v>5</v>
    <v>fr-FR</v>
    <v>a1vmf2</v>
    <v>268435456</v>
    <v>1</v>
    <v>Avec Refinitiv</v>
    <v>XNAS</v>
    <v>4360592000</v>
    <v>1989</v>
    <v>21.75</v>
    <v>18.510000000000002</v>
    <v>1.1172</v>
    <v>97023172000</v>
    <v>Nasdaq Stock Market</v>
    <v>22.71</v>
    <v>INTC</v>
    <v>45747.603622823437</v>
    <v>Intel Corporation conçoit et fabrique des produits et des technologies. Les segments de la société comprennent Client Computing Group (CCG), Data Center and ai (DCAI), Network and Edge (NEX), Mobileye, Accelerated Computing Systems and Graphics (AXG) et Intel Foundry services (IFS). Le segment CCG se concentre sur le système d'exploitation à long terme, l'architecture système, le matériel et l'intégration d'applications qui permettent des expériences PC. Son segment DCAI offre des solutions optimisées pour la charge de travail aux fournisseurs de services cloud et aux entreprises clientes, ainsi que des périphériques silicium pour les fournisseurs de services de communication. Son segment NEX aide les réseaux et les systèmes de calcul de périphérie, du matériel rigide à fonction fixe aux périphériques de calcul, d'accélération et de mise en réseau généralistes exécutant des logiciels natifs du cloud sur du matériel programmable. Le segment Mobileye propose des solutions d'aide à la conduite et de conduite autonome. AXG segment fournit des produits et des technologies à ses clients pour résoudre des problèmes de calcul.</v>
    <v>USD</v>
    <v>108900</v>
    <v>XNAS</v>
    <v>22.53</v>
    <v>45.41</v>
    <v>Semiconductors &amp; Semiconductor Equipment</v>
    <v>473</v>
    <v>-2.0255000000000002E-2</v>
    <v>-0.46</v>
    <v>INTEL CORPORATION</v>
    <v>INTEL CORPORATION</v>
    <v>22.37</v>
    <v>0</v>
    <v>22.25</v>
    <v>2200 Mission College Blvd, Rnb-4-151, SANTA CLARA, CA, 95054 US</v>
    <v>Bourse</v>
    <v>INTEL CORPORATION (XNAS:INTC)</v>
    <v>18824675</v>
    <v>103553095</v>
  </rv>
  <rv s="3">
    <v>474</v>
  </rv>
  <rv s="1">
    <v>http://en.wikipedia.org/wiki/IBM</v>
    <v>Wikipedia</v>
  </rv>
  <rv s="5">
    <v>23</v>
    <v>476</v>
  </rv>
  <rv s="6">
    <v>17</v>
    <v>https://www.bing.com/th?id=AMMS_41da901be1b295dc42c72dadb9c0f67d&amp;qlt=95</v>
    <v>477</v>
    <v>0</v>
    <v>https://www.bing.com/images/search?form=xlimg&amp;q=ibm</v>
    <v>Image of INTERNATIONAL BUSINESS MACHINES CORPORATION</v>
  </rv>
  <rv s="1">
    <v>https://www.bing.com/financeapi/forcetrigger?t=a1v6nm&amp;q=XNYS%3aIBM&amp;form=skydnc</v>
    <v>Learn more on Bing</v>
  </rv>
  <rv s="7">
    <v>12</v>
    <v>13</v>
    <v>INTERNATIONAL BUSINESS MACHINES CORPORATION (XNYS:IBM)</v>
    <v>15</v>
    <v>16</v>
    <v>Finance</v>
    <v>5</v>
    <v>fr-FR</v>
    <v>a1v6nm</v>
    <v>268435456</v>
    <v>1</v>
    <v>Avec Refinitiv</v>
    <v>XNYS</v>
    <v>927264300</v>
    <v>1911</v>
    <v>242.49</v>
    <v>162.62</v>
    <v>0.66269999999999996</v>
    <v>229391278855</v>
    <v>New York Stock Exchange</v>
    <v>244</v>
    <v>IBM</v>
    <v>45747.603607082812</v>
    <v>International Business machines Corporation est engagée dans le traitement des opportunités de cloud hybride et d'intelligence artificielle (IA) avec une approche centrée sur la plateforme, axée sur la création de valeur client grâce à une combinaison de technologie et d'expertise commerciale. Ses segments comprennent les logiciels, le conseil, l'infrastructure et le financement. Son segment logiciels comprend deux secteurs d'activité : Hybrid Platform &amp; solutions, qui comprend un logiciel pour aider les clients à exploiter, gérer et optimiser leurs ressources INFORMATIQUES et leurs processus d'affaires dans des environnements hybrides et multicloud, et le traitement des transactions, qui comprend un logiciel qui prend en charge les charges de travail stratégiques sur site des clients dans des secteurs tels que les banques, les compagnies aériennes et la vente au détail. Le secteur du conseil est engagé dans la transformation des affaires, le conseil technologique et les opérations d'application. Le segment infrastructure est engagé dans l'infrastructure hybride et le support d'infrastructure. Le secteur du financement est engagé dans le financement des clients et le financement commercial.</v>
    <v>USD</v>
    <v>293400</v>
    <v>XNYS</v>
    <v>247.86</v>
    <v>266.45</v>
    <v>478</v>
    <v>Software &amp; IT Services</v>
    <v>479</v>
    <v>1.3873E-2</v>
    <v>3.3849999999999998</v>
    <v>INTERNATIONAL BUSINESS MACHINES CORPORATION</v>
    <v>INTERNATIONAL BUSINESS MACHINES CORPORATION</v>
    <v>242.505</v>
    <v>35.371699999999997</v>
    <v>247.38499999999999</v>
    <v>One New Orchard Road, ARMONK, NY, 10504 US</v>
    <v>Bourse</v>
    <v>INTERNATIONAL BUSINESS MACHINES CORPORATION (XNYS:IBM)</v>
    <v>946008</v>
    <v>4784002</v>
  </rv>
  <rv s="3">
    <v>480</v>
  </rv>
  <rv s="1">
    <v>https://www.bing.com/financeapi/forcetrigger?t=ae8zvh&amp;q=XPAR%3aITP&amp;form=skydnc</v>
    <v>Learn more on Bing</v>
  </rv>
  <rv s="2">
    <v>0</v>
    <v>1</v>
    <v>INTERPARFUMS SA (XPAR:ITP)</v>
    <v>3</v>
    <v>8</v>
    <v>Finance</v>
    <v>7</v>
    <v>fr-FR</v>
    <v>ae8zvh</v>
    <v>268435456</v>
    <v>1</v>
    <v>Avec Refinitiv</v>
    <v>XPAR</v>
    <v>76116230</v>
    <v>1989</v>
    <v>39.35</v>
    <v>37.700000000000003</v>
    <v>1.1274999999999999</v>
    <v>3086513000</v>
    <v>Euronext Paris</v>
    <v>40.549999999999997</v>
    <v>ITP</v>
    <v>45747.592604166668</v>
    <v>Interparfums sa, également connue sous le nom d'Interparfums, est une société française spécialisée dans la conception, la fabrication et la commercialisation de parfums de luxe. L'activité de la Société est organisée principalement autour de deux produits tels que les parfums et les articles de mode pour femmes et hommes. Il fournit des marques telles que Montblanc, Jimmy Choo, Coach, Lanvin, Rochas, Boucheron, Karl Lagerfeld, Van Cleef &amp; Arpels, Paul Smith, Kate Spade, Moncler, Repetto et S.T. Dupont. Il offre la marque rochas. La plateforme fournit également des informations annuelles sur la stratégie d'Interparfums. Il offre un procédé de revêtement qui prévoit l'élimination progressive des revêtements à base de solvant et l'adoption progressive de l'hydrorevêtement.</v>
    <v>EUR</v>
    <v>353</v>
    <v>XPAR</v>
    <v>40.15</v>
    <v>48.45</v>
    <v>Personal &amp; Household Products &amp; Services</v>
    <v>482</v>
    <v>-2.2194999999999999E-2</v>
    <v>-0.9</v>
    <v>INTERPARFUMS SA</v>
    <v>INTERPARFUMS SA</v>
    <v>40.15</v>
    <v>21.668299999999999</v>
    <v>39.65</v>
    <v>10 rue de Solferino, PARIS, ILE-DE-FRANCE, 75007 FR</v>
    <v>Bourse</v>
    <v>INTERPARFUMS SA (XPAR:ITP)</v>
    <v>28828</v>
    <v>43710</v>
  </rv>
  <rv s="3">
    <v>483</v>
  </rv>
  <rv s="1">
    <v>https://www.bing.com/financeapi/forcetrigger?t=a1vwxm&amp;q=XNYS%3aIVZ&amp;form=skydnc</v>
    <v>Learn more on Bing</v>
  </rv>
  <rv s="2">
    <v>0</v>
    <v>1</v>
    <v>INVESCO LTD (XNYS:IVZ)</v>
    <v>3</v>
    <v>4</v>
    <v>Finance</v>
    <v>5</v>
    <v>fr-FR</v>
    <v>a1vwxm</v>
    <v>268435456</v>
    <v>1</v>
    <v>Avec Refinitiv</v>
    <v>XNYS</v>
    <v>447601800</v>
    <v>2007</v>
    <v>14.795</v>
    <v>14.16</v>
    <v>1.2359</v>
    <v>6682694874</v>
    <v>New York Stock Exchange</v>
    <v>15.19</v>
    <v>IVZ</v>
    <v>45747.603599745315</v>
    <v>Invesco Ltd. Est une société de gestion de placements indépendante. Elle dessert les marchés de détail et institutionnels du secteur de la gestion de placements en Amérique, en Europe, au moyen-Orient, en Afrique et en Asie-Pacifique dans 120 pays. Il offre une gamme de stratégies de placement dans toutes les classes d'actifs, styles de placement et géographies. Ses classes d'actifs comprennent les actions, les titres à revenu fixe, les titres équilibrés, les titres alternatifs et le marché monétaire. Ses actifs de détail gérés comprennent des fonds communs de placement, des fonds cotés en bourse, des comptes gérés séparément, des comptes d'épargne individuels, des sociétés de placement à capital variable, des fiducies de placement, des fonds communs de placement à capital variable, des fiducies de placement à capital variable et des fonds d'assurance à capital variable. Ses actifs institutionnels comprennent des comptes institutionnels distincts, des fonds privés, des fonds communs de placement à capital ouvert et des fonds collectifs de fiducie. Sa clientèle comprend des entités publiques et privées, des syndicats, des organisations à but non lucratif, des fonds de dotation, des fondations, institutions financières et fonds souverains.</v>
    <v>USD</v>
    <v>8508</v>
    <v>XNYS</v>
    <v>15.045</v>
    <v>19.55</v>
    <v>Investment Banking &amp; Investment Services</v>
    <v>485</v>
    <v>-1.7117E-2</v>
    <v>-0.26</v>
    <v>INVESCO LTD</v>
    <v>INVESCO LTD</v>
    <v>14.93</v>
    <v>12.6686</v>
    <v>14.93</v>
    <v>1331 SPRING STREET NW, SUITE 2500, ATLANTA, GA, 30309 US</v>
    <v>Bourse</v>
    <v>INVESCO LTD (XNYS:IVZ)</v>
    <v>499990</v>
    <v>5515278</v>
  </rv>
  <rv s="3">
    <v>486</v>
  </rv>
  <rv s="1">
    <v>https://www.bing.com/financeapi/forcetrigger?t=ae8yw7&amp;q=XPAR%3aIPN&amp;form=skydnc</v>
    <v>Learn more on Bing</v>
  </rv>
  <rv s="2">
    <v>0</v>
    <v>1</v>
    <v>IPSEN SA (XPAR:IPN)</v>
    <v>3</v>
    <v>8</v>
    <v>Finance</v>
    <v>7</v>
    <v>fr-FR</v>
    <v>ae8yw7</v>
    <v>268435456</v>
    <v>1</v>
    <v>Avec Refinitiv</v>
    <v>XPAR</v>
    <v>83814530</v>
    <v>1998</v>
    <v>106</v>
    <v>100.3</v>
    <v>0.39229999999999998</v>
    <v>9010062000</v>
    <v>Euronext Paris</v>
    <v>107.5</v>
    <v>IPN</v>
    <v>45747.593103321095</v>
    <v>Ipsen SA est un groupe biopharmaceutique français spécialisé dans les soins de spécialité. La Société exerce ses activités à l'échelle mondiale à travers deux segments : les soins spécialisés et les soins de santé grand public. En médecine de spécialité, la Société se concentre sur divers domaines thérapeutiques, notamment l'oncologie, les neurosciences et les maladies rares. Son portefeuille en oncologie comprend Somatuline, Decapeptyl, Cabometyx et Onivyde. Son portefeuille de neurosciences comprend Dysport et, dans le domaine des maladies rares, les produits clés sont NutropinAq et Increlex. Son portefeuille de soins primaires comprend Smecta, Forlax, Fortrans, Eziclen et Tanakan. En oncologie, Ipsen se concentre sur un certain nombre de domaines pathologiques, notamment les tumeurs neuroendocrines, le carcinome à cellules rénales, le carcinome hépatocellulaire et le cancer du pancréas. En outre, la Société est spécialisée dans la recherche sur les neurotoxines et exploite trois centres de recherche et développement situés en France, au Royaume-Uni et aux États-Unis.</v>
    <v>EUR</v>
    <v>5325</v>
    <v>XPAR</v>
    <v>108.4</v>
    <v>126.7</v>
    <v>Pharmaceuticals</v>
    <v>488</v>
    <v>-1.3953E-2</v>
    <v>-1.5</v>
    <v>IPSEN SA</v>
    <v>IPSEN SA</v>
    <v>107.2</v>
    <v>25.458200000000001</v>
    <v>106</v>
    <v>65 Quai Georges Gorse, BOULOGNE-BILLANCOURT, ILE-DE-FRANCE, 92100 FR</v>
    <v>Bourse</v>
    <v>IPSEN SA (XPAR:IPN)</v>
    <v>21376</v>
    <v>67630</v>
  </rv>
  <rv s="3">
    <v>489</v>
  </rv>
  <rv s="1">
    <v>https://www.bing.com/financeapi/forcetrigger?t=ae8yz2&amp;q=XPAR%3aIPS&amp;form=skydnc</v>
    <v>Learn more on Bing</v>
  </rv>
  <rv s="2">
    <v>0</v>
    <v>1</v>
    <v>IPSOS SA (XPAR:IPS)</v>
    <v>3</v>
    <v>8</v>
    <v>Finance</v>
    <v>7</v>
    <v>fr-FR</v>
    <v>ae8yz2</v>
    <v>268435456</v>
    <v>1</v>
    <v>Avec Refinitiv</v>
    <v>XPAR</v>
    <v>43203230</v>
    <v>1983</v>
    <v>41.72</v>
    <v>41.56</v>
    <v>0.94230000000000003</v>
    <v>1839593000</v>
    <v>Euronext Paris</v>
    <v>42.58</v>
    <v>IPS</v>
    <v>45747.593206018515</v>
    <v>Ipsos sa est une société de recherche basée en France. La Société utilise des sondages et sondages mondiaux pour explorer le potentiel du marché, tester des produits et des médias publicitaires, étudier les audiences et la perception des audiences, et mesurer les tendances de l'opinion publique. Ipsos sa opère via les marques suivantes : Ipsos ASI, qui gère la division Advertising Research Specialists ; Ipsos Marketing, qui gère la division innovation and Brand Research Specialists ; Ipsos MediaCT, qui gère la division Media, Content and Technology Research Specialists ; Ipsos public Affairs, qui gère la division social Research and Corporate Reputation Specialists, Ipsos Loyalty, qui gère la division Customer and Employee Research Specialists, et Ipsos observer, qui gère la division Survey Management, Data Collection and Delivery Specialists. La Société opère par l'intermédiaire de ses filiales, telles que Ipsos Mori UK Ltd, Ipsos Brasil Pesquias de Mercado Ltda et LT participations sa, entre autres.</v>
    <v>EUR</v>
    <v>19757</v>
    <v>XPAR</v>
    <v>42.18</v>
    <v>68.2</v>
    <v>Media &amp; Publishing</v>
    <v>491</v>
    <v>-1.55E-2</v>
    <v>-0.66</v>
    <v>IPSOS SA</v>
    <v>IPSOS SA</v>
    <v>42.02</v>
    <v>8.9633000000000003</v>
    <v>41.92</v>
    <v>35 rue du Val de Marne, PARIS, ILE-DE-FRANCE, 75013 FR</v>
    <v>Bourse</v>
    <v>IPSOS SA (XPAR:IPS)</v>
    <v>17570</v>
    <v>37250</v>
  </rv>
  <rv s="3">
    <v>492</v>
  </rv>
  <rv s="1">
    <v>https://www.bing.com/financeapi/forcetrigger?t=ae8cgh&amp;q=XPAR%3aDEC&amp;form=skydnc</v>
    <v>Learn more on Bing</v>
  </rv>
  <rv s="2">
    <v>0</v>
    <v>1</v>
    <v>JCDECAUX SE (XPAR:DEC)</v>
    <v>3</v>
    <v>8</v>
    <v>Finance</v>
    <v>7</v>
    <v>fr-FR</v>
    <v>ae8cgh</v>
    <v>268435456</v>
    <v>1</v>
    <v>Avec Refinitiv</v>
    <v>XPAR</v>
    <v>214128700</v>
    <v>1984</v>
    <v>15.2</v>
    <v>13.77</v>
    <v>1.6217999999999999</v>
    <v>3361820000</v>
    <v>Euronext Paris</v>
    <v>15.7</v>
    <v>DEC</v>
    <v>45747.591964930471</v>
    <v>JCDECAUX SE est une société de publicité extérieure basée en France. Elle divise ses activités en trois secteurs principaux : Publicité sur le mobilier urbain, publicité sur les panneaux d'affichage et dans les transports. La Société commissionne et maintient une gamme d'éléments de mobilier urbain, comprenant les abris de bus et de tram, toilettes extérieures automatiques, supports à vélos en libre-service, colonnes multiservices, kiosques à journaux, panneaux lumineux, bancs publics et poubelles publiques. La publicité sur panneaux d'affichage comprend les panneaux d'affichage défilants ainsi que les systèmes de panneaux traditionnels. La publicité dans les transports englobe la publicité sur les véhicules, les aéroports et dans les gares et les stations de métro. La Société opère en Europe, région Asie-Pacifique, Moyen-Orient et Russie, entre autres. Elle fonctionne par le biais de JCDecaux-Top Media.</v>
    <v>EUR</v>
    <v>11434</v>
    <v>XPAR</v>
    <v>15.54</v>
    <v>22.36</v>
    <v>Media &amp; Publishing</v>
    <v>494</v>
    <v>-1.7197E-2</v>
    <v>-0.27</v>
    <v>JCDECAUX SE</v>
    <v>JCDECAUX SE</v>
    <v>15.54</v>
    <v>12.9656</v>
    <v>15.43</v>
    <v>17 Rue Soyer, NEUILLY-SUR-SEINE, ILE-DE-FRANCE, 92200 FR</v>
    <v>Bourse</v>
    <v>JCDECAUX SE (XPAR:DEC)</v>
    <v>32404</v>
    <v>238140</v>
  </rv>
  <rv s="3">
    <v>495</v>
  </rv>
  <rv s="1">
    <v>https://www.bing.com/financeapi/forcetrigger?t=a1w8ec&amp;q=XNYS%3aJNJ&amp;form=skydnc</v>
    <v>Learn more on Bing</v>
  </rv>
  <rv s="2">
    <v>0</v>
    <v>1</v>
    <v>JOHNSON &amp; JOHNSON (XNYS:JNJ)</v>
    <v>3</v>
    <v>4</v>
    <v>Finance</v>
    <v>5</v>
    <v>fr-FR</v>
    <v>a1w8ec</v>
    <v>268435456</v>
    <v>1</v>
    <v>Avec Refinitiv</v>
    <v>XNYS</v>
    <v>2409848000</v>
    <v>1887</v>
    <v>164.23</v>
    <v>140.68</v>
    <v>0.48470000000000002</v>
    <v>400155260400</v>
    <v>New York Stock Exchange</v>
    <v>163.71</v>
    <v>JNJ</v>
    <v>45747.603631642967</v>
    <v>Johnson &amp; Johnson, par l'intermédiaire de ses filiales, est engagée dans la recherche et le développement, la fabrication et la vente d'une gamme de produits dans le domaine de la santé. L'objectif principal de la Société est les produits liés à la santé et au bien-être humains. Il opère à travers deux segments : médecine innovante et MedTech. Le segment médecine innovante se concentre sur divers domaines thérapeutiques, y compris l'immunologie, les maladies infectieuses, les neurosciences, l'oncologie, hypertension pulmonaire, maladies cardiovasculaires et métaboliques. Les produits de ce segment sont distribués directement aux détaillants, aux grossistes, aux distributeurs, aux hôpitaux et aux professionnels de la santé pour ordonnance. Le segment MedTech comprend une large gamme de produits utilisés dans les domaines de l'orthopédie, de la chirurgie, des solutions interventionnelles et de la vision. Ces produits sont distribués aux grossistes, aux hôpitaux et aux détaillants, et utilisés principalement dans les domaines professionnels par les médecins, les infirmières, les hôpitaux, les professionnels des soins oculaires et les cliniques.</v>
    <v>USD</v>
    <v>138100</v>
    <v>XNYS</v>
    <v>166.38810000000001</v>
    <v>169.99</v>
    <v>Pharmaceuticals</v>
    <v>497</v>
    <v>1.4293999999999999E-2</v>
    <v>2.34</v>
    <v>JOHNSON &amp; JOHNSON</v>
    <v>JOHNSON &amp; JOHNSON</v>
    <v>164.29</v>
    <v>28.240400000000001</v>
    <v>166.05</v>
    <v>One Johnson &amp; Johnson Plaza, NEW BRUNSWICK, NJ, 08933 US</v>
    <v>Bourse</v>
    <v>JOHNSON &amp; JOHNSON (XNYS:JNJ)</v>
    <v>1660857</v>
    <v>9145073</v>
  </rv>
  <rv s="3">
    <v>498</v>
  </rv>
  <rv s="1">
    <v>https://www.bing.com/financeapi/forcetrigger?t=a1waa2&amp;q=XNYS%3aJPM&amp;form=skydnc</v>
    <v>Learn more on Bing</v>
  </rv>
  <rv s="2">
    <v>0</v>
    <v>1</v>
    <v>JPMORGAN CHASE &amp; CO. (XNYS:JPM)</v>
    <v>3</v>
    <v>4</v>
    <v>Finance</v>
    <v>5</v>
    <v>fr-FR</v>
    <v>a1waa2</v>
    <v>268435456</v>
    <v>1</v>
    <v>Avec Refinitiv</v>
    <v>XNYS</v>
    <v>2796106000</v>
    <v>1968</v>
    <v>237.36429999999999</v>
    <v>179.2</v>
    <v>1.0085</v>
    <v>670366413500</v>
    <v>New York Stock Exchange</v>
    <v>242.85</v>
    <v>JPM</v>
    <v>45747.603619803122</v>
    <v>JPMorgan Chase &amp; Co. est une société holding financière. Elle compte quatre segments : Consumer &amp; Community Banking (CCB), Corporate &amp; Investment Bank (CIB), commercial Banking (CB) et Asset &amp; Wealth Management (AWM). Le segment CCB offre des produits et services aux consommateurs et aux petites entreprises par le biais de succursales bancaires, de guichets automatiques, de services bancaires numériques (y compris mobiles et en ligne) et téléphoniques. Le secteur CIB comprend les services bancaires, de marchés et de valeurs mobilières, et offre une gamme de produits et services bancaires d'investissement, de tenue de marché, de courtage de premier ordre, de prêt, de trésorerie et de valeurs mobilières à une clientèle mondiale composée de sociétés, d'investisseurs, d'institutions financières, de commerçants, d'entités gouvernementales et municipales. CB segment fournit des solutions financières, y compris des produits de prêt, de paiement, de banque d'investissement et de gestion d'actifs sur trois segments de clientèle principaux : Middle Market Banking, Corporate Client Banking et commercial Real Estate Banking. AWM segment propose des solutions de gestion de patrimoine et d'investissement.</v>
    <v>USD</v>
    <v>317233</v>
    <v>XNYS</v>
    <v>240.91499999999999</v>
    <v>280.25</v>
    <v>Banking Services</v>
    <v>500</v>
    <v>-1.2765E-2</v>
    <v>-3.1</v>
    <v>JPMORGAN CHASE &amp; CO.</v>
    <v>JPMORGAN CHASE &amp; CO.</v>
    <v>239.31</v>
    <v>12.2957</v>
    <v>239.75</v>
    <v>383 Madison Avenue, NEW YORK, NY, 10179-0001 US</v>
    <v>Bourse</v>
    <v>JPMORGAN CHASE &amp; CO. (XNYS:JPM)</v>
    <v>2100359</v>
    <v>11847248</v>
  </rv>
  <rv s="3">
    <v>501</v>
  </rv>
  <rv s="1">
    <v>https://www.bing.com/financeapi/forcetrigger?t=aloldm&amp;q=XAMS%3aTKWY&amp;form=skydnc</v>
    <v>Learn more on Bing</v>
  </rv>
  <rv s="16">
    <v>49</v>
    <v>50</v>
    <v>Just Eat Takeaway.com NV (XAMS:TKWY)</v>
    <v>3</v>
    <v>51</v>
    <v>Finance</v>
    <v>7</v>
    <v>fr-FR</v>
    <v>aloldm</v>
    <v>268435456</v>
    <v>1</v>
    <v>Avec Refinitiv</v>
    <v>XAMS</v>
    <v>208967800</v>
    <v>19.329999999999998</v>
    <v>10.01</v>
    <v>1.5223</v>
    <v>4070692000</v>
    <v>Euronext Amsterdam</v>
    <v>19.48</v>
    <v>TKWY</v>
    <v>45747.593043981484</v>
    <v>Just Eat Takeaway.com NV, anciennement Takeaway.com NV, est une entreprise basée aux Pays-Bas qui exploite un marché de livraison alimentaire en ligne. La société se concentre sur la connexion des consommateurs et des restaurants, et permet aux utilisateurs de commander des aliments dans les restaurants à proximité et de faire livrer les aliments à leur domicile. La Société transmet la commande passée par les clients et la transmet aux restaurants, qui préparent et livrent le repas. Elle est présente au Portugal, en Suisse, en Autriche, au Luxembourg, en Belgique, aux Pays-Bas, en Allemagne, en Pologne, en Bulgarie, en Roumanie, en Israël et au Vietnam et exploite les sites Lieferando.de, Lieferservice.at, Lieferservice.ch, Pizza.be, Pizza.lu, Pizza.pl, Pyszne.pl, BGmenu.com, Oliviera.ro, Takeaway.com, Thuisbezorgd.nl et Vietnammm.com, entre autres. Les plateformes disposent de différents types de restaurants.</v>
    <v>EUR</v>
    <v>12777</v>
    <v>XAMS</v>
    <v>19.440000000000001</v>
    <v>19.62</v>
    <v>Software &amp; IT Services</v>
    <v>503</v>
    <v>-3.5930000000000003E-3</v>
    <v>-7.0000000000000007E-2</v>
    <v>Just Eat Takeaway.com NV</v>
    <v>Just Eat Takeaway.com NV</v>
    <v>19.399999999999999</v>
    <v>19.41</v>
    <v>Piet Heinkade 61, AMSTERDAM, NOORD-HOLLAND, 1019 GM NL</v>
    <v>Bourse</v>
    <v>Just Eat Takeaway.com NV (XAMS:TKWY)</v>
    <v>960688</v>
    <v>753570</v>
  </rv>
  <rv s="3">
    <v>504</v>
  </rv>
  <rv s="1">
    <v>https://www.bing.com/financeapi/forcetrigger?t=ae92r7&amp;q=XPAR%3aKOF&amp;form=skydnc</v>
    <v>Learn more on Bing</v>
  </rv>
  <rv s="4">
    <v>9</v>
    <v>10</v>
    <v>KAUFMAN &amp; BROAD SA (XPAR:KOF)</v>
    <v>3</v>
    <v>11</v>
    <v>Finance</v>
    <v>7</v>
    <v>fr-FR</v>
    <v>ae92r7</v>
    <v>268435456</v>
    <v>1</v>
    <v>Avec Refinitiv</v>
    <v>XPAR</v>
    <v>19862020</v>
    <v>31.9</v>
    <v>25.45</v>
    <v>0.87909999999999999</v>
    <v>646508900</v>
    <v>Euronext Paris</v>
    <v>32.549999999999997</v>
    <v>KOF</v>
    <v>45747.593031087497</v>
    <v>Kaufman &amp; Broad sa est un promoteur immobilier et constructeur basé en France. La Société est principalement engagée dans le développement de maisons et d'appartements unifamiliaux, l'activité immobilière commerciale, ainsi que la fourniture de services de résidence pour les touristes d'affaires et les étudiants. La Société est impliquée dans toutes les étapes de la mise en œuvre d'un programme de développement, de la recherche foncière à la commercialisation de logements par la conception de projets, le dépôt d'un permis de construire et le service après-vente. La Société est présente dans de nombreuses villes de France, telles que Bayonne, Bordeaux, Grenoble, Lille, Lyon, Marseille, Montpellier, Nantes, Nice, Paris, Rouen, Strasbourg, Toulon et Toulouse, entre autres. En outre, la Société fournit la construction de plates-formes logistiques et d'entrepôts. Elle est également opérationnelle à travers plusieurs filiales, dont Kaufman &amp; Broad Pyrenees-Atlantiques, Kaufman &amp; Broad Homes SAS, SM2I et résidences Bernard Teillaud SARL, entre autres.</v>
    <v>EUR</v>
    <v>708</v>
    <v>XPAR</v>
    <v>32.35</v>
    <v>35.65</v>
    <v>Homebuilding &amp; Construction Supplies</v>
    <v>506</v>
    <v>-6.1439999999999993E-3</v>
    <v>-0.2</v>
    <v>KAUFMAN &amp; BROAD SA</v>
    <v>KAUFMAN &amp; BROAD SA</v>
    <v>32.35</v>
    <v>14.402699999999999</v>
    <v>32.35</v>
    <v>17 Quai du President Paul Doumer, Cs 90001, COURBEVOIE, ILE-DE-FRANCE, 92672 FR</v>
    <v>Bourse</v>
    <v>KAUFMAN &amp; BROAD SA (XPAR:KOF)</v>
    <v>16743</v>
    <v>16980</v>
  </rv>
  <rv s="3">
    <v>507</v>
  </rv>
  <rv s="1">
    <v>https://www.bing.com/financeapi/forcetrigger?t=aaq5k2&amp;q=XBRU%3aKBC&amp;form=skydnc</v>
    <v>Learn more on Bing</v>
  </rv>
  <rv s="2">
    <v>0</v>
    <v>1</v>
    <v>Kbc Groep NV (XBRU:KBC)</v>
    <v>3</v>
    <v>8</v>
    <v>Finance</v>
    <v>7</v>
    <v>fr-FR</v>
    <v>aaq5k2</v>
    <v>268435456</v>
    <v>1</v>
    <v>Avec Refinitiv</v>
    <v>XBRU</v>
    <v>417544200</v>
    <v>1935</v>
    <v>83.18</v>
    <v>62.1</v>
    <v>1.4114</v>
    <v>35491250000</v>
    <v>Euronext Brussels</v>
    <v>85</v>
    <v>KBC</v>
    <v>45747.593217592592</v>
    <v>KBC Groep NV est une société holding basée en Belgique, active dans le secteur bancaire, de l'assurance et de la gestion d'actifs. Les activités de la Société sont divisées en divisions, telles que la banque de détail et privée et l'assurance, la gestion d'actifs et la banque privée en Belgique et en Europe centrale et orientale. Ses activités, qui comprennent l'assurance bancaire de détail et la banque d'affaires, sont en République tchèque, en Slovaquie, en Hongrie et en Pologne, ainsi que l'assurance bancaire, le crédit-bail, la gestion d'actifs et l'affacturage en Bulgarie ; la banque d'affaires, qui comprend les activités de banque d'entreprise et de marché en Europe. La Société a partagé des services et des opérations en fournissant du soutien et des produits à d'autres unités commerciales. ITS chacune de ces unités a son propre comité de gestion et supervise les activités bancaires et d'assurance. Parmi ses filiales figurent notamment Interlease, United Bulgarian Bank AD Sofia et Telindus ISIT BV.</v>
    <v>EUR</v>
    <v>38609</v>
    <v>XBRU</v>
    <v>84.56</v>
    <v>88.78</v>
    <v>Banking Services</v>
    <v>509</v>
    <v>-1.4352999999999999E-2</v>
    <v>-1.22</v>
    <v>Kbc Groep NV</v>
    <v>Kbc Groep NV</v>
    <v>84.34</v>
    <v>10.2163</v>
    <v>83.78</v>
    <v>Havenlaan 2, BRUXELLES, BRUXELLES-CAPITALE, 1080 BE</v>
    <v>Bourse</v>
    <v>Kbc Groep NV (XBRU:KBC)</v>
    <v>128082</v>
    <v>632990</v>
  </rv>
  <rv s="3">
    <v>510</v>
  </rv>
  <rv s="1">
    <v>https://www.bing.com/financeapi/forcetrigger?t=ae92im&amp;q=XPAR%3aKER&amp;form=skydnc</v>
    <v>Learn more on Bing</v>
  </rv>
  <rv s="2">
    <v>0</v>
    <v>1</v>
    <v>KERING SA (XPAR:KER)</v>
    <v>3</v>
    <v>8</v>
    <v>Finance</v>
    <v>7</v>
    <v>fr-FR</v>
    <v>ae92im</v>
    <v>268435456</v>
    <v>1</v>
    <v>Avec Refinitiv</v>
    <v>XPAR</v>
    <v>123420800</v>
    <v>1955</v>
    <v>190.3</v>
    <v>190.3</v>
    <v>1.2173</v>
    <v>24590360000</v>
    <v>Euronext Paris</v>
    <v>199.24</v>
    <v>KER</v>
    <v>45747.593194444446</v>
    <v>Kering sa est une société basée en France qui opère principalement dans le groupe de mode sur les produits de marque de luxe. Le Groupe gère le développement d'une série de maisons de renom dans la mode, la maroquinerie et la joaillerie : Gucci, Saint Laurent, Bottega Veneta, Balenciaga, Alexander McQueen, Brioni, Boucheron, Pomellato, Dodo, Ginori 1735, ainsi que Kering Eyewear et Kering Beaute. Elle fabrique et vend, principalement par l'intermédiaire de magasins de détail gérés, une gamme de produits, y compris des articles de maroquinerie, des vêtements, des accessoires, des chaussures, bijoux entre autres, pour homme, femme et enfants. Le Groupe travaille activement dans le monde entier.</v>
    <v>EUR</v>
    <v>46930</v>
    <v>XPAR</v>
    <v>197.6</v>
    <v>372.85</v>
    <v>Specialty Retailers</v>
    <v>512</v>
    <v>-3.6840000000000005E-2</v>
    <v>-7.34</v>
    <v>KERING SA</v>
    <v>KERING SA</v>
    <v>196.68</v>
    <v>21.5593</v>
    <v>191.9</v>
    <v>40 Rue de Sevres, PARIS, ILE-DE-FRANCE, 75007 FR</v>
    <v>Bourse</v>
    <v>KERING SA (XPAR:KER)</v>
    <v>230368</v>
    <v>463560</v>
  </rv>
  <rv s="3">
    <v>513</v>
  </rv>
  <rv s="1">
    <v>https://www.bing.com/financeapi/forcetrigger?t=ae945r&amp;q=XPAR%3aLI&amp;form=skydnc</v>
    <v>Learn more on Bing</v>
  </rv>
  <rv s="2">
    <v>0</v>
    <v>1</v>
    <v>KLEPIERRE SA (XPAR:LI)</v>
    <v>3</v>
    <v>8</v>
    <v>Finance</v>
    <v>7</v>
    <v>fr-FR</v>
    <v>ae945r</v>
    <v>268435456</v>
    <v>1</v>
    <v>Avec Refinitiv</v>
    <v>XPAR</v>
    <v>286861200</v>
    <v>1968</v>
    <v>30.72</v>
    <v>23.24</v>
    <v>1.7121999999999999</v>
    <v>8921383000</v>
    <v>Euronext Paris</v>
    <v>31.1</v>
    <v>LI</v>
    <v>45747.592997685184</v>
    <v>Klepierre sa est une société française engagée dans le secteur financier. La Société est un opérateur paneuropéen de centres commerciaux, combinant des compétences en développement, location, immobilier et gestion d'actifs. Le portefeuille de la Société comprend environ 70 centres commerciaux dans plus de 10 pays d'Europe continentale, y compris le marché intérieur, ainsi que la Belgique, l'Italie, la Pologne, l'Allemagne, la Hongrie, Portugal, Espagne, Grèce et Turquie, entre autres. Klepierre sa détient une participation majoritaire dans Steen &amp; Strom, une société de centres commerciaux opérant en Norvège, en Suède et au Danemark. En outre, elle opère à travers de nombreuses filiales, telles que K2, sa place de l'Accueil, sa Klecar foncier Iberica, sa Klepierre Nea Efkarpia, Sarl Zalaegerszeg plaza et Klepierre Sadyba, entre autres.</v>
    <v>EUR</v>
    <v>1056</v>
    <v>XPAR</v>
    <v>31.16</v>
    <v>31.18</v>
    <v>Residential &amp; Commercial REIT</v>
    <v>515</v>
    <v>-9.6460000000000001E-3</v>
    <v>-0.3</v>
    <v>KLEPIERRE SA</v>
    <v>KLEPIERRE SA</v>
    <v>31.04</v>
    <v>8.0955999999999992</v>
    <v>30.8</v>
    <v>26 boulevard des Capucines, Cs 20062, PARIS, ILE-DE-FRANCE, 75009 FR</v>
    <v>Bourse</v>
    <v>KLEPIERRE SA (XPAR:LI)</v>
    <v>116226</v>
    <v>636370</v>
  </rv>
  <rv s="3">
    <v>516</v>
  </rv>
  <rv s="1">
    <v>https://www.bing.com/financeapi/forcetrigger?t=alnyc7&amp;q=XAMS%3aAD&amp;form=skydnc</v>
    <v>Learn more on Bing</v>
  </rv>
  <rv s="2">
    <v>0</v>
    <v>1</v>
    <v>Koninklijke Ahold Delhaize NV (XAMS:AD)</v>
    <v>3</v>
    <v>8</v>
    <v>Finance</v>
    <v>7</v>
    <v>fr-FR</v>
    <v>alnyc7</v>
    <v>268435456</v>
    <v>1</v>
    <v>Avec Refinitiv</v>
    <v>XAMS</v>
    <v>920493700</v>
    <v>1920</v>
    <v>34.33</v>
    <v>26.58</v>
    <v>0.43430000000000002</v>
    <v>31839880000</v>
    <v>Euronext Amsterdam</v>
    <v>34.590000000000003</v>
    <v>AD</v>
    <v>45747.593194444446</v>
    <v>Royal Ahold est une société de commerce de détail alimentaire basée aux Pays-Bas. Elle propose un large éventail de produits alimentaires périssables et non périssables et des produits de consommation non alimentaires par le biais de nombreuses marques, y compris, entre autres, Stop &amp; Shop, Food Lion, bfresh et Giant Carlisle aux États-Unis, Proxy Delhaize, Red Market, Shop &amp; Go et Delhaize en Belgique, Albert Heijn, bol.com, Etos et Gall &amp; Gall aux Pays-Bas, et Albert Czech Republic, AB Food Market, ENA, Tempo et MAXI en Europe centrale et du Sud-Est. La société est également active par le biais de deux joint-ventures, Pingo Doce au Portugal et Super Indo en Indonésie. La société opère par le biais de cinq secteurs d'activité : Pays-Bas, Belgique, Europe centrale et Europe du Sud-Est et deux entités déclarantes aux États-Unis.</v>
    <v>EUR</v>
    <v>388000</v>
    <v>XAMS</v>
    <v>34.659999999999997</v>
    <v>35.9</v>
    <v>Food &amp; Drug Retailing</v>
    <v>518</v>
    <v>-1.7349999999999998E-3</v>
    <v>-0.06</v>
    <v>Koninklijke Ahold Delhaize NV</v>
    <v>Koninklijke Ahold Delhaize NV</v>
    <v>34.5</v>
    <v>18.350100000000001</v>
    <v>34.53</v>
    <v>Provincialeweg 11, ZAANDAM, NOORD-HOLLAND, 1506 MA NL</v>
    <v>Bourse</v>
    <v>Koninklijke Ahold Delhaize NV (XAMS:AD)</v>
    <v>797241</v>
    <v>2255270</v>
  </rv>
  <rv s="3">
    <v>519</v>
  </rv>
  <rv s="1">
    <v>https://www.bing.com/financeapi/forcetrigger?t=alof3m&amp;q=XAMS%3aKPN&amp;form=skydnc</v>
    <v>Learn more on Bing</v>
  </rv>
  <rv s="2">
    <v>0</v>
    <v>1</v>
    <v>Koninklijke KPN NV (XAMS:KPN)</v>
    <v>3</v>
    <v>8</v>
    <v>Finance</v>
    <v>7</v>
    <v>fr-FR</v>
    <v>alof3m</v>
    <v>268435456</v>
    <v>1</v>
    <v>Avec Refinitiv</v>
    <v>XAMS</v>
    <v>3888930000</v>
    <v>1989</v>
    <v>3.9079999999999999</v>
    <v>3.27</v>
    <v>0.24879999999999999</v>
    <v>15213500000</v>
    <v>Euronext Amsterdam</v>
    <v>3.9119999999999999</v>
    <v>KPN</v>
    <v>45747.593206018515</v>
    <v>Koninklijke KPN N.V. (KPN) est un fournisseur de télécommunications et de technologies de l’information et de la communication (TIC) basé aux Pays-Bas. Les secteurs de la Société comprennent Consommateur, Entreprises, Commerce de gros et réseau, Opérations et informatique. La Société offre des services de téléphonie fixe et mobile, Internet haut débit fixe et mobile et la télévision aux consommateurs de détail. Pour les clients professionnels, la Société propose des services de téléphonie mobile et Internet, ainsi que des solutions TIC liées aux infrastructures et aux réseaux, notamment l’hébergement en nuage et la connectivité Internet des objets (IoT). KPN fournit également des services réseau de gros à des tiers. Les marques de la Société comprennent notamment KPN, Telfort, XS4ALL, Simyo, Yes Telecom, Ortel Mobile, Argeweb, Solcon, Route IT, Divider, Internedservices, NLDC et StartReady. entre autres. La Société fournit ses services principalement aux Pays-Bas.</v>
    <v>EUR</v>
    <v>9664</v>
    <v>XAMS</v>
    <v>3.9510000000000001</v>
    <v>3.9510000000000001</v>
    <v>Telecommunications Services</v>
    <v>521</v>
    <v>1.534E-3</v>
    <v>6.0000000000000001E-3</v>
    <v>Koninklijke KPN NV</v>
    <v>Koninklijke KPN NV</v>
    <v>3.9239999999999999</v>
    <v>19.559999999999999</v>
    <v>3.9180000000000001</v>
    <v>Wilhelminakade 123, ROTTERDAM, ZUID-HOLLAND, 3072 AP NL</v>
    <v>Bourse</v>
    <v>Koninklijke KPN NV (XAMS:KPN)</v>
    <v>3957032</v>
    <v>10771230</v>
  </rv>
  <rv s="3">
    <v>522</v>
  </rv>
  <rv s="1">
    <v>https://www.bing.com/financeapi/forcetrigger?t=alohm7&amp;q=XAMS%3aPHIA&amp;form=skydnc</v>
    <v>Learn more on Bing</v>
  </rv>
  <rv s="2">
    <v>0</v>
    <v>1</v>
    <v>Koninklijke Philips NV (XAMS:PHIA)</v>
    <v>3</v>
    <v>8</v>
    <v>Finance</v>
    <v>7</v>
    <v>fr-FR</v>
    <v>alohm7</v>
    <v>268435456</v>
    <v>1</v>
    <v>Avec Refinitiv</v>
    <v>XAMS</v>
    <v>939949400</v>
    <v>2000</v>
    <v>23.13</v>
    <v>17.75</v>
    <v>0.83030000000000004</v>
    <v>22304760000</v>
    <v>Euronext Amsterdam</v>
    <v>23.73</v>
    <v>PHIA</v>
    <v>45747.593217592592</v>
    <v>Koninklijke Philips NV est une société néerlandaise spécialisée dans les technologies de la santé. Les segments de la société comprennent les activités de santé personnelle, de diagnostic et de traitement, de soins connectés et autres. Le segment des activités de santé personnelle est engagé dans le continuum de la santé, en fournissant des solutions intégrées et connectées qui favorisent des modes de vie plus sains et les personnes atteintes de maladies chroniques, ainsi que des soins bucco-dentaires et un soutien aux soins maternels et infantiles. Le segment des activités de diagnostic et de traitement fournit des soins et des thérapies de précision. Le segment des activités de soins connectés fournit aux consommateurs, aux soignants et aux cliniciens des solutions numériques qui facilitent les soins en permettant la médecine de précision et la gestion de la santé de la population. Le segment Autres comprend des éléments tels que l'innovation, les activités émergentes, les redevances, entre autres.</v>
    <v>EUR</v>
    <v>67823</v>
    <v>XAMS</v>
    <v>23.56</v>
    <v>30.22</v>
    <v>Healthcare Equipment &amp; Supplies</v>
    <v>524</v>
    <v>-1.7278000000000002E-2</v>
    <v>-0.41</v>
    <v>Koninklijke Philips NV</v>
    <v>Koninklijke Philips NV</v>
    <v>23.5</v>
    <v>0</v>
    <v>23.32</v>
    <v>High Tech Campus 5, EINDHOVEN, NOORD-BRABANT, 5656 AE NL</v>
    <v>Bourse</v>
    <v>Koninklijke Philips NV (XAMS:PHIA)</v>
    <v>614786</v>
    <v>1958870</v>
  </rv>
  <rv s="3">
    <v>525</v>
  </rv>
  <rv s="1">
    <v>https://www.bing.com/financeapi/forcetrigger?t=ae92u2&amp;q=XPAR%3aKORI&amp;form=skydnc</v>
    <v>Learn more on Bing</v>
  </rv>
  <rv s="2">
    <v>0</v>
    <v>1</v>
    <v>Clariane SE (XPAR:CLARI)</v>
    <v>3</v>
    <v>8</v>
    <v>Finance</v>
    <v>7</v>
    <v>fr-FR</v>
    <v>ae92u2</v>
    <v>268435456</v>
    <v>1</v>
    <v>Avec Refinitiv</v>
    <v>XPAR</v>
    <v>356033700</v>
    <v>2003</v>
    <v>4.1639999999999997</v>
    <v>0.82</v>
    <v>0.49819999999999998</v>
    <v>1562276000</v>
    <v>Euronext Paris</v>
    <v>4.3879999999999999</v>
    <v>CLARI</v>
    <v>45747.592986111114</v>
    <v>Clariane SE, anciennement Korian SE, est une société basée en France qui exploite des établissements de santé et des établissements médicaux. Les participations de la Société comprennent des centres résidentiels pour personnes âgées, offrant des soins sociaux permanents et un soutien médical ; les centres de soins de suite et de réadaptation, y compris les centres généraux et spécialisés. De plus, la Société propose l'hospitalisation à domicile, ce qui évite ou raccourcit le processus d'hospitalisation ; et les services de soins infirmiers à domicile, qui permettent les soins prescrits par un médecin à domicile. Les établissements de Korian-Medicas sont implantés en France, en Italie, en Belgique et en Allemagne via ses filiales, Segesta S.p.A., Phonix GmBH, Reacti Malt SAS, Sas La Normandie, Sa La Bastide de la tourne, Sas Mapadex La Roseraie, entre autres.</v>
    <v>EUR</v>
    <v>61798</v>
    <v>XPAR</v>
    <v>4.3319999999999999</v>
    <v>4.58</v>
    <v>Healthcare Providers &amp; Services</v>
    <v>527</v>
    <v>-1.6864000000000001E-2</v>
    <v>-7.3999999999999996E-2</v>
    <v>Clariane SE</v>
    <v>Clariane SE</v>
    <v>4.3120000000000003</v>
    <v>0</v>
    <v>4.3140000000000001</v>
    <v>21 - 25 rue Balzac, PARIS, ILE-DE-FRANCE, 75008 FR</v>
    <v>Bourse</v>
    <v>Clariane SE (XPAR:CLARI)</v>
    <v>698082</v>
    <v>1046780</v>
  </rv>
  <rv s="3">
    <v>528</v>
  </rv>
  <rv s="1">
    <v>https://www.bing.com/financeapi/forcetrigger?t=bsq152&amp;q=XPAR%3aFDJ&amp;form=skydnc</v>
    <v>Learn more on Bing</v>
  </rv>
  <rv s="2">
    <v>0</v>
    <v>1</v>
    <v>FDJ UNITED (XPAR:FDJU)</v>
    <v>3</v>
    <v>8</v>
    <v>Finance</v>
    <v>7</v>
    <v>fr-FR</v>
    <v>bsq152</v>
    <v>268435456</v>
    <v>1</v>
    <v>Avec Refinitiv</v>
    <v>XPAR</v>
    <v>185270000</v>
    <v>1979</v>
    <v>28.76</v>
    <v>28.46</v>
    <v>0.59430000000000005</v>
    <v>5398768000</v>
    <v>Euronext Paris</v>
    <v>29.14</v>
    <v>FDJU</v>
    <v>45747.593136574076</v>
    <v>La Française des Jeux SA est une société d'économie mixte basée en France qui exploite des loteries et des jeux en ligne. La Société opère sous la marque commerciale FDJ et propose des jeux de grattage, des paris sportifs et des jeux de tirage via un réseau de 35,800 points de vente (au 31 décembre 2010), dont des points de vente LOTO, des buralistes et des marchands de journaux. Ses jeux de grattage comprennent des jeux à 1, 2 et 3 euros ; les paris sportifs incluent les noms de marque, ParionsSport et ParionsWeb ; et les jeux basés sur des tirages incluent LOTO, Euro Millions, Rapido, Keno et autres. La Société est également active sur le marché du poker en ligne avec le site Internet Barrierepoker.fr, détenu conjointement avec le Groupe Lucien Barrière.</v>
    <v>EUR</v>
    <v>3520</v>
    <v>XPAR</v>
    <v>29.1</v>
    <v>39.880000000000003</v>
    <v>Hotels &amp; Entertainment Services</v>
    <v>530</v>
    <v>-3.4320000000000002E-3</v>
    <v>-0.1</v>
    <v>FDJ UNITED</v>
    <v>FDJ UNITED</v>
    <v>29.04</v>
    <v>13.5045</v>
    <v>29.04</v>
    <v>3-7 Quai du Point du Jour, BOULOGNE-BILLANCOURT, ILE-DE-FRANCE, 92100 FR</v>
    <v>Bourse</v>
    <v>FDJ UNITED (XPAR:FDJU)</v>
    <v>230561</v>
    <v>641820</v>
  </rv>
  <rv s="3">
    <v>531</v>
  </rv>
  <rv s="1">
    <v>https://www.bing.com/financeapi/forcetrigger?t=ae933m&amp;q=XPAR%3aLACR&amp;form=skydnc</v>
    <v>Learn more on Bing</v>
  </rv>
  <rv s="2">
    <v>0</v>
    <v>1</v>
    <v>LACROIX GROUP SA (XPAR:LACR)</v>
    <v>3</v>
    <v>8</v>
    <v>Finance</v>
    <v>7</v>
    <v>fr-FR</v>
    <v>ae933m</v>
    <v>268435456</v>
    <v>1</v>
    <v>Avec Refinitiv</v>
    <v>XPAR</v>
    <v>4829100</v>
    <v>1955</v>
    <v>8.56</v>
    <v>7.88</v>
    <v>0.94279999999999997</v>
    <v>42689210</v>
    <v>Euronext Paris</v>
    <v>8.84</v>
    <v>LACR</v>
    <v>45747.584918981483</v>
    <v>Lacroix Group SA, anciennement connue sous le nom de Lacroix SA, est une entreprise industrielle basée en France dont l’activité principale est la conception, la fabrication et la commercialisation d’équipements de signalisation et de contrôle électronique. La Société a trois divisions : LACROIX Electronics, qui se spécialise dans la fourniture de services de sous-traitance électronique, y compris la conception, l’assemblage et les essais de cartes électroniques pour l’utilisation dans l’électronique industrielle, automobile, télécommunications, les secteurs des multimédias et des appareils électriques; LACROIX Sofrel, qui est impliqué dans la fabrication et la vente de produits de télécommande et de gestion pour les installations techniques et les sites industriels par le biais d’applications appelées Télémétrie et SCADA, et LACROIX City, qui conçoit des solutions routières intelligentes pour les administrations et les entreprises locales. Lacroix SA est présent dans plusieurs pays Européens.</v>
    <v>EUR</v>
    <v>3939</v>
    <v>XPAR</v>
    <v>9</v>
    <v>27</v>
    <v>Machinery, Equipment &amp; Components</v>
    <v>533</v>
    <v>-2.7149E-2</v>
    <v>-0.24</v>
    <v>LACROIX GROUP SA</v>
    <v>LACROIX GROUP SA</v>
    <v>9</v>
    <v>0</v>
    <v>8.6</v>
    <v>17 rue Oceane, SAINT-HERBLAIN, PAYS DE LA LOIRE, 44800 FR</v>
    <v>Bourse</v>
    <v>LACROIX GROUP SA (XPAR:LACR)</v>
    <v>1982</v>
    <v>3340</v>
  </rv>
  <rv s="3">
    <v>534</v>
  </rv>
  <rv s="1">
    <v>https://www.bing.com/financeapi/forcetrigger?t=b1lcfr&amp;q=XSWX%3aHOLN&amp;form=skydnc</v>
    <v>Learn more on Bing</v>
  </rv>
  <rv s="2">
    <v>0</v>
    <v>1</v>
    <v>"Holderbank" Financière Glaris Ltd. (XSWX:HOLN)</v>
    <v>3</v>
    <v>6</v>
    <v>Finance</v>
    <v>7</v>
    <v>fr-FR</v>
    <v>b1lcfr</v>
    <v>268435456</v>
    <v>1</v>
    <v>Avec Refinitiv</v>
    <v>XSWX</v>
    <v>579124600</v>
    <v>1930</v>
    <v>94.18</v>
    <v>70</v>
    <v>1.2195</v>
    <v>55885520000</v>
    <v>SIX Swiss Exchange</v>
    <v>96.5</v>
    <v>HOLN</v>
    <v>45747.593194444446</v>
    <v>Holcim AG est une société suisse opérant dans l’industrie des matériaux de construction. Les secteurs d’activité de la société comprennent le ciment, les granulats, le béton prêt à l’emploi et les solutions et produits. La division des ciments est engagée dans les ciments durables et les liants hydrauliques. Le segment des granulats se concentre sur l’agrégat de fabrication qui est utilisé comme matière première pour le béton, la maçonnerie et l’asphalte, ainsi que pour les matériaux de base pour les routes, les décharges et les bâtiments. Le béton prêt à l’emploi comprend les produits de béton prêt à l’emploi, le béton auto-remplissant et autonivelant, le béton architectural, le béton isolant et le béton perméable. Solutions &amp; Products propose des produits préfabriqués et en béton pour les bâtiments spécialisés et les solutions de toiture. Le Segment propose également des mortiers pour la construction d’impression 3D.</v>
    <v>CHF</v>
    <v>63665</v>
    <v>XSWX</v>
    <v>95.84</v>
    <v>101.95</v>
    <v>Construction Materials</v>
    <v>536</v>
    <v>-1.7617000000000001E-2</v>
    <v>-1.7</v>
    <v>"Holderbank" Financière Glaris Ltd.</v>
    <v>"Holderbank" Financière Glaris Ltd.</v>
    <v>95.4</v>
    <v>18.486599999999999</v>
    <v>94.8</v>
    <v>Grafenauweg 10, ZUG, ZUG, 6300 CH</v>
    <v>Bourse</v>
    <v>"Holderbank" Financière Glaris Ltd. (XSWX:HOLN)</v>
    <v>449652</v>
    <v>1684810</v>
  </rv>
  <rv s="3">
    <v>537</v>
  </rv>
  <rv s="1">
    <v>http://zh.wikipedia.org/wiki/拉加代尔集团</v>
    <v>Wikipedia</v>
  </rv>
  <rv s="5">
    <v>23</v>
    <v>539</v>
  </rv>
  <rv s="6">
    <v>17</v>
    <v>https://www.bing.com/th?id=AMMS_7fac5b54d838c7e89f537c64881aefe4&amp;qlt=95</v>
    <v>540</v>
    <v>0</v>
    <v>https://www.bing.com/images/search?form=xlimg&amp;q=lagard%c3%a8re+group</v>
    <v>Image of LAGARDERE SA</v>
  </rv>
  <rv s="1">
    <v>https://www.bing.com/financeapi/forcetrigger?t=ae9lm7&amp;q=XPAR%3aMMB&amp;form=skydnc</v>
    <v>Learn more on Bing</v>
  </rv>
  <rv s="7">
    <v>12</v>
    <v>13</v>
    <v>LAGARDERE SA (XPAR:MMB)</v>
    <v>15</v>
    <v>18</v>
    <v>Finance</v>
    <v>7</v>
    <v>fr-FR</v>
    <v>ae9lm7</v>
    <v>268435456</v>
    <v>1</v>
    <v>Avec Refinitiv</v>
    <v>XPAR</v>
    <v>141669800</v>
    <v>1980</v>
    <v>20.149999999999999</v>
    <v>19.14</v>
    <v>0.83289999999999997</v>
    <v>2911315000</v>
    <v>Euronext Paris</v>
    <v>20.55</v>
    <v>MMB</v>
    <v>45747.59233796296</v>
    <v>Lagardere sa est une société internationale basée en France qui exerce principalement ses activités dans deux divisions : Lagardere Publishing et Lagardere Travel Retail. Le périmètre du groupe Société comprend Lagardere News (Paris match, le Journal du dimanche, JDD Magazine, Europe 1, Europe 2, RFM, licence elle), Lagardere Live Entertainment (production de concerts et spectacles, gestion de salles de spectacle) et Lagardere Paris Racing (club sportif). Lagardere Publishing opère en tant qu'éditeur de livres grand public et éducatif qui contribue à leur diffusion plus large sur les usages numériques et mobiles de la lecture. Son activité concerne également des domaines de l'édition tels que les jeux de société et les jeux mobiles. Lagardere Travel Retail est l'opérateur de vente au détail dans les domaines du transport principalement dans trois secteurs d'activité : Travel Essentials, Duty Free et mode, Food and Beverage. Elle compte plus de 4 890 magasins répartis dans un millier d'aéroports, de gares et de stations de métro.</v>
    <v>EUR</v>
    <v>33091</v>
    <v>XPAR</v>
    <v>20.399999999999999</v>
    <v>23</v>
    <v>541</v>
    <v>Media &amp; Publishing</v>
    <v>542</v>
    <v>-1.4598999999999999E-2</v>
    <v>-0.3</v>
    <v>LAGARDERE SA</v>
    <v>LAGARDERE SA</v>
    <v>20.350000000000001</v>
    <v>17.0459</v>
    <v>20.25</v>
    <v>4 rue de Presbourg, PARIS, ILE-DE-FRANCE, 75116 FR</v>
    <v>Bourse</v>
    <v>LAGARDERE SA (XPAR:MMB)</v>
    <v>10372</v>
    <v>20090</v>
  </rv>
  <rv s="3">
    <v>543</v>
  </rv>
  <rv s="1">
    <v>https://www.bing.com/financeapi/forcetrigger?t=ae94vh&amp;q=XPAR%3aLR&amp;form=skydnc</v>
    <v>Learn more on Bing</v>
  </rv>
  <rv s="2">
    <v>0</v>
    <v>1</v>
    <v>LEGRAND SA (XPAR:LR)</v>
    <v>3</v>
    <v>8</v>
    <v>Finance</v>
    <v>7</v>
    <v>fr-FR</v>
    <v>ae94vh</v>
    <v>268435456</v>
    <v>1</v>
    <v>Avec Refinitiv</v>
    <v>XPAR</v>
    <v>262245700</v>
    <v>1998</v>
    <v>96.78</v>
    <v>89.94</v>
    <v>0.95850000000000002</v>
    <v>25920370000</v>
    <v>Euronext Paris</v>
    <v>98.84</v>
    <v>LR</v>
    <v>45747.593217592592</v>
    <v>Legrand SA, anciennement Legrand SNC, est une société de droit français. La Société est principalement spécialisée dans les infrastructures électriques et numériques du bâtiment. Sa gamme de produits est adaptée aux segments commerciaux, industriels et résidentiels du marché de la basse tension. La Société a des activités commerciales et industrielles dans plus de 90 pays. Elle bénéficie de leviers de croissance solides et à long terme. Les produits lancés par la Société sont utilisés pour l'efficacité énergétique: Radiant Light-emitting diode (LED) Advanced dimmer, et Connected 3-phase meter with Netatmo, et autres; produits connectés dans le cadre du programme Eliot: NOVO GO, dispositif portable de téléassistance, et T4 Wireless, système d'alarme incendie, entre autres; et les centres de données: Cablofil Wiremesh cable tray CF 150/900 BS, et UPS Keor SPE RT, entre autres.</v>
    <v>EUR</v>
    <v>37447</v>
    <v>XPAR</v>
    <v>98.34</v>
    <v>111.95</v>
    <v>Machinery, Equipment &amp; Components</v>
    <v>545</v>
    <v>-1.4164000000000001E-2</v>
    <v>-1.4</v>
    <v>LEGRAND SA</v>
    <v>LEGRAND SA</v>
    <v>98.1</v>
    <v>22.2013</v>
    <v>97.44</v>
    <v>128 Av. du Marechal de Lattre de Tassigny, LIMOGES, NOUVELLE-AQUITAINE, 87045 FR</v>
    <v>Bourse</v>
    <v>LEGRAND SA (XPAR:LR)</v>
    <v>223600</v>
    <v>612090</v>
  </rv>
  <rv s="3">
    <v>546</v>
  </rv>
  <rv s="1">
    <v>https://www.bing.com/financeapi/forcetrigger?t=afekyc&amp;q=XFRA%3aLIN&amp;form=skydnc</v>
    <v>Learn more on Bing</v>
  </rv>
  <rv s="2">
    <v>0</v>
    <v>1</v>
    <v>LINDE PUBLIC LIMITED COMPANY (XFRA:LIN)</v>
    <v>3</v>
    <v>52</v>
    <v>Finance</v>
    <v>7</v>
    <v>fr-FR</v>
    <v>afekyc</v>
    <v>268435456</v>
    <v>1</v>
    <v>Avec Refinitiv</v>
    <v>XFRA</v>
    <v>472911600</v>
    <v>2017</v>
    <v>418</v>
    <v>1.0999999999999999E-2</v>
    <v>0.95030000000000003</v>
    <v>217118500000</v>
    <v>Deutsche Boerse AG</v>
    <v>425.4</v>
    <v>LIN</v>
    <v>45747.592361111114</v>
    <v>Linde plc est une société de gaz industriels et d'ingénierie basée au Royaume-Uni. La société dessert une variété de marchés finaux, tels que les produits chimiques et l'énergie, l'alimentation et les boissons, l'électronique, la santé, la fabrication, métaux et mines. Les gaz industriels et les technologies de la Société sont utilisés dans d'innombrables applications, y compris la production d'hydrogène propre et de systèmes de captage du carbone essentiels à la transition énergétique, l'oxygène médical vital et les gaz spéciaux et de haute pureté pour l'électronique. Elle fournit également des solutions de traitement du gaz pour soutenir l'expansion de la clientèle, l'amélioration de l'efficacité et la réduction des émissions. Ses principaux produits dans son activité gaz industriels sont les gaz atmosphériques et les gaz de process. La Société conçoit et construit également des équipements qui produisent des gaz industriels et offre à ses clients une gamme de services de production et de traitement de gaz, tels que des usines d'oléfines, des usines de gaz naturel, des usines de séparation de l'air, des usines d'hydrogène et de gaz de synthèse et d'autres types d'usines.</v>
    <v>EUR</v>
    <v>65289</v>
    <v>XFRA</v>
    <v>425.6</v>
    <v>449.8</v>
    <v>Chemicals</v>
    <v>548</v>
    <v>4.7010000000000004E-4</v>
    <v>0.2</v>
    <v>LINDE PUBLIC LIMITED COMPANY</v>
    <v>LINDE PUBLIC LIMITED COMPANY</v>
    <v>424</v>
    <v>32.61</v>
    <v>425.6</v>
    <v>Forge, 43 Church Street West, WOKING, SURREY, GU21 6HT GB</v>
    <v>Bourse</v>
    <v>LINDE PUBLIC LIMITED COMPANY (XFRA:LIN)</v>
    <v>839</v>
    <v>2371080</v>
  </rv>
  <rv s="3">
    <v>549</v>
  </rv>
  <rv s="1">
    <v>https://www.bing.com/financeapi/forcetrigger?t=b1lccw&amp;q=XSWX%3aLONN&amp;form=skydnc</v>
    <v>Learn more on Bing</v>
  </rv>
  <rv s="2">
    <v>0</v>
    <v>1</v>
    <v>Lonza Group Ltd (XSWX:LONN)</v>
    <v>3</v>
    <v>6</v>
    <v>Finance</v>
    <v>7</v>
    <v>fr-FR</v>
    <v>b1lccw</v>
    <v>268435456</v>
    <v>1</v>
    <v>Avec Refinitiv</v>
    <v>XSWX</v>
    <v>72226180</v>
    <v>2002</v>
    <v>542.4</v>
    <v>471.1</v>
    <v>1.3087</v>
    <v>40490000000</v>
    <v>SIX Swiss Exchange</v>
    <v>560.6</v>
    <v>LONN</v>
    <v>45747.593252314815</v>
    <v>Lonza Group AG (Lonza) est une société holding basée en Suisse et un fournisseur des industries pharmaceutique, de la santé et des sciences de la vie. Les offres de la Société comprennent le développement et la fabrication sur mesure de médicaments et de systèmes d'administration de médicaments, ainsi que le développement de solutions antimicrobiennes pour des applications commerciales. La Société divise ses activités en deux segments : Pharma&amp;Biotech et Ingrédients de spécialité. Le secteur Pharma&amp;Biotech comprend les activités Produits biologiques, Petites molécules, Consommables et Outils de recherche de la Société. Le segment comprend des plateformes technologiques de mammifères, microbiennes, chimiques, de bioconjugués, de thérapie cellulaire et génique. Le segment Specialty Ingredients se concentre sur les applications antimicrobiennes au sein de la division Consumer Health, qui couvre les produits d'hygiène, de nutrition et de soins personnels, ainsi que les conservateurs, les gélules et les compléments alimentaires, entre autres, et la division Consumer &amp; Resources Protection, qui comprend les revêtements et les composites. , et agro-ingrédients.</v>
    <v>CHF</v>
    <v>18686</v>
    <v>XSWX</v>
    <v>555.20000000000005</v>
    <v>616</v>
    <v>Biotechnology &amp; Medical Research</v>
    <v>551</v>
    <v>-2.7827000000000001E-2</v>
    <v>-15.6</v>
    <v>Lonza Group Ltd</v>
    <v>Lonza Group Ltd</v>
    <v>554.79999999999995</v>
    <v>62.847499999999997</v>
    <v>545</v>
    <v>Muenchensteinerstrasse 38, BASEL, BASEL-STADT, 4002 CH</v>
    <v>Bourse</v>
    <v>Lonza Group Ltd (XSWX:LONN)</v>
    <v>81063</v>
    <v>144590</v>
  </rv>
  <rv s="3">
    <v>552</v>
  </rv>
  <rv s="1">
    <v>https://www.bing.com/financeapi/forcetrigger?t=ae9qim&amp;q=XPAR%3aOR&amp;form=skydnc</v>
    <v>Learn more on Bing</v>
  </rv>
  <rv s="2">
    <v>0</v>
    <v>1</v>
    <v>L'ORÉAL SA (XPAR:OR)</v>
    <v>3</v>
    <v>8</v>
    <v>Finance</v>
    <v>7</v>
    <v>fr-FR</v>
    <v>ae9qim</v>
    <v>268435456</v>
    <v>1</v>
    <v>Avec Refinitiv</v>
    <v>XPAR</v>
    <v>534312000</v>
    <v>1963</v>
    <v>340.75</v>
    <v>316.3</v>
    <v>0.89529999999999998</v>
    <v>184391100000</v>
    <v>Euronext Paris</v>
    <v>345.1</v>
    <v>OR</v>
    <v>45747.593206018515</v>
    <v>L’Oréal SA est un groupe français de cosmétique. La société est principalement engagée et offre des produits de soins de la peau, des produits de maquillage, des produits de soins capillaires, des parfums, des produits de coloration et autres. Ses produits sont commercialisés par la distribution de masse et à distance, la distribution sélective, les salons de coiffure et les pharmacies. Sa division cosmétique est organisée en quatre divisions, cosmétiques grand public : marques L’Oral paris, Garnier, Maybelline New York et NYX maquillage professionnel, Stylenanda, Essie et Mixa, cosmétiques de luxe : Lancome, Kiehl’s, Giorgio Armani Beauty, Yves Saint Laurent Beauté, Biotherm, Helena Rubinstein, Shu Uemura, IT Cosmetics, Urban Decay, Ralph Lauren, Mugler, Viktor&amp;Rolf, Valentino, Azzaro, Prada, Takami et Aēsop, produits cosmétiques actifs : La Roche-Posay, Vichy, CeraVe, SkinCeuticals et Skinbetter Science et produits professionnels : L’Oréal Professionnel, Kérastase, Redken, Matrix et PureOlogy.</v>
    <v>EUR</v>
    <v>94397</v>
    <v>XPAR</v>
    <v>344.9</v>
    <v>461.85</v>
    <v>Personal &amp; Household Products &amp; Services</v>
    <v>554</v>
    <v>-2.898E-3</v>
    <v>-1</v>
    <v>L'ORÉAL SA</v>
    <v>L'ORÉAL SA</v>
    <v>342.25</v>
    <v>28.783000000000001</v>
    <v>344.1</v>
    <v>41 rue Martre, Clichy Cedex, CLICHY, ILE-DE-FRANCE, 92117 FR</v>
    <v>Bourse</v>
    <v>L'ORÉAL SA (XPAR:OR)</v>
    <v>132788</v>
    <v>444000</v>
  </rv>
  <rv s="3">
    <v>555</v>
  </rv>
  <rv s="1">
    <v>https://www.bing.com/financeapi/forcetrigger?t=ae96u2&amp;q=XPAR%3aMC&amp;form=skydnc</v>
    <v>Learn more on Bing</v>
  </rv>
  <rv s="2">
    <v>0</v>
    <v>1</v>
    <v>LVMH MOET HENNESSY LOUIS VUITTON SE (XPAR:MC)</v>
    <v>3</v>
    <v>8</v>
    <v>Finance</v>
    <v>7</v>
    <v>fr-FR</v>
    <v>ae96u2</v>
    <v>268435456</v>
    <v>1</v>
    <v>Avec Refinitiv</v>
    <v>XPAR</v>
    <v>500141700</v>
    <v>1987</v>
    <v>567.9</v>
    <v>565.4</v>
    <v>1.2038</v>
    <v>293633200000</v>
    <v>Euronext Paris</v>
    <v>587.1</v>
    <v>MC</v>
    <v>45747.593194444446</v>
    <v>LVMH Moet Hennessy Louis Vuitton SE est une société basée en France. La Société est principalement engagée dans l'offre de produits de luxe. Ses segments se répartissent entre la mode et la maroquinerie: elle propose des marques telles que Louis Vuitton, Kenzo, Celine, Fendi, Marc Jacobs et Givenchy; les montres et les bijoux proposent des marques telles que Bulgari, TAG Heuer, Zenith, Hublot, Chaumet, Fred brands et Tiffany ; les parfums et les cosmétiques comprennent les marques de parfums Christian Dior, Guerlain, Loewe et Kenzo, entre autres ; les produits de maquillage comprennent Make Up For Ever, Guerlain et Acqua di Parma, entre autres ; les vins et spiritueux comme les champagnes (marques Moët &amp; Chandon, Mercier, Veuve Clicquot Ponsardin, Dom Pérignon, entre autres), les vins tels que Cape Mentelle, Château D'Yquem, les cognacs, et le whisky (principalement Glenmorangie), entre autres.</v>
    <v>EUR</v>
    <v>200518</v>
    <v>XPAR</v>
    <v>582</v>
    <v>843.1</v>
    <v>Textiles &amp; Apparel</v>
    <v>557</v>
    <v>-2.2654000000000001E-2</v>
    <v>-13.3</v>
    <v>LVMH MOET HENNESSY LOUIS VUITTON SE</v>
    <v>LVMH MOET HENNESSY LOUIS VUITTON SE</v>
    <v>580</v>
    <v>22.7987</v>
    <v>573.79999999999995</v>
    <v>22, avenue Montaigne, PARIS, ILE-DE-FRANCE, 75008 FR</v>
    <v>Bourse</v>
    <v>LVMH MOET HENNESSY LOUIS VUITTON SE (XPAR:MC)</v>
    <v>313050</v>
    <v>529830</v>
  </rv>
  <rv s="3">
    <v>558</v>
  </rv>
  <rv s="1">
    <v>https://www.bing.com/financeapi/forcetrigger?t=ae976h&amp;q=XPAR%3aMDM&amp;form=skydnc</v>
    <v>Learn more on Bing</v>
  </rv>
  <rv s="2">
    <v>0</v>
    <v>1</v>
    <v>MAISONS DU MONDE S.A. (XPAR:MDM)</v>
    <v>3</v>
    <v>8</v>
    <v>Finance</v>
    <v>7</v>
    <v>fr-FR</v>
    <v>ae976h</v>
    <v>268435456</v>
    <v>1</v>
    <v>Avec Refinitiv</v>
    <v>XPAR</v>
    <v>39189290</v>
    <v>2013</v>
    <v>2.84</v>
    <v>2.84</v>
    <v>1.4968999999999999</v>
    <v>113257000</v>
    <v>Euronext Paris</v>
    <v>2.89</v>
    <v>MDM</v>
    <v>45747.563623171096</v>
    <v>MAISONS DU MONDE S.A. est une société basée en France qui est spécialisée dans l'industrie des détaillants d'ameublement domestique. Les collections de décoration et de mobilier que vend la Société mettent en évidence plusieurs styles. MAISONS DU MONDE S.A. développe son activité par l'intermédiaire de son réseau international de magasins, ses sites Web et ses catalogues. En outre, elle fabrique en interne une partie de son mobilier (mobilier destiné à la vente), dans deux usines en Chine (par le biais de Chin Chin, sa coentreprise avec SDH Ltd) et au Vietnam. Le portefeuille de produits de la Société comprend les produits suivants : canapés, chaises, tabourets, poufs, bancs, tables, étagères, bibliothèques, bureaux, plateaux, verres, paniers, tabliers, couverts, couvertures, rideaux, tapis, napperons, serviettes de table, lampes, miroirs, gravures, bougies, horloges et vases, entre autres.</v>
    <v>EUR</v>
    <v>6333</v>
    <v>XPAR</v>
    <v>2.915</v>
    <v>5.56</v>
    <v>Specialty Retailers</v>
    <v>560</v>
    <v>0</v>
    <v>0</v>
    <v>MAISONS DU MONDE S.A.</v>
    <v>MAISONS DU MONDE S.A.</v>
    <v>2.91</v>
    <v>0</v>
    <v>2.89</v>
    <v>8 rue Marie Curie, VERTOU, PAYS DE LA LOIRE, 44120 FR</v>
    <v>Bourse</v>
    <v>MAISONS DU MONDE S.A. (XPAR:MDM)</v>
    <v>12111</v>
    <v>28110</v>
  </rv>
  <rv s="3">
    <v>561</v>
  </rv>
  <rv s="1">
    <v>https://www.bing.com/financeapi/forcetrigger?t=ae9nc7&amp;q=XPAR%3aMTU&amp;form=skydnc</v>
    <v>Learn more on Bing</v>
  </rv>
  <rv s="2">
    <v>0</v>
    <v>1</v>
    <v>MANITOU BF SA (XPAR:MTU)</v>
    <v>3</v>
    <v>8</v>
    <v>Finance</v>
    <v>7</v>
    <v>fr-FR</v>
    <v>ae9nc7</v>
    <v>268435456</v>
    <v>1</v>
    <v>Avec Refinitiv</v>
    <v>XPAR</v>
    <v>39668400</v>
    <v>1957</v>
    <v>17.920000000000002</v>
    <v>15.12</v>
    <v>1.4530000000000001</v>
    <v>743385800</v>
    <v>Euronext Paris</v>
    <v>18.739999999999998</v>
    <v>MTU</v>
    <v>45747.593043981484</v>
    <v>Manitou BF sa est une holding française spécialisée dans la commercialisation et la fabrication de machines pour les secteurs de la construction, de l'agriculture et de l'industrie. La Société se spécialise dans la fabrication et la commercialisation de matériel de manutention, de levage et de terrassement pour les marchés de la construction, de l'agriculture et de l'industrie. Les activités de la Société sont structurées autour de deux segments principaux : les équipements de manutention et de levage qui comprennent les équipements de manutention pour terrains accidentés (télescopiques fixes et rotatifs, chariots élévateurs pour terrains accidentés et camions embarqués), les plates-formes de travail aériennes, les chariots élévateurs industriels et semi-industriels, les chariots élévateurs pour terrains accidentés, les équipements d'entreposage, les chargeurs compacts rigides et chargeuses à chenilles, les chargeuses articulées et les chargeuses-pelleteuses; services : vente de pièces détachées et accessoires, fourniture de solutions de financement, gestion de flotte, fourniture de machines connectées, extensions de garantie et contrats de maintenance, services de formation et vente de matériel d'occasion.</v>
    <v>EUR</v>
    <v>5464</v>
    <v>XPAR</v>
    <v>18.5</v>
    <v>29</v>
    <v>Machinery, Equipment &amp; Components</v>
    <v>563</v>
    <v>-3.7352999999999997E-2</v>
    <v>-0.7</v>
    <v>MANITOU BF SA</v>
    <v>MANITOU BF SA</v>
    <v>18.46</v>
    <v>5.8930999999999996</v>
    <v>18.04</v>
    <v>430 rue de l AubiniEre, Bp 10249, Ancenis Cedex, ANCENIS, PAYS DE LA LOIRE, 44158 FR</v>
    <v>Bourse</v>
    <v>MANITOU BF SA (XPAR:MTU)</v>
    <v>26391</v>
    <v>22510</v>
  </rv>
  <rv s="3">
    <v>564</v>
  </rv>
  <rv s="1">
    <v>https://www.bing.com/financeapi/forcetrigger?t=a1x8w7&amp;q=XNYS%3aMA&amp;form=skydnc</v>
    <v>Learn more on Bing</v>
  </rv>
  <rv s="2">
    <v>0</v>
    <v>1</v>
    <v>MASTERCARD INCORPORATED. (XNYS:MA)</v>
    <v>3</v>
    <v>4</v>
    <v>Finance</v>
    <v>5</v>
    <v>fr-FR</v>
    <v>a1x8w7</v>
    <v>268435456</v>
    <v>1</v>
    <v>Avec Refinitiv</v>
    <v>XNYS</v>
    <v>911708500</v>
    <v>2001</v>
    <v>531.02</v>
    <v>428.86</v>
    <v>1.0677000000000001</v>
    <v>487527003290</v>
    <v>New York Stock Exchange</v>
    <v>540.61</v>
    <v>MA</v>
    <v>45747.603576053123</v>
    <v>MasterCard Incorporated est une société technologique qui relie les consommateurs, les institutions financières, les commerçants, les gouvernements et les entreprises du monde entier, leur permettant d'utiliser des formes de paiement électroniques. Il permet aux utilisateurs d'effectuer des paiements en créant une gamme de solutions et de services de paiement utilisant ses marques : Mastercard, Maestro et Cirrus. Il permet une variété de capacités de paiement (y compris des produits et des services à valeur ajoutée et des solutions) sur son réseau multiferroviaire entre les titulaires de comptes, les commerçants, les institutions financières, les entreprises, les gouvernements et autres, offrir aux clients un partenaire pour leurs besoins de paiement. Ses produits comprennent le crédit à la consommation, le débit à la consommation, les prépayés, les comptes fournisseurs B2B, les points de vente commerciaux, les décaissements et les remises, et autres. Il offre des capacités de paiement supplémentaires qui incluent des transactions de chambre de compensation automatisées (ACH) (paiements par lots et en temps réel basés sur un compte). Elle offre également d'autres services, tels que des solutions de cybersécurité et de renseignement.</v>
    <v>USD</v>
    <v>35300</v>
    <v>XNYS</v>
    <v>538.4</v>
    <v>582.23</v>
    <v>Software &amp; IT Services</v>
    <v>566</v>
    <v>-1.0858000000000001E-2</v>
    <v>-5.87</v>
    <v>MASTERCARD INCORPORATED.</v>
    <v>MASTERCARD INCORPORATED.</v>
    <v>534.46500000000003</v>
    <v>38.9084</v>
    <v>534.74</v>
    <v>2000 Purchase St, PURCHASE, NY, 10577 US</v>
    <v>Bourse</v>
    <v>MASTERCARD INCORPORATED. (XNYS:MA)</v>
    <v>1085476</v>
    <v>2959531</v>
  </rv>
  <rv s="3">
    <v>567</v>
  </rv>
  <rv s="1">
    <v>http://en.wikipedia.org/wiki/McDonald's</v>
    <v>Wikipedia</v>
  </rv>
  <rv s="5">
    <v>23</v>
    <v>569</v>
  </rv>
  <rv s="6">
    <v>17</v>
    <v>https://www.bing.com/th?id=AMMS_7d8255243964a8970376f8dd41121106&amp;qlt=95</v>
    <v>570</v>
    <v>0</v>
    <v>https://www.bing.com/images/search?form=xlimg&amp;q=mcdonald%27s</v>
    <v>Image of MCDONALD'S CORPORATION</v>
  </rv>
  <rv s="1">
    <v>https://www.bing.com/financeapi/forcetrigger?t=a1xdec&amp;q=XNYS%3aMCD&amp;form=skydnc</v>
    <v>Learn more on Bing</v>
  </rv>
  <rv s="7">
    <v>12</v>
    <v>13</v>
    <v>MCDONALD'S CORPORATION (XNYS:MCD)</v>
    <v>15</v>
    <v>16</v>
    <v>Finance</v>
    <v>5</v>
    <v>fr-FR</v>
    <v>a1xdec</v>
    <v>268435456</v>
    <v>1</v>
    <v>Avec Refinitiv</v>
    <v>XNYS</v>
    <v>714461100</v>
    <v>1964</v>
    <v>304.49</v>
    <v>243.53</v>
    <v>0.62439999999999996</v>
    <v>221257885753</v>
    <v>New York Stock Exchange</v>
    <v>307.08999999999997</v>
    <v>MCD</v>
    <v>45747.603633599218</v>
    <v>McDonald's Corporation est un détaillant de services alimentaires avec plus de 40 000 succursales dans plus de 100 pays. Le secteur de la Société comprend les États-Unis, les marchés exploités à l'international et les marchés agréés et entreprises en développement international. Le segment marchés exploités à l'international comprend les marchés ou les pays dans lesquels la Société exploite et franchise des restaurants, notamment l'Australie, le Canada, la France, l'Allemagne, Italie, Pologne, Espagne et Royaume-Uni. Ce segment est franchisé à plus de 89%. Le segment International Development Licensed Markets &amp; Corporate est composé de titulaires de licence en développement et de marchés affiliés dans le système McDonald's. Ce segment est franchisé à environ 98%. Son menu comprend des hamburgers et des cheeseburgers, le Big Mac, le Quarter Pounder avec fromage, le filet-O-Fish et plusieurs sandwichs au poulet comme le McChicken, le McCrispy et le McSpicy. Environ 95 % des restaurants McDonald's dans le monde sont détenus et exploités par des propriétaires d'entreprises locales indépendantes.</v>
    <v>USD</v>
    <v>150000</v>
    <v>XNYS</v>
    <v>309.77999999999997</v>
    <v>326.32</v>
    <v>571</v>
    <v>Hotels &amp; Entertainment Services</v>
    <v>572</v>
    <v>8.4499999999999992E-3</v>
    <v>2.5950000000000002</v>
    <v>MCDONALD'S CORPORATION</v>
    <v>MCDONALD'S CORPORATION</v>
    <v>304.5</v>
    <v>27.184899999999999</v>
    <v>309.685</v>
    <v>110 N Carpenter St, CHICAGO, IL, 60607-2104 US</v>
    <v>Bourse</v>
    <v>MCDONALD'S CORPORATION (XNYS:MCD)</v>
    <v>568313</v>
    <v>3736626</v>
  </rv>
  <rv s="3">
    <v>573</v>
  </rv>
  <rv s="1">
    <v>https://www.bing.com/financeapi/forcetrigger?t=ae96zr&amp;q=XPAR%3aMCPHY&amp;form=skydnc</v>
    <v>Learn more on Bing</v>
  </rv>
  <rv s="9">
    <v>25</v>
    <v>26</v>
    <v>MCPHY ENERGY SA (XPAR:ALMCP)</v>
    <v>3</v>
    <v>27</v>
    <v>Finance</v>
    <v>7</v>
    <v>fr-FR</v>
    <v>ae96zr</v>
    <v>268435456</v>
    <v>1</v>
    <v>Avec Refinitiv</v>
    <v>XPAR</v>
    <v>29281790</v>
    <v>2008</v>
    <v>0.86399999999999999</v>
    <v>0.86</v>
    <v>2.6762000000000001</v>
    <v>25475160</v>
    <v>Euronext Paris</v>
    <v>0.87</v>
    <v>ALMCP</v>
    <v>45747.584224537037</v>
    <v>MCPHY ENERGY SAS est une société basée en France qui développe des solutions de production et de stockage de l'hydrogène pour le marché libre d'hydrogène et les marchés des énergies renouvelables. La Société vend des solutions technologiques basées sur l'hydrogène à l'état solide pour offrir un moyen de stockage d'énergie renouvelable pour le gaz industriel. Ses produits comprennent un électrolyseur, un générateur d'hydrogène qui utilise l'eau comme matière première ; des solutions de stockage d'hydrogène solide avec les séries MCP et MGH ; et d'autres moyens qui intègrent les électrolyseurs et d'autres solutions. Elle possède des bureaux dans des pays comme la France, l'Italie et l'Allemagne, et des agents et distributeurs en Europe, en Asie et en Amériques.</v>
    <v>EUR</v>
    <v>258</v>
    <v>XPAR</v>
    <v>0.9</v>
    <v>3.5</v>
    <v>Machinery, Equipment &amp; Components</v>
    <v>575</v>
    <v>-6.8969999999999995E-3</v>
    <v>-6.0000000000000001E-3</v>
    <v>MCPHY ENERGY SA</v>
    <v>MCPHY ENERGY SA</v>
    <v>0.9</v>
    <v>0.86399999999999999</v>
    <v>79 Rue General Mangin, GRENOBLE, AUVERGNE-RHONE-ALPES, 38100 FR</v>
    <v>Bourse</v>
    <v>MCPHY ENERGY SA (XPAR:ALMCP)</v>
    <v>29015</v>
    <v>62270</v>
  </rv>
  <rv s="3">
    <v>576</v>
  </rv>
  <rv s="1">
    <v>https://www.bing.com/financeapi/forcetrigger?t=a1xg3m&amp;q=XNYS%3aMDT&amp;form=skydnc</v>
    <v>Learn more on Bing</v>
  </rv>
  <rv s="2">
    <v>0</v>
    <v>1</v>
    <v>MEDTRONIC PUBLIC LIMITED COMPANY (XNYS:MDT)</v>
    <v>3</v>
    <v>4</v>
    <v>Finance</v>
    <v>5</v>
    <v>fr-FR</v>
    <v>a1xg3m</v>
    <v>268435456</v>
    <v>1</v>
    <v>Avec Refinitiv</v>
    <v>XNYS</v>
    <v>1282543000</v>
    <v>2014</v>
    <v>86.93</v>
    <v>75.959999999999994</v>
    <v>0.82350000000000001</v>
    <v>112389300000</v>
    <v>New York Stock Exchange</v>
    <v>87.63</v>
    <v>MDT</v>
    <v>45747.603650786717</v>
    <v>Medtronic Public Limited Company est une société basée en Irlande, qui fournit des solutions de technologie de la santé. La catégorie de produits de la Société comprend Advanced Surgical Technology ; rythme cardiaque ; Cardiovasculaire; digestif et gastro-intestinal ; Oreille nez gorge; Chirurgie générale; Gynécologique; Neurologique; Orale et maxillo-faciale ; Surveillance des patients ; soins rénaux ; Respiratoire; Spinal &amp; Orthopédique ; Navigation chirurgicale et imagerie ; Urologique; manuels de produits ; Commande de produits et demandes de renseignements ; et performances des produits et conseils. Ses produits comprennent la stabilisation des dispositifs électroniques implantables cardiaques (CIED), les produits de greffe d'endoprothèse aortique, le logiciel de gestion de thérapie personnelle CareLink, le logiciel de gestion de thérapie CareLink Pro. Ses services et solutions comprennent les ressources du centre de chirurgie ambulatoire, les services de gestion des soins, le support des technologies de l'information (TI) de connectivité numérique, les services et le support d'équipement, le laboratoire d'innovation, le conseil en soins de santé Medtronic et la chirurgie des sinus en cabinet.</v>
    <v>USD</v>
    <v>95000</v>
    <v>XNYS</v>
    <v>88.82</v>
    <v>96.25</v>
    <v>Healthcare Equipment &amp; Supplies</v>
    <v>578</v>
    <v>1.3009E-2</v>
    <v>1.1399999999999999</v>
    <v>MEDTRONIC PUBLIC LIMITED COMPANY</v>
    <v>MEDTRONIC PUBLIC LIMITED COMPANY</v>
    <v>87</v>
    <v>26.7316</v>
    <v>88.77</v>
    <v>Building Two Parkmore Business Park West, DUBLIN, H91 4K49 IE</v>
    <v>Bourse</v>
    <v>MEDTRONIC PUBLIC LIMITED COMPANY (XNYS:MDT)</v>
    <v>1050897</v>
    <v>7913256</v>
  </rv>
  <rv s="3">
    <v>579</v>
  </rv>
  <rv s="1">
    <v>https://www.bing.com/financeapi/forcetrigger?t=aaq6gh&amp;q=XBRU%3aMELE&amp;form=skydnc</v>
    <v>Learn more on Bing</v>
  </rv>
  <rv s="4">
    <v>9</v>
    <v>10</v>
    <v>MELEXIS NV (XBRU:MELE)</v>
    <v>3</v>
    <v>11</v>
    <v>Finance</v>
    <v>7</v>
    <v>fr-FR</v>
    <v>aaq6gh</v>
    <v>268435456</v>
    <v>1</v>
    <v>Avec Refinitiv</v>
    <v>XBRU</v>
    <v>40400000</v>
    <v>51.4</v>
    <v>51.4</v>
    <v>1.3483000000000001</v>
    <v>2145240000</v>
    <v>Euronext Brussels</v>
    <v>53.1</v>
    <v>MELE</v>
    <v>45747.593055555553</v>
    <v>Melexis NV est une société belge qui conçoit, développe, teste et commercialise des dispositifs semi-conducteurs intégrés avancés pour une utilisation dans les systèmes électroniques automobiles. La société fournit des puces de capteur, de communication et de pilote avec sorties analogiques et numériques. Melexis divise ses activités en quatre divisions : capteurs, actionneurs, circuits radiofréquence et circuits multiplexeurs. La division capteurs comprend les activités Hall, pression et accélération. La division Actuators se compose de circuits intégrés de commande de moteur et d'esclaves LIN (local Interconnect Network). La division circuits radiofréquence fournit des solutions de connectivité et d'identification à courte portée avec des circuits intégrés RF (radiofréquence) et RFID (identification par radiofréquence). Les circuits de multiplexage sont constitués de SensorEyeC, de capteurs de lumière de pluie, d'imageurs automobiles et autres. La Société opère à travers ses filiales et succursales en Belgique, France, Allemagne, Suisse, Bulgarie, Ukraine, États-Unis, Hong Kong, Philippines</v>
    <v>EUR</v>
    <v>1951</v>
    <v>XBRU</v>
    <v>53.05</v>
    <v>87.2</v>
    <v>Semiconductors &amp; Semiconductor Equipment</v>
    <v>581</v>
    <v>-1.7891000000000001E-2</v>
    <v>-0.95</v>
    <v>MELEXIS NV</v>
    <v>MELEXIS NV</v>
    <v>52.6</v>
    <v>12.4947</v>
    <v>52.15</v>
    <v>Rozendaalstraat 12, IEPER, WEST-VLAANDEREN, 8900 BE</v>
    <v>Bourse</v>
    <v>MELEXIS NV (XBRU:MELE)</v>
    <v>59197</v>
    <v>56240</v>
  </rv>
  <rv s="3">
    <v>582</v>
  </rv>
  <rv s="1">
    <v>https://www.bing.com/financeapi/forcetrigger?t=af7stc&amp;q=XFRA%3aMBG&amp;form=skydnc</v>
    <v>Learn more on Bing</v>
  </rv>
  <rv s="2">
    <v>0</v>
    <v>1</v>
    <v>Mercedes-Benz Group AG (XFRA:MBG)</v>
    <v>3</v>
    <v>8</v>
    <v>Finance</v>
    <v>7</v>
    <v>fr-FR</v>
    <v>af7stc</v>
    <v>268435456</v>
    <v>1</v>
    <v>Avec Refinitiv</v>
    <v>XFRA</v>
    <v>962903700</v>
    <v>1998</v>
    <v>53.55</v>
    <v>21.055</v>
    <v>1.1420999999999999</v>
    <v>53681880000</v>
    <v>Deutsche Boerse AG</v>
    <v>55.94</v>
    <v>MBG</v>
    <v>45747.593055555553</v>
    <v>Mercedes-Benz Group AG, anciennement Daimler AG (Daimler), est une société d'ingénierie automobile basée en Allemagne. La Société s'occupe du développement, de la production et de la distribution de voitures et de camionnettes en Allemagne, et de la gestion du Daimler Group. Les segments comprennent Mercedes-Benz Cars, Mercedes-Benz Vans et Daimler Financial Services. Le segment Mercedes-Benz Cars comprend les véhicules de la marque Mercedes-Benz, y compris les marques Mercedes-AMG et Mercedes-Maybach, et les petites voitures sous la marque smart, ainsi que la marque Mercedes me. The Mercedes-Benz Vans vend des fourgonnettes sous la marque Mercedes-Benz et la marque Freightliner. Daimler Mobility AG propose par ex. le financement, le leasing, l'abonnement et la location de voitures, la gestion de flotte, les services numériques, ainsi que les services de mobilité. Les services financiers de Daimler soutiennent également les ventes de ses marques automobiles dans le monde entier.</v>
    <v>EUR</v>
    <v>163132</v>
    <v>XFRA</v>
    <v>55.28</v>
    <v>91.52</v>
    <v>Automobiles &amp; Auto Parts</v>
    <v>584</v>
    <v>-3.4680000000000002E-2</v>
    <v>-1.94</v>
    <v>Mercedes-Benz Group AG</v>
    <v>Mercedes-Benz Group AG</v>
    <v>55.28</v>
    <v>5.53</v>
    <v>54</v>
    <v>Mercedesstrasse 120, STUTTGART, BADEN-WUERTTEMBERG, 70372 DE</v>
    <v>Bourse</v>
    <v>Mercedes-Benz Group AG (XFRA:MBG)</v>
    <v>8486</v>
    <v>3188890</v>
  </rv>
  <rv s="3">
    <v>585</v>
  </rv>
  <rv s="1">
    <v>https://www.bing.com/financeapi/forcetrigger?t=ae97nm&amp;q=XPAR%3aMERY&amp;form=skydnc</v>
    <v>Learn more on Bing</v>
  </rv>
  <rv s="2">
    <v>0</v>
    <v>1</v>
    <v>MERCIALYS SA (XPAR:MERY)</v>
    <v>3</v>
    <v>8</v>
    <v>Finance</v>
    <v>7</v>
    <v>fr-FR</v>
    <v>ae97nm</v>
    <v>268435456</v>
    <v>1</v>
    <v>Avec Refinitiv</v>
    <v>XPAR</v>
    <v>93886500</v>
    <v>1999</v>
    <v>11.45</v>
    <v>9.8800000000000008</v>
    <v>1.7181999999999999</v>
    <v>1088145000</v>
    <v>Euronext Paris</v>
    <v>11.59</v>
    <v>MERY</v>
    <v>45747.591331018521</v>
    <v>MERCIALYS S.A. est une Société basée en France, se consacrant à des exploitations immobilières. Elle a le statut de SIIC (fiducie de placement immobilier - REIT). La Société détient et gère un portefeuille d'actifs, composé principalement de biens immobiliers commerciaux, tels que les restaurants en libre-service, des grands centres commerciaux et de petits centres locaux de magasins spécialisés et de grands magasins à proximité des hypermarchés ou supermarchés détenus par le Groupe Casino. MERCIALYS S.A. loue l'espace principalement aux magasins de marques nationales, aux chaines de magasins ou franchises, ainsi qu'aux détaillants indépendants. Les fonctions d'assistance de la Société, telles que la gestion immobilière, l'administration, la finance et la comptabilité, les affaires juridiques, les enquêtes et les technologies de l'information, sont externalisées auprès de différentes unités du Groupe Casino.</v>
    <v>EUR</v>
    <v>177</v>
    <v>XPAR</v>
    <v>11.58</v>
    <v>12.74</v>
    <v>Residential &amp; Commercial REIT</v>
    <v>587</v>
    <v>-2.5879999999999996E-3</v>
    <v>-0.03</v>
    <v>MERCIALYS SA</v>
    <v>MERCIALYS SA</v>
    <v>11.57</v>
    <v>20.0243</v>
    <v>11.56</v>
    <v>16-18 Rue du Quatre-Septembre, PARIS, ILE-DE-FRANCE, 75002 FR</v>
    <v>Bourse</v>
    <v>MERCIALYS SA (XPAR:MERY)</v>
    <v>99437</v>
    <v>194970</v>
  </rv>
  <rv s="3">
    <v>588</v>
  </rv>
  <rv s="1">
    <v>https://www.bing.com/financeapi/forcetrigger?t=a1xxmw&amp;q=XNYS%3aMRK&amp;form=skydnc</v>
    <v>Learn more on Bing</v>
  </rv>
  <rv s="2">
    <v>0</v>
    <v>1</v>
    <v>MERCK &amp; CO., INC. (XNYS:MRK)</v>
    <v>3</v>
    <v>4</v>
    <v>Finance</v>
    <v>5</v>
    <v>fr-FR</v>
    <v>a1xxmw</v>
    <v>268435456</v>
    <v>1</v>
    <v>Avec Refinitiv</v>
    <v>XNYS</v>
    <v>2526036000</v>
    <v>1970</v>
    <v>88.37</v>
    <v>81.040000000000006</v>
    <v>0.4209</v>
    <v>224084653559</v>
    <v>New York Stock Exchange</v>
    <v>89.23</v>
    <v>MRK</v>
    <v>45747.603660092187</v>
    <v>Merck &amp; Co., Inc. est une entreprise mondiale de soins de santé. Elle offre des solutions de santé grâce à ses médicaments sur ordonnance, y compris des thérapies biologiques, des vaccins et des produits de santé animale. Le secteur pharmaceutique de la Société comprend les produits pharmaceutiques et les vaccins pour la santé humaine. Les produits pharmaceutiques pour la santé humaine consistent en des agents thérapeutiques et préventifs, généralement vendus sur ordonnance, pour le traitement de troubles humains. Elle vend ces produits pharmaceutiques de santé humaine à des grossistes et détaillants de médicaments, à des hôpitaux, à des organismes gouvernementaux et à des fournisseurs de soins de santé gérés. Son segment santé animale découvre, développe, fabrique et commercialise une gamme de produits pharmaceutiques et vaccinaux vétérinaires, ainsi que des solutions et services de gestion de la santé, pour la prévention, le traitement et le contrôle des maladies chez toutes les espèces animales et animales de compagnie. Le candidat principal de la Société, MK-6070, est un T-cellule engager ciblant le ligand delta-like 3 (DLL3), un ligand Notch canonique inhibiteur.</v>
    <v>USD</v>
    <v>75000</v>
    <v>XNYS</v>
    <v>89.93</v>
    <v>134.63</v>
    <v>Pharmaceuticals</v>
    <v>590</v>
    <v>-5.8279999999999998E-3</v>
    <v>-0.52</v>
    <v>MERCK &amp; CO., INC.</v>
    <v>MERCK &amp; CO., INC.</v>
    <v>89.27</v>
    <v>13.2486</v>
    <v>88.71</v>
    <v>2000 Galloping Hill Road, KENILWORTH, NJ, 07033 US</v>
    <v>Bourse</v>
    <v>MERCK &amp; CO., INC. (XNYS:MRK)</v>
    <v>1919345</v>
    <v>17160243</v>
  </rv>
  <rv s="3">
    <v>591</v>
  </rv>
  <rv s="1">
    <v>http://zh.wikipedia.org/wiki/默克集團</v>
    <v>Wikipedia</v>
  </rv>
  <rv s="5">
    <v>23</v>
    <v>593</v>
  </rv>
  <rv s="6">
    <v>17</v>
    <v>https://www.bing.com/th?id=AMMS_be320d5fdf2867736594a84b5cf42cea&amp;qlt=95</v>
    <v>594</v>
    <v>0</v>
    <v>https://www.bing.com/images/search?form=xlimg&amp;q=merck+kgaa</v>
    <v>Image of Merck KGaA</v>
  </rv>
  <rv s="1">
    <v>https://www.bing.com/financeapi/forcetrigger?t=affyur&amp;q=XFRA%3aMRK&amp;form=skydnc</v>
    <v>Learn more on Bing</v>
  </rv>
  <rv s="7">
    <v>12</v>
    <v>13</v>
    <v>Merck KGaA (XFRA:MRK)</v>
    <v>15</v>
    <v>18</v>
    <v>Finance</v>
    <v>7</v>
    <v>fr-FR</v>
    <v>affyur</v>
    <v>268435456</v>
    <v>1</v>
    <v>Avec Refinitiv</v>
    <v>XFRA</v>
    <v>434777900</v>
    <v>1995</v>
    <v>126.75</v>
    <v>74.56</v>
    <v>0.62019999999999997</v>
    <v>56760250000</v>
    <v>Deutsche Boerse AG</v>
    <v>130.80000000000001</v>
    <v>MRK</v>
    <v>45747.592361111114</v>
    <v>Merck KGaA est une société scientifique et technologique basée en Allemagne. La Société exerce ses activités dans trois secteurs d'activité : Santé, Sciences de la vie et Électronique. L'activité Santé, qui opère aux États-Unis et au Canada sous le nom d'EMD Serono, se concentre sur des domaines thérapeutiques tels que les allergies, la fertilité, l'oncologie et les maladies neurodégénératives, le développement de médicaments, de substances diagnostiques et de dispositifs médicaux. L'activité Life Sciences comprend les activités de MilliporeSigma, qui fournit des solutions facilitant la recherche biotechnologique et pharmaceutique. La gamme de produits comprend des systèmes d'eau de laboratoire, des outils d'édition de gènes, des lignées cellulaires et des systèmes de fabrication de médicaments de bout en bout, entre autres. L'activité Électronique permet la vie numérique et fournit des produits chimiques spécialisés pour diverses applications, y compris les cristaux liquides pour les écrans électroniques, les matériaux pour les circuits intégrés, les pigments à effet pour les revêtements et les cosmétiques de couleur, ainsi que les matériaux fonctionnels pour les solutions énergétiques.</v>
    <v>EUR</v>
    <v>62557</v>
    <v>XFRA</v>
    <v>130.5</v>
    <v>231.3</v>
    <v>595</v>
    <v>Pharmaceuticals</v>
    <v>596</v>
    <v>-3.0962999999999997E-2</v>
    <v>-4.05</v>
    <v>Merck KGaA</v>
    <v>Merck KGaA</v>
    <v>130.5</v>
    <v>20.239999999999998</v>
    <v>126.75</v>
    <v>Frankfurter Strasse 250, DARMSTADT, HESSEN, 64293 DE</v>
    <v>Bourse</v>
    <v>Merck KGaA (XFRA:MRK)</v>
    <v>604</v>
    <v>322630</v>
  </rv>
  <rv s="3">
    <v>597</v>
  </rv>
  <rv s="1">
    <v>https://www.bing.com/financeapi/forcetrigger?t=ae9mcw&amp;q=XPAR%3aMRN&amp;form=skydnc</v>
    <v>Learn more on Bing</v>
  </rv>
  <rv s="2">
    <v>0</v>
    <v>1</v>
    <v>MERSEN SA (XPAR:MRN)</v>
    <v>3</v>
    <v>8</v>
    <v>Finance</v>
    <v>7</v>
    <v>fr-FR</v>
    <v>ae9mcw</v>
    <v>268435456</v>
    <v>1</v>
    <v>Avec Refinitiv</v>
    <v>XPAR</v>
    <v>24418310</v>
    <v>1980</v>
    <v>18.18</v>
    <v>18.18</v>
    <v>1.3189</v>
    <v>469808300</v>
    <v>Euronext Paris</v>
    <v>19.239999999999998</v>
    <v>MRN</v>
    <v>45747.593055555553</v>
    <v>Mersen sa, anciennement le carbone Lorraine sa, est une société française spécialisée dans la production de produits en carbone et graphite et leur application. Les activités de la Société sont réparties en deux secteurs : les matériaux avancés et l'énergie électrique. Le secteur des matériaux avancés comprend les équipements anticorrosion en graphite, les brosses et les porte-balais pour les moteurs électriques industriels, et les applications à haute température du graphite isostatique. Le secteur de l'énergie électrique comprend des solutions pour la gestion de l'énergie (à savoir l'électronique de puissance ; fournisseur de composants passifs pour l'électronique de puissance), la protection électrique et la surveillance dans la fabrication de fusibles industriels et la collecte de courant pour le marché ferroviaire. En juillet 2013, elle cède ses activités sur le site de Gresy-sur-Aix en Savoie. En décembre 2013, elle a cédé des activités spécialisées dans les agitateurs et mélangeurs et dans les échangeurs de chaleur à plaques métalliques.</v>
    <v>EUR</v>
    <v>7372</v>
    <v>XPAR</v>
    <v>19.04</v>
    <v>40.25</v>
    <v>Consumer Goods Conglomerates</v>
    <v>599</v>
    <v>-4.5738000000000001E-2</v>
    <v>-0.88</v>
    <v>MERSEN SA</v>
    <v>MERSEN SA</v>
    <v>19</v>
    <v>6.0827999999999998</v>
    <v>18.36</v>
    <v>Tour Trinity, 1 bis place de la Defense, COURBEVOIE, ILE-DE-FRANCE, 92400 FR</v>
    <v>Bourse</v>
    <v>MERSEN SA (XPAR:MRN)</v>
    <v>129163</v>
    <v>72730</v>
  </rv>
  <rv s="3">
    <v>600</v>
  </rv>
  <rv s="1">
    <v>https://www.bing.com/financeapi/forcetrigger?t=ae9lrw&amp;q=XPAR%3aMMT&amp;form=skydnc</v>
    <v>Learn more on Bing</v>
  </rv>
  <rv s="2">
    <v>0</v>
    <v>1</v>
    <v>METROPOLE TELEVISION SA (XPAR:MMT)</v>
    <v>3</v>
    <v>8</v>
    <v>Finance</v>
    <v>7</v>
    <v>fr-FR</v>
    <v>ae9lrw</v>
    <v>268435456</v>
    <v>1</v>
    <v>Avec Refinitiv</v>
    <v>XPAR</v>
    <v>126414300</v>
    <v>1986</v>
    <v>13.84</v>
    <v>10.48</v>
    <v>0.99080000000000001</v>
    <v>1784969000</v>
    <v>Euronext Paris</v>
    <v>14.12</v>
    <v>MMT</v>
    <v>45747.593113425923</v>
    <v>Metropole Television sa est une société audiovisuelle basée en France, spécialisée dans la production, la distribution et la commercialisation de programmes de télévision (TV). L'activité de la Société est répartie comme l'exploitation de chaînes de télévision, l'exploitation de stations de radio, la production de programmes et la commercialisation de droits audiovisuels. Il propose 4 chaînes gratuites (M6, W9, 6ter et Gulli), 9 chaînes payantes (Paris Premiere, TVA, M6 Music, Serie Club, Tiji, canal J, RFM TV, MCM et MCM Top) et 4 chaînes numériques (6play, 6play Max, Gulli Max et Gulli Replay). La Société offre la propriété des stations de radio RTL, RTL2 et Fun Radio et la diffusion de podcasts ; elle fournit la commercialisation de produits dérivés, la publication de magazines, l'organisation d'événements, la publication de sites Web, le téléachat, etc</v>
    <v>EUR</v>
    <v>2211</v>
    <v>XPAR</v>
    <v>14.1</v>
    <v>14.96</v>
    <v>Media &amp; Publishing</v>
    <v>602</v>
    <v>-1.4164000000000001E-2</v>
    <v>-0.2</v>
    <v>METROPOLE TELEVISION SA</v>
    <v>METROPOLE TELEVISION SA</v>
    <v>14</v>
    <v>8.2742000000000004</v>
    <v>13.92</v>
    <v>89 avenue Charles de Gaulle, NEUILLY-SUR-SEINE, ILE-DE-FRANCE, 92200 FR</v>
    <v>Bourse</v>
    <v>METROPOLE TELEVISION SA (XPAR:MMT)</v>
    <v>82804</v>
    <v>151260</v>
  </rv>
  <rv s="3">
    <v>603</v>
  </rv>
  <rv s="1">
    <v>https://www.bing.com/financeapi/forcetrigger?t=ae99ar&amp;q=XPAR%3aML&amp;form=skydnc</v>
    <v>Learn more on Bing</v>
  </rv>
  <rv s="2">
    <v>0</v>
    <v>1</v>
    <v>COMPAGNIE GENERALE DES ETABLISSEMENTS MICHELIN SCA (XPAR:ML)</v>
    <v>3</v>
    <v>8</v>
    <v>Finance</v>
    <v>7</v>
    <v>fr-FR</v>
    <v>ae99ar</v>
    <v>268435456</v>
    <v>1</v>
    <v>Avec Refinitiv</v>
    <v>XPAR</v>
    <v>705747300</v>
    <v>1955</v>
    <v>32.07</v>
    <v>30.17</v>
    <v>0.96260000000000001</v>
    <v>23289660000</v>
    <v>Euronext Paris</v>
    <v>33</v>
    <v>ML</v>
    <v>45747.593171296299</v>
    <v>La Compagnie générale des Etablissements Michelin SCA est une société de mobilité basée en France. La Société opère dans trois secteurs : l'automobile, le transport routier et les activités spécialisées. Automotive, qui comprend les secteurs d'activité Automotive Business to Customers (B2C) Global Brands, Automotive B2C Regional Brands, Automotive original Equipment et Mobility Experiences. Transport routier comprend les secteurs d'activité transport longue distance, transport urbain et services &amp; solutions. Les activités spécialisées comprennent les secteurs d'activité exploitation minière, transport hors route, deux roues, aéronefs et matériaux de haute technologie. Il fournit différents types de pneus et produits et services connexes par l'intermédiaire d'un réseau de concessionnaires. Son offre de services comprend, entre autres, l'assistance aux chauffeurs routiers avec Michelin Euro Assist, le conseil en pneus de flotte, des services de maintenance et de gestion et des services d'assistance à la mobilité. En outre, il fournit des produits de style de vie de marque et des matériaux de haute technologie.</v>
    <v>EUR</v>
    <v>132300</v>
    <v>XPAR</v>
    <v>32.880000000000003</v>
    <v>38.520000000000003</v>
    <v>Automobiles &amp; Auto Parts</v>
    <v>605</v>
    <v>-1.7878999999999999E-2</v>
    <v>-0.59</v>
    <v>COMPAGNIE GENERALE DES ETABLISSEMENTS MICHELIN SCA</v>
    <v>COMPAGNIE GENERALE DES ETABLISSEMENTS MICHELIN SCA</v>
    <v>32.880000000000003</v>
    <v>12.4528</v>
    <v>32.409999999999997</v>
    <v>23 place des Carmes-Dechaux, Clermont-Ferrand Cedex 9, CLERMONT-FERRAND, AUVERGNE-RHONE-ALPES, 63040 FR</v>
    <v>Bourse</v>
    <v>COMPAGNIE GENERALE DES ETABLISSEMENTS MICHELIN SCA (XPAR:ML)</v>
    <v>589696</v>
    <v>2027480</v>
  </rv>
  <rv s="3">
    <v>606</v>
  </rv>
  <rv s="1">
    <v>https://en.wikipedia.org/wiki/Microsoft</v>
    <v>Wikipedia</v>
  </rv>
  <rv s="5">
    <v>23</v>
    <v>608</v>
  </rv>
  <rv s="6">
    <v>17</v>
    <v>https://www.bing.com/th?id=AMMS_e6e837c7bf3a77408619758b7447855a&amp;qlt=95</v>
    <v>609</v>
    <v>0</v>
    <v>https://www.bing.com/images/search?form=xlimg&amp;q=microsoft</v>
    <v>Image of MICROSOFT CORPORATION</v>
  </rv>
  <rv s="1">
    <v>https://www.bing.com/financeapi/forcetrigger?t=a1xzim&amp;q=XNAS%3aMSFT&amp;form=skydnc</v>
    <v>Learn more on Bing</v>
  </rv>
  <rv s="7">
    <v>12</v>
    <v>13</v>
    <v>MICROSOFT CORPORATION (XNAS:MSFT)</v>
    <v>15</v>
    <v>16</v>
    <v>Finance</v>
    <v>5</v>
    <v>fr-FR</v>
    <v>a1xzim</v>
    <v>268435456</v>
    <v>1</v>
    <v>Avec Refinitiv</v>
    <v>XNAS</v>
    <v>7433982000</v>
    <v>1993</v>
    <v>367.67</v>
    <v>367.67</v>
    <v>0.99260000000000004</v>
    <v>2733252161940</v>
    <v>Nasdaq Stock Market</v>
    <v>378.8</v>
    <v>MSFT</v>
    <v>45747.603640231253</v>
    <v>Microsoft Corporation est une société de technologie. La Société développe et prend en charge des logiciels, des services, des appareils et des solutions. Les segments de la société comprennent la productivité et les processus d'affaires, le Cloud intelligent et plus d'informatique personnelle. Le segment productivité et processus d'affaires comprend les produits et services de son portefeuille de services de productivité, de communication et d'information. Ce segment comprend principalement : Office commercial, Office Consumer, LinkedIn et Dynamics Business Solutions. Le segment Intelligent Cloud comprend des produits serveur et des services cloud, notamment Azure et d'autres services cloud, SQL Server, Windows Server, Visual Studio, System Center, et les licences d'accès client (CAL) associées, Nuance et GitHub ; et les services d'entreprise, y compris les services de support d'entreprise, les solutions sectorielles et les services professionnels Nuance. Le segment plus personnel comprend principalement Windows, les périphériques, les jeux, la recherche et la publicité d'actualités.</v>
    <v>USD</v>
    <v>228000</v>
    <v>XNAS</v>
    <v>373.02499999999998</v>
    <v>468.35</v>
    <v>610</v>
    <v>Software &amp; IT Services</v>
    <v>611</v>
    <v>-2.9382000000000002E-2</v>
    <v>-11.13</v>
    <v>MICROSOFT CORPORATION</v>
    <v>MICROSOFT CORPORATION</v>
    <v>372.56</v>
    <v>29.727499999999999</v>
    <v>367.67</v>
    <v>One Microsoft Way, REDMOND, WA, 98052-6399 US</v>
    <v>Bourse</v>
    <v>MICROSOFT CORPORATION (XNAS:MSFT)</v>
    <v>6389603</v>
    <v>23441985</v>
  </rv>
  <rv s="3">
    <v>612</v>
  </rv>
  <rv s="1">
    <v>https://www.bing.com/financeapi/forcetrigger?t=bo5fpr&amp;q=XNAS%3aMRNA&amp;form=skydnc</v>
    <v>Learn more on Bing</v>
  </rv>
  <rv s="2">
    <v>0</v>
    <v>1</v>
    <v>MODERNA, INC. (XNAS:MRNA)</v>
    <v>3</v>
    <v>4</v>
    <v>Finance</v>
    <v>5</v>
    <v>fr-FR</v>
    <v>bo5fpr</v>
    <v>268435456</v>
    <v>1</v>
    <v>Avec Refinitiv</v>
    <v>XNAS</v>
    <v>386622600</v>
    <v>2016</v>
    <v>26.802</v>
    <v>26.802</v>
    <v>2.1755</v>
    <v>12031700000</v>
    <v>Nasdaq Stock Market</v>
    <v>31.12</v>
    <v>MRNA</v>
    <v>45747.603636203123</v>
    <v>Moderna, Inc. est une entreprise de biotechnologie. La Société développe une nouvelle classe de médicaments à base d'acide ribonucléique messager (ARNm). Elle développe des thérapies et des vaccins pour les maladies infectieuses, l'immuno-oncologie, les maladies rares et les maladies auto-immunes, indépendamment et avec ses collaborateurs stratégiques. Les médicaments à ARNm sont conçus pour diriger les cellules du corps pour produire des protéines intracellulaires, membranaires ou sécrétées qui ont un bénéfice thérapeutique ou préventif avec le potentiel de traiter un éventail de maladies. Son portefeuille de développement diversifié comprend 45 programmes thérapeutiques et vaccinaux, dont neuf sont en phase de développement tardive. Ses produits comprennent les vaccins contre la COVID-19 (ARNm-1273/Spikevax, ARNm-1283 de nouvelle génération), le vaccin contre le VRS (ARNm-1345), les vaccins contre la grippe saisonnière (ARNm-1010, ARNm-1011, ARNm-1012, ARNm-1020 et ARNm-1030), les vaccins combinés (ARNm-1083, ARNm-1230, ARNm-1045 et ARNm-1365), vaccin CMV (ARNm-1647), vaccin EBV (ARNm-1189 et ARNm-1195) et autres.</v>
    <v>USD</v>
    <v>5800</v>
    <v>XNAS</v>
    <v>28.95</v>
    <v>170.47</v>
    <v>Biotechnology &amp; Medical Research</v>
    <v>614</v>
    <v>-0.131719</v>
    <v>-4.0991</v>
    <v>MODERNA, INC.</v>
    <v>MODERNA, INC.</v>
    <v>28.89</v>
    <v>0</v>
    <v>27.020900000000001</v>
    <v>325 BINNEY STREET, Cambridge, MA, 02142 US</v>
    <v>Bourse</v>
    <v>MODERNA, INC. (XNAS:MRNA)</v>
    <v>7977009</v>
    <v>9235206</v>
  </rv>
  <rv s="3">
    <v>615</v>
  </rv>
  <rv s="1">
    <v>https://www.bing.com/financeapi/forcetrigger?t=afg352&amp;q=XFRA%3aMTX&amp;form=skydnc</v>
    <v>Learn more on Bing</v>
  </rv>
  <rv s="2">
    <v>0</v>
    <v>1</v>
    <v>MTU Aero Engines AG (XFRA:MTX)</v>
    <v>3</v>
    <v>8</v>
    <v>Finance</v>
    <v>7</v>
    <v>fr-FR</v>
    <v>afg352</v>
    <v>268435456</v>
    <v>1</v>
    <v>Avec Refinitiv</v>
    <v>XFRA</v>
    <v>53824490</v>
    <v>2005</v>
    <v>320</v>
    <v>99.98</v>
    <v>0.96740000000000004</v>
    <v>17573700000</v>
    <v>Deutsche Boerse AG</v>
    <v>327.10000000000002</v>
    <v>MTX</v>
    <v>45747.593055555553</v>
    <v>MTU Aero Engines AG est un fabricant allemand de moteurs d'avions militaires dans toutes les catégories de poussée et de puissance et de turbines à gaz stationnaires. La Société opère dans deux secteurs : le secteur des moteurs commerciaux et militaires (OEM) et le secteur de la maintenance commerciale (MRO). Le segment des moteurs commerciaux et militaires (OEM) couvre le développement et la production de modules, de composants et de pièces pour les programmes de moteurs, y compris l'assemblage final, ainsi que les services de maintenance. Le secteur de l'entretien commercial (MRO) couvre toutes les activités liées à l'entretien, à la réparation et à la révision des moteurs commerciaux et des services connexes. Elle opère par le biais de nombreuses filiales en Europe, en Amérique, en Asie et en Australie.</v>
    <v>EUR</v>
    <v>12892</v>
    <v>XFRA</v>
    <v>325.10000000000002</v>
    <v>355.6</v>
    <v>Aerospace &amp; Defense</v>
    <v>617</v>
    <v>-1.712E-2</v>
    <v>-5.6</v>
    <v>MTU Aero Engines AG</v>
    <v>MTU Aero Engines AG</v>
    <v>325.10000000000002</v>
    <v>28.46</v>
    <v>321.5</v>
    <v>Dachauer Strasse 665, MUENCHEN, BAYERN, 80995 DE</v>
    <v>Bourse</v>
    <v>MTU Aero Engines AG (XFRA:MTX)</v>
    <v>156</v>
    <v>140360</v>
  </rv>
  <rv s="3">
    <v>618</v>
  </rv>
  <rv s="1">
    <v>https://www.bing.com/financeapi/forcetrigger?t=aobu1h&amp;q=XLON%3aMUL&amp;form=skydnc</v>
    <v>Learn more on Bing</v>
  </rv>
  <rv s="17">
    <v>53</v>
    <v>54</v>
    <v>Mulberry Group (XLON:MUL)</v>
    <v>3</v>
    <v>55</v>
    <v>Finance</v>
    <v>31</v>
    <v>fr-FR</v>
    <v>aobu1h</v>
    <v>268435456</v>
    <v>1</v>
    <v>Avec Refinitiv</v>
    <v>XLON</v>
    <v>70469470</v>
    <v>1974</v>
    <v>84.968000000000004</v>
    <v>1.9025000000000001</v>
    <v>61660790</v>
    <v>London Stock Exchange</v>
    <v>87.5</v>
    <v>MUL</v>
    <v>45747.561558425783</v>
    <v>Mulberry Group plc is a United Kingdom-based sustainable luxury brand. The Company sources, designs and manufactures leather goods, including bag ranges and other lifestyle accessories, which it sells direct-to-customer across approximately 190 countries through its integrated digital channels and store network. In other territories, the Company works with selected local partners to deliver its products to customers. It designs, manufactures and manages the Mulberry brand. It has two factories in Somerset, over 100 stores and a digital flagship. Its product categories include women, men, gifts and pre-loved. Its products include bags, icons, mini and micro bags, small leather goods, accessories, travel, home, ready-to-wear, shoes and gifts. Its women's bag category products include icons, shoulder bags, satchels, totes, clutches, mini and micro bags, and backpacks. The Company's men's accessories category products include scarves, hats and gloves, ties and cufflinks, and sunglasses.</v>
    <v>GBp</v>
    <v>1300</v>
    <v>XLON</v>
    <v>140</v>
    <v>Textiles &amp; Apparel</v>
    <v>620</v>
    <v>-2.5714000000000001E-2</v>
    <v>-2.25</v>
    <v>Mulberry Group</v>
    <v>Mulberry Group</v>
    <v>87.5</v>
    <v>0</v>
    <v>85.25</v>
    <v>The Rookery, Chilcompton, BATH, SOMERSET, BA3 4EH GB</v>
    <v>Bourse</v>
    <v>Mulberry Group (XLON:MUL)</v>
    <v>1416</v>
    <v>5160</v>
  </rv>
  <rv s="3">
    <v>621</v>
  </rv>
  <rv s="1">
    <v>https://www.bing.com/financeapi/forcetrigger?t=afg4lh&amp;q=XFRA%3aMUV2&amp;form=skydnc</v>
    <v>Learn more on Bing</v>
  </rv>
  <rv s="2">
    <v>0</v>
    <v>1</v>
    <v>Munich Reinsurance Company (XFRA:MUV2)</v>
    <v>3</v>
    <v>8</v>
    <v>Finance</v>
    <v>7</v>
    <v>fr-FR</v>
    <v>afg4lh</v>
    <v>268435456</v>
    <v>1</v>
    <v>Avec Refinitiv</v>
    <v>XFRA</v>
    <v>133760300</v>
    <v>1997</v>
    <v>580.20000000000005</v>
    <v>142</v>
    <v>0.8034</v>
    <v>78597550000</v>
    <v>Deutsche Boerse AG</v>
    <v>589.6</v>
    <v>MUV2</v>
    <v>45747.593055555553</v>
    <v>Muenchener Rueckversicherungs Gesellschaft AG à Muenchen est une société allemande qui exerce des activités de réassurance et d'assurance. La Société divise ses activités en cinq secteurs : la réassurance vie et santé, qui comprend les activités mondiales de réassurance vie et santé ; la réassurance de biens et de risques divers, qui comprend les activités mondiales de réassurance de biens et de risques divers; ERGO Life and Health Germany, qui comprend les activités allemandes d'assurance vie et santé primaires, les activités allemandes d'assurance directe de dommages corporels et les activités mondiales d'assurance voyage ; ERGO Property-Casualty Germany, qui comprend les activités allemandes d'assurance de dommages corporels, à l'exclusion des activités directes ; et ERGO International, qui comprend les activités d'assurance primaire d'ERGO en dehors de l'Allemagne.</v>
    <v>EUR</v>
    <v>43584</v>
    <v>XFRA</v>
    <v>584.79999999999995</v>
    <v>590.6</v>
    <v>Insurance</v>
    <v>623</v>
    <v>-1.0516000000000001E-2</v>
    <v>-6.2</v>
    <v>Munich Reinsurance Company</v>
    <v>Munich Reinsurance Company</v>
    <v>584.4</v>
    <v>13.73</v>
    <v>583.4</v>
    <v>Koeniginstr. 107, MUENCHEN, BAYERN, 80802 DE</v>
    <v>Bourse</v>
    <v>Munich Reinsurance Company (XFRA:MUV2)</v>
    <v>640</v>
    <v>237210</v>
  </rv>
  <rv s="3">
    <v>624</v>
  </rv>
  <rv s="1">
    <v>https://www.bing.com/financeapi/forcetrigger?t=bmzqtc&amp;q=XPAR%3aNEOEN&amp;form=skydnc</v>
    <v>Learn more on Bing</v>
  </rv>
  <rv s="2">
    <v>0</v>
    <v>1</v>
    <v>NEOEN SA (XPAR:NEOEN)</v>
    <v>3</v>
    <v>8</v>
    <v>Finance</v>
    <v>7</v>
    <v>fr-FR</v>
    <v>bmzqtc</v>
    <v>268435456</v>
    <v>1</v>
    <v>Avec Refinitiv</v>
    <v>XPAR</v>
    <v>152992100</v>
    <v>2008</v>
    <v>37.93</v>
    <v>25.16</v>
    <v>0.51070000000000004</v>
    <v>5923852000</v>
    <v>Euronext Paris</v>
    <v>38.72</v>
    <v>NEOEN</v>
    <v>45733.708333333336</v>
    <v>Neoen SAS est une société française spécialisée dans le secteur des énergies renouvelables. La Société exploite, finance et développe un certain nombre de centrales électriques à partir de diverses sources d'énergie, notamment l'énergie solaire, éolienne et la biomasse. Son portefeuille de centrales comprend providencia, ombrineo, degrussa, cestas, ygos, luxey, geloux, seixal, cabrela, coruche, hornsdale I, bussy-lettree, raucourt II, villacerf, bais et trans, reclainville, chapelle vallon et la montagne. Outre la France, la Société est présente dans de nombreux autres pays tels que le Portugal, l'Australie, l'Australie, la Jordanie, la Zambie, le Mozambique, l'Argentine, la Jamaïque, le Mexique, l'Égypte et le Salvador, entre autres.</v>
    <v>EUR</v>
    <v>439</v>
    <v>XPAR</v>
    <v>39.24</v>
    <v>40.79</v>
    <v>Electrical Utilities &amp; IPPs</v>
    <v>626</v>
    <v>7.2309999999999996E-3</v>
    <v>0.28000000000000003</v>
    <v>NEOEN SA</v>
    <v>NEOEN SA</v>
    <v>38.75</v>
    <v>433.33330000000001</v>
    <v>39</v>
    <v>22, rue Bayard, PARIS, ILE-DE-FRANCE, 75008 FR</v>
    <v>Bourse</v>
    <v>NEOEN SA (XPAR:NEOEN)</v>
    <v>155266</v>
    <v>15530</v>
  </rv>
  <rv s="3">
    <v>627</v>
  </rv>
  <rv s="1">
    <v>https://www.bing.com/financeapi/forcetrigger?t=b1lca2&amp;q=XSWX%3aNESN&amp;form=skydnc</v>
    <v>Learn more on Bing</v>
  </rv>
  <rv s="2">
    <v>0</v>
    <v>1</v>
    <v>Nestlé S.A. (XSWX:NESN)</v>
    <v>3</v>
    <v>6</v>
    <v>Finance</v>
    <v>7</v>
    <v>fr-FR</v>
    <v>b1lca2</v>
    <v>268435456</v>
    <v>1</v>
    <v>Avec Refinitiv</v>
    <v>XSWX</v>
    <v>2620000000</v>
    <v>1905</v>
    <v>89.54</v>
    <v>72.819999999999993</v>
    <v>0.81189999999999996</v>
    <v>236428800000</v>
    <v>SIX Swiss Exchange</v>
    <v>90.24</v>
    <v>NESN</v>
    <v>45747.593229166669</v>
    <v>Nestlé S.A. est une entreprise spécialisée dans la nutrition, la santé et le bien-être. Les segments de la Société sont la Zone Europe, Moyen-Orient et Afrique du Nord (EMENA) ; Zone Amériques (AMS); Zone Asie, Océanie et Afrique sub-saharienne (AOA) ; Nestlé Waters; Nestlé Nutrition et autres entreprises. La Société exerce ses activités aux États-Unis, dans la région de la Grande Chine, en Suisse et dans le reste du monde. Les catégories de produits de la Société comprennent les boissons énergétiques et liquides ; l'eau; produits laitiers et glaces; sciences de la nutrition et de la santé; plats préparés et aides culinaires; confiserie et PetCare. Ses autres activités commerciales comprennent les activités de Nestlé Professional, Nespresso, Nestlé Health Science et Nestlé Skin Health. Elle opère dans environ 190 pays à travers le monde. Il a des ventes dans divers pays, dont les États-Unis, la région de la Grande Chine, le Brésil, le Mexique, l'Allemagne, le Royaume-Uni, l'Italie, le Canada, la France, la Turquie, l'Ukraine, la Géorgie, la Hongrie, Malte, la Roumanie, l'Espagne et la Suisse.</v>
    <v>CHF</v>
    <v>277000</v>
    <v>XSWX</v>
    <v>90.62</v>
    <v>98.62</v>
    <v>Food &amp; Tobacco</v>
    <v>629</v>
    <v>-6.4270000000000004E-3</v>
    <v>-0.57999999999999996</v>
    <v>Nestlé S.A.</v>
    <v>Nestlé S.A.</v>
    <v>89.74</v>
    <v>21.536999999999999</v>
    <v>89.66</v>
    <v>avenue Nestle 55, VEVEY, VAUD, 1800 CH</v>
    <v>Bourse</v>
    <v>Nestlé S.A. (XSWX:NESN)</v>
    <v>2112223</v>
    <v>4707110</v>
  </rv>
  <rv s="3">
    <v>630</v>
  </rv>
  <rv s="1">
    <v>https://www.bing.com/financeapi/forcetrigger?t=a1ygoc&amp;q=XNAS%3aNFLX&amp;form=skydnc</v>
    <v>Learn more on Bing</v>
  </rv>
  <rv s="2">
    <v>0</v>
    <v>1</v>
    <v>NETFLIX, INC. (XNAS:NFLX)</v>
    <v>3</v>
    <v>4</v>
    <v>Finance</v>
    <v>5</v>
    <v>fr-FR</v>
    <v>a1ygoc</v>
    <v>268435456</v>
    <v>1</v>
    <v>Avec Refinitiv</v>
    <v>XNAS</v>
    <v>427757100</v>
    <v>1997</v>
    <v>900.59</v>
    <v>542.01</v>
    <v>1.5408999999999999</v>
    <v>387674120944</v>
    <v>Nasdaq Stock Market</v>
    <v>933.85</v>
    <v>NFLX</v>
    <v>45747.603625613279</v>
    <v>Netflix, Inc. est un fournisseur de services de divertissement. La Société acquiert, concède des licences et produit du contenu, y compris des émissions originales. La Société offre des abonnements payants dans environ 190 pays offrant des séries télévisées, des films et des jeux dans une grande variété de genres et de langues. Ses membres peuvent jouer, mettre en pause et reprendre le visionnage autant de fois qu'ils le souhaitent, à tout moment, n'importe où, et peuvent modifier leurs plans à tout moment. La Société offre à ses membres la possibilité de recevoir du contenu en continu par le biais d'une foule d'appareils connectés à Internet, y compris des téléviseurs, des lecteurs vidéo numériques, des décodeurs de télévision et des appareils mobiles. La Société a également conclu des ententes avec divers opérateurs de câblodistribution, de satellite et de télécommunications pour rendre son service disponible par l'intermédiaire de décodeurs de télévision. Les régimes payés de la Société vont de l'équivalent en dollars des États-Unis de 1 $ à 28 $ par mois, et les prix des comptes secondaires des membres supplémentaires vont de l'équivalent en dollars des États-Unis de 2 $ à 8 $ par mois.</v>
    <v>USD</v>
    <v>14000</v>
    <v>XNAS</v>
    <v>922.5</v>
    <v>1064.5</v>
    <v>Software &amp; IT Services</v>
    <v>632</v>
    <v>-2.9506999999999999E-2</v>
    <v>-27.555</v>
    <v>NETFLIX, INC.</v>
    <v>NETFLIX, INC.</v>
    <v>920</v>
    <v>45.515300000000003</v>
    <v>906.29499999999996</v>
    <v>121 Albright Way, LOS GATOS, CA, 95032 US</v>
    <v>Bourse</v>
    <v>NETFLIX, INC. (XNAS:NFLX)</v>
    <v>1028899</v>
    <v>5210313</v>
  </rv>
  <rv s="3">
    <v>633</v>
  </rv>
  <rv s="1">
    <v>https://www.bing.com/financeapi/forcetrigger?t=ae9omw&amp;q=XPAR%3aNEX&amp;form=skydnc</v>
    <v>Learn more on Bing</v>
  </rv>
  <rv s="2">
    <v>0</v>
    <v>1</v>
    <v>NEXANS SA (XPAR:NEX)</v>
    <v>3</v>
    <v>8</v>
    <v>Finance</v>
    <v>7</v>
    <v>fr-FR</v>
    <v>ae9omw</v>
    <v>268435456</v>
    <v>1</v>
    <v>Avec Refinitiv</v>
    <v>XPAR</v>
    <v>43753380</v>
    <v>1994</v>
    <v>89.85</v>
    <v>88.45</v>
    <v>1.1271</v>
    <v>4084378000</v>
    <v>Euronext Paris</v>
    <v>93.35</v>
    <v>NEX</v>
    <v>45747.593240740738</v>
    <v>Nexans sa est une société française engagée dans l'industrie du câble. Elle fournit des câbles et des systèmes de câblage en cuivre et en fibre optique aux marchés des infrastructures énergétiques, des télécommunications et des données, des bâtiments et des réseaux locaux (LAN). La Société va au-delà des câbles pour offrir à ses clients un service complet qui exploite la technologie numérique pour maximiser la performance et l'efficacité de leurs actifs critiques. Elle conçoit des solutions et des services tout au long de la chaîne de valeur dans trois grands domaines d'activité, tels que le bâtiment et les Territoires (y compris les services publics et l'e-mobilité), la haute tension et les projets (couvrant les parcs éoliens offshore, les interconnexions sous-marines, la haute tension terrestre), et industrie &amp; solutions (y compris les énergies renouvelables, le transport, le pétrole et le gaz, l'automatisation, et autres).</v>
    <v>EUR</v>
    <v>28367</v>
    <v>XPAR</v>
    <v>92</v>
    <v>147</v>
    <v>Machinery, Equipment &amp; Components</v>
    <v>635</v>
    <v>-2.0354000000000001E-2</v>
    <v>-1.9</v>
    <v>NEXANS SA</v>
    <v>NEXANS SA</v>
    <v>92</v>
    <v>14.6149</v>
    <v>91.45</v>
    <v>4 allee de L Arche, COURBEVOIE, ILE-DE-FRANCE, 92400 FR</v>
    <v>Bourse</v>
    <v>NEXANS SA (XPAR:NEX)</v>
    <v>54817</v>
    <v>153000</v>
  </rv>
  <rv s="3">
    <v>636</v>
  </rv>
  <rv s="1">
    <v>https://www.bing.com/financeapi/forcetrigger?t=ae9prw&amp;q=XPAR%3aNXI&amp;form=skydnc</v>
    <v>Learn more on Bing</v>
  </rv>
  <rv s="2">
    <v>0</v>
    <v>1</v>
    <v>NEXITY SA (XPAR:NXI)</v>
    <v>3</v>
    <v>8</v>
    <v>Finance</v>
    <v>7</v>
    <v>fr-FR</v>
    <v>ae9prw</v>
    <v>268435456</v>
    <v>1</v>
    <v>Avec Refinitiv</v>
    <v>XPAR</v>
    <v>56129720</v>
    <v>2002</v>
    <v>9.7650000000000006</v>
    <v>8.34</v>
    <v>1.0250999999999999</v>
    <v>565787600</v>
    <v>Euronext Paris</v>
    <v>10.08</v>
    <v>NXI</v>
    <v>45747.592812499999</v>
    <v>NEXITY S.A. est un promoteur d'immobilier résidentiel et commercial basé à Paris, en France. En tant que développeur de l'immobilier résidentiel, la Société offre des solutions dans les maisons individuelles, les immeubles d'habitation, et le développement complet des quartiers avec des maisons disponibles à la location ou à l'achat, des espaces commerciaux et des installations publiques. Elle dispose de plusieurs filiales engagées dans différentes divisions, telles que Nexity Entreprises qui est spécialisée dans les bâtiments gratte-ciel, les nouveaux immeubles de bureaux et les rénovations structurelles. Geprim est spécialisée dans les entrepôts, les centres de distribution et les unités à usage mixte. Nexity Services fournit des services le long de toutes les étapes de conception d'un projet, l'achat, la gestion quotidienne, la rénovation et la vente. Le Groupe est également actif au niveau international et il est présent en Belgique, en Espagne, en Italie et au Portugal. Il opère à travers Costame, entre autres.</v>
    <v>EUR</v>
    <v>4619</v>
    <v>XPAR</v>
    <v>10.01</v>
    <v>14.79</v>
    <v>Real Estate Operations</v>
    <v>638</v>
    <v>-1.8849000000000001E-2</v>
    <v>-0.19</v>
    <v>NEXITY SA</v>
    <v>NEXITY SA</v>
    <v>10.01</v>
    <v>0</v>
    <v>9.89</v>
    <v>19 rue de Vienne, Tsa 50029, PARIS Cedex 08, PARIS, ILE-DE-FRANCE, 75801 FR</v>
    <v>Bourse</v>
    <v>NEXITY SA (XPAR:NXI)</v>
    <v>101631</v>
    <v>162800</v>
  </rv>
  <rv s="3">
    <v>639</v>
  </rv>
  <rv s="1">
    <v>https://www.bing.com/financeapi/forcetrigger?t=a1yjxm&amp;q=XNYS%3aNKE&amp;form=skydnc</v>
    <v>Learn more on Bing</v>
  </rv>
  <rv s="2">
    <v>0</v>
    <v>1</v>
    <v>NIKE, INC. (XNYS:NKE)</v>
    <v>3</v>
    <v>4</v>
    <v>Finance</v>
    <v>5</v>
    <v>fr-FR</v>
    <v>a1yjxm</v>
    <v>268435456</v>
    <v>1</v>
    <v>Avec Refinitiv</v>
    <v>XNYS</v>
    <v>1479127000</v>
    <v>1969</v>
    <v>62.65</v>
    <v>62.65</v>
    <v>1.1545000000000001</v>
    <v>94057685930</v>
    <v>New York Stock Exchange</v>
    <v>63.29</v>
    <v>NKE</v>
    <v>45747.603621226561</v>
    <v>NIKE, Inc. conçoit, commercialise et distribue des chaussures de sport, des vêtements, des équipements et accessoires et des services pour les activités sportives et de remise en forme. Les secteurs d'exploitation de la Société comprennent l'Amérique du Nord, l'Europe, le moyen-Orient et l'Afrique (EMEA), la Grande Chine et l'Asie-Pacifique et l'Amérique latine (APLA). Elle vend une gamme d'équipements et d'accessoires sous la marque NIKE, y compris des sacs, des chaussettes, des ballons de sport, des lunettes, garde-temps, appareils numériques, chauves-souris, gants, équipement de protection et autres équipements conçus pour les activités sportives. Elle conçoit également des produits spécifiquement pour la marque Jordan et Converse. La marque Jordan conçoit, distribue et concède sous licence des chaussures, des vêtements et des accessoires sportifs et décontractés principalement axés sur les performances et la culture du basket-ball en utilisant la marque Jumpman. La société conçoit, distribue et concède sous licence des baskets, des vêtements et des accessoires décontractés sous les marques Chuck Taylor, All Star, One Star, Star Chevron et Jack Purcell.</v>
    <v>USD</v>
    <v>79400</v>
    <v>XNYS</v>
    <v>63.99</v>
    <v>98.04</v>
    <v>Textiles &amp; Apparel</v>
    <v>641</v>
    <v>4.7399999999999994E-3</v>
    <v>0.3</v>
    <v>NIKE, INC.</v>
    <v>NIKE, INC.</v>
    <v>62.8</v>
    <v>21.031700000000001</v>
    <v>63.59</v>
    <v>One Bowerman Dr, BEAVERTON, OR, 97005-6453 US</v>
    <v>Bourse</v>
    <v>NIKE, INC. (XNYS:NKE)</v>
    <v>3969694</v>
    <v>17186621</v>
  </rv>
  <rv s="3">
    <v>642</v>
  </rv>
  <rv s="1">
    <v>https://www.bing.com/financeapi/forcetrigger?t=alogk2&amp;q=XAMS%3aNN&amp;form=skydnc</v>
    <v>Learn more on Bing</v>
  </rv>
  <rv s="2">
    <v>0</v>
    <v>1</v>
    <v>NN Group NV (XAMS:NN)</v>
    <v>3</v>
    <v>8</v>
    <v>Finance</v>
    <v>7</v>
    <v>fr-FR</v>
    <v>alogk2</v>
    <v>268435456</v>
    <v>1</v>
    <v>Avec Refinitiv</v>
    <v>XAMS</v>
    <v>269000000</v>
    <v>2011</v>
    <v>50.86</v>
    <v>39</v>
    <v>0.80879999999999996</v>
    <v>13875020000</v>
    <v>Euronext Amsterdam</v>
    <v>51.58</v>
    <v>NN</v>
    <v>45747.593206018515</v>
    <v>NN Group N.V. est une société d'assurance et de gestion de placements basée aux Pays-Bas. Elle exploite sept segments. Le segment Pays-Bas Vie offre des produits d'assurance-vie individuelle et de groupe et des pensions. Le segment Pays-Bas Non-Vie fournit les assurances automobiles, de transport, d'incendie, de responsabilité et de voyage, ainsi que des produits de protection de revenu. L'Assurance Europe comprend l'assurance-vie offerte dans 11 pays européens, les pensions, l'assurance non-vie en Belgique et en Espagne et l'assurance des soins de santé en Grèce. Le segment Japon Vie offre des assurances-vie d'entreprises. La Gestion d'Investissement fournit des produits d'investissement et des services consultatifs. Le segment Autres comprend les affaires de la Banque Nationale-Nederlanden et le réassureur interne de la Société, ING Re, ainsi que des résultats de holding et autres. Le Japon Bloc Fermé VA comprend l'assurance-vie individuelle à prime unique bloc fermé à rente variable. En juillet 2014, ING Groep NV a réduit sa participation dans la Société à 68,1 %.</v>
    <v>EUR</v>
    <v>15990</v>
    <v>XAMS</v>
    <v>51.34</v>
    <v>52.4</v>
    <v>Insurance</v>
    <v>644</v>
    <v>-9.306E-3</v>
    <v>-0.48</v>
    <v>NN Group NV</v>
    <v>NN Group NV</v>
    <v>51.28</v>
    <v>12.145</v>
    <v>51.1</v>
    <v>Schenkkade 65, 'S-GRAVENHAGE, ZUID-HOLLAND, 2595 AS NL</v>
    <v>Bourse</v>
    <v>NN Group NV (XAMS:NN)</v>
    <v>392253</v>
    <v>941210</v>
  </rv>
  <rv s="3">
    <v>645</v>
  </rv>
  <rv s="1">
    <v>https://www.bing.com/financeapi/forcetrigger?t=afgibh&amp;q=XFRA%3aNDX1&amp;form=skydnc</v>
    <v>Learn more on Bing</v>
  </rv>
  <rv s="2">
    <v>0</v>
    <v>1</v>
    <v>Nordex SE (XFRA:NDX1)</v>
    <v>3</v>
    <v>8</v>
    <v>Finance</v>
    <v>7</v>
    <v>fr-FR</v>
    <v>afgibh</v>
    <v>268435456</v>
    <v>1</v>
    <v>Avec Refinitiv</v>
    <v>XFRA</v>
    <v>236450400</v>
    <v>2000</v>
    <v>14.16</v>
    <v>5.69</v>
    <v>1.4876</v>
    <v>3490007000</v>
    <v>Deutsche Boerse AG</v>
    <v>14.75</v>
    <v>NDX1</v>
    <v>45747.593055555553</v>
    <v>Nordex se est une société holding basée en Allemagne qui, avec ses filiales, développe, fabrique et distribue des systèmes éoliens, spécialisés dans les éoliennes, en Allemagne et dans d'autres pays. Sous la marque Nordex, la Société propose des éoliennes Nordex N90/2500, N100/2500 et N117/2400. En plus du développement et de la production de systèmes éoliens, la Société fournit également des services préliminaires de développement de projets pour soutenir la commercialisation, ainsi que l'acquisition des droits et la création de l'infrastructure nécessaire à la construction de systèmes éoliens à des endroits appropriés. La Société est active dans le développement de projets sur près de quatre marchés : la France, la Pologne, la Suède et l'Amérique. La Société possède des bureaux et des filiales dans le monde entier et des installations de production en Allemagne, en Chine et aux États-Unis. La Société détient des participations dans d'autres sociétés, dont Beebe Wind LLC, Big Berry Wind Farm LLC, Flat Rock Wind LLC et Green Hills Wind LLC, entre autres.</v>
    <v>EUR</v>
    <v>10405</v>
    <v>XFRA</v>
    <v>14.59</v>
    <v>29.18</v>
    <v>Machinery, Equipment &amp; Components</v>
    <v>647</v>
    <v>-2.8475E-2</v>
    <v>-0.42</v>
    <v>Nordex SE</v>
    <v>Nordex SE</v>
    <v>14.51</v>
    <v>482.35</v>
    <v>14.33</v>
    <v>Langenhorner Chaussee 600, HAMBURG, HAMBURG, 22419 DE</v>
    <v>Bourse</v>
    <v>Nordex SE (XFRA:NDX1)</v>
    <v>1688</v>
    <v>1198240</v>
  </rv>
  <rv s="3">
    <v>648</v>
  </rv>
  <rv s="1">
    <v>http://en.wikipedia.org/wiki/Novartis</v>
    <v>Wikipedia</v>
  </rv>
  <rv s="5">
    <v>23</v>
    <v>650</v>
  </rv>
  <rv s="6">
    <v>17</v>
    <v>https://www.bing.com/th?id=AMMS_3a4201ed5d487670c98d0ce5663b2ca7&amp;qlt=95</v>
    <v>651</v>
    <v>0</v>
    <v>https://www.bing.com/images/search?form=xlimg&amp;q=novartis</v>
    <v>Image of Novartis Inc.</v>
  </rv>
  <rv s="1">
    <v>https://www.bing.com/financeapi/forcetrigger?t=b1lc77&amp;q=XSWX%3aNOVN&amp;form=skydnc</v>
    <v>Learn more on Bing</v>
  </rv>
  <rv s="7">
    <v>12</v>
    <v>13</v>
    <v>Novartis Inc. (XSWX:NOVN)</v>
    <v>15</v>
    <v>22</v>
    <v>Finance</v>
    <v>7</v>
    <v>fr-FR</v>
    <v>b1lc77</v>
    <v>268435456</v>
    <v>1</v>
    <v>Avec Refinitiv</v>
    <v>XSWX</v>
    <v>2112422000</v>
    <v>1996</v>
    <v>97.46</v>
    <v>83.63</v>
    <v>0.91559999999999997</v>
    <v>208090700000</v>
    <v>SIX Swiss Exchange</v>
    <v>98.62</v>
    <v>NOVN</v>
    <v>45747.593206018515</v>
    <v>Novartis AG est une société pharmaceutique basée en Suisse. La Société développe, fabrique et commercialise des médicaments d'ordonnance de marque et génériques, des ingrédients pharmaceutiques actifs (API), des biosimilaires et des produits ophtalmiques. La Société utilise la science et les technologies numériques pour les traitements dans les domaines de l'immunologie, de la dermatologie, du cancer, de l'ophtalmologie, des neurosciences, des maladies respiratoires, cardiovasculaires, rénales et métaboliques. Les activités commerciales de la Société sont divisées en deux segments : Médicaments innovants, qui comprend des médicaments d'ordonnance innovants protégés par un brevet pour la tension artérielle, le cancer et d'autres affections, et Sandoz, qui comprend des produits pharmaceutiques génériques et des biosimilaires.</v>
    <v>CHF</v>
    <v>75883</v>
    <v>XSWX</v>
    <v>98.57</v>
    <v>102.72</v>
    <v>652</v>
    <v>Pharmaceuticals</v>
    <v>653</v>
    <v>-8.2129999999999998E-3</v>
    <v>-0.81</v>
    <v>Novartis Inc.</v>
    <v>Novartis Inc.</v>
    <v>98.07</v>
    <v>18.502800000000001</v>
    <v>97.81</v>
    <v>Lichtstrasse 35, BASEL, BASEL-STADT, 4056 CH</v>
    <v>Bourse</v>
    <v>Novartis Inc. (XSWX:NOVN)</v>
    <v>1791636</v>
    <v>4782430</v>
  </rv>
  <rv s="3">
    <v>654</v>
  </rv>
  <rv s="1">
    <v>https://www.bing.com/financeapi/forcetrigger?t=a1yv52&amp;q=XNAS%3aNVDA&amp;form=skydnc</v>
    <v>Learn more on Bing</v>
  </rv>
  <rv s="2">
    <v>0</v>
    <v>1</v>
    <v>NVIDIA CORPORATION (XNAS:NVDA)</v>
    <v>3</v>
    <v>4</v>
    <v>Finance</v>
    <v>5</v>
    <v>fr-FR</v>
    <v>a1yv52</v>
    <v>268435456</v>
    <v>1</v>
    <v>Avec Refinitiv</v>
    <v>XNAS</v>
    <v>24400000000</v>
    <v>1998</v>
    <v>103.65</v>
    <v>75.605999999999995</v>
    <v>1.9487000000000001</v>
    <v>2535648000000</v>
    <v>Nasdaq Stock Market</v>
    <v>109.67</v>
    <v>NVDA</v>
    <v>45747.603612916406</v>
    <v>NVIDIA Corporation est une société d'infrastructure informatique full stack. La société accélère l'informatique pour aider à résoudre les problèmes de calcul. Les segments de la société comprennent le calcul et la mise en réseau et les graphiques. Le segment Compute &amp; Networking comprend sa plate-forme informatique accélérée de centre de données ; la mise en réseau ; l'intelligence artificielle automobile (IA), le cockpit, les accords de développement de conduite autonome et les solutions de véhicules autonomes ; les plates-formes informatiques de véhicules électriques ; NVIDIA ai Enterprise et d'autres logiciels. Le segment graphique comprend les GPU GeForce pour les jeux et les ordinateurs personnels (PC), le service de streaming de jeux GeForce NOW et l'infrastructure connexe, ainsi que les solutions pour les plateformes de jeux ; les GPU Quadro/NVIDIA RTX pour les graphiques des stations de travail d'entreprise ; le GPU virtuel (vGPU), logiciel pour l'informatique visuelle et virtuelle basée sur le cloud ; les plateformes automobiles pour les systèmes d'infodivertissement; et des logiciels d'entreprise omnidirectionnels pour la création et l'exploitation de métaverse et d'applications Internet tridimensionnelles.</v>
    <v>USD</v>
    <v>36000</v>
    <v>XNAS</v>
    <v>106.01</v>
    <v>153.13</v>
    <v>Semiconductors &amp; Semiconductor Equipment</v>
    <v>656</v>
    <v>-5.2430000000000004E-2</v>
    <v>-5.75</v>
    <v>NVIDIA CORPORATION</v>
    <v>NVIDIA CORPORATION</v>
    <v>105.1</v>
    <v>35.574100000000001</v>
    <v>103.92</v>
    <v>2788 San Tomas Expressway, SANTA CLARA, CA, 95051 US</v>
    <v>Bourse</v>
    <v>NVIDIA CORPORATION (XNAS:NVDA)</v>
    <v>86550664</v>
    <v>302373463</v>
  </rv>
  <rv s="3">
    <v>657</v>
  </rv>
  <rv s="1">
    <v>https://www.bing.com/financeapi/forcetrigger?t=aaq7fr&amp;q=XBRU%3aONTEX&amp;form=skydnc</v>
    <v>Learn more on Bing</v>
  </rv>
  <rv s="2">
    <v>0</v>
    <v>1</v>
    <v>Ontex Group NV (XBRU:ONTEX)</v>
    <v>3</v>
    <v>8</v>
    <v>Finance</v>
    <v>7</v>
    <v>fr-FR</v>
    <v>aaq7fr</v>
    <v>268435456</v>
    <v>1</v>
    <v>Avec Refinitiv</v>
    <v>XBRU</v>
    <v>82347220</v>
    <v>2014</v>
    <v>8.4499999999999993</v>
    <v>7.21</v>
    <v>0.69589999999999996</v>
    <v>712303500</v>
    <v>Euronext Brussels</v>
    <v>8.65</v>
    <v>ONTEX</v>
    <v>45747.592083333337</v>
    <v>Ontex Group NV est une société basée en Belgique, qui opère dans l'industrie manufacturière. La Société est un producteur de solutions d'hygiène personnelle jetables pour bébés, femmes et adultes. Il propose une gamme de produits tels que des couches pour bébés, des pantalons pour bébés, des lingettes humides pour bébés, des tampons, des protège-slips, des tampons, des produits contre l'incontinence légère, des pull-ups, des couches pour ceinture, des systèmes de ruban tout-en-un, des tampons en forme et des sous-couches. Ses produits sont distribués par le biais de marques partenaires de vente au détail, ainsi que sous ses propres marques (canbebe, canped et Moltex,) à travers plusieurs canaux de distribution, tels que le commerce de détail, les établissements de soins et les pharmacies. La Société est présente en Europe, en Amérique du Nord, au Brésil, en Afrique du Nord, en Australie et en Asie, entre autres.</v>
    <v>EUR</v>
    <v>6896</v>
    <v>XBRU</v>
    <v>8.56</v>
    <v>9.75</v>
    <v>Personal &amp; Household Products &amp; Services</v>
    <v>659</v>
    <v>-1.0404999999999999E-2</v>
    <v>-0.09</v>
    <v>Ontex Group NV</v>
    <v>Ontex Group NV</v>
    <v>8.5299999999999994</v>
    <v>33.592199999999998</v>
    <v>8.56</v>
    <v>Korte Keppestraat 21, AALST, OOST-VLAANDEREN, 9320 BE</v>
    <v>Bourse</v>
    <v>Ontex Group NV (XBRU:ONTEX)</v>
    <v>85692</v>
    <v>111980</v>
  </rv>
  <rv s="3">
    <v>660</v>
  </rv>
  <rv s="1">
    <v>https://www.bing.com/financeapi/forcetrigger?t=ae9qlh&amp;q=XPAR%3aORA&amp;form=skydnc</v>
    <v>Learn more on Bing</v>
  </rv>
  <rv s="2">
    <v>0</v>
    <v>1</v>
    <v>ORANGE SA (XPAR:ORA)</v>
    <v>3</v>
    <v>8</v>
    <v>Finance</v>
    <v>7</v>
    <v>fr-FR</v>
    <v>ae9qlh</v>
    <v>268435456</v>
    <v>1</v>
    <v>Avec Refinitiv</v>
    <v>XPAR</v>
    <v>2660057000</v>
    <v>1991</v>
    <v>11.805</v>
    <v>9.19</v>
    <v>0.30530000000000002</v>
    <v>31521670000</v>
    <v>Euronext Paris</v>
    <v>11.85</v>
    <v>ORA</v>
    <v>45747.593217592592</v>
    <v>Orange sa est un opérateur de télécommunications multiservices basé en France. La société opère sur sept segments : France, Espagne, Europe, Afrique et moyen-Orient, entreprises, opérateurs internationaux et services partagés, Orange Bank. La France comprend tous les services de communication fixe et mobile aux consommateurs et aux entreprises ainsi que les services aux opérateurs. L'Espagne couvre la téléphonie fixe et mobile et la fibre optique. Europe (Pologne, Belgique, Luxembourg, Roumanie, Slovaquie, et Moldavie) fournit un haut débit fixe et mobile. Afrique &amp; moyen-Orient opère principalement sur les marchés mobiles, mais fournit également des services de téléphonie et d'Internet fixe. Enterprise fournit un soutien à la transformation numérique. Les opérateurs internationaux et les services partagés comprennent les opérateurs internationaux et les activités d'OCS et Orange Studio dans le contenu, entre autres. Orange Bank fournit des services financiers mobiles. Orange sa est la société mère du groupe Orange.</v>
    <v>EUR</v>
    <v>119270</v>
    <v>XPAR</v>
    <v>11.99</v>
    <v>11.99</v>
    <v>Telecommunications Services</v>
    <v>662</v>
    <v>5.9069999999999999E-3</v>
    <v>7.0000000000000007E-2</v>
    <v>ORANGE SA</v>
    <v>ORANGE SA</v>
    <v>11.88</v>
    <v>14.491899999999999</v>
    <v>11.92</v>
    <v>111, quai du President Roosevelt, Cs 70222, Issy-Les-Moulineaux Cedex, ISSY-LES-MOULINEAUX, ILE-DE-FRANCE, 92449 FR</v>
    <v>Bourse</v>
    <v>ORANGE SA (XPAR:ORA)</v>
    <v>3769403</v>
    <v>7862380</v>
  </rv>
  <rv s="3">
    <v>663</v>
  </rv>
  <rv s="1">
    <v>https://www.bing.com/financeapi/forcetrigger?t=ae9qww&amp;q=XPAR%3aORP&amp;form=skydnc</v>
    <v>Learn more on Bing</v>
  </rv>
  <rv s="2">
    <v>0</v>
    <v>1</v>
    <v>EMEIS SA (XPAR:EMEIS)</v>
    <v>3</v>
    <v>8</v>
    <v>Finance</v>
    <v>7</v>
    <v>fr-FR</v>
    <v>ae9qww</v>
    <v>268435456</v>
    <v>1</v>
    <v>Avec Refinitiv</v>
    <v>XPAR</v>
    <v>161440000</v>
    <v>1995</v>
    <v>10.462</v>
    <v>4.4400000000000004</v>
    <v>0.76649999999999996</v>
    <v>1765186000</v>
    <v>Euronext Paris</v>
    <v>10.933999999999999</v>
    <v>EMEIS</v>
    <v>45747.592037037037</v>
    <v>EMEIS SA, anciennement ORPEA SA, est une société basée en France, spécialisée dans l'administration de soins et d'accompagnement personnalisés aux personnes vulnérables. La société est active dans l'exploitation de maisons de retraite, de cliniques ambulatoires et de réadaptation et de soins psychiatriques. Elle propose une gamme d'autres services, allant du traitement ambulatoire, des soins postopératoires et de la physiothérapie aux soins infirmiers, aux soins gériatriques, aux services psychiatriques et aux maisons de soins de longue durée. Les cliniques de soins médicaux et de réadaptation offrent des services aux patients qui ont subi une intervention chirurgicale ou un épisode de maladie chronique. Les maisons de retraite offrent des résidences pour personnes âgées où les personnes âgées nécessitant une attention personnelle peuvent effectuer leurs tâches quotidiennes.</v>
    <v>EUR</v>
    <v>78476</v>
    <v>XPAR</v>
    <v>11.222</v>
    <v>15.3</v>
    <v>Healthcare Providers &amp; Services</v>
    <v>665</v>
    <v>8.7799999999999996E-3</v>
    <v>9.6000000000000002E-2</v>
    <v>EMEIS SA</v>
    <v>EMEIS SA</v>
    <v>10.74</v>
    <v>1.67E-3</v>
    <v>11.03</v>
    <v>12 Rue Jean Jaures, Puteaux Cedex, PUTEAUX, ILE-DE-FRANCE, 92813 FR</v>
    <v>Bourse</v>
    <v>EMEIS SA (XPAR:EMEIS)</v>
    <v>351264</v>
    <v>440460</v>
  </rv>
  <rv s="3">
    <v>666</v>
  </rv>
  <rv s="1">
    <v>https://www.bing.com/financeapi/forcetrigger?t=c3ohp2&amp;q=XPAR%3aOVH&amp;form=skydnc</v>
    <v>Learn more on Bing</v>
  </rv>
  <rv s="9">
    <v>25</v>
    <v>26</v>
    <v>OVH GROUPE SA (XPAR:OVH)</v>
    <v>3</v>
    <v>27</v>
    <v>Finance</v>
    <v>7</v>
    <v>fr-FR</v>
    <v>c3ohp2</v>
    <v>268435456</v>
    <v>1</v>
    <v>Avec Refinitiv</v>
    <v>XPAR</v>
    <v>151651500</v>
    <v>2011</v>
    <v>7.28</v>
    <v>4.43</v>
    <v>0.69769999999999999</v>
    <v>1124496000</v>
    <v>Euronext Paris</v>
    <v>7.415</v>
    <v>OVH</v>
    <v>45747.593043981484</v>
    <v>OVH Groupe SAS est une société française qui est un fournisseur de services Internet. Son portefeuille de produits et services comprend des noms de domaine, des services de messagerie électronique, de l'hébergement, des solutions cloud, de la téléphonie, et les solutions VoIP (Voice over Internet Protocol), entre autres. La société fournit également des solutions logicielles axées sur l'exploitation du cloud et le traitement des données. Il fournit un service cloud qui comprend des solutions de calcul, des solutions de stockage, des solutions de Big Data et de machine learning, le paiement à l'utilisation, l'intelligence artificielle et le machine learning. Il offre une solution d'entreprise qui comprend un cloud privé, des solutions de plan de reprise après sinistre, la migration du centre de données vers le cloud, l'interconnexion entre les serveurs physiques et un cloud sécurisé, des solutions certifiées pour l'hébergement de données sensibles et une solution de virtualisation VMware gérée.</v>
    <v>EUR</v>
    <v>2939</v>
    <v>XPAR</v>
    <v>7.5750000000000002</v>
    <v>11.28</v>
    <v>Software &amp; IT Services</v>
    <v>668</v>
    <v>1.5509E-2</v>
    <v>0.115</v>
    <v>OVH GROUPE SA</v>
    <v>OVH GROUPE SA</v>
    <v>7.3849999999999998</v>
    <v>7.53</v>
    <v>2 rue Kellermann, ROUBAIX, HAUTS-DE-FRANCE, 59100 FR</v>
    <v>Bourse</v>
    <v>OVH GROUPE SA (XPAR:OVH)</v>
    <v>105333</v>
    <v>134430</v>
  </rv>
  <rv s="3">
    <v>669</v>
  </rv>
  <rv s="1">
    <v>https://www.bing.com/financeapi/forcetrigger?t=b1lc4c&amp;q=XSWX%3aPGHN&amp;form=skydnc</v>
    <v>Learn more on Bing</v>
  </rv>
  <rv s="2">
    <v>0</v>
    <v>1</v>
    <v>Partners Group Holding AG (XSWX:PGHN)</v>
    <v>3</v>
    <v>6</v>
    <v>Finance</v>
    <v>7</v>
    <v>fr-FR</v>
    <v>b1lc4c</v>
    <v>268435456</v>
    <v>1</v>
    <v>Avec Refinitiv</v>
    <v>XSWX</v>
    <v>26700000</v>
    <v>1997</v>
    <v>1238.5</v>
    <v>1045</v>
    <v>1.5838000000000001</v>
    <v>34483050000</v>
    <v>SIX Swiss Exchange</v>
    <v>1291.5</v>
    <v>PGHN</v>
    <v>45747.593171296299</v>
    <v>Partners Group Holding AG est une société de gestion d'investissements sur les marchés privés mondiaux basée en Suisse. Elle gère une large gamme de portefeuilles personnalisés pour une clientèle internationale d'investisseurs institutionnels. La Société exerce ses activités dans les secteurs d'activité suivants : Le capital-investissement qui fait référence aux investissements réalisés dans des entreprises privées ; Dette privée qui fait référence au financement par emprunt de sociétés ou de projets privés, qui permet aux investisseurs d'accéder à des opportunités d'investissement qui ne sont pas disponibles sur le marché des obligations d'entreprises publiques ; Immobilier privé qui fait référence aux investissements réalisés dans des actifs immobiliers privés, y compris une gamme d'opportunités d'investissement, allant des complexes de logements et des espaces de bureaux aux centres commerciaux et aux bâtiments industriels, et Infrastructure privée qui fait référence aux investissements réalisés dans des actifs d'infrastructure privés, tels que le transport , communication, énergie conventionnelle, énergie renouvelable, infrastructure énergétique, eau, infrastructure sociale et gestion des déchets.</v>
    <v>CHF</v>
    <v>1775</v>
    <v>XSWX</v>
    <v>1277</v>
    <v>1426.5</v>
    <v>Investment Banking &amp; Investment Services</v>
    <v>671</v>
    <v>-3.4842999999999999E-2</v>
    <v>-45</v>
    <v>Partners Group Holding AG</v>
    <v>Partners Group Holding AG</v>
    <v>1274</v>
    <v>29.992999999999999</v>
    <v>1246.5</v>
    <v>Unternehmer-Park 3, BAAR, ZUG, 6340 CH</v>
    <v>Bourse</v>
    <v>Partners Group Holding AG (XSWX:PGHN)</v>
    <v>37447</v>
    <v>62050</v>
  </rv>
  <rv s="3">
    <v>672</v>
  </rv>
  <rv s="1">
    <v>https://www.bing.com/financeapi/forcetrigger?t=brfjjc&amp;q=XNAS%3aPTON&amp;form=skydnc</v>
    <v>Learn more on Bing</v>
  </rv>
  <rv s="2">
    <v>0</v>
    <v>1</v>
    <v>PELOTON INTERACTIVE, INC. (XNAS:PTON)</v>
    <v>3</v>
    <v>4</v>
    <v>Finance</v>
    <v>5</v>
    <v>fr-FR</v>
    <v>brfjjc</v>
    <v>268435456</v>
    <v>1</v>
    <v>Avec Refinitiv</v>
    <v>XNAS</v>
    <v>389964500</v>
    <v>2015</v>
    <v>5.96</v>
    <v>2.7</v>
    <v>2.2151999999999998</v>
    <v>2400231497</v>
    <v>Nasdaq Stock Market</v>
    <v>6.3</v>
    <v>PTON</v>
    <v>45747.603559628908</v>
    <v>Peloton Interactive, Inc. est un fournisseur de plateformes interactives de fitness. La société propose à ses membres une remise en forme connectée et basée sur la technologie ainsi que la diffusion en continu de cours immersifs dirigés par un instructeur, à tout moment et en tout lieu. Ses segments comprennent les produits de fitness connectés et les abonnements. Le secteur Produits de fitness connectés comprend le portefeuille de produits de fitness connectés et d'accessoires associés de la société, les produits de fitness de marque Precor, les services de livraison et d'installation, les vêtements de marque Peloton, les accords de garantie prolongée et les contrats de services commerciaux. Ses produits de fitness connectés comprennent Peloton Bike, Peloton Bike+, Peloton Tread, Peloton Tread+, Peloton Guide et Peloton Row. Le segment Abonnements donne accès au contenu de sa bibliothèque de cours de fitness en direct et à la demande. Ses abonnements sont proposés au mois ou prépayés. Elle vend ses produits directement aux clients via une plateforme de vente multicanal et via des tiers.</v>
    <v>USD</v>
    <v>2853</v>
    <v>XNAS</v>
    <v>6.25</v>
    <v>10.895</v>
    <v>Leisure Products</v>
    <v>674</v>
    <v>-2.3016000000000002E-2</v>
    <v>-0.14499999999999999</v>
    <v>PELOTON INTERACTIVE, INC.</v>
    <v>PELOTON INTERACTIVE, INC.</v>
    <v>6.1</v>
    <v>0</v>
    <v>6.1550000000000002</v>
    <v>125 W. 25Th St., 11Th Floor, NEW YORK, NY, 10001 US</v>
    <v>Bourse</v>
    <v>PELOTON INTERACTIVE, INC. (XNAS:PTON)</v>
    <v>1851250</v>
    <v>14971897</v>
  </rv>
  <rv s="3">
    <v>675</v>
  </rv>
  <rv s="1">
    <v>https://www.bing.com/financeapi/forcetrigger?t=ae9w8m&amp;q=XPAR%3aRI&amp;form=skydnc</v>
    <v>Learn more on Bing</v>
  </rv>
  <rv s="2">
    <v>0</v>
    <v>1</v>
    <v>PERNOD RICARD SA (XPAR:RI)</v>
    <v>3</v>
    <v>8</v>
    <v>Finance</v>
    <v>7</v>
    <v>fr-FR</v>
    <v>ae9w8m</v>
    <v>268435456</v>
    <v>1</v>
    <v>Avec Refinitiv</v>
    <v>XPAR</v>
    <v>252269200</v>
    <v>1958</v>
    <v>91.18</v>
    <v>90.66</v>
    <v>0.57050000000000001</v>
    <v>23743580000</v>
    <v>Euronext Paris</v>
    <v>94.12</v>
    <v>RI</v>
    <v>45747.593187360937</v>
    <v>Pernod Ricard sa est un producteur mondial de vins et spiritueux basé en France. Elle opère à travers trois segments géographiques : Amérique, Europe et Asie/reste du monde. La Société détient un portefeuille de marques, dont Absolut Vodka, Ricard Pastis, Ballantine's, Chivas Regal, Royal Salute, et les whiskies écossais Glenlivet, le whisky irlandais Jameson, le cognac Martell, le rhum Havana Club, le gin Beefeater, liqueur Malibu, champagnes Mumm et Perrier-jouet, ainsi que Jacob's Creek, Brancott Estate, Campo Viejo et Kenwood Wines, entre autres.</v>
    <v>EUR</v>
    <v>19557</v>
    <v>XPAR</v>
    <v>92.88</v>
    <v>152.19999999999999</v>
    <v>Beverages</v>
    <v>677</v>
    <v>-3.0173999999999999E-2</v>
    <v>-2.84</v>
    <v>PERNOD RICARD SA</v>
    <v>PERNOD RICARD SA</v>
    <v>92.64</v>
    <v>21.568899999999999</v>
    <v>91.28</v>
    <v>5 Cours Paul Ricard, Paris Cedex 08, PARIS, ILE-DE-FRANCE, 75380 FR</v>
    <v>Bourse</v>
    <v>PERNOD RICARD SA (XPAR:RI)</v>
    <v>205143</v>
    <v>708110</v>
  </rv>
  <rv s="3">
    <v>678</v>
  </rv>
  <rv s="1">
    <v>https://www.bing.com/financeapi/forcetrigger?t=ae8om7&amp;q=XPAR%3aPEUG&amp;form=skydnc</v>
    <v>Learn more on Bing</v>
  </rv>
  <rv s="2">
    <v>0</v>
    <v>1</v>
    <v>PEUGEOT INVEST SA (XPAR:PEUG)</v>
    <v>3</v>
    <v>8</v>
    <v>Finance</v>
    <v>7</v>
    <v>fr-FR</v>
    <v>ae8om7</v>
    <v>268435456</v>
    <v>1</v>
    <v>Avec Refinitiv</v>
    <v>XPAR</v>
    <v>24922590</v>
    <v>1956</v>
    <v>68.599999999999994</v>
    <v>67.099999999999994</v>
    <v>1.3776999999999999</v>
    <v>1794426000</v>
    <v>Euronext Paris</v>
    <v>72</v>
    <v>PEUG</v>
    <v>45747.592905092592</v>
    <v>Peugeot Invest SA (anciennement FFP SA) est une société holding d'investissement basée en France. La Société est engagée dans des activités d'investissement telles que des actifs diversifiés, constitués de participations minoritaires directes, de véhicules de capital-investissement, de co-investissements et d'immobilier. Elle exerce son activité au travers de ses participations directes et indirectes pour progresser dans les domaines de la gouvernance, de l'action sociale et de la protection de l'environnement. La Société exerce ses activités par l'intermédiaire de ses filiales.</v>
    <v>EUR</v>
    <v>32</v>
    <v>XPAR</v>
    <v>71.5</v>
    <v>118.4</v>
    <v>Investment Banking &amp; Investment Services</v>
    <v>680</v>
    <v>-3.0556E-2</v>
    <v>-2.2000000000000002</v>
    <v>PEUGEOT INVEST SA</v>
    <v>PEUGEOT INVEST SA</v>
    <v>71.400000000000006</v>
    <v>15.961</v>
    <v>69.8</v>
    <v>66 avenue Charles de Gaulle, NEUILLY-SUR-SEINE, ILE-DE-FRANCE, 92200 FR</v>
    <v>Bourse</v>
    <v>PEUGEOT INVEST SA (XPAR:PEUG)</v>
    <v>9865</v>
    <v>6560</v>
  </rv>
  <rv s="3">
    <v>681</v>
  </rv>
  <rv s="1">
    <v>https://www.bing.com/financeapi/forcetrigger?t=a1zqnm&amp;q=XNYS%3aPFE&amp;form=skydnc</v>
    <v>Learn more on Bing</v>
  </rv>
  <rv s="2">
    <v>0</v>
    <v>1</v>
    <v>PFIZER INC. (XNYS:PFE)</v>
    <v>3</v>
    <v>4</v>
    <v>Finance</v>
    <v>5</v>
    <v>fr-FR</v>
    <v>a1zqnm</v>
    <v>268435456</v>
    <v>1</v>
    <v>Avec Refinitiv</v>
    <v>XNYS</v>
    <v>5671455000</v>
    <v>1942</v>
    <v>24.61</v>
    <v>24.48</v>
    <v>0.63759999999999994</v>
    <v>141162514950</v>
    <v>New York Stock Exchange</v>
    <v>25.21</v>
    <v>PFE</v>
    <v>45747.603601885938</v>
    <v>Pfizer Inc. est une société biopharmaceutique mondiale axée sur la recherche. La Société est engagée dans la découverte, le développement, la fabrication, la commercialisation, la vente et la distribution de produits biopharmaceutiques dans le monde entier. Son segment biopharmaceutique est engagé dans le secteur biopharmaceutique scientifique. Son segment biopharmaceutique comprend la division oncologie de Pfizer, la division commerciale américaine de Pfizer et la division commerciale internationale de Pfizer. Ses catégories de produits comprennent l'oncologie, les soins primaires et les soins spécialisés. Ses produits d'oncologie incluent Ibrance, Xtandi, Inlyta, Bosulif, Lorbrena, Braftovi, Mektovi, Padcev, Adcetris, Talzenna, Tukysa, Elrexfio et Tivdak. Ses produits de soins primaires comprennent Eliquis, Nurtec ODT/Vydura, Comirnaty, la famille Prevnar, Abrysvo, FSME/IMMUN-TicoVac, Paxlovid et Lucira par Pfizer. Ses produits de soins spécialisés comprennent Xeljanz, Enbrel (à l'extérieur des États-Unis et du Canada), Inflectra, Cibinqo, Litfulo, famille Vyndaqel, Genotropin, Sulperazon, Zavicefta, Medrol et Panzyga.</v>
    <v>USD</v>
    <v>81000</v>
    <v>XNYS</v>
    <v>24.98</v>
    <v>31.54</v>
    <v>Pharmaceuticals</v>
    <v>683</v>
    <v>-1.2693000000000001E-2</v>
    <v>-0.32</v>
    <v>PFIZER INC.</v>
    <v>PFIZER INC.</v>
    <v>24.84</v>
    <v>17.917300000000001</v>
    <v>24.89</v>
    <v>66 HUDSON BOULEVARD EAST, NEW YORK, NY, 10001-2192 US</v>
    <v>Bourse</v>
    <v>PFIZER INC. (XNYS:PFE)</v>
    <v>10045020</v>
    <v>54222800</v>
  </rv>
  <rv s="3">
    <v>684</v>
  </rv>
  <rv s="1">
    <v>https://www.bing.com/financeapi/forcetrigger?t=ae9tp2&amp;q=XPAR%3aPOM&amp;form=skydnc</v>
    <v>Learn more on Bing</v>
  </rv>
  <rv s="2">
    <v>0</v>
    <v>1</v>
    <v>OPMOBILITY SE (XPAR:OPM)</v>
    <v>3</v>
    <v>8</v>
    <v>Finance</v>
    <v>7</v>
    <v>fr-FR</v>
    <v>ae9tp2</v>
    <v>268435456</v>
    <v>1</v>
    <v>Avec Refinitiv</v>
    <v>XPAR</v>
    <v>144022200</v>
    <v>1983</v>
    <v>8.9700000000000006</v>
    <v>7.67</v>
    <v>1.6771</v>
    <v>1329324000</v>
    <v>Euronext Paris</v>
    <v>9.23</v>
    <v>OPM</v>
    <v>45747.593032407407</v>
    <v>Opmobility SE, anciennement Compagnie Plastic Omnium SE, est un groupe de transformation du plastique basé en France et exerçant des activités dans les secteurs de l'automobile et de l'environnement. La Division Automobile comprend deux activités : Pièces Auto Extérieur, proposée par Plastic Omnium Auto Extérieur, et Systèmes de Carburant, proposée par Inergy Automotive Systems, entre autres. La Division Environnement est spécialisée dans la conteneurisation des déchets, la signalisation urbaine et routière et l'urbanisme, assurée par Plastic Omnium Systèmes Urbains, SULO et Compagnie Signature. La Compagnie Plastic Omnium SA est présente en Europe et en Amérique du Nord et du Sud, notamment en Allemagne, en Belgique, en Pologne, en Suède, en Roumanie, aux États-Unis, au Canada, en Argentine et au Brésil. La Société exploite un centre de développement à Lozorno, en Slovaquie, pour ses opérations de composants extérieurs et structurels. Elle possède également un certain nombre d’usines et de centres de recherche et développement à travers le monde.</v>
    <v>EUR</v>
    <v>29213</v>
    <v>XPAR</v>
    <v>9.1750000000000007</v>
    <v>13.2</v>
    <v>Automobiles &amp; Auto Parts</v>
    <v>686</v>
    <v>-1.1918E-2</v>
    <v>-0.11</v>
    <v>OPMOBILITY SE</v>
    <v>OPMOBILITY SE</v>
    <v>9.0449999999999999</v>
    <v>7.8094999999999999</v>
    <v>9.1199999999999992</v>
    <v>19 Boulevard Jules Carteret, LYON, AUVERGNE-RHONE-ALPES, 69007 FR</v>
    <v>Bourse</v>
    <v>OPMOBILITY SE (XPAR:OPM)</v>
    <v>69627</v>
    <v>141710</v>
  </rv>
  <rv s="3">
    <v>687</v>
  </rv>
  <rv s="1">
    <v>https://www.bing.com/financeapi/forcetrigger?t=afi6cw&amp;q=XFRA%3aPAH3&amp;form=skydnc</v>
    <v>Learn more on Bing</v>
  </rv>
  <rv s="9">
    <v>25</v>
    <v>26</v>
    <v>Porsche Automobil Holding SE (XFRA:PAH3)</v>
    <v>3</v>
    <v>27</v>
    <v>Finance</v>
    <v>7</v>
    <v>fr-FR</v>
    <v>afi6cw</v>
    <v>268435456</v>
    <v>1</v>
    <v>Avec Refinitiv</v>
    <v>XFRA</v>
    <v>153125000</v>
    <v>2007</v>
    <v>34.32</v>
    <v>28.48</v>
    <v>1.2375</v>
    <v>5459565000</v>
    <v>Deutsche Boerse AG</v>
    <v>36.130000000000003</v>
    <v>PAH3</v>
    <v>45747.593055555553</v>
    <v>Porsche Automobil Holding SE (Porsche SE) est une société holding basée en Allemagne, active dans l'industrie automobile, avec des investissements dans les domaines de la mobilité et de la technologie industrielle. Les activités commerciales de la Société comprennent l'acquisition, la détention et la gestion ainsi que la cession d'investissements. Ses investissements sont divisés en deux catégories : les investissements de base et les investissements de portefeuille. Elle est engagée dans la détention et la gestion de ses investissements dans Volkswagen AG, à travers laquelle la Société gère 10 marques automobiles de cinq pays européens : Volkswagen Passenger Cars, Audi, SEAT, Skoda, Bentley, Lamborghini, Porsche, Ducati, Scania, MAN et autres. Ces investissements à long terme dans Volkswagen AG et Porsche AG constituent la catégorie d'investissements de base. Dans la catégorie des investissements de portefeuille, elle détient des participations minoritaires dans plusieurs sociétés technologiques en Amérique du Nord, en Europe et en Israël, ainsi qu'en investissant dans des fonds de capital-investissement et de capital-risque.</v>
    <v>EUR</v>
    <v>48</v>
    <v>XFRA</v>
    <v>35.799999999999997</v>
    <v>102</v>
    <v>Automobiles &amp; Auto Parts</v>
    <v>689</v>
    <v>-4.4561000000000003E-2</v>
    <v>-1.61</v>
    <v>Porsche Automobil Holding SE</v>
    <v>Porsche Automobil Holding SE</v>
    <v>35.799999999999997</v>
    <v>34.520000000000003</v>
    <v>Porscheplatz 1, STUTTGART, BADEN-WUERTTEMBERG, 70435 DE</v>
    <v>Bourse</v>
    <v>Porsche Automobil Holding SE (XFRA:PAH3)</v>
    <v>5017</v>
    <v>957990</v>
  </rv>
  <rv s="3">
    <v>690</v>
  </rv>
  <rv s="1">
    <v>https://www.bing.com/financeapi/forcetrigger?t=a2spa2&amp;q=OTCM%3aPRDSF&amp;form=skydnc</v>
    <v>Learn more on Bing</v>
  </rv>
  <rv s="4">
    <v>9</v>
    <v>10</v>
    <v>Prada IT (OTCM:PRDSF)</v>
    <v>3</v>
    <v>56</v>
    <v>Finance</v>
    <v>7</v>
    <v>fr-FR</v>
    <v>a2spa2</v>
    <v>268435456</v>
    <v>1</v>
    <v>Avec Refinitiv</v>
    <v>OTCM</v>
    <v>2558824000</v>
    <v>7</v>
    <v>6.3070000000000004</v>
    <v>0.503</v>
    <v>140991200000</v>
    <v>OTC Markets</v>
    <v>7.02</v>
    <v>PRDSF</v>
    <v>45747.585354872659</v>
    <v>Prada SpA is an Italy-based company engaged in fashion industry. The Company is a parent of the Prada Group. The Company, along with its subsidiaries, is engaged in the design, production and distribution of leather goods, handbags, clothing, eyewear, fragrances, footwear and accessories. Prada SpA manufactures jackets, trousers, skirts, dresses, sweaters, blouses, as well as perfumes and watches, among others. The Company trades its products through several brands, such as Prada, Miu Miu, The Church and The Car Shoe. Prada SpA operates in approximately 70 countries through directly operated stores, franchise operated stores, a network of selected multi-brand stores and department stores. Prada Spa operates through a numerous subsidiaries, including Artisans Shoes Srl, Angelo Marchesi Srl, Prada Far East BV, Tannerie Megisserie Hervy SAS and Prada SA, among others.</v>
    <v>USD</v>
    <v>14933</v>
    <v>OTCM</v>
    <v>7.01</v>
    <v>9.32</v>
    <v>Textiles &amp; Apparel</v>
    <v>692</v>
    <v>-1.4249999999999998E-3</v>
    <v>-0.01</v>
    <v>Prada IT</v>
    <v>Prada IT</v>
    <v>7</v>
    <v>22.375900000000001</v>
    <v>7.01</v>
    <v>via Antonio Fogazzaro, 28, MILANO, MILANO, 20135 IT</v>
    <v>Bourse</v>
    <v>Prada IT (OTCM:PRDSF)</v>
    <v>1046</v>
    <v>1575950</v>
  </rv>
  <rv s="3">
    <v>693</v>
  </rv>
  <rv s="1">
    <v>https://www.bing.com/financeapi/forcetrigger?t=a1zy3m&amp;q=XNYS%3aPLD&amp;form=skydnc</v>
    <v>Learn more on Bing</v>
  </rv>
  <rv s="2">
    <v>0</v>
    <v>1</v>
    <v>PROLOGIS, INC. (XNYS:PLD)</v>
    <v>3</v>
    <v>4</v>
    <v>Finance</v>
    <v>5</v>
    <v>fr-FR</v>
    <v>a1zy3m</v>
    <v>268435456</v>
    <v>1</v>
    <v>Avec Refinitiv</v>
    <v>XNYS</v>
    <v>926860000</v>
    <v>1997</v>
    <v>110.1005</v>
    <v>100.82</v>
    <v>1.2270000000000001</v>
    <v>102751699600</v>
    <v>New York Stock Exchange</v>
    <v>110.45</v>
    <v>PLD</v>
    <v>45747.603579247654</v>
    <v>Prologis, Inc. est une société immobilière entièrement intégrée. La Société opère dans deux secteurs : les opérations immobilières (opérations de location et développement) et les immobilisations stratégiques. Le segment opérations immobilières représente la propriété et le développement des propriétés logistiques. Le secteur Capital stratégique représente la gestion d'entreprises de co-investissement non consolidées et d'autres entreprises. Elle exploite, gère et mesure le rendement opérationnel de ses propriétés sur une base de propriété et de gestion (O&amp;M). Son portefeuille d'exploitation et d'entretien comprend ses propriétés consolidées, ainsi que les propriétés détenues par ses entreprises de co-investissement non consolidées, qu'elle gère. La Société gère son portefeuille et fournit des services immobiliers, y compris la location, la gestion immobilière, le développement, les acquisitions et les aliénations. Elle possède, gère et développe des installations logistiques dans environ 19 pays sur quatre continents. Il sert à Amsterdam, Denver, Mexico, Shanghai, Singapour, et Tokyo.</v>
    <v>USD</v>
    <v>2703</v>
    <v>XNYS</v>
    <v>111.5</v>
    <v>132.57</v>
    <v>Residential &amp; Commercial REIT</v>
    <v>695</v>
    <v>3.7119999999999996E-3</v>
    <v>0.41</v>
    <v>PROLOGIS, INC.</v>
    <v>PROLOGIS, INC.</v>
    <v>110.395</v>
    <v>27.577999999999999</v>
    <v>110.86</v>
    <v>PIER 1 BAY 1, SAN FRANCISCO, CA, 94111 US</v>
    <v>Bourse</v>
    <v>PROLOGIS, INC. (XNYS:PLD)</v>
    <v>477843</v>
    <v>3952348</v>
  </rv>
  <rv s="3">
    <v>696</v>
  </rv>
  <rv s="1">
    <v>https://www.bing.com/financeapi/forcetrigger?t=brcn2w&amp;q=XAMS%3aPRX&amp;form=skydnc</v>
    <v>Learn more on Bing</v>
  </rv>
  <rv s="2">
    <v>0</v>
    <v>1</v>
    <v>Prosus NV (XAMS:PRX)</v>
    <v>3</v>
    <v>8</v>
    <v>Finance</v>
    <v>7</v>
    <v>fr-FR</v>
    <v>brcn2w</v>
    <v>268435456</v>
    <v>1</v>
    <v>Avec Refinitiv</v>
    <v>XAMS</v>
    <v>2378948000</v>
    <v>1997</v>
    <v>41.945</v>
    <v>27.61</v>
    <v>0.70450000000000002</v>
    <v>101918900000</v>
    <v>Euronext Amsterdam</v>
    <v>42.945</v>
    <v>PRX</v>
    <v>45747.593217592592</v>
    <v>Prosus NV, anciennement Myriad International Holdings NV, est un groupe Internet mondial de consommateurs basé aux Pays-Bas. La société est organisée en six secteurs d’activité : petites annonces, paiements et technologies financières, livraison de nourriture, commerce électronique, entreprises et voyages. Il détient également des investissements dans des actifs sociaux et Internet cotés. Le domaine d'activité Petites annonces gère les marchés mobiles et numériques. Le domaine d'activité paiements et technologies financières comprend PayU, une plateforme de services de paiement. Le domaine d'activité Livraison alimentaire gère les entreprises de livraison alimentaire. Le domaine d'activité Voyages exploite une plateforme de voyages en ligne. Le domaine d'activité commerce électronique comprend les entreprises de commerce électronique grand public. Le secteur d'activité Venture recherche et investit dans des entreprises en démarrage.</v>
    <v>EUR</v>
    <v>21048</v>
    <v>XAMS</v>
    <v>42.664999999999999</v>
    <v>46.2</v>
    <v>Software &amp; IT Services</v>
    <v>698</v>
    <v>-9.8960000000000003E-3</v>
    <v>-0.42499999999999999</v>
    <v>Prosus NV</v>
    <v>Prosus NV</v>
    <v>42.14</v>
    <v>14.970700000000001</v>
    <v>42.52</v>
    <v>Gustav Mahlerplein 5, Symphony Offices, AMSTERDAM, NOORD-HOLLAND, 1082 MS NL</v>
    <v>Bourse</v>
    <v>Prosus NV (XAMS:PRX)</v>
    <v>1909282</v>
    <v>4436880</v>
  </rv>
  <rv s="3">
    <v>699</v>
  </rv>
  <rv s="1">
    <v>https://www.bing.com/financeapi/forcetrigger?t=aaq7zr&amp;q=XBRU%3aPROX&amp;form=skydnc</v>
    <v>Learn more on Bing</v>
  </rv>
  <rv s="4">
    <v>9</v>
    <v>10</v>
    <v>PROXIMUS NV (XBRU:PROX)</v>
    <v>3</v>
    <v>11</v>
    <v>Finance</v>
    <v>7</v>
    <v>fr-FR</v>
    <v>aaq7zr</v>
    <v>268435456</v>
    <v>1</v>
    <v>Avec Refinitiv</v>
    <v>XBRU</v>
    <v>338025100</v>
    <v>6.78</v>
    <v>4.76</v>
    <v>0.22689999999999999</v>
    <v>2310402000</v>
    <v>Euronext Brussels</v>
    <v>6.835</v>
    <v>PROX</v>
    <v>45747.593159722222</v>
    <v>Proximus NV est une société basée en Belgique qui exerce ses activités dans les secteurs des télécommunications, de l'information, de la communication et de la technologie (TIC). Elle fournit des services de téléphonie, d'Internet, de télévision et de TIC basés sur le réseau à travers les marques Proximus et Scarlet. En outre, la Société transforme une gamme de technologies, telles que l'Internet des objets (IoT), le Big Data, le Cloud et la sécurité, en solutions. Proximus NV exploite BICS en tant que filiale, qui est un opérateur vocal et fournisseur de services de données mobiles dans le monde entier. En outre, TeleSign, la filiale de la Société, propose la plateforme de communication en tant que service (CPaaS). Proximus NV est active sur les marchés nationaux et internationaux en fournissant des services aux clients résidentiels, professionnels et publics.</v>
    <v>EUR</v>
    <v>13131</v>
    <v>XBRU</v>
    <v>6.88</v>
    <v>7.89</v>
    <v>Telecommunications Services</v>
    <v>701</v>
    <v>-6.5839999999999996E-3</v>
    <v>-4.4999999999999998E-2</v>
    <v>PROXIMUS NV</v>
    <v>PROXIMUS NV</v>
    <v>6.8150000000000004</v>
    <v>4.9518000000000004</v>
    <v>6.79</v>
    <v>Boulevard du Roi Albert II 27, BRUXELLES, BRUXELLES-CAPITALE, 1030 BE</v>
    <v>Bourse</v>
    <v>PROXIMUS NV (XBRU:PROX)</v>
    <v>254184</v>
    <v>518960</v>
  </rv>
  <rv s="3">
    <v>702</v>
  </rv>
  <rv s="1">
    <v>https://www.bing.com/financeapi/forcetrigger?t=ae9uoc&amp;q=XPAR%3aPUB&amp;form=skydnc</v>
    <v>Learn more on Bing</v>
  </rv>
  <rv s="2">
    <v>0</v>
    <v>1</v>
    <v>PUBLICIS GROUPE S.A. (XPAR:PUB)</v>
    <v>3</v>
    <v>8</v>
    <v>Finance</v>
    <v>7</v>
    <v>fr-FR</v>
    <v>ae9uoc</v>
    <v>268435456</v>
    <v>1</v>
    <v>Avec Refinitiv</v>
    <v>XPAR</v>
    <v>254311900</v>
    <v>1954</v>
    <v>86.46</v>
    <v>86.46</v>
    <v>1.0405</v>
    <v>22888070000</v>
    <v>Euronext Paris</v>
    <v>90</v>
    <v>PUB</v>
    <v>45747.593240740738</v>
    <v>Publicis Groupe sa est un groupe de communication basé en France. Elle offre une gamme complète de services de publicité et de communication organisés en quatre pôles de solutions : Publicis Communications, Publicis Media, Publicis Sapient et Publicis Health. Publicis Communications, le centre de communication créative, comprend Leo Burnett, Saatchi &amp; Saatchi, Publicis Worldwide, BBH, Marcel, Fallon, MSLGROUP et des réseaux prodigieux. Publicis Sapient est spécialisé dans les services de transformation numérique. Publicis Media est une agence médiatique mondiale dotée de capacités en matière d'investissement, de stratégie, d'analyses et d'analyses, de données et de technologies, de commerce, marketing de performance et contenu. Publicis Health se concentre sur la transformation des activités de santé et de bien-être. Le Groupe opère dans cinq régions géographiques : Europe, Amérique du Nord, Asie Pacifique, Amérique latine moyen-Orient et Afrique.</v>
    <v>EUR</v>
    <v>106907</v>
    <v>XPAR</v>
    <v>89.28</v>
    <v>109.3</v>
    <v>Media &amp; Publishing</v>
    <v>704</v>
    <v>-3.3111000000000002E-2</v>
    <v>-2.98</v>
    <v>PUBLICIS GROUPE S.A.</v>
    <v>PUBLICIS GROUPE S.A.</v>
    <v>88.86</v>
    <v>13.1408</v>
    <v>87.02</v>
    <v>133 avenue des Champs-Elysees, PARIS, ILE-DE-FRANCE, 75008 FR</v>
    <v>Bourse</v>
    <v>PUBLICIS GROUPE S.A. (XPAR:PUB)</v>
    <v>190131</v>
    <v>615750</v>
  </rv>
  <rv s="3">
    <v>705</v>
  </rv>
  <rv s="1">
    <v>https://www.bing.com/financeapi/forcetrigger?t=afitjc&amp;q=XFRA%3aPUM&amp;form=skydnc</v>
    <v>Learn more on Bing</v>
  </rv>
  <rv s="2">
    <v>0</v>
    <v>1</v>
    <v>Puma SE (XFRA:PUM)</v>
    <v>3</v>
    <v>8</v>
    <v>Finance</v>
    <v>7</v>
    <v>fr-FR</v>
    <v>afitjc</v>
    <v>268435456</v>
    <v>1</v>
    <v>Avec Refinitiv</v>
    <v>XFRA</v>
    <v>149698200</v>
    <v>2011</v>
    <v>21.94</v>
    <v>21.34</v>
    <v>0.66849999999999998</v>
    <v>3387670000</v>
    <v>Deutsche Boerse AG</v>
    <v>22.73</v>
    <v>PUM</v>
    <v>45747.593055555553</v>
    <v>PUMA SE est une société basée en Allemagne qui conçoit, développe, vend et commercialise des chaussures de sport, des vêtements et des accessoires. Les segments de la Société comprennent l’Europe, le Moyen-Orient et l’Afrique (EMEA), les Amériques (Amérique du Nord et latine) et l’Asie/Pacifique. La Société offre des produits de performance, ainsi que de style sportif dans six unités commerciales : Teamsport, Running and Training, Basketball, Golf, Motorsport, Sportstyle, Accessoires et licences. La Société est engagée dans la vente de produits des marques PUMA et COBRA Golf à travers le commerce de gros et de détail, ainsi que des ventes directement aux consommateurs dans ses magasins de détail et magasins en ligne. La Société commercialise et distribue ses produits à travers le monde principalement à travers ses filiales dans environ 120 pays. Pour différents segments de produits, tels que les parfums, les lunettes et les montres, la Société délivre des licences autorisant des partenaires indépendants à concevoir, développer et vendre ces produits.</v>
    <v>EUR</v>
    <v>19599</v>
    <v>XFRA</v>
    <v>22.6</v>
    <v>534</v>
    <v>Textiles &amp; Apparel</v>
    <v>707</v>
    <v>-2.4636999999999999E-2</v>
    <v>-0.56000000000000005</v>
    <v>Puma SE</v>
    <v>Puma SE</v>
    <v>22.6</v>
    <v>12.57</v>
    <v>22.17</v>
    <v>Puma Way 1, HERZOGENAURACH, BAYERN, 91074 DE</v>
    <v>Bourse</v>
    <v>Puma SE (XFRA:PUM)</v>
    <v>4188</v>
    <v>1174970</v>
  </rv>
  <rv s="3">
    <v>708</v>
  </rv>
  <rv s="1">
    <v>https://www.bing.com/financeapi/forcetrigger?t=afj4kr&amp;q=XFRA%3aQIA&amp;form=skydnc</v>
    <v>Learn more on Bing</v>
  </rv>
  <rv s="2">
    <v>0</v>
    <v>1</v>
    <v>Qiagen NV (XFRA:QIA)</v>
    <v>3</v>
    <v>52</v>
    <v>Finance</v>
    <v>7</v>
    <v>fr-FR</v>
    <v>afj4kr</v>
    <v>268435456</v>
    <v>1</v>
    <v>Avec Refinitiv</v>
    <v>XFRA</v>
    <v>216083200</v>
    <v>1996</v>
    <v>36.200000000000003</v>
    <v>0</v>
    <v>0.62319999999999998</v>
    <v>8610915000</v>
    <v>Deutsche Boerse AG</v>
    <v>36.450000000000003</v>
    <v>QIA</v>
    <v>45747.593055555553</v>
    <v>Qiagen NV est une société holding basée aux Pays-Bas. La Société fournit des solutions « Sample to Insight » qui transforment les échantillons biologiques en connaissances moléculaires. Ses solutions Sample to Insight intègrent des technologies d'échantillonnage et d'analyse, des systèmes bioinformatiques et d'automatisation. Ses technologies d'échantillonnage sont utilisées pour isoler et préparer l'acide désoxyribonucléique (ADN), l'acide ribonucléique (ARN) et les protéines à partir du sang ou d'autres liquides, de tissus, de plantes ou d'autres matériaux. Ses technologies de dosage rendent ces biomolécules visibles à des fins d'analyse, par exemple pour identifier les informations génétiques d'un agent pathogène ou une mutation génétique dans une tumeur. Ses solutions bioinformatiques interprètent les données pour fournir des informations exploitables. Les plateformes d'automatisation de l'entreprise, basées sur la réaction en chaîne de la polymérase (PCR), le séquençage de nouvelle génération (NGS) et d'autres technologies, relient ces éléments entre eux dans les flux de travail des tests moléculaires, de l'échantillon à l'analyse.</v>
    <v>EUR</v>
    <v>5800</v>
    <v>XFRA</v>
    <v>36.515000000000001</v>
    <v>51.46</v>
    <v>Biotechnology &amp; Medical Research</v>
    <v>710</v>
    <v>-2.743E-4</v>
    <v>-0.01</v>
    <v>Qiagen NV</v>
    <v>Qiagen NV</v>
    <v>36.4</v>
    <v>101.13</v>
    <v>36.44</v>
    <v>Hulsterweg 82, VENLO, LIMBURG, 5912 PL NL</v>
    <v>Bourse</v>
    <v>Qiagen NV (XFRA:QIA)</v>
    <v>4040</v>
    <v>861810</v>
  </rv>
  <rv s="3">
    <v>711</v>
  </rv>
  <rv s="1">
    <v>https://www.bing.com/financeapi/forcetrigger?t=a222gh&amp;q=XNYS%3aRL&amp;form=skydnc</v>
    <v>Learn more on Bing</v>
  </rv>
  <rv s="2">
    <v>0</v>
    <v>1</v>
    <v>RALPH LAUREN CORPORATION (XNYS:RL)</v>
    <v>3</v>
    <v>4</v>
    <v>Finance</v>
    <v>5</v>
    <v>fr-FR</v>
    <v>a222gh</v>
    <v>268435456</v>
    <v>1</v>
    <v>Avec Refinitiv</v>
    <v>XNYS</v>
    <v>61764220</v>
    <v>1997</v>
    <v>208.94499999999999</v>
    <v>155.96</v>
    <v>1.4054</v>
    <v>13134470204</v>
    <v>New York Stock Exchange</v>
    <v>215.68</v>
    <v>RL</v>
    <v>45747.60354394609</v>
    <v>Ralph Lauren Corporation est engagée dans la conception, la commercialisation et la distribution de produits de style de vie de luxe, y compris les vêtements, les chaussures et les accessoires, la maison, les parfums et l'hôtellerie. Ses segments comprennent l'Amérique du Nord, l'Europe et l'Asie. Ses marques incluent Ralph Lauren, Ralph Lauren Collection, Ralph Lauren Purple Label, Polo Ralph Lauren, Double RL, Lauren Ralph Lauren, Polo Ralph Lauren Children et Chaps, entre autres. Ses produits vestimentaires comprennent des collections de vêtements pour hommes, femmes et enfants. Sa gamme de chaussures et d'accessoires comprend des chaussures décontractées, des chaussures habillées, des bottes, des baskets, des sandales, des lunettes, des montres, des bijoux de mode et raffinés, des foulards et des chapeaux. Sa gamme de produits pour la maison comprend des lignes de lit et de bain, des meubles, des tissus et des revêtements muraux, des luminaires, des dessus de table, du linge de cuisine, des revêtements de sol et des articles cadeaux. Sa collection hôtelière comprend ses restaurants, dont le Polo Bar à New York et le restaurant RL situé à Chicago.</v>
    <v>USD</v>
    <v>14800</v>
    <v>XNYS</v>
    <v>213.64</v>
    <v>289.33</v>
    <v>Textiles &amp; Apparel</v>
    <v>713</v>
    <v>-1.4025000000000001E-2</v>
    <v>-3.0249999999999999</v>
    <v>RALPH LAUREN CORPORATION</v>
    <v>RALPH LAUREN CORPORATION</v>
    <v>211.69</v>
    <v>19.639199999999999</v>
    <v>212.655</v>
    <v>650 Madison Ave, NEW YORK, NY, 10022 US</v>
    <v>Bourse</v>
    <v>RALPH LAUREN CORPORATION (XNYS:RL)</v>
    <v>197710</v>
    <v>1054042</v>
  </rv>
  <rv s="3">
    <v>714</v>
  </rv>
  <rv s="1">
    <v>https://www.bing.com/financeapi/forcetrigger?t=ae8rpr&amp;q=XPAR%3aGDS&amp;form=skydnc</v>
    <v>Learn more on Bing</v>
  </rv>
  <rv s="2">
    <v>0</v>
    <v>1</v>
    <v>RAMSAY GENERALE DE SANTE SA (XPAR:GDS)</v>
    <v>3</v>
    <v>8</v>
    <v>Finance</v>
    <v>7</v>
    <v>fr-FR</v>
    <v>ae8rpr</v>
    <v>268435456</v>
    <v>1</v>
    <v>Avec Refinitiv</v>
    <v>XPAR</v>
    <v>110389700</v>
    <v>1991</v>
    <v>10.35</v>
    <v>9.5399999999999991</v>
    <v>0.13969999999999999</v>
    <v>1148053000</v>
    <v>Euronext Paris</v>
    <v>10.4</v>
    <v>GDS</v>
    <v>45747.35796018516</v>
    <v>RAMSAY GENERALE DE SANTE S.A., anciennement Générale de Santé SA (GDS), est une société basée en France spécialisée dans la fourniture de services de santé hospitaliers privés. La Société propose une gamme de services hospitaliers et, en partenariat avec des spécialistes médicaux indépendants, fournit un éventail de services de soins, comprenant la cancérologie et la radiothérapie ; le traitement de l'alcoolisme et de l'obésité ; la remise en état, telles que la réadaptation cardiaque et rééducation orthopédique et neurologique et les diagnostics, tels que l'imagerie et l'analyse médicales. En outre, la Société développe une prise en charge globale des soins, avec un soutien personnel avant, pendant et après l'hospitalisation. La Société exploite environ 75 établissements en France. La Société opère à travers un certain nombre de filiales, telles que HPM Hopital Privé Metropole SAS. Ramsay Health Care (UK) Ltd est le principal actionnaire de la Société.</v>
    <v>EUR</v>
    <v>34218</v>
    <v>XPAR</v>
    <v>10.45</v>
    <v>16.899999999999999</v>
    <v>Healthcare Providers &amp; Services</v>
    <v>716</v>
    <v>-4.8079999999999998E-3</v>
    <v>-0.05</v>
    <v>RAMSAY GENERALE DE SANTE SA</v>
    <v>RAMSAY GENERALE DE SANTE SA</v>
    <v>10.4</v>
    <v>0</v>
    <v>10.35</v>
    <v>39 Rue Mstislav Rostropovitch, PARIS, ILE-DE-FRANCE, 75017 FR</v>
    <v>Bourse</v>
    <v>RAMSAY GENERALE DE SANTE SA (XPAR:GDS)</v>
    <v>31</v>
    <v>1200</v>
  </rv>
  <rv s="3">
    <v>717</v>
  </rv>
  <rv s="1">
    <v>https://www.bing.com/financeapi/forcetrigger?t=aloicw&amp;q=XAMS%3aRAND&amp;form=skydnc</v>
    <v>Learn more on Bing</v>
  </rv>
  <rv s="4">
    <v>9</v>
    <v>10</v>
    <v>Randstad NV (XAMS:RAND)</v>
    <v>3</v>
    <v>11</v>
    <v>Finance</v>
    <v>7</v>
    <v>fr-FR</v>
    <v>aloicw</v>
    <v>268435456</v>
    <v>1</v>
    <v>Avec Refinitiv</v>
    <v>XAMS</v>
    <v>180869300</v>
    <v>37.99</v>
    <v>36.75</v>
    <v>0.99670000000000003</v>
    <v>7144338000</v>
    <v>Euronext Amsterdam</v>
    <v>39.5</v>
    <v>RAND</v>
    <v>45747.593159722222</v>
    <v>Randstad NV, anciennement Randstad Holding NV, est un prestataire de services de recrutement basé aux Pays-Bas. Elle a trois concepts de services principaux : Le concept de dotation en personnel, qui recrute des travailleurs dans l'enseignement secondaire par le biais de placements temporaires ou permanents, et propose des services relatifs aux ressources humaines (RH), qui comprennent des services de paie, d'aide au reclassement, d'externalisation et de conseils, entre autres ; le concept de services internalisés, qui fournit des solutions de main-d'œuvre sur site pour la gestion des employés ayant des compétences spécifiques, principalement dans les secteurs de la fabrication et de la logistique ; et le concept professionnel qui couvre le recrutement des superviseurs, des gestionnaires, des professionnels, des spécialistes en contrat provisoire et des consultants possédant des qualifications professionnelles dans les domaines suivants : ingénierie, technologies de l'information (TI), finance, RH, juridique, et marketing et communications. La société est active dans les pays suivants : Pays-Bas, Allemagne, Royaume-Uni et États-Unis, entre autres. Elle possède également Twago, une plateforme pour travailleurs indépendants.</v>
    <v>EUR</v>
    <v>41400</v>
    <v>XAMS</v>
    <v>39.130000000000003</v>
    <v>52.26</v>
    <v>Professional &amp; Commercial Services</v>
    <v>719</v>
    <v>-3.4684E-2</v>
    <v>-1.37</v>
    <v>Randstad NV</v>
    <v>Randstad NV</v>
    <v>38.96</v>
    <v>62.038600000000002</v>
    <v>38.130000000000003</v>
    <v>Diemermere 25, DIEMEN, NOORD-HOLLAND, 1112 TC NL</v>
    <v>Bourse</v>
    <v>Randstad NV (XAMS:RAND)</v>
    <v>139591</v>
    <v>642940</v>
  </rv>
  <rv s="3">
    <v>720</v>
  </rv>
  <rv s="1">
    <v>https://www.bing.com/financeapi/forcetrigger?t=a25552&amp;q=XNYS%3aRTX&amp;form=skydnc</v>
    <v>Learn more on Bing</v>
  </rv>
  <rv s="2">
    <v>0</v>
    <v>1</v>
    <v>RTX CORPORATION (XNYS:RTX)</v>
    <v>3</v>
    <v>4</v>
    <v>Finance</v>
    <v>5</v>
    <v>fr-FR</v>
    <v>a25552</v>
    <v>268435456</v>
    <v>1</v>
    <v>Avec Refinitiv</v>
    <v>XNYS</v>
    <v>1335090000</v>
    <v>1934</v>
    <v>130.58090000000001</v>
    <v>97.03</v>
    <v>0.64900000000000002</v>
    <v>175470878700</v>
    <v>New York Stock Exchange</v>
    <v>131.72</v>
    <v>RTX</v>
    <v>45747.603592789063</v>
    <v>RTX Corporation est une société aérospatiale et de défense. La société fait progresser l'aviation, conçoit des systèmes de défense intégrés et développe des solutions technologiques. La société opère dans trois secteurs : Collins Aerospace, Pratt &amp; Whitney et Raytheon. Le segment Collins Aerospace fournit des produits aérospatiaux et de défense technologiquement avancés et des solutions de service après-vente pour les constructeurs aéronautiques, les compagnies aériennes et l'aviation régionale, d'affaires et générale, ainsi que pour les opérations spatiales commerciales et de défense. Le segment Pratt &amp; Whitney fournit des moteurs d'avion pour les clients commerciaux, de défense, d'avions d'affaires et d'aviation générale. Raytheon segment fournit des systèmes avancés de défense aérienne et antimissile, effecteurs, hypersoniques, capteurs et radars, services de cybersécurité, et des solutions spatiales intégrées pour les clients gouvernementaux et commerciaux.</v>
    <v>USD</v>
    <v>186000</v>
    <v>XNYS</v>
    <v>131.99</v>
    <v>136.16999999999999</v>
    <v>Aerospace &amp; Defense</v>
    <v>722</v>
    <v>-2.202E-3</v>
    <v>-0.28999999999999998</v>
    <v>RTX CORPORATION</v>
    <v>RTX CORPORATION</v>
    <v>131.20500000000001</v>
    <v>37.081699999999998</v>
    <v>131.43</v>
    <v>1000 Wilson Blvd, ARLINGTON, VA, 22209 US</v>
    <v>Bourse</v>
    <v>RTX CORPORATION (XNYS:RTX)</v>
    <v>817735</v>
    <v>5393741</v>
  </rv>
  <rv s="3">
    <v>723</v>
  </rv>
  <rv s="1">
    <v>https://www.bing.com/financeapi/forcetrigger?t=a21uim&amp;q=XNAS%3aREGN&amp;form=skydnc</v>
    <v>Learn more on Bing</v>
  </rv>
  <rv s="2">
    <v>0</v>
    <v>1</v>
    <v>REGENERON PHARMACEUTICALS, INC. (XNAS:REGN)</v>
    <v>3</v>
    <v>4</v>
    <v>Finance</v>
    <v>5</v>
    <v>fr-FR</v>
    <v>a21uim</v>
    <v>268435456</v>
    <v>1</v>
    <v>Avec Refinitiv</v>
    <v>XNAS</v>
    <v>109324700</v>
    <v>1988</v>
    <v>618.505</v>
    <v>618.505</v>
    <v>0.43459999999999999</v>
    <v>69119994951</v>
    <v>Nasdaq Stock Market</v>
    <v>637.36</v>
    <v>REGN</v>
    <v>45747.603462568753</v>
    <v>Regeneron Pharmaceuticals, Inc. est une société de biotechnologie entièrement intégrée. La Société invente, développe, fabrique et commercialise des médicaments pour les personnes atteintes de maladies graves. Ses produits et candidats produits en développement sont conçus pour aider les patients atteints de maladies oculaires, de maladies allergiques et inflammatoires, de cancer, de maladies cardiovasculaires et métaboliques, de troubles hématologiques, de maladies infectieuses et de maladies rares. Il aide à accélérer et à améliorer le processus traditionnel de développement de médicaments grâce à ses technologies VelociSuite. Ses produits commercialisés comprennent EYLEA (aflibercept) injection ; Dupixent (dupilumab) injection ; Libtayo (cemiplimab) injection ; Praluent (alirocumab) injection ; REGEN-COV; Kevzara (sarilumab) injection, et autres. Les programmes de thérapie cellulaire auto-immune et d'oncologie de la Société sur les tumeurs solides comprennent le programme bbT369 dans le B-NHL, SC-DARIC33 dans la LAM, MUC16 dans le cancer de l'ovaire, MAGE-A4, auto-immune et plusieurs cibles anonymes.</v>
    <v>USD</v>
    <v>15106</v>
    <v>XNAS</v>
    <v>635.32500000000005</v>
    <v>1211.1999000000001</v>
    <v>Biotechnology &amp; Medical Research</v>
    <v>725</v>
    <v>-8.0249999999999991E-3</v>
    <v>-5.1150000000000002</v>
    <v>REGENERON PHARMACEUTICALS, INC.</v>
    <v>REGENERON PHARMACEUTICALS, INC.</v>
    <v>630.08000000000004</v>
    <v>16.245899999999999</v>
    <v>632.245</v>
    <v>777 Old Saw Mill River Road, TARRYTOWN, NY, 10591 US</v>
    <v>Bourse</v>
    <v>REGENERON PHARMACEUTICALS, INC. (XNAS:REGN)</v>
    <v>205880</v>
    <v>964197</v>
  </rv>
  <rv s="3">
    <v>726</v>
  </rv>
  <rv s="1">
    <v>https://www.bing.com/financeapi/forcetrigger?t=aloilh&amp;q=XAMS%3aREN&amp;form=skydnc</v>
    <v>Learn more on Bing</v>
  </rv>
  <rv s="2">
    <v>0</v>
    <v>1</v>
    <v>RELX PUBLIC LIMITED COMPANY (XAMS:REN)</v>
    <v>3</v>
    <v>24</v>
    <v>Finance</v>
    <v>7</v>
    <v>fr-FR</v>
    <v>aloilh</v>
    <v>268435456</v>
    <v>1</v>
    <v>Avec Refinitiv</v>
    <v>XAMS</v>
    <v>1850778000</v>
    <v>1903</v>
    <v>46.18</v>
    <v>37.58</v>
    <v>0.80800000000000005</v>
    <v>71939730000</v>
    <v>Euronext Amsterdam</v>
    <v>46.4</v>
    <v>REN</v>
    <v>45747.593240740738</v>
    <v>RELX PLC est un fournisseur mondial basé au Royaume-Uni d'outils d'analyse et de décision basés sur l'information pour les professionnels et les entreprises. La Société opère dans quatre segments de marché : risque ; scientifique, technique et médical ; juridique et expositions. Le segment risque fournit aux clients des outils d'analyse et de décision basés sur l'information qui combinent du contenu public et spécifique à l'industrie avec une technologie et des algorithmes avancés pour les aider à évaluer et prévoir les risques et à améliorer l'efficacité opérationnelle. Le segment scientifique, technique et médical fournit des informations et des analyses qui aident les institutions et les professionnels à faire progresser la science, à faire progresser les soins de santé et à améliorer les performances. Le segment juridique fournit des informations et des analyses juridiques, réglementaires et commerciales. Le segment expositions combine l'expertise de l'industrie avec des données et des outils numériques pour aider les clients à se connecter en face à face et numériquement, à se renseigner sur les marchés, à trouver des produits et à effectuer des transactions.</v>
    <v>EUR</v>
    <v>34580</v>
    <v>XAMS</v>
    <v>46.64</v>
    <v>50.4</v>
    <v>Software &amp; IT Services</v>
    <v>728</v>
    <v>-4.3100000000000001E-4</v>
    <v>-0.02</v>
    <v>RELX PUBLIC LIMITED COMPANY</v>
    <v>RELX PUBLIC LIMITED COMPANY</v>
    <v>46.26</v>
    <v>37.042999999999999</v>
    <v>46.38</v>
    <v>1-3 Strand, LONDON, WC2N 5JR GB</v>
    <v>Bourse</v>
    <v>RELX PUBLIC LIMITED COMPANY (XAMS:REN)</v>
    <v>373778</v>
    <v>4876150</v>
  </rv>
  <rv s="3">
    <v>729</v>
  </rv>
  <rv s="1">
    <v>https://www.bing.com/financeapi/forcetrigger?t=ae9vz2&amp;q=XPAR%3aRCO&amp;form=skydnc</v>
    <v>Learn more on Bing</v>
  </rv>
  <rv s="2">
    <v>0</v>
    <v>1</v>
    <v>REMY COINTREAU SA (XPAR:RCO)</v>
    <v>3</v>
    <v>8</v>
    <v>Finance</v>
    <v>7</v>
    <v>fr-FR</v>
    <v>ae9vz2</v>
    <v>268435456</v>
    <v>1</v>
    <v>Avec Refinitiv</v>
    <v>XPAR</v>
    <v>52160290</v>
    <v>1982</v>
    <v>43.24</v>
    <v>43.24</v>
    <v>0.58799999999999997</v>
    <v>2355559000</v>
    <v>Euronext Paris</v>
    <v>45.16</v>
    <v>RCO</v>
    <v>45747.593078703707</v>
    <v>Remy Cointreau sa est une société française spécialisée dans la production et la distribution de vins et spiritueux. Les activités de la Société sont divisées en deux secteurs. Cognac, qui propose une gamme de produits sous la marque Remy Martin et liqueurs et spiritueux, distribuant des liqueurs sous les marques Cointreau, Izarra et Passoa, ainsi que des spiritueux sous des marques telles que Mount Gay (rhum), St Remy (brandy), Ponche Kuna (rhum) et Metaxa (brandy). La Société est le distributeur exclusif des marques Piper-Heidsieck et Charles Heidsieck, ainsi que Piper Sonoma (la marque de vin mousseux). Les filiales de la Société comprennent des sociétés de production, telles que E. Remy Martin &amp; Cie, et des sociétés de distribution, telles que Remy Cointreau USA Inc Elle opère par l'intermédiaire de Westland Distillery LLC.</v>
    <v>EUR</v>
    <v>1943</v>
    <v>XPAR</v>
    <v>44.66</v>
    <v>98.55</v>
    <v>Beverages</v>
    <v>731</v>
    <v>-4.2072999999999999E-2</v>
    <v>-1.9</v>
    <v>REMY COINTREAU SA</v>
    <v>REMY COINTREAU SA</v>
    <v>44.66</v>
    <v>13.5396</v>
    <v>43.26</v>
    <v>21, Rue Balzac, PARIS, ILE-DE-FRANCE, 75008 FR</v>
    <v>Bourse</v>
    <v>REMY COINTREAU SA (XPAR:RCO)</v>
    <v>26917</v>
    <v>122510</v>
  </rv>
  <rv s="3">
    <v>732</v>
  </rv>
  <rv s="1">
    <v>https://www.bing.com/financeapi/forcetrigger?t=ae9wmw&amp;q=XPAR%3aRNO&amp;form=skydnc</v>
    <v>Learn more on Bing</v>
  </rv>
  <rv s="2">
    <v>0</v>
    <v>1</v>
    <v>RENAULT SA (XPAR:RNO)</v>
    <v>3</v>
    <v>8</v>
    <v>Finance</v>
    <v>7</v>
    <v>fr-FR</v>
    <v>ae9wmw</v>
    <v>268435456</v>
    <v>1</v>
    <v>Avec Refinitiv</v>
    <v>XPAR</v>
    <v>295722300</v>
    <v>2002</v>
    <v>45.62</v>
    <v>35.590000000000003</v>
    <v>1.8063</v>
    <v>14046810000</v>
    <v>Euronext Paris</v>
    <v>47.5</v>
    <v>RNO</v>
    <v>45747.593182870369</v>
    <v>Renault sa est une entreprise française qui conçoit, fabrique et vend des voitures particulières et des véhicules utilitaires légers ainsi que des services connexes. Son portefeuille de marques est composé de Renault, Dacia (toutes deux actives au niveau mondial), Alpine (active en Europe, au Japon et en Australie), Renault Samsung Motors (active uniquement en Corée du Sud) et Lada (active uniquement en Russie). Les activités du Groupe ont été organisées en trois grands types d'activités opérationnelles : automobile, avec la conception, la fabrication et la distribution de produits à travers son réseau de vente (y compris sa filiale Renault Retail Group) : véhicules neufs, commercialisés sous quatre marques dont Renault, Dacia, Alpine et Mobilize ; financement des ventes opéré par RCI Banque S.A. et ses filiales sous le nom commercial Mobilize Financial services (financement des ventes, location, maintenance et contrats de service) et Mobility services sous la marque Mobilize Beyond Automotive (solutions flexibles de mobilité et d'énergie pour les utilisateurs de véhicules électriques).</v>
    <v>EUR</v>
    <v>98636</v>
    <v>XPAR</v>
    <v>46.86</v>
    <v>54.54</v>
    <v>Automobiles &amp; Auto Parts</v>
    <v>734</v>
    <v>-1.8526000000000001E-2</v>
    <v>-0.88</v>
    <v>RENAULT SA</v>
    <v>RENAULT SA</v>
    <v>46.72</v>
    <v>16.6021</v>
    <v>46.62</v>
    <v>122-122 Bis Avenue du General Leclerc, BOULOGNE-BILLANCOURT, ILE-DE-FRANCE, 92100 FR</v>
    <v>Bourse</v>
    <v>RENAULT SA (XPAR:RNO)</v>
    <v>439690</v>
    <v>914750</v>
  </rv>
  <rv s="3">
    <v>735</v>
  </rv>
  <rv s="1">
    <v>https://www.bing.com/financeapi/forcetrigger?t=ae9xjc&amp;q=XPAR%3aRXL&amp;form=skydnc</v>
    <v>Learn more on Bing</v>
  </rv>
  <rv s="2">
    <v>0</v>
    <v>1</v>
    <v>REXEL SA (XPAR:RXL)</v>
    <v>3</v>
    <v>8</v>
    <v>Finance</v>
    <v>7</v>
    <v>fr-FR</v>
    <v>ae9xjc</v>
    <v>268435456</v>
    <v>1</v>
    <v>Avec Refinitiv</v>
    <v>XPAR</v>
    <v>298233100</v>
    <v>2004</v>
    <v>24.58</v>
    <v>20.3</v>
    <v>1.4387000000000001</v>
    <v>7643713000</v>
    <v>Euronext Paris</v>
    <v>25.63</v>
    <v>RXL</v>
    <v>45747.593229166669</v>
    <v>Rexel sa est une société française qui est engagée dans la distribution de pièces et fournitures électriques aux professionnels. Le Groupe propose des produits et solutions électriques aux professionnels pour les bâtiments et les infrastructures résidentielles, industrielles et tertiaires, via ses points de vente. La Société dessert principalement trois marchés : tertiaire, industriel et résidentiel. La gamme de produits de la Société comprend les équipements d'installation électrique, les systèmes de conversion et de stockage d'énergie, les conduits et câbles, l'éclairage, la sécurité et la communication, le contrôle climatique, outils à main et électriques, instruments de mesure, équipements de protection et produits blancs et bruns. Rexel sa opère par le biais de filiales, dont Rexel Developpement SAS, Rexel Central Europe Holding GmbH, Rexel Holdings USA Corp, Australian Regional Wholdings Pty Ltd, Lenn International, Cordia sa et Brohl &amp; Appell Inc, grossiste et distributeur d'appareils d'automatisation industrielle basé à Sandusky, entre autres.</v>
    <v>EUR</v>
    <v>27196</v>
    <v>XPAR</v>
    <v>25.28</v>
    <v>28.88</v>
    <v>Machinery, Equipment &amp; Components</v>
    <v>737</v>
    <v>-3.3163999999999999E-2</v>
    <v>-0.85</v>
    <v>REXEL SA</v>
    <v>REXEL SA</v>
    <v>25.28</v>
    <v>22.7136</v>
    <v>24.78</v>
    <v>13 boulevard du Fort de Vaux, Paris Cedex 17, PARIS, ILE-DE-FRANCE, 75838 FR</v>
    <v>Bourse</v>
    <v>REXEL SA (XPAR:RXL)</v>
    <v>248174</v>
    <v>786170</v>
  </rv>
  <rv s="3">
    <v>738</v>
  </rv>
  <rv s="1">
    <v>https://www.bing.com/financeapi/forcetrigger?t=an34c7&amp;q=XSWX%3aRO&amp;form=skydnc</v>
    <v>Learn more on Bing</v>
  </rv>
  <rv s="2">
    <v>0</v>
    <v>1</v>
    <v>Roche Holding Ltd (XSWX:RO)</v>
    <v>3</v>
    <v>6</v>
    <v>Finance</v>
    <v>7</v>
    <v>fr-FR</v>
    <v>an34c7</v>
    <v>268435456</v>
    <v>1</v>
    <v>Avec Refinitiv</v>
    <v>XSWX</v>
    <v>809253700</v>
    <v>1966</v>
    <v>306.8</v>
    <v>229.4</v>
    <v>0.84819999999999995</v>
    <v>241866000000</v>
    <v>SIX Swiss Exchange</v>
    <v>313.2</v>
    <v>RO</v>
    <v>45747.59306712963</v>
    <v>Roche Holding Ltd. est une entreprise de soins de santé axée sur la recherche. La Société développe, fabrique et fournit des médicaments et des instruments de diagnostic et d'essais. Ses activités d'exploitation sont organisées en deux divisions : Produits pharmaceutiques et les Diagnostics. Sa division de produits pharmaceutiques se compose de deux les segments d'activité : Produits pharmaceutiques Roche et Chugai. Sa division Diagnostics se compose de quatre secteurs d'activités : Prise en charge du diabète, Diagnostic moléculaire, Diagnostic professionnel et Diagnostic des tissus. Il développe des médicaments pour les domaines de la maladie, y compris l'oncologie, immunologie, maladies infectieuses, ophtalmologie et neurosciences. Son portefeuille de produits se compose de produits pharmaceutiques, des solutions pour le diagnostic et produits pour les chercheurs. Ses produits pharmaceutiques incluent ACTEMRA et CellCept. Ses Solutions pour les produits de diagnostic comprennent le système Accu-Chek Active et le système Accu-Chek Aviva Nano. Produits de la société pour les chercheurs comprennent le système Cedex HiRes et Genome Sequencer FLX.</v>
    <v>CHF</v>
    <v>103249</v>
    <v>XSWX</v>
    <v>311.39999999999998</v>
    <v>333.6</v>
    <v>Pharmaceuticals</v>
    <v>740</v>
    <v>-2.0434000000000001E-2</v>
    <v>-6.4</v>
    <v>Roche Holding Ltd</v>
    <v>Roche Holding Ltd</v>
    <v>311</v>
    <v>30.173400000000001</v>
    <v>306.8</v>
    <v>Grenzacherstrasse 124, BASEL, BASEL-STADT, 4002 CH</v>
    <v>Bourse</v>
    <v>Roche Holding Ltd (XSWX:RO)</v>
    <v>12253</v>
    <v>1333340</v>
  </rv>
  <rv s="3">
    <v>741</v>
  </rv>
  <rv s="1">
    <v>https://www.bing.com/financeapi/forcetrigger?t=ae9wpr&amp;q=XPAR%3aROTH&amp;form=skydnc</v>
    <v>Learn more on Bing</v>
  </rv>
  <rv s="8">
    <v>19</v>
    <v>20</v>
    <v>Rothschild &amp; Co SCA (XPAR:ROTH)</v>
    <v>3</v>
    <v>21</v>
    <v>Finance</v>
    <v>7</v>
    <v>fr-FR</v>
    <v>ae9wpr</v>
    <v>268435456</v>
    <v>1</v>
    <v>1</v>
    <v>Avec Refinitiv</v>
    <v>XPAR</v>
    <v>77292420</v>
    <v>1956</v>
    <v>38.35</v>
    <v>26.01</v>
    <v>0.90029999999999999</v>
    <v>2972288000</v>
    <v>Euronext Paris</v>
    <v>38.6</v>
    <v>ROTH</v>
    <v>45180.666666666664</v>
    <v xml:space="preserve">Rothschild &amp; Co SCA, formerly Paris Orleans SA is a France-based firm that focuses on two core businesses: banking and private equity activities. Banking activities includes investment banking and third-party asset management. These businesses are owned by the holding company Rothschilds Continuation Holdings AG and are supported by a network of offices spanning five continents. They are mainly carried out through two operating entities: Rothschild &amp; Cie Banque in France andNM Rothschild &amp; Sons in the United Kingdom. The private equity activities focus on stable investments in companies. The investments are diversified in terms of both business sector and type of investment (equity holdings, mezzanine debt, etc.). </v>
    <v>EUR</v>
    <v>4883</v>
    <v>XPAR</v>
    <v>39</v>
    <v>39.799999999999997</v>
    <v>Investment Banking &amp; Investment Services</v>
    <v>743</v>
    <v>0</v>
    <v>0</v>
    <v>Rothschild &amp; Co SCA</v>
    <v>Rothschild &amp; Co SCA</v>
    <v>39</v>
    <v>5.7287999999999997</v>
    <v>38.35</v>
    <v>23bis avenue de Messine, PARIS, ILE-DE-FRANCE, 75008 FR</v>
    <v>Bourse</v>
    <v>Rothschild &amp; Co SCA (XPAR:ROTH)</v>
    <v>3407</v>
  </rv>
  <rv s="3">
    <v>744</v>
  </rv>
  <rv s="1">
    <v>https://www.bing.com/financeapi/forcetrigger?t=alo5rw&amp;q=XAMS%3aDSM&amp;form=skydnc</v>
    <v>Learn more on Bing</v>
  </rv>
  <rv s="18">
    <v>57</v>
    <v>58</v>
    <v>Koninklijke DSM NV (XAMS:DSM)</v>
    <v>3</v>
    <v>59</v>
    <v>Finance</v>
    <v>60</v>
    <v>fr-FR</v>
    <v>alo5rw</v>
    <v>268435456</v>
    <v>1</v>
    <v>1</v>
    <v>Avec Refinitiv</v>
    <v>XAMS</v>
    <v>6696480</v>
    <v>1966</v>
    <v>113.1</v>
    <v>105.8</v>
    <v>0.96599999999999997</v>
    <v>762728800</v>
    <v>Euronext Amsterdam</v>
    <v>113.9</v>
    <v>DSM</v>
    <v>45076.666666666664</v>
    <v>Koninklijke DSM N.V. (Royal DSM) is a global science-based company, engaged in offering health, nutrition and materials. The Company's segments include Nutrition, Materials, Innovation Center and Corporate Activities. Its Nutrition segment focuses on human nutrition &amp; health, food &amp; beverages, personal care and aroma ingredients and animal nutrition &amp; health. Its Materials segment engages in specialty plastics, which are used in components for the electrical and electronics, automotive, flexible food-packaging, and consumer goods industries. Its Innovation Center segment focuses on innovation and the growth of DSM’s existing core business through adjacent technologies via its Corporate Research Program, as well as through the Company’s venturing and licensing activities. Its Corporate Activities segment comprises operating and service activities.</v>
    <v>EUR</v>
    <v>20682</v>
    <v>XAMS</v>
    <v>114.5</v>
    <v>164</v>
    <v>Food &amp; Tobacco</v>
    <v>746</v>
    <v>0</v>
    <v>0</v>
    <v>Koninklijke DSM NV</v>
    <v>Koninklijke DSM NV</v>
    <v>113.1</v>
    <v>43.235700000000001</v>
    <v>114.05</v>
    <v>113.5</v>
    <v>Het Overloon 1, HEERLEN, LIMBURG, 6411 TE NL</v>
    <v>Bourse</v>
    <v>Koninklijke DSM NV (XAMS:DSM)</v>
    <v>213210</v>
    <v>66510</v>
  </rv>
  <rv s="3">
    <v>747</v>
  </rv>
  <rv s="1">
    <v>https://www.bing.com/financeapi/forcetrigger?t=ae9x7w&amp;q=XPAR%3aRUI&amp;form=skydnc</v>
    <v>Learn more on Bing</v>
  </rv>
  <rv s="2">
    <v>0</v>
    <v>1</v>
    <v>RUBIS SCA (XPAR:RUI)</v>
    <v>3</v>
    <v>8</v>
    <v>Finance</v>
    <v>7</v>
    <v>fr-FR</v>
    <v>ae9x7w</v>
    <v>268435456</v>
    <v>1</v>
    <v>Avec Refinitiv</v>
    <v>XPAR</v>
    <v>103204200</v>
    <v>1954</v>
    <v>25.82</v>
    <v>21.34</v>
    <v>1.218</v>
    <v>2722528000</v>
    <v>Euronext Paris</v>
    <v>26.38</v>
    <v>RUI</v>
    <v>45747.593136574076</v>
    <v>Rubis SCA est une société de droit français. La Société opère dans le secteur de l'énergie pour offrir un accès durable à l'énergie. Elle s'est diversifiée dans la production d'électricité renouvelable pour s'adapter aux évolutions de la demande et aux enjeux climatiques. La Société est structurée autour de pôles opérationnels, tels que la Distribution d'énergie (Rubis Energie) spécialisée dans les produits commercialisés : gaz liquéfiés, carburants et biocarburants dans les stations-service, l'hôtellerie, l'aéronautique, la marine, les travaux publics, etc. La Production d'électricité renouvelable (Rubis Renouvelables) regroupe les activités de Photosol qui se consacre au développement, au financement, à l'exploitation et à la maintenance d'installations photovoltaïques au sol ainsi que d'ombrières.</v>
    <v>EUR</v>
    <v>4700</v>
    <v>XPAR</v>
    <v>26.24</v>
    <v>33.15</v>
    <v>Oil &amp; Gas</v>
    <v>749</v>
    <v>-9.0980000000000002E-3</v>
    <v>-0.24</v>
    <v>RUBIS SCA</v>
    <v>RUBIS SCA</v>
    <v>26</v>
    <v>7.5850999999999997</v>
    <v>26.14</v>
    <v>46 Rue Boissiere, PARIS, ILE-DE-FRANCE, 75116 FR</v>
    <v>Bourse</v>
    <v>RUBIS SCA (XPAR:RUI)</v>
    <v>102059</v>
    <v>291400</v>
  </rv>
  <rv s="3">
    <v>750</v>
  </rv>
  <rv s="1">
    <v>https://www.bing.com/financeapi/forcetrigger?t=afjzfr&amp;q=XFRA%3aRWE&amp;form=skydnc</v>
    <v>Learn more on Bing</v>
  </rv>
  <rv s="2">
    <v>0</v>
    <v>1</v>
    <v>RWE AG (XFRA:RWE)</v>
    <v>3</v>
    <v>8</v>
    <v>Finance</v>
    <v>7</v>
    <v>fr-FR</v>
    <v>afjzfr</v>
    <v>268435456</v>
    <v>1</v>
    <v>Avec Refinitiv</v>
    <v>XFRA</v>
    <v>743841200</v>
    <v>2000</v>
    <v>32.76</v>
    <v>14.231</v>
    <v>0.61309999999999998</v>
    <v>24636020000</v>
    <v>Deutsche Boerse AG</v>
    <v>33.06</v>
    <v>RWE</v>
    <v>45747.593055555553</v>
    <v>RWE AG (RWE) est une entreprise énergétique basée en Allemagne qui se concentre sur la production d'électricité. La Société est engagée dans la production d'électricité, les systèmes de stockage des bâtiments et le commerce de l'énergie. Ses activités sont réparties en cinq segments : éolien offshore, où est présentée l'activité liée à l'éolien offshore ; éolien onshore/solaire, dans lequel elle regroupe ses activités éoliennes et solaires onshore ainsi qu'une partie de ses activités de stockage par batteries; Hydro/biomasse/gaz, où ses centrales au fil de l'eau, à stockage par pompage, à biomasse et au gaz sont regroupées ; Supply &amp; Trading, où le commerce de l'électricité et d'autres produits énergétiques est au cœur de l'opération ; et Coal/nucléaire, qui consiste en l'extraction et le traitement du lignite ainsi que la production d'électricité à partir de cette source d'énergie.</v>
    <v>EUR</v>
    <v>20985</v>
    <v>XFRA</v>
    <v>33.17</v>
    <v>44.03</v>
    <v>Multiline Utilities</v>
    <v>752</v>
    <v>-4.235E-3</v>
    <v>-0.14000000000000001</v>
    <v>RWE AG</v>
    <v>RWE AG</v>
    <v>32.93</v>
    <v>4.79</v>
    <v>32.92</v>
    <v>RWE Platz 1, ESSEN, NORDRHEIN-WESTFALEN, 45141 DE</v>
    <v>Bourse</v>
    <v>RWE AG (XFRA:RWE)</v>
    <v>3144</v>
    <v>3326980</v>
  </rv>
  <rv s="3">
    <v>753</v>
  </rv>
  <rv s="1">
    <v>https://www.bing.com/financeapi/forcetrigger?t=ae9y1h&amp;q=XPAR%3aSAF&amp;form=skydnc</v>
    <v>Learn more on Bing</v>
  </rv>
  <rv s="2">
    <v>0</v>
    <v>1</v>
    <v>SAFRAN SA (XPAR:SAF)</v>
    <v>3</v>
    <v>8</v>
    <v>Finance</v>
    <v>7</v>
    <v>fr-FR</v>
    <v>ae9y1h</v>
    <v>268435456</v>
    <v>1</v>
    <v>Avec Refinitiv</v>
    <v>XPAR</v>
    <v>423632600</v>
    <v>1956</v>
    <v>240.2</v>
    <v>184.7</v>
    <v>1.2444</v>
    <v>104086500000</v>
    <v>Euronext Paris</v>
    <v>245.7</v>
    <v>SAF</v>
    <v>45747.593263888892</v>
    <v>Safran sa est une entreprise française de haute technologie qui réalise des activités de recherche, conception, développement, essais, fabrication, opérations de vente, de maintenance et de support pour ses activités de haute technologie. Les segments de la Société sont : propulsion aérospatiale, équipement aéronautique et intérieurs d'avions. Le segment propulsion aérospatiale conçoit, développe, produit et commercialise des systèmes de propulsion et de transmission mécanique pour les avions commerciaux, les avions de transport militaire, les avions d'entraînement et de combat, les hélicoptères civils et militaires, les satellites et les drones. Il comprend également les activités de maintenance, de réparation et de révision (MRO) et la vente de pièces détachées. Le segment de l'équipement aéronautique opère dans cinq secteurs principaux : systèmes d'atterrissage et de freinage, systèmes et équipements moteurs, systèmes électriques et ingénierie, aérosystèmes et électronique et défense. Le segment des intérieurs d'avions couvre les sièges et les aménagements de cabine, les placards, les systèmes de divertissement en vol et l'équipement de poste de pilotage.</v>
    <v>EUR</v>
    <v>100000</v>
    <v>XPAR</v>
    <v>245.6</v>
    <v>263.8</v>
    <v>Aerospace &amp; Defense</v>
    <v>755</v>
    <v>-1.7908E-2</v>
    <v>-4.4000000000000004</v>
    <v>SAFRAN SA</v>
    <v>SAFRAN SA</v>
    <v>242</v>
    <v>0</v>
    <v>241.3</v>
    <v>2, Boulevard du General Martial Valin, PARIS, ILE-DE-FRANCE, 75724 FR</v>
    <v>Bourse</v>
    <v>SAFRAN SA (XPAR:SAF)</v>
    <v>319663</v>
    <v>611550</v>
  </rv>
  <rv s="3">
    <v>756</v>
  </rv>
  <rv s="1">
    <v>https://www.bing.com/financeapi/forcetrigger?t=aea12w&amp;q=XPAR%3aSGO&amp;form=skydnc</v>
    <v>Learn more on Bing</v>
  </rv>
  <rv s="2">
    <v>0</v>
    <v>1</v>
    <v>COMPAGNIE DE SAINT-GOBAIN SA (XPAR:SGO)</v>
    <v>3</v>
    <v>8</v>
    <v>Finance</v>
    <v>7</v>
    <v>fr-FR</v>
    <v>aea12w</v>
    <v>268435456</v>
    <v>1</v>
    <v>Avec Refinitiv</v>
    <v>XPAR</v>
    <v>499051700</v>
    <v>1981</v>
    <v>91.7</v>
    <v>69.38</v>
    <v>1.2582</v>
    <v>48188430000</v>
    <v>Euronext Paris</v>
    <v>96.56</v>
    <v>SGO</v>
    <v>45747.593182870369</v>
    <v>La Compagnie de Saint Gobain sa est un groupe français spécialisé dans la conception, la fabrication, la distribution de matériaux pour les secteurs de la construction, de la mobilité, de la santé et des solutions industrielles dans le but d'améliorer le bien-être de la vie à travers le monde. Le Groupe, à travers ses filiales, opère dans trois secteurs : la distribution de bâtiments (BD), les produits de construction (CP) et les matériaux (IM). Le secteur BD couvre les activités de distribution de la Société aux fournisseurs. Le secteur CP propose des solutions intérieures (isolation et gypse) et extérieures (mortiers industriels, tuyaux et produits extérieurs). Le secteur IM fournit du verre plat et des matériaux haute performance. Ses solutions vont des fenêtres autonettoyantes et du verre photovoltaïque aux systèmes d'isolation intelligents, aux systèmes d'approvisionnement en eau avec de nombreuses applications industrielles.</v>
    <v>EUR</v>
    <v>161482</v>
    <v>XPAR</v>
    <v>95.7</v>
    <v>106.65</v>
    <v>Homebuilding &amp; Construction Supplies</v>
    <v>758</v>
    <v>-4.5152999999999999E-2</v>
    <v>-4.3600000000000003</v>
    <v>COMPAGNIE DE SAINT-GOBAIN SA</v>
    <v>COMPAGNIE DE SAINT-GOBAIN SA</v>
    <v>95.26</v>
    <v>16.327300000000001</v>
    <v>92.2</v>
    <v>Tour Saint-Gobain, 12 place de l'Iris, La Defense Cedex, 92096 FR</v>
    <v>Bourse</v>
    <v>COMPAGNIE DE SAINT-GOBAIN SA (XPAR:SGO)</v>
    <v>667521</v>
    <v>1237190</v>
  </rv>
  <rv s="3">
    <v>759</v>
  </rv>
  <rv s="1">
    <v>https://www.bing.com/financeapi/forcetrigger?t=a1qc1h&amp;q=XNYS%3aCRM&amp;form=skydnc</v>
    <v>Learn more on Bing</v>
  </rv>
  <rv s="2">
    <v>0</v>
    <v>1</v>
    <v>SALESFORCE, INC. (XNYS:CRM)</v>
    <v>3</v>
    <v>4</v>
    <v>Finance</v>
    <v>5</v>
    <v>fr-FR</v>
    <v>a1qc1h</v>
    <v>268435456</v>
    <v>1</v>
    <v>Avec Refinitiv</v>
    <v>XNYS</v>
    <v>961000000</v>
    <v>1999</v>
    <v>259.19</v>
    <v>212</v>
    <v>1.3746</v>
    <v>251959785000</v>
    <v>New York Stock Exchange</v>
    <v>269.97000000000003</v>
    <v>CRM</v>
    <v>45747.603658483597</v>
    <v>Salesforce, Inc. est un fournisseur de technologie de gestion de la relation client (CRM). La plate-forme Customer 360 de la société couvre les domaines suivants : ventes, service, marketing, commerce, collaboration, intégration, intelligence artificielle, analytique, automatisation et autres. Il connecte les données clients entre les systèmes, les applications et les périphériques pour créer une vue complète des clients. La Société permet également à des tiers d'utiliser sa plateforme et ses outils de développement pour créer des fonctionnalités et des applications supplémentaires qui s'exécutent sur la plateforme de la Société. Ses clients utilisent son offre commerciale pour stocker des données, surveiller les prospects et les progrès, prévoir les opportunités, obtenir des informations grâce à des analyses et des renseignements relationnels et fournir des devis, des contrats et des factures. Son offre de services permet de connecter ses agents de service avec les clients à travers n'importe quel point de contact. Il aide les clients à résoudre les problèmes de routine avec des prévisions et des recommandations. La Société offre ses services aux entreprises du monde entier sur la base d'un abonnement.</v>
    <v>USD</v>
    <v>76453</v>
    <v>XNYS</v>
    <v>265.505</v>
    <v>369</v>
    <v>Software &amp; IT Services</v>
    <v>761</v>
    <v>-2.8837000000000002E-2</v>
    <v>-7.7850000000000001</v>
    <v>SALESFORCE, INC.</v>
    <v>SALESFORCE, INC.</v>
    <v>264.55</v>
    <v>42.405500000000004</v>
    <v>262.185</v>
    <v>SALESFORCE TOWER, 415 MISSION STREET 3RD FL, SAN FRANCISCO, CA, 94105 US</v>
    <v>Bourse</v>
    <v>SALESFORCE, INC. (XNYS:CRM)</v>
    <v>1545834</v>
    <v>7717498</v>
  </rv>
  <rv s="3">
    <v>762</v>
  </rv>
  <rv s="1">
    <v>https://www.bing.com/financeapi/forcetrigger?t=ae9ya2&amp;q=XPAR%3aSAN&amp;form=skydnc</v>
    <v>Learn more on Bing</v>
  </rv>
  <rv s="2">
    <v>0</v>
    <v>1</v>
    <v>SANOFI SA (XPAR:SAN)</v>
    <v>3</v>
    <v>8</v>
    <v>Finance</v>
    <v>7</v>
    <v>fr-FR</v>
    <v>ae9ya2</v>
    <v>268435456</v>
    <v>1</v>
    <v>Avec Refinitiv</v>
    <v>XPAR</v>
    <v>1233576000</v>
    <v>1994</v>
    <v>101.28</v>
    <v>85.07</v>
    <v>0.57820000000000005</v>
    <v>127551700000</v>
    <v>Euronext Paris</v>
    <v>103.4</v>
    <v>SAN</v>
    <v>45747.593194444446</v>
    <v>Sanofi sa est une société de santé basée en France. La Société se concentre sur les besoins des patients et participe à la recherche, au développement, à la fabrication et à la commercialisation de solutions thérapeutiques. Ses trois secteurs d'exploitation sont les suivants : produits pharmaceutiques, soins de santé grand public (CHC) et vaccins. Les produits pharmaceutiques comprennent : immunologie, sclérose en plaques / neurologie, oncologie, maladies rares, troubles sanguins rares, cardiovasculaire, diabète, produits d'ordonnance établis. Le segment vaccins comprend, pour l'ensemble des territoires géographiques, les activités commerciales de Sanofi Pasteur, ainsi que les activités de recherche, développement et production dédiées aux vaccins. Le segment CHC comprend les activités commerciales des produits de santé grand public de Sanofi, ainsi que les activités de recherche, développement et production dédiées à ces produits. Les produits de la Société développés en collaboration ou en franchise comprennent Dupixent, Aubagio, Lemtrada, Cerezyme, Lumizyme, Jevtana, Fabrazyme.</v>
    <v>EUR</v>
    <v>84587</v>
    <v>XPAR</v>
    <v>103.06</v>
    <v>110.88</v>
    <v>Pharmaceuticals</v>
    <v>764</v>
    <v>-1.9923E-2</v>
    <v>-2.06</v>
    <v>SANOFI SA</v>
    <v>SANOFI SA</v>
    <v>102.46</v>
    <v>23.279399999999999</v>
    <v>101.34</v>
    <v>46 Avenue de la Grande Armee, PARIS, ILE-DE-FRANCE, 75017 FR</v>
    <v>Bourse</v>
    <v>SANOFI SA (XPAR:SAN)</v>
    <v>958920</v>
    <v>2251730</v>
  </rv>
  <rv s="3">
    <v>765</v>
  </rv>
  <rv s="1">
    <v>https://www.bing.com/financeapi/forcetrigger?t=afkcr7&amp;q=XFRA%3aSAP&amp;form=skydnc</v>
    <v>Learn more on Bing</v>
  </rv>
  <rv s="2">
    <v>0</v>
    <v>1</v>
    <v>Sap Se (XFRA:SAP)</v>
    <v>3</v>
    <v>8</v>
    <v>Finance</v>
    <v>7</v>
    <v>fr-FR</v>
    <v>afkcr7</v>
    <v>268435456</v>
    <v>1</v>
    <v>Avec Refinitiv</v>
    <v>XFRA</v>
    <v>1228504000</v>
    <v>2014</v>
    <v>243.25</v>
    <v>79.599999999999994</v>
    <v>1.1147</v>
    <v>303133400000</v>
    <v>Deutsche Boerse AG</v>
    <v>247.6</v>
    <v>SAP</v>
    <v>45747.570833333331</v>
    <v>SAP SE (SAP) est une société basée en Allemagne. La société fournit des logiciels d'applications commerciales. Elle opère à travers trois segments : Applications, Technologies et Services, qui se consacre à la vente de licences de logiciels, d'abonnements à ses applications basées sur le cloud et à ses services associés, principalement des services de support et divers services professionnels, ainsi que des services de support, de mise en œuvre de ses produits logiciels et des services éducatifs sur l'utilisation de ses produits ; le segment SAP Business Network, qui comprend ses réseaux commerciaux collaboratifs basés sur le cloud et les services liés au SAP Business Network, y compris les applications cloud, les services professionnels et les services éducatifs, ainsi que la commercialisation et la vente par la société d'offres cloud développées par SAP Ariba, SAP Fieldglass et Concur ; et le segment Expérience client, qui comprend des produits sur site et basés sur le cloud qui exécutent des fonctions de front-office sur l'ensemble de l'expérience client.</v>
    <v>EUR</v>
    <v>109121</v>
    <v>XFRA</v>
    <v>247.1</v>
    <v>282.95</v>
    <v>Software &amp; IT Services</v>
    <v>767</v>
    <v>-1.6962999999999999E-2</v>
    <v>-4.2</v>
    <v>Sap Se</v>
    <v>Sap Se</v>
    <v>243.65</v>
    <v>92.86</v>
    <v>243.4</v>
    <v>Dietmar-Hopp-Allee 16, WALLDORF, BADEN-WUERTTEMBERG, 69190 DE</v>
    <v>Bourse</v>
    <v>Sap Se (XFRA:SAP)</v>
    <v>1523</v>
    <v>2111210</v>
  </rv>
  <rv s="3">
    <v>768</v>
  </rv>
  <rv s="1">
    <v>https://www.bing.com/financeapi/forcetrigger?t=afl9a2&amp;q=XFRA%3aSRT&amp;form=skydnc</v>
    <v>Learn more on Bing</v>
  </rv>
  <rv s="2">
    <v>0</v>
    <v>1</v>
    <v>Sartorius AG (XFRA:SRT)</v>
    <v>3</v>
    <v>8</v>
    <v>Finance</v>
    <v>7</v>
    <v>fr-FR</v>
    <v>afl9a2</v>
    <v>268435456</v>
    <v>1</v>
    <v>Avec Refinitiv</v>
    <v>XFRA</v>
    <v>74880000</v>
    <v>1990</v>
    <v>168.8</v>
    <v>80.599999999999994</v>
    <v>0.90600000000000003</v>
    <v>14841220000</v>
    <v>Deutsche Boerse AG</v>
    <v>172.8</v>
    <v>SRT</v>
    <v>45747.583333333336</v>
    <v>Sartorius AG est un fournisseur allemand d'équipements pharmaceutiques et de laboratoire. Elle opère dans deux segments : les solutions de bioprocédés et les produits et services de laboratoire. Le segment des solutions de bioprocédés offre des solutions intégrées pour la fabrication biopharmaceutique, telles que des filtres pour la stérilisation des milieux biopharmaceutiques, des sacs à usage unique pour la culture cellulaire et le stockage des produits biopharmaceutiques, des adsorbeurs à membrane pour la purification dans les bioprocédés, la technologie de filtration pour la clarification, entre autres. Le segment produits et services de laboratoire fournit des instruments, des consommables et des services pour les laboratoires, notamment des balances de laboratoire, des systèmes d'eau de laboratoire pour le stockage de l'eau purifiée, des pipettes électroniques, des systèmes de filtration pour la préparation des échantillons et des systèmes de filtration à membrane pour les tests de stérilité parentérale.</v>
    <v>EUR</v>
    <v>13528</v>
    <v>XFRA</v>
    <v>174.6</v>
    <v>839</v>
    <v>Healthcare Equipment &amp; Supplies</v>
    <v>770</v>
    <v>-2.3147999999999998E-2</v>
    <v>-4</v>
    <v>Sartorius AG</v>
    <v>Sartorius AG</v>
    <v>174.6</v>
    <v>143.22</v>
    <v>168.8</v>
    <v>Otto-Brenner-Str. 20, GOETTINGEN, NIEDERSACHSEN, 37079 DE</v>
    <v>Bourse</v>
    <v>Sartorius AG (XFRA:SRT)</v>
    <v>30</v>
    <v>2010</v>
  </rv>
  <rv s="3">
    <v>771</v>
  </rv>
  <rv s="1">
    <v>https://www.bing.com/financeapi/forcetrigger?t=ae8cxm&amp;q=XPAR%3aDIM&amp;form=skydnc</v>
    <v>Learn more on Bing</v>
  </rv>
  <rv s="2">
    <v>0</v>
    <v>1</v>
    <v>SARTORIUS STEDIM BIOTECH S.A. (XPAR:DIM)</v>
    <v>3</v>
    <v>8</v>
    <v>Finance</v>
    <v>7</v>
    <v>fr-FR</v>
    <v>ae8cxm</v>
    <v>268435456</v>
    <v>1</v>
    <v>Avec Refinitiv</v>
    <v>XPAR</v>
    <v>97330400</v>
    <v>1978</v>
    <v>179.65</v>
    <v>139.1</v>
    <v>0.748</v>
    <v>18069390000</v>
    <v>Euronext Paris</v>
    <v>185.65</v>
    <v>DIM</v>
    <v>45747.593148148146</v>
    <v>SARTORIUS STEDIM BIOTECH S.A. est un fournisseur international basé en France de laboratoire et des technologies des procédés et des équipements. La société couvre les secteurs de la biotechnologie et de la mécatronique. Sartorius fournit des services qui aident les clients à mettre en œuvre des procédés complexes et critiques de qualité dans les environnements de production et de laboratoire biopharmaceutique de façon efficace. Les clients de la société sont les industries biotech, pharma et de l'alimentation, ainsi que des laboratoires et des instituts de recherche publics. Sartorius exploite ses propres installations de production en Europe, Asie et Amérique et a également des bureaux de vente et des représentants locaux dans plus de 110 pays. La société opère par le biais de ses filiales, y compris Sartorius Stedim Austria GmbH, Sartorius Stedim Plastics GmbH, BioOutsource Ltd et Wave Biotech AG, entre autres.</v>
    <v>EUR</v>
    <v>9901</v>
    <v>XPAR</v>
    <v>184</v>
    <v>279.7</v>
    <v>Healthcare Equipment &amp; Supplies</v>
    <v>773</v>
    <v>-2.8818E-2</v>
    <v>-5.35</v>
    <v>SARTORIUS STEDIM BIOTECH S.A.</v>
    <v>SARTORIUS STEDIM BIOTECH S.A.</v>
    <v>183.55</v>
    <v>102.6144</v>
    <v>180.3</v>
    <v>Zone Industrielle les Paluds Avenue de Jouques, Bp 1051, Aubagne Cedex, AUBAGNE, PACA, 13781 FR</v>
    <v>Bourse</v>
    <v>SARTORIUS STEDIM BIOTECH S.A. (XPAR:DIM)</v>
    <v>20511</v>
    <v>71050</v>
  </rv>
  <rv s="3">
    <v>774</v>
  </rv>
  <rv s="1">
    <v>https://www.bing.com/financeapi/forcetrigger?t=aea5k2&amp;q=XPAR%3aSU&amp;form=skydnc</v>
    <v>Learn more on Bing</v>
  </rv>
  <rv s="4">
    <v>9</v>
    <v>10</v>
    <v>SCHNEIDER ELECTRIC SE (XPAR:SU)</v>
    <v>3</v>
    <v>11</v>
    <v>Finance</v>
    <v>7</v>
    <v>fr-FR</v>
    <v>aea5k2</v>
    <v>268435456</v>
    <v>1</v>
    <v>Avec Refinitiv</v>
    <v>XPAR</v>
    <v>575631700</v>
    <v>210.55</v>
    <v>190</v>
    <v>0.97309999999999997</v>
    <v>124998400000</v>
    <v>Euronext Paris</v>
    <v>217.15</v>
    <v>SU</v>
    <v>45747.593182870369</v>
    <v>Schneider Electric se est une société basée en France qui fournit des solutions liées à l'énergie dans le monde entier. La société est spécialisée dans la transformation numérique de la gestion de l'énergie et de l'automatisation dans les maisons, les bâtiments, les centres de données, les infrastructures et les industries. Présent dans 115 pays, Schneider Electric se fournit des produits de gestion de l'énergie - moyenne tension, basse tension et énergie sécurisée, et des systèmes d'automatisation. La Société fournit des solutions intégrées d'efficacité qui combinent la gestion de l'énergie, l'automatisation et les logiciels. L'écosystème construit par la Société lui permet de collaborer sur sa plateforme ouverte avec une communauté de partenaires, intégrateurs et développeurs pour offrir à ses clients à la fois contrôle et efficacité opérationnelle en temps réel. Ses ventes sont réparties géographiquement en France, en Europe de l'Ouest, aux Etats-Unis , en Amérique du Nord, en Chine, en Asie ou Pacifique et autres.</v>
    <v>EUR</v>
    <v>176962</v>
    <v>XPAR</v>
    <v>215.3</v>
    <v>273</v>
    <v>Machinery, Equipment &amp; Components</v>
    <v>776</v>
    <v>-2.4407000000000002E-2</v>
    <v>-5.3</v>
    <v>SCHNEIDER ELECTRIC SE</v>
    <v>SCHNEIDER ELECTRIC SE</v>
    <v>214.15</v>
    <v>28.525500000000001</v>
    <v>211.85</v>
    <v>35 rue Joseph Monier, RUEIL-MALMAISON, ILE-DE-FRANCE, 92500 FR</v>
    <v>Bourse</v>
    <v>SCHNEIDER ELECTRIC SE (XPAR:SU)</v>
    <v>524882</v>
    <v>1232090</v>
  </rv>
  <rv s="3">
    <v>777</v>
  </rv>
  <rv s="1">
    <v>https://www.bing.com/financeapi/forcetrigger?t=ae9yoc&amp;q=XPAR%3aSCR&amp;form=skydnc</v>
    <v>Learn more on Bing</v>
  </rv>
  <rv s="2">
    <v>0</v>
    <v>1</v>
    <v>SCOR SE (XPAR:SCR)</v>
    <v>3</v>
    <v>8</v>
    <v>Finance</v>
    <v>7</v>
    <v>fr-FR</v>
    <v>ae9yoc</v>
    <v>268435456</v>
    <v>1</v>
    <v>Avec Refinitiv</v>
    <v>XPAR</v>
    <v>179362200</v>
    <v>1956</v>
    <v>26.34</v>
    <v>16.91</v>
    <v>1.0550999999999999</v>
    <v>4953984000</v>
    <v>Euronext Paris</v>
    <v>27.62</v>
    <v>SCR</v>
    <v>45747.593043981484</v>
    <v>SCOR se est une société française spécialisée dans la réassurance vie et non-vie. Les segments de la Société comprennent la réassurance non-vie et la réassurance-vie. Les divisions de la Société comprennent SCOR Global P&amp;C, SCOR Global Life et SCOR Global Investments. Le secteur non-vie de la Société est divisé en quatre secteurs d'activité : les traités sur les biens et les risques divers ; les traités spécialisés ; les solutions d'affaires (souscription de grands comptes d'entreprise) et les entreprises et partenariats. Il couvre tous les risques assurables des groupes industriels et des sociétés de services (grands comptes corporatifs). Le pôle d'activité traités de biens et risques divers de la Société souscrit des traités de réassurance proportionnelle et non proportionnelle. Ses traités de dommages couvrent généralement les risques initiaux de responsabilité générale, de responsabilité du fait des produits ou d'indemnisation professionnelle. Le secteur Global Life de la Société souscrit aux activités de réassurance vie dans les gammes de produits, telles que la protection, les solutions financières et la longévité.</v>
    <v>EUR</v>
    <v>3621</v>
    <v>XPAR</v>
    <v>27.2</v>
    <v>32.479999999999997</v>
    <v>Insurance</v>
    <v>779</v>
    <v>-2.9689E-2</v>
    <v>-0.82</v>
    <v>SCOR SE</v>
    <v>SCOR SE</v>
    <v>26.62</v>
    <v>1249.7737999999999</v>
    <v>26.8</v>
    <v>5, Avenue Kleber, Paris Cedex 16, PARIS, ILE-DE-FRANCE, 75795 FR</v>
    <v>Bourse</v>
    <v>SCOR SE (XPAR:SCR)</v>
    <v>259406</v>
    <v>635660</v>
  </rv>
  <rv s="3">
    <v>780</v>
  </rv>
  <rv s="1">
    <v>https://www.bing.com/financeapi/forcetrigger?t=aea1vh&amp;q=XPAR%3aSK&amp;form=skydnc</v>
    <v>Learn more on Bing</v>
  </rv>
  <rv s="2">
    <v>0</v>
    <v>1</v>
    <v>SEB SA (XPAR:SK)</v>
    <v>3</v>
    <v>8</v>
    <v>Finance</v>
    <v>7</v>
    <v>fr-FR</v>
    <v>aea1vh</v>
    <v>268435456</v>
    <v>1</v>
    <v>Avec Refinitiv</v>
    <v>XPAR</v>
    <v>55337770</v>
    <v>1974</v>
    <v>85.75</v>
    <v>81.5</v>
    <v>0.96509999999999996</v>
    <v>4897393000</v>
    <v>Euronext Paris</v>
    <v>88.5</v>
    <v>SK</v>
    <v>45747.592974537038</v>
    <v>SEB sa est un fabricant français d'équipements ménagers. La société est présente dans trois secteurs complémentaires : les ustensiles de cuisine, les appareils électriques de cuisine et les soins personnels et domestiques. Le secteur des ustensiles de cuisine comprend les poêles à frire, les plats au four, les autocuiseurs, les ustensiles de cuisine, entre autres. The Kitchen Electrics est divisé en deux groupes plus petits : la cuisson électrique, qui comprend les friteuses, les fours de table, les cuiseurs à riz, les plaques à induction, les barbecues, les appareils de repas informels et la préparation, qui se compose de robots de cuisine, batteurs, mélangeurs, mélangeurs, centrifugeuses, cafetières. Le Home and Personal Care est divisé en soins du linge (y compris les fers à vapeur et les générateurs de vapeur), soins à domicile (ventilateurs, radiateurs portatifs et appareils de climatisation, entre autres) et soins personnels (appareils de soins capillaires, épilateurs, pèse-personne). SEB sa possède six marques multirégionales : All-Clad, Rowenta, Moulinex, Tefal, Lagostina et Krups. Il fonctionne via SWIZZZ PROZZ.</v>
    <v>EUR</v>
    <v>31338</v>
    <v>XPAR</v>
    <v>87.5</v>
    <v>120.2</v>
    <v>Household Goods</v>
    <v>782</v>
    <v>-1.1864E-2</v>
    <v>-1.05</v>
    <v>SEB SA</v>
    <v>SEB SA</v>
    <v>87.5</v>
    <v>20.7776</v>
    <v>87.45</v>
    <v>Campus SEB - 112, chemin du Moulin Carron, ECULLY, AUVERGNE-RHONE-ALPES, 69130 FR</v>
    <v>Bourse</v>
    <v>SEB SA (XPAR:SK)</v>
    <v>15900</v>
    <v>84400</v>
  </rv>
  <rv s="3">
    <v>783</v>
  </rv>
  <rv s="1">
    <v>https://www.bing.com/financeapi/forcetrigger?t=ae9zc7&amp;q=XPAR%3aSESG&amp;form=skydnc</v>
    <v>Learn more on Bing</v>
  </rv>
  <rv s="2">
    <v>0</v>
    <v>1</v>
    <v>SES SA (XPAR:SESG)</v>
    <v>3</v>
    <v>8</v>
    <v>Finance</v>
    <v>7</v>
    <v>fr-FR</v>
    <v>ae9zc7</v>
    <v>268435456</v>
    <v>1</v>
    <v>Avec Refinitiv</v>
    <v>XPAR</v>
    <v>445749100</v>
    <v>2001</v>
    <v>5.46</v>
    <v>2.83</v>
    <v>0.64390000000000003</v>
    <v>2482823000</v>
    <v>Euronext Paris</v>
    <v>5.57</v>
    <v>SESG</v>
    <v>45747.593217592592</v>
    <v>SES SA est un fournisseur luxembourgeois de services de communication et de diffusion par satellite. En collaboration avec ses nombreuses filiales directes et indirectes situées en Europe, en Amérique, en Afrique et en Asie, la Société fournit des services fournis par satellite pour la diffusion et la distribution des médias, y compris des émissions de télévision et de radio. La Société exploite une constellation de satellites à orbites multiples, y compris le système Medium Earth Orbit O3b. La Société aide les diffuseurs à fournir leurs chaînes de télévision, offre une connectivité aux entreprises via des réseaux et offre des liaisons de communication sécurisées aux gouvernements et aux institutions internationales et assure des services de navigation fiables. La Société est partenaire des entreprises de télécommunications, des opérateurs de réseaux mobiles, des gouvernements, des fournisseurs de services de connectivité et de cloud, des diffuseurs, des opérateurs de plateformes vidéo et des propriétaires de contenu. La société fournit des services multimédias pour le contenu linéaire et non linéaire.</v>
    <v>EUR</v>
    <v>2118</v>
    <v>XPAR</v>
    <v>5.6849999999999996</v>
    <v>6.31</v>
    <v>Telecommunications Services</v>
    <v>785</v>
    <v>-1.167E-2</v>
    <v>-6.5000000000000002E-2</v>
    <v>SES SA</v>
    <v>SES SA</v>
    <v>5.5</v>
    <v>0</v>
    <v>5.5049999999999999</v>
    <v>Chateau de Betzdorf, BETZDORF, 6815 LU</v>
    <v>Bourse</v>
    <v>SES SA (XPAR:SESG)</v>
    <v>202192</v>
    <v>981290</v>
  </rv>
  <rv s="3">
    <v>786</v>
  </rv>
  <rv s="1">
    <v>https://www.bing.com/financeapi/forcetrigger?t=b1lbrw&amp;q=XSWX%3aSGSN&amp;form=skydnc</v>
    <v>Learn more on Bing</v>
  </rv>
  <rv s="2">
    <v>0</v>
    <v>1</v>
    <v>SGS SA (XSWX:SGSN)</v>
    <v>3</v>
    <v>6</v>
    <v>Finance</v>
    <v>7</v>
    <v>fr-FR</v>
    <v>b1lbrw</v>
    <v>268435456</v>
    <v>1</v>
    <v>Avec Refinitiv</v>
    <v>XSWX</v>
    <v>189503300</v>
    <v>1919</v>
    <v>87.34</v>
    <v>78.88</v>
    <v>0.93169999999999997</v>
    <v>16710400000</v>
    <v>SIX Swiss Exchange</v>
    <v>88.18</v>
    <v>SGSN</v>
    <v>45747.593182870369</v>
    <v>SGS SA est une société basée en Suisse qui fournit des services d'inspection, de vérification, de tests et de certification. L'inspection comprend la vérification du conditionnement et du poids des marchandises échangées au transbordement, le contrôle de la qualité, de la quantité et de la conformité aux exigences réglementaires. Les services de tests sont fournis à travers un réseau mondial d'établissements de test et du test de la qualité, la sécurité et la performance des produits par rapport aux normes réglementaires, de sécurité et de santé. Les services de certification confirment si les produits, les procédés, les systèmes ou services sont conformes aux normes nationales ou internationales et les règlements ou les normes client définis. La vérification se concentre sur la garantie que les produits et services sont conformes aux normes mondiales et locales en vigueur. De plus, la société offre des services de formation par le biais de SGS Academy.</v>
    <v>CHF</v>
    <v>99483</v>
    <v>XSWX</v>
    <v>88.18</v>
    <v>99.06</v>
    <v>Professional &amp; Commercial Services</v>
    <v>788</v>
    <v>-3.6289999999999998E-3</v>
    <v>-0.32</v>
    <v>SGS SA</v>
    <v>SGS SA</v>
    <v>87.48</v>
    <v>28.629899999999999</v>
    <v>87.86</v>
    <v>Place des Alpes 1, P.O. Box 2152, GENEVE, GENEVE, 1211 CH</v>
    <v>Bourse</v>
    <v>SGS SA (XSWX:SGSN)</v>
    <v>81079</v>
    <v>405630</v>
  </rv>
  <rv s="3">
    <v>789</v>
  </rv>
  <rv s="1">
    <v>https://www.bing.com/financeapi/forcetrigger?t=aloifr&amp;q=XAMS%3aSHELL&amp;form=skydnc</v>
    <v>Learn more on Bing</v>
  </rv>
  <rv s="2">
    <v>0</v>
    <v>1</v>
    <v>SHELL PLC (XAMS:SHELL)</v>
    <v>3</v>
    <v>24</v>
    <v>Finance</v>
    <v>7</v>
    <v>fr-FR</v>
    <v>aloifr</v>
    <v>268435456</v>
    <v>1</v>
    <v>Avec Refinitiv</v>
    <v>XAMS</v>
    <v>6019363000</v>
    <v>2002</v>
    <v>33.25</v>
    <v>28.87</v>
    <v>1.0321</v>
    <v>168423000000</v>
    <v>Euronext Amsterdam</v>
    <v>33.58</v>
    <v>SHELL</v>
    <v>45747.593159722222</v>
    <v>Shell plc est une entreprise énergétique et pétrochimique. Elle se spécialise dans l'exploration, la production, le raffinage et la commercialisation du pétrole et du gaz naturel, ainsi que dans la fabrication et la commercialisation de produits chimiques. Ses segments comprennent les secteurs suivants : gaz intégré, amont, marketing, produits chimiques et produits, solutions énergétiques et renouvelables et Corporate. Le segment gaz intégré offre le gaz naturel liquéfié, la conversion du gaz naturel en carburants gaz-liquides et d'autres produits. Le secteur amont comprend l'exploration et l'extraction de pétrole brut, de gaz naturel et de liquides de gaz naturel. Le segment Marketing comprend la mobilité, les lubrifiants, les secteurs et les activités de décarbonisation. Le segment produits chimiques comprend des usines de fabrication de produits chimiques avec leur réseau de commercialisation, et des raffineries qui transforment le pétrole brut et d'autres matières premières en une gamme de produits pétroliers. Le segment des énergies renouvelables et des solutions énergétiques offre des activités énergétiques, comprenant la production d'électricité, la commercialisation et le négoce d'électricité et de gaz de pipeline.</v>
    <v>EUR</v>
    <v>96000</v>
    <v>XAMS</v>
    <v>33.765000000000001</v>
    <v>34.74</v>
    <v>Oil &amp; Gas</v>
    <v>791</v>
    <v>4.7650000000000001E-3</v>
    <v>0.16</v>
    <v>SHELL PLC</v>
    <v>SHELL PLC</v>
    <v>33.475000000000001</v>
    <v>13.735799999999999</v>
    <v>33.74</v>
    <v>Shell Centre, 2 York Road, LONDON, UNITED KINGDOM-NA, SE1 7NA GB</v>
    <v>Bourse</v>
    <v>SHELL PLC (XAMS:SHELL)</v>
    <v>4112473</v>
    <v>11242410</v>
  </rv>
  <rv s="3">
    <v>792</v>
  </rv>
  <rv s="1">
    <v>https://www.bing.com/financeapi/forcetrigger?t=afkr7w&amp;q=XFRA%3aSIE&amp;form=skydnc</v>
    <v>Learn more on Bing</v>
  </rv>
  <rv s="2">
    <v>0</v>
    <v>1</v>
    <v>Siemens AG (XFRA:SIE)</v>
    <v>3</v>
    <v>8</v>
    <v>Finance</v>
    <v>7</v>
    <v>fr-FR</v>
    <v>afkr7w</v>
    <v>268435456</v>
    <v>1</v>
    <v>Avec Refinitiv</v>
    <v>XFRA</v>
    <v>800000000</v>
    <v>1996</v>
    <v>208</v>
    <v>58.95</v>
    <v>1.2003999999999999</v>
    <v>172800000000</v>
    <v>Deutsche Boerse AG</v>
    <v>215</v>
    <v>SIE</v>
    <v>45747.593055555553</v>
    <v>Siemens AG est une société technologique basée en Allemagne, qui se concentre sur les domaines de l'automatisation et de la numérisation dans les industries de processus et de fabrication, des infrastructures intelligentes pour les bâtiments et les systèmes d'énergie distribuée, des solutions de mobilité intelligentes pour le transport ferroviaire, ainsi que des technologies médicales et des services de santé numériques. La Société opère à travers les segments suivants : Digital Industries, qui offre des produits et des solutions de systèmes pour l'automatisation utilisés dans les industries discrètes et de processus ; Smart infrastructure, qui fournit et connecte des systèmes énergétiques et des technologies de construction ; Mobility, qui regroupe toutes les entreprises dans le domaine du transport ferroviaire de voyageurs et de marchandises; Siemens Healthineers, qui fournit des produits, des solutions et des services de santé, et Siemens Financial services (SFS), qui offre des solutions et des équipements de crédit-bail, des financements structurés et de projets sous forme d'emprunts et d'investissements en actions.</v>
    <v>EUR</v>
    <v>313000</v>
    <v>XFRA</v>
    <v>214.15</v>
    <v>243.55</v>
    <v>Machinery, Equipment &amp; Components</v>
    <v>794</v>
    <v>-2.3488000000000002E-2</v>
    <v>-5.05</v>
    <v>Siemens AG</v>
    <v>Siemens AG</v>
    <v>212</v>
    <v>22.7</v>
    <v>209.95</v>
    <v>Werner-von-Siemens-Strasse 1, MUENCHEN, BAYERN, 80333 DE</v>
    <v>Bourse</v>
    <v>Siemens AG (XFRA:SIE)</v>
    <v>6641</v>
    <v>1683300</v>
  </rv>
  <rv s="3">
    <v>795</v>
  </rv>
  <rv s="1">
    <v>https://www.bing.com/financeapi/forcetrigger?t=amg35r&amp;q=BMEX%3aSGRE&amp;form=skydnc</v>
    <v>Learn more on Bing</v>
  </rv>
  <rv s="10">
    <v>0</v>
    <v>29</v>
    <v>Siemens Gamesa Renewable Energy SA (BMEX:SGRE)</v>
    <v>3</v>
    <v>8</v>
    <v>Finance</v>
    <v>7</v>
    <v>fr-FR</v>
    <v>amg35r</v>
    <v>268435456</v>
    <v>1</v>
    <v>1</v>
    <v>Avec Refinitiv</v>
    <v>BMEX</v>
    <v>681143400</v>
    <v>1976</v>
    <v>18.05</v>
    <v>12.56</v>
    <v>0.53839999999999999</v>
    <v>12315070000</v>
    <v>Bolsas y Mercados Espanoles</v>
    <v>18.079999999999998</v>
    <v>SGRE</v>
    <v>44964.70952546296</v>
    <v>Siemens Gamesa Renewable Energy SA is a Spain-based company which specializes in the development and construction of wind farms. The Company’s activities are divided into two business segments: Wind turbines and Operation and maintenance. Wind Turbines segment includes the manufacturing of wind turbine generators and the development, construction and sale of wind farms (onshore and offshore). Operation and maintenance sector focuses on the rendering of operation and maintenance services through advanced technology services in the renewable energy sector. The Company, through its subsidiaries, is present in the Americas, Europe, Asia, Africa and Oceania.</v>
    <v>EUR</v>
    <v>28151</v>
    <v>BMEX</v>
    <v>18.065000000000001</v>
    <v>21.13</v>
    <v>Renewable Energy</v>
    <v>797</v>
    <v>0</v>
    <v>0</v>
    <v>Siemens Gamesa Renewable Energy SA</v>
    <v>Siemens Gamesa Renewable Energy SA</v>
    <v>18.05</v>
    <v>76.601900000000001</v>
    <v>18.05</v>
    <v>Parque Tecnologico de Bizkaia, edificio 222, ZAMUDIO, VIZCAYA, 48170 ES</v>
    <v>Bourse</v>
    <v>Siemens Gamesa Renewable Energy SA (BMEX:SGRE)</v>
    <v>1495378</v>
    <v>594920</v>
  </rv>
  <rv s="3">
    <v>798</v>
  </rv>
  <rv s="1">
    <v>https://www.bing.com/financeapi/forcetrigger?t=azdhr7&amp;q=XFRA%3aSHL&amp;form=skydnc</v>
    <v>Learn more on Bing</v>
  </rv>
  <rv s="11">
    <v>32</v>
    <v>33</v>
    <v>Siemens Healthineers AG (XFRA:SHL)</v>
    <v>3</v>
    <v>34</v>
    <v>Finance</v>
    <v>7</v>
    <v>fr-FR</v>
    <v>azdhr7</v>
    <v>268435456</v>
    <v>1</v>
    <v>Avec Refinitiv</v>
    <v>XFRA</v>
    <v>1128000000</v>
    <v>2017</v>
    <v>49.72</v>
    <v>0.7087</v>
    <v>57189600000</v>
    <v>Deutsche Boerse AG</v>
    <v>51.08</v>
    <v>SHL</v>
    <v>45747.593055555553</v>
    <v>Siemens Healthineers AG est une société basée en Allemagne. La société est un fournisseur mondial de produits, solutions et services de santé. Elle propose également des services de conseil clinique, des formations et des offres de services. Les segments de la société comprennent l'imagerie, le diagnostic, Varian et les thérapies avancées. Le segment Imagerie propose des solutions logicielles pour soutenir la lecture et la création de rapports structurés d'images diagnostiques provenant de différentes modalités. Le segment Diagnostics propose aux prestataires de soins de santé des services de laboratoire général, de laboratoire spécialisé et de diagnostic au point de service. Le segment Varian propose un portefeuille de technologies et de services de soins contre le cancer et soutient les services d'oncologie des hôpitaux et des cliniques. Le segment Thérapies avancées comprend des produits, services et solutions intégrés utilisés dans le traitement de maladies dans de nombreux domaines cliniques.</v>
    <v>EUR</v>
    <v>73000</v>
    <v>XFRA</v>
    <v>50.42</v>
    <v>Healthcare Equipment &amp; Supplies</v>
    <v>800</v>
    <v>-2.6624999999999999E-2</v>
    <v>-1.36</v>
    <v>Siemens Healthineers AG</v>
    <v>Siemens Healthineers AG</v>
    <v>50.26</v>
    <v>28.53</v>
    <v>49.72</v>
    <v>Siemensstr. 3, FORCHHEIM, BAYERN, 91301 DE</v>
    <v>Bourse</v>
    <v>Siemens Healthineers AG (XFRA:SHL)</v>
    <v>1829</v>
    <v>983190</v>
  </rv>
  <rv s="3">
    <v>801</v>
  </rv>
  <rv s="1">
    <v>https://www.bing.com/financeapi/forcetrigger?t=alofc7&amp;q=XAMS%3aLIGHT&amp;form=skydnc</v>
    <v>Learn more on Bing</v>
  </rv>
  <rv s="2">
    <v>0</v>
    <v>1</v>
    <v>Signify NV (XAMS:LIGHT)</v>
    <v>3</v>
    <v>8</v>
    <v>Finance</v>
    <v>7</v>
    <v>fr-FR</v>
    <v>alofc7</v>
    <v>268435456</v>
    <v>1</v>
    <v>Avec Refinitiv</v>
    <v>XAMS</v>
    <v>128344200</v>
    <v>2016</v>
    <v>19.62</v>
    <v>19.190000000000001</v>
    <v>0.9536</v>
    <v>2620789000</v>
    <v>Euronext Amsterdam</v>
    <v>20.420000000000002</v>
    <v>LIGHT</v>
    <v>45747.593136574076</v>
    <v>Signify NV, anciennement Philips Lighting NV, est une société basée aux Pays-Bas qui fournit des lampes et des solutions d'éclairage. Son portefeuille de produits comprend, entre autres, des lampes à incandescence, des lampes halogènes, des lampes fluorescentes, des lampes fluorescentes linéaires (LFL), des lampes fluorescentes compactes (CFL), des lampes à décharge haute intensité (HID) et des diodes électroluminescentes (LED), ainsi que des composants électroniques, tels que des ballasts électroniques et des conducteurs. La Société fournit également des systèmes d'éclairage intégrés et personnalisés. Son portefeuille de services comprend la gestion de la lumière et les services à valeur ajoutée, tels que les audits énergétiques, la conception légère et l'ingénierie, ainsi que la surveillance à distance et les services gérés. La Société opère à travers quatre segments: les segments Lampes comprennent des lampes conventionnelles et des lampes électroniques; le segment LED se concentre sur les lampes LED; Le segment Professionnel comprend des systèmes d'éclairage et des services a l’intention des consommateurs professionnels, et les segments Immobilier couvrent les luminaires des consommateurs et les systèmes domestiques.</v>
    <v>EUR</v>
    <v>29459</v>
    <v>XAMS</v>
    <v>20.2</v>
    <v>29.4</v>
    <v>Homebuilding &amp; Construction Supplies</v>
    <v>803</v>
    <v>-2.5465000000000002E-2</v>
    <v>-0.52</v>
    <v>Signify NV</v>
    <v>Signify NV</v>
    <v>20.100000000000001</v>
    <v>7.8554000000000004</v>
    <v>19.899999999999999</v>
    <v>High Tech Campus 48, EINDHOVEN, NOORD-BRABANT, 5656 AE NL</v>
    <v>Bourse</v>
    <v>Signify NV (XAMS:LIGHT)</v>
    <v>237423</v>
    <v>392540</v>
  </rv>
  <rv s="3">
    <v>804</v>
  </rv>
  <rv s="1">
    <v>https://www.bing.com/financeapi/forcetrigger?t=b1lbp2&amp;q=XSWX%3aSIKA&amp;form=skydnc</v>
    <v>Learn more on Bing</v>
  </rv>
  <rv s="2">
    <v>0</v>
    <v>1</v>
    <v>Sika Société de Financement SA (XSWX:SIKA)</v>
    <v>3</v>
    <v>6</v>
    <v>Finance</v>
    <v>7</v>
    <v>fr-FR</v>
    <v>b1lbp2</v>
    <v>268435456</v>
    <v>1</v>
    <v>Avec Refinitiv</v>
    <v>XSWX</v>
    <v>160479300</v>
    <v>1971</v>
    <v>211.6</v>
    <v>210.4</v>
    <v>1.4409000000000001</v>
    <v>35000540000</v>
    <v>SIX Swiss Exchange</v>
    <v>218.1</v>
    <v>SIKA</v>
    <v>45747.593182870369</v>
    <v>Sika AG est une société basée en Suisse exerçant ses activités dans l'industrie chimique. La Société fabrique des produits destinés principalement aux industries de l'automobile et des pièces automobiles, à l'énergie renouvelable et à l'équipement et aux composants. Les activités de la Société sont divisées en deux secteurs d'activité : la division Construction offre une gamme de produits, notamment des adjuvants pour béton, des mortiers prêts à l'emploi, des systèmes de toiture, des systèmes d'étanchéité, des systèmes de revêtement de sol et des solutions de protection de l'acier, entre autres, et la Division Industrie développe des solutions de collage, d'étanchéité, d'amortissement, de vitrage et de renforcement, entre autres. Les marques de la Société incluent notamment Sarnafil, Sika, Sikadur, Sikaflex, SikaGrout, SikaPower, SikaHydroPrep, SikaReinforcer, Sika ViscoCrete, Sikaplan et SikaRapid. entre autres. La Société est active dans le monde entier, avec des activités divisées en régions géographiques, à savoir l'Europe, le Moyen-Orient et l'Afrique (EMEA), l'Amérique du Nord, l'Amérique latine et l'Asie / Pacifique. La Société exploite de nombreuses filiales.</v>
    <v>CHF</v>
    <v>34476</v>
    <v>XSWX</v>
    <v>215.8</v>
    <v>287.60000000000002</v>
    <v>Chemicals</v>
    <v>806</v>
    <v>-2.2925000000000001E-2</v>
    <v>-5</v>
    <v>Sika Société de Financement SA</v>
    <v>Sika Société de Financement SA</v>
    <v>215.8</v>
    <v>28.105699999999999</v>
    <v>213.1</v>
    <v>Zugerstrasse 50, BAAR, ZUG, 6341 CH</v>
    <v>Bourse</v>
    <v>Sika Société de Financement SA (XSWX:SIKA)</v>
    <v>232319</v>
    <v>421510</v>
  </rv>
  <rv s="3">
    <v>807</v>
  </rv>
  <rv s="1">
    <v>https://www.bing.com/financeapi/forcetrigger?t=ae8t4c&amp;q=XPAR%3aGLE&amp;form=skydnc</v>
    <v>Learn more on Bing</v>
  </rv>
  <rv s="4">
    <v>9</v>
    <v>10</v>
    <v>SOCIETE GENERALE SA (XPAR:GLE)</v>
    <v>3</v>
    <v>11</v>
    <v>Finance</v>
    <v>7</v>
    <v>fr-FR</v>
    <v>ae8t4c</v>
    <v>268435456</v>
    <v>1</v>
    <v>Avec Refinitiv</v>
    <v>XPAR</v>
    <v>800316800</v>
    <v>40.515000000000001</v>
    <v>19.37</v>
    <v>1.6304000000000001</v>
    <v>34045480000</v>
    <v>Euronext Paris</v>
    <v>42.54</v>
    <v>GLE</v>
    <v>45747.593182870369</v>
    <v>Société Générale SA est un groupe de services financiers basé en France. Le Groupe offre une large gamme de services de conseil et de solutions financières sur mesure pour sécuriser les transactions, protéger et gérer les actifs et l'épargne, et aider ses clients à financer leurs projets. Elle opère à travers trois secteurs : la Banque de détail en France, la Banque de détail à l'international et les services financiers et la gestion Bancaire mondiale et les Solutions aux investisseurs. La Banque de Détail en France regroupe les réseaux domestiques de Société Générale, Crédit du Nord et Boursorama. La Banque de détail à l'international et les services financiers comprend la Banque de détail à l'international (activités de crédit à la consommation), les Services financiers aux entreprises (location de véhicules opérationnels et gestion de flotte, équipement et financement des fournisseurs) et les activités d'assurance. La gestion Bancaire mondiale et les Solutions aux investisseurs comprend Marchés mondiaux et services aux investisseurs, financement et conseil, gestion d'actifs et de patrimoine. Le Groupe est actif à l'échelle mondiale.</v>
    <v>EUR</v>
    <v>119000</v>
    <v>XPAR</v>
    <v>41.935000000000002</v>
    <v>44.38</v>
    <v>Banking Services</v>
    <v>809</v>
    <v>-3.1030000000000002E-2</v>
    <v>-1.32</v>
    <v>SOCIETE GENERALE SA</v>
    <v>SOCIETE GENERALE SA</v>
    <v>41.7</v>
    <v>9.3369999999999997</v>
    <v>41.22</v>
    <v>29 Boulevard Haussmann, PARIS, ILE-DE-FRANCE, 75009 FR</v>
    <v>Bourse</v>
    <v>SOCIETE GENERALE SA (XPAR:GLE)</v>
    <v>3240650</v>
    <v>3022790</v>
  </rv>
  <rv s="3">
    <v>810</v>
  </rv>
  <rv s="1">
    <v>https://www.bing.com/financeapi/forcetrigger?t=aea5sm&amp;q=XPAR%3aSW&amp;form=skydnc</v>
    <v>Learn more on Bing</v>
  </rv>
  <rv s="2">
    <v>0</v>
    <v>1</v>
    <v>SODEXO SA (XPAR:SW)</v>
    <v>3</v>
    <v>8</v>
    <v>Finance</v>
    <v>7</v>
    <v>fr-FR</v>
    <v>aea5sm</v>
    <v>268435456</v>
    <v>1</v>
    <v>Avec Refinitiv</v>
    <v>XPAR</v>
    <v>147454900</v>
    <v>1975</v>
    <v>59.5</v>
    <v>57.45</v>
    <v>0.70589999999999997</v>
    <v>8839921000</v>
    <v>Euronext Paris</v>
    <v>59.95</v>
    <v>SW</v>
    <v>45747.593148148146</v>
    <v>Sodexo sa est une société de prestataires de services basée en France. La Société opère à travers trois segments principaux : les services sur site, les services avantages et récompenses et les services personnels et à domicile. Ses services sur site offrent des services personnalisables sur site, tels que des services alimentaires, la conception de lieux de travail, la stérilisation de dispositifs médicaux, des services de réception et de nettoyage aux entreprises et administrations, aux soins de santé et aux aînés et aux industries de l'éducation. Les services avantages et récompenses de l'entreprise offrent des services personnalisables aux clients professionnels pour améliorer l'engagement, la reconnaissance, l'équilibre entre vie professionnelle et vie privée, la gestion des voyages et des dépenses, la santé et le bien-être. Ses services personnels et à domicile couvrent trois domaines : les services de garde d'enfants, conçus pour prendre soin des plus jeunes enfants ; les services de conciergerie, pour améliorer le développement et le bien-être des employés des clients sur le lieu de travail; des services de soins à domicile pour les aînés et les adultes qui veulent conserver leur autonomie tout en profitant du confort de leur foyer. Il est actif globalement</v>
    <v>EUR</v>
    <v>423467</v>
    <v>XPAR</v>
    <v>60</v>
    <v>84.1</v>
    <v>Hotels &amp; Entertainment Services</v>
    <v>812</v>
    <v>-5.0039999999999998E-3</v>
    <v>-0.3</v>
    <v>SODEXO SA</v>
    <v>SODEXO SA</v>
    <v>59.85</v>
    <v>14.0898</v>
    <v>59.65</v>
    <v>255, quai de la Bataille de Stalingrad, ISSY-LES-MOULINEAUX, ILE-DE-FRANCE, 92130 FR</v>
    <v>Bourse</v>
    <v>SODEXO SA (XPAR:SW)</v>
    <v>75202</v>
    <v>541890</v>
  </rv>
  <rv s="3">
    <v>813</v>
  </rv>
  <rv s="1">
    <v>https://www.bing.com/financeapi/forcetrigger?t=aaq9k2&amp;q=XBRU%3aSOF&amp;form=skydnc</v>
    <v>Learn more on Bing</v>
  </rv>
  <rv s="2">
    <v>0</v>
    <v>1</v>
    <v>SOFINA SA (XBRU:SOF)</v>
    <v>3</v>
    <v>8</v>
    <v>Finance</v>
    <v>7</v>
    <v>fr-FR</v>
    <v>aaq9k2</v>
    <v>268435456</v>
    <v>1</v>
    <v>Avec Refinitiv</v>
    <v>XBRU</v>
    <v>34250000</v>
    <v>1956</v>
    <v>235.8</v>
    <v>194.2</v>
    <v>1.5224</v>
    <v>8309050000</v>
    <v>Euronext Brussels</v>
    <v>242.6</v>
    <v>SOF</v>
    <v>45747.593059050778</v>
    <v>Sofina S.A. est une société de portefeuille établie en Belgique qui investit, directement et indirectement, dans des entreprises de divers secteurs. Dans le secteur de l'Énergie et des Services, la Société a des intérêts dans GDF Suez, International Power, Exmar, bioMerieux, Suez Environnement. Dans le secteur du Détail, Sofina investit dans Colruyt et Delhaize ; le secteur des Biens de consommation comprend Danone, Rapala, Chapoutier et le groupe B &amp; W. La division Opérateurs satellites comprend la société SES ; le secteur Sociétés de financement se compose d'Eurazeo, Caledonia et Luxempart ; la division Industrie comprend Petit Forestier, Oberthur Fiduciare, Ipsos, Mersen, Touax, Deceuninck ; et la division Actifs alternatifs se compose de Private equity et Hedge funds. Sofina S.A. possède un certain nombre de filiales consolidées, par exemple Rebelco, Finabru, Sidro, Sofindev, Sofilec, Truficar, Trufidee, Tufilux, Sofina Multi Stategy, entre autres. Par le biais de ses filiales, la Société est principalement active en Belgique, au Luxembourg, aux Pays-Bas, en Suisse et au Panama.</v>
    <v>EUR</v>
    <v>81</v>
    <v>XBRU</v>
    <v>240.6</v>
    <v>261</v>
    <v>Holding Companies</v>
    <v>815</v>
    <v>-2.7205E-2</v>
    <v>-6.6</v>
    <v>SOFINA SA</v>
    <v>SOFINA SA</v>
    <v>240.4</v>
    <v>5.9409000000000001</v>
    <v>236</v>
    <v>Rue de l'Industrie, 31, BRUXELLES, BRUXELLES-CAPITALE, 1040 BE</v>
    <v>Bourse</v>
    <v>SOFINA SA (XBRU:SOF)</v>
    <v>13742</v>
    <v>30220</v>
  </rv>
  <rv s="3">
    <v>816</v>
  </rv>
  <rv s="1">
    <v>https://www.bing.com/financeapi/forcetrigger?t=aea34c&amp;q=XPAR%3aSOI&amp;form=skydnc</v>
    <v>Learn more on Bing</v>
  </rv>
  <rv s="2">
    <v>0</v>
    <v>1</v>
    <v>SOITEC SA (XPAR:SOI)</v>
    <v>3</v>
    <v>8</v>
    <v>Finance</v>
    <v>7</v>
    <v>fr-FR</v>
    <v>aea34c</v>
    <v>268435456</v>
    <v>1</v>
    <v>Avec Refinitiv</v>
    <v>XPAR</v>
    <v>35726460</v>
    <v>1992</v>
    <v>49.38</v>
    <v>49.38</v>
    <v>1.1376999999999999</v>
    <v>1830981000</v>
    <v>Euronext Paris</v>
    <v>51.25</v>
    <v>SOI</v>
    <v>45747.593110219532</v>
    <v>Soitec SA est une société basée en France qui se spécialise dans l'industrie des semi-conducteurs. La Société se concentre sur le secteur de la microélectronique, principalement dans la production et la commercialisation de wafers silicium sur isolant (SOI). Ses produits sont structurés et coupés en jetons pour créer des circuits pour les composants électroniques. La Société propose des solutions pour la miniaturisation des puces, l'amélioration des performances du produit et la réduction de la consommation d'énergie. Soitec SA accélère les secteurs mobile et numérique. Ses produits sont utilisés pour fabriquer des puces qui entrent dans des téléphones intelligents, des tableaux, des ordinateurs, des technologies Internet (TI) et des centres de données, ainsi que des composants électroniques dans les voitures, les appareils connectés et les équipements industriels et médicaux. Elle opère sur le marché intérieur et à l'international.</v>
    <v>EUR</v>
    <v>2184</v>
    <v>XPAR</v>
    <v>51</v>
    <v>123.95</v>
    <v>Semiconductors &amp; Semiconductor Equipment</v>
    <v>818</v>
    <v>-2.6731999999999999E-2</v>
    <v>-1.37</v>
    <v>SOITEC SA</v>
    <v>SOITEC SA</v>
    <v>50.65</v>
    <v>16.272400000000001</v>
    <v>49.88</v>
    <v>Parc Technologique des Fontaines, Chemin des Franques, BERNIN, AUVERGNE-RHONE-ALPES, 38190 FR</v>
    <v>Bourse</v>
    <v>SOITEC SA (XPAR:SOI)</v>
    <v>98852</v>
    <v>186730</v>
  </rv>
  <rv s="3">
    <v>819</v>
  </rv>
  <rv s="1">
    <v>https://www.bing.com/financeapi/forcetrigger?t=aaq9pr&amp;q=XBRU%3aSOLB&amp;form=skydnc</v>
    <v>Learn more on Bing</v>
  </rv>
  <rv s="2">
    <v>0</v>
    <v>1</v>
    <v>SOLVAY SA (XBRU:SOLB)</v>
    <v>3</v>
    <v>8</v>
    <v>Finance</v>
    <v>7</v>
    <v>fr-FR</v>
    <v>aaq9pr</v>
    <v>268435456</v>
    <v>1</v>
    <v>Avec Refinitiv</v>
    <v>XBRU</v>
    <v>105876400</v>
    <v>1991</v>
    <v>32.4</v>
    <v>24.3</v>
    <v>1.2441</v>
    <v>3535214000</v>
    <v>Euronext Brussels</v>
    <v>33.39</v>
    <v>SOLB</v>
    <v>45747.593148148146</v>
    <v>Solvay SA est une société internationale de produits chimiques et de matériaux avancés basée en Belgique. Par l'intermédiaire de ses filiales, elle exploite quatre secteurs : matériaux avancés, formulations avancées, produits chimiques de performance et services aux entreprises et aux entreprises. Matériaux avancés propose des matériaux haute performance pour de multiples applications principalement dans les marchés de l'automobile, de l'aérospatiale, de l'électronique et de la santé, fournissant des solutions de mobilité durable, réduisant le poids et améliorant le CO2 et l'efficacité énergétique. Formulations avancées dessert principalement les marchés des biens de consommation, de l'agroalimentaire et de l'énergie et propose des formulations spécialisées personnalisées qui ont un impact sur la chimie de surface et modifient le comportement des liquides tout en minimisant l'impact environnemental. Produits chimiques de performance est spécialisée dans les produits chimiques intermédiaires servant principalement les marchés des biens de consommation et de l'alimentation. Les services aux entreprises comprennent les services aux entreprises et autres services aux entreprises, tels que le centre de recherche et d'innovation et les services énergétiques.</v>
    <v>EUR</v>
    <v>21998</v>
    <v>XBRU</v>
    <v>33.21</v>
    <v>39.369999999999997</v>
    <v>Chemicals</v>
    <v>821</v>
    <v>-1.3476999999999999E-2</v>
    <v>-0.45</v>
    <v>SOLVAY SA</v>
    <v>SOLVAY SA</v>
    <v>33.090000000000003</v>
    <v>15.6761</v>
    <v>32.94</v>
    <v>Rue de Ransbeek 310, BRUXELLES, BRUXELLES-CAPITALE, 1120 BE</v>
    <v>Bourse</v>
    <v>SOLVAY SA (XBRU:SOLB)</v>
    <v>44253</v>
    <v>221620</v>
  </rv>
  <rv s="3">
    <v>822</v>
  </rv>
  <rv s="1">
    <v>https://www.bing.com/financeapi/forcetrigger?t=aea2rw&amp;q=XPAR%3aSO&amp;form=skydnc</v>
    <v>Learn more on Bing</v>
  </rv>
  <rv s="8">
    <v>19</v>
    <v>20</v>
    <v>Somfy SA (XPAR:SO)</v>
    <v>3</v>
    <v>21</v>
    <v>Finance</v>
    <v>7</v>
    <v>fr-FR</v>
    <v>aea2rw</v>
    <v>268435456</v>
    <v>1</v>
    <v>1</v>
    <v>Avec Refinitiv</v>
    <v>XPAR</v>
    <v>37000000</v>
    <v>1969</v>
    <v>143</v>
    <v>90.8</v>
    <v>0.7258</v>
    <v>5291000000</v>
    <v>Euronext Paris</v>
    <v>143</v>
    <v>SO</v>
    <v>44938.708333333336</v>
    <v>Somfy SA is a France-based holding company of the Somfy Group. The Company designs, manufactures, and markets motors and automatic opening and closing systems for homes and buildings. The Company, through its subsidiaries, operates under three divisions: Products &amp; Services; Engineering &amp; Customer Satisfaction; and Operations &amp; Supply Chain. The Company's range of products include awnings, rolling shutters, windows, gates, garage doors, storefront grills, and for protecting large utility facilities. Company’s products are marketed through building entry manufacturers, assemblers, professional installers, and large do it yourself (DIY) stores. The Somfy Group is organized into two geographic divisions: North &amp; West including Central Europe, Northern Europe, the Americas; and South &amp; East including France, Southern Europe, Africa &amp; the Middle East, Eastern Europe, and Asia-Pacific.</v>
    <v>EUR</v>
    <v>7580</v>
    <v>XPAR</v>
    <v>143.19999999999999</v>
    <v>162</v>
    <v>Homebuilding &amp; Construction Supplies</v>
    <v>824</v>
    <v>0</v>
    <v>0</v>
    <v>Somfy SA</v>
    <v>Somfy SA</v>
    <v>143</v>
    <v>20.841200000000001</v>
    <v>143</v>
    <v>50 Avenue du Nouveau-Monde, Bp 152, Cluses Cedex, CLUSES, AUVERGNE-RHONE-ALPES, 74307 FR</v>
    <v>Bourse</v>
    <v>Somfy SA (XPAR:SO)</v>
    <v>727495</v>
  </rv>
  <rv s="3">
    <v>825</v>
  </rv>
  <rv s="1">
    <v>https://www.bing.com/financeapi/forcetrigger?t=aea3a2&amp;q=XPAR%3aSOP&amp;form=skydnc</v>
    <v>Learn more on Bing</v>
  </rv>
  <rv s="2">
    <v>0</v>
    <v>1</v>
    <v>SOPRA STERIA GROUP SA (XPAR:SOP)</v>
    <v>3</v>
    <v>8</v>
    <v>Finance</v>
    <v>7</v>
    <v>fr-FR</v>
    <v>aea3a2</v>
    <v>268435456</v>
    <v>1</v>
    <v>Avec Refinitiv</v>
    <v>XPAR</v>
    <v>20547700</v>
    <v>1993</v>
    <v>167.2</v>
    <v>148.80000000000001</v>
    <v>1.1669</v>
    <v>3602012000</v>
    <v>Euronext Paris</v>
    <v>175.3</v>
    <v>SOP</v>
    <v>45747.593009259261</v>
    <v>Sopra Steria Group sa, anciennement Sopra Group sa est une société française de conseil, de services numériques et de développement de logiciels, d'intégration de systèmes et d'externalisation d'applications. La Société guide les entreprises dans les projets de conversion, de la phase de développement à la phase de mise en œuvre. Ses services incluent le conseil, l'intégration de la planification des ressources d'entreprise (ERP), la gestion de la relation client (CRM), l'ingénierie logicielle de site, les tests globaux et la veille stratégique (BI), entre autres. Les activités de Sopra Steira Group sa sont ciblées sur les clients opérant dans différents secteurs, tels que la banque, l'assurance, la fabrication, la distribution, secteur public, télécommunications et immobilier. La Société est présente en France, au Benelux, au Maroc, en Allemagne, en Inde, l'Irlande, l'Espagne, le Portugal, la région scandinave, l'Italie, le Royaume-Uni et la Suisse. La Société possède des filiales telles que Cassiopae MEA, COR&amp;FJA AG, HR Access Service Line, Steria sa et Kentor, entre autres.</v>
    <v>EUR</v>
    <v>50988</v>
    <v>XPAR</v>
    <v>173.5</v>
    <v>236.2</v>
    <v>Software &amp; IT Services</v>
    <v>827</v>
    <v>-1.7114000000000001E-2</v>
    <v>-3</v>
    <v>SOPRA STERIA GROUP SA</v>
    <v>SOPRA STERIA GROUP SA</v>
    <v>173.1</v>
    <v>14.064500000000001</v>
    <v>172.3</v>
    <v>Pae Des Glaisins, 3 Rue Du Pre Faucon, ANNECY, AUVERGNE-RHONE-ALPES, 74940 FR</v>
    <v>Bourse</v>
    <v>SOPRA STERIA GROUP SA (XPAR:SOP)</v>
    <v>28048</v>
    <v>50570</v>
  </rv>
  <rv s="3">
    <v>828</v>
  </rv>
  <rv s="1">
    <v>https://www.bing.com/financeapi/forcetrigger?t=aea3oc&amp;q=XPAR%3aSPIE&amp;form=skydnc</v>
    <v>Learn more on Bing</v>
  </rv>
  <rv s="2">
    <v>0</v>
    <v>1</v>
    <v>SPIE SA (XPAR:SPIE)</v>
    <v>3</v>
    <v>8</v>
    <v>Finance</v>
    <v>7</v>
    <v>fr-FR</v>
    <v>aea3oc</v>
    <v>268435456</v>
    <v>1</v>
    <v>Avec Refinitiv</v>
    <v>XPAR</v>
    <v>168900600</v>
    <v>2011</v>
    <v>38.72</v>
    <v>28.84</v>
    <v>0.98150000000000004</v>
    <v>6705352000</v>
    <v>Euronext Paris</v>
    <v>39.700000000000003</v>
    <v>SPIE</v>
    <v>45747.59306712963</v>
    <v>Spie SA est une société basée en France, qui fournit des services multi-techniques dans les domaines de l'énergie et des communications. La Société aide ses clients à concevoir, construire, exploiter et entretenir des installations écoénergétique et respectueuses de l'environnement. Elle concentre son développement sur trois activités: les services mécaniques et électriques, les services de technologies de l'information et de la communication et la gestion des installations techniques. La Société offre des services dans différents secteurs, comme les aliments et les boissons, les produits pharmaceutiques, les industries, l'énergie et le public. Elle exerce ses activités par l'intermédiaire d'Aaftink, de Tevean, d'Alewijnse Retail, de Leven Energy Services, un fournisseur de services publics indépendant qui soutient les opérateurs de réseaux de distribution (DNO'S); Alewijnse Technisch Beheer; GPE Technical Services BV; TriosGroup; AGIS Fire, Security Group, SAG Vermoegensverwaltung GmbH (SAG), Maintenance Mesure Controle (MMC), MER ICT, Systemat, S-Cube et Jm Electricite, entre autres.</v>
    <v>EUR</v>
    <v>50657</v>
    <v>XPAR</v>
    <v>39.36</v>
    <v>42.16</v>
    <v>Construction &amp; Engineering</v>
    <v>830</v>
    <v>-1.4610000000000001E-2</v>
    <v>-0.57999999999999996</v>
    <v>SPIE SA</v>
    <v>SPIE SA</v>
    <v>39.24</v>
    <v>29.451000000000001</v>
    <v>39.119999999999997</v>
    <v>Campus Saint-Christophe, 10, avenue de l'Entreprise, Cedex, CERGY-PONTOISE, ILE-DE-FRANCE, 95863 FR</v>
    <v>Bourse</v>
    <v>SPIE SA (XPAR:SPIE)</v>
    <v>72838</v>
    <v>482640</v>
  </rv>
  <rv s="3">
    <v>831</v>
  </rv>
  <rv s="1">
    <v>https://www.bing.com/financeapi/forcetrigger?t=azk7rw&amp;q=XFRA%3a639&amp;form=skydnc</v>
    <v>Learn more on Bing</v>
  </rv>
  <rv s="2">
    <v>0</v>
    <v>1</v>
    <v>SPOTIFY TECHNOLOGY S.A. (XFRA:639)</v>
    <v>3</v>
    <v>52</v>
    <v>Finance</v>
    <v>7</v>
    <v>fr-FR</v>
    <v>azk7rw</v>
    <v>268435456</v>
    <v>1</v>
    <v>Avec Refinitiv</v>
    <v>XFRA</v>
    <v>204707100</v>
    <v>2007</v>
    <v>497.65</v>
    <v>67.13</v>
    <v>1.7385999999999999</v>
    <v>114873400000</v>
    <v>Deutsche Boerse AG</v>
    <v>514.9</v>
    <v>639</v>
    <v>45747.593055555553</v>
    <v>Spotify Technology SA une société basée au Luxembourg, qui propose des services de streaming de musique numérique. La société permet aux utilisateurs de découvrir de nouvelles versions, notamment les derniers singles et albums ; playlists, qui comprend des playlists prêtes à l'emploi créées par des fans de musique et des experts, et plus de millions de chansons afin que les utilisateurs puissent jouer leurs favoris, découvrir de nouvelles pistes et créer une collection personnalisée. Ses utilisateurs peuvent soit sélectionner Spotify Free, qui inclut uniquement la lecture aléatoire, soit Spotify Premium, qui comprend une gamme de fonctionnalités, telles que la lecture aléatoire, la publicité gratuite, les sauts illimités, l'écoute hors ligne, la lecture de n'importe quelle piste et audio. La Société opère à travers un certain nombre de filiales, dont Spotify LTD et est présente dans plus de 20 pays. Son service offre une expérience d'écoute musicale sans pauses publicitaires.</v>
    <v>EUR</v>
    <v>7691</v>
    <v>XFRA</v>
    <v>521.6</v>
    <v>623.4</v>
    <v>Software &amp; IT Services</v>
    <v>833</v>
    <v>-3.3502000000000004E-2</v>
    <v>-17.25</v>
    <v>SPOTIFY TECHNOLOGY S.A.</v>
    <v>SPOTIFY TECHNOLOGY S.A.</v>
    <v>521.6</v>
    <v>97.92</v>
    <v>497.65</v>
    <v>42-44, avenue de la Gare, LUXEMBOURG, 1610 LU</v>
    <v>Bourse</v>
    <v>SPOTIFY TECHNOLOGY S.A. (XFRA:639)</v>
    <v>38</v>
    <v>2285400</v>
  </rv>
  <rv s="3">
    <v>834</v>
  </rv>
  <rv s="1">
    <v>https://www.bing.com/financeapi/forcetrigger?t=aea4nm&amp;q=XPAR%3aSTM&amp;form=skydnc</v>
    <v>Learn more on Bing</v>
  </rv>
  <rv s="2">
    <v>0</v>
    <v>1</v>
    <v>STMicroelectronics NV (XPAR:STMPA)</v>
    <v>3</v>
    <v>8</v>
    <v>Finance</v>
    <v>7</v>
    <v>fr-FR</v>
    <v>aea4nm</v>
    <v>268435456</v>
    <v>1</v>
    <v>Avec Refinitiv</v>
    <v>XPAR</v>
    <v>911281900</v>
    <v>1987</v>
    <v>19.73</v>
    <v>19.73</v>
    <v>1.2445999999999999</v>
    <v>18645580000</v>
    <v>Euronext Paris</v>
    <v>20.51</v>
    <v>STMPA</v>
    <v>45747.593171296299</v>
    <v>STMicroelectronics N.V. est une société de semi-conducteurs basée aux Pays-Bas.Elle conçoit, développe, fabrique et commercialise une gamme de produits, notamment des composants discrets et standard, ainsi que des circuits intégrés spécifiques à une application (ASIC) pour des applications analogiques, numériques et à signaux mixtes. Les segments de la société comprennent le groupe automobile et discret (ADG), le groupe analogique, MEMS et capteurs (AMS), et le groupe microcontrôleurs et circuits intégrés numériques (MDG). Le segment ADG comprend tous les circuits intégrés (CI) dédiés à l'automobile, ainsi que les produits discrets et les transistors de puissance. Le segment AMS comprend les circuits intégrés analogiques à faible consommation pour tous les marchés, les produits d'alimentation intelligents, les contrôleurs d'écran tactile, les solutions de connectivité à faible consommation pour l'internet des objets (IoT) et les produits de conversion d'énergie, entre autres.Le segment AMS comprend des microcontrôleurs à usage général et sécurisés, et des mémoires mortes programmables effaçables électriquement.</v>
    <v>EUR</v>
    <v>51323</v>
    <v>XPAR</v>
    <v>20.22</v>
    <v>41.82</v>
    <v>Semiconductors &amp; Semiconductor Equipment</v>
    <v>836</v>
    <v>-2.0722000000000001E-2</v>
    <v>-0.42499999999999999</v>
    <v>STMicroelectronics NV</v>
    <v>STMicroelectronics NV</v>
    <v>20.074999999999999</v>
    <v>5.8648999999999996</v>
    <v>20.085000000000001</v>
    <v>Schiphol Boulevard 265, SCHIPHOL, NOORD-HOLLAND, 1118 BH NL</v>
    <v>Bourse</v>
    <v>STMicroelectronics NV (XPAR:STMPA)</v>
    <v>1563030</v>
    <v>3026500</v>
  </rv>
  <rv s="3">
    <v>837</v>
  </rv>
  <rv s="1">
    <v>https://www.bing.com/financeapi/forcetrigger?t=a22k9c&amp;q=XNAS%3aSBUX&amp;form=skydnc</v>
    <v>Learn more on Bing</v>
  </rv>
  <rv s="2">
    <v>0</v>
    <v>1</v>
    <v>STARBUCKS CORPORATION (XNAS:SBUX)</v>
    <v>3</v>
    <v>4</v>
    <v>Finance</v>
    <v>5</v>
    <v>fr-FR</v>
    <v>a22k9c</v>
    <v>268435456</v>
    <v>1</v>
    <v>Avec Refinitiv</v>
    <v>XNAS</v>
    <v>1135900000</v>
    <v>1985</v>
    <v>94.58</v>
    <v>71.55</v>
    <v>0.99939999999999996</v>
    <v>110182300000</v>
    <v>Nasdaq Stock Market</v>
    <v>97.73</v>
    <v>SBUX</v>
    <v>45747.603626168748</v>
    <v>Starbucks Corporations est une entreprise de café qui torréfie, commercialise et vend du café de spécialité dans le monde entier. La Société opère sur 86 marchés et compte environ 38 000 magasins dans le monde entier. Elle compte trois segments : Amérique du Nord, International et Channel Development. Le segment Amérique du Nord comprend les États-Unis et le Canada. Le segment international comprend la Chine, le Japon, l'Asie-Pacifique, l'Europe, le moyen-Orient et l'Afrique, l'Amérique latine et les Caraïbes. Les segments Amérique du Nord et International comprennent à la fois les magasins exploités par la Société et les magasins autorisés. Le segment Channel Development comprend les cafés moulus et en grains torréfiés, les produits en une seule portion de marque Starbucks et Teavana, une variété de boissons prêtes à boire, telles que le Frappuccino et le Starbucks Doubleshot, les produits de restauration et autres produits de marque vendus dans le monde entier en dehors des magasins exploités et agréés par la Société. Une grande partie de son activité Channel Development fonctionne sous un modèle sous licence de la Global Coffee Alliance avec Nestlé.</v>
    <v>USD</v>
    <v>361000</v>
    <v>XNAS</v>
    <v>97.18</v>
    <v>117.46</v>
    <v>Hotels &amp; Entertainment Services</v>
    <v>839</v>
    <v>-7.4700000000000001E-3</v>
    <v>-0.73</v>
    <v>STARBUCKS CORPORATION</v>
    <v>STARBUCKS CORPORATION</v>
    <v>96.62</v>
    <v>30.965</v>
    <v>97</v>
    <v>2401 Utah Ave S, Ms: S-La1, Suite 800, SEATTLE, WA, 98134-1435 US</v>
    <v>Bourse</v>
    <v>STARBUCKS CORPORATION (XNAS:SBUX)</v>
    <v>2348269</v>
    <v>9960297</v>
  </rv>
  <rv s="3">
    <v>840</v>
  </rv>
  <rv s="1">
    <v>https://www.bing.com/financeapi/forcetrigger?t=a1snf2&amp;q=XNYS%3aSTLA&amp;form=skydnc</v>
    <v>Learn more on Bing</v>
  </rv>
  <rv s="2">
    <v>0</v>
    <v>1</v>
    <v>Stellantis NV (XNYS:STLA)</v>
    <v>3</v>
    <v>61</v>
    <v>Finance</v>
    <v>5</v>
    <v>fr-FR</v>
    <v>a1snf2</v>
    <v>268435456</v>
    <v>1</v>
    <v>Avec Refinitiv</v>
    <v>XNYS</v>
    <v>2896073000</v>
    <v>2014</v>
    <v>11.02</v>
    <v>11.02</v>
    <v>1.3818999999999999</v>
    <v>30356640000</v>
    <v>New York Stock Exchange</v>
    <v>11.33</v>
    <v>STLA</v>
    <v>45747.603654964842</v>
    <v>Stellantis N.V., anciennement Fiat Chrysler Automobiles N.V., est une société holding basée aux Pays-Bas et opère en tant que constructeur automobile et fournisseur de mobilité. La Société est engagée dans la conception, l'ingénierie, la fabrication, la distribution et la vente de véhicules, de composants et de systèmes de production. La Société a des opérations industrielles dans plus de 30 pays et vend ses véhicules directement ou par l'intermédiaire de distributeurs et concessionnaires dans plus de 130 pays. La Société conçoit, fabrique, distribue et vend des véhicules grand public sous les marques Abarth, Alfa Romeo, Chrysler, Dodge, Fiat, Fiat Professional, Jeep, Lancia et Ram. De plus, la Société conçoit, fabrique, distribue et vend des véhicules de luxe sous la marque Maserati. Le portefeuille de marques de la Société comprend également Peugeot, Citroën, DS Automobiles, Opel et Vauxhall. Il offre une grande variété de choix de véhicules, des véhicules de tourisme de luxe et grand public aux camionnettes, en passant par les véhicules utilitaires sport (SUV).</v>
    <v>USD</v>
    <v>248243</v>
    <v>XNYS</v>
    <v>11.14</v>
    <v>28.49</v>
    <v>Automobiles &amp; Auto Parts</v>
    <v>842</v>
    <v>-2.4272000000000002E-2</v>
    <v>-0.27500000000000002</v>
    <v>Stellantis NV</v>
    <v>Stellantis NV</v>
    <v>11.08</v>
    <v>6.0209000000000001</v>
    <v>11.055</v>
    <v>Taurusavenue 1, HOOFDDORP, NOORD-HOLLAND, 2132 LS NL</v>
    <v>Bourse</v>
    <v>Stellantis NV (XNYS:STLA)</v>
    <v>6060566</v>
    <v>20046271</v>
  </rv>
  <rv s="3">
    <v>843</v>
  </rv>
  <rv s="1">
    <v>https://www.bing.com/financeapi/forcetrigger?t=a2xqa2&amp;q=OTCM%3aSZEVF&amp;form=skydnc</v>
    <v>Learn more on Bing</v>
  </rv>
  <rv s="8">
    <v>19</v>
    <v>20</v>
    <v>Suez SA (OTCM:SZEVF)</v>
    <v>3</v>
    <v>62</v>
    <v>Finance</v>
    <v>7</v>
    <v>fr-FR</v>
    <v>a2xqa2</v>
    <v>268435456</v>
    <v>1</v>
    <v>1</v>
    <v>Avec Refinitiv</v>
    <v>OTCM</v>
    <v>639702800</v>
    <v>2000</v>
    <v>21.74</v>
    <v>21.3</v>
    <v>0.60550000000000004</v>
    <v>12715240000</v>
    <v>OTC Markets</v>
    <v>21.74</v>
    <v>SZEVF</v>
    <v>44588.814148321093</v>
    <v>Suez SA, formerly Suez Environnement Company SA is a France-based holding engaged predominantly in the area of environmental services, transforming waste into resources. It provides services in the areas of water and waste, including drinking water and wastewater treatment services and engineering, waste collection and recovery. It operates on three business lines: Water Europe; Waste Europe, and International (The United States of America, Australia, Africa). The International business line covers activities of Degremont, a subsidiary engaged in construction of drinking water and desalination plants, inside and outside Western Europe. Within the Water Europe business line, the Company plans and constructs water treatment facilities, as well as distributes water and provides wastewater treatments activities. Waste business line collects and manages, recovers materials and disassemblies end-of-life vehicles, aircraft and boats, among others. It operates through Odle, Inc.</v>
    <v>USD</v>
    <v>89100</v>
    <v>OTCM</v>
    <v>21.74</v>
    <v>25.39</v>
    <v>Professional &amp; Commercial Services</v>
    <v>845</v>
    <v>0</v>
    <v>0</v>
    <v>Suez SA</v>
    <v>Suez SA</v>
    <v>21.74</v>
    <v>20.375800000000002</v>
    <v>21.74</v>
    <v>Tour CB 21 16 Place de l'Iris, Paris-la-Defense, PARIS, ILE-DE-FRANCE, 92040 FR</v>
    <v>Bourse</v>
    <v>Suez SA (OTCM:SZEVF)</v>
    <v>4</v>
  </rv>
  <rv s="3">
    <v>846</v>
  </rv>
  <rv s="1">
    <v>https://www.bing.com/financeapi/forcetrigger?t=b1lbar&amp;q=XSWX%3aUHR&amp;form=skydnc</v>
    <v>Learn more on Bing</v>
  </rv>
  <rv s="2">
    <v>0</v>
    <v>1</v>
    <v>The Swatch Group AG (XSWX:UHR)</v>
    <v>3</v>
    <v>6</v>
    <v>Finance</v>
    <v>7</v>
    <v>fr-FR</v>
    <v>b1lbar</v>
    <v>268435456</v>
    <v>1</v>
    <v>Avec Refinitiv</v>
    <v>XSWX</v>
    <v>145855500</v>
    <v>1931</v>
    <v>151.19999999999999</v>
    <v>148.85</v>
    <v>0.86350000000000005</v>
    <v>8205603000</v>
    <v>SIX Swiss Exchange</v>
    <v>156.5</v>
    <v>UHR</v>
    <v>45747.593252314815</v>
    <v>The Swatch Group AG est une société de portefeuille basée en Suisse engagée dans l'industrie des vêtements et accessoires. Les activités de la société sont divisées en deux secteurs d'activités principaux : Montres et bijoux et systèmes électroniques. Le segment montres et bijoux comprend la production et la vente de montres, bijoux et mouvements à quartz de marque, notamment les marques Breguet, Harry Winston, Blancpain, Glashuette Original, Jaquet Droz, Léon Hatot, Omega, Longines, Rado, Union Glashuette, Tissot, Balmain, Certina, Hamilton, Calvin Klein watches + jewelry, Swatch et Flik Flak. Le segment des systèmes électroniques comprend la production et la commercialisation de composants électroniques, notamment les batteries et équipements de chronométrage sportif. La Société fournit aussi des produits de ces segments aux horlogers de tierces parties. The Swatch Group SA est représentée dans le monde entier par le biais de ses filiales et distributeurs, notamment Tourbillion and Hour Passion ; elle exploite des usines de production en Suisse à Boncourt, Grenchen et Villeret.</v>
    <v>CHF</v>
    <v>32477</v>
    <v>XSWX</v>
    <v>154.75</v>
    <v>213.8</v>
    <v>Textiles &amp; Apparel</v>
    <v>848</v>
    <v>-2.7157000000000001E-2</v>
    <v>-4.25</v>
    <v>The Swatch Group AG</v>
    <v>The Swatch Group AG</v>
    <v>154.30000000000001</v>
    <v>41.844900000000003</v>
    <v>152.25</v>
    <v>Seevorstadt 6, BIEL, BERN, 2501 CH</v>
    <v>Bourse</v>
    <v>The Swatch Group AG (XSWX:UHR)</v>
    <v>89017</v>
    <v>196890</v>
  </rv>
  <rv s="3">
    <v>849</v>
  </rv>
  <rv s="1">
    <v>https://www.bing.com/financeapi/forcetrigger?t=b1lbgh&amp;q=XSWX%3aSREN&amp;form=skydnc</v>
    <v>Learn more on Bing</v>
  </rv>
  <rv s="2">
    <v>0</v>
    <v>1</v>
    <v>Swiss Re Ltd (XSWX:SREN)</v>
    <v>3</v>
    <v>6</v>
    <v>Finance</v>
    <v>7</v>
    <v>fr-FR</v>
    <v>b1lbgh</v>
    <v>268435456</v>
    <v>1</v>
    <v>Avec Refinitiv</v>
    <v>XSWX</v>
    <v>317497300</v>
    <v>2011</v>
    <v>149.35</v>
    <v>96.72</v>
    <v>0.83840000000000003</v>
    <v>48062120000</v>
    <v>SIX Swiss Exchange</v>
    <v>151.55000000000001</v>
    <v>SREN</v>
    <v>45747.593206018515</v>
    <v>Swiss Re AG est un fournisseur suisse de réassurance, d’assurance et d’autres formes de transfert de risques. La Société opère dans quatre segments : Property&amp;Casualty Reinsurance, Life&amp;Health Reinsurance, Corporate Solutions et Life Capital. Sa Réassurance fournit des primes et des revenus de frais par l’intermédiaire des segments Property&amp;Casualty et Life&amp;Health. Son segment Solutions d’entreprise est au service des moyennes et grandes entreprises, avec des offres de produits allant de l’assurance multirisques traditionnelle aux solutions personnalisées. Son segment Admin Re offre des solutions de gestion des risques et du capital par lesquelles la Société acquiert des livres fermés des activités d’assurance vie et d’assurance maladie en vigueur, des secteurs d’activité entiers ou l’ensemble du capital-actions des sociétés d’assurance vie. Ses livres d’assurance vie ouverts et fermés, y compris Admin Re, sont gérés sous une unité appelée Life Capital.</v>
    <v>CHF</v>
    <v>15360</v>
    <v>XSWX</v>
    <v>151.15</v>
    <v>153.65</v>
    <v>Insurance</v>
    <v>851</v>
    <v>-8.908000000000001E-3</v>
    <v>-1.35</v>
    <v>Swiss Re Ltd</v>
    <v>Swiss Re Ltd</v>
    <v>150.6</v>
    <v>15.511799999999999</v>
    <v>150.19999999999999</v>
    <v>Mythenquai 50/60, ZUERICH, ZUERICH, 8022 CH</v>
    <v>Bourse</v>
    <v>Swiss Re Ltd (XSWX:SREN)</v>
    <v>435268</v>
    <v>984820</v>
  </rv>
  <rv s="3">
    <v>852</v>
  </rv>
  <rv s="1">
    <v>https://www.bing.com/financeapi/forcetrigger?t=b1lbxm&amp;q=XSWX%3aSCMN&amp;form=skydnc</v>
    <v>Learn more on Bing</v>
  </rv>
  <rv s="2">
    <v>0</v>
    <v>1</v>
    <v>Swisscom Ltd. (XSWX:SCMN)</v>
    <v>3</v>
    <v>6</v>
    <v>Finance</v>
    <v>7</v>
    <v>fr-FR</v>
    <v>b1lbxm</v>
    <v>268435456</v>
    <v>1</v>
    <v>Avec Refinitiv</v>
    <v>XSWX</v>
    <v>51801940</v>
    <v>1998</v>
    <v>508.5</v>
    <v>486.8</v>
    <v>0.44579999999999997</v>
    <v>26574400000</v>
    <v>SIX Swiss Exchange</v>
    <v>513</v>
    <v>SCMN</v>
    <v>45747.593124999999</v>
    <v>Swisscom Ltd. fournit des services de télécommunication en Suisse et en Italie. Les secteurs de la Société incluent Swisscom Switzerland, Fastweb, Other Operating Segments, Group Headquarters, qui comprennent les divisions de la Société, telles que Group Business Steering, Group Strategy &amp; Board Services, Group Communications &amp; Responsibility, et Group Human Resources, ainsi que la société d'embauche Worklink AG. Son segment Swisscom Switzerland couvre les clients résidentiels, les petites et moyennes entreprises, les clients corporatifs, les technologies de l'information et les clients en gros ainsi que réseau et innovation. Son segment de Fastweb fournit des services large bande en Italie. Le portefeuille de produits Fastweb comprend des services vocaux, de données, de large bande et de télévision ainsi que la vidéo sur demande pour les clients résidentiels et corporatifs. Ses autres secteurs opérationnels comprennent Swisscom Health, Connected Living et un portefeuille de petites et moyennes entreprises dont les activités sont liées à ou aient aux affaires de Swisscom.</v>
    <v>CHF</v>
    <v>19887</v>
    <v>XSWX</v>
    <v>516.5</v>
    <v>571</v>
    <v>Telecommunications Services</v>
    <v>854</v>
    <v>-6.8230000000000001E-3</v>
    <v>-3.5</v>
    <v>Swisscom Ltd.</v>
    <v>Swisscom Ltd.</v>
    <v>513</v>
    <v>17.2379</v>
    <v>509.5</v>
    <v>Alte Tiefenaustrasse 6, BERN, BERN, 3050 CH</v>
    <v>Bourse</v>
    <v>Swisscom Ltd. (XSWX:SCMN)</v>
    <v>75109</v>
    <v>122770</v>
  </rv>
  <rv s="3">
    <v>855</v>
  </rv>
  <rv s="1">
    <v>https://www.bing.com/financeapi/forcetrigger?t=aflj5r&amp;q=XFRA%3aSY1&amp;form=skydnc</v>
    <v>Learn more on Bing</v>
  </rv>
  <rv s="2">
    <v>0</v>
    <v>1</v>
    <v>Symrise AG (XFRA:SY1)</v>
    <v>3</v>
    <v>8</v>
    <v>Finance</v>
    <v>7</v>
    <v>fr-FR</v>
    <v>aflj5r</v>
    <v>268435456</v>
    <v>1</v>
    <v>Avec Refinitiv</v>
    <v>XFRA</v>
    <v>139772000</v>
    <v>2006</v>
    <v>93.72</v>
    <v>61</v>
    <v>0.51429999999999998</v>
    <v>13255980000</v>
    <v>Deutsche Boerse AG</v>
    <v>95.02</v>
    <v>SY1</v>
    <v>45747.592361111114</v>
    <v>Symrise AG est une société basée en Allemagne. La Société est engagée en tant que fournisseur de parfums, arômes, ingrédients actifs cosmétiques et matières premières, ingrédients fonctionnels et solutions de produits pour la production alimentaire à base de matériaux de base naturels. La Société opère sur deux segments : le segment goût, Nutrition et santé et le segment parfum et soins. Le segment Taste, Nutrition &amp; Health comprend les divisions Food &amp; Beverage et Pet Food ainsi que les deux petites unités Aqua Feed et Probi. Elle utilise la recherche scientifique pour offrir à ses clients et partenaires des solutions durables et basées sur des ingrédients naturels dans les domaines du goût, de la nutrition et de la santé. La Société développe des solutions actives spécifiques pour les bienfaits souhaités pour la santé. Le segment Scent &amp; Care comprend les divisions Fragrance, Cosmetic Ingredients et Aroma Molecules. La division parfums combine des matières premières aromatiques comme les produits chimiques aromatiques et les huiles essentielles pour fabriquer des parfums complexes (huiles de parfum).</v>
    <v>EUR</v>
    <v>12718</v>
    <v>XFRA</v>
    <v>94.3</v>
    <v>132.44999999999999</v>
    <v>Chemicals</v>
    <v>857</v>
    <v>-7.5770000000000004E-3</v>
    <v>-0.72</v>
    <v>Symrise AG</v>
    <v>Symrise AG</v>
    <v>94.18</v>
    <v>26.78</v>
    <v>94.3</v>
    <v>Muehlenfeldstrasse 1, HOLZMINDEN, NIEDERSACHSEN, 37603 DE</v>
    <v>Bourse</v>
    <v>Symrise AG (XFRA:SY1)</v>
    <v>221</v>
    <v>485440</v>
  </rv>
  <rv s="3">
    <v>858</v>
  </rv>
  <rv s="1">
    <v>https://www.bing.com/financeapi/forcetrigger?t=aea7ww&amp;q=XPAR%3aTKTT&amp;form=skydnc</v>
    <v>Learn more on Bing</v>
  </rv>
  <rv s="2">
    <v>0</v>
    <v>1</v>
    <v>TARKETT SA (XPAR:TKTT)</v>
    <v>3</v>
    <v>8</v>
    <v>Finance</v>
    <v>7</v>
    <v>fr-FR</v>
    <v>aea7ww</v>
    <v>268435456</v>
    <v>1</v>
    <v>Avec Refinitiv</v>
    <v>XPAR</v>
    <v>65550280</v>
    <v>1989</v>
    <v>17.100000000000001</v>
    <v>8.32</v>
    <v>1.0046999999999999</v>
    <v>1127465000</v>
    <v>Euronext Paris</v>
    <v>17.2</v>
    <v>TKTT</v>
    <v>45747.589861111112</v>
    <v>Tarkett SA (Tarkett) est un fournisseur de revêtements de sol et de surfaces de sport en France. La Société se concentre sur le développement, la fabrication et la commercialisation de revêtements de sol et de surface pour les entreprises et les particuliers. Tarkett SA est spécialisée dans la fourniture de revêtements de sol intégrés, de solutions murales et de surfaces sportives. Son portefeuille de produits comprend des revêtements de sol tels que parquets, stratifiés, moquettes, revêtements de sol en vinyle, revêtements de sol en polychlorure de vinyle conducteur et sols antidérapants PVS, utilisés principalement dans les hôpitaux, écoles, immeubles d'appartements, magasins, hôtels et bureaux. En outre, il fournit des installations d'installations sportives. La société est active sur le marché national et international. L'actionnaire principal de la Société est Société Investissement Deconinck. Il fonctionne également à travers Grassman.</v>
    <v>EUR</v>
    <v>11635</v>
    <v>XPAR</v>
    <v>17.2</v>
    <v>17.25</v>
    <v>Homebuilding &amp; Construction Supplies</v>
    <v>860</v>
    <v>0</v>
    <v>0</v>
    <v>TARKETT SA</v>
    <v>TARKETT SA</v>
    <v>17.149999999999999</v>
    <v>0</v>
    <v>17.2</v>
    <v>1, Terrasse Bellini, Tour Initiale, Paris La Defense, PARIS, ILE-DE-FRANCE, 92919 FR</v>
    <v>Bourse</v>
    <v>TARKETT SA (XPAR:TKTT)</v>
    <v>5960</v>
    <v>23330</v>
  </rv>
  <rv s="3">
    <v>861</v>
  </rv>
  <rv s="1">
    <v>https://www.bing.com/financeapi/forcetrigger?t=bxo83m&amp;q=XPAR%3aTE&amp;form=skydnc</v>
    <v>Learn more on Bing</v>
  </rv>
  <rv s="2">
    <v>0</v>
    <v>1</v>
    <v>Technip Energies NV (XPAR:TE)</v>
    <v>3</v>
    <v>8</v>
    <v>Finance</v>
    <v>7</v>
    <v>fr-FR</v>
    <v>bxo83m</v>
    <v>268435456</v>
    <v>1</v>
    <v>Avec Refinitiv</v>
    <v>XPAR</v>
    <v>181583900</v>
    <v>2019</v>
    <v>29.6</v>
    <v>19.350000000000001</v>
    <v>0.9516</v>
    <v>5534677000</v>
    <v>Euronext Paris</v>
    <v>30.48</v>
    <v>TE</v>
    <v>45747.593159722222</v>
    <v>Technip Energies NV est une société basée en France. La Société est spécialisée dans la fourniture de projets, technologies, produits et services sur les infrastructures énergétiques onshore et offshore (GNL, aval, chimie durable, hydrogène, gestion du CO2 et infrastructures marines). Son expertise comprend une gamme complète de services de conception et de développement de projets, de l'engagement précoce à la livraison. Il combine les capacités E&amp;C avec son expertise technologique pour développer de nouvelles solutions qui accompagneront la transition énergétique mondiale et est un pionnier du GNL, carburant critique de la transition. En outre, il propose une gamme de solutions de conception, de construction et industrielles qui deviendront de plus en plus importantes à mesure que le monde passera à une économie moins dépendante du carbone.</v>
    <v>EUR</v>
    <v>15105</v>
    <v>XPAR</v>
    <v>30.24</v>
    <v>31.92</v>
    <v>Oil &amp; Gas Related Equipment and Services</v>
    <v>863</v>
    <v>-1.2466999999999999E-2</v>
    <v>-0.38</v>
    <v>Technip Energies NV</v>
    <v>Technip Energies NV</v>
    <v>30.16</v>
    <v>13.379099999999999</v>
    <v>30.1</v>
    <v>2126 boulevard de la Defense, Nanterre CEDEX, NANTERRE, ILE-DE-FRANCE, 92741 FR</v>
    <v>Bourse</v>
    <v>Technip Energies NV (XPAR:TE)</v>
    <v>153557</v>
    <v>347380</v>
  </rv>
  <rv s="3">
    <v>864</v>
  </rv>
  <rv s="1">
    <v>https://www.bing.com/financeapi/forcetrigger?t=aaqajc&amp;q=XBRU%3aTNET&amp;form=skydnc</v>
    <v>Learn more on Bing</v>
  </rv>
  <rv s="10">
    <v>0</v>
    <v>29</v>
    <v>Telenet Group Holding NV (XBRU:TNET)</v>
    <v>3</v>
    <v>8</v>
    <v>Finance</v>
    <v>7</v>
    <v>fr-FR</v>
    <v>aaqajc</v>
    <v>268435456</v>
    <v>1</v>
    <v>1</v>
    <v>Avec Refinitiv</v>
    <v>XBRU</v>
    <v>112015100</v>
    <v>2002</v>
    <v>21.12</v>
    <v>12.56</v>
    <v>0.60499999999999998</v>
    <v>2374721000</v>
    <v>Euronext Brussels</v>
    <v>21.2</v>
    <v>TNET</v>
    <v>45212.666666666664</v>
    <v>Telenet Group Holding NV is a Belgium-based provider of media and communication services to the public and private sectors. It is focused on television (TV), Internet and telephony. The Company’s product portfolio comprises cabled TV channel broadcasting, Internet access services, landline telephony, mobile telephony, business services, such as voice and data transmission through fiber-optic cable, coaxial cable, and wireless infrastructures intended primarily for public, health, and education facilities, and voice, data, and Internet service suppliers, among others. In addition, the Company provides its products and services to various corporations, government organizations, healthcare and educational institutions, as well as small and medium-sized enterprises. It operates Lycamobile as its mobile network, as well as Coditel Brabant Bvba And Coditel Sarl.</v>
    <v>EUR</v>
    <v>3283</v>
    <v>XBRU</v>
    <v>21.28</v>
    <v>21.34</v>
    <v>Telecommunications Services</v>
    <v>866</v>
    <v>0</v>
    <v>0</v>
    <v>Telenet Group Holding NV</v>
    <v>Telenet Group Holding NV</v>
    <v>21.16</v>
    <v>11.8264</v>
    <v>21.28</v>
    <v>Liersesteenweg 4, MALINES (MECHELEN), ANTWERPEN, 2800 BE</v>
    <v>Bourse</v>
    <v>Telenet Group Holding NV (XBRU:TNET)</v>
    <v>7166</v>
    <v>26540</v>
  </rv>
  <rv s="3">
    <v>867</v>
  </rv>
  <rv s="1">
    <v>https://www.bing.com/financeapi/forcetrigger?t=azrbr7&amp;q=XPAR%3aTEP&amp;form=skydnc</v>
    <v>Learn more on Bing</v>
  </rv>
  <rv s="2">
    <v>0</v>
    <v>1</v>
    <v>TELEPERFORMANCE SE (XPAR:TEP)</v>
    <v>3</v>
    <v>8</v>
    <v>Finance</v>
    <v>7</v>
    <v>fr-FR</v>
    <v>azrbr7</v>
    <v>268435456</v>
    <v>1</v>
    <v>Avec Refinitiv</v>
    <v>XPAR</v>
    <v>59874360</v>
    <v>1974</v>
    <v>90.92</v>
    <v>79.319999999999993</v>
    <v>0.73270000000000002</v>
    <v>5765901000</v>
    <v>Euronext Paris</v>
    <v>96.3</v>
    <v>TEP</v>
    <v>45747.593206018515</v>
    <v>Teleperformance se, anciennement Teleperformance sa, est un fournisseur de télémarketing et de téléservices basé en France. La Société fournit des services externalisés et des conseils d'affaires dédiés à la gestion de la relation client. Elle est spécialisée dans l'externalisation de centres de contact dédiés à la gestion de la relation client. La Société offre des services de gestion de l'expérience client, des services d'information client, de l'assistance technique, de l'acquisition de clients, des services de back-office. Elle offre des services intégrés de gestion des processus d'affaires et de transformation numérique ainsi que des services de conseil à forte valeur ajoutée. La Société fournit des services spécialisés, l'interprétation en ligne, la gestion des demandes de visa et le recouvrement de créances.</v>
    <v>EUR</v>
    <v>446052</v>
    <v>XPAR</v>
    <v>94.64</v>
    <v>120.9</v>
    <v>Professional &amp; Commercial Services</v>
    <v>869</v>
    <v>-4.6106000000000001E-2</v>
    <v>-4.4400000000000004</v>
    <v>TELEPERFORMANCE SE</v>
    <v>TELEPERFORMANCE SE</v>
    <v>94.64</v>
    <v>10.998200000000001</v>
    <v>91.86</v>
    <v>21, rue Balzac, PARIS, ILE-DE-FRANCE, 75008 FR</v>
    <v>Bourse</v>
    <v>TELEPERFORMANCE SE (XPAR:TEP)</v>
    <v>127261</v>
    <v>268560</v>
  </rv>
  <rv s="3">
    <v>870</v>
  </rv>
  <rv s="1">
    <v>https://www.bing.com/financeapi/forcetrigger?t=ah5lh7&amp;q=XHKG%3a700&amp;form=skydnc</v>
    <v>Learn more on Bing</v>
  </rv>
  <rv s="19">
    <v>63</v>
    <v>64</v>
    <v>Tencent Holdings Limited (XHKG:700)</v>
    <v>3</v>
    <v>65</v>
    <v>Finance</v>
    <v>66</v>
    <v>fr-FR</v>
    <v>ah5lh7</v>
    <v>268435456</v>
    <v>1</v>
    <v>Avec Refinitiv</v>
    <v>XHKG</v>
    <v>9201403000</v>
    <v>2004</v>
    <v>494.6</v>
    <v>297.8</v>
    <v>1.3435999999999999</v>
    <v>4688115000000</v>
    <v>Hong Kong Stock Exchange</v>
    <v>0</v>
    <v>0</v>
    <v>509.5</v>
    <v>700</v>
    <v>45747.339216851564</v>
    <v>Tencent Holdings Ltd est une société holding d'investissement principalement spécialisée dans la fourniture de services à valeur ajoutée (vas), de services de publicité en ligne, ainsi que de FinTech et de services aux entreprises. La Société opère principalement dans quatre secteurs. Le segment vas est principalement actif dans la fourniture de jeux en ligne, de services de diffusion en direct de comptes vidéo, de services d'abonnement vidéo payants et d'autres services de réseaux sociaux. Le segment de la publicité en ligne est principalement engagé dans la publicité dans les médias, les réseaux sociaux et d'autres entreprises de publicité. Le segment FinTech and Business services fournit principalement des services de paiement commercial, FinTech et Cloud. Le secteur autres secteurs est principalement engagé dans l'investissement, la production et la distribution de films et d'émissions de télévision pour des tiers, la concession de licences de droits d'auteur, la vente de marchandises et diverses autres activités.</v>
    <v>HKD</v>
    <v>110558</v>
    <v>XHKG</v>
    <v>507.5</v>
    <v>547</v>
    <v>Software &amp; IT Services</v>
    <v>872</v>
    <v>-2.4533999999999997E-2</v>
    <v>-12.5</v>
    <v>Tencent Holdings Limited</v>
    <v>Tencent Holdings Limited</v>
    <v>505</v>
    <v>22.29</v>
    <v>497</v>
    <v>497</v>
    <v>Tencent Binhai Towers, No. 33 Haitian 2nd Road, Nanshan District, SHENZHEN, GUANGDONG, 518054 CN</v>
    <v>Bourse</v>
    <v>Tencent Holdings Limited (XHKG:700)</v>
    <v>28036973</v>
    <v>28528970</v>
  </rv>
  <rv s="3">
    <v>873</v>
  </rv>
  <rv s="1">
    <v>https://www.bing.com/financeapi/forcetrigger?t=a24kar&amp;q=XNAS%3aTSLA&amp;form=skydnc</v>
    <v>Learn more on Bing</v>
  </rv>
  <rv s="2">
    <v>0</v>
    <v>1</v>
    <v>TESLA, INC. (XNAS:TSLA)</v>
    <v>3</v>
    <v>4</v>
    <v>Finance</v>
    <v>5</v>
    <v>fr-FR</v>
    <v>a24kar</v>
    <v>268435456</v>
    <v>1</v>
    <v>Avec Refinitiv</v>
    <v>XNAS</v>
    <v>3189196000</v>
    <v>2003</v>
    <v>243.36009999999999</v>
    <v>138.80250000000001</v>
    <v>2.2985000000000002</v>
    <v>790700291525</v>
    <v>Nasdaq Stock Market</v>
    <v>263.55</v>
    <v>TSLA</v>
    <v>45747.603589178128</v>
    <v>Tesla, Inc. Conçoit, développe, fabrique, vend et loue des véhicules entièrement électriques et des systèmes de production et de stockage d'énergie, et offre des services liés à ses produits. Le secteur automobile de la Société comprend la conception, le développement, la fabrication, la vente et la location de véhicules électriques ainsi que la vente de crédits réglementaires pour l'automobile. De plus, le segment automobile comprend également les services et autres, ce qui comprend les services après-vente de véhicules hors garantie, les ventes de véhicules d'occasion, les marchandises au détail, les ventes par ses filiales acquises à des clients tiers et l'assurance de véhicules. Son segment de production et de stockage d'énergie comprend la conception, la fabrication, l'installation, la vente et la location de produits de production et de stockage d'énergie solaire, ainsi que les services connexes et la vente d'incitations pour les systèmes d'énergie solaire. Ses produits automobiles comprennent le modèle 3, le modèle y, le modèle S et le modèle X. Powerwall et Megapack sont ses produits de stockage d'énergie de batterie lithium-ion.</v>
    <v>USD</v>
    <v>140473</v>
    <v>XNAS</v>
    <v>252.08</v>
    <v>488.53989999999999</v>
    <v>Automobiles &amp; Auto Parts</v>
    <v>875</v>
    <v>-6.7255000000000009E-2</v>
    <v>-17.725000000000001</v>
    <v>TESLA, INC.</v>
    <v>TESLA, INC.</v>
    <v>249.5</v>
    <v>119.727</v>
    <v>245.82499999999999</v>
    <v>1 Tesla Road, AUSTIN, TX, 78725 US</v>
    <v>Bourse</v>
    <v>TESLA, INC. (XNAS:TSLA)</v>
    <v>41253496</v>
    <v>124616713</v>
  </rv>
  <rv s="3">
    <v>876</v>
  </rv>
  <rv s="1">
    <v>https://www.bing.com/financeapi/forcetrigger?t=aea7fr&amp;q=XPAR%3aTFI&amp;form=skydnc</v>
    <v>Learn more on Bing</v>
  </rv>
  <rv s="2">
    <v>0</v>
    <v>1</v>
    <v>TELEVISION FRANCAISE 1 S.A. (XPAR:TFI)</v>
    <v>3</v>
    <v>8</v>
    <v>Finance</v>
    <v>7</v>
    <v>fr-FR</v>
    <v>aea7fr</v>
    <v>268435456</v>
    <v>1</v>
    <v>Avec Refinitiv</v>
    <v>XPAR</v>
    <v>211021500</v>
    <v>1982</v>
    <v>8.86</v>
    <v>6.89</v>
    <v>0.96079999999999999</v>
    <v>1896028000</v>
    <v>Euronext Paris</v>
    <v>8.9849999999999994</v>
    <v>TFI</v>
    <v>45747.592476851853</v>
    <v>Television française 1 sa, également connue sous le nom de TF1, est une société française principalement active dans les services de radiodiffusion télévisuelle et de communication. La Société est un secteur audiovisuel français, actif dans l'édition, la production et la diffusion de contenus. Il fournit aux médias une offre de contenu et des revenus publicitaires linéaires et numériques, dont 5 chaînes gratuites (TF1, TMC, TFX, TF1 Sries films et LCI), 4 chaînes thématiques (Ushuaia TV, histoire TV, TV Breizh et Srie Club), 3 plateformes de contenu à la demande (MYTF1, TFOU MAX et Salto) et la maison de vente de temps d'antenne de PUB TF1. Elle propose une production audiovisuelle (Newen Studios) : production de contenus selon une stratégie multi-genre différenciante (téléfilms, quotidiens, fiction, distribution, animation, documentaires, etc.).</v>
    <v>EUR</v>
    <v>3115</v>
    <v>XPAR</v>
    <v>8.9450000000000003</v>
    <v>9.17</v>
    <v>Media &amp; Publishing</v>
    <v>878</v>
    <v>-6.1209999999999997E-3</v>
    <v>-5.5E-2</v>
    <v>TELEVISION FRANCAISE 1 S.A.</v>
    <v>TELEVISION FRANCAISE 1 S.A.</v>
    <v>8.93</v>
    <v>9.3215000000000003</v>
    <v>8.93</v>
    <v>1 quai du Point du Jour, BOULOGNE-BILLANCOURT, ILE-DE-FRANCE, 92100 FR</v>
    <v>Bourse</v>
    <v>TELEVISION FRANCAISE 1 S.A. (XPAR:TFI)</v>
    <v>86289</v>
    <v>210080</v>
  </rv>
  <rv s="3">
    <v>879</v>
  </rv>
  <rv s="1">
    <v>https://www.bing.com/financeapi/forcetrigger?t=ae8w52&amp;q=XPAR%3aHO&amp;form=skydnc</v>
    <v>Learn more on Bing</v>
  </rv>
  <rv s="2">
    <v>0</v>
    <v>1</v>
    <v>THALES SA (XPAR:HO)</v>
    <v>3</v>
    <v>8</v>
    <v>Finance</v>
    <v>7</v>
    <v>fr-FR</v>
    <v>ae8w52</v>
    <v>268435456</v>
    <v>1</v>
    <v>Avec Refinitiv</v>
    <v>XPAR</v>
    <v>205941900</v>
    <v>1949</v>
    <v>242.5</v>
    <v>134.19999999999999</v>
    <v>0.79079999999999995</v>
    <v>50785280000</v>
    <v>Euronext Paris</v>
    <v>246.6</v>
    <v>HO</v>
    <v>45747.593148148146</v>
    <v>Thales sa est une société technologique basée en France. Elle propose une large gamme de solutions réparties en trois segments : aérospatiale, transport, défense et sécurité. La Société aérospatiale fournit des équipements électroniques embarqués conçus pour assurer la sécurité et la fiabilité des vols. Elle propose des solutions d'amplification de puissance et de radiologie (sous-systèmes d'imagerie et hyperfréquence) pour les industries aéronautique, spatiale, de défense et pour le secteur médical. La Société fournit des solutions de signalisation ferroviaire, de télécommunications, de supervision et de billetterie. Sa défense et sécurité propose des produits de radiocommunications, des systèmes de réseaux et d'infrastructures, des systèmes de protection, des systèmes d'information critiques et de cybersécurité. Il fournit des services d'entretien d'équipement et d'aéronefs, soutient les missions pilotes et optimise les opérations.</v>
    <v>EUR</v>
    <v>83206</v>
    <v>XPAR</v>
    <v>247.4</v>
    <v>264.39999999999998</v>
    <v>Aerospace &amp; Defense</v>
    <v>881</v>
    <v>-4.4609999999999997E-3</v>
    <v>-1.1000000000000001</v>
    <v>THALES SA</v>
    <v>THALES SA</v>
    <v>242.7</v>
    <v>35.673499999999997</v>
    <v>245.5</v>
    <v>4 rue de la Verrerie, MEUDON, ILE-DE-FRANCE, 92190 FR</v>
    <v>Bourse</v>
    <v>THALES SA (XPAR:HO)</v>
    <v>146094</v>
    <v>491070</v>
  </rv>
  <rv s="3">
    <v>882</v>
  </rv>
  <rv s="1">
    <v>https://www.bing.com/financeapi/forcetrigger?t=a1wljc&amp;q=XNYS%3aKO&amp;form=skydnc</v>
    <v>Learn more on Bing</v>
  </rv>
  <rv s="2">
    <v>0</v>
    <v>1</v>
    <v>THE COCA-COLA COMPANY (XNYS:KO)</v>
    <v>3</v>
    <v>4</v>
    <v>Finance</v>
    <v>5</v>
    <v>fr-FR</v>
    <v>a1wljc</v>
    <v>268435456</v>
    <v>1</v>
    <v>Avec Refinitiv</v>
    <v>XNYS</v>
    <v>4303567000</v>
    <v>1919</v>
    <v>70.489999999999995</v>
    <v>57.93</v>
    <v>0.46189999999999998</v>
    <v>308630307405</v>
    <v>New York Stock Exchange</v>
    <v>70.37</v>
    <v>KO</v>
    <v>45747.60362430547</v>
    <v>The Coca-Cola Company est une entreprise de boissons. Les secteurs de la Société comprennent l'Europe, le moyen-Orient et l'Afrique, l'Amérique latine, l'Amérique du Nord, l'Asie-Pacifique, Global Ventures et Bottling Investments. Elle possède ou concède des licences et commercialise diverses marques de boissons, regroupées en catégories, telles que la marque de commerce Coca-Cola ; les arômes pétillants ; l'eau, les sports, le café et le thé; jus, produits laitiers à valeur ajoutée et boissons végétales et boissons émergentes. Elle possède et commercialise diverses marques de boissons gazeuses sans alcool, notamment Coca-Cola, Coca-Cola Light/Coca-Cola Light, Coca-Cola Zero Sugar, Fanta, Fresca, Schweppes, Sprite et Thums Up. Ses marques d'eau, de sport, de café et de thé incluent Aquarius, Ayataka, BODYARMOR, ciel, Costa, Dasani, dogadan, FUZE TEA, Géorgie, eau intelligente glacée, glaceau vitaminwater, Gold Peak, Ice Dew, I LOHAS, Powerade et Topo Chico. Ses marques de jus, de produits laitiers à valeur ajoutée et de boissons végétales incluent Ades, Del Valle, fairlife, Innocent, minute Maid, minute Maid pulpeuse et simplement.</v>
    <v>USD</v>
    <v>69700</v>
    <v>XNYS</v>
    <v>71.81</v>
    <v>73.53</v>
    <v>Beverages</v>
    <v>884</v>
    <v>1.9113000000000002E-2</v>
    <v>1.345</v>
    <v>THE COCA-COLA COMPANY</v>
    <v>THE COCA-COLA COMPANY</v>
    <v>70.73</v>
    <v>28.595199999999998</v>
    <v>71.715000000000003</v>
    <v>1 Coca Cola Plz NW, ATLANTA, GA, 30313-2420 US</v>
    <v>Bourse</v>
    <v>THE COCA-COLA COMPANY (XNYS:KO)</v>
    <v>4319610</v>
    <v>19812422</v>
  </rv>
  <rv s="3">
    <v>885</v>
  </rv>
  <rv s="1">
    <v>https://www.bing.com/financeapi/forcetrigger?t=a1uj52&amp;q=XNYS%3aHD&amp;form=skydnc</v>
    <v>Learn more on Bing</v>
  </rv>
  <rv s="2">
    <v>0</v>
    <v>1</v>
    <v>THE HOME DEPOT, INC. (XNYS:HD)</v>
    <v>3</v>
    <v>4</v>
    <v>Finance</v>
    <v>5</v>
    <v>fr-FR</v>
    <v>a1uj52</v>
    <v>268435456</v>
    <v>1</v>
    <v>Avec Refinitiv</v>
    <v>XNYS</v>
    <v>994032200</v>
    <v>1978</v>
    <v>352.65</v>
    <v>323.77</v>
    <v>1.0999000000000001</v>
    <v>359526536257</v>
    <v>New York Stock Exchange</v>
    <v>358.15</v>
    <v>HD</v>
    <v>45747.603608575781</v>
    <v>Home Depot, Inc. est un détaillant de rénovation domiciliaire. La Société offre un large assortiment de matériaux de construction, de produits d'amélioration de la maison, de produits de pelouse et de jardin, de produits de décoration et de produits d'entretien, de réparation et d'exploitation des installations. Elle fournit également divers services, y compris des services d'installation de rénovation domiciliaire et la location d'outils et d'équipement. La Société exploite environ 2 335 magasins situés aux États-Unis, y compris le Commonwealth de Porto Rico et les territoires des Îles Vierges américaines, de Guam, du Canada et du Mexique. Les magasins Home Depot ont en moyenne environ 104 000 pieds carrés d'espace clos, avec environ 24 000 pieds carrés supplémentaires de jardin extérieur. Elle gère également un réseau de centres de distribution et de traitement des commandes, ainsi que divers sites Web de commerce électronique aux États-Unis, au Canada et au Mexique. La Société dessert deux groupes de clients principaux : les clients bricoleurs (bricolage) et les clients professionnels (pros).</v>
    <v>USD</v>
    <v>470100</v>
    <v>XNYS</v>
    <v>362.39499999999998</v>
    <v>439.37</v>
    <v>Specialty Retailers</v>
    <v>887</v>
    <v>9.8700000000000003E-3</v>
    <v>3.5350000000000001</v>
    <v>THE HOME DEPOT, INC.</v>
    <v>THE HOME DEPOT, INC.</v>
    <v>353.495</v>
    <v>24.0181</v>
    <v>361.685</v>
    <v>2455 Paces Ferry Road, ATLANTA, GA, 30339 US</v>
    <v>Bourse</v>
    <v>THE HOME DEPOT, INC. (XNYS:HD)</v>
    <v>755097</v>
    <v>4151534</v>
  </rv>
  <rv s="3">
    <v>888</v>
  </rv>
  <rv s="1">
    <v>https://www.bing.com/financeapi/forcetrigger?t=a1zsjc&amp;q=XNYS%3aPG&amp;form=skydnc</v>
    <v>Learn more on Bing</v>
  </rv>
  <rv s="2">
    <v>0</v>
    <v>1</v>
    <v>THE PROCTER &amp; GAMBLE COMPANY (XNYS:PG)</v>
    <v>3</v>
    <v>4</v>
    <v>Finance</v>
    <v>5</v>
    <v>fr-FR</v>
    <v>a1zsjc</v>
    <v>268435456</v>
    <v>1</v>
    <v>Avec Refinitiv</v>
    <v>XNYS</v>
    <v>2344852000</v>
    <v>1905</v>
    <v>168.10149999999999</v>
    <v>153.52000000000001</v>
    <v>0.4254</v>
    <v>397991729960</v>
    <v>New York Stock Exchange</v>
    <v>168.03</v>
    <v>PG</v>
    <v>45747.603580832816</v>
    <v>Procter &amp; Gamble Company se concentre sur la fourniture de produits de consommation emballés de marque aux consommateurs du monde entier. Les segments de la société comprennent la beauté, le toilettage, les soins de santé, les tissus et les soins à domicile et les soins pour bébés, femmes et familles. Les produits de la Société sont vendus dans environ 180 pays et territoires, principalement par le biais de grandes surfaces, du commerce électronique, y compris les canaux de commerce social, les épiceries, les magasins de clubs membres, les pharmacies, les grands magasins, distributeurs, grossistes, magasins de beauté spécialisés, y compris les magasins hors taxes d'aéroport), magasins à haute fréquence, pharmacies, magasins d'électronique et canaux professionnels. Elle vend également directement aux consommateurs individuels. Elle opère dans environ 70 pays. Il offre des produits sous des marques, telles que Head &amp; Shoulders, Herbal Essences, Pantene, Rejoice, Olay, Old Spice, SafeGuard, Secret, SK-II, Braun, Gillette, Vénus, Crest, Oral-B, Ariel, Downy, gain, Tide, toujours, toujours discret, Tampax et d'autres.</v>
    <v>USD</v>
    <v>108000</v>
    <v>XNYS</v>
    <v>170.27</v>
    <v>180.43</v>
    <v>Personal &amp; Household Products &amp; Services</v>
    <v>890</v>
    <v>1.0117000000000001E-2</v>
    <v>1.7</v>
    <v>THE PROCTER &amp; GAMBLE COMPANY</v>
    <v>THE PROCTER &amp; GAMBLE COMPANY</v>
    <v>168.37</v>
    <v>26.763300000000001</v>
    <v>169.73</v>
    <v>One Procter &amp; Gamble Plaza, CINCINNATI, OH, 45202 US</v>
    <v>Bourse</v>
    <v>THE PROCTER &amp; GAMBLE COMPANY (XNYS:PG)</v>
    <v>1448056</v>
    <v>8322790</v>
  </rv>
  <rv s="3">
    <v>891</v>
  </rv>
  <rv s="1">
    <v>https://www.bing.com/financeapi/forcetrigger?t=a24j8m&amp;q=XNYS%3aTRV&amp;form=skydnc</v>
    <v>Learn more on Bing</v>
  </rv>
  <rv s="2">
    <v>0</v>
    <v>1</v>
    <v>The Travelers Companies, Inc. (XNYS:TRV)</v>
    <v>3</v>
    <v>4</v>
    <v>Finance</v>
    <v>5</v>
    <v>fr-FR</v>
    <v>a24j8m</v>
    <v>268435456</v>
    <v>1</v>
    <v>Avec Refinitiv</v>
    <v>XNYS</v>
    <v>226726600</v>
    <v>1853</v>
    <v>260.92</v>
    <v>200.21</v>
    <v>0.49709999999999999</v>
    <v>59978254764</v>
    <v>New York Stock Exchange</v>
    <v>261.79000000000002</v>
    <v>TRV</v>
    <v>45747.603582696094</v>
    <v>Travelers Companies, Inc. est un fournisseur d'assurance de dommages pour l'automobile, la maison et les affaires. Les segments de la société comprennent l'assurance des entreprises, l'assurance des obligations et des assurances spécialisées et l'assurance des particuliers. Le secteur de l'assurance des entreprises offre une vaste gamme de produits et de services d'assurance de biens et de risques divers. Le secteur assurance obligations et assurances spécialisées offre des garanties de cautionnement, de fidélité, de responsabilité civile de la direction, de responsabilité civile professionnelle et d'autres garanties de biens et de risques divers ainsi que des services de gestion des risques connexes, principalement aux États-Unis, et certains produits d'assurance de cautionnement et d'assurances spécialisées au Canada, au Royaume-Uni et en République d'Irlande, ainsi qu'au Brésil. Le secteur de l'assurance des particuliers offre une vaste gamme de produits et de services d'assurance de biens et de risques divers couvrant les risques personnels des particuliers, principalement aux États-Unis et au Canada. La Société, par l'intermédiaire de sa filiale, Corvus Insurance Holdings, Inc., est un souscripteur général de gestion de cyberassurance.</v>
    <v>USD</v>
    <v>34000</v>
    <v>XNYS</v>
    <v>265.22000000000003</v>
    <v>269.55500000000001</v>
    <v>Insurance</v>
    <v>893</v>
    <v>1.0505E-2</v>
    <v>2.75</v>
    <v>The Travelers Companies, Inc.</v>
    <v>The Travelers Companies, Inc.</v>
    <v>260.92</v>
    <v>12.19</v>
    <v>264.54000000000002</v>
    <v>385 WASHINGTON ST, SAINT PAUL, MN, 55102 US</v>
    <v>Bourse</v>
    <v>The Travelers Companies, Inc. (XNYS:TRV)</v>
    <v>170801</v>
    <v>1453993</v>
  </rv>
  <rv s="3">
    <v>894</v>
  </rv>
  <rv s="1">
    <v>http://en.wikipedia.org/wiki/The_Walt_Disney_Company</v>
    <v>Wikipedia</v>
  </rv>
  <rv s="5">
    <v>23</v>
    <v>896</v>
  </rv>
  <rv s="6">
    <v>17</v>
    <v>https://www.bing.com/th?id=AMMS_0aa288ba528f6f45e3de87d97e250136&amp;qlt=95</v>
    <v>897</v>
    <v>0</v>
    <v>https://www.bing.com/images/search?form=xlimg&amp;q=the+walt+disney+company</v>
    <v>Image of THE WALT DISNEY COMPANY</v>
  </rv>
  <rv s="1">
    <v>https://www.bing.com/financeapi/forcetrigger?t=a1r2z2&amp;q=XNYS%3aDIS&amp;form=skydnc</v>
    <v>Learn more on Bing</v>
  </rv>
  <rv s="7">
    <v>12</v>
    <v>13</v>
    <v>THE WALT DISNEY COMPANY (XNYS:DIS)</v>
    <v>15</v>
    <v>16</v>
    <v>Finance</v>
    <v>5</v>
    <v>fr-FR</v>
    <v>a1r2z2</v>
    <v>268435456</v>
    <v>1</v>
    <v>Avec Refinitiv</v>
    <v>XNYS</v>
    <v>1807789000</v>
    <v>2018</v>
    <v>95.7</v>
    <v>83.91</v>
    <v>1.4419</v>
    <v>174352210105</v>
    <v>New York Stock Exchange</v>
    <v>98.07</v>
    <v>DIS</v>
    <v>45747.603615277345</v>
    <v>The Walt Disney Company est une société de divertissement diversifiée dans le monde entier. Les segments de la société comprennent le divertissement, le sport et les expériences. Le segment divertissement englobe généralement les activités mondiales de production et de distribution de contenu vidéo en streaming non axé sur le sport, la télévision et le cinéma en direct au consommateur (DTC) de la Société. Son secteur d'activité comprend les réseaux linéaires, les ventes directes aux consommateurs et les ventes/licences de contenu. Le segment Sports englobe généralement les activités de production et de distribution de contenu vidéo en streaming DTC et télévisuel axé sur le sport de la Société. Son secteur d'activité comprend ESPN et Star. Le segment expériences comprend Parcs et expériences et produits de consommation. Parcs et expériences comprend Walt Disney World Resort en Floride, Disneyland Resort en Californie, Disney Cruise Line, Disney Vacation Club et Disneyland Paris, entre autres. Les produits de consommation comprennent la concession de licences pour ses noms commerciaux, personnages, visuels, littéraires et autres adresses IP.</v>
    <v>USD</v>
    <v>233000</v>
    <v>XNYS</v>
    <v>96.97</v>
    <v>123.6902</v>
    <v>898</v>
    <v>Media &amp; Publishing</v>
    <v>899</v>
    <v>-1.6570000000000001E-2</v>
    <v>-1.625</v>
    <v>THE WALT DISNEY COMPANY</v>
    <v>THE WALT DISNEY COMPANY</v>
    <v>96.894999999999996</v>
    <v>31.836500000000001</v>
    <v>96.444999999999993</v>
    <v>500 South Buena Vista Street, BURBANK, CA, 91521-0001 US</v>
    <v>Bourse</v>
    <v>THE WALT DISNEY COMPANY (XNYS:DIS)</v>
    <v>2291052</v>
    <v>9732026</v>
  </rv>
  <rv s="3">
    <v>900</v>
  </rv>
  <rv s="1">
    <v>https://www.bing.com/financeapi/forcetrigger?t=aea7u2&amp;q=XPAR%3aTKO&amp;form=skydnc</v>
    <v>Learn more on Bing</v>
  </rv>
  <rv s="2">
    <v>0</v>
    <v>1</v>
    <v>TIKEHAU CAPITAL SCA (XPAR:TKO)</v>
    <v>3</v>
    <v>8</v>
    <v>Finance</v>
    <v>7</v>
    <v>fr-FR</v>
    <v>aea7u2</v>
    <v>268435456</v>
    <v>1</v>
    <v>Avec Refinitiv</v>
    <v>XPAR</v>
    <v>176393000</v>
    <v>2004</v>
    <v>19.12</v>
    <v>19.12</v>
    <v>0.91220000000000001</v>
    <v>3506693000</v>
    <v>Euronext Paris</v>
    <v>19.88</v>
    <v>TKO</v>
    <v>45747.592777777776</v>
    <v>Tikehau Capital SCA est une société de gestion d'actifs et d'investissement basée en France. La Société investit dans diverses classes d'actifs, y compris la dette privée, qui comprend des opérations de financement par emprunt, telles que la dette senior, l'unité et la mezzanine, ainsi que des obligations de prêt garanties ; l'immobilier, qui se concentre sur l'immobilier commercial et recherche des transactions de vente et de cession-bail dans lesquelles les véhicules de la société agissent en tant qu'acheteur ; Private Equity, qui regroupe les investissements en fonds propres de sociétés cotées et non cotées, et Liquid Strategies, qui regroupe les investissements en obligations, en titres investment grade et la gestion de fonds ouverts et en solutions logicielles avec l'acquisition d'Isotrol. La Société opère soit par des prises de participation directes, soit par l'intermédiaire de sa filiale de gestion d'actifs, Tikehau IM, pour le compte d'investisseurs institutionnels et privés. La Société possède des bureaux à Paris, Londres, Bruxelles, New York et Singapour, entre autres.</v>
    <v>EUR</v>
    <v>747</v>
    <v>XPAR</v>
    <v>19.760000000000002</v>
    <v>25</v>
    <v>Investment Banking &amp; Investment Services</v>
    <v>902</v>
    <v>-3.3198999999999999E-2</v>
    <v>-0.66</v>
    <v>TIKEHAU CAPITAL SCA</v>
    <v>TIKEHAU CAPITAL SCA</v>
    <v>19.739999999999998</v>
    <v>22.389900000000001</v>
    <v>19.22</v>
    <v>32 Rue De Monceau, PARIS, ILE-DE-FRANCE, 75008 FR</v>
    <v>Bourse</v>
    <v>TIKEHAU CAPITAL SCA (XPAR:TKO)</v>
    <v>26524</v>
    <v>48360</v>
  </rv>
  <rv s="3">
    <v>903</v>
  </rv>
  <rv s="1">
    <v>https://www.bing.com/financeapi/forcetrigger?t=ajgphw&amp;q=XMIL%3aTOD&amp;form=skydnc</v>
    <v>Learn more on Bing</v>
  </rv>
  <rv s="20">
    <v>9</v>
    <v>67</v>
    <v>Tod's SpA (XMIL:TOD)</v>
    <v>3</v>
    <v>11</v>
    <v>Finance</v>
    <v>23</v>
    <v>fr-FR</v>
    <v>ajgphw</v>
    <v>268435456</v>
    <v>1</v>
    <v>1</v>
    <v>Avec Refinitiv</v>
    <v>XMIL</v>
    <v>33093540</v>
    <v>42.9</v>
    <v>30</v>
    <v>0.83450000000000002</v>
    <v>1422360000</v>
    <v>Borsa Italiana</v>
    <v>42.98</v>
    <v>TOD</v>
    <v>45447.666666666664</v>
    <v>Tod's spa est une société holding basée en Italie. La Société, par l'intermédiaire de ses filiales, est principalement engagée dans la création, la production et la distribution de chaussures, d'articles et d'accessoires en cuir et de vêtements. La société opère dans le secteur du luxe sous des marques telles que tod'S, ROGER VIVIER, HOGAN et FAY. La Société produit des chaussures et des articles en cuir dans ses usines, avec une sous-traitance partielle vers des ateliers spécialisés. La Société offre ses produits à ses clients par l'intermédiaire d'un réseau de magasins spécialisés. La Société compte sur environ trois canaux : les magasins exploités directement (DOS), les points de vente franchisés, ainsi qu'une série de magasins multibandes indépendants sélectionnés. La marque tod'S propose chaussures et maroquinerie de luxe. La marque ROGER VIVIER propose chaussures, sacs à main, petite maroquinerie, bijoux, ainsi que lunettes de soleil. La marque HOGAN propose des collections de chaussures pour femmes, hommes, enfants, ainsi que de l'artisanat divers articles de maroquinerie. La marque FAY propose une gamme de produits de vêtements décontractés pour hommes et femmes.</v>
    <v>EUR</v>
    <v>5076</v>
    <v>XMIL</v>
    <v>42.98</v>
    <v>45.56</v>
    <v>Textiles &amp; Apparel</v>
    <v>905</v>
    <v>0</v>
    <v>0</v>
    <v>Tod's SpA</v>
    <v>Tod's SpA</v>
    <v>42.9</v>
    <v>28.423999999999999</v>
    <v>42.96</v>
    <v>Via Filippo Della Valle, 1, SANT ELPIDIO A MARE, FERMO, 63811 IT</v>
    <v>Bourse</v>
    <v>Tod's SpA (XMIL:TOD)</v>
    <v>20561</v>
    <v>7860</v>
  </rv>
  <rv s="3">
    <v>906</v>
  </rv>
  <rv s="1">
    <v>https://www.bing.com/financeapi/forcetrigger?t=ae8qf2&amp;q=XPAR%3aTTE&amp;form=skydnc</v>
    <v>Learn more on Bing</v>
  </rv>
  <rv s="2">
    <v>0</v>
    <v>1</v>
    <v>TotalEnergies SE (XPAR:TTE)</v>
    <v>3</v>
    <v>8</v>
    <v>Finance</v>
    <v>7</v>
    <v>fr-FR</v>
    <v>ae8qf2</v>
    <v>268435456</v>
    <v>1</v>
    <v>Avec Refinitiv</v>
    <v>XPAR</v>
    <v>2270057000</v>
    <v>1954</v>
    <v>58.56</v>
    <v>50.8</v>
    <v>0.95209999999999995</v>
    <v>134087800000</v>
    <v>Euronext Paris</v>
    <v>59.21</v>
    <v>TTE</v>
    <v>45747.593252314815</v>
    <v>TotalEnergies SE est une société française dont l’activité principale est celle d’un groupe pétrolier mondial. Ses divisions de segment sont divisées en raffinage et chimie tels que le raffinage des produits pétroliers et la fabrication de produits chimiques de base et de spécialités, la distribution de produits pétroliers, la production d’électricité à partir de centrales à gaz à cycle combiné et les énergies renouvelables, La production, le commerce, le transport et la distribution de gaz comprennent principalement le gaz naturel liquéfié, le gaz naturel, le biogaz, l’hydrogène, le gaz de pétrole liquéfié et les hydrocarbures. Le groupe opère également dans le négoce et le transport maritime du pétrole brut et des produits pétroliers.</v>
    <v>EUR</v>
    <v>102579</v>
    <v>XPAR</v>
    <v>59.54</v>
    <v>70.11</v>
    <v>Oil &amp; Gas</v>
    <v>908</v>
    <v>4.0530000000000002E-3</v>
    <v>0.24</v>
    <v>TotalEnergies SE</v>
    <v>TotalEnergies SE</v>
    <v>58.98</v>
    <v>9.0950000000000006</v>
    <v>59.45</v>
    <v>Tour Coupole - 2, place Jean Millier, Paris La Defense Cedex, PARIS, ILE-DE-FRANCE, 92078 FR</v>
    <v>Bourse</v>
    <v>TotalEnergies SE (XPAR:TTE)</v>
    <v>2124180</v>
    <v>5221610</v>
  </rv>
  <rv s="3">
    <v>909</v>
  </rv>
  <rv s="1">
    <v>https://www.bing.com/financeapi/forcetrigger?t=aea8z2&amp;q=XPAR%3aTRI&amp;form=skydnc</v>
    <v>Learn more on Bing</v>
  </rv>
  <rv s="2">
    <v>0</v>
    <v>1</v>
    <v>TRIGANO SA (XPAR:TRI)</v>
    <v>3</v>
    <v>8</v>
    <v>Finance</v>
    <v>7</v>
    <v>fr-FR</v>
    <v>aea8z2</v>
    <v>268435456</v>
    <v>1</v>
    <v>Avec Refinitiv</v>
    <v>XPAR</v>
    <v>19336270</v>
    <v>1972</v>
    <v>101.3</v>
    <v>95.6</v>
    <v>1.1336999999999999</v>
    <v>2012906000</v>
    <v>Euronext Paris</v>
    <v>104.1</v>
    <v>TRI</v>
    <v>45747.593159722222</v>
    <v>Trigano sa est une société française spécialisée dans la conception, la fabrication et la commercialisation de véhicules et équipements de loisirs. La Société fournit des produits et des services, tels que des véhicules de loisirs et des équipements de loisirs. Il offre des équipements pour les véhicules (8,5% ; réfrigérateurs, appareils de cuisine, terrasses, etc; camping-Profi, Euro Accessoires, Clairval, etc) ainsi que des services de location et de financement. La Société fournit des camping-cars. Il propose des marques, telles que ERKA, Sorel, Trelgo, etc.). La Société fournit du matériel de jardin (balançoires, abris, piscines ; Abak, Amca, Yardmaster) et du matériel de camping (tentes, auvents ; Jamet, Plisson, etc.).</v>
    <v>EUR</v>
    <v>10652</v>
    <v>XPAR</v>
    <v>104.1</v>
    <v>163.80000000000001</v>
    <v>Leisure Products</v>
    <v>911</v>
    <v>-1.1527000000000001E-2</v>
    <v>-1.2</v>
    <v>TRIGANO SA</v>
    <v>TRIGANO SA</v>
    <v>103</v>
    <v>5.3924000000000003</v>
    <v>102.9</v>
    <v>100 rue Petit, PARIS, ILE-DE-FRANCE, 75019 FR</v>
    <v>Bourse</v>
    <v>TRIGANO SA (XPAR:TRI)</v>
    <v>20853</v>
    <v>27430</v>
  </rv>
  <rv s="3">
    <v>912</v>
  </rv>
  <rv s="1">
    <v>https://www.bing.com/financeapi/forcetrigger?t=aea9vh&amp;q=XPAR%3aUBI&amp;form=skydnc</v>
    <v>Learn more on Bing</v>
  </rv>
  <rv s="2">
    <v>0</v>
    <v>1</v>
    <v>UBISOFT ENTERTAINMENT SA (XPAR:UBI)</v>
    <v>3</v>
    <v>8</v>
    <v>Finance</v>
    <v>7</v>
    <v>fr-FR</v>
    <v>aea9vh</v>
    <v>268435456</v>
    <v>1</v>
    <v>Avec Refinitiv</v>
    <v>XPAR</v>
    <v>130796100</v>
    <v>1986</v>
    <v>10.050000000000001</v>
    <v>9.01</v>
    <v>-0.19989999999999999</v>
    <v>1659149000</v>
    <v>Euronext Paris</v>
    <v>12.685</v>
    <v>UBI</v>
    <v>45747.593124999999</v>
    <v>Ubisoft Entertainment SA est une société basée en France active dans l'industrie du jeu vidéo en développant, publiant et distribuant des jeux vidéo pour consoles, PC (ordinateurs personnels), smartphones et tablettes dans des formats physiques et numériques. Il possède plusieurs marques et un portefeuille diversifié de franchises, notamment Assassin's Creed, The Crew, Far Cry, For Honor, Tom Clancy's Ghost Recon, Tom Clancy's Rainbow Six Siege, Tom Clancy's The Division et Watch Dogs. La Société, par l'intermédiaire de ses filiales, est active à l'échelle mondiale.</v>
    <v>EUR</v>
    <v>18666</v>
    <v>XPAR</v>
    <v>12.4</v>
    <v>23.7</v>
    <v>Software &amp; IT Services</v>
    <v>914</v>
    <v>-0.121403</v>
    <v>-1.54</v>
    <v>UBISOFT ENTERTAINMENT SA</v>
    <v>UBISOFT ENTERTAINMENT SA</v>
    <v>12.11</v>
    <v>0</v>
    <v>11.145</v>
    <v>2 Rue du Chene Heleuc, Carentoir Cedex 2, CARENTOIR, BRETAGNE, 56910 FR</v>
    <v>Bourse</v>
    <v>UBISOFT ENTERTAINMENT SA (XPAR:UBI)</v>
    <v>1687263</v>
    <v>1151330</v>
  </rv>
  <rv s="3">
    <v>915</v>
  </rv>
  <rv s="1">
    <v>https://www.bing.com/financeapi/forcetrigger?t=b1lbdm&amp;q=XSWX%3aUBSG&amp;form=skydnc</v>
    <v>Learn more on Bing</v>
  </rv>
  <rv s="2">
    <v>0</v>
    <v>1</v>
    <v>UBS Group Inc. (XSWX:UBSG)</v>
    <v>3</v>
    <v>6</v>
    <v>Finance</v>
    <v>7</v>
    <v>fr-FR</v>
    <v>b1lbdm</v>
    <v>268435456</v>
    <v>1</v>
    <v>Avec Refinitiv</v>
    <v>XSWX</v>
    <v>3462088000</v>
    <v>2014</v>
    <v>26.55</v>
    <v>22.53</v>
    <v>1.1594</v>
    <v>96620970000</v>
    <v>SIX Swiss Exchange</v>
    <v>27.94</v>
    <v>UBSG</v>
    <v>45747.593184803125</v>
    <v>UBS Group AG est une société holding basée en Suisse et exerce ses activités par l'intermédiaire d'UBS AG et de ses filiales. La société opère en tant que gestionnaire de patrimoine avec des capacités de gestion d'actifs et de banque d'investissement ciblées et un modèle d'affaires léger de capital et générant de la trésorerie. La Société comprend quatre divisions : Global Wealth Management, qui fournit des conseils et des solutions sur mesure à ses clients dans le monde entier ; Personal &amp; Corporate Banking division fournit des produits et services financiers complets aux clients privés, corporatifs et institutionnels en Suisse; la division Asset Management offre des capacités et des styles de placement dans toutes les classes d'actifs traditionnelles et alternatives, ainsi qu'un soutien-conseil aux institutions ; Investment Bank fournit des conseils en investissement, des solutions financières et un accès aux marchés des capitaux aux clients institutionnels, aux entreprises et aux gestionnaires de patrimoine.</v>
    <v>CHF</v>
    <v>128983</v>
    <v>XSWX</v>
    <v>27.57</v>
    <v>32.880000000000003</v>
    <v>Investment Banking &amp; Investment Services</v>
    <v>917</v>
    <v>-4.1159999999999995E-2</v>
    <v>-1.1499999999999999</v>
    <v>UBS Group Inc.</v>
    <v>UBS Group Inc.</v>
    <v>27.5</v>
    <v>20.246400000000001</v>
    <v>26.79</v>
    <v>Bahnhofstr. 45, ZUERICH, ZUERICH, 8098 CH</v>
    <v>Bourse</v>
    <v>UBS Group Inc. (XSWX:UBSG)</v>
    <v>5096279</v>
    <v>8522840</v>
  </rv>
  <rv s="3">
    <v>918</v>
  </rv>
  <rv s="1">
    <v>https://www.bing.com/financeapi/forcetrigger?t=aaqap2&amp;q=XBRU%3aUCB&amp;form=skydnc</v>
    <v>Learn more on Bing</v>
  </rv>
  <rv s="2">
    <v>0</v>
    <v>1</v>
    <v>UCB SA (XBRU:UCB)</v>
    <v>3</v>
    <v>8</v>
    <v>Finance</v>
    <v>7</v>
    <v>fr-FR</v>
    <v>aaqap2</v>
    <v>268435456</v>
    <v>1</v>
    <v>Avec Refinitiv</v>
    <v>XBRU</v>
    <v>194505700</v>
    <v>2011</v>
    <v>160.55000000000001</v>
    <v>112.15</v>
    <v>0.74460000000000004</v>
    <v>31967010000</v>
    <v>Euronext Brussels</v>
    <v>164.35</v>
    <v>UCB</v>
    <v>45747.593101851853</v>
    <v>Ucb SA est une société belge pharmaceutique et de produits chimiques spécialisés qui se spécialise dans deux domaines thérapeutiques : les maladies du système nerveux central (SNC) et l'immunologie. Dans le domaine des troubles du système nerveux central, la Société se concentre sur l'épilepsie, la douleur neuropathique diabétique, la sclérose en plaques, la fibromyalgie, le syndrome des jambes sans repos et la maladie de Parkinson et, dans le domaine de l'immunologie, sur les allergies, les troubles de perte osseuse, la maladie de Crohn, la polyarthrite rhumatoïde et les maladies respiratoires. En plus de ses champs principaux d'activités, Ucb SA offre des solutions de molécules à des spécialistes pour une utilisation dans le traitement des maladies graves. Son portefeuille de produits comprend des médicaments comme Neupro, Vimpat, Cimzia, entre autres. Ucb SA a aussi une présence sélective en premiers soins pour soutenir les produits spécialisés qui sont administrés par des médecins traitants.</v>
    <v>EUR</v>
    <v>9378</v>
    <v>XBRU</v>
    <v>164.5</v>
    <v>198.95</v>
    <v>Pharmaceuticals</v>
    <v>920</v>
    <v>-1.3082E-2</v>
    <v>-2.15</v>
    <v>UCB SA</v>
    <v>UCB SA</v>
    <v>163.30000000000001</v>
    <v>29.319400000000002</v>
    <v>162.19999999999999</v>
    <v>Allee de la Recherche, 60, ANDERLECHT, BRUXELLES-CAPITALE, 1070 BE</v>
    <v>Bourse</v>
    <v>UCB SA (XBRU:UCB)</v>
    <v>71392</v>
    <v>307640</v>
  </rv>
  <rv s="3">
    <v>921</v>
  </rv>
  <rv s="1">
    <v>https://www.bing.com/financeapi/forcetrigger?t=aaqarw&amp;q=XBRU%3aUMI&amp;form=skydnc</v>
    <v>Learn more on Bing</v>
  </rv>
  <rv s="4">
    <v>9</v>
    <v>10</v>
    <v>UMICORE SA (XBRU:UMI)</v>
    <v>3</v>
    <v>11</v>
    <v>Finance</v>
    <v>7</v>
    <v>fr-FR</v>
    <v>aaqarw</v>
    <v>268435456</v>
    <v>1</v>
    <v>Avec Refinitiv</v>
    <v>XBRU</v>
    <v>246400000</v>
    <v>9.49</v>
    <v>8.2899999999999991</v>
    <v>0.96230000000000004</v>
    <v>2500960000</v>
    <v>Euronext Brussels</v>
    <v>10.15</v>
    <v>UMI</v>
    <v>45747.59269675926</v>
    <v>Umicore sa est un groupe mondial de technologie des matériaux basé en Belgique. La Société développe des technologies et produit des matériaux pour les cellules solaires utilisées dans les satellites, les batteries rechargeables, les applications LED, les catalyseurs, etc Il recycle et extrait les métaux précieux des ordinateurs portables et des téléphones portables, entre autres. Il réduit les émissions nocives, alimente les véhicules et les technologies du futur et donne une nouvelle vie aux métaux usagés. La société combine des compétences en métallurgie, chimie et science des matériaux avec une compréhension approfondie des besoins, des applications et des systèmes des clients. Il fournit des informations fiables et pertinentes sur les activités en temps utile et de manière régulière, dans les limites du secret commercial.</v>
    <v>EUR</v>
    <v>11581</v>
    <v>XBRU</v>
    <v>9.9949999999999992</v>
    <v>24</v>
    <v>Chemicals</v>
    <v>923</v>
    <v>-5.8127999999999999E-2</v>
    <v>-0.59</v>
    <v>UMICORE SA</v>
    <v>UMICORE SA</v>
    <v>9.99</v>
    <v>0</v>
    <v>9.56</v>
    <v>Broekstraat 31, BRUXELLES, BRUXELLES-CAPITALE, 1000 BE</v>
    <v>Bourse</v>
    <v>UMICORE SA (XBRU:UMI)</v>
    <v>253539</v>
    <v>827050</v>
  </rv>
  <rv s="3">
    <v>924</v>
  </rv>
  <rv s="1">
    <v>https://www.bing.com/financeapi/forcetrigger?t=b16o52&amp;q=XASX%3aURW&amp;form=skydnc</v>
    <v>Learn more on Bing</v>
  </rv>
  <rv s="2">
    <v>0</v>
    <v>1</v>
    <v>UNIBAIL-RODAMCO-WESTFIELD SE (XASX:URW)</v>
    <v>3</v>
    <v>68</v>
    <v>Finance</v>
    <v>69</v>
    <v>fr-FR</v>
    <v>b16o52</v>
    <v>268435456</v>
    <v>1</v>
    <v>Avec Refinitiv</v>
    <v>XASX</v>
    <v>143023600</v>
    <v>1968</v>
    <v>6.64</v>
    <v>5.46</v>
    <v>1.9826999999999999</v>
    <v>11155840000</v>
    <v>Australian Securities Exchange</v>
    <v>6.64</v>
    <v>URW</v>
    <v>45747.333344907405</v>
    <v>Unibail-Rodamco-Westfield SE (URW), anciennement connu sous le nom d'Unibail Rodamco, est un groupe basé en France qui opère dans le secteur de l'immobilier commercial.Le groupe est engagé dans le développement, la construction et la gestion de biens immobiliers en Europe et aux Etats-Unis. Son portefeuille d'actifs est divisé en trois principaux secteurs d'activité : Retail, qui comprend 96 centres commerciaux en France, en Europe centrale, en Espagne, en Autriche, en Allemagne, au Royaume-Uni, aux Pays-Bas, aux États-Unis et autres ; bureaux &amp; autres, où URW développe et possède des immeubles de bureaux et des hôtels situés principalement dans le quartier central des affaires de Paris et à La Défense, il possède également des actifs de bureaux, d'hôtels et résidentiels aux États-Unis ; et Convention and Exhibition segment est situé dans la région parisienne et se compose de sites immobiliers et d'une société de services : Viparis.Viparis est détenue conjointement avec la Chambre de Commerce et d'Industrie de Paris Ile-de-France (CCIR) et exploitée par URW.</v>
    <v>AUD</v>
    <v>2410</v>
    <v>XASX</v>
    <v>6.6950000000000003</v>
    <v>6.94</v>
    <v>Residential &amp; Commercial REIT</v>
    <v>926</v>
    <v>0</v>
    <v>0</v>
    <v>UNIBAIL-RODAMCO-WESTFIELD SE</v>
    <v>UNIBAIL-RODAMCO-WESTFIELD SE</v>
    <v>6.69</v>
    <v>77.738900000000001</v>
    <v>6.64</v>
    <v>7 Place du Chancelier Adenauer, Cs 31622, Paris Cedex 16, PARIS, ILE-DE-FRANCE, 75772 FR</v>
    <v>Bourse</v>
    <v>UNIBAIL-RODAMCO-WESTFIELD SE (XASX:URW)</v>
    <v>268588</v>
    <v>293440</v>
  </rv>
  <rv s="3">
    <v>927</v>
  </rv>
  <rv s="1">
    <v>https://www.bing.com/financeapi/forcetrigger?t=bwxmnm&amp;q=XAMS%3aUNA&amp;form=skydnc</v>
    <v>Learn more on Bing</v>
  </rv>
  <rv s="2">
    <v>0</v>
    <v>1</v>
    <v>UNILEVER PLC (XAMS:UNA)</v>
    <v>3</v>
    <v>24</v>
    <v>Finance</v>
    <v>7</v>
    <v>fr-FR</v>
    <v>bwxmnm</v>
    <v>268435456</v>
    <v>1</v>
    <v>Avec Refinitiv</v>
    <v>XAMS</v>
    <v>2506234000</v>
    <v>1894</v>
    <v>54.66</v>
    <v>43.85</v>
    <v>0.45369999999999999</v>
    <v>115299900000</v>
    <v>Euronext Amsterdam</v>
    <v>54.86</v>
    <v>UNA</v>
    <v>45747.593159722222</v>
    <v>Unilever PLC est une société britannique spécialisée dans les biens de consommation à évolution rapide. La Société opère dans cinq segments : beauté et bien-être, soins personnels, soins à domicile, Nutrition et crème glacée. Le segment beauté &amp; bien-être vend des soins capillaires (shampooing, après-shampooing, coiffant), des soins de la peau (hydratants visage, mains et corps) et comprend les produits beauté Prestige et santé &amp; bien-être. Le segment soins personnels vend des produits nettoyants pour la peau (savon, douche), déodorants et de soins buccaux (dentifrice, brosse à dents, rince-bouche). Le segment soins à domicile vend des produits d'entretien des tissus (poudres et liquides à laver, conditionneurs de rinçage) et une gamme de produits d'entretien. The Nutrition vend des aides à la cuisson à gratter (soupes, bouillons, assaisonnements), des vinaigrettes (mayonnaise, ketchup) et des produits à base de thé. Le segment des crèmes glacées comprend des produits de crème glacée. Il offre K18 est une marque de soins capillaires de biologie. Ses filiales comprennent Unilever de Argentina S.A., Unilever Australia Limited, Unilever Canada Inc et d'autres.</v>
    <v>EUR</v>
    <v>120040</v>
    <v>XAMS</v>
    <v>55.46</v>
    <v>59.66</v>
    <v>Personal &amp; Household Products &amp; Services</v>
    <v>929</v>
    <v>5.8330000000000005E-3</v>
    <v>0.32</v>
    <v>UNILEVER PLC</v>
    <v>UNILEVER PLC</v>
    <v>54.66</v>
    <v>23.831499999999998</v>
    <v>55.18</v>
    <v>Unilever House, Blackfriars, LONDON, EC4P 4BQ GB</v>
    <v>Bourse</v>
    <v>UNILEVER PLC (XAMS:UNA)</v>
    <v>644983</v>
    <v>4885610</v>
  </rv>
  <rv s="3">
    <v>930</v>
  </rv>
  <rv s="1">
    <v>https://www.bing.com/financeapi/forcetrigger?t=a24xlh&amp;q=XNYS%3aUNH&amp;form=skydnc</v>
    <v>Learn more on Bing</v>
  </rv>
  <rv s="2">
    <v>0</v>
    <v>1</v>
    <v>UNITEDHEALTH GROUP INCORPORATED (XNYS:UNH)</v>
    <v>3</v>
    <v>4</v>
    <v>Finance</v>
    <v>5</v>
    <v>fr-FR</v>
    <v>a24xlh</v>
    <v>268435456</v>
    <v>1</v>
    <v>Avec Refinitiv</v>
    <v>XNYS</v>
    <v>914712300</v>
    <v>2015</v>
    <v>518.59</v>
    <v>436.38</v>
    <v>0.62029999999999996</v>
    <v>477379202247</v>
    <v>New York Stock Exchange</v>
    <v>516.04</v>
    <v>UNH</v>
    <v>45747.603603726566</v>
    <v>UnitedHealth Group Incorporated est une société de soins de santé. La Société a deux entreprises, Optum et UnitedHealthcare. Optum dessert le marché des soins de santé, y compris les patients et les consommateurs, les payeurs, les fournisseurs de soins, les employeurs, les gouvernements et les entreprises des sciences de la vie. UnitedHealthcare offre une gamme complète d'avantages pour la santé conçus pour simplifier l'expérience de soins de santé et rendre l'accès aux soins plus abordable pour les consommateurs. UnitedHealthcare employer &amp; Individual sert les consommateurs et les employeurs, allant des entreprises individuelles aux grands employeurs, multi-sites et nationaux et aux employeurs du secteur public. UnitedHealthcare Medicare &amp; Retirement offre des avantages en matière de santé et de bien-être aux personnes âgées et aux autres consommateurs admissibles à Medicare. Les segments de la société comprennent Optum Health, Optum Insight, Optum Rx et UnitedHealthcare. Le segment UnitedHealthcare comprend UnitedHealthcare employeur &amp; Individual, UnitedHealthcare Medicare &amp; Retirement et UnitedHealthcare Community &amp; State.</v>
    <v>USD</v>
    <v>400000</v>
    <v>XNYS</v>
    <v>526</v>
    <v>630.73</v>
    <v>Healthcare Providers &amp; Services</v>
    <v>932</v>
    <v>1.1335999999999999E-2</v>
    <v>5.85</v>
    <v>UNITEDHEALTH GROUP INCORPORATED</v>
    <v>UNITEDHEALTH GROUP INCORPORATED</v>
    <v>518.74</v>
    <v>33.268000000000001</v>
    <v>521.89</v>
    <v>1 HEALTH DRIVE, EDEN PRAIRIE, MN, 55344 US</v>
    <v>Bourse</v>
    <v>UNITEDHEALTH GROUP INCORPORATED (XNYS:UNH)</v>
    <v>868343</v>
    <v>4775424</v>
  </rv>
  <rv s="3">
    <v>933</v>
  </rv>
  <rv s="1">
    <v>https://www.bing.com/financeapi/forcetrigger?t=c3hdmw&amp;q=XAMS%3aUMG&amp;form=skydnc</v>
    <v>Learn more on Bing</v>
  </rv>
  <rv s="2">
    <v>0</v>
    <v>1</v>
    <v>Universal Music Group NV (XAMS:UMG)</v>
    <v>3</v>
    <v>8</v>
    <v>Finance</v>
    <v>7</v>
    <v>fr-FR</v>
    <v>c3hdmw</v>
    <v>268435456</v>
    <v>1</v>
    <v>Avec Refinitiv</v>
    <v>XAMS</v>
    <v>1829919000</v>
    <v>1999</v>
    <v>25.21</v>
    <v>19.93</v>
    <v>1.0852999999999999</v>
    <v>47559610000</v>
    <v>Euronext Amsterdam</v>
    <v>25.99</v>
    <v>UMG</v>
    <v>45747.593101851853</v>
    <v>Universal Music Group NV est une société basée aux Pays-Bas qui est principalement engagée dans le divertissement musical. La Société se concentre sur la découverte et le développement d'artistes et d'auteurs-compositeurs et sur le marketing, la promotion, la distribution, la vente et l'octroi de licences de contenu audio et audiovisuel. Universal Music Group N.V. comprend les sociétés d'édition musicale Universal Music Publishing Group. Son catalogue de musique enregistrée comprend plus de trois millions d'enregistrements et comprend un large éventail d'artistes tels que ABBA, Louis Armstrong, The Beatles, The Beach Boys, The Bee Gees, Ariana Grande, Imagine Dragons, Lady Gaga, James Brown, Bon Jovi, Neil Diamond, Marvin Gaye, Drake, Billie Eilish, Eminem, Selena Gomez Guns N' Roses, Elton John, Bob Marley, Paul McCartney, Nirvana, Luciano Pavarotti, Queen, The Rolling Stones, Frank Sinatra, U2, Amy Winehouse et Stevie Wonde, r entre autres.</v>
    <v>EUR</v>
    <v>10000</v>
    <v>XAMS</v>
    <v>25.85</v>
    <v>29.49</v>
    <v>Media &amp; Publishing</v>
    <v>935</v>
    <v>-2.5009999999999998E-2</v>
    <v>-0.65</v>
    <v>Universal Music Group NV</v>
    <v>Universal Music Group NV</v>
    <v>25.61</v>
    <v>22.798200000000001</v>
    <v>25.34</v>
    <v>S-Gravelandseweg 80, HILVERSUM, NOORD-HOLLAND, 1217 EW NL</v>
    <v>Bourse</v>
    <v>Universal Music Group NV (XAMS:UMG)</v>
    <v>412971</v>
    <v>1987570</v>
  </rv>
  <rv s="3">
    <v>936</v>
  </rv>
  <rv s="1">
    <v>https://www.bing.com/financeapi/forcetrigger?t=ae8qqh&amp;q=XPAR%3aFR&amp;form=skydnc</v>
    <v>Learn more on Bing</v>
  </rv>
  <rv s="2">
    <v>0</v>
    <v>1</v>
    <v>VALEO SE (XPAR:FR)</v>
    <v>3</v>
    <v>8</v>
    <v>Finance</v>
    <v>7</v>
    <v>fr-FR</v>
    <v>ae8qqh</v>
    <v>268435456</v>
    <v>1</v>
    <v>Avec Refinitiv</v>
    <v>XPAR</v>
    <v>244633500</v>
    <v>1955</v>
    <v>8.4600000000000009</v>
    <v>7.38</v>
    <v>1.4690000000000001</v>
    <v>2179195000</v>
    <v>Euronext Paris</v>
    <v>8.9079999999999995</v>
    <v>FR</v>
    <v>45747.593159722222</v>
    <v>Valeo se est un constructeur automobile mondial basé en France. La société est une entreprise technologique qui se concentre sur la conception, la production et la vente de composants, de systèmes intégrés, de modules et de services pour le secteur automobile. Ses segments comprennent les systèmes de confort et d'assistance à la conduite, les systèmes de groupe motopropulseur, les systèmes thermiques et les systèmes de visibilité. Le segment des systèmes de confort et d'aide à la conduite comprend trois groupes de produits, dont l'aide à la conduite, les commandes intérieures et les voitures connectées. Il offre des capteurs intelligents et des fonctionnalités qui améliorent la sécurité du véhicule et un système de conduite automatisé. Le segment des systèmes de groupe motopropulseur comprend quatre groupes de produits, dont les systèmes électriques, les systèmes de transmission, les systèmes de moteurs à combustion et les circuits électroniques. Le segment Thermal Systems comprend cinq groupes de produits, dont le système de climatisation thermique, le groupe motopropulseur thermique, les compresseurs thermiques, le système frontal thermique et le système de bus thermique. Le segment des systèmes de visibilité comprend les systèmes d'éclairage et les systèmes d'essuie-glace.</v>
    <v>EUR</v>
    <v>106100</v>
    <v>XPAR</v>
    <v>8.7639999999999993</v>
    <v>13.5</v>
    <v>Automobiles &amp; Auto Parts</v>
    <v>938</v>
    <v>-3.8616999999999999E-2</v>
    <v>-0.34399999999999997</v>
    <v>VALEO SE</v>
    <v>VALEO SE</v>
    <v>8.7620000000000005</v>
    <v>13.3774</v>
    <v>8.5640000000000001</v>
    <v>100, rue de Courcelles, PARIS, ILE-DE-FRANCE, 75017 FR</v>
    <v>Bourse</v>
    <v>VALEO SE (XPAR:FR)</v>
    <v>562986</v>
    <v>1601440</v>
  </rv>
  <rv s="3">
    <v>939</v>
  </rv>
  <rv s="1">
    <v>https://www.bing.com/financeapi/forcetrigger?t=aeactc&amp;q=XPAR%3aVK&amp;form=skydnc</v>
    <v>Learn more on Bing</v>
  </rv>
  <rv s="2">
    <v>0</v>
    <v>1</v>
    <v>VALLOUREC SA (XPAR:VK)</v>
    <v>3</v>
    <v>8</v>
    <v>Finance</v>
    <v>7</v>
    <v>fr-FR</v>
    <v>aeactc</v>
    <v>268435456</v>
    <v>1</v>
    <v>Avec Refinitiv</v>
    <v>XPAR</v>
    <v>233875000</v>
    <v>1955</v>
    <v>17.11</v>
    <v>12.81</v>
    <v>2.4967999999999999</v>
    <v>4130232000</v>
    <v>Euronext Paris</v>
    <v>17.66</v>
    <v>VK</v>
    <v>45747.593090277776</v>
    <v>Vallourec sa est une société française spécialisée dans la production de tubes en acier non soudés et de produits tubulaires spécialisés pour applications industrielles. La Société opère dans deux segments : les tubes sans soudure et les produits spécialisés. Elle conçoit et développe une gamme complète de produits comprenant des tubes sans soudure et des raccords pour les opérations de forage, les tuyaux de canalisation et les équipements de puits. Pour le marché de la production d'énergie, il propose des tubes qui résistent à des conditions de température et de pression sévères. Ses solutions permettent aux compagnies d'électricité de relever les défis de l'efficacité énergétique et de réduire les émissions de CO2 dans les centrales électriques. Elle propose également une large gamme de tubes pour les installations pétrochimiques (raffineries), pour les applications mécaniques (vérins hydrauliques et machines-outils), pour l'industrie automobile, pour la construction (stades, autres bâtiments et structures complexes) et pour divers autres secteurs industriels.</v>
    <v>EUR</v>
    <v>14220</v>
    <v>XPAR</v>
    <v>17.535</v>
    <v>19.829999999999998</v>
    <v>Oil &amp; Gas Related Equipment and Services</v>
    <v>941</v>
    <v>-1.3873E-2</v>
    <v>-0.245</v>
    <v>VALLOUREC SA</v>
    <v>VALLOUREC SA</v>
    <v>17.484999999999999</v>
    <v>8.9863999999999997</v>
    <v>17.414999999999999</v>
    <v>12 Rue de la Verrerie, MEUDON, ILE-DE-FRANCE, 92190 FR</v>
    <v>Bourse</v>
    <v>VALLOUREC SA (XPAR:VK)</v>
    <v>213234</v>
    <v>550900</v>
  </rv>
  <rv s="3">
    <v>942</v>
  </rv>
  <rv s="1">
    <v>https://www.bing.com/financeapi/forcetrigger?t=aeacw7&amp;q=XPAR%3aVLA&amp;form=skydnc</v>
    <v>Learn more on Bing</v>
  </rv>
  <rv s="9">
    <v>25</v>
    <v>26</v>
    <v>VALNEVA SE (XPAR:VLA)</v>
    <v>3</v>
    <v>27</v>
    <v>Finance</v>
    <v>7</v>
    <v>fr-FR</v>
    <v>aeacw7</v>
    <v>268435456</v>
    <v>1</v>
    <v>Avec Refinitiv</v>
    <v>XPAR</v>
    <v>162521500</v>
    <v>1999</v>
    <v>3.02</v>
    <v>1.73</v>
    <v>1.0576000000000001</v>
    <v>532420500</v>
    <v>Euronext Paris</v>
    <v>3.2759999999999998</v>
    <v>VLA</v>
    <v>45747.59291446719</v>
    <v>Valneva SE est une société basée en France spécialisée dans le développement, la fabrication et la commercialisation de vaccins pour protéger les personnes contre les maladies infectieuses grâce à la médecine préventive. Le portefeuille de la Société comprend deux vaccins commerciaux pour les voyageurs : IXIARO/JESPECT, pour la prévention de l'encéphalite japonaise, et DUKORAL, qui est indiqué pour la prévention du choléra et, dans certains pays, la prévention de la diarrhée causée par l'Escherichia coli entérotoxinogène (ETEC). La Société a également des vaccins en développement, notamment des candidats contre la maladie de Lyme, le COVID-19 et le chikungunya. Son segment technologies et services coopère avec différentes sociétés pharmaceutiques utilisant sa plateforme : lignée cellulaire de production de vaccin EB66 et adjuvant IC31. La Société se concentre sur les programmes de recherche et développement (R&amp;D) et détient des investissements dans des produits candidats et des produits commerciaux.</v>
    <v>EUR</v>
    <v>695</v>
    <v>XPAR</v>
    <v>3.32</v>
    <v>4.3</v>
    <v>Biotechnology &amp; Medical Research</v>
    <v>944</v>
    <v>-5.4945000000000001E-2</v>
    <v>-0.18</v>
    <v>VALNEVA SE</v>
    <v>VALNEVA SE</v>
    <v>3.32</v>
    <v>3.0960000000000001</v>
    <v>6 rue Alain Bombard, SAINT-HERBLAIN, PAYS DE LA LOIRE, 44800 FR</v>
    <v>Bourse</v>
    <v>VALNEVA SE (XPAR:VLA)</v>
    <v>1274468</v>
    <v>1847220</v>
  </rv>
  <rv s="3">
    <v>945</v>
  </rv>
  <rv s="1">
    <v>https://www.bing.com/financeapi/forcetrigger?t=aeacc7&amp;q=XPAR%3aVIE&amp;form=skydnc</v>
    <v>Learn more on Bing</v>
  </rv>
  <rv s="2">
    <v>0</v>
    <v>1</v>
    <v>VEOLIA ENVIRONNEMENT SA (XPAR:VIE)</v>
    <v>3</v>
    <v>8</v>
    <v>Finance</v>
    <v>7</v>
    <v>fr-FR</v>
    <v>aeacc7</v>
    <v>268435456</v>
    <v>1</v>
    <v>Avec Refinitiv</v>
    <v>XPAR</v>
    <v>740652600</v>
    <v>1995</v>
    <v>31.635000000000002</v>
    <v>26.18</v>
    <v>1.0822000000000001</v>
    <v>23811980000</v>
    <v>Euronext Paris</v>
    <v>32.15</v>
    <v>VIE</v>
    <v>45747.593182870369</v>
    <v>Veolia environnement sa est une société française qui fournit des services environnementaux. L'activité de la Société est répartie sous forme de prestation de services liés à l'eau, de prestation de services de gestion des déchets et de prestation de services énergétiques. Il offre la gestion des ressources en eau, la distribution et le transport de l'eau potable, la collecte, le traitement et la récupération des eaux usées, les services d'ingénierie et de conception et la construction d'installations de traitement de l'eau, la gestion de la relation client, etc Elle assure la collecte, le traitement et le recyclage des déchets liquides, solides, ordinaires et dangereux, le traitement et la valorisation des déchets par compostage, la valorisation énergétique des déchets, etc La Société offre des services de propreté urbaine (entretien et nettoyage des espaces publics, prestation de services de nettoyage mécanisé des rues et de traitement des façades), d'entretien et d'entretien des sites industriels, de démantèlement des équipements industriels et de fin de vie.</v>
    <v>EUR</v>
    <v>221202</v>
    <v>XPAR</v>
    <v>32.07</v>
    <v>32.28</v>
    <v>Multiline Utilities</v>
    <v>947</v>
    <v>-1.3063999999999999E-2</v>
    <v>-0.42</v>
    <v>VEOLIA ENVIRONNEMENT SA</v>
    <v>VEOLIA ENVIRONNEMENT SA</v>
    <v>32.04</v>
    <v>20.7288</v>
    <v>31.73</v>
    <v>21 Rue La Boetie, PARIS, ILE-DE-FRANCE, 75008 FR</v>
    <v>Bourse</v>
    <v>VEOLIA ENVIRONNEMENT SA (XPAR:VIE)</v>
    <v>1599778</v>
    <v>2629340</v>
  </rv>
  <rv s="3">
    <v>948</v>
  </rv>
  <rv s="1">
    <v>https://www.bing.com/financeapi/forcetrigger?t=brxvkr&amp;q=XPAR%3aVRLA&amp;form=skydnc</v>
    <v>Learn more on Bing</v>
  </rv>
  <rv s="2">
    <v>0</v>
    <v>1</v>
    <v>VERALLIA SA (XPAR:VRLA)</v>
    <v>3</v>
    <v>8</v>
    <v>Finance</v>
    <v>7</v>
    <v>fr-FR</v>
    <v>brxvkr</v>
    <v>268435456</v>
    <v>1</v>
    <v>Avec Refinitiv</v>
    <v>XPAR</v>
    <v>120805100</v>
    <v>2015</v>
    <v>28.28</v>
    <v>22.26</v>
    <v>1.0900000000000001</v>
    <v>3496100000</v>
    <v>Euronext Paris</v>
    <v>28.94</v>
    <v>VRLA</v>
    <v>45747.593194444446</v>
    <v>Verallia SASU est une société basée en France, qui produit des solutions d'emballage en verre. La Société fabrique un certain nombre de pots et de bouteilles pour différents marchés, notamment les secteurs des vins tranquilles et mousseux, des spiritueux, des produits alimentaires, ainsi que des secteurs de la bière et des boissons non alcoolisées. Outre la France, la Société est également présente dans de nombreux pays d'Europe occidentale, d'Europe orientale et d'Amérique du Sud, entre autres.</v>
    <v>EUR</v>
    <v>10942</v>
    <v>XPAR</v>
    <v>29</v>
    <v>39</v>
    <v>Containers &amp; Packaging</v>
    <v>950</v>
    <v>-6.9110000000000005E-3</v>
    <v>-0.2</v>
    <v>VERALLIA SA</v>
    <v>VERALLIA SA</v>
    <v>28.9</v>
    <v>14.4124</v>
    <v>28.74</v>
    <v>31 Pl Des Corolles, COURBEVOIE, ILE-DE-FRANCE, 92400 FR</v>
    <v>Bourse</v>
    <v>VERALLIA SA (XPAR:VRLA)</v>
    <v>524147</v>
    <v>444640</v>
  </rv>
  <rv s="3">
    <v>951</v>
  </rv>
  <rv s="1">
    <v>https://www.bing.com/financeapi/forcetrigger?t=a25obh&amp;q=XNYS%3aVZ&amp;form=skydnc</v>
    <v>Learn more on Bing</v>
  </rv>
  <rv s="2">
    <v>0</v>
    <v>1</v>
    <v>VERIZON COMMUNICATIONS INC. (XNYS:VZ)</v>
    <v>3</v>
    <v>4</v>
    <v>Finance</v>
    <v>5</v>
    <v>fr-FR</v>
    <v>a25obh</v>
    <v>268435456</v>
    <v>1</v>
    <v>Avec Refinitiv</v>
    <v>XNYS</v>
    <v>4209704000</v>
    <v>1983</v>
    <v>45.27</v>
    <v>37.585000000000001</v>
    <v>0.40389999999999998</v>
    <v>192615006520</v>
    <v>New York Stock Exchange</v>
    <v>44.93</v>
    <v>VZ</v>
    <v>45747.603607441408</v>
    <v>Verizon Communications Inc. est une société holding. La Société, par l'intermédiaire de ses filiales, fournit des produits et services de communication, d'information et de divertissement aux consommateurs, aux entreprises et aux organismes gouvernementaux. Ses segments isolables sont Verizon Consumer Group et Verizon Business Group. Son segment Grand public fournit des services de communications sans fil et filaires. Ses services sans fil sont fournis sur des réseaux sans fil aux États-Unis sous les marques Verizon. Ses services filaires sont fournis dans neuf états du centre de l'Atlantique et du nord-est des États-Unis, ainsi qu'à Washington D.C. sur son réseau de fibres optiques sous la marque Fios et sur un réseau traditionnel en cuivre. Son secteur d'activité fournit des services et des produits de communications sans fil et filaires, y compris des services de données, de vidéo et de conférence, des services de sécurité et de réseau géré, des services vocaux locaux et interurbains et un accès au réseau pour offrir divers services et produits liés à l'Internet des objets.</v>
    <v>USD</v>
    <v>99600</v>
    <v>XNYS</v>
    <v>45.8</v>
    <v>47.354999999999997</v>
    <v>Telecommunications Services</v>
    <v>953</v>
    <v>1.8362E-2</v>
    <v>0.82499999999999996</v>
    <v>VERIZON COMMUNICATIONS INC.</v>
    <v>VERIZON COMMUNICATIONS INC.</v>
    <v>45.31</v>
    <v>10.8399</v>
    <v>45.755000000000003</v>
    <v>1095 Avenue Of The Americas, NEW YORK, NY, 10036 US</v>
    <v>Bourse</v>
    <v>VERIZON COMMUNICATIONS INC. (XNYS:VZ)</v>
    <v>5102196</v>
    <v>27719922</v>
  </rv>
  <rv s="3">
    <v>954</v>
  </rv>
  <rv s="1">
    <v>https://www.bing.com/financeapi/forcetrigger?t=afuhjc&amp;q=XETR%3aVWSB&amp;form=skydnc</v>
    <v>Learn more on Bing</v>
  </rv>
  <rv s="2">
    <v>0</v>
    <v>1</v>
    <v>Vestas Wind Systems A/S (XETR:VWSB)</v>
    <v>3</v>
    <v>70</v>
    <v>Finance</v>
    <v>7</v>
    <v>fr-FR</v>
    <v>afuhjc</v>
    <v>268435456</v>
    <v>1</v>
    <v>Avec Refinitiv</v>
    <v>XETR</v>
    <v>1009867000</v>
    <v>1986</v>
    <v>12.595000000000001</v>
    <v>12.355</v>
    <v>1.1664000000000001</v>
    <v>101075400000</v>
    <v>Xetra</v>
    <v>13.525</v>
    <v>VWSB</v>
    <v>45747.593078703707</v>
    <v>VESTAS WIND SYSTEMS A/S est une société basée au Danemark, active dans l'industrie éolienne. La Société opère deux segments: Projet et Service. Le segment Projet est responsible, entre autres, de la vente d'appareils d'énergie éolienne et d'éoliennes. Le segment Services comprend la prestation de services liés à l'offre de la Société ainsi que la vente de pièces détachées et d'autres activités. La gamme de produits de Vestas Wind System comprend des plates-formes de capture d'énergie de 2 mégawatts (MW) et 3 MW équipées de systèmes de détection de la glace, de la fumée et de l'ombre. Sa gamme de services se compose, entre autres, de services de conseil informatisés, d'optimisation de flotte, de maintenance et d'inspection de la lame, de réparations de générateurs et d'échange de boîtes de vitesses.</v>
    <v>EUR</v>
    <v>35100</v>
    <v>XETR</v>
    <v>13.13</v>
    <v>27.62</v>
    <v>Renewable Energy</v>
    <v>956</v>
    <v>-6.7652000000000004E-2</v>
    <v>-0.91500000000000004</v>
    <v>Vestas Wind Systems A/S</v>
    <v>Vestas Wind Systems A/S</v>
    <v>13.13</v>
    <v>28.94</v>
    <v>12.61</v>
    <v>Hedeager 42, Aarhus N, AARHUS, DENMARK-NA, 8200 DK</v>
    <v>Bourse</v>
    <v>Vestas Wind Systems A/S (XETR:VWSB)</v>
    <v>57855</v>
    <v>3215150</v>
  </rv>
  <rv s="3">
    <v>957</v>
  </rv>
  <rv s="1">
    <v>https://www.bing.com/financeapi/forcetrigger?t=aeac6h&amp;q=XPAR%3aVETO&amp;form=skydnc</v>
    <v>Learn more on Bing</v>
  </rv>
  <rv s="2">
    <v>0</v>
    <v>1</v>
    <v>VETOQUINOL SA (XPAR:VETO)</v>
    <v>3</v>
    <v>8</v>
    <v>Finance</v>
    <v>7</v>
    <v>fr-FR</v>
    <v>aeac6h</v>
    <v>268435456</v>
    <v>1</v>
    <v>Avec Refinitiv</v>
    <v>XPAR</v>
    <v>11881900</v>
    <v>1962</v>
    <v>77.2</v>
    <v>63.6</v>
    <v>0.51959999999999995</v>
    <v>963622300</v>
    <v>Euronext Paris</v>
    <v>81.099999999999994</v>
    <v>VETO</v>
    <v>45747.592974537038</v>
    <v>VETOQUINOL SA est une société basée en France spécialisée dans la recherche, le développement, la fabrication, la commercialisation et la vente de produits et médicaments vétérinaires. Le portefeuille de produits de la Société est divisé entre les animaux, tels que les bovins et porcs et animaux de compagnie, dont les chiens et les chats. L'offre deVetoquinol SA comprend des anti-infectieux, tels que Marbocyl ; inflammatoires antidouleurs, qui comprennent la Tolfedine destinée aux chiens et chats et la Tolfine pour le bétail, et le traitement cardio-vasculaire et néphrologique, tels que Prilium, une formule d'administration quotidienne orale pour chiens, entre autres. La Société commercialise plus de 700 produits, dans des pays comme la France, l'Autriche, le Canada, l'Italie, la Pologne, l'Espagne et les Pays-Bas, entre autres. Elle négocie ses produits dans toute l'Europe, en Amérique du Nord, en Afrique, au Moyen-Orient et en Asie Pacifique. En avril 2014, elle a acquis l'entreprise de santé animale Bioniche.</v>
    <v>EUR</v>
    <v>2519</v>
    <v>XPAR</v>
    <v>81</v>
    <v>106</v>
    <v>Pharmaceuticals</v>
    <v>959</v>
    <v>-3.6991000000000003E-2</v>
    <v>-3</v>
    <v>VETOQUINOL SA</v>
    <v>VETOQUINOL SA</v>
    <v>81</v>
    <v>19.379899999999999</v>
    <v>78.099999999999994</v>
    <v>Sainte-Anne 34 rue du Chene, Bp 189, Lure Cedex, LURE, BOURGOGNE-FRANCHE-COMTE, 70204 FR</v>
    <v>Bourse</v>
    <v>VETOQUINOL SA (XPAR:VETO)</v>
    <v>2777</v>
    <v>14740</v>
  </rv>
  <rv s="3">
    <v>960</v>
  </rv>
  <rv s="1">
    <v>https://www.bing.com/financeapi/forcetrigger?t=aeabzr&amp;q=XPAR%3aVCT&amp;form=skydnc</v>
    <v>Learn more on Bing</v>
  </rv>
  <rv s="4">
    <v>9</v>
    <v>10</v>
    <v>VICAT SA (XPAR:VCT)</v>
    <v>3</v>
    <v>11</v>
    <v>Finance</v>
    <v>7</v>
    <v>fr-FR</v>
    <v>aeabzr</v>
    <v>268435456</v>
    <v>1</v>
    <v>Avec Refinitiv</v>
    <v>XPAR</v>
    <v>44900000</v>
    <v>49.7</v>
    <v>29.35</v>
    <v>1.0024999999999999</v>
    <v>2294390000</v>
    <v>Euronext Paris</v>
    <v>51.1</v>
    <v>VCT</v>
    <v>45747.591296296298</v>
    <v>Vicat sa est une entreprise française qui fabrique du ciment. La Société développe des matériaux de construction (ciment, béton, granulats), des produits et services comme le pompage du béton, les produits en béton préfabriqué, le transport et la logistique, les mortiers prémélangés, l'impression 3D du béton, services d'emballage et de papier, ingénierie et examen de la norme pour les acteurs de la construction. Ses applications incluent les bâtiments, les logements individuels et collectifs, les routes, les travaux publics et le génie civil. Il opère dans six zones et 12 pays.</v>
    <v>EUR</v>
    <v>9990</v>
    <v>XPAR</v>
    <v>50.5</v>
    <v>53.4</v>
    <v>Construction Materials</v>
    <v>962</v>
    <v>-2.2505000000000001E-2</v>
    <v>-1.1499999999999999</v>
    <v>VICAT SA</v>
    <v>VICAT SA</v>
    <v>49.85</v>
    <v>8.3199000000000005</v>
    <v>49.95</v>
    <v>4 Rue Aristide Berges, Les Trois Vallons, ISLE-DABEAU, AUVERGNE-RHONE-ALPES, 38080 FR</v>
    <v>Bourse</v>
    <v>VICAT SA (XPAR:VCT)</v>
    <v>16301</v>
    <v>30990</v>
  </rv>
  <rv s="3">
    <v>963</v>
  </rv>
  <rv s="1">
    <v>https://www.bing.com/financeapi/forcetrigger?t=ae9wec&amp;q=XPAR%3aRIN&amp;form=skydnc</v>
    <v>Learn more on Bing</v>
  </rv>
  <rv s="10">
    <v>0</v>
    <v>29</v>
    <v>Vilmorin &amp; Cie SA (XPAR:RIN)</v>
    <v>3</v>
    <v>8</v>
    <v>Finance</v>
    <v>7</v>
    <v>fr-FR</v>
    <v>ae9wec</v>
    <v>268435456</v>
    <v>1</v>
    <v>1</v>
    <v>Avec Refinitiv</v>
    <v>XPAR</v>
    <v>22917290</v>
    <v>1990</v>
    <v>62.9</v>
    <v>38.950000000000003</v>
    <v>0.498</v>
    <v>1462123000</v>
    <v>Euronext Paris</v>
    <v>63.8</v>
    <v>RIN</v>
    <v>45124.666666666664</v>
    <v>Vilmorin &amp; Cie SA is engaged in the production, marketing and sale of vegetable and crop seeds for agricultural production and market gardeners. The Vegetable seeds division is involved in the production and sale of vegetable seeds under the brand names, such as Hazera-Nickerson, Vilmorin SA, HM.Clause and Mikado Kyowa Seed, among others, intended for the professional food market, including market gardeners, processors, and specialists in canning, specialists in deep-freezing and freeze-drying. The Field Seeds division is focused on field seeds, including corn, straw cereals, grape and sunflower seeds for European and American clients. The Garden Products division is structured around two companies, Vilmorin Jardin and Suttons. In March 15, 2013, it acquired the Bisco Bio Sciences of India. In October 2013, it announced that it has recently taken over Shamrock. In November 2013, it acquired Eureka Seeds Inc. In March 2014, it acquired Seed Asia based in Bangkok.</v>
    <v>EUR</v>
    <v>7254</v>
    <v>XPAR</v>
    <v>63.8</v>
    <v>63.8</v>
    <v>Food &amp; Tobacco</v>
    <v>965</v>
    <v>0</v>
    <v>0</v>
    <v>Vilmorin &amp; Cie SA</v>
    <v>Vilmorin &amp; Cie SA</v>
    <v>63</v>
    <v>11.639799999999999</v>
    <v>63.7</v>
    <v>4 quai de la Megisserie, PARIS, ILE-DE-FRANCE, 75001 FR</v>
    <v>Bourse</v>
    <v>Vilmorin &amp; Cie SA (XPAR:RIN)</v>
    <v>9348</v>
    <v>940</v>
  </rv>
  <rv s="3">
    <v>966</v>
  </rv>
  <rv s="1">
    <v>https://www.bing.com/financeapi/forcetrigger?t=ae8cjc&amp;q=XPAR%3aDG&amp;form=skydnc</v>
    <v>Learn more on Bing</v>
  </rv>
  <rv s="2">
    <v>0</v>
    <v>1</v>
    <v>VINCI SA (XPAR:DG)</v>
    <v>3</v>
    <v>8</v>
    <v>Finance</v>
    <v>7</v>
    <v>fr-FR</v>
    <v>ae8cjc</v>
    <v>268435456</v>
    <v>1</v>
    <v>Avec Refinitiv</v>
    <v>XPAR</v>
    <v>582414400</v>
    <v>1955</v>
    <v>115.95</v>
    <v>96.26</v>
    <v>1.1140000000000001</v>
    <v>69132590000</v>
    <v>Euronext Paris</v>
    <v>118.7</v>
    <v>DG</v>
    <v>45747.593136574076</v>
    <v>Vinci sa est une société française active dans le secteur des concessions et de la construction dans le monde entier. Elle gère quatre secteurs : conception et construction d'infrastructures, conception, exécution et maintenance d'infrastructures énergétiques et télécoms, gestion d'infrastructures sous-traitées et autres. La conception et la construction d'infrastructures (VINCI construction) : principalement dans les domaines du bâtiment, du génie civil et de l'hydraulique. Par ailleurs, le groupe développe une activité dans la construction, la rénovation et la maintenance d'infrastructures de transport (routes, autoroutes et voies ferrées ; Eurovia), la production d'agrégats et l'aménagement urbain ; la conception, l'exécution et la maintenance d'infrastructures énergétiques et télécoms (VINCI Energies et Cobra IS) ; la gestion d'infrastructures sous-traitées (VINCI concessions) : gestion principalement des routes et autoroutes (principalement par les autoroutes du Sud de la France et Cofiroute), des aires de stationnement, des activités aéroportuaires ; autre : principalement développement immobilier.</v>
    <v>EUR</v>
    <v>282481</v>
    <v>XPAR</v>
    <v>118.2</v>
    <v>120.62</v>
    <v>Construction &amp; Engineering</v>
    <v>968</v>
    <v>-1.8533999999999998E-2</v>
    <v>-2.2000000000000002</v>
    <v>VINCI SA</v>
    <v>VINCI SA</v>
    <v>117.9</v>
    <v>13.911199999999999</v>
    <v>116.5</v>
    <v>1973 boulevard de la Defense, NANTERRE, ILE-DE-FRANCE, 92000 FR</v>
    <v>Bourse</v>
    <v>VINCI SA (XPAR:DG)</v>
    <v>416293</v>
    <v>1122030</v>
  </rv>
  <rv s="3">
    <v>969</v>
  </rv>
  <rv s="1">
    <v>https://www.bing.com/financeapi/forcetrigger?t=aeacnm&amp;q=XPAR%3aVIRP&amp;form=skydnc</v>
    <v>Learn more on Bing</v>
  </rv>
  <rv s="2">
    <v>0</v>
    <v>1</v>
    <v>VIRBAC SA (XPAR:VIRP)</v>
    <v>3</v>
    <v>8</v>
    <v>Finance</v>
    <v>7</v>
    <v>fr-FR</v>
    <v>aeacnm</v>
    <v>268435456</v>
    <v>1</v>
    <v>Avec Refinitiv</v>
    <v>XPAR</v>
    <v>8390660</v>
    <v>1984</v>
    <v>294.5</v>
    <v>289.5</v>
    <v>0.72499999999999998</v>
    <v>2529784000</v>
    <v>Euronext Paris</v>
    <v>301.5</v>
    <v>VIRP</v>
    <v>45747.593171296299</v>
    <v>Virbac sa est une société pharmaceutique vétérinaire basée en France, spécialisée dans le développement et la production de vaccins et de médicaments pour les animaux domestiques et le bétail. Ses centres de production sont situés en France, en Australie, aux États-Unis, au Mexique, au Vietnam, Brésil et Afrique du Sud. Ses efforts de développement se concentrent principalement sur la formulation de médicaments destinés à prévenir ou guérir certaines maladies animales. Son portefeuille de produits comprend des médicaments pour animaux de compagnie tels que des médicaments antiparasitaires, des vaccins, des antibiotiques, des anesthésiques, des anti-inflammatoires, les produits de soins buccaux et dentaires, les produits ophtalmologiques et dermatologiques destinés aux chiens, chats, chevaux, oiseaux et rongeurs, ainsi que les médicaments pour le bétail, y compris les médicaments antiparasitaires et les antibiotiques destinés aux bovins, ovins, porcins et volailles. Il propose également des puces alimentaires et électroniques d'identification pour animaux de compagnie.</v>
    <v>EUR</v>
    <v>5620</v>
    <v>XPAR</v>
    <v>301.5</v>
    <v>400</v>
    <v>Pharmaceuticals</v>
    <v>971</v>
    <v>-2.3216999999999998E-2</v>
    <v>-7</v>
    <v>VIRBAC SA</v>
    <v>VIRBAC SA</v>
    <v>300</v>
    <v>17.029399999999999</v>
    <v>294.5</v>
    <v>13e rue LID - BP 27, CARROS, PACA, 06511 FR</v>
    <v>Bourse</v>
    <v>VIRBAC SA (XPAR:VIRP)</v>
    <v>3314</v>
    <v>5590</v>
  </rv>
  <rv s="3">
    <v>972</v>
  </rv>
  <rv s="1">
    <v>https://www.bing.com/financeapi/forcetrigger?t=a256cw&amp;q=XNYS%3aV&amp;form=skydnc</v>
    <v>Learn more on Bing</v>
  </rv>
  <rv s="2">
    <v>0</v>
    <v>1</v>
    <v>VISA INC. (XNYS:V)</v>
    <v>3</v>
    <v>4</v>
    <v>Finance</v>
    <v>5</v>
    <v>fr-FR</v>
    <v>a256cw</v>
    <v>268435456</v>
    <v>1</v>
    <v>Avec Refinitiv</v>
    <v>XNYS</v>
    <v>1953577000</v>
    <v>2007</v>
    <v>334.49</v>
    <v>252.7</v>
    <v>0.95099999999999996</v>
    <v>664138036920</v>
    <v>New York Stock Exchange</v>
    <v>342.85</v>
    <v>V</v>
    <v>45747.603669120312</v>
    <v>Visa Inc. (Visa) est une société mondiale de technologie de paiement. La société fournit des paiements numériques dans plus de 200 pays et territoires. La Société relie les consommateurs, les commerçants, les institutions financières, les entreprises, les partenaires stratégiques et les entités gouvernementales grâce aux technologies. La Société exerce ses activités dans le secteur des services de paiement. La Société fournit des services de traitement des transactions, y compris principalement l'autorisation, la compensation et le règlement à ses clients institutions financières et commerçants par l'intermédiaire de VisaNet, son réseau de traitement des transactions. Ses principales solutions commerciales, y compris les programmes de crédit, de débit, prépayés et d'accès aux espèces pour les particuliers, les entreprises et les titulaires de comptes gouvernementaux. Elle fournit également des services à valeur ajoutée à ses clients, notamment des solutions d'émission, des solutions d'acceptation, des solutions de risque et d'identité, des services bancaires ouverts et des services de conseil. Elle propose également des produits et des solutions qui facilitent les mouvements d'argent pour tous les participants de l'écosystème.</v>
    <v>USD</v>
    <v>31600</v>
    <v>XNYS</v>
    <v>340.46499999999997</v>
    <v>366.54</v>
    <v>Software &amp; IT Services</v>
    <v>974</v>
    <v>-8.428999999999999E-3</v>
    <v>-2.89</v>
    <v>VISA INC.</v>
    <v>VISA INC.</v>
    <v>339.47</v>
    <v>34.519399999999997</v>
    <v>339.96</v>
    <v>P.O. Box 8999, SAN FRANCISCO, CA, 94128-8999 US</v>
    <v>Bourse</v>
    <v>VISA INC. (XNYS:V)</v>
    <v>1695457</v>
    <v>7705111</v>
  </rv>
  <rv s="3">
    <v>975</v>
  </rv>
  <rv s="1">
    <v>https://www.bing.com/financeapi/forcetrigger?t=aeacqh&amp;q=XPAR%3aVIV&amp;form=skydnc</v>
    <v>Learn more on Bing</v>
  </rv>
  <rv s="2">
    <v>0</v>
    <v>1</v>
    <v>VIVENDI SE (XPAR:VIV)</v>
    <v>3</v>
    <v>8</v>
    <v>Finance</v>
    <v>7</v>
    <v>fr-FR</v>
    <v>aeacqh</v>
    <v>268435456</v>
    <v>1</v>
    <v>Avec Refinitiv</v>
    <v>XPAR</v>
    <v>1029918000</v>
    <v>1987</v>
    <v>2.7559999999999998</v>
    <v>1.802</v>
    <v>0.66</v>
    <v>2932177000</v>
    <v>Euronext Paris</v>
    <v>2.847</v>
    <v>VIV</v>
    <v>45747.593055555553</v>
    <v>Vivendi SE est une société française. La société est principalement engagée dans le contenu, les médias et le divertissement, développant un portefeuille d’actifs cotés et non cotés sur son marché. Il est constitué principalement de plusieurs entreprises dans la production de contenu, la communication et les médias. Son portefeuille comprend des participations minoritaires dans des sociétés cotées en bourse : Universal Music Group et Banijay Group pour le contenu et le divertissement, MediaForEurope, Telecom Italia, Telefonica et Prisa pour les médias et les télécommunications. Il soutient les entreprises créatrices de valeur, offrant des perspectives durables et une contribution à l’évolution. Elle propose également l’édition de magazines (Prisma Media) et de jeux vidéo (Gameloft). Elle anticipe les dynamiques globales et participe aux transformations des secteurs dans lesquels le groupe opère.</v>
    <v>EUR</v>
    <v>2700</v>
    <v>XPAR</v>
    <v>2.85</v>
    <v>3.081</v>
    <v>Media &amp; Publishing</v>
    <v>977</v>
    <v>-3.0207000000000001E-2</v>
    <v>-8.5999999999999993E-2</v>
    <v>VIVENDI SE</v>
    <v>VIVENDI SE</v>
    <v>2.843</v>
    <v>0</v>
    <v>2.7610000000000001</v>
    <v>42 Avenue de Friedland, PARIS, ILE-DE-FRANCE, 75380 FR</v>
    <v>Bourse</v>
    <v>VIVENDI SE (XPAR:VIV)</v>
    <v>1330752</v>
    <v>3153030</v>
  </rv>
  <rv s="3">
    <v>978</v>
  </rv>
  <rv s="1">
    <v>https://www.bing.com/financeapi/forcetrigger?t=afnpsm&amp;q=XFRA%3aVOW&amp;form=skydnc</v>
    <v>Learn more on Bing</v>
  </rv>
  <rv s="2">
    <v>0</v>
    <v>1</v>
    <v>Volkswagen AG (XFRA:VOW)</v>
    <v>3</v>
    <v>8</v>
    <v>Finance</v>
    <v>7</v>
    <v>fr-FR</v>
    <v>afnpsm</v>
    <v>268435456</v>
    <v>1</v>
    <v>Avec Refinitiv</v>
    <v>XFRA</v>
    <v>501295300</v>
    <v>1961</v>
    <v>94.75</v>
    <v>81.599999999999994</v>
    <v>1.5603</v>
    <v>49281340000</v>
    <v>Deutsche Boerse AG</v>
    <v>99.75</v>
    <v>VOW</v>
    <v>45747.593055555553</v>
    <v>Volkswagen AG est une entreprise allemande qui fabrique et vend des véhicules. Le Groupe se compose de deux divisions : la Division automobile et la Division services financiers. La division automobile comprend les secteurs d'activité voitures particulières, véhicules utilitaires et ingénierie énergétique. Cette division se concentre sur le développement de véhicules, de moteurs et de logiciels de véhicules, la production et la vente de voitures particulières, de véhicules utilitaires légers, de camions, d'autobus et de motos, ainsi que des entreprises de pièces d'origine, de moteurs diesel à gros alésage, de turbomachines et de composants de propulsion. La Division des services financiers se concentre sur le financement des concessionnaires et des clients, la location, les services bancaires directs et les activités d'assurance, la gestion de flotte et les services de mobilité. Son portefeuille de marques comprend Volkswagen, Audi, SEAT, Skoda, Bentley, Lamborghini, Porsche, Ducati, Volkswagen véhicules utilitaires, Scania, et HOMME.</v>
    <v>EUR</v>
    <v>679472</v>
    <v>XFRA</v>
    <v>99</v>
    <v>365</v>
    <v>Automobiles &amp; Auto Parts</v>
    <v>980</v>
    <v>-3.4585999999999999E-2</v>
    <v>-3.45</v>
    <v>Volkswagen AG</v>
    <v>Volkswagen AG</v>
    <v>99</v>
    <v>4.76</v>
    <v>96.3</v>
    <v>Berliner Ring 2, WOLFSBURG, NIEDERSACHSEN, 38440 DE</v>
    <v>Bourse</v>
    <v>Volkswagen AG (XFRA:VOW)</v>
    <v>762</v>
    <v>61930</v>
  </rv>
  <rv s="3">
    <v>981</v>
  </rv>
  <rv s="1">
    <v>https://www.bing.com/financeapi/forcetrigger?t=aead5r&amp;q=XPAR%3aVLTSA&amp;form=skydnc</v>
    <v>Learn more on Bing</v>
  </rv>
  <rv s="2">
    <v>0</v>
    <v>1</v>
    <v>VOLTALIA SA (XPAR:VLTSA)</v>
    <v>3</v>
    <v>8</v>
    <v>Finance</v>
    <v>7</v>
    <v>fr-FR</v>
    <v>aead5r</v>
    <v>268435456</v>
    <v>1</v>
    <v>Avec Refinitiv</v>
    <v>XPAR</v>
    <v>131318700</v>
    <v>2005</v>
    <v>6.6</v>
    <v>6.3</v>
    <v>0.67549999999999999</v>
    <v>889027700</v>
    <v>Euronext Paris</v>
    <v>6.77</v>
    <v>VLTSA</v>
    <v>45747.592905092592</v>
    <v>VOLTALIA S.A. est une société de portefeuille basée en France, qui est active dans le secteur des services publics renouvelables. Elle conçoit, développe et exploite des centrales électriques dans de nombreux pays, tels que la Guyane française, le Brésil, la Grèce, la France et le Maroc. La Société génère de l'électricité à partir d'une diversité de sources d'énergie renouvelables. Il s'agit du vent, de l'eau, de la biomasse et de l'énergie solaire. En outre, VOLTALIA S.A. se spécialise dans les activités d'échange de crédits carbone. La Société exploite plusieurs filiales, parmi lesquelles Anelia et Bio-Bar en France, Voltalia Guyane, SIG Kourou, SIG Mana and SIG Cacao en Guyane française, Voltalia Energia do Brasil au Brésil, Thegero en Grèce et Alterrya Maroc au Maroc, entre autres. La Société est détenue par Voltalia Investissement SA.</v>
    <v>EUR</v>
    <v>2010</v>
    <v>XPAR</v>
    <v>6.76</v>
    <v>12.1</v>
    <v>Electrical Utilities &amp; IPPs</v>
    <v>983</v>
    <v>-2.0678999999999999E-2</v>
    <v>-0.14000000000000001</v>
    <v>VOLTALIA SA</v>
    <v>VOLTALIA SA</v>
    <v>6.75</v>
    <v>0</v>
    <v>6.63</v>
    <v>84 Boulevard de Sebastopol, PARIS, ILE-DE-FRANCE, 75003 FR</v>
    <v>Bourse</v>
    <v>VOLTALIA SA (XPAR:VLTSA)</v>
    <v>121117</v>
    <v>150710</v>
  </rv>
  <rv s="3">
    <v>984</v>
  </rv>
  <rv s="1">
    <v>https://www.bing.com/financeapi/forcetrigger?t=afnnu2&amp;q=XFRA%3aVNA&amp;form=skydnc</v>
    <v>Learn more on Bing</v>
  </rv>
  <rv s="9">
    <v>25</v>
    <v>26</v>
    <v>Vonovia SE (XFRA:VNA)</v>
    <v>3</v>
    <v>27</v>
    <v>Finance</v>
    <v>7</v>
    <v>fr-FR</v>
    <v>afnnu2</v>
    <v>268435456</v>
    <v>1</v>
    <v>Avec Refinitiv</v>
    <v>XFRA</v>
    <v>822852900</v>
    <v>2001</v>
    <v>24.79</v>
    <v>15.3</v>
    <v>1.0226</v>
    <v>20604240000</v>
    <v>Deutsche Boerse AG</v>
    <v>25.16</v>
    <v>VNA</v>
    <v>45747.592361111114</v>
    <v>Vonovia SE est une société immobilière résidentielle basée en Allemagne. La société opère dans quatre segments : location, valeur ajoutée, développement et ventes récurrentes. Le segment Location regroupe des activités visant à valoriser la gestion des biens. Le segment à valeur ajoutée offre tous les services liés au logement, comme l'entretien et la modernisation, en plus des services liés aux activités de location. Le segment Développement comprend l'élaboration de projets pour la création de nouvelles maisons, de l'achat d'un terrain à l'achèvement du nouveau bâtiment et de la construction neuve sur leurs propres terres, ainsi que l'ajout d'étages supplémentaires aux bâtiments existants. Le segment des ventes récurrentes offre des maisons individuelles ou des maisons unifamiliales sont vendues aux acheteurs privés.</v>
    <v>EUR</v>
    <v>12056</v>
    <v>XFRA</v>
    <v>25.41</v>
    <v>62.68</v>
    <v>Real Estate Operations</v>
    <v>986</v>
    <v>-7.1540000000000006E-3</v>
    <v>-0.18</v>
    <v>Vonovia SE</v>
    <v>Vonovia SE</v>
    <v>25.41</v>
    <v>24.98</v>
    <v>Universitaetsstrasse 133, BOCHUM, NORDRHEIN-WESTFALEN, 44803 DE</v>
    <v>Bourse</v>
    <v>Vonovia SE (XFRA:VNA)</v>
    <v>6442</v>
    <v>4322010</v>
  </rv>
  <rv s="3">
    <v>987</v>
  </rv>
  <rv s="1">
    <v>https://www.bing.com/financeapi/forcetrigger?t=a25ya2&amp;q=XNYS%3aWMT&amp;form=skydnc</v>
    <v>Learn more on Bing</v>
  </rv>
  <rv s="2">
    <v>0</v>
    <v>1</v>
    <v>WALMART INC. (XNYS:WMT)</v>
    <v>3</v>
    <v>4</v>
    <v>Finance</v>
    <v>5</v>
    <v>fr-FR</v>
    <v>a25ya2</v>
    <v>268435456</v>
    <v>1</v>
    <v>Avec Refinitiv</v>
    <v>XNYS</v>
    <v>8016850000</v>
    <v>1969</v>
    <v>84.37</v>
    <v>58.555</v>
    <v>0.70879999999999999</v>
    <v>692670270330</v>
    <v>New York Stock Exchange</v>
    <v>85.15</v>
    <v>WMT</v>
    <v>45747.603668124997</v>
    <v>Walmart Inc. est un détaillant omnicanal doté de technologies. La Société est engagée dans l'exploitation de magasins et clubs de détail et de gros, ainsi que de sites Web de commerce électronique et d'applications mobiles, situés à travers les États-Unis, l'Afrique, le Canada, l'Amérique centrale, le Chili, Chine, Inde et Mexique. Elle opère à travers trois segments : Walmart U.S., Walmart International et Sam's Club. Le segment Walmart États-Unis comprend le concept de marchand de masse de la Société aux États-Unis, ainsi que le commerce électronique, qui comprend des initiatives omnicanales et certaines autres offres commerciales telles que les services publicitaires offerts par Walmart Connect. Elle opère sous les marques Walmart et Walmart Neighborhood Market. Le secteur Walmart International comprend les activités de la Société à l'extérieur des États-Unis, ainsi que les initiatives de commerce électronique et omnicanal. Le segment Sam's Club comprend les clubs d'adhésion d'entrepôt aux États-Unis, ainsi que des initiatives de commerce électronique et omnicanal.</v>
    <v>USD</v>
    <v>2100000</v>
    <v>XNYS</v>
    <v>86.63</v>
    <v>105.3</v>
    <v>Food &amp; Drug Retailing</v>
    <v>989</v>
    <v>1.4700999999999999E-2</v>
    <v>1.2518</v>
    <v>WALMART INC.</v>
    <v>WALMART INC.</v>
    <v>84.76</v>
    <v>35.4041</v>
    <v>86.401799999999994</v>
    <v>702 SW 8th St, BENTONVILLE, AR, 72716-6209 US</v>
    <v>Bourse</v>
    <v>WALMART INC. (XNYS:WMT)</v>
    <v>5397009</v>
    <v>24784286</v>
  </rv>
  <rv s="3">
    <v>990</v>
  </rv>
  <rv s="1">
    <v>https://www.bing.com/financeapi/forcetrigger?t=aaqba2&amp;q=XBRU%3aWDP&amp;form=skydnc</v>
    <v>Learn more on Bing</v>
  </rv>
  <rv s="2">
    <v>0</v>
    <v>1</v>
    <v>WAREHOUSES DE PAUW NV (XBRU:WDP)</v>
    <v>3</v>
    <v>8</v>
    <v>Finance</v>
    <v>7</v>
    <v>fr-FR</v>
    <v>aaqba2</v>
    <v>268435456</v>
    <v>1</v>
    <v>Avec Refinitiv</v>
    <v>XBRU</v>
    <v>225846000</v>
    <v>1977</v>
    <v>21.74</v>
    <v>18.09</v>
    <v>0.72160000000000002</v>
    <v>4977645000</v>
    <v>Euronext Brussels</v>
    <v>22.04</v>
    <v>WDP</v>
    <v>45747.592766203707</v>
    <v>Warehouses de Pauw NV (WDP) est une société belge spécialisée dans la logistique de location d'entrepôts. La Société développe et investit dans des biens logistiques (entrepôts et bureaux). La Société offre aux clients des solutions et des services de plus en plus ciblés et intégrés, notamment par l'intermédiaire de MyWDP, le portail client numérique. Elle opère sur trois plates-formes intégrées, les traitant comme une équipe unifiée : les pays-Bas et l'Allemagne. Le spécialiste de l'immobilier de la Société opère dans des emplacements clés le long d'axes logistiques clés dans six régions européennes. Sa stratégie et s'appuie sur une présence interne et locale pour acquérir, développer et louer un large éventail de propriétés logistiques durables qui s'adaptent aux activités de la chaîne d'approvisionnement de ses clients. La Société développe et loue des propriétés situées le long d'axes logistiques dans six régions européennes. Il construit une coquille durable autour du processus logistique.</v>
    <v>EUR</v>
    <v>98</v>
    <v>XBRU</v>
    <v>22.16</v>
    <v>27.94</v>
    <v>Residential &amp; Commercial REIT</v>
    <v>992</v>
    <v>-3.63E-3</v>
    <v>-0.08</v>
    <v>WAREHOUSES DE PAUW NV</v>
    <v>WAREHOUSES DE PAUW NV</v>
    <v>22.16</v>
    <v>11.244899999999999</v>
    <v>21.96</v>
    <v>Blakenberg 15, WOLVERTEM, VLAAMS-BRABANT, 1861 BE</v>
    <v>Bourse</v>
    <v>WAREHOUSES DE PAUW NV (XBRU:WDP)</v>
    <v>120633</v>
    <v>358800</v>
  </rv>
  <rv s="3">
    <v>993</v>
  </rv>
  <rv s="1">
    <v>https://www.bing.com/financeapi/forcetrigger?t=a25tgh&amp;q=XNYS%3aWFC&amp;form=skydnc</v>
    <v>Learn more on Bing</v>
  </rv>
  <rv s="2">
    <v>0</v>
    <v>1</v>
    <v>WELLS FARGO &amp; COMPANY (XNYS:WFC)</v>
    <v>3</v>
    <v>4</v>
    <v>Finance</v>
    <v>5</v>
    <v>fr-FR</v>
    <v>a25tgh</v>
    <v>268435456</v>
    <v>1</v>
    <v>Avec Refinitiv</v>
    <v>XNYS</v>
    <v>3265159000</v>
    <v>1929</v>
    <v>69.56</v>
    <v>50.15</v>
    <v>1.0182</v>
    <v>229899845190</v>
    <v>New York Stock Exchange</v>
    <v>70.69</v>
    <v>WFC</v>
    <v>45747.60365053203</v>
    <v>Wells Fargo &amp; Company est une société de services financiers. Elle fournit un ensemble diversifié de produits et services bancaires, d'investissement et hypothécaires, ainsi que des services de financement à la consommation et commercial, par l'intermédiaire de bureaux et d'emplacements bancaires, d'Internet (www.wellsfargo.com) et d'autres canaux de distribution aux particuliers, aux entreprises et aux institutions dans les 50 états, dans le district de Columbia et dans des pays autres que les États-Unis. Ses segments comprennent les services bancaires aux consommateurs et prêts, les services bancaires aux entreprises, les services bancaires aux entreprises et d'investissement et la gestion de patrimoine et d'investissement. Le segment gestion de patrimoine et de placements offre des services personnalisés de gestion de patrimoine, de courtage, de planification financière, de prêt, de banque privée, produits et services fiduciaires et fiduciaires aux clients aisés, fortunés et très fortunés. Les produits et services des services bancaires aux entreprises comprennent des produits bancaires et de crédit dans plusieurs secteurs industriels et municipalités, des produits de prêt garanti et de location, ainsi que la gestion de trésorerie.</v>
    <v>USD</v>
    <v>217000</v>
    <v>XNYS</v>
    <v>70.7</v>
    <v>81.5</v>
    <v>Banking Services</v>
    <v>995</v>
    <v>-3.9610000000000001E-3</v>
    <v>-0.28000000000000003</v>
    <v>WELLS FARGO &amp; COMPANY</v>
    <v>WELLS FARGO &amp; COMPANY</v>
    <v>69.83</v>
    <v>13.144</v>
    <v>70.41</v>
    <v>420 Montgomery Street, SAN FRANCISCO, CA, 94104 US</v>
    <v>Bourse</v>
    <v>WELLS FARGO &amp; COMPANY (XNYS:WFC)</v>
    <v>2001717</v>
    <v>17160507</v>
  </rv>
  <rv s="3">
    <v>996</v>
  </rv>
  <rv s="1">
    <v>https://www.bing.com/financeapi/forcetrigger?t=ae97z2&amp;q=XPAR%3aMF&amp;form=skydnc</v>
    <v>Learn more on Bing</v>
  </rv>
  <rv s="2">
    <v>0</v>
    <v>1</v>
    <v>WENDEL SE (XPAR:MF)</v>
    <v>3</v>
    <v>8</v>
    <v>Finance</v>
    <v>7</v>
    <v>fr-FR</v>
    <v>ae97z2</v>
    <v>268435456</v>
    <v>1</v>
    <v>Avec Refinitiv</v>
    <v>XPAR</v>
    <v>44462000</v>
    <v>1986</v>
    <v>88.7</v>
    <v>81.099999999999994</v>
    <v>1.2732000000000001</v>
    <v>4025251000</v>
    <v>Euronext Paris</v>
    <v>90.75</v>
    <v>MF</v>
    <v>45747.593090277776</v>
    <v>Wendel SE est un investisseur de long terme basé en France comme actionnaire majoritaire ou minoritaire dans des sociétés cotées ou non cotées, prenant l'initiative afin d'accélérer la croissance et le développement. L'entreprise participe à la définition et à la mise en œuvre de stratégies ambitieuses et fournit le financement nécessaire. La stratégie d'investissement et de développement du Groupe passe par un dialogue étroit, noué avec les équipes de management des sociétés dont Wendel est actionnaire. Ce partenariat est au cœur du processus de création de valeur. L'entreprise offre un soutien actif et constant, partage la prise de risques et met à contribution son expérience, ainsi que ses compétences financières et techniques. La société a des filiales telles que CSP Technologies, Materis Corporate Services SASU et Maxwell Chase Technologies, entre autres. Avec Future French Champions SAS, elle opère par le biais de SGI Africaine De Bourse SA.</v>
    <v>EUR</v>
    <v>92426</v>
    <v>XPAR</v>
    <v>90.15</v>
    <v>99.65</v>
    <v>Holding Companies</v>
    <v>998</v>
    <v>-1.3223E-2</v>
    <v>-1.2</v>
    <v>WENDEL SE</v>
    <v>WENDEL SE</v>
    <v>89.85</v>
    <v>13.462</v>
    <v>89.55</v>
    <v>4 rue Paul-Cezanne, PARIS, ILE-DE-FRANCE, 75008 FR</v>
    <v>Bourse</v>
    <v>WENDEL SE (XPAR:MF)</v>
    <v>25297</v>
    <v>52050</v>
  </rv>
  <rv s="3">
    <v>999</v>
  </rv>
  <rv s="1">
    <v>https://www.bing.com/financeapi/forcetrigger?t=alotgh&amp;q=XAMS%3aWKL&amp;form=skydnc</v>
    <v>Learn more on Bing</v>
  </rv>
  <rv s="4">
    <v>9</v>
    <v>10</v>
    <v>Wolters Kluwer NV (XAMS:WKL)</v>
    <v>3</v>
    <v>11</v>
    <v>Finance</v>
    <v>7</v>
    <v>fr-FR</v>
    <v>alotgh</v>
    <v>268435456</v>
    <v>1</v>
    <v>Avec Refinitiv</v>
    <v>XAMS</v>
    <v>238516100</v>
    <v>143</v>
    <v>137.55000000000001</v>
    <v>0.60389999999999999</v>
    <v>34620620000</v>
    <v>Euronext Amsterdam</v>
    <v>145.15</v>
    <v>WKL</v>
    <v>45747.593182870369</v>
    <v>Wolters Kluwer NV est une société basée aux Pays-Bas qui fournit des informations, des logiciels et des services aux professionnels du droit, des affaires, de la fiscalité, de la comptabilité, de la finance, de l'audit, du risque, de la conformité et de la santé dans le monde entier. Les quatre divisions opérationnelles de la Société sont basées sur des segments de clientèle stratégiques : Santé ; Comptabilité fiscale; Gouvernance, Risque &amp; Conformité, et Juridique &amp; Réglementaire. Ses secteurs géographiques comprennent les Pays-Bas, l'Europe, l'Amérique du Nord, l'Asie-Pacifique et le reste du monde. Le portefeuille de produits de la Société propose des outils logiciels associés à du contenu et des services qui permettent à ses clients de prendre des décisions fondées sur des preuves, grâce à des solutions de gestion des flux de travail, des informations réglementaires, des analyses et des rapports, adaptés aux spécificités de leur secteur. En outre, la Société est active dans l'édition numérique et imprimée.</v>
    <v>EUR</v>
    <v>21200</v>
    <v>XAMS</v>
    <v>145.1</v>
    <v>181.3</v>
    <v>Professional &amp; Commercial Services</v>
    <v>1001</v>
    <v>-1.1368E-2</v>
    <v>-1.65</v>
    <v>Wolters Kluwer NV</v>
    <v>Wolters Kluwer NV</v>
    <v>144.85</v>
    <v>31.927099999999999</v>
    <v>143.5</v>
    <v>Zuidpoolsingel 2, ALPHEN AAN DEN RIJN, ZUID-HOLLAND, 2408 ZE NL</v>
    <v>Bourse</v>
    <v>Wolters Kluwer NV (XAMS:WKL)</v>
    <v>303392</v>
    <v>664710</v>
  </rv>
  <rv s="3">
    <v>1002</v>
  </rv>
  <rv s="1">
    <v>https://www.bing.com/financeapi/forcetrigger?t=aeadvh&amp;q=XPAR%3aWLN&amp;form=skydnc</v>
    <v>Learn more on Bing</v>
  </rv>
  <rv s="2">
    <v>0</v>
    <v>1</v>
    <v>WORLDLINE SA (XPAR:WLN)</v>
    <v>3</v>
    <v>8</v>
    <v>Finance</v>
    <v>7</v>
    <v>fr-FR</v>
    <v>aeadvh</v>
    <v>268435456</v>
    <v>1</v>
    <v>Avec Refinitiv</v>
    <v>XPAR</v>
    <v>283571600</v>
    <v>1990</v>
    <v>5.6280000000000001</v>
    <v>5.6280000000000001</v>
    <v>1.4221999999999999</v>
    <v>1727518000</v>
    <v>Euronext Paris</v>
    <v>6.0919999999999996</v>
    <v>WLN</v>
    <v>45747.593090277776</v>
    <v>Worldline SA, anciennement Atos Worldline SAS, est une société basée en France fournissant des services de paiement et de transaction. La Société crée et exploite des plateformes numériques qui traitent toutes les transactions entre les entreprises, leurs partenaires et leurs clients. Ses solutions sont divisées en trois segments : Merchant Services &amp; Terminaux, comprenant des services, des solutions et une mise en œuvre dans les domaines des terminaux de paiement, de l'acceptation de paiement multicanal, des paiements sans espèces, des cartes privatives, des services de fidélité et du commerce électronique ; Mobility &amp; eTransactional Services, engagé dans la création de produits numériques tels que les billets électroniques, les plateformes de collecte d'e-gouvernement et les plateformes cloud de contact et de consommation, entre autres ; et Financial Processing &amp; Software Licensing, qui fournit le traitement des paiements, le traitement des acquisitions et des émissions, des solutions bancaires en ligne et des solutions logicielles. La Société est active au niveau international par le biais de filiales telles que Worldline Euro SA, Santeos SA, Worldline BV, entre autres.</v>
    <v>EUR</v>
    <v>18112</v>
    <v>XPAR</v>
    <v>6</v>
    <v>12.83</v>
    <v>Financial Technology (Fintech) &amp; Infrastructure</v>
    <v>1004</v>
    <v>-6.2704999999999997E-2</v>
    <v>-0.38200000000000001</v>
    <v>WORLDLINE SA</v>
    <v>WORLDLINE SA</v>
    <v>6</v>
    <v>0</v>
    <v>5.71</v>
    <v>Tour Voltaire, 1 Place des Degres, Cs 81162, Paris la Defense Cedex, PARIS, ILE-DE-FRANCE, 92059 FR</v>
    <v>Bourse</v>
    <v>WORLDLINE SA (XPAR:WLN)</v>
    <v>1515980</v>
    <v>1347970</v>
  </rv>
  <rv s="3">
    <v>1005</v>
  </rv>
  <rv s="1">
    <v>https://www.bing.com/financeapi/forcetrigger?t=afpqz2&amp;q=XFRA%3aZAL&amp;form=skydnc</v>
    <v>Learn more on Bing</v>
  </rv>
  <rv s="2">
    <v>0</v>
    <v>1</v>
    <v>Zalando SE (XFRA:ZAL)</v>
    <v>3</v>
    <v>8</v>
    <v>Finance</v>
    <v>7</v>
    <v>fr-FR</v>
    <v>afpqz2</v>
    <v>268435456</v>
    <v>1</v>
    <v>Avec Refinitiv</v>
    <v>XFRA</v>
    <v>264118600</v>
    <v>2014</v>
    <v>31.9</v>
    <v>15.99</v>
    <v>1.7453000000000001</v>
    <v>8515183000</v>
    <v>Deutsche Boerse AG</v>
    <v>33.07</v>
    <v>ZAL</v>
    <v>45747.593055555553</v>
    <v>alando SE est une plateforme européenne de commerce électronique de mode et de style de vie basée en Allemagne. La société propose un portefeuille de vêtements pour femmes, hommes et enfants. Son assortiment comprend une gamme de chaussures, de vêtements, d'accessoires, de produits de beauté et d'articles de sport provenant de plus de 6 000 marques. Zalando opère dans deux segments : le commerce interentreprises (B2C) et le commerce interentreprises (B2B). Zalando offre une expérience d'achat multimarques pour les produits de mode et de style de vie aux clients du B2C.</v>
    <v>EUR</v>
    <v>15309</v>
    <v>XFRA</v>
    <v>31.91</v>
    <v>105.45</v>
    <v>Software &amp; IT Services</v>
    <v>1007</v>
    <v>-3.5379000000000001E-2</v>
    <v>-1.17</v>
    <v>Zalando SE</v>
    <v>Zalando SE</v>
    <v>31.91</v>
    <v>34.36</v>
    <v>31.9</v>
    <v>Valeska-Gert-Strasse 5, BERLIN, BERLIN, 10243 DE</v>
    <v>Bourse</v>
    <v>Zalando SE (XFRA:ZAL)</v>
    <v>640</v>
    <v>1188040</v>
  </rv>
  <rv s="3">
    <v>1008</v>
  </rv>
  <rv s="1">
    <v>https://www.bing.com/financeapi/forcetrigger?t=a26hyc&amp;q=XNYS%3aZTS&amp;form=skydnc</v>
    <v>Learn more on Bing</v>
  </rv>
  <rv s="2">
    <v>0</v>
    <v>1</v>
    <v>ZOETIS INC. (XNYS:ZTS)</v>
    <v>3</v>
    <v>4</v>
    <v>Finance</v>
    <v>5</v>
    <v>fr-FR</v>
    <v>a26hyc</v>
    <v>268435456</v>
    <v>1</v>
    <v>Avec Refinitiv</v>
    <v>XNYS</v>
    <v>447791900</v>
    <v>2012</v>
    <v>161.58250000000001</v>
    <v>144.80000000000001</v>
    <v>0.92600000000000005</v>
    <v>72600500747</v>
    <v>New York Stock Exchange</v>
    <v>163.11000000000001</v>
    <v>ZTS</v>
    <v>45747.603606435157</v>
    <v>Zoetis Inc. est une entreprise de santé animale. La Société se concentre sur la découverte, le développement, la fabrication et la commercialisation de médicaments, de vaccins, de produits et services diagnostiques, de biodispositifs, de tests génétiques et de santé animale de précision. Elle a une activité diversifiée, commercialisant des produits pour huit espèces principales : chiens, chats et chevaux (animaux de compagnie) et bovins, porcs, volailles, poissons et moutons (bétail) ; et dans sept grandes catégories de produits : parasiticides, vaccins, dermatologie, autres produits pharmaceutiques, anti-infectieux, diagnostic de la santé animale et additifs médicamenteux pour l'alimentation animale. La Société opère dans deux secteurs : les États-Unis et l'international. Au sein de chacun de ces segments, elle offre un portefeuille de produits diversifié pour les clients des animaux de compagnie et du bétail. Elle commercialise directement ses produits dans environ 45 pays en Amérique du Nord, en Europe, en Afrique, en Asie, en Australie et en Amérique du Sud, et ses produits sont vendus dans plus de 100 pays.</v>
    <v>USD</v>
    <v>13800</v>
    <v>XNYS</v>
    <v>163.91</v>
    <v>200.33</v>
    <v>Pharmaceuticals</v>
    <v>1010</v>
    <v>-6.0080000000000003E-3</v>
    <v>-0.98</v>
    <v>ZOETIS INC.</v>
    <v>ZOETIS INC.</v>
    <v>163.1</v>
    <v>29.860600000000002</v>
    <v>162.13</v>
    <v>10 Sylvan Way, PARSIPPANY, NJ, 07054 US</v>
    <v>Bourse</v>
    <v>ZOETIS INC. (XNYS:ZTS)</v>
    <v>319759</v>
    <v>2623026</v>
  </rv>
  <rv s="3">
    <v>1011</v>
  </rv>
  <rv s="1">
    <v>https://www.bing.com/financeapi/forcetrigger?t=b1layc&amp;q=XSWX%3aZURN&amp;form=skydnc</v>
    <v>Learn more on Bing</v>
  </rv>
  <rv s="2">
    <v>0</v>
    <v>1</v>
    <v>Zurich Insurance Group Ltd (XSWX:ZURN)</v>
    <v>3</v>
    <v>6</v>
    <v>Finance</v>
    <v>7</v>
    <v>fr-FR</v>
    <v>b1layc</v>
    <v>268435456</v>
    <v>1</v>
    <v>Avec Refinitiv</v>
    <v>XSWX</v>
    <v>146355700</v>
    <v>2000</v>
    <v>614</v>
    <v>437.6</v>
    <v>0.74990000000000001</v>
    <v>90842270000</v>
    <v>SIX Swiss Exchange</v>
    <v>621.4</v>
    <v>ZURN</v>
    <v>45747.593194444446</v>
    <v>Zurich Insurance Group Ltd est une société d'assurance. La société offre une gamme de produits et services d'assurance générale et d'assurance vie. Ses segments incluent l'assurance générale, qui fournit des produits et services automobiles, résidentiels et commerciaux pour les particuliers, mais aussi de petites et grandes entreprises ; Global Life, qui poursuit une stratégie avec les propositions en unités de compte et des produits phytopharmaceutiques, ainsi que des solutions payantes gérées par le biais de la distribution bancaire, la vie de la société et des pensions et de gestion en vigueur pour élaborer des positions dans ses marchés cibles, et Farmers, qui fournit, par le biais de Farmers Group, Inc. (FGI) et ses filiales, des services de non-réclamations connexes, administratifs et de gestion à Farmers Exchanges comme procureur de fait. FGI fournit des services à Farmers Exchanges, qui sont détenus par les assurés et gérés par FGI, une filiale de la Société. Ce segment inclut la réassurance assumée de Farmers Exchanges par la Société.</v>
    <v>CHF</v>
    <v>63842</v>
    <v>XSWX</v>
    <v>621</v>
    <v>625.20000000000005</v>
    <v>Insurance</v>
    <v>1013</v>
    <v>-9.9769999999999998E-3</v>
    <v>-6.2</v>
    <v>Zurich Insurance Group Ltd</v>
    <v>Zurich Insurance Group Ltd</v>
    <v>618.6</v>
    <v>17.062100000000001</v>
    <v>615.20000000000005</v>
    <v>Mythenquai 2, ZUERICH, ZUERICH, 8002 CH</v>
    <v>Bourse</v>
    <v>Zurich Insurance Group Ltd (XSWX:ZURN)</v>
    <v>144058</v>
    <v>297320</v>
  </rv>
  <rv s="3">
    <v>1014</v>
  </rv>
</rvData>
</file>

<file path=xl/richData/rdrichvaluestructure.xml><?xml version="1.0" encoding="utf-8"?>
<rvStructures xmlns="http://schemas.microsoft.com/office/spreadsheetml/2017/richdata" count="21">
  <s t="_error">
    <k n="errorType" t="i"/>
    <k n="field" t="s"/>
    <k n="subType" t="i"/>
  </s>
  <s t="_hyperlink">
    <k n="Address" t="s"/>
    <k n="Text" t="s"/>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Sièges sociaux" t="s"/>
    <k n="Type d'instrument" t="s"/>
    <k n="UniqueName" t="s"/>
    <k n="Volume"/>
    <k n="Volume moyen"/>
  </s>
  <s t="_linkedentity">
    <k n="%cvi" t="r"/>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Sièges sociaux" t="s"/>
    <k n="Type d'instrument" t="s"/>
    <k n="UniqueName" t="s"/>
    <k n="Volume"/>
    <k n="Volume moyen"/>
  </s>
  <s t="_sourceattribution">
    <k n="License" t="r"/>
    <k n="Source" t="r"/>
  </s>
  <s t="_imageurl">
    <k n="_Provider" t="spb"/>
    <k n="Address" t="s"/>
    <k n="Attribution" t="r"/>
    <k n="ComputedImage" t="b"/>
    <k n="More Images Address" t="s"/>
    <k n="Text" t="s"/>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mage" t="r"/>
    <k n="Industrie" t="s"/>
    <k n="LearnMoreOnLink" t="r"/>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OutdatedReason" t="i"/>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Sièges sociaux" t="s"/>
    <k n="Type d'instrument" t="s"/>
    <k n="UniqueName" t="s"/>
    <k n="Volume"/>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OutdatedReason" t="i"/>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êta"/>
    <k n="Capitalisation boursière"/>
    <k n="Change" t="s"/>
    <k n="Clôture précédente"/>
    <k n="Code mnémonique" t="s"/>
    <k n="Dernière heure d'échange"/>
    <k n="Description" t="s"/>
    <k n="Devise" t="s"/>
    <k n="Employés"/>
    <k n="ExchangeID" t="s"/>
    <k n="Haut"/>
    <k n="Industrie" t="s"/>
    <k n="LearnMoreOnLink" t="r"/>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OutdatedReason" t="i"/>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Bas"/>
    <k n="Bêta"/>
    <k n="Capitalisation boursière"/>
    <k n="Change" t="s"/>
    <k n="Clôture précédente"/>
    <k n="Code mnémonique" t="s"/>
    <k n="Dernière heure d'échange"/>
    <k n="Description" t="s"/>
    <k n="Devise" t="s"/>
    <k n="Employés"/>
    <k n="ExchangeID" t="s"/>
    <k n="Haut"/>
    <k n="Industrie" t="s"/>
    <k n="LearnMoreOnLink" t="r"/>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depuis 52 semaines"/>
    <k n="Bêta"/>
    <k n="Capitalisation boursière"/>
    <k n="Change" t="s"/>
    <k n="Clôture précédente"/>
    <k n="Code mnémonique" t="s"/>
    <k n="Dernière heure d'échange"/>
    <k n="Description" t="s"/>
    <k n="Devise" t="s"/>
    <k n="Employés"/>
    <k n="ExchangeID" t="s"/>
    <k n="Haut depuis 52 semaines"/>
    <k n="Industrie" t="s"/>
    <k n="LearnMoreOnLink" t="r"/>
    <k n="Modification (%)"/>
    <k n="Modifier"/>
    <k n="Nom" t="s"/>
    <k n="Nom officiel" t="s"/>
    <k n="Ouvrir"/>
    <k n="P/E"/>
    <k n="Prix"/>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OutdatedReason" t="i"/>
    <k n="%ProviderInfo" t="s"/>
    <k n="Abréviation de change" t="s"/>
    <k n="Actions en circulation"/>
    <k n="Année de constitu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Prix (horaires prolongés)"/>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ProviderInfo" t="s"/>
    <k n="Abréviation de change" t="s"/>
    <k n="Actions en circulation"/>
    <k n="Année de constitution"/>
    <k n="Bas"/>
    <k n="Bas depuis 52 semaines"/>
    <k n="Bêta"/>
    <k n="Capitalisation boursière"/>
    <k n="Change" t="s"/>
    <k n="Changement (horaires prolongés)"/>
    <k n="Changement en % (horaires prolongé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Prix (horaires prolongés)"/>
    <k n="Sièges sociaux" t="s"/>
    <k n="Type d'instrument" t="s"/>
    <k n="UniqueName" t="s"/>
    <k n="Volume"/>
    <k n="Volume moyen"/>
  </s>
  <s t="_linkedentitycore">
    <k n="_CanonicalPropertyNames" t="spb"/>
    <k n="_Display" t="spb"/>
    <k n="_DisplayString" t="s"/>
    <k n="_Flags" t="spb"/>
    <k n="_Format" t="spb"/>
    <k n="_Icon" t="s"/>
    <k n="_SubLabel" t="spb"/>
    <k n="%EntityCulture" t="s"/>
    <k n="%EntityId" t="s"/>
    <k n="%EntityServiceId"/>
    <k n="%IsRefreshable" t="b"/>
    <k n="%OutdatedReason" t="i"/>
    <k n="%ProviderInfo" t="s"/>
    <k n="Abréviation de change" t="s"/>
    <k n="Actions en circulation"/>
    <k n="Bas"/>
    <k n="Bas depuis 52 semaines"/>
    <k n="Bêta"/>
    <k n="Capitalisation boursière"/>
    <k n="Change" t="s"/>
    <k n="Clôture précédente"/>
    <k n="Code mnémonique" t="s"/>
    <k n="Dernière heure d'échange"/>
    <k n="Description" t="s"/>
    <k n="Devise" t="s"/>
    <k n="Employés"/>
    <k n="ExchangeID" t="s"/>
    <k n="Haut"/>
    <k n="Haut depuis 52 semaines"/>
    <k n="Industrie" t="s"/>
    <k n="LearnMoreOnLink" t="r"/>
    <k n="Modification (%)"/>
    <k n="Modifier"/>
    <k n="Nom" t="s"/>
    <k n="Nom officiel" t="s"/>
    <k n="Ouvrir"/>
    <k n="P/E"/>
    <k n="Prix"/>
    <k n="Sièges sociaux" t="s"/>
    <k n="Type d'instrument" t="s"/>
    <k n="UniqueName" t="s"/>
    <k n="Volume"/>
    <k n="Volume moyen"/>
  </s>
</rvStructures>
</file>

<file path=xl/richData/rdsupportingpropertybag.xml><?xml version="1.0" encoding="utf-8"?>
<supportingPropertyBags xmlns="http://schemas.microsoft.com/office/spreadsheetml/2017/richdata2">
  <spbArrays count="16">
    <a count="43">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a>
    <a count="42">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_Flags</v>
      <v t="s">UniqueName</v>
      <v t="s">_DisplayString</v>
      <v t="s">LearnMoreOnLink</v>
      <v t="s">ExchangeID</v>
      <v t="s">%ProviderInfo</v>
    </a>
    <a count="44">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Image</v>
      <v t="s">ExchangeID</v>
      <v t="s">%ProviderInfo</v>
    </a>
    <a count="43">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v t="s">%OutdatedReason</v>
    </a>
    <a count="42">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Actions en circulation</v>
      <v t="s">Description</v>
      <v t="s">Employés</v>
      <v t="s">Sièges sociaux</v>
      <v t="s">Industrie</v>
      <v t="s">Type d'instrument</v>
      <v t="s">Année de constitution</v>
      <v t="s">_Flags</v>
      <v t="s">UniqueName</v>
      <v t="s">_DisplayString</v>
      <v t="s">LearnMoreOnLink</v>
      <v t="s">ExchangeID</v>
      <v t="s">%ProviderInfo</v>
    </a>
    <a count="44">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v t="s">%OutdatedReason</v>
    </a>
    <a count="41">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a>
    <a count="43">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Actions en circulation</v>
      <v t="s">Description</v>
      <v t="s">Employés</v>
      <v t="s">Sièges sociaux</v>
      <v t="s">Industrie</v>
      <v t="s">Type d'instrument</v>
      <v t="s">Année de constitution</v>
      <v t="s">_Flags</v>
      <v t="s">UniqueName</v>
      <v t="s">_DisplayString</v>
      <v t="s">LearnMoreOnLink</v>
      <v t="s">ExchangeID</v>
      <v t="s">%ProviderInfo</v>
      <v t="s">%OutdatedReason</v>
    </a>
    <a count="42">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a>
    <a count="42">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ExchangeID</v>
      <v t="s">%ProviderInfo</v>
    </a>
    <a count="40">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Volume</v>
      <v t="s">Volume moyen</v>
      <v t="s">Capitalisation boursière</v>
      <v t="s">Bêta</v>
      <v t="s">P/E</v>
      <v t="s">Actions en circulation</v>
      <v t="s">Description</v>
      <v t="s">Employés</v>
      <v t="s">Sièges sociaux</v>
      <v t="s">Industrie</v>
      <v t="s">Type d'instrument</v>
      <v t="s">_Flags</v>
      <v t="s">UniqueName</v>
      <v t="s">_DisplayString</v>
      <v t="s">LearnMoreOnLink</v>
      <v t="s">ExchangeID</v>
      <v t="s">%ProviderInfo</v>
    </a>
    <a count="41">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Actions en circulation</v>
      <v t="s">Description</v>
      <v t="s">Employés</v>
      <v t="s">Sièges sociaux</v>
      <v t="s">Industrie</v>
      <v t="s">Type d'instrument</v>
      <v t="s">_Flags</v>
      <v t="s">UniqueName</v>
      <v t="s">_DisplayString</v>
      <v t="s">LearnMoreOnLink</v>
      <v t="s">ExchangeID</v>
      <v t="s">%ProviderInfo</v>
    </a>
    <a count="41">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a>
    <a count="45">
      <v t="s">%EntityServiceId</v>
      <v t="s">_Format</v>
      <v t="s">%IsRefreshable</v>
      <v t="s">_CanonicalPropertyNames</v>
      <v t="s">%EntityCulture</v>
      <v t="s">%EntityId</v>
      <v t="s">_Icon</v>
      <v t="s">_Display</v>
      <v t="s">Nom</v>
      <v t="s">_SubLabel</v>
      <v t="s">Prix</v>
      <v t="s">Prix (horaires prolongés)</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v t="s">%OutdatedReason</v>
    </a>
    <a count="46">
      <v t="s">%EntityServiceId</v>
      <v t="s">_Format</v>
      <v t="s">%IsRefreshable</v>
      <v t="s">_CanonicalPropertyNames</v>
      <v t="s">%EntityCulture</v>
      <v t="s">%EntityId</v>
      <v t="s">_Icon</v>
      <v t="s">_Display</v>
      <v t="s">Nom</v>
      <v t="s">_SubLabel</v>
      <v t="s">Prix</v>
      <v t="s">Prix (horaires prolongés)</v>
      <v t="s">Change</v>
      <v t="s">Nom officiel</v>
      <v t="s">Dernière heure d'échange</v>
      <v t="s">Code mnémonique</v>
      <v t="s">Abréviation de change</v>
      <v t="s">Modifier</v>
      <v t="s">Changement (horaires prolongés)</v>
      <v t="s">Modification (%)</v>
      <v t="s">Changement en % (horaires prolongés)</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Année de constitution</v>
      <v t="s">_Flags</v>
      <v t="s">UniqueName</v>
      <v t="s">_DisplayString</v>
      <v t="s">LearnMoreOnLink</v>
      <v t="s">ExchangeID</v>
      <v t="s">%ProviderInfo</v>
    </a>
    <a count="43">
      <v t="s">%EntityServiceId</v>
      <v t="s">_Format</v>
      <v t="s">%IsRefreshable</v>
      <v t="s">_CanonicalPropertyNames</v>
      <v t="s">%EntityCulture</v>
      <v t="s">%EntityId</v>
      <v t="s">_Icon</v>
      <v t="s">_Display</v>
      <v t="s">Nom</v>
      <v t="s">_SubLabel</v>
      <v t="s">Prix</v>
      <v t="s">Change</v>
      <v t="s">Nom officiel</v>
      <v t="s">Dernière heure d'échange</v>
      <v t="s">Code mnémonique</v>
      <v t="s">Abréviation de change</v>
      <v t="s">Modifier</v>
      <v t="s">Modification (%)</v>
      <v t="s">Devise</v>
      <v t="s">Clôture précédente</v>
      <v t="s">Ouvrir</v>
      <v t="s">Haut</v>
      <v t="s">Bas</v>
      <v t="s">Haut depuis 52 semaines</v>
      <v t="s">Bas depuis 52 semaines</v>
      <v t="s">Volume</v>
      <v t="s">Volume moyen</v>
      <v t="s">Capitalisation boursière</v>
      <v t="s">Bêta</v>
      <v t="s">P/E</v>
      <v t="s">Actions en circulation</v>
      <v t="s">Description</v>
      <v t="s">Employés</v>
      <v t="s">Sièges sociaux</v>
      <v t="s">Industrie</v>
      <v t="s">Type d'instrument</v>
      <v t="s">_Flags</v>
      <v t="s">UniqueName</v>
      <v t="s">_DisplayString</v>
      <v t="s">LearnMoreOnLink</v>
      <v t="s">ExchangeID</v>
      <v t="s">%ProviderInfo</v>
      <v t="s">%OutdatedReason</v>
    </a>
  </spbArrays>
  <spbData count="71">
    <spb s="0">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spb>
    <spb s="1">
      <v>0</v>
      <v>Name</v>
      <v>LearnMoreOnLink</v>
    </spb>
    <spb s="2">
      <v>0</v>
      <v>0</v>
      <v>0</v>
    </spb>
    <spb s="3">
      <v>2</v>
      <v>2</v>
      <v>2</v>
      <v>2</v>
    </spb>
    <spb s="4">
      <v>1</v>
      <v>2</v>
      <v>3</v>
      <v>3</v>
      <v>1</v>
      <v>1</v>
      <v>1</v>
      <v>4</v>
      <v>4</v>
      <v>1</v>
      <v>4</v>
      <v>5</v>
      <v>6</v>
      <v>1</v>
      <v>7</v>
      <v>4</v>
      <v>1</v>
      <v>1</v>
      <v>8</v>
      <v>9</v>
    </spb>
    <spb s="5">
      <v>En temps réel  Nasdaq Dernière vente</v>
      <v xml:space="preserve">depuis la clôture précédente </v>
      <v>Source: Nasdaq Dernière vente</v>
      <v xml:space="preserve">depuis la clôture précédente </v>
      <v>GMT</v>
    </spb>
    <spb s="4">
      <v>10</v>
      <v>2</v>
      <v>3</v>
      <v>3</v>
      <v>10</v>
      <v>10</v>
      <v>10</v>
      <v>4</v>
      <v>4</v>
      <v>10</v>
      <v>4</v>
      <v>5</v>
      <v>6</v>
      <v>10</v>
      <v>7</v>
      <v>4</v>
      <v>10</v>
      <v>10</v>
      <v>11</v>
      <v>9</v>
    </spb>
    <spb s="6">
      <v>Différé de 15 minutes</v>
      <v xml:space="preserve">depuis la clôture précédente </v>
      <v xml:space="preserve">depuis la clôture précédente </v>
      <v>GMT</v>
    </spb>
    <spb s="4">
      <v>12</v>
      <v>2</v>
      <v>3</v>
      <v>3</v>
      <v>12</v>
      <v>12</v>
      <v>12</v>
      <v>4</v>
      <v>4</v>
      <v>12</v>
      <v>4</v>
      <v>5</v>
      <v>6</v>
      <v>12</v>
      <v>7</v>
      <v>4</v>
      <v>12</v>
      <v>12</v>
      <v>13</v>
      <v>9</v>
    </spb>
    <spb s="7">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Shares outstanding</v>
      <v>52 week low</v>
      <v>52 week high</v>
      <v>Market cap</v>
      <v>Last trade time</v>
    </spb>
    <spb s="1">
      <v>1</v>
      <v>Name</v>
      <v>LearnMoreOnLink</v>
    </spb>
    <spb s="8">
      <v>12</v>
      <v>2</v>
      <v>3</v>
      <v>3</v>
      <v>12</v>
      <v>12</v>
      <v>12</v>
      <v>4</v>
      <v>4</v>
      <v>12</v>
      <v>4</v>
      <v>5</v>
      <v>6</v>
      <v>12</v>
      <v>4</v>
      <v>12</v>
      <v>12</v>
      <v>13</v>
      <v>9</v>
    </spb>
    <spb s="9">
      <v>Low</v>
      <v>Name</v>
      <v>P/E</v>
      <v>Beta</v>
      <v>High</v>
      <v>Price</v>
      <v>Image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spb>
    <spb s="1">
      <v>2</v>
      <v>Name</v>
      <v>LearnMoreOnLink</v>
    </spb>
    <spb s="10">
      <v>0</v>
      <v>0</v>
    </spb>
    <spb s="11">
      <v>14</v>
      <v>2</v>
      <v>2</v>
      <v>2</v>
      <v>2</v>
    </spb>
    <spb s="12">
      <v>1</v>
      <v>2</v>
      <v>3</v>
      <v>3</v>
      <v>1</v>
      <v>1</v>
      <v>14</v>
      <v>1</v>
      <v>4</v>
      <v>4</v>
      <v>1</v>
      <v>4</v>
      <v>5</v>
      <v>6</v>
      <v>1</v>
      <v>7</v>
      <v>4</v>
      <v>1</v>
      <v>1</v>
      <v>8</v>
      <v>9</v>
    </spb>
    <spb s="13">
      <v>Avec Refinitiv</v>
    </spb>
    <spb s="12">
      <v>12</v>
      <v>2</v>
      <v>3</v>
      <v>3</v>
      <v>12</v>
      <v>12</v>
      <v>14</v>
      <v>12</v>
      <v>4</v>
      <v>4</v>
      <v>12</v>
      <v>4</v>
      <v>5</v>
      <v>6</v>
      <v>12</v>
      <v>7</v>
      <v>4</v>
      <v>12</v>
      <v>12</v>
      <v>13</v>
      <v>9</v>
    </spb>
    <spb s="14">
      <v>Low</v>
      <v>Name</v>
      <v>P/E</v>
      <v>Beta</v>
      <v>High</v>
      <v>Price</v>
      <v>Exchange</v>
      <v>Currency</v>
      <v>Open</v>
      <v>Volume</v>
      <v>Employees</v>
      <v>Change</v>
      <v>Industry</v>
      <v>ExchangeID</v>
      <v>UniqueName</v>
      <v>Description</v>
      <v>Official name</v>
      <v>%ProviderInfo</v>
      <v>Headquarters</v>
      <v>Ticker symbol</v>
      <v>LearnMoreOnLink</v>
      <v>Change (%)</v>
      <v>Instrument type</v>
      <v>Previous close</v>
      <v>Exchange abbreviation</v>
      <v>Year incorporated</v>
      <v>Shares outstanding</v>
      <v>52 week low</v>
      <v>52 week high</v>
      <v>Market cap</v>
      <v>Last trade time</v>
    </spb>
    <spb s="1">
      <v>3</v>
      <v>Name</v>
      <v>LearnMoreOnLink</v>
    </spb>
    <spb s="15">
      <v>12</v>
      <v>2</v>
      <v>3</v>
      <v>3</v>
      <v>12</v>
      <v>12</v>
      <v>12</v>
      <v>4</v>
      <v>4</v>
      <v>12</v>
      <v>5</v>
      <v>6</v>
      <v>12</v>
      <v>7</v>
      <v>4</v>
      <v>12</v>
      <v>12</v>
      <v>13</v>
      <v>9</v>
    </spb>
    <spb s="12">
      <v>10</v>
      <v>2</v>
      <v>3</v>
      <v>3</v>
      <v>10</v>
      <v>10</v>
      <v>14</v>
      <v>10</v>
      <v>4</v>
      <v>4</v>
      <v>10</v>
      <v>4</v>
      <v>5</v>
      <v>6</v>
      <v>10</v>
      <v>7</v>
      <v>4</v>
      <v>10</v>
      <v>10</v>
      <v>11</v>
      <v>9</v>
    </spb>
    <spb s="5">
      <v>Différé de 15 minutes</v>
      <v xml:space="preserve">depuis la clôture précédente </v>
      <v>Borsa Italia</v>
      <v xml:space="preserve">depuis la clôture précédente </v>
      <v>GMT</v>
    </spb>
    <spb s="4">
      <v>12</v>
      <v>2</v>
      <v>3</v>
      <v>3</v>
      <v>12</v>
      <v>12</v>
      <v>12</v>
      <v>4</v>
      <v>4</v>
      <v>12</v>
      <v>4</v>
      <v>5</v>
      <v>6</v>
      <v>12</v>
      <v>7</v>
      <v>4</v>
      <v>12</v>
      <v>12</v>
      <v>15</v>
      <v>9</v>
    </spb>
    <spb s="16">
      <v>Low</v>
      <v>Name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spb>
    <spb s="1">
      <v>4</v>
      <v>Name</v>
      <v>LearnMoreOnLink</v>
    </spb>
    <spb s="17">
      <v>12</v>
      <v>2</v>
      <v>3</v>
      <v>12</v>
      <v>12</v>
      <v>12</v>
      <v>4</v>
      <v>4</v>
      <v>12</v>
      <v>4</v>
      <v>5</v>
      <v>6</v>
      <v>12</v>
      <v>7</v>
      <v>4</v>
      <v>12</v>
      <v>12</v>
      <v>13</v>
      <v>9</v>
    </spb>
    <spb s="17">
      <v>1</v>
      <v>2</v>
      <v>3</v>
      <v>1</v>
      <v>1</v>
      <v>1</v>
      <v>4</v>
      <v>4</v>
      <v>1</v>
      <v>4</v>
      <v>5</v>
      <v>6</v>
      <v>1</v>
      <v>7</v>
      <v>4</v>
      <v>1</v>
      <v>1</v>
      <v>8</v>
      <v>9</v>
    </spb>
    <spb s="1">
      <v>5</v>
      <v>Name</v>
      <v>LearnMoreOnLink</v>
    </spb>
    <spb s="4">
      <v>16</v>
      <v>2</v>
      <v>3</v>
      <v>3</v>
      <v>16</v>
      <v>16</v>
      <v>16</v>
      <v>4</v>
      <v>4</v>
      <v>16</v>
      <v>4</v>
      <v>5</v>
      <v>6</v>
      <v>16</v>
      <v>7</v>
      <v>4</v>
      <v>16</v>
      <v>16</v>
      <v>15</v>
      <v>9</v>
    </spb>
    <spb s="5">
      <v>Différé de 15 minutes</v>
      <v xml:space="preserve">depuis la clôture précédente </v>
      <v>LSE</v>
      <v xml:space="preserve">depuis la clôture précédente </v>
      <v>GMT</v>
    </spb>
    <spb s="18">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Market cap</v>
      <v>Last trade time</v>
    </spb>
    <spb s="1">
      <v>6</v>
      <v>Name</v>
      <v>LearnMoreOnLink</v>
    </spb>
    <spb s="19">
      <v>12</v>
      <v>2</v>
      <v>3</v>
      <v>3</v>
      <v>12</v>
      <v>12</v>
      <v>12</v>
      <v>4</v>
      <v>4</v>
      <v>12</v>
      <v>4</v>
      <v>5</v>
      <v>6</v>
      <v>12</v>
      <v>7</v>
      <v>4</v>
      <v>13</v>
      <v>9</v>
    </spb>
    <spb s="1">
      <v>7</v>
      <v>Name</v>
      <v>LearnMoreOnLink</v>
    </spb>
    <spb s="5">
      <v>Différé de 15 minutes</v>
      <v xml:space="preserve">depuis la clôture précédente </v>
      <v>Source: Nasdaq</v>
      <v xml:space="preserve">depuis la clôture précédente </v>
      <v>GMT</v>
    </spb>
    <spb s="19">
      <v>17</v>
      <v>2</v>
      <v>3</v>
      <v>3</v>
      <v>17</v>
      <v>17</v>
      <v>17</v>
      <v>4</v>
      <v>4</v>
      <v>17</v>
      <v>4</v>
      <v>5</v>
      <v>6</v>
      <v>17</v>
      <v>7</v>
      <v>4</v>
      <v>18</v>
      <v>9</v>
    </spb>
    <spb s="5">
      <v>Différé de 15 minutes</v>
      <v xml:space="preserve">depuis la clôture précédente </v>
      <v>Source: Nasdaq Nordic</v>
      <v xml:space="preserve">depuis la clôture précédente </v>
      <v>GMT</v>
    </spb>
    <spb s="20">
      <v>Low</v>
      <v>Name</v>
      <v>P/E</v>
      <v>Beta</v>
      <v>High</v>
      <v>Price</v>
      <v>Exchange</v>
      <v>Currency</v>
      <v>Open</v>
      <v>Volume</v>
      <v>Employees</v>
      <v>Change</v>
      <v>Industry</v>
      <v>ExchangeID</v>
      <v>UniqueName</v>
      <v>Description</v>
      <v>Official name</v>
      <v>Volume average</v>
      <v>%ProviderInfo</v>
      <v>Headquarters</v>
      <v>Ticker symbol</v>
      <v>LearnMoreOnLink</v>
      <v>Instrument type</v>
      <v>Previous close</v>
      <v>Exchange abbreviation</v>
      <v>Year incorporated</v>
      <v>Shares outstanding</v>
      <v>52 week low</v>
      <v>52 week high</v>
      <v>Market cap</v>
      <v>Last trade time</v>
    </spb>
    <spb s="1">
      <v>8</v>
      <v>Name</v>
      <v>LearnMoreOnLink</v>
    </spb>
    <spb s="21">
      <v>1</v>
      <v>2</v>
      <v>3</v>
      <v>3</v>
      <v>1</v>
      <v>1</v>
      <v>1</v>
      <v>4</v>
      <v>4</v>
      <v>1</v>
      <v>4</v>
      <v>6</v>
      <v>1</v>
      <v>7</v>
      <v>4</v>
      <v>1</v>
      <v>1</v>
      <v>8</v>
      <v>9</v>
    </spb>
    <spb s="22">
      <v>Différé de 15 minutes</v>
      <v xml:space="preserve">depuis la clôture précédente </v>
      <v>GMT</v>
    </spb>
    <spb s="23">
      <v>Low</v>
      <v>Name</v>
      <v>P/E</v>
      <v>Beta</v>
      <v>High</v>
      <v>Price</v>
      <v>Exchange</v>
      <v>Currency</v>
      <v>Open</v>
      <v>Volume</v>
      <v>Employees</v>
      <v>Change</v>
      <v>Industry</v>
      <v>ExchangeID</v>
      <v>UniqueName</v>
      <v>Description</v>
      <v>Official name</v>
      <v>Volume average</v>
      <v>%ProviderInfo</v>
      <v>Headquarters</v>
      <v>Ticker symbol</v>
      <v>Change (%)</v>
      <v>Instrument type</v>
      <v>Previous close</v>
      <v>Exchange abbreviation</v>
      <v>Year incorporated</v>
      <v>Shares outstanding</v>
      <v>52 week low</v>
      <v>52 week high</v>
      <v>Market cap</v>
      <v>Last trade time</v>
    </spb>
    <spb s="24">
      <v>9</v>
      <v>Name</v>
    </spb>
    <spb s="25">
      <v>2</v>
      <v>2</v>
      <v>2</v>
    </spb>
    <spb s="26">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Shares outstanding</v>
      <v>Market cap</v>
      <v>Last trade time</v>
    </spb>
    <spb s="1">
      <v>10</v>
      <v>Name</v>
      <v>LearnMoreOnLink</v>
    </spb>
    <spb s="27">
      <v>19</v>
      <v>2</v>
      <v>3</v>
      <v>3</v>
      <v>19</v>
      <v>19</v>
      <v>19</v>
      <v>4</v>
      <v>4</v>
      <v>19</v>
      <v>4</v>
      <v>5</v>
      <v>6</v>
      <v>19</v>
      <v>4</v>
      <v>20</v>
      <v>9</v>
    </spb>
    <spb s="28">
      <v>Low</v>
      <v>Name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Shares outstanding</v>
      <v>52 week low</v>
      <v>52 week high</v>
      <v>Market cap</v>
      <v>Last trade time</v>
    </spb>
    <spb s="1">
      <v>11</v>
      <v>Name</v>
      <v>LearnMoreOnLink</v>
    </spb>
    <spb s="29">
      <v>12</v>
      <v>2</v>
      <v>3</v>
      <v>12</v>
      <v>12</v>
      <v>12</v>
      <v>4</v>
      <v>4</v>
      <v>12</v>
      <v>4</v>
      <v>5</v>
      <v>6</v>
      <v>12</v>
      <v>4</v>
      <v>12</v>
      <v>12</v>
      <v>13</v>
      <v>9</v>
    </spb>
    <spb s="4">
      <v>12</v>
      <v>2</v>
      <v>3</v>
      <v>3</v>
      <v>12</v>
      <v>12</v>
      <v>12</v>
      <v>4</v>
      <v>4</v>
      <v>12</v>
      <v>4</v>
      <v>5</v>
      <v>6</v>
      <v>12</v>
      <v>7</v>
      <v>4</v>
      <v>12</v>
      <v>12</v>
      <v>8</v>
      <v>9</v>
    </spb>
    <spb s="30">
      <v>Name</v>
      <v>P/E</v>
      <v>Beta</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spb>
    <spb s="1">
      <v>12</v>
      <v>Name</v>
      <v>LearnMoreOnLink</v>
    </spb>
    <spb s="31">
      <v>2</v>
      <v>3</v>
      <v>3</v>
      <v>16</v>
      <v>16</v>
      <v>4</v>
      <v>4</v>
      <v>16</v>
      <v>4</v>
      <v>5</v>
      <v>6</v>
      <v>16</v>
      <v>7</v>
      <v>4</v>
      <v>16</v>
      <v>16</v>
      <v>15</v>
      <v>9</v>
    </spb>
    <spb s="8">
      <v>1</v>
      <v>2</v>
      <v>3</v>
      <v>3</v>
      <v>1</v>
      <v>1</v>
      <v>1</v>
      <v>4</v>
      <v>4</v>
      <v>1</v>
      <v>4</v>
      <v>5</v>
      <v>6</v>
      <v>1</v>
      <v>4</v>
      <v>1</v>
      <v>1</v>
      <v>21</v>
      <v>9</v>
    </spb>
    <spb s="32">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v>Price (Extended hours)</v>
    </spb>
    <spb s="1">
      <v>13</v>
      <v>Name</v>
      <v>LearnMoreOnLink</v>
    </spb>
    <spb s="33">
      <v>12</v>
      <v>2</v>
      <v>3</v>
      <v>3</v>
      <v>12</v>
      <v>12</v>
      <v>12</v>
      <v>4</v>
      <v>4</v>
      <v>12</v>
      <v>4</v>
      <v>5</v>
      <v>6</v>
      <v>12</v>
      <v>7</v>
      <v>4</v>
      <v>12</v>
      <v>12</v>
      <v>13</v>
      <v>9</v>
      <v>12</v>
    </spb>
    <spb s="34">
      <v xml:space="preserve">à la clôture </v>
      <v xml:space="preserve">depuis la clôture précédente </v>
      <v xml:space="preserve">depuis la clôture précédente </v>
      <v>GMT</v>
      <v>Différé de 15 minutes</v>
    </spb>
    <spb s="4">
      <v>1</v>
      <v>2</v>
      <v>3</v>
      <v>3</v>
      <v>1</v>
      <v>1</v>
      <v>1</v>
      <v>4</v>
      <v>4</v>
      <v>1</v>
      <v>4</v>
      <v>5</v>
      <v>6</v>
      <v>1</v>
      <v>7</v>
      <v>4</v>
      <v>1</v>
      <v>1</v>
      <v>13</v>
      <v>9</v>
    </spb>
    <spb s="15">
      <v>1</v>
      <v>2</v>
      <v>3</v>
      <v>3</v>
      <v>1</v>
      <v>1</v>
      <v>1</v>
      <v>4</v>
      <v>4</v>
      <v>1</v>
      <v>5</v>
      <v>6</v>
      <v>1</v>
      <v>7</v>
      <v>4</v>
      <v>1</v>
      <v>1</v>
      <v>13</v>
      <v>9</v>
    </spb>
    <spb s="35">
      <v>Low</v>
      <v>Name</v>
      <v>P/E</v>
      <v>Beta</v>
      <v>High</v>
      <v>Price</v>
      <v>Exchange</v>
      <v>Currency</v>
      <v>Open</v>
      <v>Volume</v>
      <v>Employees</v>
      <v>Change</v>
      <v>Industry</v>
      <v>ExchangeID</v>
      <v>UniqueName</v>
      <v>Description</v>
      <v>Official name</v>
      <v>Volume average</v>
      <v>%ProviderInfo</v>
      <v>Headquarters</v>
      <v>Ticker symbol</v>
      <v>LearnMoreOnLink</v>
      <v>Change (%)</v>
      <v>Instrument type</v>
      <v>Previous close</v>
      <v>Exchange abbreviation</v>
      <v>Year incorporated</v>
      <v>Shares outstanding</v>
      <v>52 week low</v>
      <v>52 week high</v>
      <v>Market cap</v>
      <v>Last trade time</v>
      <v>Price (Extended hours)</v>
      <v>Change (Extended hours)</v>
      <v>Change % (Extended hours)</v>
    </spb>
    <spb s="1">
      <v>14</v>
      <v>Name</v>
      <v>LearnMoreOnLink</v>
    </spb>
    <spb s="36">
      <v>22</v>
      <v>2</v>
      <v>3</v>
      <v>3</v>
      <v>22</v>
      <v>22</v>
      <v>22</v>
      <v>4</v>
      <v>4</v>
      <v>22</v>
      <v>4</v>
      <v>5</v>
      <v>6</v>
      <v>22</v>
      <v>7</v>
      <v>4</v>
      <v>22</v>
      <v>22</v>
      <v>21</v>
      <v>9</v>
      <v>22</v>
      <v>22</v>
      <v>5</v>
    </spb>
    <spb s="37">
      <v xml:space="preserve">à la clôture </v>
      <v xml:space="preserve">depuis la clôture précédente </v>
      <v xml:space="preserve">depuis la clôture précédente </v>
      <v>GMT</v>
      <v>Différé de 15 minutes</v>
      <v xml:space="preserve">depuis la clôture </v>
      <v xml:space="preserve">depuis la clôture </v>
    </spb>
    <spb s="1">
      <v>15</v>
      <v>Name</v>
      <v>LearnMoreOnLink</v>
    </spb>
    <spb s="4">
      <v>23</v>
      <v>2</v>
      <v>3</v>
      <v>3</v>
      <v>23</v>
      <v>23</v>
      <v>23</v>
      <v>4</v>
      <v>4</v>
      <v>23</v>
      <v>4</v>
      <v>5</v>
      <v>6</v>
      <v>23</v>
      <v>7</v>
      <v>4</v>
      <v>23</v>
      <v>23</v>
      <v>13</v>
      <v>9</v>
    </spb>
    <spb s="6">
      <v>Différé de 20 minutes</v>
      <v xml:space="preserve">depuis la clôture précédente </v>
      <v xml:space="preserve">depuis la clôture précédente </v>
      <v>GMT</v>
    </spb>
    <spb s="4">
      <v>12</v>
      <v>2</v>
      <v>3</v>
      <v>3</v>
      <v>12</v>
      <v>12</v>
      <v>12</v>
      <v>4</v>
      <v>4</v>
      <v>12</v>
      <v>4</v>
      <v>5</v>
      <v>6</v>
      <v>12</v>
      <v>7</v>
      <v>4</v>
      <v>12</v>
      <v>12</v>
      <v>20</v>
      <v>9</v>
    </spb>
  </spbData>
</supportingPropertyBags>
</file>

<file path=xl/richData/rdsupportingpropertybagstructure.xml><?xml version="1.0" encoding="utf-8"?>
<spbStructures xmlns="http://schemas.microsoft.com/office/spreadsheetml/2017/richdata2" count="38">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Order" t="spba"/>
    <k n="TitleProperty" t="s"/>
    <k n="SubTitleProperty" t="s"/>
  </s>
  <s>
    <k n="ShowInCardView" t="b"/>
    <k n="ShowInDotNotation" t="b"/>
    <k n="ShowInAutoComplete" t="b"/>
  </s>
  <s>
    <k n="ExchangeID" t="spb"/>
    <k n="UniqueName" t="spb"/>
    <k n="`%ProviderInfo" t="spb"/>
    <k n="LearnMoreOnLink" t="spb"/>
  </s>
  <s>
    <k n="Bas" t="i"/>
    <k n="Nom" t="i"/>
    <k n="P/E" t="i"/>
    <k n="Bêta" t="i"/>
    <k n="Haut" t="i"/>
    <k n="Prix"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s>
  <s>
    <k n="Prix" t="s"/>
    <k n="Modifier" t="s"/>
    <k n="ExchangeID" t="s"/>
    <k n="Modification (%)" t="s"/>
    <k n="Dernière heure d'échange" t="s"/>
  </s>
  <s>
    <k n="Prix" t="s"/>
    <k n="Modifier" t="s"/>
    <k n="Modification (%)" t="s"/>
    <k n="Dernière heure d'échange" t="s"/>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ctions en circulation" t="s"/>
    <k n="Bas depuis 52 semaines" t="s"/>
    <k n="Haut depuis 52 semaines" t="s"/>
    <k n="Capitalisation boursière" t="s"/>
    <k n="Dernière heure d'échange" t="s"/>
  </s>
  <s>
    <k n="Bas" t="i"/>
    <k n="Nom" t="i"/>
    <k n="P/E" t="i"/>
    <k n="Bêta" t="i"/>
    <k n="Haut" t="i"/>
    <k n="Prix" t="i"/>
    <k n="Ouvrir" t="i"/>
    <k n="Volume" t="i"/>
    <k n="Employés" t="i"/>
    <k n="Modifier" t="i"/>
    <k n="Volume moyen" t="i"/>
    <k n="Modification (%)" t="i"/>
    <k n="`%EntityServiceId" t="i"/>
    <k n="Clôture précédente" t="i"/>
    <k n="Actions en circulation" t="i"/>
    <k n="Bas depuis 52 semaines" t="i"/>
    <k n="Haut depuis 52 semaines" t="i"/>
    <k n="Capitalisation boursière" t="i"/>
    <k n="Dernière heure d'échange" t="i"/>
  </s>
  <s>
    <k n="Bas" t="s"/>
    <k n="Nom" t="s"/>
    <k n="P/E" t="s"/>
    <k n="Bêta" t="s"/>
    <k n="Haut" t="s"/>
    <k n="Prix" t="s"/>
    <k n="Image"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ShowInDotNotation" t="b"/>
    <k n="ShowInAutoComplete" t="b"/>
  </s>
  <s>
    <k n="Image" t="spb"/>
    <k n="ExchangeID" t="spb"/>
    <k n="UniqueName" t="spb"/>
    <k n="`%ProviderInfo" t="spb"/>
    <k n="LearnMoreOnLink" t="spb"/>
  </s>
  <s>
    <k n="Bas" t="i"/>
    <k n="Nom" t="i"/>
    <k n="P/E" t="i"/>
    <k n="Bêta" t="i"/>
    <k n="Haut" t="i"/>
    <k n="Prix" t="i"/>
    <k n="Image"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s>
  <s>
    <k n="name" t="s"/>
  </s>
  <s>
    <k n="Bas" t="s"/>
    <k n="Nom" t="s"/>
    <k n="P/E" t="s"/>
    <k n="Bêta" t="s"/>
    <k n="Haut" t="s"/>
    <k n="Prix" t="s"/>
    <k n="Change" t="s"/>
    <k n="Devise" t="s"/>
    <k n="Ouvrir" t="s"/>
    <k n="Volume" t="s"/>
    <k n="Employés" t="s"/>
    <k n="Modifier" t="s"/>
    <k n="Industrie" t="s"/>
    <k n="ExchangeID" t="s"/>
    <k n="UniqueName" t="s"/>
    <k n="Description" t="s"/>
    <k n="Nom officiel"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Bas" t="i"/>
    <k n="Nom" t="i"/>
    <k n="P/E" t="i"/>
    <k n="Bêta" t="i"/>
    <k n="Haut" t="i"/>
    <k n="Prix" t="i"/>
    <k n="Ouvrir" t="i"/>
    <k n="Volume" t="i"/>
    <k n="Employés" t="i"/>
    <k n="Modifier" t="i"/>
    <k n="Modification (%)" t="i"/>
    <k n="`%EntityServiceId" t="i"/>
    <k n="Clôture précédente" t="i"/>
    <k n="Année de constitution" t="i"/>
    <k n="Actions en circulation" t="i"/>
    <k n="Bas depuis 52 semaines" t="i"/>
    <k n="Haut depuis 52 semaines" t="i"/>
    <k n="Capitalisation boursière" t="i"/>
    <k n="Dernière heure d'échange" t="i"/>
  </s>
  <s>
    <k n="Bas" t="s"/>
    <k n="Nom"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Bas" t="i"/>
    <k n="Nom" t="i"/>
    <k n="Bêta" t="i"/>
    <k n="Haut" t="i"/>
    <k n="Prix"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Capitalisation boursière" t="s"/>
    <k n="Dernière heure d'échange" t="s"/>
  </s>
  <s>
    <k n="Bas" t="i"/>
    <k n="Nom" t="i"/>
    <k n="P/E" t="i"/>
    <k n="Bêta" t="i"/>
    <k n="Haut" t="i"/>
    <k n="Prix" t="i"/>
    <k n="Ouvrir" t="i"/>
    <k n="Volume" t="i"/>
    <k n="Employés" t="i"/>
    <k n="Modifier" t="i"/>
    <k n="Volume moyen" t="i"/>
    <k n="Modification (%)" t="i"/>
    <k n="`%EntityServiceId" t="i"/>
    <k n="Clôture précédente" t="i"/>
    <k n="Année de constitution" t="i"/>
    <k n="Actions en circulation" t="i"/>
    <k n="Capitalisation boursière" t="i"/>
    <k n="Dernière heure d'échange" t="i"/>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Type d'instrument" t="s"/>
    <k n="Clôture précédente" t="s"/>
    <k n="Abréviation de change" t="s"/>
    <k n="Année de constitution" t="s"/>
    <k n="Actions en circulation" t="s"/>
    <k n="Bas depuis 52 semaines" t="s"/>
    <k n="Haut depuis 52 semaines" t="s"/>
    <k n="Capitalisation boursière" t="s"/>
    <k n="Dernière heure d'échange" t="s"/>
  </s>
  <s>
    <k n="Bas" t="i"/>
    <k n="Nom" t="i"/>
    <k n="P/E" t="i"/>
    <k n="Bêta" t="i"/>
    <k n="Haut" t="i"/>
    <k n="Prix" t="i"/>
    <k n="Ouvrir" t="i"/>
    <k n="Volume" t="i"/>
    <k n="Employés" t="i"/>
    <k n="Modifier" t="i"/>
    <k n="Volume moyen" t="i"/>
    <k n="`%EntityServiceId" t="i"/>
    <k n="Clôture précédente" t="i"/>
    <k n="Année de constitution" t="i"/>
    <k n="Actions en circulation" t="i"/>
    <k n="Bas depuis 52 semaines" t="i"/>
    <k n="Haut depuis 52 semaines" t="i"/>
    <k n="Capitalisation boursière" t="i"/>
    <k n="Dernière heure d'échange" t="i"/>
  </s>
  <s>
    <k n="Prix" t="s"/>
    <k n="Modifier" t="s"/>
    <k n="Dernière heure d'échange" t="s"/>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Order" t="spba"/>
    <k n="TitleProperty" t="s"/>
  </s>
  <s>
    <k n="ExchangeID" t="spb"/>
    <k n="UniqueName" t="spb"/>
    <k n="`%ProviderInfo" t="spb"/>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ctions en circulation" t="s"/>
    <k n="Capitalisation boursière" t="s"/>
    <k n="Dernière heure d'échange" t="s"/>
  </s>
  <s>
    <k n="Bas" t="i"/>
    <k n="Nom" t="i"/>
    <k n="P/E" t="i"/>
    <k n="Bêta" t="i"/>
    <k n="Haut" t="i"/>
    <k n="Prix" t="i"/>
    <k n="Ouvrir" t="i"/>
    <k n="Volume" t="i"/>
    <k n="Employés" t="i"/>
    <k n="Modifier" t="i"/>
    <k n="Volume moyen" t="i"/>
    <k n="Modification (%)" t="i"/>
    <k n="`%EntityServiceId" t="i"/>
    <k n="Clôture précédente" t="i"/>
    <k n="Actions en circulation" t="i"/>
    <k n="Capitalisation boursière" t="i"/>
    <k n="Dernière heure d'échange" t="i"/>
  </s>
  <s>
    <k n="Bas" t="s"/>
    <k n="Nom"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ctions en circulation" t="s"/>
    <k n="Bas depuis 52 semaines" t="s"/>
    <k n="Haut depuis 52 semaines" t="s"/>
    <k n="Capitalisation boursière" t="s"/>
    <k n="Dernière heure d'échange" t="s"/>
  </s>
  <s>
    <k n="Bas" t="i"/>
    <k n="Nom" t="i"/>
    <k n="Bêta" t="i"/>
    <k n="Haut" t="i"/>
    <k n="Prix" t="i"/>
    <k n="Ouvrir" t="i"/>
    <k n="Volume" t="i"/>
    <k n="Employés" t="i"/>
    <k n="Modifier" t="i"/>
    <k n="Volume moyen" t="i"/>
    <k n="Modification (%)" t="i"/>
    <k n="`%EntityServiceId" t="i"/>
    <k n="Clôture précédente" t="i"/>
    <k n="Actions en circulation" t="i"/>
    <k n="Bas depuis 52 semaines" t="i"/>
    <k n="Haut depuis 52 semaines" t="i"/>
    <k n="Capitalisation boursière" t="i"/>
    <k n="Dernière heure d'échange" t="i"/>
  </s>
  <s>
    <k n="Nom" t="s"/>
    <k n="P/E" t="s"/>
    <k n="Bêta"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s>
  <s>
    <k n="Nom" t="i"/>
    <k n="P/E" t="i"/>
    <k n="Bêta" t="i"/>
    <k n="Prix"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k n="Prix (horaires prolongés)" t="s"/>
  </s>
  <s>
    <k n="Bas" t="i"/>
    <k n="Nom" t="i"/>
    <k n="P/E" t="i"/>
    <k n="Bêta" t="i"/>
    <k n="Haut" t="i"/>
    <k n="Prix"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k n="Prix (horaires prolongés)" t="i"/>
  </s>
  <s>
    <k n="Prix" t="s"/>
    <k n="Modifier" t="s"/>
    <k n="Modification (%)" t="s"/>
    <k n="Dernière heure d'échange" t="s"/>
    <k n="Prix (horaires prolongés)" t="s"/>
  </s>
  <s>
    <k n="Bas" t="s"/>
    <k n="Nom" t="s"/>
    <k n="P/E" t="s"/>
    <k n="Bêta" t="s"/>
    <k n="Haut" t="s"/>
    <k n="Prix" t="s"/>
    <k n="Change" t="s"/>
    <k n="Devise" t="s"/>
    <k n="Ouvrir" t="s"/>
    <k n="Volume" t="s"/>
    <k n="Employés" t="s"/>
    <k n="Modifier" t="s"/>
    <k n="Industrie" t="s"/>
    <k n="ExchangeID" t="s"/>
    <k n="UniqueName" t="s"/>
    <k n="Description" t="s"/>
    <k n="Nom officiel" t="s"/>
    <k n="Volume moyen" t="s"/>
    <k n="%ProviderInfo" t="s"/>
    <k n="Sièges sociaux" t="s"/>
    <k n="Code mnémonique" t="s"/>
    <k n="LearnMoreOnLink" t="s"/>
    <k n="Modification (%)" t="s"/>
    <k n="Type d'instrument" t="s"/>
    <k n="Clôture précédente" t="s"/>
    <k n="Abréviation de change" t="s"/>
    <k n="Année de constitution" t="s"/>
    <k n="Actions en circulation" t="s"/>
    <k n="Bas depuis 52 semaines" t="s"/>
    <k n="Haut depuis 52 semaines" t="s"/>
    <k n="Capitalisation boursière" t="s"/>
    <k n="Dernière heure d'échange" t="s"/>
    <k n="Prix (horaires prolongés)" t="s"/>
    <k n="Changement (horaires prolongés)" t="s"/>
    <k n="Changement en % (horaires prolongés)" t="s"/>
  </s>
  <s>
    <k n="Bas" t="i"/>
    <k n="Nom" t="i"/>
    <k n="P/E" t="i"/>
    <k n="Bêta" t="i"/>
    <k n="Haut" t="i"/>
    <k n="Prix" t="i"/>
    <k n="Ouvrir" t="i"/>
    <k n="Volume" t="i"/>
    <k n="Employés" t="i"/>
    <k n="Modifier" t="i"/>
    <k n="Volume moyen" t="i"/>
    <k n="Modification (%)" t="i"/>
    <k n="`%EntityServiceId" t="i"/>
    <k n="Clôture précédente" t="i"/>
    <k n="Année de constitution" t="i"/>
    <k n="Actions en circulation" t="i"/>
    <k n="Bas depuis 52 semaines" t="i"/>
    <k n="Haut depuis 52 semaines" t="i"/>
    <k n="Capitalisation boursière" t="i"/>
    <k n="Dernière heure d'échange" t="i"/>
    <k n="Prix (horaires prolongés)" t="i"/>
    <k n="Changement (horaires prolongés)" t="i"/>
    <k n="Changement en % (horaires prolongés)" t="i"/>
  </s>
  <s>
    <k n="Prix" t="s"/>
    <k n="Modifier" t="s"/>
    <k n="Modification (%)" t="s"/>
    <k n="Dernière heure d'échange" t="s"/>
    <k n="Prix (horaires prolongés)" t="s"/>
    <k n="Changement (horaires prolongés)" t="s"/>
    <k n="Changement en % (horaires prolongés)"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8">
    <x:dxf>
      <x:numFmt numFmtId="0" formatCode="General"/>
    </x:dxf>
    <x:dxf>
      <x:numFmt numFmtId="4" formatCode="#,##0.00"/>
    </x:dxf>
    <x:dxf>
      <x:numFmt numFmtId="3" formatCode="#,##0"/>
    </x:dxf>
    <x:dxf>
      <x:numFmt numFmtId="14" formatCode="0.00%"/>
    </x:dxf>
    <x:dxf>
      <x:numFmt numFmtId="2" formatCode="0.00"/>
    </x:dxf>
    <x:dxf>
      <x:numFmt numFmtId="1" formatCode="0"/>
    </x:dxf>
    <x:dxf>
      <x:numFmt numFmtId="27" formatCode="dd/mm/yyyy\ hh:mm"/>
    </x:dxf>
    <x:dxf>
      <x:numFmt numFmtId="35" formatCode="_ * #,##0.00_)_ ;_ * \(#,##0.00\)_ ;_ * &quot;-&quot;??_)_ ;_ @_ "/>
    </x:dxf>
  </dxfs>
  <richProperties>
    <rPr n="NumberFormat" t="s"/>
    <rPr n="IsTitleField" t="b"/>
    <rPr n="IsHeroField" t="b"/>
  </richProperties>
  <richStyles>
    <rSty dxfid="0">
      <rpv i="0">_([$$-en-US]* #,##0.00_);_([$$-en-US]* (#,##0.00);_([$$-en-US]* "-"??_);_(@_)</rpv>
    </rSty>
    <rSty>
      <rpv i="1">1</rpv>
    </rSty>
    <rSty dxfid="1">
      <rpv i="0">#,##0.00</rpv>
    </rSty>
    <rSty dxfid="2">
      <rpv i="0">#,##0</rpv>
    </rSty>
    <rSty dxfid="3"/>
    <rSty dxfid="4">
      <rpv i="0">0.00</rpv>
    </rSty>
    <rSty dxfid="5">
      <rpv i="0">0</rpv>
    </rSty>
    <rSty dxfid="0">
      <rpv i="0">_([$$-en-US]* #,##0_);_([$$-en-US]* (#,##0);_([$$-en-US]* "-"_);_(@_)</rpv>
    </rSty>
    <rSty dxfid="6"/>
    <rSty dxfid="0">
      <rpv i="0" xml:space="preserve">_ [$CHF-fr-CH] * #,##0.00_ ;_ [$CHF-fr-CH] * -#,##0.00_ ;_ [$CHF-fr-CH] * "-"??_ ;_ @_ </rpv>
    </rSty>
    <rSty dxfid="0">
      <rpv i="0" xml:space="preserve">_ [$CHF-fr-CH] * #,##0_ ;_ [$CHF-fr-CH] * -#,##0_ ;_ [$CHF-fr-CH] * "-"_ ;_ @_ </rpv>
    </rSty>
    <rSty dxfid="0">
      <rpv i="0">_([$€-x-euro2] * #,##0.00_);_([$€-x-euro2] * (#,##0.00);_([$€-x-euro2] * "-"??_);_(@_)</rpv>
    </rSty>
    <rSty dxfid="0">
      <rpv i="0">_([$€-x-euro2] * #,##0_);_([$€-x-euro2] * (#,##0);_([$€-x-euro2] * "-"_);_(@_)</rpv>
    </rSty>
    <rSty>
      <rpv i="2">1</rpv>
    </rSty>
    <rSty dxfid="0">
      <rpv i="0">_([$£-en-GB]* #,##0_);_([$£-en-GB]* (#,##0);_([$£-en-GB]* "-"_);_(@_)</rpv>
    </rSty>
    <rSty dxfid="7">
      <rpv i="0">_(* #,##0.00_);_(* (#,##0.00);_(* "-"??_);_(@_)</rpv>
    </rSty>
    <rSty dxfid="0">
      <rpv i="0">_-* #,##0.00 [$kr-se-SE]_-;-* #,##0.00 [$kr-se-SE]_-;_-* "-"?? [$kr-se-SE]_-;_-@_-</rpv>
    </rSty>
    <rSty dxfid="0">
      <rpv i="0">_-* #,##0 [$kr-se-SE]_-;-* #,##0 [$kr-se-SE]_-;_-* "-" [$kr-se-SE]_-;_-@_-</rpv>
    </rSty>
    <rSty dxfid="0">
      <rpv i="0" xml:space="preserve">_ * #,##0.00_) [$kr-fo-FO]_ ;_ * (#,##0.00) [$kr-fo-FO]_ ;_ * "-"??_) [$kr-fo-FO]_ ;_ @_ </rpv>
    </rSty>
    <rSty dxfid="0">
      <rpv i="0" xml:space="preserve">_ * #,##0_) [$kr-fo-FO]_ ;_ * (#,##0) [$kr-fo-FO]_ ;_ * "-"_) [$kr-fo-FO]_ ;_ @_ </rpv>
    </rSty>
    <rSty dxfid="0">
      <rpv i="0">_([$HK$-zh-HK]* #,##0_);_([$HK$-zh-HK]* (#,##0);_([$HK$-zh-HK]* "-"_);_(@_)</rpv>
    </rSty>
    <rSty dxfid="0">
      <rpv i="0">_([$HK$-zh-HK]* #,##0.00_);_([$HK$-zh-HK]* (#,##0.00);_([$HK$-zh-HK]* "-"??_);_(@_)</rpv>
    </rSty>
    <rSty dxfid="0">
      <rpv i="0">_([$$-en-AU]* #,##0.00_);_([$$-en-AU]* (#,##0.00);_([$$-en-AU]* "-"??_);_(@_)</rpv>
    </rSty>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de_la_société" xr10:uid="{08065A79-FAF1-4A30-AFAE-900EE3478AED}" sourceName="Nom de la société">
  <pivotTables>
    <pivotTable tabId="39" name="Tab Dyn Somme CA et EBE"/>
    <pivotTable tabId="41" name="Tab Dyn Productivité"/>
  </pivotTables>
  <data>
    <tabular pivotCacheId="1131798939">
      <items count="170">
        <i x="108"/>
        <i x="35"/>
        <i x="32"/>
        <i x="1"/>
        <i x="47"/>
        <i x="74"/>
        <i x="162"/>
        <i x="142"/>
        <i x="149"/>
        <i x="155"/>
        <i x="93"/>
        <i x="36"/>
        <i x="168"/>
        <i x="51"/>
        <i x="10"/>
        <i x="132"/>
        <i x="146"/>
        <i x="85"/>
        <i x="41"/>
        <i x="148"/>
        <i x="94"/>
        <i x="161"/>
        <i x="40"/>
        <i x="106"/>
        <i x="75"/>
        <i x="17"/>
        <i x="103"/>
        <i x="91"/>
        <i x="151"/>
        <i x="68"/>
        <i x="44"/>
        <i x="46"/>
        <i x="154"/>
        <i x="19"/>
        <i x="16"/>
        <i x="61"/>
        <i x="67"/>
        <i x="34"/>
        <i x="37"/>
        <i x="101"/>
        <i x="159"/>
        <i x="18" s="1"/>
        <i x="128"/>
        <i x="15"/>
        <i x="0"/>
        <i x="129"/>
        <i x="11"/>
        <i x="104"/>
        <i x="3"/>
        <i x="22"/>
        <i x="14"/>
        <i x="76"/>
        <i x="137"/>
        <i x="48"/>
        <i x="165"/>
        <i x="127"/>
        <i x="114"/>
        <i x="53"/>
        <i x="134"/>
        <i x="121"/>
        <i x="72"/>
        <i x="63"/>
        <i x="80"/>
        <i x="164"/>
        <i x="81"/>
        <i x="99"/>
        <i x="100"/>
        <i x="126"/>
        <i x="77"/>
        <i x="96"/>
        <i x="116"/>
        <i x="169"/>
        <i x="92"/>
        <i x="110"/>
        <i x="33"/>
        <i x="163"/>
        <i x="50"/>
        <i x="84"/>
        <i x="141"/>
        <i x="24"/>
        <i x="65"/>
        <i x="112"/>
        <i x="153"/>
        <i x="8"/>
        <i x="7"/>
        <i x="109"/>
        <i x="125"/>
        <i x="115"/>
        <i x="25"/>
        <i x="97"/>
        <i x="166"/>
        <i x="147"/>
        <i x="122"/>
        <i x="20"/>
        <i x="60"/>
        <i x="86"/>
        <i x="107"/>
        <i x="28"/>
        <i x="138"/>
        <i x="56"/>
        <i x="140"/>
        <i x="69"/>
        <i x="143"/>
        <i x="98"/>
        <i x="90"/>
        <i x="105"/>
        <i x="66"/>
        <i x="39"/>
        <i x="136"/>
        <i x="120"/>
        <i x="118"/>
        <i x="78"/>
        <i x="64"/>
        <i x="27"/>
        <i x="135"/>
        <i x="88"/>
        <i x="23"/>
        <i x="29"/>
        <i x="167"/>
        <i x="157"/>
        <i x="123"/>
        <i x="111"/>
        <i x="73"/>
        <i x="5"/>
        <i x="83"/>
        <i x="38"/>
        <i x="133"/>
        <i x="117"/>
        <i x="130"/>
        <i x="54"/>
        <i x="152"/>
        <i x="70"/>
        <i x="79"/>
        <i x="49"/>
        <i x="4"/>
        <i x="145"/>
        <i x="131"/>
        <i x="156"/>
        <i x="42"/>
        <i x="45"/>
        <i x="160"/>
        <i x="144"/>
        <i x="119"/>
        <i x="43"/>
        <i x="13"/>
        <i x="2"/>
        <i x="95"/>
        <i x="150"/>
        <i x="89"/>
        <i x="26"/>
        <i x="55"/>
        <i x="124"/>
        <i x="21"/>
        <i x="113"/>
        <i x="158"/>
        <i x="62"/>
        <i x="82"/>
        <i x="12"/>
        <i x="6"/>
        <i x="71"/>
        <i x="58"/>
        <i x="9"/>
        <i x="87"/>
        <i x="102"/>
        <i x="57"/>
        <i x="30"/>
        <i x="139"/>
        <i x="31"/>
        <i x="59"/>
        <i x="5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de la société" xr10:uid="{940C147C-F504-4D55-8914-1E12C79A1F43}" cache="Segment_Nom_de_la_société" caption="Nom de la société" rowHeight="257175"/>
</slicer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FA6AD4-5999-4218-A101-B87934CC8AB9}" name="Tableau3" displayName="Tableau3" ref="A2:AC4651" totalsRowShown="0" headerRowDxfId="440" dataDxfId="439">
  <autoFilter ref="A2:AC4651" xr:uid="{21FA6AD4-5999-4218-A101-B87934CC8AB9}"/>
  <tableColumns count="29">
    <tableColumn id="29" xr3:uid="{E2137B73-A56B-4CEC-93CC-87FA359B2DCB}" name="Nom entreprise" dataDxfId="438"/>
    <tableColumn id="3" xr3:uid="{865DB7B5-A5EF-451A-B74B-507AA4F1D3E0}" name="Secteur" dataDxfId="437"/>
    <tableColumn id="4" xr3:uid="{68993849-311E-4F92-9BCB-5CBC0D131F5C}" name="Pays" dataDxfId="436"/>
    <tableColumn id="5" xr3:uid="{1CCE9C10-5234-4091-9232-847487A45D7B}" name="Devise" dataDxfId="435"/>
    <tableColumn id="6" xr3:uid="{EEEBF6A5-C9E3-4AE4-A002-6859FDB95C9C}" name="Cours" dataDxfId="434"/>
    <tableColumn id="7" xr3:uid="{0C756AD4-4B1D-4ED2-9A9A-E5D2C88C9D83}" name="Année" dataDxfId="433"/>
    <tableColumn id="8" xr3:uid="{078E8669-35D2-42D9-AE52-D685AF0F7DCF}" name="Chiffre d'affaires" dataDxfId="432" dataCellStyle="Milliers"/>
    <tableColumn id="9" xr3:uid="{C5D09076-54AF-4E87-9020-9DC1869729A9}" name="EBE" dataDxfId="431"/>
    <tableColumn id="10" xr3:uid="{E6EDC236-3880-4631-895E-5DDB0E5D683A}" name="Résultat d'exploitation" dataDxfId="430"/>
    <tableColumn id="11" xr3:uid="{E353A8AA-E9FD-43F1-8B12-BFE94CFE3329}" name="Résultat Net (PdG)" dataDxfId="429"/>
    <tableColumn id="12" xr3:uid="{70EB58BD-1A9D-410D-A506-9C5CA73B671B}" name="Dettes" dataDxfId="428"/>
    <tableColumn id="13" xr3:uid="{0A612789-4A13-490A-908C-0CBCE6A00EB6}" name="Fonds propres" dataDxfId="427"/>
    <tableColumn id="14" xr3:uid="{35850BA2-0BDA-4CAE-9DF8-76DC3A779A85}" name="Actif net/action" dataDxfId="426"/>
    <tableColumn id="15" xr3:uid="{7E920997-35CC-4A6E-83A7-BC01C4D7C20E}" name="ROE" dataDxfId="425"/>
    <tableColumn id="16" xr3:uid="{3C61750E-DE95-48D9-A52E-235C77D21C08}" name="ROCE" dataDxfId="424"/>
    <tableColumn id="17" xr3:uid="{4B591EC5-EAF8-472B-940E-AD8ADF826E19}" name="Titres" dataDxfId="423"/>
    <tableColumn id="18" xr3:uid="{141200A5-67AF-4B5F-91AF-A4CEE3F539EB}" name="Capi" dataDxfId="422"/>
    <tableColumn id="19" xr3:uid="{167E63D1-AA50-465D-BCAD-BFA526FE46E6}" name="Capi / Actif Net" dataDxfId="421"/>
    <tableColumn id="20" xr3:uid="{63FDAF90-CDB7-4BA7-91C5-1CB8D6336FCD}" name="VE /_x000a_EBE" dataDxfId="420"/>
    <tableColumn id="36" xr3:uid="{AAB9EF74-80DD-5743-85D5-0ABFA6D4CA71}" name="Excédent de flux" dataDxfId="419" dataCellStyle="Milliers"/>
    <tableColumn id="37" xr3:uid="{796D417B-A8AB-0D4A-A28D-08B2B9A0267A}" name="Dettes / EBE" dataDxfId="418" dataCellStyle="Pourcentage">
      <calculatedColumnFormula>IFERROR(IF(Tableau3[[#This Row],[Dettes]]=0,"",(Tableau3[[#This Row],[Dettes]]/Tableau3[[#This Row],[EBE]])),"")</calculatedColumnFormula>
    </tableColumn>
    <tableColumn id="39" xr3:uid="{AC9ECB86-B8F8-664D-B61D-A47EDC028C9E}" name="Fonds propres / Bilan" dataDxfId="417" dataCellStyle="Pourcentage">
      <calculatedColumnFormula>IFERROR(Tableau3[[#This Row],[Fonds propres]]/Tableau3[[#This Row],[Total Bilan]],"")</calculatedColumnFormula>
    </tableColumn>
    <tableColumn id="24" xr3:uid="{C20BD73B-8478-4A01-A5F6-C48BC82777EC}" name="Total Bilan" dataDxfId="416" dataCellStyle="Milliers"/>
    <tableColumn id="21" xr3:uid="{5840912D-D6DA-4DB2-BC7A-DD72174E2CED}" name="Rating " dataDxfId="415"/>
    <tableColumn id="22" xr3:uid="{AAACB308-7EA7-4AA3-966C-27A24051D131}" name="Salariés" dataDxfId="414" dataCellStyle="Milliers"/>
    <tableColumn id="23" xr3:uid="{84160B30-EEA1-445E-A677-0F107C7A0A14}" name="Productivité" dataDxfId="413" dataCellStyle="Milliers">
      <calculatedColumnFormula>IFERROR(Tableau3[[#This Row],[Chiffre d''affaires]]/Tableau3[[#This Row],[Salariés]],"")</calculatedColumnFormula>
    </tableColumn>
    <tableColumn id="25" xr3:uid="{5325FDE6-363E-4B6D-8E48-A8B5583DCF5C}" name="ESG" dataDxfId="412"/>
    <tableColumn id="32" xr3:uid="{69F291BF-AFBA-4586-BBDB-CC84DBB2151F}" name="Indicateur Clé" dataDxfId="411"/>
    <tableColumn id="26" xr3:uid="{C7118F80-3A2D-4363-AAB7-8D2C48AC5BC3}" name="Commentaires" dataDxfId="4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229D412-935A-4BE6-AE6C-8700E0FFD0EE}" name="Tableau17" displayName="Tableau17" ref="A2:Z263" totalsRowCount="1" headerRowDxfId="409" dataDxfId="408" totalsRowDxfId="407">
  <autoFilter ref="A2:Z262" xr:uid="{1229D412-935A-4BE6-AE6C-8700E0FFD0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A3:Z262">
    <sortCondition ref="Y3:Y262"/>
    <sortCondition ref="Z3:Z262"/>
  </sortState>
  <tableColumns count="26">
    <tableColumn id="20" xr3:uid="{4FDCDC97-205D-4DB6-B534-5C554BBB72EA}" name="Isin" dataDxfId="406" totalsRowDxfId="405"/>
    <tableColumn id="1" xr3:uid="{A028C422-691D-46F2-9422-35A4C14B9D58}" name="Société" totalsRowLabel="Total" dataDxfId="404" totalsRowDxfId="403"/>
    <tableColumn id="2" xr3:uid="{AC1922C8-84C4-4158-AF43-70A2BF28EF62}" name="Séparation DG _x000a_/ Président du CA" dataDxfId="402" totalsRowDxfId="401"/>
    <tableColumn id="3" xr3:uid="{28557864-C092-4881-8827-425338DD0CD4}" name="Nom du dirigeant" dataDxfId="400" totalsRowDxfId="399"/>
    <tableColumn id="4" xr3:uid="{E4738D8A-3671-4739-8037-06567B8B2F87}" name="Date de naissance" dataDxfId="398" totalsRowDxfId="397"/>
    <tableColumn id="5" xr3:uid="{5D00B1F5-9EB9-4205-8B7F-D684B199C4C6}" name="Entrée dans la société" dataDxfId="396" totalsRowDxfId="395"/>
    <tableColumn id="6" xr3:uid="{4A784C17-E4F7-44BB-B4B2-E15324E392CB}" name="Début de mandat" dataDxfId="394" totalsRowDxfId="393"/>
    <tableColumn id="7" xr3:uid="{B6224C85-7505-4F5A-8BF6-A3124CA3B0C7}" name="Fin de mandat" dataDxfId="392" totalsRowDxfId="391"/>
    <tableColumn id="24" xr3:uid="{D7324B2E-DDD6-4347-A524-1E629F46D76E}" name="Nombre d'année dans l'entreprise" dataDxfId="390" totalsRowDxfId="389">
      <calculatedColumnFormula>IF(2023-Tableau17[[#This Row],[Entrée dans la société]]&gt;100,"",2023-Tableau17[[#This Row],[Entrée dans la société]])</calculatedColumnFormula>
    </tableColumn>
    <tableColumn id="23" xr3:uid="{FE393FD9-B9F3-C540-B5DF-BA7AC56B1CCA}" name="Nombre d'années en poste" dataDxfId="388" totalsRowDxfId="387">
      <calculatedColumnFormula>IF(2023-Tableau17[[#This Row],[Début de mandat]]&gt;100,"",2024-Tableau17[[#This Row],[Début de mandat]])</calculatedColumnFormula>
    </tableColumn>
    <tableColumn id="26" xr3:uid="{DA6ADCDC-453C-CE4D-BF01-09E72732E707}" name="Nombre de titres au 31/12/2024" dataDxfId="386" totalsRowDxfId="385"/>
    <tableColumn id="25" xr3:uid="{16A79D3C-41FF-354D-8CD4-EDE8F2DC579E}" name="Nombre de titres au 31/12/2023" dataDxfId="384" totalsRowDxfId="383"/>
    <tableColumn id="8" xr3:uid="{EFB696D4-EBA4-4B61-912F-FA167DE35A39}" name="Nombre de titres au 31/12/2022" dataDxfId="382" totalsRowDxfId="381"/>
    <tableColumn id="9" xr3:uid="{FC33DE41-4087-499B-971D-4AD316033CDF}" name="Nombre de titres au 31/12/2021" dataDxfId="380" totalsRowDxfId="379" dataCellStyle="Milliers"/>
    <tableColumn id="10" xr3:uid="{EF11F561-6014-4C78-AF4E-BD752CD3EBBD}" name="Nombre de titres au 31/12/2020" dataDxfId="378" totalsRowDxfId="377"/>
    <tableColumn id="11" xr3:uid="{82327E67-0732-4C9E-BF25-1C715EA0911B}" name="Nombre de titres au 31/12/2019" dataDxfId="376" totalsRowDxfId="375"/>
    <tableColumn id="12" xr3:uid="{5C7CE556-C13F-4718-A04C-CB9754BAE445}" name="Nombre de titres au 31/12/2018" dataDxfId="374" totalsRowDxfId="373"/>
    <tableColumn id="13" xr3:uid="{A4993C17-FE48-4737-ABA2-FC74D10F9AC1}" name="Nombre de titres au 31/12/2017" dataDxfId="372" totalsRowDxfId="371"/>
    <tableColumn id="14" xr3:uid="{DF1F7420-7A6C-45B2-9A3A-00E82ABEC4D0}" name="Nombre de titres au 31/12/2016" dataDxfId="370" totalsRowDxfId="369"/>
    <tableColumn id="15" xr3:uid="{B21A4039-0EA1-444B-9B1B-B1AE7607EE3F}" name="Nombre de titres au 31/12/2015" dataDxfId="368" totalsRowDxfId="367"/>
    <tableColumn id="16" xr3:uid="{2456B5F6-088B-4EA7-867A-71AB18D903F3}" name="Cours de l'action" dataDxfId="366" totalsRowDxfId="365"/>
    <tableColumn id="17" xr3:uid="{C76B7EBF-AED0-4DE1-A833-DCE4F268BCCC}" name="Valeur de la participation" dataDxfId="364" totalsRowDxfId="363" dataCellStyle="Milliers">
      <calculatedColumnFormula>U3*N3</calculatedColumnFormula>
    </tableColumn>
    <tableColumn id="18" xr3:uid="{4FBC3F9C-5A3A-449F-9056-85B19B638D27}" name="Commentaires" dataDxfId="362" totalsRowDxfId="361"/>
    <tableColumn id="19" xr3:uid="{BFDA4CD3-0AAB-4504-9C9F-BC8EC4DCED6F}" name="Index" totalsRowFunction="sum" dataDxfId="360" totalsRowDxfId="359">
      <calculatedColumnFormula>'Réf cellules RB'!A3</calculatedColumnFormula>
    </tableColumn>
    <tableColumn id="21" xr3:uid="{0AFBEC14-2C8C-4FDF-B171-2AE41D2AE629}" name="Intérêt" dataDxfId="358" totalsRowDxfId="357">
      <calculatedColumnFormula>_xlfn.XLOOKUP(Tableau17[[#This Row],[Isin]],Tableau1[Isin],Tableau1[Sum intérêt])</calculatedColumnFormula>
    </tableColumn>
    <tableColumn id="22" xr3:uid="{A00E55E6-8B8F-47E8-9A4B-262D2BD8FCDF}" name="Nom de la société" dataDxfId="356" totalsRowDxfId="355">
      <calculatedColumnFormula>_xlfn.XLOOKUP(Tableau17[[#This Row],[Isin]],Tableau1[Isin],Tableau1[Liste des sociétés])</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EB256F-48EE-4520-AC6B-0C926DB16C04}" name="Tableau4" displayName="Tableau4" ref="B2:L144" totalsRowCount="1" headerRowDxfId="354" dataDxfId="353" totalsRowDxfId="352">
  <autoFilter ref="B2:L143" xr:uid="{8BEB256F-48EE-4520-AC6B-0C926DB16C04}"/>
  <sortState xmlns:xlrd2="http://schemas.microsoft.com/office/spreadsheetml/2017/richdata2" ref="B3:L143">
    <sortCondition ref="C3:C143"/>
    <sortCondition ref="E3:E143"/>
  </sortState>
  <tableColumns count="11">
    <tableColumn id="1" xr3:uid="{35C6DE9A-9B9F-4C54-BA10-E116FD02A245}" name="Index" totalsRowLabel="Total" dataDxfId="351" totalsRowDxfId="350">
      <calculatedColumnFormula>'Réf cellules RB'!A2</calculatedColumnFormula>
    </tableColumn>
    <tableColumn id="21" xr3:uid="{2905B9AE-3CDB-480B-972E-1222AA9AF033}" name="Intérêt" dataDxfId="349" totalsRowDxfId="348">
      <calculatedColumnFormula>IFERROR(IF(_xlfn.XLOOKUP(Tableau4[[#This Row],[Isin]],Tableau1[Isin],Tableau1[Sum intérêt])=0,"",_xlfn.XLOOKUP(Tableau4[[#This Row],[Isin]],Tableau1[Isin],Tableau1[Sum intérêt])),"")</calculatedColumnFormula>
    </tableColumn>
    <tableColumn id="2" xr3:uid="{3B4B25CC-8098-45B5-8B2D-24E2962887F1}" name="Isin" totalsRowLabel="Titres analysés : " dataDxfId="347" totalsRowDxfId="346"/>
    <tableColumn id="3" xr3:uid="{22A74EF9-D597-40AF-8E10-EF5208C01E34}" name="Société" totalsRowFunction="custom" dataDxfId="345" totalsRowDxfId="344">
      <totalsRowFormula>SUBTOTAL(103,Tableau4[Société])-3</totalsRowFormula>
    </tableColumn>
    <tableColumn id="14" xr3:uid="{473D5792-1C79-40BC-B08E-AFCD94B393F6}" name="Europe" dataDxfId="343" totalsRowDxfId="342"/>
    <tableColumn id="15" xr3:uid="{FDCAB4CF-9380-4F38-B69D-07C31C901BD9}" name="Amérique du Nord" dataDxfId="341" totalsRowDxfId="340"/>
    <tableColumn id="16" xr3:uid="{C040ECF8-DF15-4725-AC62-FF1DB4FA2952}" name="Asie" dataDxfId="339" totalsRowDxfId="338"/>
    <tableColumn id="17" xr3:uid="{0CD3A50C-5F55-40A9-8BE3-9EE785C56FAF}" name="Chine" dataDxfId="337" totalsRowDxfId="336"/>
    <tableColumn id="18" xr3:uid="{417F9641-B32E-4B97-A371-A50E737FE0B3}" name="Amérique du Sud" dataDxfId="335" totalsRowDxfId="334"/>
    <tableColumn id="19" xr3:uid="{EB1B2A22-BCE8-447D-ABA5-8A450D87BA76}" name="Reste du Monde" dataDxfId="333" totalsRowDxfId="332"/>
    <tableColumn id="20" xr3:uid="{418A1782-B67E-4865-9247-09311A205305}" name="Total" totalsRowFunction="count" dataDxfId="331" totalsRowDxfId="330" dataCellStyle="Pourcentage">
      <calculatedColumnFormula>IF(SUM(Tableau4[[#This Row],[Europe]:[Reste du Monde]])=0,"",SUM(Tableau4[[#This Row],[Europe]:[Reste du Monde]]))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5BB692B-7408-4D3B-BEA1-AE52D8226611}" name="Liste_unique_Société" displayName="Liste_unique_Société" ref="A1:AB329" tableType="queryTable" totalsRowShown="0">
  <autoFilter ref="A1:AB329" xr:uid="{25BB692B-7408-4D3B-BEA1-AE52D8226611}"/>
  <tableColumns count="28">
    <tableColumn id="27" xr3:uid="{3BE35E09-DE8C-470F-8B66-3FE0B4EBC282}" uniqueName="27" name="Notation par agence " queryTableFieldId="41"/>
    <tableColumn id="1" xr3:uid="{23702BC7-C5AF-4CB9-BBA4-3425843FBE68}" uniqueName="1" name="Liste des sociétés" queryTableFieldId="1" dataDxfId="329"/>
    <tableColumn id="2" xr3:uid="{E127ADFE-A6AD-4354-B536-7FE908CDB92D}" uniqueName="2" name="Isin" queryTableFieldId="2" dataDxfId="328"/>
    <tableColumn id="6" xr3:uid="{F0AAE29E-BC8C-EA4C-A8E9-C41B32C6E573}" uniqueName="6" name="EBE 2022" queryTableFieldId="8"/>
    <tableColumn id="5" xr3:uid="{ABBD7C7F-DEC6-4650-8DE6-FCA2827D1D3B}" uniqueName="5" name="RN Groupe 2023" queryTableFieldId="5"/>
    <tableColumn id="7" xr3:uid="{7FAFC1BB-66E5-421A-AAFE-CE564C02E44F}" uniqueName="7" name="RN Groupe 2022" queryTableFieldId="10"/>
    <tableColumn id="23" xr3:uid="{D305DD26-14CE-4A89-BDAC-7BCD20873BE8}" uniqueName="23" name="RN Groupe 2022_x000a_Manuel" queryTableFieldId="33"/>
    <tableColumn id="9" xr3:uid="{7226DB92-9DA6-4584-A9E3-F5B14C3E4A8D}" uniqueName="9" name="RN Groupe 2021" queryTableFieldId="13"/>
    <tableColumn id="25" xr3:uid="{5D8BE867-1395-43CD-8C1F-DFA8F4314541}" uniqueName="25" name="RN Groupe 2021_x000a_Manuel" queryTableFieldId="37"/>
    <tableColumn id="10" xr3:uid="{4FBECF15-3280-4D57-9343-72B0F5BD9A70}" uniqueName="10" name="RN Groupe 2020" queryTableFieldId="14"/>
    <tableColumn id="11" xr3:uid="{049F654B-9486-4159-90CD-2277A1636D4F}" uniqueName="11" name="RN Groupe 2019" queryTableFieldId="15"/>
    <tableColumn id="12" xr3:uid="{7BA2F8BE-5835-4551-A00A-421B83F972CC}" uniqueName="12" name="RN Groupe 2018" queryTableFieldId="16"/>
    <tableColumn id="13" xr3:uid="{2A8F29BF-7BB1-4613-B458-2477906B2B0F}" uniqueName="13" name="RN Groupe 2017" queryTableFieldId="17"/>
    <tableColumn id="14" xr3:uid="{7AB70C93-9FEB-47F2-8BB1-378567A227A2}" uniqueName="14" name="RN Groupe 2016" queryTableFieldId="18"/>
    <tableColumn id="4" xr3:uid="{426AC728-BC5E-40CB-AD71-D92178AAEEC4}" uniqueName="4" name="PER 2021" queryTableFieldId="4"/>
    <tableColumn id="3" xr3:uid="{54F52709-1489-4376-9B9A-894050CDF294}" uniqueName="3" name="Sous secteur" queryTableFieldId="7"/>
    <tableColumn id="8" xr3:uid="{8870005D-91D7-4311-B672-0880F377B999}" uniqueName="8" name="Indice" queryTableFieldId="11"/>
    <tableColumn id="15" xr3:uid="{97F1A3AD-76E5-4EB8-9389-A5F350706863}" uniqueName="15" name="Capitalisation 2016" queryTableFieldId="25"/>
    <tableColumn id="16" xr3:uid="{AD580335-5667-4D4E-8690-19605519A34E}" uniqueName="16" name="Capitalisation 2017" queryTableFieldId="26"/>
    <tableColumn id="17" xr3:uid="{64514591-27DF-4376-904F-25711A94413C}" uniqueName="17" name="Capitalisation 2018" queryTableFieldId="27"/>
    <tableColumn id="18" xr3:uid="{3E45511C-B859-4249-8278-8ACA02D70336}" uniqueName="18" name="Capitalisation 2019" queryTableFieldId="28"/>
    <tableColumn id="19" xr3:uid="{2B7A9806-BD20-4C2C-ACBA-C92CA7183C9C}" uniqueName="19" name="Capitalisation 2020" queryTableFieldId="29"/>
    <tableColumn id="20" xr3:uid="{59566C72-43AE-46DD-AB3C-3D91D5B63465}" uniqueName="20" name="Capitalisation 2021" queryTableFieldId="30"/>
    <tableColumn id="26" xr3:uid="{2A9D7EAA-2B31-4DD9-AB6C-EDC15F5E8437}" uniqueName="26" name="Capitalisation 2021_x000a_Manuel" queryTableFieldId="38"/>
    <tableColumn id="21" xr3:uid="{3D138411-F43F-4197-8B6C-53706A1B92E0}" uniqueName="21" name="Capitalisation 2022" queryTableFieldId="31"/>
    <tableColumn id="24" xr3:uid="{0495AAD5-E2B5-474E-814D-68A7EC392945}" uniqueName="24" name="Capitalisation 2022_x000a_Manuel" queryTableFieldId="35"/>
    <tableColumn id="22" xr3:uid="{CC6E9A70-B89B-4A0A-9F8E-A231CD3C173A}" uniqueName="22" name="Capitalisation 2023" queryTableFieldId="32"/>
    <tableColumn id="28" xr3:uid="{9CB5FAD5-0CC5-4A28-9DCB-42E601D9F0C7}" uniqueName="28" name="Description" queryTableFieldId="4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CACA91-4D5B-4FB0-A487-FA3F52B0D4D6}" name="Tableau1" displayName="Tableau1" ref="C1:BM358" totalsRowCount="1" headerRowDxfId="327" dataDxfId="326" totalsRowDxfId="325">
  <autoFilter ref="C1:BM357" xr:uid="{7ACACA91-4D5B-4FB0-A487-FA3F52B0D4D6}"/>
  <sortState xmlns:xlrd2="http://schemas.microsoft.com/office/spreadsheetml/2017/richdata2" ref="C68:BM68">
    <sortCondition ref="N1:N357"/>
  </sortState>
  <tableColumns count="63">
    <tableColumn id="28" xr3:uid="{6B50F371-3078-4E95-A72A-5BAF3D995A0A}" name="Portefeuille / Future invest" dataDxfId="324" totalsRowDxfId="323"/>
    <tableColumn id="32" xr3:uid="{091D5275-1B6B-405F-A439-0F4CAAB1F5AC}" name="Sum intérêt" dataDxfId="322" totalsRowDxfId="321">
      <calculatedColumnFormula>IF(Tableau1[[#This Row],[Isin]]="",99,Tableau1[[#This Row],[Intérêt]]+Tableau1[[#This Row],[Valeur d''intérêt]]+Tableau1[[#This Row],[N° Portefeuille]])</calculatedColumnFormula>
    </tableColumn>
    <tableColumn id="27" xr3:uid="{D91152DC-FD8A-4A06-AA5C-31641226E8F4}" name="Intérêt" dataDxfId="320" totalsRowDxfId="319"/>
    <tableColumn id="31" xr3:uid="{9A60FC29-CED5-41EF-81F4-A4BCF4F95BBB}" name="Valeur d'intérêt" dataDxfId="318" totalsRowDxfId="317">
      <calculatedColumnFormula>IF(Tableau1[[#This Row],[Portefeuille]]="p",0,Tableau1[[#This Row],[F. Investissement
Niveau d''intérêt]]*10)</calculatedColumnFormula>
    </tableColumn>
    <tableColumn id="29" xr3:uid="{016E22CC-643A-4761-AAB8-BF2179F5ADE8}" name="N° Portefeuille" dataDxfId="316" totalsRowDxfId="315">
      <calculatedColumnFormula>IF(Tableau1[[#This Row],[Portefeuille]]="p",3,0)</calculatedColumnFormula>
    </tableColumn>
    <tableColumn id="30" xr3:uid="{6DB6909D-BB14-4DDB-A091-DC30C1E5BBD2}" name="F. Investissement_x000a_Niveau d'intérêt" dataDxfId="314" totalsRowDxfId="313"/>
    <tableColumn id="43" xr3:uid="{C3346109-66EF-4184-8A0A-E0385A988201}" name="Historique" dataDxfId="312" totalsRowDxfId="311"/>
    <tableColumn id="25" xr3:uid="{B1FD4C85-042C-4BC8-BD96-D6BBC3009962}" name="A Suivre" dataDxfId="310" totalsRowDxfId="309"/>
    <tableColumn id="24" xr3:uid="{02DA8457-4FE8-4571-968D-D585E73C4601}" name="Portefeuille" dataDxfId="308" totalsRowDxfId="307"/>
    <tableColumn id="16" xr3:uid="{D9DC210E-EB0A-4746-B737-94243BF30D8B}" name="Analysée_x000a_1 = Oui_x000a_0 = Non" totalsRowLabel="Total" dataDxfId="306" totalsRowDxfId="305"/>
    <tableColumn id="42" xr3:uid="{9F285ECE-7AF1-4896-9258-5EF215FAC6DD}" name="Notation par agence " dataDxfId="304" totalsRowDxfId="303">
      <calculatedColumnFormula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calculatedColumnFormula>
    </tableColumn>
    <tableColumn id="1" xr3:uid="{A052E62C-9D87-49EA-A08E-2A5F8BA397D4}" name="Liste des sociétés" totalsRowFunction="count" dataDxfId="302" totalsRowDxfId="301"/>
    <tableColumn id="3" xr3:uid="{23B370FC-BDF3-43A1-9842-72CEC0E97316}" name="Secteurs" dataDxfId="300" totalsRowDxfId="299"/>
    <tableColumn id="2" xr3:uid="{6F27B0A1-7EC5-4A01-964E-4D329F039570}" name="Pays" dataDxfId="298" totalsRowDxfId="297"/>
    <tableColumn id="4" xr3:uid="{52BB5D66-5A22-4FF6-81F9-C1B7E125C501}" name="Devise" dataDxfId="296" totalsRowDxfId="295"/>
    <tableColumn id="5" xr3:uid="{01C7925F-48C7-4BEE-8D22-87E4FF3E062E}" name="Notes" dataDxfId="294" totalsRowDxfId="293"/>
    <tableColumn id="6" xr3:uid="{A7937DDD-5996-488A-B0CD-4962C767B21E}" name="Isin" dataDxfId="292" totalsRowDxfId="291"/>
    <tableColumn id="7" xr3:uid="{1C19FDD8-CD53-48C8-9E85-8EF932FDB8CE}" name="Code Excel" dataDxfId="290" totalsRowDxfId="289"/>
    <tableColumn id="8" xr3:uid="{A58A09A8-8026-4FBA-8E36-2D3615485E54}" name="Capitalisation boursière" dataDxfId="288" totalsRowDxfId="287">
      <calculatedColumnFormula array="1">IFERROR(_FV(Tableau1[[#This Row],[Code Excel]],"Capitalisation boursière",TRUE),"")</calculatedColumnFormula>
    </tableColumn>
    <tableColumn id="9" xr3:uid="{77A8E6E6-A711-43D4-8DAF-460E23AE50F0}" name="Industrie" dataDxfId="286" totalsRowDxfId="285">
      <calculatedColumnFormula array="1">IFERROR(_FV(Tableau1[[#This Row],[Code Excel]],"Industrie"),"")</calculatedColumnFormula>
    </tableColumn>
    <tableColumn id="11" xr3:uid="{06253ADD-404A-4C17-8188-CCA21A18DDA2}" name="Grand Secteur" dataDxfId="284" totalsRowDxfId="283"/>
    <tableColumn id="14" xr3:uid="{ACB636C7-F5A6-48AD-A3FA-18180862B47D}" name="ID_Secteur" dataDxfId="282" totalsRowDxfId="281">
      <calculatedColumnFormula>Tableau1[[#This Row],[Grand Secteur]]&amp;Tableau1[[#This Row],[Industrie]]</calculatedColumnFormula>
    </tableColumn>
    <tableColumn id="10" xr3:uid="{BA6520AA-8E54-4DF1-A809-CF0C7B48D34F}" name="P/E" dataDxfId="280" totalsRowDxfId="279">
      <calculatedColumnFormula array="1">IFERROR(_FV(Tableau1[[#This Row],[Code Excel]],"P/E",TRUE),"")</calculatedColumnFormula>
    </tableColumn>
    <tableColumn id="12" xr3:uid="{0510E61A-B5D8-497B-B747-A56F1E9839CC}" name="Employés" dataDxfId="278" totalsRowDxfId="277">
      <calculatedColumnFormula array="1">IFERROR(_FV(Tableau1[[#This Row],[Code Excel]],"Employés"),"")</calculatedColumnFormula>
    </tableColumn>
    <tableColumn id="13" xr3:uid="{18C20498-1258-4701-88BB-4E37FE6D4784}" name="Capi / Employés" dataDxfId="276" totalsRowDxfId="275">
      <calculatedColumnFormula>IFERROR(Tableau1[[#This Row],[Capitalisation boursière]]/Tableau1[[#This Row],[Employés]],"")</calculatedColumnFormula>
    </tableColumn>
    <tableColumn id="18" xr3:uid="{ADDE5118-B00B-4DF3-9A1D-BDBBE4919379}" name="Marge OP (2021)" dataDxfId="274" totalsRowDxfId="273">
      <calculatedColumnFormula>IFERROR(Tableau1[[#This Row],[REX (2021)]]/Tableau1[[#This Row],[CA 2024]],"")</calculatedColumnFormula>
    </tableColumn>
    <tableColumn id="15" xr3:uid="{5E22902B-30A4-4BEB-AA3F-9BFD3F202F14}" name="REX (2021)" dataDxfId="272" totalsRowDxfId="271">
      <calculatedColumnFormula>IFERROR(_xlfn.XLOOKUP(Tableau1[[#This Row],[Isin]]&amp;1&amp;2021,#REF!,Tableau3[Résultat d''exploitation]),"")</calculatedColumnFormula>
    </tableColumn>
    <tableColumn id="33" xr3:uid="{6ADCA82D-2ABE-44AD-8099-7A0B34C55FCB}" name="CA 2019" dataDxfId="270" totalsRowDxfId="269">
      <calculatedColumnFormula>IFERROR(_xlfn.XLOOKUP(Tableau1[[#This Row],[Isin]]&amp;1&amp;2019,#REF!,Tableau3[Chiffre d''affaires]),"")</calculatedColumnFormula>
    </tableColumn>
    <tableColumn id="17" xr3:uid="{521F9491-E0A6-4A95-BCF5-1B06DDE91BB8}" name="CA 2024" dataDxfId="268" totalsRowDxfId="267">
      <calculatedColumnFormula>IFERROR(_xlfn.XLOOKUP(Tableau1[[#This Row],[Isin]]&amp;1&amp;2024,#REF!,Tableau3[Chiffre d''affaires]),"")</calculatedColumnFormula>
    </tableColumn>
    <tableColumn id="34" xr3:uid="{B4E54A95-D018-4D20-9222-C8FE7373CC9F}" name="Évolution CA_x000a_(2019-2024)" dataDxfId="266" totalsRowDxfId="265" dataCellStyle="Pourcentage">
      <calculatedColumnFormula>IFERROR(IF((Tableau1[[#This Row],[CA 2024]]-Tableau1[[#This Row],[CA 2019]])/Tableau1[[#This Row],[CA 2019]]=-1,"",(Tableau1[[#This Row],[CA 2024]]-Tableau1[[#This Row],[CA 2019]])/Tableau1[[#This Row],[CA 2019]]),"")</calculatedColumnFormula>
    </tableColumn>
    <tableColumn id="26" xr3:uid="{41F1DDE8-C2DA-417A-A58E-9A33C06EBF7E}" name="EBE 2021" dataDxfId="264" totalsRowDxfId="263">
      <calculatedColumnFormula>IFERROR(_xlfn.XLOOKUP(Tableau1[[#This Row],[Isin]]&amp;1&amp;2021,#REF!,Tableau3[EBE]),"")</calculatedColumnFormula>
    </tableColumn>
    <tableColumn id="39" xr3:uid="{47C1F5CF-F6A3-477B-8CAD-4D3DFF034C58}" name="EBE 2022" dataDxfId="262" totalsRowDxfId="261">
      <calculatedColumnFormula>IFERROR(_xlfn.XLOOKUP(Tableau1[[#This Row],[Isin]]&amp;1&amp;2022,#REF!,Tableau3[EBE]),"")</calculatedColumnFormula>
    </tableColumn>
    <tableColumn id="19" xr3:uid="{28F8C676-A4A2-4A1D-A133-8BD7DCFB6A35}" name="Valeur Ajoutée" dataDxfId="260" totalsRowDxfId="259"/>
    <tableColumn id="20" xr3:uid="{81F9E7B5-4ECC-4D59-921C-0DD261004E14}" name="Tendance long-terme" dataDxfId="258" totalsRowDxfId="257"/>
    <tableColumn id="21" xr3:uid="{DE2C3B07-306A-4066-B746-1053D95535B5}" name="Concurrence" dataDxfId="256" totalsRowDxfId="255"/>
    <tableColumn id="22" xr3:uid="{4B22E4A9-8A46-45F8-93D6-9593BCE55FED}" name="Barrière à l'entrée" dataDxfId="254" totalsRowDxfId="253"/>
    <tableColumn id="23" xr3:uid="{110BA417-DC1E-4B73-A9EF-5BA2C2161C6A}" name="ESG" dataDxfId="252" totalsRowDxfId="251"/>
    <tableColumn id="35" xr3:uid="{4C05ED24-3411-459F-9B50-C82335DB4549}" name="CA 2021" dataDxfId="250" totalsRowDxfId="249">
      <calculatedColumnFormula>IFERROR(_xlfn.XLOOKUP(Tableau1[[#This Row],[Isin]]&amp;1&amp;2021,#REF!,Tableau3[Chiffre d''affaires]),"")</calculatedColumnFormula>
    </tableColumn>
    <tableColumn id="36" xr3:uid="{DA8807A1-FDD6-44D9-AA75-2FB9E5A4F1C1}" name="P/E2" dataDxfId="248" totalsRowDxfId="247">
      <calculatedColumnFormula array="1">_FV(Tableau1[[#This Row],[Code Excel]],"P/E",TRUE)</calculatedColumnFormula>
    </tableColumn>
    <tableColumn id="37" xr3:uid="{A9971435-9B10-4EAF-AEE4-FE4A50CC161E}" name="RN Groupe 2023" dataDxfId="246" totalsRowDxfId="245">
      <calculatedColumnFormula>IFERROR(_xlfn.XLOOKUP(Tableau1[[#This Row],[Isin]]&amp;1&amp;2023,#REF!,Tableau3[Résultat Net (PdG)]),"")</calculatedColumnFormula>
    </tableColumn>
    <tableColumn id="44" xr3:uid="{34286DCF-8278-4530-9D93-595AE588D019}" name="RN Groupe 2022" dataDxfId="244" totalsRowDxfId="243">
      <calculatedColumnFormula>IF(IFERROR(_xlfn.XLOOKUP(Tableau1[[#This Row],[Isin]]&amp;1&amp;2022,#REF!,Tableau3[Résultat Net (PdG)]),"")="",Tableau1[[#This Row],[RN Groupe 2022
Manuel]],IFERROR(_xlfn.XLOOKUP(Tableau1[[#This Row],[Isin]]&amp;1&amp;2022,#REF!,Tableau3[Résultat Net (PdG)]),""))</calculatedColumnFormula>
    </tableColumn>
    <tableColumn id="65" xr3:uid="{FB25D1A2-27F9-4E58-97C5-CC4B3A577904}" name="RN Groupe 2022_x000a_Manuel" dataDxfId="242" totalsRowDxfId="241"/>
    <tableColumn id="46" xr3:uid="{2865AE5A-69A9-4177-86B3-4AA32BBFFBDC}" name="RN Groupe 2021" dataDxfId="240" totalsRowDxfId="239">
      <calculatedColumnFormula>IF(IFERROR(_xlfn.XLOOKUP(Tableau1[[#This Row],[Isin]]&amp;1&amp;2021,#REF!,Tableau3[Résultat Net (PdG)]),"")="",Tableau1[[#This Row],[RN Groupe 2021
Manuel]],IFERROR(_xlfn.XLOOKUP(Tableau1[[#This Row],[Isin]]&amp;1&amp;2021,#REF!,Tableau3[Résultat Net (PdG)]),""))</calculatedColumnFormula>
    </tableColumn>
    <tableColumn id="68" xr3:uid="{34F2F47A-BE32-4B52-91D8-87CEBD231088}" name="RN Groupe 2021_x000a_Manuel" dataDxfId="238" totalsRowDxfId="237"/>
    <tableColumn id="50" xr3:uid="{B3E4A87D-8C44-4801-BD9B-4BB05ED3F4AD}" name="RN Groupe 2020" dataDxfId="236" totalsRowDxfId="235"/>
    <tableColumn id="49" xr3:uid="{7EE51659-A30D-4298-B0E3-B5D7B5EC3161}" name="RN Groupe 2019" dataDxfId="234" totalsRowDxfId="233"/>
    <tableColumn id="48" xr3:uid="{D5EABCC4-93CE-4CBB-8D0D-2D5C2329E17D}" name="RN Groupe 2018" dataDxfId="232" totalsRowDxfId="231"/>
    <tableColumn id="53" xr3:uid="{72FCD5BE-CD3D-4A6D-B575-7F31F4B93B30}" name="RN Groupe 2017" dataDxfId="230" totalsRowDxfId="229"/>
    <tableColumn id="51" xr3:uid="{928892D7-CE94-4780-A9F3-06DA9BF1A0AF}" name="RN Groupe 2016" dataDxfId="228" totalsRowDxfId="227">
      <calculatedColumnFormula>IFERROR(_xlfn.XLOOKUP(Tableau1[[#This Row],[Isin]]&amp;1&amp;2016,#REF!,Tableau3[Résultat Net (PdG)]),"")</calculatedColumnFormula>
    </tableColumn>
    <tableColumn id="38" xr3:uid="{AC944101-0C57-4919-8CD8-253935A6C879}" name="PER 2021" dataDxfId="226" totalsRowDxfId="225">
      <calculatedColumnFormula>IFERROR(Tableau1[[#This Row],[Capitalisation boursière]]/Tableau1[[#This Row],[RN Groupe 2023]],"")</calculatedColumnFormula>
    </tableColumn>
    <tableColumn id="52" xr3:uid="{D0A9D432-473B-4E0E-B118-F00CCB763553}" name="Sous secteur" dataDxfId="224" totalsRowDxfId="223">
      <calculatedColumnFormula array="1">IFERROR(_FV(Tableau1[[#This Row],[Code Excel]],"Industrie"),"")</calculatedColumnFormula>
    </tableColumn>
    <tableColumn id="40" xr3:uid="{333216EA-63E8-4E8F-ACB0-C778ADA00049}" name="Indice" dataDxfId="222" totalsRowDxfId="221"/>
    <tableColumn id="56" xr3:uid="{5B5A6A7C-C5CC-42A5-8F27-E2DD14202642}" name="Capitalisation 2016" dataDxfId="220" totalsRowDxfId="219">
      <calculatedColumnFormula>IFERROR(_xlfn.XLOOKUP(Tableau1[[#This Row],[Isin]]&amp;1&amp;2016,#REF!,Tableau3[Capi]),"")</calculatedColumnFormula>
    </tableColumn>
    <tableColumn id="57" xr3:uid="{21D30F21-946E-4F8D-934A-18EC885A7955}" name="Capitalisation 2017" dataDxfId="218" totalsRowDxfId="217">
      <calculatedColumnFormula>IFERROR(_xlfn.XLOOKUP(Tableau1[[#This Row],[Isin]]&amp;1&amp;2017,#REF!,Tableau3[Capi]),"")</calculatedColumnFormula>
    </tableColumn>
    <tableColumn id="58" xr3:uid="{70992D13-B35F-4905-B2BE-9ECFF3688CF0}" name="Capitalisation 2018" dataDxfId="216" totalsRowDxfId="215">
      <calculatedColumnFormula>IFERROR(_xlfn.XLOOKUP(Tableau1[[#This Row],[Isin]]&amp;1&amp;2018,#REF!,Tableau3[Capi]),"")</calculatedColumnFormula>
    </tableColumn>
    <tableColumn id="59" xr3:uid="{438D7391-3C32-4A5E-BFEB-F325640CE786}" name="Capitalisation 2019" dataDxfId="214" totalsRowDxfId="213">
      <calculatedColumnFormula>IFERROR(_xlfn.XLOOKUP(Tableau1[[#This Row],[Isin]]&amp;1&amp;2019,#REF!,Tableau3[Capi]),"")</calculatedColumnFormula>
    </tableColumn>
    <tableColumn id="60" xr3:uid="{DC8122D2-4294-46B1-B4D8-5F174EA9D9CE}" name="Capitalisation 2020" dataDxfId="212" totalsRowDxfId="211">
      <calculatedColumnFormula>IFERROR(_xlfn.XLOOKUP(Tableau1[[#This Row],[Isin]]&amp;1&amp;2020,#REF!,Tableau3[Capi]),"")</calculatedColumnFormula>
    </tableColumn>
    <tableColumn id="61" xr3:uid="{250FCEDA-9730-41FC-A2A1-F0FBFB2B9C9D}" name="Capitalisation 2021" dataDxfId="210" totalsRowDxfId="209">
      <calculatedColumnFormula>IF(IFERROR(_xlfn.XLOOKUP(Tableau1[[#This Row],[Isin]]&amp;1&amp;2021,#REF!,Tableau3[Capi]),"")="",Tableau1[[#This Row],[Capitalisation 2021
Manuel]],IFERROR(_xlfn.XLOOKUP(Tableau1[[#This Row],[Isin]]&amp;1&amp;2021,#REF!,Tableau3[Capi]),""))</calculatedColumnFormula>
    </tableColumn>
    <tableColumn id="67" xr3:uid="{E580231D-4F4F-4873-8167-C3F46E5A4B7F}" name="Capitalisation 2021_x000a_Manuel" dataDxfId="208" totalsRowDxfId="207"/>
    <tableColumn id="62" xr3:uid="{D887CC26-62C9-4D8B-8765-7C81B08367FC}" name="Capitalisation 2022" dataDxfId="206" totalsRowDxfId="205">
      <calculatedColumnFormula>IF(IFERROR(_xlfn.XLOOKUP(Tableau1[[#This Row],[Isin]]&amp;1&amp;2022,#REF!,Tableau3[Capi]),"")="",Tableau1[[#This Row],[Capitalisation 2022
Manuel]],IFERROR(_xlfn.XLOOKUP(Tableau1[[#This Row],[Isin]]&amp;1&amp;2022,#REF!,Tableau3[Capi]),""))</calculatedColumnFormula>
    </tableColumn>
    <tableColumn id="66" xr3:uid="{6CF16F45-9AD3-4FC2-9C7A-A15803553845}" name="Capitalisation 2022_x000a_Manuel" dataDxfId="204" totalsRowDxfId="203"/>
    <tableColumn id="63" xr3:uid="{7D3A2099-0743-484E-8BD9-1F24F67AA439}" name="Capitalisation 2023" dataDxfId="202" totalsRowDxfId="201">
      <calculatedColumnFormula>Tableau1[[#This Row],[Capitalisation boursière]]</calculatedColumnFormula>
    </tableColumn>
    <tableColumn id="41" xr3:uid="{EB86FBB2-1304-4681-9FAE-FE6DCE16AFC4}" name="Description" dataDxfId="200" totalsRowDxfId="199">
      <calculatedColumnFormula array="1">_FV(Tableau1[[#This Row],[Code Excel]],"Description")</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12B2095-5D98-4A4C-AEF7-E0C5644710CF}" name="Secteur_par_marge__2" displayName="Secteur_par_marge__2" ref="C1:AP316" tableType="queryTable" totalsRowShown="0" headerRowDxfId="198" dataDxfId="197">
  <autoFilter ref="C1:AP316" xr:uid="{A12B2095-5D98-4A4C-AEF7-E0C5644710CF}">
    <filterColumn colId="0" hiddenButton="1"/>
    <filterColumn colId="2" hiddenButton="1"/>
    <filterColumn colId="4" hiddenButton="1"/>
    <filterColumn colId="6" hiddenButton="1"/>
    <filterColumn colId="7" hiddenButton="1"/>
    <filterColumn colId="9" hiddenButton="1"/>
    <filterColumn colId="10" hiddenButton="1"/>
    <filterColumn colId="11" hiddenButton="1"/>
    <filterColumn colId="12" hiddenButton="1"/>
    <filterColumn colId="13" hiddenButton="1"/>
    <filterColumn colId="39" hiddenButton="1"/>
  </autoFilter>
  <tableColumns count="40">
    <tableColumn id="2" xr3:uid="{BBEEBF43-ABEB-41A8-8A64-5F15C62C6F26}" uniqueName="2" name="Grand Secteur" queryTableFieldId="2" dataDxfId="196"/>
    <tableColumn id="39" xr3:uid="{B9BAD330-CE39-4288-99B1-F3E631311CED}" uniqueName="39" name="Notation par agence " queryTableFieldId="93"/>
    <tableColumn id="3" xr3:uid="{FCF3C8B5-4D6C-4112-B3C5-7EC06361E876}" uniqueName="3" name="Industrie" queryTableFieldId="3" dataDxfId="195"/>
    <tableColumn id="14" xr3:uid="{9A1FDE90-5F6C-4D0A-BBB2-A859E06EF16A}" uniqueName="14" name="Secteurs" queryTableFieldId="47" dataDxfId="194"/>
    <tableColumn id="4" xr3:uid="{40E43C58-EF12-4440-B795-91E5303410F1}" uniqueName="4" name="Liste des sociétés" queryTableFieldId="4" dataDxfId="193"/>
    <tableColumn id="13" xr3:uid="{6D8C68B2-5A55-4B18-A569-A996CAA26DC0}" uniqueName="13" name="Capitalisation boursière" queryTableFieldId="39" dataDxfId="192" dataCellStyle="Monétaire"/>
    <tableColumn id="5" xr3:uid="{8A0E5645-2B7D-4FE3-AB45-7E9ED868A062}" uniqueName="5" name="Marge OP (2021)" queryTableFieldId="5" dataDxfId="191" dataCellStyle="Pourcentage"/>
    <tableColumn id="6" xr3:uid="{6D1C9F99-1A22-49B8-BAB6-16D51FAEE536}" uniqueName="6" name="Valeur Ajoutée" queryTableFieldId="6" dataDxfId="190"/>
    <tableColumn id="18" xr3:uid="{928FABAE-E1D0-6A44-B5B0-35B7EAF2BA85}" uniqueName="18" name="EBE 2022" queryTableFieldId="51"/>
    <tableColumn id="7" xr3:uid="{BCE9391A-F564-4637-81F4-7421BFD9F420}" uniqueName="7" name="Tendance long-terme" queryTableFieldId="7" dataDxfId="189"/>
    <tableColumn id="8" xr3:uid="{5F1E020E-C46D-4168-8A80-470347BA8422}" uniqueName="8" name="Concurrence" queryTableFieldId="8" dataDxfId="188"/>
    <tableColumn id="9" xr3:uid="{0F45D98E-8420-4590-9A8E-552C3926A4C0}" uniqueName="9" name="Analysée_x000a_1 = Oui_x000a_0 = Non" queryTableFieldId="9" dataDxfId="187"/>
    <tableColumn id="10" xr3:uid="{54D1D5B2-A496-43A0-B08F-E4BB0ABBD4B4}" uniqueName="10" name="Barrière à l'entrée" queryTableFieldId="10" dataDxfId="186"/>
    <tableColumn id="11" xr3:uid="{4DF4EA29-9A0D-4820-9E58-893DF4B2DAAD}" uniqueName="11" name="ESG" queryTableFieldId="11" dataDxfId="185"/>
    <tableColumn id="1" xr3:uid="{C85B4FD4-B9DB-4863-B78E-4B508F0F92FE}" uniqueName="1" name="P/E2" queryTableFieldId="37" dataDxfId="184"/>
    <tableColumn id="16" xr3:uid="{50ECF124-2374-4784-928A-F22388967296}" uniqueName="16" name="RN Groupe 2023" queryTableFieldId="45"/>
    <tableColumn id="19" xr3:uid="{F0EEB3B5-D484-424A-864B-14B215189078}" uniqueName="19" name="RN Groupe 2022" queryTableFieldId="53"/>
    <tableColumn id="35" xr3:uid="{2EFFB1F3-8529-4A38-8ABC-156D22A620C6}" uniqueName="35" name="RN Groupe 2022_x000a_Manuel" queryTableFieldId="85"/>
    <tableColumn id="21" xr3:uid="{272379A9-6EC6-4BB5-9170-2CFA11164F89}" uniqueName="21" name="RN Groupe 2021" queryTableFieldId="57"/>
    <tableColumn id="37" xr3:uid="{59A684B9-1E14-4489-B65E-0AFE2C32454B}" uniqueName="37" name="RN Groupe 2021_x000a_Manuel" queryTableFieldId="89"/>
    <tableColumn id="22" xr3:uid="{BCDC5DC6-B6BB-44E3-B820-45EBF6117555}" uniqueName="22" name="RN Groupe 2020" queryTableFieldId="58"/>
    <tableColumn id="23" xr3:uid="{00BCC6E0-EAE1-46CC-AF04-30262CD7FD00}" uniqueName="23" name="RN Groupe 2019" queryTableFieldId="59"/>
    <tableColumn id="24" xr3:uid="{1B73E298-B90C-4E45-B9F1-89663D71D4F2}" uniqueName="24" name="RN Groupe 2018" queryTableFieldId="60"/>
    <tableColumn id="25" xr3:uid="{F61EC3E9-78B7-4983-8CCC-5EAE7BA62BC3}" uniqueName="25" name="RN Groupe 2017" queryTableFieldId="61"/>
    <tableColumn id="26" xr3:uid="{4F8647E2-5163-4740-8345-E3AD0A355A62}" uniqueName="26" name="RN Groupe 2016" queryTableFieldId="62"/>
    <tableColumn id="15" xr3:uid="{91FE13A6-EDAB-4C63-AE3E-F0B37AAFD6EA}" uniqueName="15" name="PER 2021" queryTableFieldId="42"/>
    <tableColumn id="17" xr3:uid="{D48A7455-9B6A-466A-9237-BCFED2DE131F}" uniqueName="17" name="Sous secteur" queryTableFieldId="49"/>
    <tableColumn id="20" xr3:uid="{D108F60D-7F33-4F24-9EAB-A5CE34C992FD}" uniqueName="20" name="Indice" queryTableFieldId="54"/>
    <tableColumn id="27" xr3:uid="{024320EE-EA1D-4BB5-B12F-DE54D1BFBA76}" uniqueName="27" name="Capitalisation 2016" queryTableFieldId="69"/>
    <tableColumn id="28" xr3:uid="{6DEBC863-F899-4921-8FDC-A5B0D5FE0205}" uniqueName="28" name="Capitalisation 2017" queryTableFieldId="70"/>
    <tableColumn id="29" xr3:uid="{75B52041-2652-48C3-9634-AC813CC2314B}" uniqueName="29" name="Capitalisation 2018" queryTableFieldId="71"/>
    <tableColumn id="30" xr3:uid="{0BDDDD1F-0550-4FAA-B485-62E966C22184}" uniqueName="30" name="Capitalisation 2019" queryTableFieldId="72"/>
    <tableColumn id="31" xr3:uid="{BD053937-FBC3-41BB-B240-9DDFB696C2E5}" uniqueName="31" name="Capitalisation 2020" queryTableFieldId="73"/>
    <tableColumn id="32" xr3:uid="{5FA6C9CD-EECC-4906-97C6-AD3F3166B219}" uniqueName="32" name="Capitalisation 2021" queryTableFieldId="74"/>
    <tableColumn id="38" xr3:uid="{7C49379F-C6B1-469A-ABF9-449D30229598}" uniqueName="38" name="Capitalisation 2021_x000a_Manuel" queryTableFieldId="90"/>
    <tableColumn id="33" xr3:uid="{6577E1AD-1B51-40B2-A6F3-21519B4B3C44}" uniqueName="33" name="Capitalisation 2022" queryTableFieldId="75"/>
    <tableColumn id="36" xr3:uid="{2575DCCC-CB40-48CB-A751-F3B322EEDED5}" uniqueName="36" name="Capitalisation 2022_x000a_Manuel" queryTableFieldId="87"/>
    <tableColumn id="34" xr3:uid="{26C025E9-A710-474F-B4AF-B35D4F744985}" uniqueName="34" name="Capitalisation 2023" queryTableFieldId="76"/>
    <tableColumn id="40" xr3:uid="{1768870D-D598-4E8C-805D-6B2D2291C420}" uniqueName="40" name="Description" queryTableFieldId="94"/>
    <tableColumn id="12" xr3:uid="{937C5A89-2C02-4ECD-9E9E-E8E3B5264CCA}" uniqueName="12" name="Personnalisé" queryTableFieldId="12" dataDxfId="183"/>
  </tableColumns>
  <tableStyleInfo showFirstColumn="0" showLastColumn="0" showRowStripes="1" showColumnStripes="0"/>
</table>
</file>

<file path=xl/theme/theme1.xml><?xml version="1.0" encoding="utf-8"?>
<a:theme xmlns:a="http://schemas.openxmlformats.org/drawingml/2006/main" name="Thème Fidare Gestion">
  <a:themeElements>
    <a:clrScheme name="Neo Fidare Gestion">
      <a:dk1>
        <a:sysClr val="windowText" lastClr="000000"/>
      </a:dk1>
      <a:lt1>
        <a:sysClr val="window" lastClr="FFFFFF"/>
      </a:lt1>
      <a:dk2>
        <a:srgbClr val="AEAEAE"/>
      </a:dk2>
      <a:lt2>
        <a:srgbClr val="FFFFFF"/>
      </a:lt2>
      <a:accent1>
        <a:srgbClr val="00355E"/>
      </a:accent1>
      <a:accent2>
        <a:srgbClr val="BFB099"/>
      </a:accent2>
      <a:accent3>
        <a:srgbClr val="E9D1A6"/>
      </a:accent3>
      <a:accent4>
        <a:srgbClr val="FFC9A1"/>
      </a:accent4>
      <a:accent5>
        <a:srgbClr val="B4436C"/>
      </a:accent5>
      <a:accent6>
        <a:srgbClr val="73BFB8"/>
      </a:accent6>
      <a:hlink>
        <a:srgbClr val="0070C0"/>
      </a:hlink>
      <a:folHlink>
        <a:srgbClr val="B4436C"/>
      </a:folHlink>
    </a:clrScheme>
    <a:fontScheme name="Fidare Gestion">
      <a:majorFont>
        <a:latin typeface="Marcellus SC"/>
        <a:ea typeface=""/>
        <a:cs typeface=""/>
      </a:majorFont>
      <a:minorFont>
        <a:latin typeface="Quicksand"/>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6D846-7F01-4877-A0FE-B870BF2D7E58}">
  <sheetPr codeName="Feuil1"/>
  <dimension ref="A3:I16"/>
  <sheetViews>
    <sheetView topLeftCell="A4" workbookViewId="0">
      <selection activeCell="A497" sqref="A497"/>
    </sheetView>
  </sheetViews>
  <sheetFormatPr baseColWidth="10" defaultColWidth="11" defaultRowHeight="16"/>
  <cols>
    <col min="1" max="1" width="16" bestFit="1" customWidth="1"/>
    <col min="2" max="2" width="22" bestFit="1" customWidth="1"/>
    <col min="3" max="3" width="12" bestFit="1" customWidth="1"/>
    <col min="4" max="4" width="23" bestFit="1" customWidth="1"/>
    <col min="5" max="5" width="27" bestFit="1" customWidth="1"/>
    <col min="6" max="6" width="26" bestFit="1" customWidth="1"/>
    <col min="7" max="7" width="16" bestFit="1" customWidth="1"/>
    <col min="8" max="8" width="27.83203125" bestFit="1" customWidth="1"/>
    <col min="9" max="9" width="31" bestFit="1" customWidth="1"/>
    <col min="10" max="10" width="28" bestFit="1" customWidth="1"/>
    <col min="11" max="11" width="18" bestFit="1" customWidth="1"/>
    <col min="12" max="12" width="30" bestFit="1" customWidth="1"/>
    <col min="13" max="13" width="34" bestFit="1" customWidth="1"/>
    <col min="14" max="14" width="22" bestFit="1" customWidth="1"/>
    <col min="15" max="15" width="13" bestFit="1" customWidth="1"/>
    <col min="16" max="16" width="24" bestFit="1" customWidth="1"/>
    <col min="17" max="17" width="28" bestFit="1" customWidth="1"/>
    <col min="18" max="18" width="22" bestFit="1" customWidth="1"/>
    <col min="19" max="19" width="13" bestFit="1" customWidth="1"/>
    <col min="20" max="20" width="24" bestFit="1" customWidth="1"/>
    <col min="21" max="21" width="28" bestFit="1" customWidth="1"/>
    <col min="22" max="22" width="22" bestFit="1" customWidth="1"/>
    <col min="23" max="23" width="13" bestFit="1" customWidth="1"/>
    <col min="24" max="24" width="24" bestFit="1" customWidth="1"/>
    <col min="25" max="25" width="28" bestFit="1" customWidth="1"/>
    <col min="26" max="26" width="22" bestFit="1" customWidth="1"/>
    <col min="27" max="27" width="13" bestFit="1" customWidth="1"/>
    <col min="28" max="28" width="24" bestFit="1" customWidth="1"/>
    <col min="29" max="29" width="28" bestFit="1" customWidth="1"/>
    <col min="30" max="30" width="22" bestFit="1" customWidth="1"/>
    <col min="31" max="31" width="13" bestFit="1" customWidth="1"/>
    <col min="32" max="32" width="24" bestFit="1" customWidth="1"/>
    <col min="33" max="33" width="28" bestFit="1" customWidth="1"/>
    <col min="34" max="34" width="22" bestFit="1" customWidth="1"/>
    <col min="35" max="35" width="13" bestFit="1" customWidth="1"/>
    <col min="36" max="36" width="24" bestFit="1" customWidth="1"/>
    <col min="37" max="37" width="28" bestFit="1" customWidth="1"/>
    <col min="38" max="38" width="22" bestFit="1" customWidth="1"/>
    <col min="39" max="39" width="13" bestFit="1" customWidth="1"/>
    <col min="40" max="40" width="24" bestFit="1" customWidth="1"/>
    <col min="41" max="41" width="28" bestFit="1" customWidth="1"/>
    <col min="42" max="42" width="22" bestFit="1" customWidth="1"/>
    <col min="43" max="43" width="13" bestFit="1" customWidth="1"/>
    <col min="44" max="44" width="24" bestFit="1" customWidth="1"/>
    <col min="45" max="45" width="28" bestFit="1" customWidth="1"/>
    <col min="46" max="46" width="22" bestFit="1" customWidth="1"/>
    <col min="47" max="47" width="13" bestFit="1" customWidth="1"/>
    <col min="48" max="48" width="24" bestFit="1" customWidth="1"/>
    <col min="49" max="49" width="28" bestFit="1" customWidth="1"/>
    <col min="50" max="50" width="22" bestFit="1" customWidth="1"/>
    <col min="51" max="51" width="13" bestFit="1" customWidth="1"/>
    <col min="52" max="52" width="24" bestFit="1" customWidth="1"/>
    <col min="53" max="53" width="28" bestFit="1" customWidth="1"/>
    <col min="54" max="54" width="22" bestFit="1" customWidth="1"/>
    <col min="55" max="55" width="13" bestFit="1" customWidth="1"/>
    <col min="56" max="56" width="24" bestFit="1" customWidth="1"/>
    <col min="57" max="57" width="28" bestFit="1" customWidth="1"/>
    <col min="58" max="58" width="22" bestFit="1" customWidth="1"/>
    <col min="59" max="59" width="13" bestFit="1" customWidth="1"/>
    <col min="60" max="60" width="24" bestFit="1" customWidth="1"/>
    <col min="61" max="61" width="28" bestFit="1" customWidth="1"/>
    <col min="62" max="62" width="22" bestFit="1" customWidth="1"/>
    <col min="63" max="63" width="13" bestFit="1" customWidth="1"/>
    <col min="64" max="64" width="24" bestFit="1" customWidth="1"/>
    <col min="65" max="65" width="28" bestFit="1" customWidth="1"/>
    <col min="66" max="66" width="22" bestFit="1" customWidth="1"/>
    <col min="67" max="67" width="13" bestFit="1" customWidth="1"/>
    <col min="68" max="68" width="24" bestFit="1" customWidth="1"/>
    <col min="69" max="69" width="28" bestFit="1" customWidth="1"/>
    <col min="70" max="70" width="22" bestFit="1" customWidth="1"/>
    <col min="71" max="71" width="13" bestFit="1" customWidth="1"/>
    <col min="72" max="72" width="24" bestFit="1" customWidth="1"/>
    <col min="73" max="73" width="28" bestFit="1" customWidth="1"/>
    <col min="74" max="74" width="22" bestFit="1" customWidth="1"/>
    <col min="75" max="75" width="13" bestFit="1" customWidth="1"/>
    <col min="76" max="76" width="24" bestFit="1" customWidth="1"/>
    <col min="77" max="77" width="28" bestFit="1" customWidth="1"/>
    <col min="78" max="78" width="22" bestFit="1" customWidth="1"/>
    <col min="79" max="79" width="13" bestFit="1" customWidth="1"/>
    <col min="80" max="80" width="24" bestFit="1" customWidth="1"/>
    <col min="81" max="81" width="28" bestFit="1" customWidth="1"/>
    <col min="82" max="82" width="22" bestFit="1" customWidth="1"/>
    <col min="83" max="83" width="13" bestFit="1" customWidth="1"/>
    <col min="84" max="84" width="24" bestFit="1" customWidth="1"/>
    <col min="85" max="85" width="28" bestFit="1" customWidth="1"/>
    <col min="86" max="86" width="22" bestFit="1" customWidth="1"/>
    <col min="87" max="87" width="13" bestFit="1" customWidth="1"/>
    <col min="88" max="88" width="24" bestFit="1" customWidth="1"/>
    <col min="89" max="89" width="28" bestFit="1" customWidth="1"/>
    <col min="90" max="90" width="22" bestFit="1" customWidth="1"/>
    <col min="91" max="91" width="13" bestFit="1" customWidth="1"/>
    <col min="92" max="92" width="24" bestFit="1" customWidth="1"/>
    <col min="93" max="93" width="28" bestFit="1" customWidth="1"/>
    <col min="94" max="94" width="22" bestFit="1" customWidth="1"/>
    <col min="95" max="95" width="13" bestFit="1" customWidth="1"/>
    <col min="96" max="96" width="24" bestFit="1" customWidth="1"/>
    <col min="97" max="97" width="28" bestFit="1" customWidth="1"/>
    <col min="98" max="98" width="22" bestFit="1" customWidth="1"/>
    <col min="99" max="99" width="13" bestFit="1" customWidth="1"/>
    <col min="100" max="100" width="24" bestFit="1" customWidth="1"/>
    <col min="101" max="101" width="28" bestFit="1" customWidth="1"/>
    <col min="102" max="102" width="22" bestFit="1" customWidth="1"/>
    <col min="103" max="103" width="13" bestFit="1" customWidth="1"/>
    <col min="104" max="104" width="24" bestFit="1" customWidth="1"/>
    <col min="105" max="105" width="28" bestFit="1" customWidth="1"/>
    <col min="106" max="106" width="22" bestFit="1" customWidth="1"/>
    <col min="107" max="107" width="13" bestFit="1" customWidth="1"/>
    <col min="108" max="108" width="24" bestFit="1" customWidth="1"/>
    <col min="109" max="109" width="28" bestFit="1" customWidth="1"/>
    <col min="110" max="110" width="22" bestFit="1" customWidth="1"/>
    <col min="111" max="111" width="13" bestFit="1" customWidth="1"/>
    <col min="112" max="112" width="24" bestFit="1" customWidth="1"/>
    <col min="113" max="113" width="28" bestFit="1" customWidth="1"/>
    <col min="114" max="114" width="22" bestFit="1" customWidth="1"/>
    <col min="115" max="115" width="13" bestFit="1" customWidth="1"/>
    <col min="116" max="116" width="24" bestFit="1" customWidth="1"/>
    <col min="117" max="117" width="28" bestFit="1" customWidth="1"/>
    <col min="118" max="118" width="22" bestFit="1" customWidth="1"/>
    <col min="119" max="119" width="13" bestFit="1" customWidth="1"/>
    <col min="120" max="120" width="24" bestFit="1" customWidth="1"/>
    <col min="121" max="121" width="28" bestFit="1" customWidth="1"/>
    <col min="122" max="122" width="22" bestFit="1" customWidth="1"/>
    <col min="123" max="123" width="13" bestFit="1" customWidth="1"/>
    <col min="124" max="124" width="24" bestFit="1" customWidth="1"/>
    <col min="125" max="125" width="28" bestFit="1" customWidth="1"/>
    <col min="126" max="126" width="22" bestFit="1" customWidth="1"/>
    <col min="127" max="127" width="13" bestFit="1" customWidth="1"/>
    <col min="128" max="128" width="24" bestFit="1" customWidth="1"/>
    <col min="129" max="129" width="28" bestFit="1" customWidth="1"/>
    <col min="130" max="130" width="22" bestFit="1" customWidth="1"/>
    <col min="131" max="131" width="13" bestFit="1" customWidth="1"/>
    <col min="132" max="132" width="24" bestFit="1" customWidth="1"/>
    <col min="133" max="133" width="28" bestFit="1" customWidth="1"/>
    <col min="134" max="134" width="22" bestFit="1" customWidth="1"/>
    <col min="135" max="135" width="13" bestFit="1" customWidth="1"/>
    <col min="136" max="136" width="24" bestFit="1" customWidth="1"/>
    <col min="137" max="137" width="28" bestFit="1" customWidth="1"/>
    <col min="138" max="138" width="22" bestFit="1" customWidth="1"/>
    <col min="139" max="139" width="13" bestFit="1" customWidth="1"/>
    <col min="140" max="140" width="24" bestFit="1" customWidth="1"/>
    <col min="141" max="141" width="28" bestFit="1" customWidth="1"/>
    <col min="142" max="142" width="22" bestFit="1" customWidth="1"/>
    <col min="143" max="143" width="13" bestFit="1" customWidth="1"/>
    <col min="144" max="144" width="24" bestFit="1" customWidth="1"/>
    <col min="145" max="145" width="28" bestFit="1" customWidth="1"/>
    <col min="146" max="146" width="22" bestFit="1" customWidth="1"/>
    <col min="147" max="147" width="13" bestFit="1" customWidth="1"/>
    <col min="148" max="148" width="24" bestFit="1" customWidth="1"/>
    <col min="149" max="149" width="28" bestFit="1" customWidth="1"/>
    <col min="150" max="150" width="22" bestFit="1" customWidth="1"/>
    <col min="151" max="151" width="13" bestFit="1" customWidth="1"/>
    <col min="152" max="152" width="24" bestFit="1" customWidth="1"/>
    <col min="153" max="153" width="28" bestFit="1" customWidth="1"/>
    <col min="154" max="154" width="22" bestFit="1" customWidth="1"/>
    <col min="155" max="155" width="13" bestFit="1" customWidth="1"/>
    <col min="156" max="156" width="24" bestFit="1" customWidth="1"/>
    <col min="157" max="157" width="28" bestFit="1" customWidth="1"/>
    <col min="158" max="158" width="22" bestFit="1" customWidth="1"/>
    <col min="159" max="159" width="13" bestFit="1" customWidth="1"/>
    <col min="160" max="160" width="24" bestFit="1" customWidth="1"/>
    <col min="161" max="161" width="28" bestFit="1" customWidth="1"/>
    <col min="162" max="162" width="22" bestFit="1" customWidth="1"/>
    <col min="163" max="163" width="13" bestFit="1" customWidth="1"/>
    <col min="164" max="164" width="24" bestFit="1" customWidth="1"/>
    <col min="165" max="165" width="28" bestFit="1" customWidth="1"/>
    <col min="166" max="166" width="22" bestFit="1" customWidth="1"/>
    <col min="167" max="167" width="13" bestFit="1" customWidth="1"/>
    <col min="168" max="168" width="24" bestFit="1" customWidth="1"/>
    <col min="169" max="169" width="28" bestFit="1" customWidth="1"/>
    <col min="170" max="170" width="22" bestFit="1" customWidth="1"/>
    <col min="171" max="171" width="13" bestFit="1" customWidth="1"/>
    <col min="172" max="172" width="24" bestFit="1" customWidth="1"/>
    <col min="173" max="173" width="28" bestFit="1" customWidth="1"/>
    <col min="174" max="174" width="22" bestFit="1" customWidth="1"/>
    <col min="175" max="175" width="13" bestFit="1" customWidth="1"/>
    <col min="176" max="176" width="24" bestFit="1" customWidth="1"/>
    <col min="177" max="177" width="28" bestFit="1" customWidth="1"/>
    <col min="178" max="178" width="22" bestFit="1" customWidth="1"/>
    <col min="179" max="179" width="13" bestFit="1" customWidth="1"/>
    <col min="180" max="180" width="24" bestFit="1" customWidth="1"/>
    <col min="181" max="181" width="28" bestFit="1" customWidth="1"/>
    <col min="182" max="182" width="22" bestFit="1" customWidth="1"/>
    <col min="183" max="183" width="13" bestFit="1" customWidth="1"/>
    <col min="184" max="184" width="24" bestFit="1" customWidth="1"/>
    <col min="185" max="185" width="28" bestFit="1" customWidth="1"/>
    <col min="186" max="186" width="22" bestFit="1" customWidth="1"/>
    <col min="187" max="187" width="13" bestFit="1" customWidth="1"/>
    <col min="188" max="188" width="24" bestFit="1" customWidth="1"/>
    <col min="189" max="189" width="28" bestFit="1" customWidth="1"/>
    <col min="190" max="190" width="22" bestFit="1" customWidth="1"/>
    <col min="191" max="191" width="13" bestFit="1" customWidth="1"/>
    <col min="192" max="192" width="24" bestFit="1" customWidth="1"/>
    <col min="193" max="193" width="28" bestFit="1" customWidth="1"/>
    <col min="194" max="194" width="22" bestFit="1" customWidth="1"/>
    <col min="195" max="195" width="13" bestFit="1" customWidth="1"/>
    <col min="196" max="196" width="24" bestFit="1" customWidth="1"/>
    <col min="197" max="197" width="28" bestFit="1" customWidth="1"/>
    <col min="198" max="198" width="22" bestFit="1" customWidth="1"/>
    <col min="199" max="199" width="13" bestFit="1" customWidth="1"/>
    <col min="200" max="200" width="24" bestFit="1" customWidth="1"/>
    <col min="201" max="201" width="28" bestFit="1" customWidth="1"/>
    <col min="202" max="202" width="22" bestFit="1" customWidth="1"/>
    <col min="203" max="203" width="13" bestFit="1" customWidth="1"/>
    <col min="204" max="204" width="24" bestFit="1" customWidth="1"/>
    <col min="205" max="205" width="28" bestFit="1" customWidth="1"/>
    <col min="206" max="206" width="22" bestFit="1" customWidth="1"/>
    <col min="207" max="207" width="13" bestFit="1" customWidth="1"/>
    <col min="208" max="208" width="24" bestFit="1" customWidth="1"/>
    <col min="209" max="209" width="28" bestFit="1" customWidth="1"/>
    <col min="210" max="210" width="22" bestFit="1" customWidth="1"/>
    <col min="211" max="211" width="13" bestFit="1" customWidth="1"/>
    <col min="212" max="212" width="24" bestFit="1" customWidth="1"/>
    <col min="213" max="213" width="28" bestFit="1" customWidth="1"/>
    <col min="214" max="214" width="22" bestFit="1" customWidth="1"/>
    <col min="215" max="215" width="13" bestFit="1" customWidth="1"/>
    <col min="216" max="216" width="24" bestFit="1" customWidth="1"/>
    <col min="217" max="217" width="28" bestFit="1" customWidth="1"/>
    <col min="218" max="218" width="22" bestFit="1" customWidth="1"/>
    <col min="219" max="219" width="13" bestFit="1" customWidth="1"/>
    <col min="220" max="220" width="24" bestFit="1" customWidth="1"/>
    <col min="221" max="221" width="28" bestFit="1" customWidth="1"/>
    <col min="222" max="222" width="22" bestFit="1" customWidth="1"/>
    <col min="223" max="223" width="13" bestFit="1" customWidth="1"/>
    <col min="224" max="224" width="24" bestFit="1" customWidth="1"/>
    <col min="225" max="225" width="28" bestFit="1" customWidth="1"/>
    <col min="226" max="226" width="22" bestFit="1" customWidth="1"/>
    <col min="227" max="227" width="13" bestFit="1" customWidth="1"/>
    <col min="228" max="228" width="24" bestFit="1" customWidth="1"/>
    <col min="229" max="229" width="28" bestFit="1" customWidth="1"/>
    <col min="230" max="230" width="22" bestFit="1" customWidth="1"/>
    <col min="231" max="231" width="13" bestFit="1" customWidth="1"/>
    <col min="232" max="232" width="24" bestFit="1" customWidth="1"/>
    <col min="233" max="233" width="28" bestFit="1" customWidth="1"/>
    <col min="234" max="234" width="22" bestFit="1" customWidth="1"/>
    <col min="235" max="235" width="13" bestFit="1" customWidth="1"/>
    <col min="236" max="236" width="24" bestFit="1" customWidth="1"/>
    <col min="237" max="237" width="28" bestFit="1" customWidth="1"/>
    <col min="238" max="238" width="22" bestFit="1" customWidth="1"/>
    <col min="239" max="239" width="13" bestFit="1" customWidth="1"/>
    <col min="240" max="240" width="24" bestFit="1" customWidth="1"/>
    <col min="241" max="241" width="28" bestFit="1" customWidth="1"/>
    <col min="242" max="242" width="22" bestFit="1" customWidth="1"/>
    <col min="243" max="243" width="13" bestFit="1" customWidth="1"/>
    <col min="244" max="244" width="24" bestFit="1" customWidth="1"/>
    <col min="245" max="245" width="28" bestFit="1" customWidth="1"/>
    <col min="246" max="246" width="22" bestFit="1" customWidth="1"/>
    <col min="247" max="247" width="13" bestFit="1" customWidth="1"/>
    <col min="248" max="248" width="24" bestFit="1" customWidth="1"/>
    <col min="249" max="249" width="28" bestFit="1" customWidth="1"/>
    <col min="250" max="250" width="22" bestFit="1" customWidth="1"/>
    <col min="251" max="251" width="13" bestFit="1" customWidth="1"/>
    <col min="252" max="252" width="24" bestFit="1" customWidth="1"/>
    <col min="253" max="253" width="28" bestFit="1" customWidth="1"/>
    <col min="254" max="254" width="22" bestFit="1" customWidth="1"/>
    <col min="255" max="255" width="13" bestFit="1" customWidth="1"/>
    <col min="256" max="256" width="24" bestFit="1" customWidth="1"/>
    <col min="257" max="257" width="28" bestFit="1" customWidth="1"/>
    <col min="258" max="258" width="22" bestFit="1" customWidth="1"/>
    <col min="259" max="259" width="13" bestFit="1" customWidth="1"/>
    <col min="260" max="260" width="24" bestFit="1" customWidth="1"/>
    <col min="261" max="261" width="28" bestFit="1" customWidth="1"/>
    <col min="262" max="262" width="22" bestFit="1" customWidth="1"/>
    <col min="263" max="263" width="13" bestFit="1" customWidth="1"/>
    <col min="264" max="264" width="24" bestFit="1" customWidth="1"/>
    <col min="265" max="265" width="28" bestFit="1" customWidth="1"/>
    <col min="266" max="266" width="22" bestFit="1" customWidth="1"/>
    <col min="267" max="267" width="13" bestFit="1" customWidth="1"/>
    <col min="268" max="268" width="24" bestFit="1" customWidth="1"/>
    <col min="269" max="269" width="28" bestFit="1" customWidth="1"/>
    <col min="270" max="270" width="23" bestFit="1" customWidth="1"/>
    <col min="271" max="271" width="13" bestFit="1" customWidth="1"/>
    <col min="272" max="272" width="24" bestFit="1" customWidth="1"/>
    <col min="273" max="273" width="28" bestFit="1" customWidth="1"/>
    <col min="274" max="274" width="22" bestFit="1" customWidth="1"/>
    <col min="275" max="275" width="13" bestFit="1" customWidth="1"/>
    <col min="276" max="276" width="24" bestFit="1" customWidth="1"/>
    <col min="277" max="277" width="28" bestFit="1" customWidth="1"/>
    <col min="278" max="278" width="22" bestFit="1" customWidth="1"/>
    <col min="279" max="279" width="13" bestFit="1" customWidth="1"/>
    <col min="280" max="280" width="24" bestFit="1" customWidth="1"/>
    <col min="281" max="281" width="28" bestFit="1" customWidth="1"/>
    <col min="282" max="282" width="22" bestFit="1" customWidth="1"/>
    <col min="283" max="283" width="13" bestFit="1" customWidth="1"/>
    <col min="284" max="284" width="24" bestFit="1" customWidth="1"/>
    <col min="285" max="285" width="28" bestFit="1" customWidth="1"/>
    <col min="286" max="286" width="22" bestFit="1" customWidth="1"/>
    <col min="287" max="287" width="13" bestFit="1" customWidth="1"/>
    <col min="288" max="288" width="24" bestFit="1" customWidth="1"/>
    <col min="289" max="289" width="28" bestFit="1" customWidth="1"/>
    <col min="290" max="290" width="22" bestFit="1" customWidth="1"/>
    <col min="291" max="291" width="13" bestFit="1" customWidth="1"/>
    <col min="292" max="292" width="24" bestFit="1" customWidth="1"/>
    <col min="293" max="293" width="28" bestFit="1" customWidth="1"/>
    <col min="294" max="294" width="22" bestFit="1" customWidth="1"/>
    <col min="295" max="295" width="13" bestFit="1" customWidth="1"/>
    <col min="296" max="296" width="24" bestFit="1" customWidth="1"/>
    <col min="297" max="297" width="28" bestFit="1" customWidth="1"/>
    <col min="298" max="298" width="22" bestFit="1" customWidth="1"/>
    <col min="299" max="299" width="13" bestFit="1" customWidth="1"/>
    <col min="300" max="300" width="24" bestFit="1" customWidth="1"/>
    <col min="301" max="301" width="28" bestFit="1" customWidth="1"/>
    <col min="302" max="302" width="22" bestFit="1" customWidth="1"/>
    <col min="303" max="303" width="13" bestFit="1" customWidth="1"/>
    <col min="304" max="304" width="24" bestFit="1" customWidth="1"/>
    <col min="305" max="305" width="28" bestFit="1" customWidth="1"/>
    <col min="306" max="306" width="22" bestFit="1" customWidth="1"/>
    <col min="307" max="307" width="13" bestFit="1" customWidth="1"/>
    <col min="308" max="308" width="24" bestFit="1" customWidth="1"/>
    <col min="309" max="309" width="28" bestFit="1" customWidth="1"/>
    <col min="310" max="310" width="22" bestFit="1" customWidth="1"/>
    <col min="311" max="311" width="13" bestFit="1" customWidth="1"/>
    <col min="312" max="312" width="24" bestFit="1" customWidth="1"/>
    <col min="313" max="313" width="28" bestFit="1" customWidth="1"/>
    <col min="314" max="314" width="22" bestFit="1" customWidth="1"/>
    <col min="315" max="315" width="13" bestFit="1" customWidth="1"/>
    <col min="316" max="316" width="24" bestFit="1" customWidth="1"/>
    <col min="317" max="317" width="28" bestFit="1" customWidth="1"/>
    <col min="318" max="318" width="22" bestFit="1" customWidth="1"/>
    <col min="319" max="319" width="13" bestFit="1" customWidth="1"/>
    <col min="320" max="320" width="24" bestFit="1" customWidth="1"/>
    <col min="321" max="321" width="28" bestFit="1" customWidth="1"/>
    <col min="322" max="322" width="22" bestFit="1" customWidth="1"/>
    <col min="323" max="323" width="13" bestFit="1" customWidth="1"/>
    <col min="324" max="324" width="24" bestFit="1" customWidth="1"/>
    <col min="325" max="325" width="28" bestFit="1" customWidth="1"/>
    <col min="326" max="326" width="22" bestFit="1" customWidth="1"/>
    <col min="327" max="327" width="13" bestFit="1" customWidth="1"/>
    <col min="328" max="328" width="24" bestFit="1" customWidth="1"/>
    <col min="329" max="329" width="28" bestFit="1" customWidth="1"/>
    <col min="330" max="330" width="22" bestFit="1" customWidth="1"/>
    <col min="331" max="331" width="13" bestFit="1" customWidth="1"/>
    <col min="332" max="332" width="24" bestFit="1" customWidth="1"/>
    <col min="333" max="333" width="28" bestFit="1" customWidth="1"/>
    <col min="334" max="334" width="22" bestFit="1" customWidth="1"/>
    <col min="335" max="335" width="13" bestFit="1" customWidth="1"/>
    <col min="336" max="336" width="24" bestFit="1" customWidth="1"/>
    <col min="337" max="337" width="28" bestFit="1" customWidth="1"/>
    <col min="338" max="338" width="22" bestFit="1" customWidth="1"/>
    <col min="339" max="339" width="13" bestFit="1" customWidth="1"/>
    <col min="340" max="340" width="24" bestFit="1" customWidth="1"/>
    <col min="341" max="341" width="28" bestFit="1" customWidth="1"/>
    <col min="342" max="342" width="22" bestFit="1" customWidth="1"/>
    <col min="343" max="343" width="13" bestFit="1" customWidth="1"/>
    <col min="344" max="344" width="24" bestFit="1" customWidth="1"/>
    <col min="345" max="345" width="28" bestFit="1" customWidth="1"/>
    <col min="346" max="346" width="22" bestFit="1" customWidth="1"/>
    <col min="347" max="347" width="13" bestFit="1" customWidth="1"/>
    <col min="348" max="348" width="24" bestFit="1" customWidth="1"/>
    <col min="349" max="349" width="28" bestFit="1" customWidth="1"/>
    <col min="350" max="350" width="22" bestFit="1" customWidth="1"/>
    <col min="351" max="351" width="13" bestFit="1" customWidth="1"/>
    <col min="352" max="352" width="24" bestFit="1" customWidth="1"/>
    <col min="353" max="353" width="28" bestFit="1" customWidth="1"/>
    <col min="354" max="354" width="22" bestFit="1" customWidth="1"/>
    <col min="355" max="355" width="13" bestFit="1" customWidth="1"/>
    <col min="356" max="356" width="24" bestFit="1" customWidth="1"/>
    <col min="357" max="357" width="28" bestFit="1" customWidth="1"/>
    <col min="358" max="358" width="22" bestFit="1" customWidth="1"/>
    <col min="359" max="359" width="13" bestFit="1" customWidth="1"/>
    <col min="360" max="360" width="24" bestFit="1" customWidth="1"/>
    <col min="361" max="361" width="28" bestFit="1" customWidth="1"/>
    <col min="362" max="362" width="22" bestFit="1" customWidth="1"/>
    <col min="363" max="363" width="13" bestFit="1" customWidth="1"/>
    <col min="364" max="364" width="24" bestFit="1" customWidth="1"/>
    <col min="365" max="365" width="28" bestFit="1" customWidth="1"/>
    <col min="366" max="366" width="22" bestFit="1" customWidth="1"/>
    <col min="367" max="367" width="13" bestFit="1" customWidth="1"/>
    <col min="368" max="368" width="24" bestFit="1" customWidth="1"/>
    <col min="369" max="369" width="28" bestFit="1" customWidth="1"/>
    <col min="370" max="370" width="22" bestFit="1" customWidth="1"/>
    <col min="371" max="371" width="13" bestFit="1" customWidth="1"/>
    <col min="372" max="372" width="24" bestFit="1" customWidth="1"/>
    <col min="373" max="373" width="28" bestFit="1" customWidth="1"/>
    <col min="374" max="374" width="22" bestFit="1" customWidth="1"/>
    <col min="375" max="375" width="13" bestFit="1" customWidth="1"/>
    <col min="376" max="376" width="24" bestFit="1" customWidth="1"/>
    <col min="377" max="377" width="28" bestFit="1" customWidth="1"/>
    <col min="378" max="378" width="22" bestFit="1" customWidth="1"/>
    <col min="379" max="379" width="13" bestFit="1" customWidth="1"/>
    <col min="380" max="380" width="24" bestFit="1" customWidth="1"/>
    <col min="381" max="381" width="28" bestFit="1" customWidth="1"/>
    <col min="382" max="382" width="22" bestFit="1" customWidth="1"/>
    <col min="383" max="383" width="13" bestFit="1" customWidth="1"/>
    <col min="384" max="384" width="24" bestFit="1" customWidth="1"/>
    <col min="385" max="385" width="28" bestFit="1" customWidth="1"/>
    <col min="386" max="386" width="22" bestFit="1" customWidth="1"/>
    <col min="387" max="387" width="13" bestFit="1" customWidth="1"/>
    <col min="388" max="388" width="24" bestFit="1" customWidth="1"/>
    <col min="389" max="389" width="28" bestFit="1" customWidth="1"/>
    <col min="390" max="390" width="22" bestFit="1" customWidth="1"/>
    <col min="391" max="391" width="13" bestFit="1" customWidth="1"/>
    <col min="392" max="392" width="24" bestFit="1" customWidth="1"/>
    <col min="393" max="393" width="28" bestFit="1" customWidth="1"/>
    <col min="394" max="394" width="22" bestFit="1" customWidth="1"/>
    <col min="395" max="395" width="13" bestFit="1" customWidth="1"/>
    <col min="396" max="396" width="24" bestFit="1" customWidth="1"/>
    <col min="397" max="397" width="28" bestFit="1" customWidth="1"/>
    <col min="398" max="398" width="22" bestFit="1" customWidth="1"/>
    <col min="399" max="399" width="13" bestFit="1" customWidth="1"/>
    <col min="400" max="400" width="24" bestFit="1" customWidth="1"/>
    <col min="401" max="401" width="28" bestFit="1" customWidth="1"/>
    <col min="402" max="402" width="22" bestFit="1" customWidth="1"/>
    <col min="403" max="403" width="13" bestFit="1" customWidth="1"/>
    <col min="404" max="404" width="24" bestFit="1" customWidth="1"/>
    <col min="405" max="405" width="28" bestFit="1" customWidth="1"/>
    <col min="406" max="406" width="22" bestFit="1" customWidth="1"/>
    <col min="407" max="407" width="13" bestFit="1" customWidth="1"/>
    <col min="408" max="408" width="24" bestFit="1" customWidth="1"/>
    <col min="409" max="409" width="28" bestFit="1" customWidth="1"/>
    <col min="410" max="410" width="22" bestFit="1" customWidth="1"/>
    <col min="411" max="411" width="13" bestFit="1" customWidth="1"/>
    <col min="412" max="412" width="24" bestFit="1" customWidth="1"/>
    <col min="413" max="413" width="28" bestFit="1" customWidth="1"/>
    <col min="414" max="414" width="22" bestFit="1" customWidth="1"/>
    <col min="415" max="415" width="13" bestFit="1" customWidth="1"/>
    <col min="416" max="416" width="24" bestFit="1" customWidth="1"/>
    <col min="417" max="417" width="28" bestFit="1" customWidth="1"/>
    <col min="418" max="418" width="22" bestFit="1" customWidth="1"/>
    <col min="419" max="419" width="13" bestFit="1" customWidth="1"/>
    <col min="420" max="420" width="24" bestFit="1" customWidth="1"/>
    <col min="421" max="421" width="28" bestFit="1" customWidth="1"/>
    <col min="422" max="422" width="22" bestFit="1" customWidth="1"/>
    <col min="423" max="423" width="13" bestFit="1" customWidth="1"/>
    <col min="424" max="424" width="24" bestFit="1" customWidth="1"/>
    <col min="425" max="425" width="28" bestFit="1" customWidth="1"/>
    <col min="426" max="426" width="22" bestFit="1" customWidth="1"/>
    <col min="427" max="427" width="13" bestFit="1" customWidth="1"/>
    <col min="428" max="428" width="24" bestFit="1" customWidth="1"/>
    <col min="429" max="429" width="28" bestFit="1" customWidth="1"/>
    <col min="430" max="430" width="22" bestFit="1" customWidth="1"/>
    <col min="431" max="431" width="13" bestFit="1" customWidth="1"/>
    <col min="432" max="432" width="24" bestFit="1" customWidth="1"/>
    <col min="433" max="433" width="28" bestFit="1" customWidth="1"/>
    <col min="434" max="434" width="22" bestFit="1" customWidth="1"/>
    <col min="435" max="435" width="13" bestFit="1" customWidth="1"/>
    <col min="436" max="436" width="24" bestFit="1" customWidth="1"/>
    <col min="437" max="437" width="28" bestFit="1" customWidth="1"/>
    <col min="438" max="438" width="22" bestFit="1" customWidth="1"/>
    <col min="439" max="439" width="13" bestFit="1" customWidth="1"/>
    <col min="440" max="440" width="24" bestFit="1" customWidth="1"/>
    <col min="441" max="441" width="28" bestFit="1" customWidth="1"/>
    <col min="442" max="442" width="22" bestFit="1" customWidth="1"/>
    <col min="443" max="443" width="13" bestFit="1" customWidth="1"/>
    <col min="444" max="444" width="24" bestFit="1" customWidth="1"/>
    <col min="445" max="445" width="28" bestFit="1" customWidth="1"/>
    <col min="446" max="446" width="22" bestFit="1" customWidth="1"/>
    <col min="447" max="447" width="13" bestFit="1" customWidth="1"/>
    <col min="448" max="448" width="24" bestFit="1" customWidth="1"/>
    <col min="449" max="449" width="28" bestFit="1" customWidth="1"/>
    <col min="450" max="450" width="22" bestFit="1" customWidth="1"/>
    <col min="451" max="451" width="13" bestFit="1" customWidth="1"/>
    <col min="452" max="452" width="24" bestFit="1" customWidth="1"/>
    <col min="453" max="453" width="28" bestFit="1" customWidth="1"/>
    <col min="454" max="454" width="22" bestFit="1" customWidth="1"/>
    <col min="455" max="455" width="13" bestFit="1" customWidth="1"/>
    <col min="456" max="456" width="24" bestFit="1" customWidth="1"/>
    <col min="457" max="457" width="28" bestFit="1" customWidth="1"/>
    <col min="458" max="458" width="22" bestFit="1" customWidth="1"/>
    <col min="459" max="459" width="13" bestFit="1" customWidth="1"/>
    <col min="460" max="460" width="24" bestFit="1" customWidth="1"/>
    <col min="461" max="461" width="28" bestFit="1" customWidth="1"/>
    <col min="462" max="462" width="22" bestFit="1" customWidth="1"/>
    <col min="463" max="463" width="13" bestFit="1" customWidth="1"/>
    <col min="464" max="464" width="24" bestFit="1" customWidth="1"/>
    <col min="465" max="465" width="28" bestFit="1" customWidth="1"/>
    <col min="466" max="466" width="22" bestFit="1" customWidth="1"/>
    <col min="467" max="467" width="13" bestFit="1" customWidth="1"/>
    <col min="468" max="468" width="24" bestFit="1" customWidth="1"/>
    <col min="469" max="469" width="28" bestFit="1" customWidth="1"/>
    <col min="470" max="470" width="22" bestFit="1" customWidth="1"/>
    <col min="471" max="471" width="13" bestFit="1" customWidth="1"/>
    <col min="472" max="472" width="24" bestFit="1" customWidth="1"/>
    <col min="473" max="473" width="28" bestFit="1" customWidth="1"/>
    <col min="474" max="474" width="22" bestFit="1" customWidth="1"/>
    <col min="475" max="475" width="13" bestFit="1" customWidth="1"/>
    <col min="476" max="476" width="24" bestFit="1" customWidth="1"/>
    <col min="477" max="477" width="28" bestFit="1" customWidth="1"/>
    <col min="478" max="478" width="22" bestFit="1" customWidth="1"/>
    <col min="479" max="479" width="13" bestFit="1" customWidth="1"/>
    <col min="480" max="480" width="24" bestFit="1" customWidth="1"/>
    <col min="481" max="481" width="28" bestFit="1" customWidth="1"/>
    <col min="482" max="482" width="22" bestFit="1" customWidth="1"/>
    <col min="483" max="483" width="13" bestFit="1" customWidth="1"/>
    <col min="484" max="484" width="24" bestFit="1" customWidth="1"/>
    <col min="485" max="485" width="28" bestFit="1" customWidth="1"/>
    <col min="486" max="486" width="22" bestFit="1" customWidth="1"/>
    <col min="487" max="487" width="13" bestFit="1" customWidth="1"/>
    <col min="488" max="488" width="24" bestFit="1" customWidth="1"/>
    <col min="489" max="489" width="28" bestFit="1" customWidth="1"/>
    <col min="490" max="490" width="22" bestFit="1" customWidth="1"/>
    <col min="491" max="491" width="13" bestFit="1" customWidth="1"/>
    <col min="492" max="492" width="24" bestFit="1" customWidth="1"/>
    <col min="493" max="493" width="28" bestFit="1" customWidth="1"/>
    <col min="494" max="494" width="22" bestFit="1" customWidth="1"/>
    <col min="495" max="495" width="13" bestFit="1" customWidth="1"/>
    <col min="496" max="496" width="24" bestFit="1" customWidth="1"/>
    <col min="497" max="497" width="28" bestFit="1" customWidth="1"/>
    <col min="498" max="498" width="22" bestFit="1" customWidth="1"/>
    <col min="499" max="499" width="13" bestFit="1" customWidth="1"/>
    <col min="500" max="500" width="24" bestFit="1" customWidth="1"/>
    <col min="501" max="501" width="28" bestFit="1" customWidth="1"/>
    <col min="502" max="502" width="22" bestFit="1" customWidth="1"/>
    <col min="503" max="503" width="13" bestFit="1" customWidth="1"/>
    <col min="504" max="504" width="24" bestFit="1" customWidth="1"/>
    <col min="505" max="505" width="28" bestFit="1" customWidth="1"/>
    <col min="506" max="506" width="22" bestFit="1" customWidth="1"/>
    <col min="507" max="507" width="13" bestFit="1" customWidth="1"/>
    <col min="508" max="508" width="24" bestFit="1" customWidth="1"/>
    <col min="509" max="509" width="28" bestFit="1" customWidth="1"/>
    <col min="510" max="510" width="22" bestFit="1" customWidth="1"/>
    <col min="511" max="511" width="13" bestFit="1" customWidth="1"/>
    <col min="512" max="512" width="24" bestFit="1" customWidth="1"/>
    <col min="513" max="513" width="28" bestFit="1" customWidth="1"/>
    <col min="514" max="514" width="22" bestFit="1" customWidth="1"/>
    <col min="515" max="515" width="13" bestFit="1" customWidth="1"/>
    <col min="516" max="516" width="24" bestFit="1" customWidth="1"/>
    <col min="517" max="517" width="28" bestFit="1" customWidth="1"/>
    <col min="518" max="518" width="22" bestFit="1" customWidth="1"/>
    <col min="519" max="519" width="13" bestFit="1" customWidth="1"/>
    <col min="520" max="520" width="24" bestFit="1" customWidth="1"/>
    <col min="521" max="521" width="28" bestFit="1" customWidth="1"/>
    <col min="522" max="522" width="22" bestFit="1" customWidth="1"/>
    <col min="523" max="523" width="13" bestFit="1" customWidth="1"/>
    <col min="524" max="524" width="24" bestFit="1" customWidth="1"/>
    <col min="525" max="525" width="28" bestFit="1" customWidth="1"/>
    <col min="526" max="526" width="22" bestFit="1" customWidth="1"/>
    <col min="527" max="527" width="13" bestFit="1" customWidth="1"/>
    <col min="528" max="528" width="24" bestFit="1" customWidth="1"/>
    <col min="529" max="529" width="28" bestFit="1" customWidth="1"/>
    <col min="530" max="530" width="22" bestFit="1" customWidth="1"/>
    <col min="531" max="531" width="13" bestFit="1" customWidth="1"/>
    <col min="532" max="532" width="24" bestFit="1" customWidth="1"/>
    <col min="533" max="533" width="28" bestFit="1" customWidth="1"/>
    <col min="534" max="534" width="22" bestFit="1" customWidth="1"/>
    <col min="535" max="535" width="13" bestFit="1" customWidth="1"/>
    <col min="536" max="536" width="24" bestFit="1" customWidth="1"/>
    <col min="537" max="537" width="28" bestFit="1" customWidth="1"/>
    <col min="538" max="538" width="22" bestFit="1" customWidth="1"/>
    <col min="539" max="539" width="13" bestFit="1" customWidth="1"/>
    <col min="540" max="540" width="24" bestFit="1" customWidth="1"/>
    <col min="541" max="541" width="28" bestFit="1" customWidth="1"/>
    <col min="542" max="542" width="22" bestFit="1" customWidth="1"/>
    <col min="543" max="543" width="13" bestFit="1" customWidth="1"/>
    <col min="544" max="544" width="24" bestFit="1" customWidth="1"/>
    <col min="545" max="545" width="28" bestFit="1" customWidth="1"/>
    <col min="546" max="546" width="22" bestFit="1" customWidth="1"/>
    <col min="547" max="547" width="13" bestFit="1" customWidth="1"/>
    <col min="548" max="548" width="24" bestFit="1" customWidth="1"/>
    <col min="549" max="549" width="28" bestFit="1" customWidth="1"/>
    <col min="550" max="550" width="22" bestFit="1" customWidth="1"/>
    <col min="551" max="551" width="13" bestFit="1" customWidth="1"/>
    <col min="552" max="552" width="24" bestFit="1" customWidth="1"/>
    <col min="553" max="553" width="28" bestFit="1" customWidth="1"/>
    <col min="554" max="554" width="22" bestFit="1" customWidth="1"/>
    <col min="555" max="555" width="13" bestFit="1" customWidth="1"/>
    <col min="556" max="556" width="24" bestFit="1" customWidth="1"/>
    <col min="557" max="557" width="28" bestFit="1" customWidth="1"/>
    <col min="558" max="558" width="22" bestFit="1" customWidth="1"/>
    <col min="559" max="559" width="13" bestFit="1" customWidth="1"/>
    <col min="560" max="560" width="24" bestFit="1" customWidth="1"/>
    <col min="561" max="561" width="28" bestFit="1" customWidth="1"/>
    <col min="562" max="562" width="22" bestFit="1" customWidth="1"/>
    <col min="563" max="563" width="13" bestFit="1" customWidth="1"/>
    <col min="564" max="564" width="24" bestFit="1" customWidth="1"/>
    <col min="565" max="565" width="28" bestFit="1" customWidth="1"/>
    <col min="566" max="566" width="22" bestFit="1" customWidth="1"/>
    <col min="567" max="567" width="13" bestFit="1" customWidth="1"/>
    <col min="568" max="568" width="24" bestFit="1" customWidth="1"/>
    <col min="569" max="569" width="28" bestFit="1" customWidth="1"/>
    <col min="570" max="570" width="22" bestFit="1" customWidth="1"/>
    <col min="571" max="571" width="13" bestFit="1" customWidth="1"/>
    <col min="572" max="572" width="24" bestFit="1" customWidth="1"/>
    <col min="573" max="573" width="28" bestFit="1" customWidth="1"/>
    <col min="574" max="574" width="22" bestFit="1" customWidth="1"/>
    <col min="575" max="575" width="13" bestFit="1" customWidth="1"/>
    <col min="576" max="576" width="24" bestFit="1" customWidth="1"/>
    <col min="577" max="577" width="28" bestFit="1" customWidth="1"/>
    <col min="578" max="578" width="22" bestFit="1" customWidth="1"/>
    <col min="579" max="579" width="13" bestFit="1" customWidth="1"/>
    <col min="580" max="580" width="24" bestFit="1" customWidth="1"/>
    <col min="581" max="581" width="28" bestFit="1" customWidth="1"/>
    <col min="582" max="582" width="22" bestFit="1" customWidth="1"/>
    <col min="583" max="583" width="13" bestFit="1" customWidth="1"/>
    <col min="584" max="584" width="24" bestFit="1" customWidth="1"/>
    <col min="585" max="585" width="28" bestFit="1" customWidth="1"/>
    <col min="586" max="586" width="22" bestFit="1" customWidth="1"/>
    <col min="587" max="587" width="13" bestFit="1" customWidth="1"/>
    <col min="588" max="588" width="24" bestFit="1" customWidth="1"/>
    <col min="589" max="589" width="28" bestFit="1" customWidth="1"/>
    <col min="590" max="590" width="22" bestFit="1" customWidth="1"/>
    <col min="591" max="591" width="13" bestFit="1" customWidth="1"/>
    <col min="592" max="592" width="24" bestFit="1" customWidth="1"/>
    <col min="593" max="593" width="28" bestFit="1" customWidth="1"/>
    <col min="594" max="594" width="22" bestFit="1" customWidth="1"/>
    <col min="595" max="595" width="13" bestFit="1" customWidth="1"/>
    <col min="596" max="596" width="24" bestFit="1" customWidth="1"/>
    <col min="597" max="597" width="28" bestFit="1" customWidth="1"/>
    <col min="598" max="598" width="22" bestFit="1" customWidth="1"/>
    <col min="599" max="599" width="13" bestFit="1" customWidth="1"/>
    <col min="600" max="600" width="24" bestFit="1" customWidth="1"/>
    <col min="601" max="601" width="28" bestFit="1" customWidth="1"/>
    <col min="602" max="602" width="22" bestFit="1" customWidth="1"/>
    <col min="603" max="603" width="13" bestFit="1" customWidth="1"/>
    <col min="604" max="604" width="24" bestFit="1" customWidth="1"/>
    <col min="605" max="605" width="28" bestFit="1" customWidth="1"/>
    <col min="606" max="606" width="22" bestFit="1" customWidth="1"/>
    <col min="607" max="607" width="13" bestFit="1" customWidth="1"/>
    <col min="608" max="608" width="24" bestFit="1" customWidth="1"/>
    <col min="609" max="609" width="28" bestFit="1" customWidth="1"/>
    <col min="610" max="610" width="22" bestFit="1" customWidth="1"/>
    <col min="611" max="611" width="13" bestFit="1" customWidth="1"/>
    <col min="612" max="612" width="24" bestFit="1" customWidth="1"/>
    <col min="613" max="613" width="28" bestFit="1" customWidth="1"/>
    <col min="614" max="614" width="22" bestFit="1" customWidth="1"/>
    <col min="615" max="615" width="13" bestFit="1" customWidth="1"/>
    <col min="616" max="616" width="24" bestFit="1" customWidth="1"/>
    <col min="617" max="617" width="28" bestFit="1" customWidth="1"/>
    <col min="618" max="618" width="22" bestFit="1" customWidth="1"/>
    <col min="619" max="619" width="13" bestFit="1" customWidth="1"/>
    <col min="620" max="620" width="24" bestFit="1" customWidth="1"/>
    <col min="621" max="621" width="28" bestFit="1" customWidth="1"/>
    <col min="622" max="622" width="22" bestFit="1" customWidth="1"/>
    <col min="623" max="623" width="13" bestFit="1" customWidth="1"/>
    <col min="624" max="624" width="24" bestFit="1" customWidth="1"/>
    <col min="625" max="625" width="28" bestFit="1" customWidth="1"/>
    <col min="626" max="626" width="27" bestFit="1" customWidth="1"/>
    <col min="627" max="627" width="17" bestFit="1" customWidth="1"/>
    <col min="628" max="628" width="29" bestFit="1" customWidth="1"/>
    <col min="629" max="629" width="32" bestFit="1" customWidth="1"/>
    <col min="630" max="630" width="28" bestFit="1" customWidth="1"/>
    <col min="631" max="631" width="16" bestFit="1" customWidth="1"/>
    <col min="632" max="632" width="22" bestFit="1" customWidth="1"/>
    <col min="633" max="633" width="13" bestFit="1" customWidth="1"/>
    <col min="634" max="634" width="24" bestFit="1" customWidth="1"/>
    <col min="635" max="635" width="28" bestFit="1" customWidth="1"/>
    <col min="636" max="636" width="16" bestFit="1" customWidth="1"/>
    <col min="637" max="637" width="22" bestFit="1" customWidth="1"/>
    <col min="638" max="638" width="13" bestFit="1" customWidth="1"/>
    <col min="639" max="639" width="24" bestFit="1" customWidth="1"/>
    <col min="640" max="640" width="28" bestFit="1" customWidth="1"/>
    <col min="641" max="641" width="16" bestFit="1" customWidth="1"/>
    <col min="642" max="642" width="22" bestFit="1" customWidth="1"/>
    <col min="643" max="643" width="13" bestFit="1" customWidth="1"/>
    <col min="644" max="644" width="24" bestFit="1" customWidth="1"/>
    <col min="645" max="645" width="28" bestFit="1" customWidth="1"/>
    <col min="646" max="646" width="16" bestFit="1" customWidth="1"/>
    <col min="647" max="647" width="22" bestFit="1" customWidth="1"/>
    <col min="648" max="648" width="13" bestFit="1" customWidth="1"/>
    <col min="649" max="649" width="24" bestFit="1" customWidth="1"/>
    <col min="650" max="650" width="28" bestFit="1" customWidth="1"/>
    <col min="651" max="651" width="16" bestFit="1" customWidth="1"/>
    <col min="652" max="652" width="22" bestFit="1" customWidth="1"/>
    <col min="653" max="653" width="13" bestFit="1" customWidth="1"/>
    <col min="654" max="654" width="24" bestFit="1" customWidth="1"/>
    <col min="655" max="655" width="28" bestFit="1" customWidth="1"/>
    <col min="656" max="656" width="16" bestFit="1" customWidth="1"/>
    <col min="657" max="657" width="22" bestFit="1" customWidth="1"/>
    <col min="658" max="658" width="13" bestFit="1" customWidth="1"/>
    <col min="659" max="659" width="24" bestFit="1" customWidth="1"/>
    <col min="660" max="660" width="28" bestFit="1" customWidth="1"/>
    <col min="661" max="661" width="16" bestFit="1" customWidth="1"/>
    <col min="662" max="662" width="22" bestFit="1" customWidth="1"/>
    <col min="663" max="663" width="13" bestFit="1" customWidth="1"/>
    <col min="664" max="664" width="24" bestFit="1" customWidth="1"/>
    <col min="665" max="665" width="28" bestFit="1" customWidth="1"/>
    <col min="666" max="666" width="16" bestFit="1" customWidth="1"/>
    <col min="667" max="667" width="22" bestFit="1" customWidth="1"/>
    <col min="668" max="668" width="13" bestFit="1" customWidth="1"/>
    <col min="669" max="669" width="24" bestFit="1" customWidth="1"/>
    <col min="670" max="670" width="28" bestFit="1" customWidth="1"/>
    <col min="671" max="671" width="16" bestFit="1" customWidth="1"/>
    <col min="672" max="672" width="22" bestFit="1" customWidth="1"/>
    <col min="673" max="673" width="13" bestFit="1" customWidth="1"/>
    <col min="674" max="674" width="24" bestFit="1" customWidth="1"/>
    <col min="675" max="675" width="28" bestFit="1" customWidth="1"/>
    <col min="676" max="676" width="16" bestFit="1" customWidth="1"/>
    <col min="677" max="677" width="22" bestFit="1" customWidth="1"/>
    <col min="678" max="678" width="13" bestFit="1" customWidth="1"/>
    <col min="679" max="679" width="24" bestFit="1" customWidth="1"/>
    <col min="680" max="680" width="28" bestFit="1" customWidth="1"/>
    <col min="681" max="681" width="16" bestFit="1" customWidth="1"/>
    <col min="682" max="682" width="22" bestFit="1" customWidth="1"/>
    <col min="683" max="683" width="13" bestFit="1" customWidth="1"/>
    <col min="684" max="684" width="24" bestFit="1" customWidth="1"/>
    <col min="685" max="685" width="28" bestFit="1" customWidth="1"/>
    <col min="686" max="686" width="16" bestFit="1" customWidth="1"/>
    <col min="687" max="687" width="22" bestFit="1" customWidth="1"/>
    <col min="688" max="688" width="13" bestFit="1" customWidth="1"/>
    <col min="689" max="689" width="24" bestFit="1" customWidth="1"/>
    <col min="690" max="690" width="28" bestFit="1" customWidth="1"/>
    <col min="691" max="691" width="16" bestFit="1" customWidth="1"/>
    <col min="692" max="692" width="22" bestFit="1" customWidth="1"/>
    <col min="693" max="693" width="13" bestFit="1" customWidth="1"/>
    <col min="694" max="694" width="24" bestFit="1" customWidth="1"/>
    <col min="695" max="695" width="28" bestFit="1" customWidth="1"/>
    <col min="696" max="696" width="16" bestFit="1" customWidth="1"/>
    <col min="697" max="697" width="22" bestFit="1" customWidth="1"/>
    <col min="698" max="698" width="13" bestFit="1" customWidth="1"/>
    <col min="699" max="699" width="24" bestFit="1" customWidth="1"/>
    <col min="700" max="700" width="28" bestFit="1" customWidth="1"/>
    <col min="701" max="701" width="16" bestFit="1" customWidth="1"/>
    <col min="702" max="702" width="22" bestFit="1" customWidth="1"/>
    <col min="703" max="703" width="13" bestFit="1" customWidth="1"/>
    <col min="704" max="704" width="24" bestFit="1" customWidth="1"/>
    <col min="705" max="705" width="28" bestFit="1" customWidth="1"/>
    <col min="706" max="706" width="16" bestFit="1" customWidth="1"/>
    <col min="707" max="707" width="22" bestFit="1" customWidth="1"/>
    <col min="708" max="708" width="13" bestFit="1" customWidth="1"/>
    <col min="709" max="709" width="24" bestFit="1" customWidth="1"/>
    <col min="710" max="710" width="28" bestFit="1" customWidth="1"/>
    <col min="711" max="711" width="16" bestFit="1" customWidth="1"/>
    <col min="712" max="712" width="22" bestFit="1" customWidth="1"/>
    <col min="713" max="713" width="13" bestFit="1" customWidth="1"/>
    <col min="714" max="714" width="24" bestFit="1" customWidth="1"/>
    <col min="715" max="715" width="28" bestFit="1" customWidth="1"/>
    <col min="716" max="716" width="16" bestFit="1" customWidth="1"/>
    <col min="717" max="717" width="22" bestFit="1" customWidth="1"/>
    <col min="718" max="718" width="13" bestFit="1" customWidth="1"/>
    <col min="719" max="719" width="24" bestFit="1" customWidth="1"/>
    <col min="720" max="720" width="28" bestFit="1" customWidth="1"/>
    <col min="721" max="721" width="16" bestFit="1" customWidth="1"/>
    <col min="722" max="722" width="22" bestFit="1" customWidth="1"/>
    <col min="723" max="723" width="13" bestFit="1" customWidth="1"/>
    <col min="724" max="724" width="24" bestFit="1" customWidth="1"/>
    <col min="725" max="725" width="28" bestFit="1" customWidth="1"/>
    <col min="726" max="726" width="16" bestFit="1" customWidth="1"/>
    <col min="727" max="727" width="22" bestFit="1" customWidth="1"/>
    <col min="728" max="728" width="13" bestFit="1" customWidth="1"/>
    <col min="729" max="729" width="24" bestFit="1" customWidth="1"/>
    <col min="730" max="730" width="28" bestFit="1" customWidth="1"/>
    <col min="731" max="731" width="16" bestFit="1" customWidth="1"/>
    <col min="732" max="732" width="22" bestFit="1" customWidth="1"/>
    <col min="733" max="733" width="13" bestFit="1" customWidth="1"/>
    <col min="734" max="734" width="24" bestFit="1" customWidth="1"/>
    <col min="735" max="735" width="28" bestFit="1" customWidth="1"/>
    <col min="736" max="736" width="16" bestFit="1" customWidth="1"/>
    <col min="737" max="737" width="22" bestFit="1" customWidth="1"/>
    <col min="738" max="738" width="13" bestFit="1" customWidth="1"/>
    <col min="739" max="739" width="24" bestFit="1" customWidth="1"/>
    <col min="740" max="740" width="28" bestFit="1" customWidth="1"/>
    <col min="741" max="741" width="16" bestFit="1" customWidth="1"/>
    <col min="742" max="742" width="22" bestFit="1" customWidth="1"/>
    <col min="743" max="743" width="13" bestFit="1" customWidth="1"/>
    <col min="744" max="744" width="24" bestFit="1" customWidth="1"/>
    <col min="745" max="745" width="28" bestFit="1" customWidth="1"/>
    <col min="746" max="746" width="16" bestFit="1" customWidth="1"/>
    <col min="747" max="747" width="22" bestFit="1" customWidth="1"/>
    <col min="748" max="748" width="13" bestFit="1" customWidth="1"/>
    <col min="749" max="749" width="24" bestFit="1" customWidth="1"/>
    <col min="750" max="750" width="28" bestFit="1" customWidth="1"/>
    <col min="751" max="751" width="16" bestFit="1" customWidth="1"/>
    <col min="752" max="752" width="22" bestFit="1" customWidth="1"/>
    <col min="753" max="753" width="13" bestFit="1" customWidth="1"/>
    <col min="754" max="754" width="24" bestFit="1" customWidth="1"/>
    <col min="755" max="755" width="28" bestFit="1" customWidth="1"/>
    <col min="756" max="756" width="16" bestFit="1" customWidth="1"/>
    <col min="757" max="757" width="22" bestFit="1" customWidth="1"/>
    <col min="758" max="758" width="13" bestFit="1" customWidth="1"/>
    <col min="759" max="759" width="24" bestFit="1" customWidth="1"/>
    <col min="760" max="760" width="28" bestFit="1" customWidth="1"/>
    <col min="761" max="761" width="16" bestFit="1" customWidth="1"/>
    <col min="762" max="762" width="22" bestFit="1" customWidth="1"/>
    <col min="763" max="763" width="13" bestFit="1" customWidth="1"/>
    <col min="764" max="764" width="24" bestFit="1" customWidth="1"/>
    <col min="765" max="765" width="28" bestFit="1" customWidth="1"/>
    <col min="766" max="766" width="16" bestFit="1" customWidth="1"/>
    <col min="767" max="767" width="22" bestFit="1" customWidth="1"/>
    <col min="768" max="768" width="13" bestFit="1" customWidth="1"/>
    <col min="769" max="769" width="24" bestFit="1" customWidth="1"/>
    <col min="770" max="770" width="28" bestFit="1" customWidth="1"/>
    <col min="771" max="771" width="16" bestFit="1" customWidth="1"/>
    <col min="772" max="772" width="27" bestFit="1" customWidth="1"/>
    <col min="773" max="773" width="17" bestFit="1" customWidth="1"/>
    <col min="774" max="774" width="29" bestFit="1" customWidth="1"/>
    <col min="775" max="775" width="32" bestFit="1" customWidth="1"/>
    <col min="776" max="776" width="21" bestFit="1" customWidth="1"/>
  </cols>
  <sheetData>
    <row r="3" spans="1:9">
      <c r="B3" s="139" t="s">
        <v>0</v>
      </c>
    </row>
    <row r="4" spans="1:9">
      <c r="B4" t="s">
        <v>1</v>
      </c>
      <c r="F4" t="s">
        <v>2</v>
      </c>
      <c r="G4" t="s">
        <v>3</v>
      </c>
      <c r="H4" t="s">
        <v>4</v>
      </c>
      <c r="I4" t="s">
        <v>5</v>
      </c>
    </row>
    <row r="5" spans="1:9">
      <c r="A5" s="139" t="s">
        <v>6</v>
      </c>
      <c r="B5" t="s">
        <v>7</v>
      </c>
      <c r="C5" t="s">
        <v>8</v>
      </c>
      <c r="D5" t="s">
        <v>9</v>
      </c>
      <c r="E5" t="s">
        <v>10</v>
      </c>
    </row>
    <row r="6" spans="1:9">
      <c r="A6" s="138">
        <v>2014</v>
      </c>
      <c r="B6">
        <v>2419700000</v>
      </c>
      <c r="C6">
        <v>443600000</v>
      </c>
      <c r="D6">
        <v>168900000</v>
      </c>
      <c r="E6" s="134"/>
      <c r="F6">
        <v>2419700000</v>
      </c>
      <c r="G6">
        <v>443600000</v>
      </c>
      <c r="H6">
        <v>168900000</v>
      </c>
      <c r="I6" s="134"/>
    </row>
    <row r="7" spans="1:9">
      <c r="A7" s="138">
        <v>2015</v>
      </c>
      <c r="B7">
        <v>2286100000</v>
      </c>
      <c r="C7">
        <v>489200000</v>
      </c>
      <c r="D7">
        <v>199200000</v>
      </c>
      <c r="E7" s="134"/>
      <c r="F7">
        <v>2286100000</v>
      </c>
      <c r="G7">
        <v>489200000</v>
      </c>
      <c r="H7">
        <v>199200000</v>
      </c>
      <c r="I7" s="134"/>
    </row>
    <row r="8" spans="1:9">
      <c r="A8" s="138">
        <v>2016</v>
      </c>
      <c r="B8">
        <v>1978200000</v>
      </c>
      <c r="C8">
        <v>447400000</v>
      </c>
      <c r="D8">
        <v>155300000</v>
      </c>
      <c r="E8" s="134"/>
      <c r="F8">
        <v>1978200000</v>
      </c>
      <c r="G8">
        <v>447400000</v>
      </c>
      <c r="H8">
        <v>155300000</v>
      </c>
      <c r="I8" s="134"/>
    </row>
    <row r="9" spans="1:9">
      <c r="A9" s="138">
        <v>2017</v>
      </c>
      <c r="B9">
        <v>2356000000</v>
      </c>
      <c r="C9">
        <v>455500000</v>
      </c>
      <c r="D9">
        <v>155100000</v>
      </c>
      <c r="E9" s="134"/>
      <c r="F9">
        <v>2356000000</v>
      </c>
      <c r="G9">
        <v>455500000</v>
      </c>
      <c r="H9">
        <v>155100000</v>
      </c>
      <c r="I9" s="134"/>
    </row>
    <row r="10" spans="1:9">
      <c r="A10" s="138">
        <v>2018</v>
      </c>
      <c r="B10">
        <v>2645800000</v>
      </c>
      <c r="C10">
        <v>458900000</v>
      </c>
      <c r="D10">
        <v>155600000</v>
      </c>
      <c r="E10" s="134"/>
      <c r="F10">
        <v>2645800000</v>
      </c>
      <c r="G10">
        <v>458900000</v>
      </c>
      <c r="H10">
        <v>155600000</v>
      </c>
      <c r="I10" s="134"/>
    </row>
    <row r="11" spans="1:9">
      <c r="A11" s="138">
        <v>2019</v>
      </c>
      <c r="B11">
        <v>2622000000</v>
      </c>
      <c r="C11">
        <v>437000000</v>
      </c>
      <c r="D11">
        <v>125000000</v>
      </c>
      <c r="E11" s="134"/>
      <c r="F11">
        <v>2622000000</v>
      </c>
      <c r="G11">
        <v>437000000</v>
      </c>
      <c r="H11">
        <v>125000000</v>
      </c>
      <c r="I11" s="134"/>
    </row>
    <row r="12" spans="1:9">
      <c r="A12" s="138">
        <v>2020</v>
      </c>
      <c r="B12">
        <v>2195800000</v>
      </c>
      <c r="C12">
        <v>369500000</v>
      </c>
      <c r="D12">
        <v>50400000</v>
      </c>
      <c r="E12" s="134"/>
      <c r="F12">
        <v>2195800000</v>
      </c>
      <c r="G12">
        <v>369500000</v>
      </c>
      <c r="H12">
        <v>50400000</v>
      </c>
      <c r="I12" s="134"/>
    </row>
    <row r="13" spans="1:9">
      <c r="A13" s="138">
        <v>2021</v>
      </c>
      <c r="B13">
        <v>2510600000</v>
      </c>
      <c r="C13">
        <v>469300000</v>
      </c>
      <c r="D13">
        <v>114600000</v>
      </c>
      <c r="E13" s="134"/>
      <c r="F13">
        <v>2510600000</v>
      </c>
      <c r="G13">
        <v>469300000</v>
      </c>
      <c r="H13">
        <v>114600000</v>
      </c>
      <c r="I13" s="134"/>
    </row>
    <row r="14" spans="1:9">
      <c r="A14" s="138">
        <v>2022</v>
      </c>
      <c r="B14">
        <v>2655000000</v>
      </c>
      <c r="C14">
        <v>474000000</v>
      </c>
      <c r="D14">
        <v>113000000</v>
      </c>
      <c r="E14" s="134">
        <v>3138995768</v>
      </c>
      <c r="F14">
        <v>2655000000</v>
      </c>
      <c r="G14">
        <v>474000000</v>
      </c>
      <c r="H14">
        <v>113000000</v>
      </c>
      <c r="I14" s="134">
        <v>3138995768</v>
      </c>
    </row>
    <row r="15" spans="1:9">
      <c r="A15" s="138">
        <v>2023</v>
      </c>
      <c r="E15" s="134">
        <v>2961794394</v>
      </c>
      <c r="I15" s="134">
        <v>2961794394</v>
      </c>
    </row>
    <row r="16" spans="1:9">
      <c r="A16" s="138" t="s">
        <v>11</v>
      </c>
      <c r="B16">
        <v>21669200000</v>
      </c>
      <c r="C16">
        <v>4044400000</v>
      </c>
      <c r="D16">
        <v>1237100000</v>
      </c>
      <c r="E16" s="134">
        <v>6100790162</v>
      </c>
      <c r="F16">
        <v>21669200000</v>
      </c>
      <c r="G16">
        <v>4044400000</v>
      </c>
      <c r="H16">
        <v>1237100000</v>
      </c>
      <c r="I16" s="134">
        <v>6100790162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8B990-1D71-48DE-9B0A-1C3B9460932F}">
  <sheetPr codeName="Feuil16"/>
  <dimension ref="C1:AR316"/>
  <sheetViews>
    <sheetView zoomScale="70" zoomScaleNormal="70" workbookViewId="0">
      <selection activeCell="H16" sqref="H16"/>
    </sheetView>
  </sheetViews>
  <sheetFormatPr baseColWidth="10" defaultColWidth="11" defaultRowHeight="16"/>
  <cols>
    <col min="1" max="2" width="3" style="6" customWidth="1"/>
    <col min="3" max="3" width="22" style="4" bestFit="1" customWidth="1"/>
    <col min="4" max="4" width="19" style="4" bestFit="1" customWidth="1"/>
    <col min="5" max="5" width="32" style="4" bestFit="1" customWidth="1"/>
    <col min="6" max="6" width="22" style="4" bestFit="1" customWidth="1"/>
    <col min="7" max="7" width="30" style="4" bestFit="1" customWidth="1"/>
    <col min="8" max="8" width="22" style="4" bestFit="1" customWidth="1"/>
    <col min="9" max="9" width="17" style="4" bestFit="1" customWidth="1"/>
    <col min="10" max="10" width="15" style="6" bestFit="1" customWidth="1"/>
    <col min="11" max="11" width="12" style="6" bestFit="1" customWidth="1"/>
    <col min="12" max="12" width="19.83203125" style="6" bestFit="1" customWidth="1"/>
    <col min="13" max="13" width="15.83203125" style="6" bestFit="1" customWidth="1"/>
    <col min="14" max="14" width="19.83203125" style="6" bestFit="1" customWidth="1"/>
    <col min="15" max="15" width="15" style="6" bestFit="1" customWidth="1"/>
    <col min="16" max="16" width="6" style="6" bestFit="1" customWidth="1"/>
    <col min="17" max="17" width="6.83203125" style="6" bestFit="1" customWidth="1"/>
    <col min="18" max="19" width="15" style="6" bestFit="1" customWidth="1"/>
    <col min="20" max="20" width="21" style="6" bestFit="1" customWidth="1"/>
    <col min="21" max="21" width="15" style="6" bestFit="1" customWidth="1"/>
    <col min="22" max="22" width="21" style="6" bestFit="1" customWidth="1"/>
    <col min="23" max="27" width="15" style="6" bestFit="1" customWidth="1"/>
    <col min="28" max="28" width="12" style="6" bestFit="1" customWidth="1"/>
    <col min="29" max="29" width="35" style="6" bestFit="1" customWidth="1"/>
    <col min="30" max="30" width="13" style="6" bestFit="1" customWidth="1"/>
    <col min="31" max="36" width="17" style="6" bestFit="1" customWidth="1"/>
    <col min="37" max="37" width="23" style="6" bestFit="1" customWidth="1"/>
    <col min="38" max="38" width="17" style="6" bestFit="1" customWidth="1"/>
    <col min="39" max="39" width="23" style="6" bestFit="1" customWidth="1"/>
    <col min="40" max="40" width="17" style="6" bestFit="1" customWidth="1"/>
    <col min="41" max="41" width="80.83203125" style="6" bestFit="1" customWidth="1"/>
    <col min="42" max="42" width="11.83203125" style="6" bestFit="1" customWidth="1"/>
    <col min="43" max="43" width="11" style="6" customWidth="1"/>
    <col min="44" max="44" width="20" style="6" hidden="1" customWidth="1"/>
    <col min="45" max="45" width="15" style="6" bestFit="1" customWidth="1"/>
    <col min="46" max="46" width="13" style="6" bestFit="1" customWidth="1"/>
    <col min="47" max="47" width="11" style="6" bestFit="1" customWidth="1"/>
    <col min="48" max="48" width="21" style="6" bestFit="1" customWidth="1"/>
    <col min="49" max="49" width="11" style="6" bestFit="1" customWidth="1"/>
    <col min="50" max="50" width="20" style="6" bestFit="1" customWidth="1"/>
    <col min="51" max="51" width="16" style="6" bestFit="1" customWidth="1"/>
    <col min="52" max="52" width="20" style="6" bestFit="1" customWidth="1"/>
    <col min="53" max="53" width="15" style="6" bestFit="1" customWidth="1"/>
    <col min="54" max="54" width="5" style="6" bestFit="1" customWidth="1"/>
    <col min="55" max="55" width="11" style="6" bestFit="1" customWidth="1"/>
    <col min="56" max="56" width="14" style="6" customWidth="1"/>
    <col min="57" max="16384" width="11" style="6"/>
  </cols>
  <sheetData>
    <row r="1" spans="3:42">
      <c r="C1" s="36" t="s">
        <v>4295</v>
      </c>
      <c r="D1" t="s">
        <v>3434</v>
      </c>
      <c r="E1" s="36" t="s">
        <v>4294</v>
      </c>
      <c r="F1" s="36" t="s">
        <v>4283</v>
      </c>
      <c r="G1" s="36" t="s">
        <v>3435</v>
      </c>
      <c r="H1" s="135" t="s">
        <v>4281</v>
      </c>
      <c r="I1" s="36" t="s">
        <v>4300</v>
      </c>
      <c r="J1" s="36" t="s">
        <v>4303</v>
      </c>
      <c r="K1" t="s">
        <v>3436</v>
      </c>
      <c r="L1" s="36" t="s">
        <v>4304</v>
      </c>
      <c r="M1" s="36" t="s">
        <v>3152</v>
      </c>
      <c r="N1" s="37" t="s">
        <v>4438</v>
      </c>
      <c r="O1" s="37" t="s">
        <v>4305</v>
      </c>
      <c r="P1" s="37" t="s">
        <v>39</v>
      </c>
      <c r="Q1" t="s">
        <v>4307</v>
      </c>
      <c r="R1" t="s">
        <v>3437</v>
      </c>
      <c r="S1" t="s">
        <v>3438</v>
      </c>
      <c r="T1" t="s">
        <v>3439</v>
      </c>
      <c r="U1" t="s">
        <v>3440</v>
      </c>
      <c r="V1" t="s">
        <v>3441</v>
      </c>
      <c r="W1" t="s">
        <v>3442</v>
      </c>
      <c r="X1" t="s">
        <v>3443</v>
      </c>
      <c r="Y1" t="s">
        <v>3444</v>
      </c>
      <c r="Z1" t="s">
        <v>3445</v>
      </c>
      <c r="AA1" t="s">
        <v>3446</v>
      </c>
      <c r="AB1" t="s">
        <v>3447</v>
      </c>
      <c r="AC1" t="s">
        <v>3448</v>
      </c>
      <c r="AD1" t="s">
        <v>3449</v>
      </c>
      <c r="AE1" t="s">
        <v>3450</v>
      </c>
      <c r="AF1" t="s">
        <v>3451</v>
      </c>
      <c r="AG1" t="s">
        <v>3452</v>
      </c>
      <c r="AH1" t="s">
        <v>3453</v>
      </c>
      <c r="AI1" t="s">
        <v>3454</v>
      </c>
      <c r="AJ1" t="s">
        <v>3455</v>
      </c>
      <c r="AK1" t="s">
        <v>3456</v>
      </c>
      <c r="AL1" t="s">
        <v>3457</v>
      </c>
      <c r="AM1" t="s">
        <v>3458</v>
      </c>
      <c r="AN1" t="s">
        <v>3459</v>
      </c>
      <c r="AO1" t="s">
        <v>3460</v>
      </c>
      <c r="AP1" s="37" t="s">
        <v>4439</v>
      </c>
    </row>
    <row r="2" spans="3:42">
      <c r="C2" s="4" t="s">
        <v>4371</v>
      </c>
      <c r="D2"/>
      <c r="E2" s="4" t="s">
        <v>3594</v>
      </c>
      <c r="G2" s="10" t="s">
        <v>3596</v>
      </c>
      <c r="H2" s="136">
        <v>224386700000</v>
      </c>
      <c r="I2" s="5">
        <v>0.332676849254253</v>
      </c>
      <c r="J2" s="4" t="s">
        <v>4324</v>
      </c>
      <c r="K2">
        <v>0</v>
      </c>
      <c r="L2" s="4" t="s">
        <v>4348</v>
      </c>
      <c r="M2" s="4" t="s">
        <v>3149</v>
      </c>
      <c r="N2" s="4">
        <v>1</v>
      </c>
      <c r="Q2" s="120">
        <v>28.014199999999999</v>
      </c>
      <c r="R2" t="s">
        <v>1664</v>
      </c>
      <c r="S2">
        <v>6395800000</v>
      </c>
      <c r="T2"/>
      <c r="U2">
        <v>6134600000</v>
      </c>
      <c r="V2"/>
      <c r="W2">
        <v>3696800000</v>
      </c>
      <c r="X2">
        <v>0</v>
      </c>
      <c r="Y2">
        <v>0</v>
      </c>
      <c r="Z2" t="s">
        <v>1664</v>
      </c>
      <c r="AA2" t="s">
        <v>1664</v>
      </c>
      <c r="AB2" t="s">
        <v>1664</v>
      </c>
      <c r="AC2" t="s">
        <v>3594</v>
      </c>
      <c r="AD2" t="s">
        <v>3496</v>
      </c>
      <c r="AE2" t="s">
        <v>1664</v>
      </c>
      <c r="AF2" t="s">
        <v>1664</v>
      </c>
      <c r="AG2">
        <v>0</v>
      </c>
      <c r="AH2">
        <v>0</v>
      </c>
      <c r="AI2">
        <v>0</v>
      </c>
      <c r="AJ2">
        <v>0</v>
      </c>
      <c r="AK2"/>
      <c r="AL2">
        <v>0</v>
      </c>
      <c r="AM2"/>
      <c r="AN2">
        <v>224386700000</v>
      </c>
      <c r="AO2" t="s">
        <v>3597</v>
      </c>
      <c r="AP2" s="6">
        <v>0</v>
      </c>
    </row>
    <row r="3" spans="3:42">
      <c r="C3" s="4" t="s">
        <v>4371</v>
      </c>
      <c r="D3"/>
      <c r="E3" s="4" t="s">
        <v>3594</v>
      </c>
      <c r="G3" s="10" t="s">
        <v>4130</v>
      </c>
      <c r="H3" s="136">
        <v>5549692000</v>
      </c>
      <c r="I3" s="5">
        <v>0.1878959889045034</v>
      </c>
      <c r="J3" s="4" t="s">
        <v>4324</v>
      </c>
      <c r="K3">
        <v>391000000</v>
      </c>
      <c r="L3" s="4" t="s">
        <v>4348</v>
      </c>
      <c r="M3" s="4" t="s">
        <v>3149</v>
      </c>
      <c r="N3" s="4">
        <v>0</v>
      </c>
      <c r="Q3" s="120">
        <v>23.450900000000001</v>
      </c>
      <c r="R3" t="s">
        <v>1664</v>
      </c>
      <c r="S3">
        <v>233035000</v>
      </c>
      <c r="T3"/>
      <c r="U3">
        <v>201962000</v>
      </c>
      <c r="V3"/>
      <c r="W3">
        <v>72671000</v>
      </c>
      <c r="X3">
        <v>109681000</v>
      </c>
      <c r="Y3">
        <v>90187000</v>
      </c>
      <c r="Z3" t="s">
        <v>1664</v>
      </c>
      <c r="AA3" t="s">
        <v>1664</v>
      </c>
      <c r="AB3" t="s">
        <v>1664</v>
      </c>
      <c r="AC3" t="s">
        <v>3594</v>
      </c>
      <c r="AD3" t="s">
        <v>3477</v>
      </c>
      <c r="AE3" t="s">
        <v>1664</v>
      </c>
      <c r="AF3" t="s">
        <v>1664</v>
      </c>
      <c r="AG3">
        <v>1600828759.2</v>
      </c>
      <c r="AH3">
        <v>3109052297.7000003</v>
      </c>
      <c r="AI3">
        <v>5305629267.9000006</v>
      </c>
      <c r="AJ3">
        <v>7509837197.5999994</v>
      </c>
      <c r="AK3"/>
      <c r="AL3">
        <v>5439842388.4499998</v>
      </c>
      <c r="AM3"/>
      <c r="AN3">
        <v>5549692000</v>
      </c>
      <c r="AO3" t="s">
        <v>4131</v>
      </c>
      <c r="AP3" s="6">
        <v>0</v>
      </c>
    </row>
    <row r="4" spans="3:42">
      <c r="C4" s="4" t="s">
        <v>4371</v>
      </c>
      <c r="D4" t="s">
        <v>49</v>
      </c>
      <c r="E4" s="4" t="s">
        <v>3594</v>
      </c>
      <c r="F4" s="4" t="s">
        <v>4411</v>
      </c>
      <c r="G4" s="10" t="s">
        <v>4139</v>
      </c>
      <c r="H4" s="136">
        <v>37156300000</v>
      </c>
      <c r="I4" s="5">
        <v>0.14069633199887627</v>
      </c>
      <c r="J4" s="4" t="s">
        <v>4324</v>
      </c>
      <c r="K4">
        <v>0</v>
      </c>
      <c r="L4" s="4" t="s">
        <v>4348</v>
      </c>
      <c r="M4" s="4" t="s">
        <v>3149</v>
      </c>
      <c r="N4" s="4">
        <v>1</v>
      </c>
      <c r="O4" s="6" t="s">
        <v>3148</v>
      </c>
      <c r="Q4" s="120">
        <v>9.7881</v>
      </c>
      <c r="R4" t="s">
        <v>1664</v>
      </c>
      <c r="S4">
        <v>3735849056.6037736</v>
      </c>
      <c r="T4"/>
      <c r="U4">
        <v>1769911504.4247789</v>
      </c>
      <c r="V4"/>
      <c r="W4">
        <v>1106000000</v>
      </c>
      <c r="X4">
        <v>1032000000</v>
      </c>
      <c r="Y4">
        <v>1287000000</v>
      </c>
      <c r="Z4">
        <v>802000000</v>
      </c>
      <c r="AA4">
        <v>165000000</v>
      </c>
      <c r="AB4" t="s">
        <v>1664</v>
      </c>
      <c r="AC4" t="s">
        <v>3594</v>
      </c>
      <c r="AD4" t="s">
        <v>3518</v>
      </c>
      <c r="AE4">
        <v>9578212473.0599995</v>
      </c>
      <c r="AF4">
        <v>16468049215.799999</v>
      </c>
      <c r="AG4">
        <v>11099029574.880001</v>
      </c>
      <c r="AH4">
        <v>21953712046.880001</v>
      </c>
      <c r="AI4">
        <v>27592329940.400002</v>
      </c>
      <c r="AJ4">
        <v>39456667319</v>
      </c>
      <c r="AK4"/>
      <c r="AL4">
        <v>30070901190</v>
      </c>
      <c r="AM4"/>
      <c r="AN4">
        <v>37156300000</v>
      </c>
      <c r="AO4" t="s">
        <v>4140</v>
      </c>
      <c r="AP4" s="6">
        <v>0</v>
      </c>
    </row>
    <row r="5" spans="3:42">
      <c r="C5" s="4" t="s">
        <v>4371</v>
      </c>
      <c r="D5"/>
      <c r="E5" s="4" t="s">
        <v>3594</v>
      </c>
      <c r="G5" s="10" t="s">
        <v>3880</v>
      </c>
      <c r="H5" s="136">
        <v>41169160000</v>
      </c>
      <c r="I5" s="5"/>
      <c r="J5" s="4" t="s">
        <v>4324</v>
      </c>
      <c r="K5" t="s">
        <v>1664</v>
      </c>
      <c r="L5" s="4" t="s">
        <v>4348</v>
      </c>
      <c r="M5" s="4" t="s">
        <v>3149</v>
      </c>
      <c r="N5" s="4">
        <v>0</v>
      </c>
      <c r="Q5" s="120">
        <v>13.13</v>
      </c>
      <c r="R5" t="s">
        <v>1664</v>
      </c>
      <c r="S5">
        <v>0</v>
      </c>
      <c r="T5"/>
      <c r="U5">
        <v>0</v>
      </c>
      <c r="V5"/>
      <c r="W5" t="s">
        <v>1664</v>
      </c>
      <c r="X5" t="s">
        <v>1664</v>
      </c>
      <c r="Y5" t="s">
        <v>1664</v>
      </c>
      <c r="Z5" t="s">
        <v>1664</v>
      </c>
      <c r="AA5" t="s">
        <v>1664</v>
      </c>
      <c r="AB5" t="s">
        <v>1664</v>
      </c>
      <c r="AC5" t="s">
        <v>3594</v>
      </c>
      <c r="AD5" t="s">
        <v>3487</v>
      </c>
      <c r="AE5" t="s">
        <v>1664</v>
      </c>
      <c r="AF5" t="s">
        <v>1664</v>
      </c>
      <c r="AG5" t="s">
        <v>1664</v>
      </c>
      <c r="AH5" t="s">
        <v>1664</v>
      </c>
      <c r="AI5" t="s">
        <v>1664</v>
      </c>
      <c r="AJ5">
        <v>0</v>
      </c>
      <c r="AK5"/>
      <c r="AL5">
        <v>0</v>
      </c>
      <c r="AM5"/>
      <c r="AN5">
        <v>41169160000</v>
      </c>
      <c r="AO5" t="s">
        <v>3881</v>
      </c>
      <c r="AP5" s="6">
        <v>0</v>
      </c>
    </row>
    <row r="6" spans="3:42">
      <c r="C6" s="4" t="s">
        <v>4371</v>
      </c>
      <c r="D6"/>
      <c r="E6" s="4" t="s">
        <v>3594</v>
      </c>
      <c r="F6" s="4" t="s">
        <v>4411</v>
      </c>
      <c r="G6" s="10" t="s">
        <v>2612</v>
      </c>
      <c r="H6" s="136">
        <v>1037745800000</v>
      </c>
      <c r="I6" s="5"/>
      <c r="J6" s="4" t="s">
        <v>4324</v>
      </c>
      <c r="K6">
        <v>0</v>
      </c>
      <c r="L6" s="4" t="s">
        <v>4348</v>
      </c>
      <c r="M6" s="4" t="s">
        <v>3149</v>
      </c>
      <c r="N6" s="4">
        <v>1</v>
      </c>
      <c r="O6" s="6" t="s">
        <v>3148</v>
      </c>
      <c r="Q6" s="120">
        <v>102.03570000000001</v>
      </c>
      <c r="R6">
        <v>0</v>
      </c>
      <c r="S6">
        <v>0</v>
      </c>
      <c r="T6"/>
      <c r="U6">
        <v>4332000000</v>
      </c>
      <c r="V6"/>
      <c r="W6">
        <v>2796000000</v>
      </c>
      <c r="X6">
        <v>4141000000</v>
      </c>
      <c r="Y6">
        <v>3047000000</v>
      </c>
      <c r="Z6">
        <v>1666000000</v>
      </c>
      <c r="AA6">
        <v>614000000</v>
      </c>
      <c r="AB6" t="s">
        <v>1664</v>
      </c>
      <c r="AC6" t="s">
        <v>3594</v>
      </c>
      <c r="AD6" t="s">
        <v>3491</v>
      </c>
      <c r="AE6">
        <v>62476200000</v>
      </c>
      <c r="AF6">
        <v>125581500000</v>
      </c>
      <c r="AG6">
        <v>84435200000</v>
      </c>
      <c r="AH6">
        <v>149625000000</v>
      </c>
      <c r="AI6">
        <v>322719600000</v>
      </c>
      <c r="AJ6">
        <v>369389600000</v>
      </c>
      <c r="AK6"/>
      <c r="AL6">
        <v>0</v>
      </c>
      <c r="AM6"/>
      <c r="AN6">
        <v>1037745800000</v>
      </c>
      <c r="AO6" t="s">
        <v>4008</v>
      </c>
      <c r="AP6" s="6">
        <v>0</v>
      </c>
    </row>
    <row r="7" spans="3:42">
      <c r="C7" s="4" t="s">
        <v>4371</v>
      </c>
      <c r="D7"/>
      <c r="E7" s="4" t="s">
        <v>3594</v>
      </c>
      <c r="G7" s="10" t="s">
        <v>3592</v>
      </c>
      <c r="H7" s="136">
        <v>18389890000</v>
      </c>
      <c r="I7" s="5"/>
      <c r="J7" s="4" t="s">
        <v>4324</v>
      </c>
      <c r="K7" t="s">
        <v>1664</v>
      </c>
      <c r="L7" s="4" t="s">
        <v>4348</v>
      </c>
      <c r="M7" s="4" t="s">
        <v>3149</v>
      </c>
      <c r="N7" s="4">
        <v>0</v>
      </c>
      <c r="Q7" s="120">
        <v>29.810500000000001</v>
      </c>
      <c r="R7" t="s">
        <v>1664</v>
      </c>
      <c r="S7">
        <v>0</v>
      </c>
      <c r="T7"/>
      <c r="U7">
        <v>0</v>
      </c>
      <c r="V7"/>
      <c r="W7" t="s">
        <v>1664</v>
      </c>
      <c r="X7" t="s">
        <v>1664</v>
      </c>
      <c r="Y7" t="s">
        <v>1664</v>
      </c>
      <c r="Z7" t="s">
        <v>1664</v>
      </c>
      <c r="AA7" t="s">
        <v>1664</v>
      </c>
      <c r="AB7" t="s">
        <v>1664</v>
      </c>
      <c r="AC7" t="s">
        <v>3594</v>
      </c>
      <c r="AD7" t="s">
        <v>3496</v>
      </c>
      <c r="AE7" t="s">
        <v>1664</v>
      </c>
      <c r="AF7" t="s">
        <v>1664</v>
      </c>
      <c r="AG7" t="s">
        <v>1664</v>
      </c>
      <c r="AH7" t="s">
        <v>1664</v>
      </c>
      <c r="AI7" t="s">
        <v>1664</v>
      </c>
      <c r="AJ7">
        <v>0</v>
      </c>
      <c r="AK7"/>
      <c r="AL7">
        <v>0</v>
      </c>
      <c r="AM7"/>
      <c r="AN7">
        <v>18389890000</v>
      </c>
      <c r="AO7" t="s">
        <v>3595</v>
      </c>
      <c r="AP7" s="6">
        <v>0</v>
      </c>
    </row>
    <row r="8" spans="3:42">
      <c r="C8" s="4" t="s">
        <v>4371</v>
      </c>
      <c r="D8"/>
      <c r="E8" s="4" t="s">
        <v>3594</v>
      </c>
      <c r="G8" s="10" t="s">
        <v>3960</v>
      </c>
      <c r="H8" s="136">
        <v>3298660000</v>
      </c>
      <c r="I8" s="5"/>
      <c r="J8" s="4" t="s">
        <v>4324</v>
      </c>
      <c r="K8" t="s">
        <v>1664</v>
      </c>
      <c r="L8" s="4" t="s">
        <v>4348</v>
      </c>
      <c r="M8" s="4" t="s">
        <v>3149</v>
      </c>
      <c r="N8" s="4">
        <v>1</v>
      </c>
      <c r="Q8" s="120">
        <v>16.200700000000001</v>
      </c>
      <c r="R8" t="s">
        <v>1664</v>
      </c>
      <c r="S8">
        <v>0</v>
      </c>
      <c r="T8"/>
      <c r="U8">
        <v>0</v>
      </c>
      <c r="V8"/>
      <c r="W8" t="s">
        <v>1664</v>
      </c>
      <c r="X8" t="s">
        <v>1664</v>
      </c>
      <c r="Y8" t="s">
        <v>1664</v>
      </c>
      <c r="Z8" t="s">
        <v>1664</v>
      </c>
      <c r="AA8" t="s">
        <v>1664</v>
      </c>
      <c r="AB8" t="s">
        <v>1664</v>
      </c>
      <c r="AC8" t="s">
        <v>3594</v>
      </c>
      <c r="AD8" t="s">
        <v>3482</v>
      </c>
      <c r="AE8" t="s">
        <v>1664</v>
      </c>
      <c r="AF8" t="s">
        <v>1664</v>
      </c>
      <c r="AG8" t="s">
        <v>1664</v>
      </c>
      <c r="AH8" t="s">
        <v>1664</v>
      </c>
      <c r="AI8" t="s">
        <v>1664</v>
      </c>
      <c r="AJ8">
        <v>0</v>
      </c>
      <c r="AK8"/>
      <c r="AL8">
        <v>0</v>
      </c>
      <c r="AM8"/>
      <c r="AN8">
        <v>3298660000</v>
      </c>
      <c r="AO8" t="s">
        <v>3961</v>
      </c>
      <c r="AP8" s="6">
        <v>0</v>
      </c>
    </row>
    <row r="9" spans="3:42">
      <c r="C9" s="4" t="s">
        <v>4371</v>
      </c>
      <c r="D9"/>
      <c r="E9" s="4" t="s">
        <v>3594</v>
      </c>
      <c r="G9" s="10" t="s">
        <v>3617</v>
      </c>
      <c r="H9" s="136">
        <v>7244781000</v>
      </c>
      <c r="I9" s="5"/>
      <c r="J9" s="4" t="s">
        <v>4324</v>
      </c>
      <c r="K9" t="s">
        <v>1664</v>
      </c>
      <c r="L9" s="4" t="s">
        <v>4348</v>
      </c>
      <c r="M9" s="4" t="s">
        <v>3149</v>
      </c>
      <c r="N9" s="4">
        <v>0</v>
      </c>
      <c r="Q9" s="120">
        <v>38.192999999999998</v>
      </c>
      <c r="R9" t="s">
        <v>1664</v>
      </c>
      <c r="S9">
        <v>0</v>
      </c>
      <c r="T9"/>
      <c r="U9">
        <v>0</v>
      </c>
      <c r="V9"/>
      <c r="W9" t="s">
        <v>1664</v>
      </c>
      <c r="X9" t="s">
        <v>1664</v>
      </c>
      <c r="Y9" t="s">
        <v>1664</v>
      </c>
      <c r="Z9" t="s">
        <v>1664</v>
      </c>
      <c r="AA9" t="s">
        <v>1664</v>
      </c>
      <c r="AB9" t="s">
        <v>1664</v>
      </c>
      <c r="AC9" t="s">
        <v>3594</v>
      </c>
      <c r="AD9" t="s">
        <v>3496</v>
      </c>
      <c r="AE9" t="s">
        <v>1664</v>
      </c>
      <c r="AF9" t="s">
        <v>1664</v>
      </c>
      <c r="AG9" t="s">
        <v>1664</v>
      </c>
      <c r="AH9" t="s">
        <v>1664</v>
      </c>
      <c r="AI9" t="s">
        <v>1664</v>
      </c>
      <c r="AJ9">
        <v>0</v>
      </c>
      <c r="AK9"/>
      <c r="AL9">
        <v>0</v>
      </c>
      <c r="AM9"/>
      <c r="AN9">
        <v>7244781000</v>
      </c>
      <c r="AO9" t="s">
        <v>3619</v>
      </c>
      <c r="AP9" s="6">
        <v>0</v>
      </c>
    </row>
    <row r="10" spans="3:42">
      <c r="C10" s="4" t="s">
        <v>4371</v>
      </c>
      <c r="D10"/>
      <c r="E10" s="4" t="s">
        <v>3594</v>
      </c>
      <c r="G10" s="10" t="s">
        <v>3885</v>
      </c>
      <c r="H10" s="136">
        <v>146265900000</v>
      </c>
      <c r="I10" s="5"/>
      <c r="J10" s="4" t="s">
        <v>4324</v>
      </c>
      <c r="K10" t="s">
        <v>1664</v>
      </c>
      <c r="L10" s="4" t="s">
        <v>4348</v>
      </c>
      <c r="M10" s="4" t="s">
        <v>3149</v>
      </c>
      <c r="N10" s="4">
        <v>0</v>
      </c>
      <c r="Q10" s="120">
        <v>15.3622</v>
      </c>
      <c r="R10" t="s">
        <v>1664</v>
      </c>
      <c r="S10">
        <v>0</v>
      </c>
      <c r="T10"/>
      <c r="U10">
        <v>0</v>
      </c>
      <c r="V10"/>
      <c r="W10" t="s">
        <v>1664</v>
      </c>
      <c r="X10" t="s">
        <v>1664</v>
      </c>
      <c r="Y10" t="s">
        <v>1664</v>
      </c>
      <c r="Z10" t="s">
        <v>1664</v>
      </c>
      <c r="AA10" t="s">
        <v>1664</v>
      </c>
      <c r="AB10" t="s">
        <v>1664</v>
      </c>
      <c r="AC10" t="s">
        <v>3594</v>
      </c>
      <c r="AD10" t="s">
        <v>3491</v>
      </c>
      <c r="AE10" t="s">
        <v>1664</v>
      </c>
      <c r="AF10" t="s">
        <v>1664</v>
      </c>
      <c r="AG10" t="s">
        <v>1664</v>
      </c>
      <c r="AH10" t="s">
        <v>1664</v>
      </c>
      <c r="AI10" t="s">
        <v>1664</v>
      </c>
      <c r="AJ10">
        <v>0</v>
      </c>
      <c r="AK10"/>
      <c r="AL10">
        <v>0</v>
      </c>
      <c r="AM10"/>
      <c r="AN10">
        <v>146265900000</v>
      </c>
      <c r="AO10" t="s">
        <v>3887</v>
      </c>
      <c r="AP10" s="6">
        <v>0</v>
      </c>
    </row>
    <row r="11" spans="3:42">
      <c r="C11" s="4" t="s">
        <v>4335</v>
      </c>
      <c r="D11" t="s">
        <v>3493</v>
      </c>
      <c r="E11" s="4" t="s">
        <v>3495</v>
      </c>
      <c r="G11" s="10" t="s">
        <v>3494</v>
      </c>
      <c r="H11" s="136">
        <v>20588040000</v>
      </c>
      <c r="I11" s="5">
        <v>0.44728687415426249</v>
      </c>
      <c r="J11" s="4" t="s">
        <v>4324</v>
      </c>
      <c r="K11">
        <v>728300000</v>
      </c>
      <c r="L11" s="4" t="s">
        <v>4330</v>
      </c>
      <c r="M11" s="4" t="s">
        <v>4327</v>
      </c>
      <c r="N11" s="4">
        <v>1</v>
      </c>
      <c r="Q11" s="120">
        <v>36.473799999999997</v>
      </c>
      <c r="R11">
        <v>700000000</v>
      </c>
      <c r="S11">
        <v>600000000</v>
      </c>
      <c r="T11"/>
      <c r="U11">
        <v>469717000</v>
      </c>
      <c r="V11"/>
      <c r="W11">
        <v>261019000</v>
      </c>
      <c r="X11">
        <v>204039000</v>
      </c>
      <c r="Y11">
        <v>131146000</v>
      </c>
      <c r="Z11" t="s">
        <v>1664</v>
      </c>
      <c r="AA11" t="s">
        <v>1664</v>
      </c>
      <c r="AB11">
        <v>29.411485714285714</v>
      </c>
      <c r="AC11" t="s">
        <v>3495</v>
      </c>
      <c r="AD11" t="s">
        <v>3496</v>
      </c>
      <c r="AE11" t="s">
        <v>1664</v>
      </c>
      <c r="AF11" t="s">
        <v>1664</v>
      </c>
      <c r="AG11">
        <v>14200600000</v>
      </c>
      <c r="AH11">
        <v>21853976000</v>
      </c>
      <c r="AI11">
        <v>57736740000</v>
      </c>
      <c r="AJ11">
        <v>71524744500</v>
      </c>
      <c r="AK11"/>
      <c r="AL11">
        <v>39917208800</v>
      </c>
      <c r="AM11"/>
      <c r="AN11">
        <v>20588040000</v>
      </c>
      <c r="AO11" t="s">
        <v>3497</v>
      </c>
      <c r="AP11" s="6">
        <v>0</v>
      </c>
    </row>
    <row r="12" spans="3:42">
      <c r="C12" s="4" t="s">
        <v>4335</v>
      </c>
      <c r="D12" t="s">
        <v>4271</v>
      </c>
      <c r="E12" s="4" t="s">
        <v>3495</v>
      </c>
      <c r="F12" s="4" t="s">
        <v>4400</v>
      </c>
      <c r="G12" s="10" t="s">
        <v>4272</v>
      </c>
      <c r="H12" s="136">
        <v>7950198000</v>
      </c>
      <c r="I12" s="5">
        <v>0.14814814814814814</v>
      </c>
      <c r="J12" s="4" t="s">
        <v>4324</v>
      </c>
      <c r="K12">
        <v>920000000</v>
      </c>
      <c r="L12" s="4" t="s">
        <v>4330</v>
      </c>
      <c r="M12" s="4" t="s">
        <v>4327</v>
      </c>
      <c r="N12" s="4">
        <v>1</v>
      </c>
      <c r="O12" s="6" t="s">
        <v>3419</v>
      </c>
      <c r="Q12" s="120">
        <v>18.763400000000001</v>
      </c>
      <c r="R12">
        <v>0</v>
      </c>
      <c r="S12">
        <v>211000000</v>
      </c>
      <c r="T12">
        <v>211000000</v>
      </c>
      <c r="U12">
        <v>-751400000</v>
      </c>
      <c r="V12"/>
      <c r="W12">
        <v>163700000</v>
      </c>
      <c r="X12">
        <v>300500000</v>
      </c>
      <c r="Y12">
        <v>154200000</v>
      </c>
      <c r="Z12">
        <v>133400000</v>
      </c>
      <c r="AA12">
        <v>0</v>
      </c>
      <c r="AB12" t="s">
        <v>1664</v>
      </c>
      <c r="AC12" t="s">
        <v>3495</v>
      </c>
      <c r="AD12" t="s">
        <v>3518</v>
      </c>
      <c r="AE12">
        <v>3414552600</v>
      </c>
      <c r="AF12">
        <v>5634917600</v>
      </c>
      <c r="AG12">
        <v>7667310000</v>
      </c>
      <c r="AH12">
        <v>11694813248</v>
      </c>
      <c r="AI12">
        <v>22079618050</v>
      </c>
      <c r="AJ12">
        <v>13743755200</v>
      </c>
      <c r="AK12"/>
      <c r="AL12">
        <v>10246109744</v>
      </c>
      <c r="AM12"/>
      <c r="AN12">
        <v>7950198000</v>
      </c>
      <c r="AO12" t="s">
        <v>4273</v>
      </c>
      <c r="AP12" s="6">
        <v>0</v>
      </c>
    </row>
    <row r="13" spans="3:42">
      <c r="C13" s="4" t="s">
        <v>4335</v>
      </c>
      <c r="D13"/>
      <c r="E13" s="4" t="s">
        <v>3563</v>
      </c>
      <c r="G13" s="10" t="s">
        <v>3561</v>
      </c>
      <c r="H13" s="136">
        <v>114497265183</v>
      </c>
      <c r="I13" s="5"/>
      <c r="J13" s="4" t="s">
        <v>4324</v>
      </c>
      <c r="K13" t="s">
        <v>1664</v>
      </c>
      <c r="L13" s="4" t="s">
        <v>4330</v>
      </c>
      <c r="M13" s="4" t="s">
        <v>4327</v>
      </c>
      <c r="N13" s="4">
        <v>0</v>
      </c>
      <c r="Q13" s="120">
        <v>15.996</v>
      </c>
      <c r="R13" t="s">
        <v>1664</v>
      </c>
      <c r="S13">
        <v>0</v>
      </c>
      <c r="T13"/>
      <c r="U13">
        <v>0</v>
      </c>
      <c r="V13"/>
      <c r="W13" t="s">
        <v>1664</v>
      </c>
      <c r="X13" t="s">
        <v>1664</v>
      </c>
      <c r="Y13" t="s">
        <v>1664</v>
      </c>
      <c r="Z13" t="s">
        <v>1664</v>
      </c>
      <c r="AA13" t="s">
        <v>1664</v>
      </c>
      <c r="AB13" t="s">
        <v>1664</v>
      </c>
      <c r="AC13" t="s">
        <v>3563</v>
      </c>
      <c r="AD13" t="s">
        <v>3464</v>
      </c>
      <c r="AE13" t="s">
        <v>1664</v>
      </c>
      <c r="AF13" t="s">
        <v>1664</v>
      </c>
      <c r="AG13" t="s">
        <v>1664</v>
      </c>
      <c r="AH13" t="s">
        <v>1664</v>
      </c>
      <c r="AI13" t="s">
        <v>1664</v>
      </c>
      <c r="AJ13">
        <v>0</v>
      </c>
      <c r="AK13"/>
      <c r="AL13">
        <v>0</v>
      </c>
      <c r="AM13"/>
      <c r="AN13">
        <v>114497265183</v>
      </c>
      <c r="AO13" t="s">
        <v>3564</v>
      </c>
      <c r="AP13" s="6">
        <v>0</v>
      </c>
    </row>
    <row r="14" spans="3:42">
      <c r="C14" s="4" t="s">
        <v>4335</v>
      </c>
      <c r="D14"/>
      <c r="E14" s="4" t="s">
        <v>3490</v>
      </c>
      <c r="G14" s="10" t="s">
        <v>3948</v>
      </c>
      <c r="H14" s="136">
        <v>383613446476</v>
      </c>
      <c r="I14" s="5"/>
      <c r="J14" s="4" t="s">
        <v>4324</v>
      </c>
      <c r="K14" t="s">
        <v>1664</v>
      </c>
      <c r="L14" s="4" t="s">
        <v>4330</v>
      </c>
      <c r="M14" s="4" t="s">
        <v>4327</v>
      </c>
      <c r="N14" s="4">
        <v>0</v>
      </c>
      <c r="Q14" s="120">
        <v>38.4589</v>
      </c>
      <c r="R14" t="s">
        <v>1664</v>
      </c>
      <c r="S14">
        <v>0</v>
      </c>
      <c r="T14"/>
      <c r="U14">
        <v>0</v>
      </c>
      <c r="V14"/>
      <c r="W14" t="s">
        <v>1664</v>
      </c>
      <c r="X14" t="s">
        <v>1664</v>
      </c>
      <c r="Y14" t="s">
        <v>1664</v>
      </c>
      <c r="Z14" t="s">
        <v>1664</v>
      </c>
      <c r="AA14" t="s">
        <v>1664</v>
      </c>
      <c r="AB14" t="s">
        <v>1664</v>
      </c>
      <c r="AC14" t="s">
        <v>3490</v>
      </c>
      <c r="AD14" t="s">
        <v>3474</v>
      </c>
      <c r="AE14" t="s">
        <v>1664</v>
      </c>
      <c r="AF14" t="s">
        <v>1664</v>
      </c>
      <c r="AG14" t="s">
        <v>1664</v>
      </c>
      <c r="AH14" t="s">
        <v>1664</v>
      </c>
      <c r="AI14" t="s">
        <v>1664</v>
      </c>
      <c r="AJ14">
        <v>0</v>
      </c>
      <c r="AK14"/>
      <c r="AL14">
        <v>0</v>
      </c>
      <c r="AM14"/>
      <c r="AN14">
        <v>383613446476</v>
      </c>
      <c r="AO14" t="s">
        <v>3950</v>
      </c>
      <c r="AP14" s="6">
        <v>0</v>
      </c>
    </row>
    <row r="15" spans="3:42">
      <c r="C15" s="4" t="s">
        <v>4335</v>
      </c>
      <c r="D15"/>
      <c r="E15" s="4" t="s">
        <v>3490</v>
      </c>
      <c r="F15" s="4" t="s">
        <v>4400</v>
      </c>
      <c r="G15" s="10" t="s">
        <v>659</v>
      </c>
      <c r="H15" s="136">
        <v>487334829210</v>
      </c>
      <c r="I15" s="5"/>
      <c r="J15" s="4" t="s">
        <v>4324</v>
      </c>
      <c r="K15" t="s">
        <v>1664</v>
      </c>
      <c r="L15" s="4" t="s">
        <v>4330</v>
      </c>
      <c r="M15" s="4" t="s">
        <v>4327</v>
      </c>
      <c r="N15" s="4">
        <v>1</v>
      </c>
      <c r="O15" s="6" t="s">
        <v>3419</v>
      </c>
      <c r="Q15" s="120">
        <v>30.692900000000002</v>
      </c>
      <c r="R15" t="s">
        <v>1664</v>
      </c>
      <c r="S15">
        <v>0</v>
      </c>
      <c r="T15"/>
      <c r="U15">
        <v>0</v>
      </c>
      <c r="V15"/>
      <c r="W15">
        <v>0</v>
      </c>
      <c r="X15">
        <v>12080000000</v>
      </c>
      <c r="Y15">
        <v>10301000000</v>
      </c>
      <c r="Z15">
        <v>6699000000</v>
      </c>
      <c r="AA15">
        <v>5991000000</v>
      </c>
      <c r="AB15" t="s">
        <v>1664</v>
      </c>
      <c r="AC15" t="s">
        <v>3490</v>
      </c>
      <c r="AD15" t="s">
        <v>3464</v>
      </c>
      <c r="AE15">
        <v>189400400000</v>
      </c>
      <c r="AF15">
        <v>269310000000</v>
      </c>
      <c r="AG15">
        <v>304473900000</v>
      </c>
      <c r="AH15">
        <v>427490700000</v>
      </c>
      <c r="AI15">
        <v>0</v>
      </c>
      <c r="AJ15">
        <v>0</v>
      </c>
      <c r="AK15"/>
      <c r="AL15">
        <v>0</v>
      </c>
      <c r="AM15"/>
      <c r="AN15">
        <v>487334829210</v>
      </c>
      <c r="AO15" t="s">
        <v>4244</v>
      </c>
      <c r="AP15" s="6">
        <v>0</v>
      </c>
    </row>
    <row r="16" spans="3:42">
      <c r="C16" s="4" t="s">
        <v>4333</v>
      </c>
      <c r="D16" t="s">
        <v>4168</v>
      </c>
      <c r="E16" s="4" t="s">
        <v>3490</v>
      </c>
      <c r="F16" s="4" t="s">
        <v>4428</v>
      </c>
      <c r="G16" s="10" t="s">
        <v>2768</v>
      </c>
      <c r="H16" s="136">
        <v>2985396000000</v>
      </c>
      <c r="I16" s="5">
        <v>0.5039238604107531</v>
      </c>
      <c r="J16" s="4" t="s">
        <v>4324</v>
      </c>
      <c r="K16">
        <v>181540000000</v>
      </c>
      <c r="L16" s="4" t="s">
        <v>4334</v>
      </c>
      <c r="M16" s="4" t="s">
        <v>3148</v>
      </c>
      <c r="N16" s="4">
        <v>1</v>
      </c>
      <c r="O16" s="6" t="s">
        <v>3149</v>
      </c>
      <c r="Q16" s="120">
        <v>13.44</v>
      </c>
      <c r="R16">
        <v>0</v>
      </c>
      <c r="S16">
        <v>107368000000</v>
      </c>
      <c r="T16"/>
      <c r="U16">
        <v>123788000000</v>
      </c>
      <c r="V16"/>
      <c r="W16">
        <v>122742000000</v>
      </c>
      <c r="X16">
        <v>94351000000</v>
      </c>
      <c r="Y16">
        <v>77479000000</v>
      </c>
      <c r="Z16">
        <v>65126000000</v>
      </c>
      <c r="AA16">
        <v>45420000000</v>
      </c>
      <c r="AB16" t="s">
        <v>1664</v>
      </c>
      <c r="AC16" t="s">
        <v>3490</v>
      </c>
      <c r="AD16"/>
      <c r="AE16">
        <v>1795883516974.3999</v>
      </c>
      <c r="AF16">
        <v>3856545558516</v>
      </c>
      <c r="AG16">
        <v>3001260664003.1997</v>
      </c>
      <c r="AH16">
        <v>3668628873216</v>
      </c>
      <c r="AI16">
        <v>5411311722684</v>
      </c>
      <c r="AJ16">
        <v>4389107284639.2002</v>
      </c>
      <c r="AK16"/>
      <c r="AL16">
        <v>3213864558652</v>
      </c>
      <c r="AM16"/>
      <c r="AN16">
        <v>2985396000000</v>
      </c>
      <c r="AO16" t="s">
        <v>4169</v>
      </c>
      <c r="AP16" s="6">
        <v>0</v>
      </c>
    </row>
    <row r="17" spans="3:42">
      <c r="C17" s="4" t="s">
        <v>4333</v>
      </c>
      <c r="D17" t="s">
        <v>1046</v>
      </c>
      <c r="E17" s="4" t="s">
        <v>3490</v>
      </c>
      <c r="F17" s="4" t="s">
        <v>751</v>
      </c>
      <c r="G17" s="10" t="s">
        <v>3489</v>
      </c>
      <c r="H17" s="136">
        <v>238424422000</v>
      </c>
      <c r="I17" s="5">
        <v>0.32413407821229051</v>
      </c>
      <c r="J17" s="4" t="s">
        <v>4324</v>
      </c>
      <c r="K17">
        <v>0</v>
      </c>
      <c r="L17" s="4" t="s">
        <v>4334</v>
      </c>
      <c r="M17" s="4" t="s">
        <v>3148</v>
      </c>
      <c r="N17" s="4">
        <v>1</v>
      </c>
      <c r="O17" s="6" t="s">
        <v>3431</v>
      </c>
      <c r="Q17" s="120">
        <v>48.2378</v>
      </c>
      <c r="R17">
        <v>0</v>
      </c>
      <c r="S17">
        <v>5200000000</v>
      </c>
      <c r="T17"/>
      <c r="U17">
        <v>4822000000</v>
      </c>
      <c r="V17"/>
      <c r="W17">
        <v>5260000000</v>
      </c>
      <c r="X17">
        <v>2951000000</v>
      </c>
      <c r="Y17">
        <v>2591000000</v>
      </c>
      <c r="Z17">
        <v>1664000000</v>
      </c>
      <c r="AA17">
        <v>1169000000</v>
      </c>
      <c r="AB17" t="s">
        <v>1664</v>
      </c>
      <c r="AC17" t="s">
        <v>3490</v>
      </c>
      <c r="AD17" t="s">
        <v>3491</v>
      </c>
      <c r="AE17">
        <v>51141300000</v>
      </c>
      <c r="AF17">
        <v>86373600000</v>
      </c>
      <c r="AG17">
        <v>110434500000</v>
      </c>
      <c r="AH17">
        <v>160768800000</v>
      </c>
      <c r="AI17">
        <v>241548300000</v>
      </c>
      <c r="AJ17">
        <v>272755859999.99997</v>
      </c>
      <c r="AK17"/>
      <c r="AL17">
        <v>159178690000</v>
      </c>
      <c r="AM17"/>
      <c r="AN17">
        <v>238424422000</v>
      </c>
      <c r="AO17" t="s">
        <v>3492</v>
      </c>
      <c r="AP17" s="6">
        <v>0</v>
      </c>
    </row>
    <row r="18" spans="3:42">
      <c r="C18" s="4" t="s">
        <v>4333</v>
      </c>
      <c r="D18" t="s">
        <v>1949</v>
      </c>
      <c r="E18" s="4" t="s">
        <v>3490</v>
      </c>
      <c r="F18" s="4" t="s">
        <v>751</v>
      </c>
      <c r="G18" s="10" t="s">
        <v>3720</v>
      </c>
      <c r="H18" s="136">
        <v>47193540000</v>
      </c>
      <c r="I18" s="5">
        <v>0.19233962264150944</v>
      </c>
      <c r="J18" s="4" t="s">
        <v>4324</v>
      </c>
      <c r="K18">
        <v>2000000000</v>
      </c>
      <c r="L18" s="4" t="s">
        <v>4334</v>
      </c>
      <c r="M18" s="4" t="s">
        <v>3148</v>
      </c>
      <c r="N18" s="4">
        <v>1</v>
      </c>
      <c r="O18" s="6" t="s">
        <v>3149</v>
      </c>
      <c r="Q18" s="120">
        <v>45.304900000000004</v>
      </c>
      <c r="R18">
        <v>955000000</v>
      </c>
      <c r="S18">
        <v>1000000000</v>
      </c>
      <c r="T18"/>
      <c r="U18">
        <v>773800000</v>
      </c>
      <c r="V18"/>
      <c r="W18">
        <v>485500000</v>
      </c>
      <c r="X18" t="s">
        <v>3721</v>
      </c>
      <c r="Y18" t="s">
        <v>3722</v>
      </c>
      <c r="Z18" t="s">
        <v>3723</v>
      </c>
      <c r="AA18" t="s">
        <v>3724</v>
      </c>
      <c r="AB18">
        <v>49.41731937172775</v>
      </c>
      <c r="AC18" t="s">
        <v>3490</v>
      </c>
      <c r="AD18" t="s">
        <v>3518</v>
      </c>
      <c r="AE18" t="s">
        <v>3725</v>
      </c>
      <c r="AF18" t="s">
        <v>3726</v>
      </c>
      <c r="AG18" t="s">
        <v>3727</v>
      </c>
      <c r="AH18" t="s">
        <v>3728</v>
      </c>
      <c r="AI18" t="s">
        <v>3729</v>
      </c>
      <c r="AJ18" t="s">
        <v>3730</v>
      </c>
      <c r="AK18"/>
      <c r="AL18">
        <v>44686519660</v>
      </c>
      <c r="AM18"/>
      <c r="AN18">
        <v>47193540000</v>
      </c>
      <c r="AO18" t="s">
        <v>3731</v>
      </c>
      <c r="AP18" s="6">
        <v>0</v>
      </c>
    </row>
    <row r="19" spans="3:42">
      <c r="C19" s="4" t="s">
        <v>4333</v>
      </c>
      <c r="D19" t="s">
        <v>727</v>
      </c>
      <c r="E19" s="4" t="s">
        <v>3490</v>
      </c>
      <c r="F19" s="4" t="s">
        <v>751</v>
      </c>
      <c r="G19" s="10" t="s">
        <v>3279</v>
      </c>
      <c r="H19" s="136">
        <v>154128100000</v>
      </c>
      <c r="I19" s="5">
        <v>0.16733711658645212</v>
      </c>
      <c r="J19" s="4" t="s">
        <v>4324</v>
      </c>
      <c r="K19">
        <v>8454000000</v>
      </c>
      <c r="L19" s="4" t="s">
        <v>4334</v>
      </c>
      <c r="M19" s="4" t="s">
        <v>3148</v>
      </c>
      <c r="N19" s="4">
        <v>1</v>
      </c>
      <c r="O19" s="6" t="s">
        <v>3149</v>
      </c>
      <c r="Q19" s="120">
        <v>61.94</v>
      </c>
      <c r="R19">
        <v>0</v>
      </c>
      <c r="S19">
        <v>5383000000</v>
      </c>
      <c r="T19"/>
      <c r="U19">
        <v>5383000000</v>
      </c>
      <c r="V19"/>
      <c r="W19">
        <v>5283000000</v>
      </c>
      <c r="X19">
        <v>3370000000</v>
      </c>
      <c r="Y19">
        <v>4088000000</v>
      </c>
      <c r="Z19">
        <v>4056000000</v>
      </c>
      <c r="AA19">
        <v>3634000000</v>
      </c>
      <c r="AB19" t="s">
        <v>1664</v>
      </c>
      <c r="AC19" t="s">
        <v>3490</v>
      </c>
      <c r="AD19" t="s">
        <v>3487</v>
      </c>
      <c r="AE19">
        <v>102579750000</v>
      </c>
      <c r="AF19">
        <v>114741900000</v>
      </c>
      <c r="AG19">
        <v>103562550000</v>
      </c>
      <c r="AH19">
        <v>149999850000</v>
      </c>
      <c r="AI19">
        <v>131720223755.03999</v>
      </c>
      <c r="AJ19">
        <v>153440178576.80002</v>
      </c>
      <c r="AK19"/>
      <c r="AL19">
        <v>118415522922.48</v>
      </c>
      <c r="AM19"/>
      <c r="AN19">
        <v>154128100000</v>
      </c>
      <c r="AO19" t="s">
        <v>4093</v>
      </c>
      <c r="AP19" s="6">
        <v>0</v>
      </c>
    </row>
    <row r="20" spans="3:42">
      <c r="C20" s="4" t="s">
        <v>4333</v>
      </c>
      <c r="D20"/>
      <c r="E20" s="4" t="s">
        <v>3490</v>
      </c>
      <c r="F20" s="4" t="s">
        <v>4373</v>
      </c>
      <c r="G20" s="10" t="s">
        <v>4134</v>
      </c>
      <c r="H20" s="136">
        <v>3936939000</v>
      </c>
      <c r="I20" s="5">
        <v>6.9591468674037482E-2</v>
      </c>
      <c r="J20" s="4" t="s">
        <v>4324</v>
      </c>
      <c r="K20">
        <v>549080000</v>
      </c>
      <c r="L20" s="4" t="s">
        <v>4322</v>
      </c>
      <c r="M20" s="4" t="s">
        <v>3149</v>
      </c>
      <c r="N20" s="4">
        <v>1</v>
      </c>
      <c r="O20" s="6" t="s">
        <v>3149</v>
      </c>
      <c r="Q20" s="120">
        <v>15.6524</v>
      </c>
      <c r="R20" t="s">
        <v>1664</v>
      </c>
      <c r="S20">
        <v>247800000</v>
      </c>
      <c r="T20"/>
      <c r="U20">
        <v>200000000</v>
      </c>
      <c r="V20"/>
      <c r="W20">
        <v>106800000</v>
      </c>
      <c r="X20">
        <v>160300000</v>
      </c>
      <c r="Y20">
        <v>125100000</v>
      </c>
      <c r="Z20">
        <v>171400000</v>
      </c>
      <c r="AA20">
        <v>150400000</v>
      </c>
      <c r="AB20" t="s">
        <v>1664</v>
      </c>
      <c r="AC20" t="s">
        <v>3490</v>
      </c>
      <c r="AD20" t="s">
        <v>3477</v>
      </c>
      <c r="AE20">
        <v>2214354090.75</v>
      </c>
      <c r="AF20">
        <v>3359968865.1999998</v>
      </c>
      <c r="AG20">
        <v>1849293090</v>
      </c>
      <c r="AH20">
        <v>2054770100</v>
      </c>
      <c r="AI20">
        <v>2749282393.8000002</v>
      </c>
      <c r="AJ20">
        <v>3236262907.5</v>
      </c>
      <c r="AK20"/>
      <c r="AL20">
        <v>2901335381.1999998</v>
      </c>
      <c r="AM20"/>
      <c r="AN20">
        <v>3936939000</v>
      </c>
      <c r="AO20" t="s">
        <v>4135</v>
      </c>
      <c r="AP20" s="6">
        <v>0</v>
      </c>
    </row>
    <row r="21" spans="3:42">
      <c r="C21" s="4" t="s">
        <v>4333</v>
      </c>
      <c r="D21" t="s">
        <v>3493</v>
      </c>
      <c r="E21" s="4" t="s">
        <v>3490</v>
      </c>
      <c r="F21" s="4" t="s">
        <v>3843</v>
      </c>
      <c r="G21" s="10" t="s">
        <v>2867</v>
      </c>
      <c r="H21" s="136">
        <v>4526616000</v>
      </c>
      <c r="I21" s="5">
        <v>6.6083370780576772E-2</v>
      </c>
      <c r="J21" s="4" t="s">
        <v>4324</v>
      </c>
      <c r="K21">
        <v>500325000</v>
      </c>
      <c r="L21" s="4" t="s">
        <v>4334</v>
      </c>
      <c r="M21" s="4" t="s">
        <v>3148</v>
      </c>
      <c r="N21" s="4">
        <v>1</v>
      </c>
      <c r="O21" s="6" t="s">
        <v>3419</v>
      </c>
      <c r="Q21" s="120">
        <v>9.7030999999999992</v>
      </c>
      <c r="R21">
        <v>0</v>
      </c>
      <c r="S21">
        <v>457525000</v>
      </c>
      <c r="T21"/>
      <c r="U21">
        <v>180000000</v>
      </c>
      <c r="V21"/>
      <c r="W21">
        <v>98011000</v>
      </c>
      <c r="X21">
        <v>164225000</v>
      </c>
      <c r="Y21">
        <v>157869000</v>
      </c>
      <c r="Z21">
        <v>147025000</v>
      </c>
      <c r="AA21">
        <v>112405000</v>
      </c>
      <c r="AB21" t="s">
        <v>1664</v>
      </c>
      <c r="AC21" t="s">
        <v>3490</v>
      </c>
      <c r="AD21" t="s">
        <v>3477</v>
      </c>
      <c r="AE21">
        <v>2202802184.6999998</v>
      </c>
      <c r="AF21">
        <v>2428370599.1999998</v>
      </c>
      <c r="AG21">
        <v>2416544030.25</v>
      </c>
      <c r="AH21">
        <v>3876970486.7999997</v>
      </c>
      <c r="AI21">
        <v>3164569150.5</v>
      </c>
      <c r="AJ21">
        <v>5275904301.1999998</v>
      </c>
      <c r="AK21"/>
      <c r="AL21">
        <v>3983869763.1999998</v>
      </c>
      <c r="AM21"/>
      <c r="AN21">
        <v>4526616000</v>
      </c>
      <c r="AO21" t="s">
        <v>3554</v>
      </c>
      <c r="AP21" s="6">
        <v>0</v>
      </c>
    </row>
    <row r="22" spans="3:42">
      <c r="C22" s="4" t="s">
        <v>4333</v>
      </c>
      <c r="D22"/>
      <c r="E22" s="4" t="s">
        <v>3490</v>
      </c>
      <c r="F22" s="4" t="s">
        <v>4385</v>
      </c>
      <c r="G22" s="10" t="s">
        <v>3241</v>
      </c>
      <c r="H22" s="136">
        <v>29651329382</v>
      </c>
      <c r="I22" s="5">
        <v>-1.2770666666666666E-2</v>
      </c>
      <c r="J22" s="4" t="s">
        <v>4324</v>
      </c>
      <c r="K22">
        <v>0</v>
      </c>
      <c r="L22" s="4" t="s">
        <v>4334</v>
      </c>
      <c r="M22" s="4" t="s">
        <v>3148</v>
      </c>
      <c r="N22" s="4">
        <v>1</v>
      </c>
      <c r="O22" s="6" t="s">
        <v>3431</v>
      </c>
      <c r="Q22" s="120"/>
      <c r="R22">
        <v>0</v>
      </c>
      <c r="S22">
        <v>0</v>
      </c>
      <c r="T22"/>
      <c r="U22">
        <v>-20745000</v>
      </c>
      <c r="V22"/>
      <c r="W22">
        <v>-24547000</v>
      </c>
      <c r="X22">
        <v>-16710000</v>
      </c>
      <c r="Y22">
        <v>-10762000</v>
      </c>
      <c r="Z22">
        <v>-2570000</v>
      </c>
      <c r="AA22" t="s">
        <v>1664</v>
      </c>
      <c r="AB22" t="s">
        <v>1664</v>
      </c>
      <c r="AC22" t="s">
        <v>3490</v>
      </c>
      <c r="AD22"/>
      <c r="AE22" t="s">
        <v>1664</v>
      </c>
      <c r="AF22">
        <v>0</v>
      </c>
      <c r="AG22">
        <v>0</v>
      </c>
      <c r="AH22">
        <v>5049415300</v>
      </c>
      <c r="AI22">
        <v>29554440000</v>
      </c>
      <c r="AJ22">
        <v>55044539280.000008</v>
      </c>
      <c r="AK22"/>
      <c r="AL22">
        <v>25725000000</v>
      </c>
      <c r="AM22"/>
      <c r="AN22">
        <v>29651329382</v>
      </c>
      <c r="AO22" t="s">
        <v>3732</v>
      </c>
      <c r="AP22" s="6">
        <v>0</v>
      </c>
    </row>
    <row r="23" spans="3:42">
      <c r="C23" s="4" t="s">
        <v>4333</v>
      </c>
      <c r="D23" t="s">
        <v>3555</v>
      </c>
      <c r="E23" s="4" t="s">
        <v>3490</v>
      </c>
      <c r="F23" s="4" t="s">
        <v>4363</v>
      </c>
      <c r="G23" s="10" t="s">
        <v>763</v>
      </c>
      <c r="H23" s="136">
        <v>28273330000</v>
      </c>
      <c r="I23" s="5">
        <v>-1.8502418689672083E-2</v>
      </c>
      <c r="J23" s="4" t="s">
        <v>4324</v>
      </c>
      <c r="K23">
        <v>1640300000</v>
      </c>
      <c r="L23" s="4" t="s">
        <v>4348</v>
      </c>
      <c r="M23" s="4" t="s">
        <v>3148</v>
      </c>
      <c r="N23" s="4">
        <v>1</v>
      </c>
      <c r="O23" s="6" t="s">
        <v>3419</v>
      </c>
      <c r="Q23" s="120">
        <v>31.046299999999999</v>
      </c>
      <c r="R23">
        <v>1100000000</v>
      </c>
      <c r="S23">
        <v>664300000</v>
      </c>
      <c r="T23"/>
      <c r="U23">
        <v>-142400000</v>
      </c>
      <c r="V23"/>
      <c r="W23">
        <v>-626300000</v>
      </c>
      <c r="X23">
        <v>1113200000</v>
      </c>
      <c r="Y23">
        <v>1002500000</v>
      </c>
      <c r="Z23">
        <v>1002900000</v>
      </c>
      <c r="AA23">
        <v>825500000</v>
      </c>
      <c r="AB23">
        <v>25.703027272727272</v>
      </c>
      <c r="AC23" t="s">
        <v>3490</v>
      </c>
      <c r="AD23"/>
      <c r="AE23">
        <v>18690254698.420002</v>
      </c>
      <c r="AF23">
        <v>27350823309.919998</v>
      </c>
      <c r="AG23">
        <v>27335009615.16</v>
      </c>
      <c r="AH23">
        <v>30525100416.959995</v>
      </c>
      <c r="AI23">
        <v>23391175780</v>
      </c>
      <c r="AJ23">
        <v>27244982261.220001</v>
      </c>
      <c r="AK23"/>
      <c r="AL23">
        <v>21871736402.75</v>
      </c>
      <c r="AM23"/>
      <c r="AN23">
        <v>28273330000</v>
      </c>
      <c r="AO23" t="s">
        <v>3556</v>
      </c>
      <c r="AP23" s="6">
        <v>0</v>
      </c>
    </row>
    <row r="24" spans="3:42">
      <c r="C24" s="4" t="s">
        <v>4333</v>
      </c>
      <c r="D24"/>
      <c r="E24" s="4" t="s">
        <v>3490</v>
      </c>
      <c r="G24" s="10" t="s">
        <v>3992</v>
      </c>
      <c r="H24" s="136">
        <v>173491972200</v>
      </c>
      <c r="I24" s="5"/>
      <c r="J24" s="4" t="s">
        <v>4324</v>
      </c>
      <c r="K24" t="s">
        <v>1664</v>
      </c>
      <c r="L24" s="4" t="s">
        <v>4334</v>
      </c>
      <c r="M24" s="4" t="s">
        <v>3148</v>
      </c>
      <c r="N24" s="4">
        <v>0</v>
      </c>
      <c r="Q24" s="120">
        <v>44.974299999999999</v>
      </c>
      <c r="R24" t="s">
        <v>1664</v>
      </c>
      <c r="S24">
        <v>0</v>
      </c>
      <c r="T24"/>
      <c r="U24">
        <v>0</v>
      </c>
      <c r="V24"/>
      <c r="W24" t="s">
        <v>1664</v>
      </c>
      <c r="X24" t="s">
        <v>1664</v>
      </c>
      <c r="Y24" t="s">
        <v>1664</v>
      </c>
      <c r="Z24" t="s">
        <v>1664</v>
      </c>
      <c r="AA24" t="s">
        <v>1664</v>
      </c>
      <c r="AB24" t="s">
        <v>1664</v>
      </c>
      <c r="AC24" t="s">
        <v>3490</v>
      </c>
      <c r="AD24" t="s">
        <v>3491</v>
      </c>
      <c r="AE24" t="s">
        <v>1664</v>
      </c>
      <c r="AF24" t="s">
        <v>1664</v>
      </c>
      <c r="AG24" t="s">
        <v>1664</v>
      </c>
      <c r="AH24" t="s">
        <v>1664</v>
      </c>
      <c r="AI24" t="s">
        <v>1664</v>
      </c>
      <c r="AJ24">
        <v>0</v>
      </c>
      <c r="AK24"/>
      <c r="AL24">
        <v>0</v>
      </c>
      <c r="AM24"/>
      <c r="AN24">
        <v>173491972200</v>
      </c>
      <c r="AO24" t="s">
        <v>3994</v>
      </c>
      <c r="AP24" s="6">
        <v>0</v>
      </c>
    </row>
    <row r="25" spans="3:42">
      <c r="C25" s="4" t="s">
        <v>4333</v>
      </c>
      <c r="D25"/>
      <c r="E25" s="4" t="s">
        <v>3514</v>
      </c>
      <c r="F25" s="4" t="s">
        <v>751</v>
      </c>
      <c r="G25" s="10" t="s">
        <v>3782</v>
      </c>
      <c r="H25" s="136">
        <v>917418000</v>
      </c>
      <c r="I25" s="5"/>
      <c r="J25" s="4" t="s">
        <v>4324</v>
      </c>
      <c r="K25" t="s">
        <v>1664</v>
      </c>
      <c r="L25" s="4" t="s">
        <v>4334</v>
      </c>
      <c r="M25" s="4" t="s">
        <v>3148</v>
      </c>
      <c r="N25" s="4">
        <v>1</v>
      </c>
      <c r="O25" s="6" t="s">
        <v>3149</v>
      </c>
      <c r="Q25" s="120">
        <v>67.712999999999994</v>
      </c>
      <c r="R25" t="s">
        <v>1664</v>
      </c>
      <c r="S25">
        <v>0</v>
      </c>
      <c r="T25"/>
      <c r="U25">
        <v>-18500000</v>
      </c>
      <c r="V25"/>
      <c r="W25">
        <v>1400000</v>
      </c>
      <c r="X25">
        <v>3334000</v>
      </c>
      <c r="Y25">
        <v>2375000</v>
      </c>
      <c r="Z25">
        <v>7523000</v>
      </c>
      <c r="AA25">
        <v>5330000</v>
      </c>
      <c r="AB25" t="s">
        <v>1664</v>
      </c>
      <c r="AC25" t="s">
        <v>3514</v>
      </c>
      <c r="AD25"/>
      <c r="AE25">
        <v>149876800</v>
      </c>
      <c r="AF25">
        <v>269639640</v>
      </c>
      <c r="AG25">
        <v>240657680</v>
      </c>
      <c r="AH25">
        <v>275619453.59999996</v>
      </c>
      <c r="AI25">
        <v>447731164.80000001</v>
      </c>
      <c r="AJ25">
        <v>447731164.80000001</v>
      </c>
      <c r="AK25"/>
      <c r="AL25">
        <v>0</v>
      </c>
      <c r="AM25"/>
      <c r="AN25">
        <v>917418000</v>
      </c>
      <c r="AO25" t="s">
        <v>3783</v>
      </c>
      <c r="AP25" s="6">
        <v>0</v>
      </c>
    </row>
    <row r="26" spans="3:42">
      <c r="C26" s="4" t="s">
        <v>4333</v>
      </c>
      <c r="D26" t="s">
        <v>3580</v>
      </c>
      <c r="E26" s="4" t="s">
        <v>3583</v>
      </c>
      <c r="G26" s="10" t="s">
        <v>3581</v>
      </c>
      <c r="H26" s="136">
        <v>2749748372400</v>
      </c>
      <c r="I26" s="5"/>
      <c r="J26" s="4" t="s">
        <v>4324</v>
      </c>
      <c r="K26" t="s">
        <v>1664</v>
      </c>
      <c r="L26" s="4" t="s">
        <v>4334</v>
      </c>
      <c r="M26" s="4" t="s">
        <v>3148</v>
      </c>
      <c r="N26" s="4">
        <v>0</v>
      </c>
      <c r="Q26" s="120">
        <v>29.471499999999999</v>
      </c>
      <c r="R26" t="s">
        <v>1664</v>
      </c>
      <c r="S26">
        <v>0</v>
      </c>
      <c r="T26"/>
      <c r="U26">
        <v>0</v>
      </c>
      <c r="V26"/>
      <c r="W26" t="s">
        <v>1664</v>
      </c>
      <c r="X26" t="s">
        <v>1664</v>
      </c>
      <c r="Y26" t="s">
        <v>1664</v>
      </c>
      <c r="Z26" t="s">
        <v>1664</v>
      </c>
      <c r="AA26" t="s">
        <v>1664</v>
      </c>
      <c r="AB26" t="s">
        <v>1664</v>
      </c>
      <c r="AC26" t="s">
        <v>3583</v>
      </c>
      <c r="AD26" t="s">
        <v>3491</v>
      </c>
      <c r="AE26" t="s">
        <v>1664</v>
      </c>
      <c r="AF26" t="s">
        <v>1664</v>
      </c>
      <c r="AG26" t="s">
        <v>1664</v>
      </c>
      <c r="AH26" t="s">
        <v>1664</v>
      </c>
      <c r="AI26" t="s">
        <v>1664</v>
      </c>
      <c r="AJ26">
        <v>0</v>
      </c>
      <c r="AK26"/>
      <c r="AL26">
        <v>0</v>
      </c>
      <c r="AM26"/>
      <c r="AN26">
        <v>2749748372400</v>
      </c>
      <c r="AO26" t="s">
        <v>3584</v>
      </c>
      <c r="AP26" s="6">
        <v>0</v>
      </c>
    </row>
    <row r="27" spans="3:42">
      <c r="C27" s="4" t="s">
        <v>4333</v>
      </c>
      <c r="D27"/>
      <c r="E27" s="4" t="s">
        <v>3490</v>
      </c>
      <c r="G27" s="10" t="s">
        <v>4088</v>
      </c>
      <c r="H27" s="136">
        <v>205823555000</v>
      </c>
      <c r="I27" s="5"/>
      <c r="J27" s="4" t="s">
        <v>4324</v>
      </c>
      <c r="K27" t="s">
        <v>1664</v>
      </c>
      <c r="L27" s="4" t="s">
        <v>4334</v>
      </c>
      <c r="M27" s="4" t="s">
        <v>3148</v>
      </c>
      <c r="N27" s="4">
        <v>0</v>
      </c>
      <c r="Q27" s="120">
        <v>133.40889999999999</v>
      </c>
      <c r="R27" t="s">
        <v>1664</v>
      </c>
      <c r="S27">
        <v>0</v>
      </c>
      <c r="T27"/>
      <c r="U27">
        <v>0</v>
      </c>
      <c r="V27"/>
      <c r="W27" t="s">
        <v>1664</v>
      </c>
      <c r="X27" t="s">
        <v>1664</v>
      </c>
      <c r="Y27" t="s">
        <v>1664</v>
      </c>
      <c r="Z27" t="s">
        <v>1664</v>
      </c>
      <c r="AA27" t="s">
        <v>1664</v>
      </c>
      <c r="AB27" t="s">
        <v>1664</v>
      </c>
      <c r="AC27" t="s">
        <v>3490</v>
      </c>
      <c r="AD27" t="s">
        <v>3474</v>
      </c>
      <c r="AE27" t="s">
        <v>1664</v>
      </c>
      <c r="AF27" t="s">
        <v>1664</v>
      </c>
      <c r="AG27" t="s">
        <v>1664</v>
      </c>
      <c r="AH27" t="s">
        <v>1664</v>
      </c>
      <c r="AI27" t="s">
        <v>1664</v>
      </c>
      <c r="AJ27">
        <v>0</v>
      </c>
      <c r="AK27"/>
      <c r="AL27">
        <v>0</v>
      </c>
      <c r="AM27"/>
      <c r="AN27">
        <v>205823555000</v>
      </c>
      <c r="AO27" t="s">
        <v>4090</v>
      </c>
      <c r="AP27" s="6">
        <v>0</v>
      </c>
    </row>
    <row r="28" spans="3:42">
      <c r="C28" s="4" t="s">
        <v>4333</v>
      </c>
      <c r="D28"/>
      <c r="E28" s="4" t="s">
        <v>3490</v>
      </c>
      <c r="G28" s="10" t="s">
        <v>3906</v>
      </c>
      <c r="H28" s="136">
        <v>2911471000</v>
      </c>
      <c r="I28" s="5"/>
      <c r="J28" s="4" t="s">
        <v>4324</v>
      </c>
      <c r="K28" t="s">
        <v>1664</v>
      </c>
      <c r="L28" s="4" t="s">
        <v>4334</v>
      </c>
      <c r="M28" s="4" t="s">
        <v>3148</v>
      </c>
      <c r="N28" s="4">
        <v>0</v>
      </c>
      <c r="Q28" s="120"/>
      <c r="R28" t="s">
        <v>1664</v>
      </c>
      <c r="S28">
        <v>0</v>
      </c>
      <c r="T28"/>
      <c r="U28">
        <v>0</v>
      </c>
      <c r="V28"/>
      <c r="W28" t="s">
        <v>1664</v>
      </c>
      <c r="X28" t="s">
        <v>1664</v>
      </c>
      <c r="Y28" t="s">
        <v>1664</v>
      </c>
      <c r="Z28" t="s">
        <v>1664</v>
      </c>
      <c r="AA28" t="s">
        <v>1664</v>
      </c>
      <c r="AB28" t="s">
        <v>1664</v>
      </c>
      <c r="AC28" t="s">
        <v>3490</v>
      </c>
      <c r="AD28" t="s">
        <v>3496</v>
      </c>
      <c r="AE28" t="s">
        <v>1664</v>
      </c>
      <c r="AF28" t="s">
        <v>1664</v>
      </c>
      <c r="AG28" t="s">
        <v>1664</v>
      </c>
      <c r="AH28" t="s">
        <v>1664</v>
      </c>
      <c r="AI28" t="s">
        <v>1664</v>
      </c>
      <c r="AJ28">
        <v>0</v>
      </c>
      <c r="AK28"/>
      <c r="AL28">
        <v>0</v>
      </c>
      <c r="AM28"/>
      <c r="AN28">
        <v>2911471000</v>
      </c>
      <c r="AO28" t="s">
        <v>3908</v>
      </c>
      <c r="AP28" s="6">
        <v>0</v>
      </c>
    </row>
    <row r="29" spans="3:42">
      <c r="C29" s="4" t="s">
        <v>4333</v>
      </c>
      <c r="D29"/>
      <c r="E29" s="4" t="s">
        <v>3490</v>
      </c>
      <c r="F29" s="4" t="s">
        <v>751</v>
      </c>
      <c r="G29" s="10" t="s">
        <v>877</v>
      </c>
      <c r="H29" s="136">
        <v>3306698520</v>
      </c>
      <c r="I29" s="5"/>
      <c r="J29" s="4" t="s">
        <v>4324</v>
      </c>
      <c r="K29" t="s">
        <v>1664</v>
      </c>
      <c r="L29" s="4" t="s">
        <v>4334</v>
      </c>
      <c r="M29" s="4" t="s">
        <v>3148</v>
      </c>
      <c r="N29" s="4">
        <v>1</v>
      </c>
      <c r="O29" s="6" t="s">
        <v>3431</v>
      </c>
      <c r="Q29" s="120">
        <v>657.28989999999999</v>
      </c>
      <c r="R29" t="s">
        <v>1664</v>
      </c>
      <c r="S29">
        <v>0</v>
      </c>
      <c r="T29"/>
      <c r="U29">
        <v>26000000</v>
      </c>
      <c r="V29"/>
      <c r="W29">
        <v>-46911000</v>
      </c>
      <c r="X29">
        <v>-32535000</v>
      </c>
      <c r="Y29">
        <v>-28714000</v>
      </c>
      <c r="Z29">
        <v>-33408000</v>
      </c>
      <c r="AA29">
        <v>-26937000</v>
      </c>
      <c r="AB29" t="s">
        <v>1664</v>
      </c>
      <c r="AC29" t="s">
        <v>3490</v>
      </c>
      <c r="AD29"/>
      <c r="AE29">
        <v>1416811140</v>
      </c>
      <c r="AF29">
        <v>1770162029.9999998</v>
      </c>
      <c r="AG29">
        <v>2239254394.6500001</v>
      </c>
      <c r="AH29">
        <v>2883802050.6400003</v>
      </c>
      <c r="AI29">
        <v>7509297601.2599993</v>
      </c>
      <c r="AJ29">
        <v>6489450000</v>
      </c>
      <c r="AK29"/>
      <c r="AL29">
        <v>0</v>
      </c>
      <c r="AM29"/>
      <c r="AN29">
        <v>3306698520</v>
      </c>
      <c r="AO29" t="s">
        <v>3626</v>
      </c>
      <c r="AP29" s="6">
        <v>0</v>
      </c>
    </row>
    <row r="30" spans="3:42">
      <c r="C30" s="4" t="s">
        <v>4333</v>
      </c>
      <c r="D30"/>
      <c r="E30" s="4" t="s">
        <v>3490</v>
      </c>
      <c r="G30" s="10" t="s">
        <v>3762</v>
      </c>
      <c r="H30" s="136">
        <v>32539204287</v>
      </c>
      <c r="I30" s="5"/>
      <c r="J30" s="4" t="s">
        <v>4324</v>
      </c>
      <c r="K30" t="s">
        <v>1664</v>
      </c>
      <c r="L30" s="4" t="s">
        <v>4334</v>
      </c>
      <c r="M30" s="4" t="s">
        <v>3148</v>
      </c>
      <c r="N30" s="4">
        <v>0</v>
      </c>
      <c r="Q30" s="120">
        <v>37.271500000000003</v>
      </c>
      <c r="R30" t="s">
        <v>1664</v>
      </c>
      <c r="S30">
        <v>0</v>
      </c>
      <c r="T30"/>
      <c r="U30">
        <v>0</v>
      </c>
      <c r="V30"/>
      <c r="W30" t="s">
        <v>1664</v>
      </c>
      <c r="X30" t="s">
        <v>1664</v>
      </c>
      <c r="Y30" t="s">
        <v>1664</v>
      </c>
      <c r="Z30" t="s">
        <v>1664</v>
      </c>
      <c r="AA30" t="s">
        <v>1664</v>
      </c>
      <c r="AB30" t="s">
        <v>1664</v>
      </c>
      <c r="AC30" t="s">
        <v>3490</v>
      </c>
      <c r="AD30" t="s">
        <v>3491</v>
      </c>
      <c r="AE30" t="s">
        <v>1664</v>
      </c>
      <c r="AF30" t="s">
        <v>1664</v>
      </c>
      <c r="AG30" t="s">
        <v>1664</v>
      </c>
      <c r="AH30" t="s">
        <v>1664</v>
      </c>
      <c r="AI30" t="s">
        <v>1664</v>
      </c>
      <c r="AJ30">
        <v>0</v>
      </c>
      <c r="AK30"/>
      <c r="AL30">
        <v>0</v>
      </c>
      <c r="AM30"/>
      <c r="AN30">
        <v>32539204287</v>
      </c>
      <c r="AO30" t="s">
        <v>3764</v>
      </c>
      <c r="AP30" s="6">
        <v>0</v>
      </c>
    </row>
    <row r="31" spans="3:42">
      <c r="C31" s="4" t="s">
        <v>4333</v>
      </c>
      <c r="D31"/>
      <c r="E31" s="4" t="s">
        <v>3490</v>
      </c>
      <c r="F31" s="4" t="s">
        <v>4373</v>
      </c>
      <c r="G31" s="10" t="s">
        <v>3653</v>
      </c>
      <c r="H31" s="136">
        <v>29318020000</v>
      </c>
      <c r="I31" s="5"/>
      <c r="J31" s="4" t="s">
        <v>4324</v>
      </c>
      <c r="K31" t="s">
        <v>1664</v>
      </c>
      <c r="L31" s="4" t="s">
        <v>4334</v>
      </c>
      <c r="M31" s="4" t="s">
        <v>3148</v>
      </c>
      <c r="N31" s="4">
        <v>1</v>
      </c>
      <c r="O31" s="6" t="s">
        <v>3431</v>
      </c>
      <c r="Q31" s="120">
        <v>17.089600000000001</v>
      </c>
      <c r="R31" t="s">
        <v>1664</v>
      </c>
      <c r="S31">
        <v>1550000000</v>
      </c>
      <c r="T31">
        <v>1550000000</v>
      </c>
      <c r="U31">
        <v>1300000000</v>
      </c>
      <c r="V31"/>
      <c r="W31">
        <v>700000000</v>
      </c>
      <c r="X31">
        <v>856000000</v>
      </c>
      <c r="Y31">
        <v>730000000</v>
      </c>
      <c r="Z31">
        <v>820000000</v>
      </c>
      <c r="AA31">
        <v>921000000</v>
      </c>
      <c r="AB31" t="s">
        <v>1664</v>
      </c>
      <c r="AC31" t="s">
        <v>3490</v>
      </c>
      <c r="AD31" t="s">
        <v>3518</v>
      </c>
      <c r="AE31">
        <v>13581475288.150002</v>
      </c>
      <c r="AF31">
        <v>16619212207.290001</v>
      </c>
      <c r="AG31">
        <v>21405999784.399998</v>
      </c>
      <c r="AH31">
        <v>18441724841.100002</v>
      </c>
      <c r="AI31">
        <v>21473009273.200001</v>
      </c>
      <c r="AJ31">
        <v>36493955034.5</v>
      </c>
      <c r="AK31"/>
      <c r="AL31">
        <v>33211452000</v>
      </c>
      <c r="AM31">
        <v>33211452000</v>
      </c>
      <c r="AN31">
        <v>29318020000</v>
      </c>
      <c r="AO31" t="s">
        <v>3654</v>
      </c>
      <c r="AP31" s="6">
        <v>0</v>
      </c>
    </row>
    <row r="32" spans="3:42">
      <c r="C32" s="4" t="s">
        <v>4333</v>
      </c>
      <c r="D32"/>
      <c r="E32" s="4" t="s">
        <v>3623</v>
      </c>
      <c r="G32" s="10" t="s">
        <v>4268</v>
      </c>
      <c r="H32" s="136">
        <v>28976980000</v>
      </c>
      <c r="I32" s="5"/>
      <c r="J32" s="4" t="s">
        <v>4324</v>
      </c>
      <c r="K32" t="s">
        <v>1664</v>
      </c>
      <c r="L32" s="4" t="s">
        <v>4334</v>
      </c>
      <c r="M32" s="4" t="s">
        <v>3148</v>
      </c>
      <c r="N32" s="4">
        <v>0</v>
      </c>
      <c r="Q32" s="120">
        <v>27.721</v>
      </c>
      <c r="R32" t="s">
        <v>1664</v>
      </c>
      <c r="S32">
        <v>0</v>
      </c>
      <c r="T32"/>
      <c r="U32">
        <v>0</v>
      </c>
      <c r="V32"/>
      <c r="W32" t="s">
        <v>1664</v>
      </c>
      <c r="X32" t="s">
        <v>1664</v>
      </c>
      <c r="Y32" t="s">
        <v>1664</v>
      </c>
      <c r="Z32" t="s">
        <v>1664</v>
      </c>
      <c r="AA32" t="s">
        <v>1664</v>
      </c>
      <c r="AB32" t="s">
        <v>1664</v>
      </c>
      <c r="AC32" t="s">
        <v>3623</v>
      </c>
      <c r="AD32" t="s">
        <v>3496</v>
      </c>
      <c r="AE32" t="s">
        <v>1664</v>
      </c>
      <c r="AF32" t="s">
        <v>1664</v>
      </c>
      <c r="AG32" t="s">
        <v>1664</v>
      </c>
      <c r="AH32" t="s">
        <v>1664</v>
      </c>
      <c r="AI32" t="s">
        <v>1664</v>
      </c>
      <c r="AJ32">
        <v>0</v>
      </c>
      <c r="AK32"/>
      <c r="AL32">
        <v>0</v>
      </c>
      <c r="AM32"/>
      <c r="AN32">
        <v>28976980000</v>
      </c>
      <c r="AO32" t="s">
        <v>4270</v>
      </c>
      <c r="AP32" s="6">
        <v>0</v>
      </c>
    </row>
    <row r="33" spans="3:42">
      <c r="C33" s="4" t="s">
        <v>4333</v>
      </c>
      <c r="D33"/>
      <c r="E33" s="4" t="s">
        <v>3490</v>
      </c>
      <c r="G33" s="10" t="s">
        <v>4036</v>
      </c>
      <c r="H33" s="136">
        <v>76781320000</v>
      </c>
      <c r="I33" s="5"/>
      <c r="J33" s="4" t="s">
        <v>4324</v>
      </c>
      <c r="K33" t="s">
        <v>1664</v>
      </c>
      <c r="L33" s="4" t="s">
        <v>4334</v>
      </c>
      <c r="M33" s="4" t="s">
        <v>3148</v>
      </c>
      <c r="N33" s="4">
        <v>1</v>
      </c>
      <c r="Q33" s="120">
        <v>9.4941999999999993</v>
      </c>
      <c r="R33" t="s">
        <v>1664</v>
      </c>
      <c r="S33">
        <v>0</v>
      </c>
      <c r="T33"/>
      <c r="U33">
        <v>0</v>
      </c>
      <c r="V33"/>
      <c r="W33" t="s">
        <v>1664</v>
      </c>
      <c r="X33" t="s">
        <v>1664</v>
      </c>
      <c r="Y33" t="s">
        <v>1664</v>
      </c>
      <c r="Z33" t="s">
        <v>1664</v>
      </c>
      <c r="AA33" t="s">
        <v>1664</v>
      </c>
      <c r="AB33" t="s">
        <v>1664</v>
      </c>
      <c r="AC33" t="s">
        <v>3490</v>
      </c>
      <c r="AD33" t="s">
        <v>3496</v>
      </c>
      <c r="AE33" t="s">
        <v>1664</v>
      </c>
      <c r="AF33" t="s">
        <v>1664</v>
      </c>
      <c r="AG33" t="s">
        <v>1664</v>
      </c>
      <c r="AH33" t="s">
        <v>1664</v>
      </c>
      <c r="AI33" t="s">
        <v>1664</v>
      </c>
      <c r="AJ33">
        <v>0</v>
      </c>
      <c r="AK33"/>
      <c r="AL33">
        <v>0</v>
      </c>
      <c r="AM33"/>
      <c r="AN33">
        <v>76781320000</v>
      </c>
      <c r="AO33" t="s">
        <v>4038</v>
      </c>
      <c r="AP33" s="6">
        <v>0</v>
      </c>
    </row>
    <row r="34" spans="3:42">
      <c r="C34" s="4" t="s">
        <v>4333</v>
      </c>
      <c r="D34" t="s">
        <v>3979</v>
      </c>
      <c r="E34" s="4" t="s">
        <v>3490</v>
      </c>
      <c r="G34" s="10" t="s">
        <v>3433</v>
      </c>
      <c r="H34" s="136">
        <v>2377078694160</v>
      </c>
      <c r="I34" s="5"/>
      <c r="J34" s="4" t="s">
        <v>4324</v>
      </c>
      <c r="K34" t="s">
        <v>1664</v>
      </c>
      <c r="L34" s="4" t="s">
        <v>4334</v>
      </c>
      <c r="M34" s="4" t="s">
        <v>3148</v>
      </c>
      <c r="N34" s="4">
        <v>0</v>
      </c>
      <c r="Q34" s="120">
        <v>33.121299999999998</v>
      </c>
      <c r="R34" t="s">
        <v>1664</v>
      </c>
      <c r="S34">
        <v>0</v>
      </c>
      <c r="T34"/>
      <c r="U34">
        <v>0</v>
      </c>
      <c r="V34"/>
      <c r="W34" t="s">
        <v>1664</v>
      </c>
      <c r="X34" t="s">
        <v>1664</v>
      </c>
      <c r="Y34" t="s">
        <v>1664</v>
      </c>
      <c r="Z34" t="s">
        <v>1664</v>
      </c>
      <c r="AA34" t="s">
        <v>1664</v>
      </c>
      <c r="AB34" t="s">
        <v>1664</v>
      </c>
      <c r="AC34" t="s">
        <v>3490</v>
      </c>
      <c r="AD34" t="s">
        <v>3491</v>
      </c>
      <c r="AE34" t="s">
        <v>1664</v>
      </c>
      <c r="AF34" t="s">
        <v>1664</v>
      </c>
      <c r="AG34" t="s">
        <v>1664</v>
      </c>
      <c r="AH34" t="s">
        <v>1664</v>
      </c>
      <c r="AI34" t="s">
        <v>1664</v>
      </c>
      <c r="AJ34">
        <v>0</v>
      </c>
      <c r="AK34"/>
      <c r="AL34">
        <v>0</v>
      </c>
      <c r="AM34"/>
      <c r="AN34">
        <v>2377078694160</v>
      </c>
      <c r="AO34" t="s">
        <v>3980</v>
      </c>
      <c r="AP34" s="6">
        <v>0</v>
      </c>
    </row>
    <row r="35" spans="3:42">
      <c r="C35" s="4" t="s">
        <v>4333</v>
      </c>
      <c r="D35"/>
      <c r="E35" s="4" t="s">
        <v>3490</v>
      </c>
      <c r="G35" s="10" t="s">
        <v>3692</v>
      </c>
      <c r="H35" s="136">
        <v>34938764052</v>
      </c>
      <c r="I35" s="5"/>
      <c r="J35" s="4" t="s">
        <v>4324</v>
      </c>
      <c r="K35" t="s">
        <v>1664</v>
      </c>
      <c r="L35" s="4" t="s">
        <v>4334</v>
      </c>
      <c r="M35" s="4" t="s">
        <v>3148</v>
      </c>
      <c r="N35" s="4">
        <v>0</v>
      </c>
      <c r="Q35" s="120">
        <v>16.2072</v>
      </c>
      <c r="R35" t="s">
        <v>1664</v>
      </c>
      <c r="S35">
        <v>0</v>
      </c>
      <c r="T35"/>
      <c r="U35">
        <v>0</v>
      </c>
      <c r="V35"/>
      <c r="W35" t="s">
        <v>1664</v>
      </c>
      <c r="X35" t="s">
        <v>1664</v>
      </c>
      <c r="Y35" t="s">
        <v>1664</v>
      </c>
      <c r="Z35" t="s">
        <v>1664</v>
      </c>
      <c r="AA35" t="s">
        <v>1664</v>
      </c>
      <c r="AB35" t="s">
        <v>1664</v>
      </c>
      <c r="AC35" t="s">
        <v>3490</v>
      </c>
      <c r="AD35" t="s">
        <v>3491</v>
      </c>
      <c r="AE35" t="s">
        <v>1664</v>
      </c>
      <c r="AF35" t="s">
        <v>1664</v>
      </c>
      <c r="AG35" t="s">
        <v>1664</v>
      </c>
      <c r="AH35" t="s">
        <v>1664</v>
      </c>
      <c r="AI35" t="s">
        <v>1664</v>
      </c>
      <c r="AJ35">
        <v>0</v>
      </c>
      <c r="AK35"/>
      <c r="AL35">
        <v>0</v>
      </c>
      <c r="AM35"/>
      <c r="AN35">
        <v>34938764052</v>
      </c>
      <c r="AO35" t="s">
        <v>3694</v>
      </c>
      <c r="AP35" s="6">
        <v>0</v>
      </c>
    </row>
    <row r="36" spans="3:42">
      <c r="C36" s="4" t="s">
        <v>4333</v>
      </c>
      <c r="D36"/>
      <c r="E36" s="4" t="s">
        <v>3490</v>
      </c>
      <c r="G36" s="10" t="s">
        <v>3888</v>
      </c>
      <c r="H36" s="136">
        <v>135475732002</v>
      </c>
      <c r="I36" s="5"/>
      <c r="J36" s="4" t="s">
        <v>4324</v>
      </c>
      <c r="K36" t="s">
        <v>1664</v>
      </c>
      <c r="L36" s="4" t="s">
        <v>4334</v>
      </c>
      <c r="M36" s="4" t="s">
        <v>3148</v>
      </c>
      <c r="N36" s="4">
        <v>0</v>
      </c>
      <c r="Q36" s="120">
        <v>73.054699999999997</v>
      </c>
      <c r="R36" t="s">
        <v>1664</v>
      </c>
      <c r="S36">
        <v>0</v>
      </c>
      <c r="T36"/>
      <c r="U36">
        <v>0</v>
      </c>
      <c r="V36"/>
      <c r="W36" t="s">
        <v>1664</v>
      </c>
      <c r="X36" t="s">
        <v>1664</v>
      </c>
      <c r="Y36" t="s">
        <v>1664</v>
      </c>
      <c r="Z36" t="s">
        <v>1664</v>
      </c>
      <c r="AA36" t="s">
        <v>1664</v>
      </c>
      <c r="AB36" t="s">
        <v>1664</v>
      </c>
      <c r="AC36" t="s">
        <v>3490</v>
      </c>
      <c r="AD36" t="s">
        <v>3464</v>
      </c>
      <c r="AE36" t="s">
        <v>1664</v>
      </c>
      <c r="AF36" t="s">
        <v>1664</v>
      </c>
      <c r="AG36" t="s">
        <v>1664</v>
      </c>
      <c r="AH36" t="s">
        <v>1664</v>
      </c>
      <c r="AI36" t="s">
        <v>1664</v>
      </c>
      <c r="AJ36">
        <v>0</v>
      </c>
      <c r="AK36"/>
      <c r="AL36">
        <v>0</v>
      </c>
      <c r="AM36"/>
      <c r="AN36">
        <v>135475732002</v>
      </c>
      <c r="AO36" t="s">
        <v>3890</v>
      </c>
      <c r="AP36" s="6">
        <v>0</v>
      </c>
    </row>
    <row r="37" spans="3:42">
      <c r="C37" s="4" t="s">
        <v>4333</v>
      </c>
      <c r="D37"/>
      <c r="E37" s="4" t="s">
        <v>3490</v>
      </c>
      <c r="G37" s="10" t="s">
        <v>4274</v>
      </c>
      <c r="H37" s="136">
        <v>6364481000</v>
      </c>
      <c r="I37" s="5"/>
      <c r="J37" s="4" t="s">
        <v>4324</v>
      </c>
      <c r="K37" t="s">
        <v>1664</v>
      </c>
      <c r="L37" s="4" t="s">
        <v>4334</v>
      </c>
      <c r="M37" s="4" t="s">
        <v>3148</v>
      </c>
      <c r="N37" s="4">
        <v>0</v>
      </c>
      <c r="Q37" s="120">
        <v>67.48</v>
      </c>
      <c r="R37" t="s">
        <v>1664</v>
      </c>
      <c r="S37">
        <v>0</v>
      </c>
      <c r="T37"/>
      <c r="U37">
        <v>0</v>
      </c>
      <c r="V37"/>
      <c r="W37" t="s">
        <v>1664</v>
      </c>
      <c r="X37" t="s">
        <v>1664</v>
      </c>
      <c r="Y37" t="s">
        <v>1664</v>
      </c>
      <c r="Z37" t="s">
        <v>1664</v>
      </c>
      <c r="AA37" t="s">
        <v>1664</v>
      </c>
      <c r="AB37" t="s">
        <v>1664</v>
      </c>
      <c r="AC37" t="s">
        <v>3490</v>
      </c>
      <c r="AD37" t="s">
        <v>3487</v>
      </c>
      <c r="AE37" t="s">
        <v>1664</v>
      </c>
      <c r="AF37" t="s">
        <v>1664</v>
      </c>
      <c r="AG37" t="s">
        <v>1664</v>
      </c>
      <c r="AH37" t="s">
        <v>1664</v>
      </c>
      <c r="AI37" t="s">
        <v>1664</v>
      </c>
      <c r="AJ37">
        <v>0</v>
      </c>
      <c r="AK37"/>
      <c r="AL37">
        <v>0</v>
      </c>
      <c r="AM37"/>
      <c r="AN37">
        <v>6364481000</v>
      </c>
      <c r="AO37" t="s">
        <v>4276</v>
      </c>
      <c r="AP37" s="6">
        <v>0</v>
      </c>
    </row>
    <row r="38" spans="3:42">
      <c r="C38" s="4" t="s">
        <v>4333</v>
      </c>
      <c r="D38"/>
      <c r="E38" s="4" t="s">
        <v>3490</v>
      </c>
      <c r="G38" s="10" t="s">
        <v>3680</v>
      </c>
      <c r="H38" s="136">
        <v>13178280000</v>
      </c>
      <c r="I38" s="5"/>
      <c r="J38" s="4" t="s">
        <v>4324</v>
      </c>
      <c r="K38" t="s">
        <v>1664</v>
      </c>
      <c r="L38" s="4" t="s">
        <v>4334</v>
      </c>
      <c r="M38" s="4" t="s">
        <v>3148</v>
      </c>
      <c r="N38" s="4">
        <v>0</v>
      </c>
      <c r="Q38" s="120">
        <v>40.002000000000002</v>
      </c>
      <c r="R38" t="s">
        <v>1664</v>
      </c>
      <c r="S38">
        <v>0</v>
      </c>
      <c r="T38"/>
      <c r="U38">
        <v>0</v>
      </c>
      <c r="V38"/>
      <c r="W38" t="s">
        <v>1664</v>
      </c>
      <c r="X38" t="s">
        <v>1664</v>
      </c>
      <c r="Y38" t="s">
        <v>1664</v>
      </c>
      <c r="Z38" t="s">
        <v>1664</v>
      </c>
      <c r="AA38" t="s">
        <v>1664</v>
      </c>
      <c r="AB38" t="s">
        <v>1664</v>
      </c>
      <c r="AC38" t="s">
        <v>3490</v>
      </c>
      <c r="AD38" t="s">
        <v>3491</v>
      </c>
      <c r="AE38" t="s">
        <v>1664</v>
      </c>
      <c r="AF38" t="s">
        <v>1664</v>
      </c>
      <c r="AG38" t="s">
        <v>1664</v>
      </c>
      <c r="AH38" t="s">
        <v>1664</v>
      </c>
      <c r="AI38" t="s">
        <v>1664</v>
      </c>
      <c r="AJ38">
        <v>0</v>
      </c>
      <c r="AK38"/>
      <c r="AL38">
        <v>0</v>
      </c>
      <c r="AM38"/>
      <c r="AN38">
        <v>13178280000</v>
      </c>
      <c r="AO38" t="s">
        <v>3682</v>
      </c>
      <c r="AP38" s="6">
        <v>0</v>
      </c>
    </row>
    <row r="39" spans="3:42">
      <c r="C39" s="4" t="s">
        <v>4333</v>
      </c>
      <c r="D39"/>
      <c r="E39" s="4" t="s">
        <v>3490</v>
      </c>
      <c r="G39" s="10" t="s">
        <v>4200</v>
      </c>
      <c r="H39" s="136">
        <v>3680680000</v>
      </c>
      <c r="I39" s="5"/>
      <c r="J39" s="4" t="s">
        <v>4324</v>
      </c>
      <c r="K39" t="s">
        <v>1664</v>
      </c>
      <c r="L39" s="4" t="s">
        <v>4334</v>
      </c>
      <c r="M39" s="4" t="s">
        <v>3148</v>
      </c>
      <c r="N39" s="4">
        <v>0</v>
      </c>
      <c r="Q39" s="120">
        <v>0</v>
      </c>
      <c r="R39" t="s">
        <v>1664</v>
      </c>
      <c r="S39">
        <v>0</v>
      </c>
      <c r="T39"/>
      <c r="U39">
        <v>0</v>
      </c>
      <c r="V39"/>
      <c r="W39" t="s">
        <v>1664</v>
      </c>
      <c r="X39" t="s">
        <v>1664</v>
      </c>
      <c r="Y39" t="s">
        <v>1664</v>
      </c>
      <c r="Z39" t="s">
        <v>1664</v>
      </c>
      <c r="AA39" t="s">
        <v>1664</v>
      </c>
      <c r="AB39" t="s">
        <v>1664</v>
      </c>
      <c r="AC39" t="s">
        <v>3490</v>
      </c>
      <c r="AD39" t="s">
        <v>3477</v>
      </c>
      <c r="AE39" t="s">
        <v>1664</v>
      </c>
      <c r="AF39" t="s">
        <v>1664</v>
      </c>
      <c r="AG39" t="s">
        <v>1664</v>
      </c>
      <c r="AH39" t="s">
        <v>1664</v>
      </c>
      <c r="AI39" t="s">
        <v>1664</v>
      </c>
      <c r="AJ39">
        <v>0</v>
      </c>
      <c r="AK39"/>
      <c r="AL39">
        <v>0</v>
      </c>
      <c r="AM39"/>
      <c r="AN39">
        <v>3680680000</v>
      </c>
      <c r="AO39" t="s">
        <v>4202</v>
      </c>
      <c r="AP39" s="6">
        <v>0</v>
      </c>
    </row>
    <row r="40" spans="3:42">
      <c r="C40" s="4" t="s">
        <v>4333</v>
      </c>
      <c r="D40"/>
      <c r="E40" s="4" t="s">
        <v>3490</v>
      </c>
      <c r="F40" s="4" t="s">
        <v>2935</v>
      </c>
      <c r="G40" s="10" t="s">
        <v>2942</v>
      </c>
      <c r="H40" s="136">
        <v>31298070000</v>
      </c>
      <c r="I40" s="5"/>
      <c r="J40" s="4" t="s">
        <v>4324</v>
      </c>
      <c r="K40">
        <v>0</v>
      </c>
      <c r="L40" s="4" t="s">
        <v>4334</v>
      </c>
      <c r="M40" s="4" t="s">
        <v>3148</v>
      </c>
      <c r="N40" s="4">
        <v>1</v>
      </c>
      <c r="O40" s="6" t="s">
        <v>3431</v>
      </c>
      <c r="Q40" s="120">
        <v>305.23</v>
      </c>
      <c r="R40" t="s">
        <v>1664</v>
      </c>
      <c r="S40">
        <v>0</v>
      </c>
      <c r="T40"/>
      <c r="U40">
        <v>0</v>
      </c>
      <c r="V40"/>
      <c r="W40">
        <v>-581000000</v>
      </c>
      <c r="X40">
        <v>-186000000</v>
      </c>
      <c r="Y40">
        <v>-78000000</v>
      </c>
      <c r="Z40">
        <v>-1235000000</v>
      </c>
      <c r="AA40">
        <v>-539000000</v>
      </c>
      <c r="AB40" t="s">
        <v>1664</v>
      </c>
      <c r="AC40" t="s">
        <v>3490</v>
      </c>
      <c r="AD40"/>
      <c r="AE40">
        <v>0</v>
      </c>
      <c r="AF40">
        <v>0</v>
      </c>
      <c r="AG40">
        <v>20292052288.200001</v>
      </c>
      <c r="AH40">
        <v>28238736612.399998</v>
      </c>
      <c r="AI40">
        <v>59859982950.900002</v>
      </c>
      <c r="AJ40">
        <v>0</v>
      </c>
      <c r="AK40"/>
      <c r="AL40">
        <v>0</v>
      </c>
      <c r="AM40"/>
      <c r="AN40">
        <v>31298070000</v>
      </c>
      <c r="AO40" t="s">
        <v>4138</v>
      </c>
      <c r="AP40" s="6">
        <v>0</v>
      </c>
    </row>
    <row r="41" spans="3:42">
      <c r="C41" s="4" t="s">
        <v>4333</v>
      </c>
      <c r="D41"/>
      <c r="E41" s="4" t="s">
        <v>3490</v>
      </c>
      <c r="G41" s="10" t="s">
        <v>3735</v>
      </c>
      <c r="H41" s="136">
        <v>8595517000</v>
      </c>
      <c r="I41" s="5"/>
      <c r="J41" s="4" t="s">
        <v>4324</v>
      </c>
      <c r="K41" t="s">
        <v>1664</v>
      </c>
      <c r="L41" s="4" t="s">
        <v>4334</v>
      </c>
      <c r="M41" s="4" t="s">
        <v>3148</v>
      </c>
      <c r="N41" s="4">
        <v>0</v>
      </c>
      <c r="Q41" s="120"/>
      <c r="R41" t="s">
        <v>1664</v>
      </c>
      <c r="S41">
        <v>0</v>
      </c>
      <c r="T41"/>
      <c r="U41">
        <v>0</v>
      </c>
      <c r="V41"/>
      <c r="W41" t="s">
        <v>1664</v>
      </c>
      <c r="X41" t="s">
        <v>1664</v>
      </c>
      <c r="Y41" t="s">
        <v>1664</v>
      </c>
      <c r="Z41" t="s">
        <v>1664</v>
      </c>
      <c r="AA41" t="s">
        <v>1664</v>
      </c>
      <c r="AB41" t="s">
        <v>1664</v>
      </c>
      <c r="AC41" t="s">
        <v>3490</v>
      </c>
      <c r="AD41" t="s">
        <v>3487</v>
      </c>
      <c r="AE41" t="s">
        <v>1664</v>
      </c>
      <c r="AF41" t="s">
        <v>1664</v>
      </c>
      <c r="AG41" t="s">
        <v>1664</v>
      </c>
      <c r="AH41" t="s">
        <v>1664</v>
      </c>
      <c r="AI41" t="s">
        <v>1664</v>
      </c>
      <c r="AJ41">
        <v>0</v>
      </c>
      <c r="AK41"/>
      <c r="AL41">
        <v>0</v>
      </c>
      <c r="AM41"/>
      <c r="AN41">
        <v>8595517000</v>
      </c>
      <c r="AO41" t="s">
        <v>3737</v>
      </c>
      <c r="AP41" s="6">
        <v>0</v>
      </c>
    </row>
    <row r="42" spans="3:42">
      <c r="C42" s="4" t="s">
        <v>4333</v>
      </c>
      <c r="D42"/>
      <c r="E42" s="4" t="s">
        <v>3678</v>
      </c>
      <c r="G42" s="10" t="s">
        <v>3676</v>
      </c>
      <c r="H42" s="136">
        <v>217380937380</v>
      </c>
      <c r="I42" s="5"/>
      <c r="J42" s="4" t="s">
        <v>4324</v>
      </c>
      <c r="K42" t="s">
        <v>1664</v>
      </c>
      <c r="L42" s="4" t="s">
        <v>4334</v>
      </c>
      <c r="M42" s="4" t="s">
        <v>3148</v>
      </c>
      <c r="N42" s="4">
        <v>0</v>
      </c>
      <c r="Q42" s="120">
        <v>18.064299999999999</v>
      </c>
      <c r="R42" t="s">
        <v>1664</v>
      </c>
      <c r="S42">
        <v>0</v>
      </c>
      <c r="T42"/>
      <c r="U42">
        <v>0</v>
      </c>
      <c r="V42"/>
      <c r="W42" t="s">
        <v>1664</v>
      </c>
      <c r="X42" t="s">
        <v>1664</v>
      </c>
      <c r="Y42" t="s">
        <v>1664</v>
      </c>
      <c r="Z42" t="s">
        <v>1664</v>
      </c>
      <c r="AA42" t="s">
        <v>1664</v>
      </c>
      <c r="AB42" t="s">
        <v>1664</v>
      </c>
      <c r="AC42" t="s">
        <v>3678</v>
      </c>
      <c r="AD42" t="s">
        <v>3491</v>
      </c>
      <c r="AE42" t="s">
        <v>1664</v>
      </c>
      <c r="AF42" t="s">
        <v>1664</v>
      </c>
      <c r="AG42" t="s">
        <v>1664</v>
      </c>
      <c r="AH42" t="s">
        <v>1664</v>
      </c>
      <c r="AI42" t="s">
        <v>1664</v>
      </c>
      <c r="AJ42">
        <v>0</v>
      </c>
      <c r="AK42"/>
      <c r="AL42">
        <v>0</v>
      </c>
      <c r="AM42"/>
      <c r="AN42">
        <v>217380937380</v>
      </c>
      <c r="AO42" t="s">
        <v>3679</v>
      </c>
      <c r="AP42" s="6">
        <v>0</v>
      </c>
    </row>
    <row r="43" spans="3:42">
      <c r="C43" s="4" t="s">
        <v>4333</v>
      </c>
      <c r="D43"/>
      <c r="E43" s="4" t="s">
        <v>3490</v>
      </c>
      <c r="G43" s="10" t="s">
        <v>3545</v>
      </c>
      <c r="H43" s="136">
        <v>1691259000000</v>
      </c>
      <c r="I43" s="5"/>
      <c r="J43" s="4" t="s">
        <v>4324</v>
      </c>
      <c r="K43" t="s">
        <v>1664</v>
      </c>
      <c r="L43" s="4" t="s">
        <v>4334</v>
      </c>
      <c r="M43" s="4" t="s">
        <v>3148</v>
      </c>
      <c r="N43" s="4">
        <v>0</v>
      </c>
      <c r="Q43" s="120">
        <v>28.3141</v>
      </c>
      <c r="R43" t="s">
        <v>1664</v>
      </c>
      <c r="S43">
        <v>0</v>
      </c>
      <c r="T43"/>
      <c r="U43">
        <v>0</v>
      </c>
      <c r="V43"/>
      <c r="W43" t="s">
        <v>1664</v>
      </c>
      <c r="X43" t="s">
        <v>1664</v>
      </c>
      <c r="Y43" t="s">
        <v>1664</v>
      </c>
      <c r="Z43" t="s">
        <v>1664</v>
      </c>
      <c r="AA43" t="s">
        <v>1664</v>
      </c>
      <c r="AB43" t="s">
        <v>1664</v>
      </c>
      <c r="AC43" t="s">
        <v>3490</v>
      </c>
      <c r="AD43" t="s">
        <v>3491</v>
      </c>
      <c r="AE43" t="s">
        <v>1664</v>
      </c>
      <c r="AF43" t="s">
        <v>1664</v>
      </c>
      <c r="AG43" t="s">
        <v>1664</v>
      </c>
      <c r="AH43" t="s">
        <v>1664</v>
      </c>
      <c r="AI43" t="s">
        <v>1664</v>
      </c>
      <c r="AJ43">
        <v>0</v>
      </c>
      <c r="AK43"/>
      <c r="AL43">
        <v>0</v>
      </c>
      <c r="AM43"/>
      <c r="AN43">
        <v>1691259000000</v>
      </c>
      <c r="AO43" t="s">
        <v>3547</v>
      </c>
      <c r="AP43" s="6">
        <v>0</v>
      </c>
    </row>
    <row r="44" spans="3:42">
      <c r="C44" s="4" t="s">
        <v>1586</v>
      </c>
      <c r="D44"/>
      <c r="E44" s="4" t="s">
        <v>3623</v>
      </c>
      <c r="G44" s="10" t="s">
        <v>3790</v>
      </c>
      <c r="H44" s="136">
        <v>10824590000</v>
      </c>
      <c r="I44" s="5">
        <v>0.21942462120647785</v>
      </c>
      <c r="J44" s="4" t="s">
        <v>4324</v>
      </c>
      <c r="K44">
        <v>1513000000</v>
      </c>
      <c r="L44" s="4" t="s">
        <v>4325</v>
      </c>
      <c r="M44" s="4" t="s">
        <v>3148</v>
      </c>
      <c r="N44" s="4">
        <v>1</v>
      </c>
      <c r="Q44" s="120">
        <v>26.145700000000001</v>
      </c>
      <c r="R44">
        <v>0</v>
      </c>
      <c r="S44">
        <v>683000000</v>
      </c>
      <c r="T44">
        <v>606000000</v>
      </c>
      <c r="U44">
        <v>1043400000</v>
      </c>
      <c r="V44">
        <v>782600000</v>
      </c>
      <c r="W44">
        <v>706500000</v>
      </c>
      <c r="X44">
        <v>359400000</v>
      </c>
      <c r="Y44">
        <v>356100000</v>
      </c>
      <c r="Z44" t="s">
        <v>1664</v>
      </c>
      <c r="AA44" t="s">
        <v>1664</v>
      </c>
      <c r="AB44" t="s">
        <v>1664</v>
      </c>
      <c r="AC44" t="s">
        <v>3623</v>
      </c>
      <c r="AD44" t="s">
        <v>3518</v>
      </c>
      <c r="AE44" t="s">
        <v>1664</v>
      </c>
      <c r="AF44" t="s">
        <v>1664</v>
      </c>
      <c r="AG44">
        <v>5787203508</v>
      </c>
      <c r="AH44">
        <v>8847922055</v>
      </c>
      <c r="AI44">
        <v>13094185357</v>
      </c>
      <c r="AJ44">
        <v>20917007372.799999</v>
      </c>
      <c r="AK44">
        <v>16566908000</v>
      </c>
      <c r="AL44">
        <v>12925116435.98</v>
      </c>
      <c r="AM44">
        <v>11168543000</v>
      </c>
      <c r="AN44">
        <v>10824590000</v>
      </c>
      <c r="AO44" t="s">
        <v>3791</v>
      </c>
      <c r="AP44" s="6">
        <v>0</v>
      </c>
    </row>
    <row r="45" spans="3:42">
      <c r="C45" s="4" t="s">
        <v>1586</v>
      </c>
      <c r="D45" t="s">
        <v>106</v>
      </c>
      <c r="E45" s="4" t="s">
        <v>3531</v>
      </c>
      <c r="G45" s="10" t="s">
        <v>2958</v>
      </c>
      <c r="H45" s="136">
        <v>10950780000</v>
      </c>
      <c r="I45" s="5">
        <v>0.2185227494357917</v>
      </c>
      <c r="J45" s="4" t="s">
        <v>4324</v>
      </c>
      <c r="K45">
        <v>864000000</v>
      </c>
      <c r="L45" s="4" t="s">
        <v>4325</v>
      </c>
      <c r="M45" s="4" t="s">
        <v>3148</v>
      </c>
      <c r="N45" s="4">
        <v>1</v>
      </c>
      <c r="Q45" s="120">
        <v>28.2806</v>
      </c>
      <c r="R45">
        <v>0</v>
      </c>
      <c r="S45">
        <v>452400000</v>
      </c>
      <c r="T45"/>
      <c r="U45">
        <v>601100000</v>
      </c>
      <c r="V45"/>
      <c r="W45">
        <v>404400000</v>
      </c>
      <c r="X45">
        <v>273000000</v>
      </c>
      <c r="Y45">
        <v>257000000</v>
      </c>
      <c r="Z45">
        <v>238000000</v>
      </c>
      <c r="AA45">
        <v>179000000</v>
      </c>
      <c r="AB45" t="s">
        <v>1664</v>
      </c>
      <c r="AC45" t="s">
        <v>3531</v>
      </c>
      <c r="AD45" t="s">
        <v>3477</v>
      </c>
      <c r="AE45">
        <v>5598485706</v>
      </c>
      <c r="AF45">
        <v>8840399521.7999992</v>
      </c>
      <c r="AG45">
        <v>6805770150</v>
      </c>
      <c r="AH45">
        <v>9391962807</v>
      </c>
      <c r="AI45">
        <v>13658884788</v>
      </c>
      <c r="AJ45">
        <v>14783316378</v>
      </c>
      <c r="AK45"/>
      <c r="AL45">
        <v>11717760780</v>
      </c>
      <c r="AM45"/>
      <c r="AN45">
        <v>10950780000</v>
      </c>
      <c r="AO45" t="s">
        <v>3625</v>
      </c>
      <c r="AP45" s="6">
        <v>0</v>
      </c>
    </row>
    <row r="46" spans="3:42">
      <c r="C46" s="4" t="s">
        <v>1586</v>
      </c>
      <c r="D46" t="s">
        <v>4091</v>
      </c>
      <c r="E46" s="4" t="s">
        <v>3473</v>
      </c>
      <c r="F46" s="4" t="s">
        <v>1592</v>
      </c>
      <c r="G46" s="10" t="s">
        <v>1591</v>
      </c>
      <c r="H46" s="136">
        <v>131257800000</v>
      </c>
      <c r="I46" s="5">
        <v>0.18898992952996721</v>
      </c>
      <c r="J46" s="4" t="s">
        <v>4324</v>
      </c>
      <c r="K46">
        <v>13040000000</v>
      </c>
      <c r="L46" s="4" t="s">
        <v>4322</v>
      </c>
      <c r="M46" s="4" t="s">
        <v>3148</v>
      </c>
      <c r="N46" s="4">
        <v>1</v>
      </c>
      <c r="O46" s="6" t="s">
        <v>4343</v>
      </c>
      <c r="Q46" s="120">
        <v>15.0846</v>
      </c>
      <c r="R46">
        <v>6900000000</v>
      </c>
      <c r="S46">
        <v>6720000000</v>
      </c>
      <c r="T46"/>
      <c r="U46">
        <v>6223000000</v>
      </c>
      <c r="V46"/>
      <c r="W46">
        <v>12294000000</v>
      </c>
      <c r="X46">
        <v>2806000000</v>
      </c>
      <c r="Y46">
        <v>4306000000</v>
      </c>
      <c r="Z46">
        <v>8434000000</v>
      </c>
      <c r="AA46">
        <v>4709000000</v>
      </c>
      <c r="AB46">
        <v>19.022869565217391</v>
      </c>
      <c r="AC46" t="s">
        <v>3473</v>
      </c>
      <c r="AD46" t="s">
        <v>3518</v>
      </c>
      <c r="AE46">
        <v>99356516715.600006</v>
      </c>
      <c r="AF46">
        <v>89988468311.040009</v>
      </c>
      <c r="AG46">
        <v>94377941411.519989</v>
      </c>
      <c r="AH46">
        <v>113121996134.42</v>
      </c>
      <c r="AI46">
        <v>98862316223.800003</v>
      </c>
      <c r="AJ46">
        <v>111273493914.92</v>
      </c>
      <c r="AK46"/>
      <c r="AL46">
        <v>112856295928.16</v>
      </c>
      <c r="AM46"/>
      <c r="AN46">
        <v>131257800000</v>
      </c>
      <c r="AO46" t="s">
        <v>4092</v>
      </c>
      <c r="AP46" s="6">
        <v>0</v>
      </c>
    </row>
    <row r="47" spans="3:42">
      <c r="C47" s="4" t="s">
        <v>1586</v>
      </c>
      <c r="D47"/>
      <c r="E47" s="4" t="s">
        <v>3531</v>
      </c>
      <c r="F47" s="4" t="s">
        <v>4419</v>
      </c>
      <c r="G47" s="10" t="s">
        <v>4117</v>
      </c>
      <c r="H47" s="136">
        <v>51696240000</v>
      </c>
      <c r="I47" s="5">
        <v>0.1601694064199283</v>
      </c>
      <c r="J47" s="4" t="s">
        <v>4324</v>
      </c>
      <c r="K47">
        <v>3973200000.0000005</v>
      </c>
      <c r="L47" s="4" t="s">
        <v>4322</v>
      </c>
      <c r="M47" s="4" t="s">
        <v>3148</v>
      </c>
      <c r="N47" s="4">
        <v>1</v>
      </c>
      <c r="O47" s="6" t="s">
        <v>4343</v>
      </c>
      <c r="Q47" s="120">
        <v>31.03</v>
      </c>
      <c r="R47">
        <v>2200000000</v>
      </c>
      <c r="S47">
        <v>2480000000</v>
      </c>
      <c r="T47"/>
      <c r="U47">
        <v>1746000000</v>
      </c>
      <c r="V47"/>
      <c r="W47">
        <v>1411000000</v>
      </c>
      <c r="X47">
        <v>1567000000</v>
      </c>
      <c r="Y47">
        <v>1284000000</v>
      </c>
      <c r="Z47">
        <v>1427000000</v>
      </c>
      <c r="AA47">
        <v>1311000000</v>
      </c>
      <c r="AB47">
        <v>23.498290909090908</v>
      </c>
      <c r="AC47" t="s">
        <v>3531</v>
      </c>
      <c r="AD47" t="s">
        <v>3487</v>
      </c>
      <c r="AE47">
        <v>0</v>
      </c>
      <c r="AF47">
        <v>0</v>
      </c>
      <c r="AG47">
        <v>35000000000</v>
      </c>
      <c r="AH47">
        <v>44000000000</v>
      </c>
      <c r="AI47">
        <v>44075000000</v>
      </c>
      <c r="AJ47">
        <v>74493120000</v>
      </c>
      <c r="AK47"/>
      <c r="AL47">
        <v>52677600000</v>
      </c>
      <c r="AM47"/>
      <c r="AN47">
        <v>51696240000</v>
      </c>
      <c r="AO47" t="s">
        <v>4118</v>
      </c>
      <c r="AP47" s="6">
        <v>0</v>
      </c>
    </row>
    <row r="48" spans="3:42">
      <c r="C48" s="4" t="s">
        <v>1586</v>
      </c>
      <c r="D48" t="s">
        <v>3821</v>
      </c>
      <c r="E48" s="4" t="s">
        <v>3531</v>
      </c>
      <c r="F48" s="4" t="s">
        <v>4396</v>
      </c>
      <c r="G48" s="10" t="s">
        <v>3822</v>
      </c>
      <c r="H48" s="136">
        <v>29337063900</v>
      </c>
      <c r="I48" s="5">
        <v>0.15239081838503898</v>
      </c>
      <c r="J48" s="4" t="s">
        <v>4324</v>
      </c>
      <c r="K48">
        <v>3000000000</v>
      </c>
      <c r="L48" s="4" t="s">
        <v>4322</v>
      </c>
      <c r="M48" s="4" t="s">
        <v>3148</v>
      </c>
      <c r="N48" s="4">
        <v>1</v>
      </c>
      <c r="Q48" s="120">
        <v>16.1815</v>
      </c>
      <c r="R48">
        <v>2400000000</v>
      </c>
      <c r="S48">
        <v>1916000000</v>
      </c>
      <c r="T48"/>
      <c r="U48">
        <v>2247000000</v>
      </c>
      <c r="V48"/>
      <c r="W48">
        <v>13846000000</v>
      </c>
      <c r="X48">
        <v>1524000000</v>
      </c>
      <c r="Y48" t="s">
        <v>1664</v>
      </c>
      <c r="Z48" t="s">
        <v>1664</v>
      </c>
      <c r="AA48" t="s">
        <v>1664</v>
      </c>
      <c r="AB48">
        <v>12.223776624999999</v>
      </c>
      <c r="AC48" t="s">
        <v>3531</v>
      </c>
      <c r="AD48"/>
      <c r="AE48" t="s">
        <v>1664</v>
      </c>
      <c r="AF48" t="s">
        <v>1664</v>
      </c>
      <c r="AG48" t="s">
        <v>1664</v>
      </c>
      <c r="AH48">
        <v>0</v>
      </c>
      <c r="AI48">
        <v>0</v>
      </c>
      <c r="AJ48">
        <v>0</v>
      </c>
      <c r="AK48"/>
      <c r="AL48">
        <v>27282877200</v>
      </c>
      <c r="AM48"/>
      <c r="AN48">
        <v>29337063900</v>
      </c>
      <c r="AO48" t="s">
        <v>3823</v>
      </c>
      <c r="AP48" s="6">
        <v>0</v>
      </c>
    </row>
    <row r="49" spans="3:42">
      <c r="C49" s="4" t="s">
        <v>1586</v>
      </c>
      <c r="D49" t="s">
        <v>3493</v>
      </c>
      <c r="E49" s="4" t="s">
        <v>3589</v>
      </c>
      <c r="F49" s="4" t="s">
        <v>1592</v>
      </c>
      <c r="G49" s="10" t="s">
        <v>1656</v>
      </c>
      <c r="H49" s="136">
        <v>39277156320</v>
      </c>
      <c r="I49" s="5">
        <v>0</v>
      </c>
      <c r="J49" s="4" t="s">
        <v>4324</v>
      </c>
      <c r="K49">
        <v>0</v>
      </c>
      <c r="L49" s="4" t="s">
        <v>4325</v>
      </c>
      <c r="M49" s="4" t="s">
        <v>3148</v>
      </c>
      <c r="N49" s="4">
        <v>1</v>
      </c>
      <c r="O49" s="6" t="s">
        <v>4343</v>
      </c>
      <c r="Q49" s="120">
        <v>38.286700000000003</v>
      </c>
      <c r="R49">
        <v>0</v>
      </c>
      <c r="S49">
        <v>14000000000</v>
      </c>
      <c r="T49"/>
      <c r="U49">
        <v>10000000000</v>
      </c>
      <c r="V49"/>
      <c r="W49">
        <v>-747064000</v>
      </c>
      <c r="X49">
        <v>-514021000</v>
      </c>
      <c r="Y49">
        <v>-401857000</v>
      </c>
      <c r="Z49">
        <v>-269841000</v>
      </c>
      <c r="AA49" t="s">
        <v>1664</v>
      </c>
      <c r="AB49" t="s">
        <v>1664</v>
      </c>
      <c r="AC49" t="s">
        <v>3589</v>
      </c>
      <c r="AD49" t="s">
        <v>3474</v>
      </c>
      <c r="AE49" t="s">
        <v>1664</v>
      </c>
      <c r="AF49">
        <v>0</v>
      </c>
      <c r="AG49">
        <v>1375696543.6800001</v>
      </c>
      <c r="AH49">
        <v>6248852349.04</v>
      </c>
      <c r="AI49">
        <v>41442953140.959999</v>
      </c>
      <c r="AJ49">
        <v>95207320320</v>
      </c>
      <c r="AK49"/>
      <c r="AL49">
        <v>71254745316.160004</v>
      </c>
      <c r="AM49"/>
      <c r="AN49">
        <v>39277156320</v>
      </c>
      <c r="AO49" t="s">
        <v>3981</v>
      </c>
      <c r="AP49" s="6">
        <v>0</v>
      </c>
    </row>
    <row r="50" spans="3:42">
      <c r="C50" s="4" t="s">
        <v>1586</v>
      </c>
      <c r="D50"/>
      <c r="E50" s="4" t="s">
        <v>3473</v>
      </c>
      <c r="G50" s="10" t="s">
        <v>3902</v>
      </c>
      <c r="H50" s="136">
        <v>390387229680</v>
      </c>
      <c r="I50" s="5"/>
      <c r="J50" s="4" t="s">
        <v>4324</v>
      </c>
      <c r="K50" t="s">
        <v>1664</v>
      </c>
      <c r="L50" s="4" t="s">
        <v>4325</v>
      </c>
      <c r="M50" s="4" t="s">
        <v>3148</v>
      </c>
      <c r="N50" s="4">
        <v>0</v>
      </c>
      <c r="Q50" s="120">
        <v>33.012</v>
      </c>
      <c r="R50" t="s">
        <v>1664</v>
      </c>
      <c r="S50">
        <v>0</v>
      </c>
      <c r="T50"/>
      <c r="U50">
        <v>0</v>
      </c>
      <c r="V50"/>
      <c r="W50" t="s">
        <v>1664</v>
      </c>
      <c r="X50" t="s">
        <v>1664</v>
      </c>
      <c r="Y50" t="s">
        <v>1664</v>
      </c>
      <c r="Z50" t="s">
        <v>1664</v>
      </c>
      <c r="AA50" t="s">
        <v>1664</v>
      </c>
      <c r="AB50" t="s">
        <v>1664</v>
      </c>
      <c r="AC50" t="s">
        <v>3473</v>
      </c>
      <c r="AD50" t="s">
        <v>3464</v>
      </c>
      <c r="AE50" t="s">
        <v>1664</v>
      </c>
      <c r="AF50" t="s">
        <v>1664</v>
      </c>
      <c r="AG50" t="s">
        <v>1664</v>
      </c>
      <c r="AH50" t="s">
        <v>1664</v>
      </c>
      <c r="AI50" t="s">
        <v>1664</v>
      </c>
      <c r="AJ50">
        <v>0</v>
      </c>
      <c r="AK50"/>
      <c r="AL50">
        <v>0</v>
      </c>
      <c r="AM50"/>
      <c r="AN50">
        <v>390387229680</v>
      </c>
      <c r="AO50" t="s">
        <v>3904</v>
      </c>
      <c r="AP50" s="6">
        <v>0</v>
      </c>
    </row>
    <row r="51" spans="3:42">
      <c r="C51" s="4" t="s">
        <v>1586</v>
      </c>
      <c r="D51"/>
      <c r="E51" s="4" t="s">
        <v>3531</v>
      </c>
      <c r="G51" s="10" t="s">
        <v>3537</v>
      </c>
      <c r="H51" s="136">
        <v>23326706423</v>
      </c>
      <c r="I51" s="5"/>
      <c r="J51" s="4" t="s">
        <v>4324</v>
      </c>
      <c r="K51" t="s">
        <v>1664</v>
      </c>
      <c r="L51" s="4" t="s">
        <v>4325</v>
      </c>
      <c r="M51" s="4" t="s">
        <v>3148</v>
      </c>
      <c r="N51" s="4">
        <v>0</v>
      </c>
      <c r="Q51" s="120">
        <v>76.169200000000004</v>
      </c>
      <c r="R51" t="s">
        <v>1664</v>
      </c>
      <c r="S51">
        <v>0</v>
      </c>
      <c r="T51"/>
      <c r="U51">
        <v>0</v>
      </c>
      <c r="V51"/>
      <c r="W51" t="s">
        <v>1664</v>
      </c>
      <c r="X51" t="s">
        <v>1664</v>
      </c>
      <c r="Y51" t="s">
        <v>1664</v>
      </c>
      <c r="Z51" t="s">
        <v>1664</v>
      </c>
      <c r="AA51" t="s">
        <v>1664</v>
      </c>
      <c r="AB51" t="s">
        <v>1664</v>
      </c>
      <c r="AC51" t="s">
        <v>3531</v>
      </c>
      <c r="AD51" t="s">
        <v>3491</v>
      </c>
      <c r="AE51" t="s">
        <v>1664</v>
      </c>
      <c r="AF51" t="s">
        <v>1664</v>
      </c>
      <c r="AG51" t="s">
        <v>1664</v>
      </c>
      <c r="AH51" t="s">
        <v>1664</v>
      </c>
      <c r="AI51" t="s">
        <v>1664</v>
      </c>
      <c r="AJ51">
        <v>0</v>
      </c>
      <c r="AK51"/>
      <c r="AL51">
        <v>0</v>
      </c>
      <c r="AM51"/>
      <c r="AN51">
        <v>23326706423</v>
      </c>
      <c r="AO51" t="s">
        <v>3539</v>
      </c>
      <c r="AP51" s="6">
        <v>0</v>
      </c>
    </row>
    <row r="52" spans="3:42">
      <c r="C52" s="4" t="s">
        <v>1586</v>
      </c>
      <c r="D52"/>
      <c r="E52" s="4" t="s">
        <v>3473</v>
      </c>
      <c r="G52" s="10" t="s">
        <v>3830</v>
      </c>
      <c r="H52" s="136">
        <v>94223578680</v>
      </c>
      <c r="I52" s="5"/>
      <c r="J52" s="4" t="s">
        <v>4324</v>
      </c>
      <c r="K52" t="s">
        <v>1664</v>
      </c>
      <c r="L52" s="4" t="s">
        <v>4325</v>
      </c>
      <c r="M52" s="4" t="s">
        <v>3148</v>
      </c>
      <c r="N52" s="4">
        <v>0</v>
      </c>
      <c r="Q52" s="120">
        <v>17.442799999999998</v>
      </c>
      <c r="R52" t="s">
        <v>1664</v>
      </c>
      <c r="S52">
        <v>0</v>
      </c>
      <c r="T52"/>
      <c r="U52">
        <v>0</v>
      </c>
      <c r="V52"/>
      <c r="W52" t="s">
        <v>1664</v>
      </c>
      <c r="X52" t="s">
        <v>1664</v>
      </c>
      <c r="Y52" t="s">
        <v>1664</v>
      </c>
      <c r="Z52" t="s">
        <v>1664</v>
      </c>
      <c r="AA52" t="s">
        <v>1664</v>
      </c>
      <c r="AB52" t="s">
        <v>1664</v>
      </c>
      <c r="AC52" t="s">
        <v>3473</v>
      </c>
      <c r="AD52" t="s">
        <v>3491</v>
      </c>
      <c r="AE52" t="s">
        <v>1664</v>
      </c>
      <c r="AF52" t="s">
        <v>1664</v>
      </c>
      <c r="AG52" t="s">
        <v>1664</v>
      </c>
      <c r="AH52" t="s">
        <v>1664</v>
      </c>
      <c r="AI52" t="s">
        <v>1664</v>
      </c>
      <c r="AJ52">
        <v>0</v>
      </c>
      <c r="AK52"/>
      <c r="AL52">
        <v>0</v>
      </c>
      <c r="AM52"/>
      <c r="AN52">
        <v>94223578680</v>
      </c>
      <c r="AO52" t="s">
        <v>3832</v>
      </c>
      <c r="AP52" s="6">
        <v>0</v>
      </c>
    </row>
    <row r="53" spans="3:42">
      <c r="C53" s="4" t="s">
        <v>1586</v>
      </c>
      <c r="D53"/>
      <c r="E53" s="4" t="s">
        <v>3589</v>
      </c>
      <c r="G53" s="10" t="s">
        <v>4045</v>
      </c>
      <c r="H53" s="136">
        <v>9211707000</v>
      </c>
      <c r="I53" s="5"/>
      <c r="J53" s="4" t="s">
        <v>4324</v>
      </c>
      <c r="K53" t="s">
        <v>1664</v>
      </c>
      <c r="L53" s="4" t="s">
        <v>4325</v>
      </c>
      <c r="M53" s="4" t="s">
        <v>3148</v>
      </c>
      <c r="N53" s="4">
        <v>0</v>
      </c>
      <c r="Q53" s="120">
        <v>28.2</v>
      </c>
      <c r="R53" t="s">
        <v>1664</v>
      </c>
      <c r="S53">
        <v>0</v>
      </c>
      <c r="T53"/>
      <c r="U53">
        <v>0</v>
      </c>
      <c r="V53"/>
      <c r="W53" t="s">
        <v>1664</v>
      </c>
      <c r="X53" t="s">
        <v>1664</v>
      </c>
      <c r="Y53" t="s">
        <v>1664</v>
      </c>
      <c r="Z53" t="s">
        <v>1664</v>
      </c>
      <c r="AA53" t="s">
        <v>1664</v>
      </c>
      <c r="AB53" t="s">
        <v>1664</v>
      </c>
      <c r="AC53" t="s">
        <v>3589</v>
      </c>
      <c r="AD53" t="s">
        <v>3487</v>
      </c>
      <c r="AE53" t="s">
        <v>1664</v>
      </c>
      <c r="AF53" t="s">
        <v>1664</v>
      </c>
      <c r="AG53" t="s">
        <v>1664</v>
      </c>
      <c r="AH53" t="s">
        <v>1664</v>
      </c>
      <c r="AI53" t="s">
        <v>1664</v>
      </c>
      <c r="AJ53">
        <v>0</v>
      </c>
      <c r="AK53"/>
      <c r="AL53">
        <v>0</v>
      </c>
      <c r="AM53"/>
      <c r="AN53">
        <v>9211707000</v>
      </c>
      <c r="AO53" t="s">
        <v>4047</v>
      </c>
      <c r="AP53" s="6">
        <v>0</v>
      </c>
    </row>
    <row r="54" spans="3:42">
      <c r="C54" s="4" t="s">
        <v>1586</v>
      </c>
      <c r="D54"/>
      <c r="E54" s="4" t="s">
        <v>3589</v>
      </c>
      <c r="G54" s="10" t="s">
        <v>4226</v>
      </c>
      <c r="H54" s="136">
        <v>860047700</v>
      </c>
      <c r="I54" s="5"/>
      <c r="J54" s="4" t="s">
        <v>4324</v>
      </c>
      <c r="K54" t="s">
        <v>1664</v>
      </c>
      <c r="L54" s="4" t="s">
        <v>4325</v>
      </c>
      <c r="M54" s="4" t="s">
        <v>3148</v>
      </c>
      <c r="N54" s="4">
        <v>0</v>
      </c>
      <c r="Q54" s="120">
        <v>0</v>
      </c>
      <c r="R54" t="s">
        <v>1664</v>
      </c>
      <c r="S54">
        <v>0</v>
      </c>
      <c r="T54"/>
      <c r="U54">
        <v>0</v>
      </c>
      <c r="V54"/>
      <c r="W54" t="s">
        <v>1664</v>
      </c>
      <c r="X54" t="s">
        <v>1664</v>
      </c>
      <c r="Y54" t="s">
        <v>1664</v>
      </c>
      <c r="Z54" t="s">
        <v>1664</v>
      </c>
      <c r="AA54" t="s">
        <v>1664</v>
      </c>
      <c r="AB54" t="s">
        <v>1664</v>
      </c>
      <c r="AC54" t="s">
        <v>3589</v>
      </c>
      <c r="AD54" t="s">
        <v>3477</v>
      </c>
      <c r="AE54" t="s">
        <v>1664</v>
      </c>
      <c r="AF54" t="s">
        <v>1664</v>
      </c>
      <c r="AG54" t="s">
        <v>1664</v>
      </c>
      <c r="AH54" t="s">
        <v>1664</v>
      </c>
      <c r="AI54" t="s">
        <v>1664</v>
      </c>
      <c r="AJ54">
        <v>0</v>
      </c>
      <c r="AK54"/>
      <c r="AL54">
        <v>0</v>
      </c>
      <c r="AM54"/>
      <c r="AN54">
        <v>860047700</v>
      </c>
      <c r="AO54" t="s">
        <v>4228</v>
      </c>
      <c r="AP54" s="6">
        <v>0</v>
      </c>
    </row>
    <row r="55" spans="3:42">
      <c r="C55" s="4" t="s">
        <v>1586</v>
      </c>
      <c r="D55"/>
      <c r="E55" s="4" t="s">
        <v>3531</v>
      </c>
      <c r="G55" s="10" t="s">
        <v>4097</v>
      </c>
      <c r="H55" s="136">
        <v>22095590000</v>
      </c>
      <c r="I55" s="5"/>
      <c r="J55" s="4" t="s">
        <v>4324</v>
      </c>
      <c r="K55" t="s">
        <v>1664</v>
      </c>
      <c r="L55" s="4" t="s">
        <v>4325</v>
      </c>
      <c r="M55" s="4" t="s">
        <v>3148</v>
      </c>
      <c r="N55" s="4">
        <v>0</v>
      </c>
      <c r="Q55" s="120">
        <v>34.759799999999998</v>
      </c>
      <c r="R55" t="s">
        <v>1664</v>
      </c>
      <c r="S55">
        <v>0</v>
      </c>
      <c r="T55"/>
      <c r="U55">
        <v>0</v>
      </c>
      <c r="V55"/>
      <c r="W55" t="s">
        <v>1664</v>
      </c>
      <c r="X55" t="s">
        <v>1664</v>
      </c>
      <c r="Y55" t="s">
        <v>1664</v>
      </c>
      <c r="Z55" t="s">
        <v>1664</v>
      </c>
      <c r="AA55" t="s">
        <v>1664</v>
      </c>
      <c r="AB55" t="s">
        <v>1664</v>
      </c>
      <c r="AC55" t="s">
        <v>3531</v>
      </c>
      <c r="AD55" t="s">
        <v>3477</v>
      </c>
      <c r="AE55" t="s">
        <v>1664</v>
      </c>
      <c r="AF55" t="s">
        <v>1664</v>
      </c>
      <c r="AG55" t="s">
        <v>1664</v>
      </c>
      <c r="AH55" t="s">
        <v>1664</v>
      </c>
      <c r="AI55" t="s">
        <v>1664</v>
      </c>
      <c r="AJ55">
        <v>0</v>
      </c>
      <c r="AK55"/>
      <c r="AL55">
        <v>0</v>
      </c>
      <c r="AM55"/>
      <c r="AN55">
        <v>22095590000</v>
      </c>
      <c r="AO55" t="s">
        <v>4099</v>
      </c>
      <c r="AP55" s="6">
        <v>0</v>
      </c>
    </row>
    <row r="56" spans="3:42">
      <c r="C56" s="4" t="s">
        <v>1586</v>
      </c>
      <c r="D56"/>
      <c r="E56" s="4" t="s">
        <v>3531</v>
      </c>
      <c r="G56" s="10" t="s">
        <v>3529</v>
      </c>
      <c r="H56" s="136">
        <v>36228250000</v>
      </c>
      <c r="I56" s="5"/>
      <c r="J56" s="4" t="s">
        <v>4324</v>
      </c>
      <c r="K56" t="s">
        <v>1664</v>
      </c>
      <c r="L56" s="4" t="s">
        <v>4325</v>
      </c>
      <c r="M56" s="4" t="s">
        <v>3148</v>
      </c>
      <c r="N56" s="4">
        <v>0</v>
      </c>
      <c r="Q56" s="120">
        <v>111.5385</v>
      </c>
      <c r="R56" t="s">
        <v>1664</v>
      </c>
      <c r="S56">
        <v>0</v>
      </c>
      <c r="T56"/>
      <c r="U56">
        <v>0</v>
      </c>
      <c r="V56"/>
      <c r="W56" t="s">
        <v>1664</v>
      </c>
      <c r="X56" t="s">
        <v>1664</v>
      </c>
      <c r="Y56" t="s">
        <v>1664</v>
      </c>
      <c r="Z56" t="s">
        <v>1664</v>
      </c>
      <c r="AA56" t="s">
        <v>1664</v>
      </c>
      <c r="AB56" t="s">
        <v>1664</v>
      </c>
      <c r="AC56" t="s">
        <v>3531</v>
      </c>
      <c r="AD56" t="s">
        <v>3469</v>
      </c>
      <c r="AE56" t="s">
        <v>1664</v>
      </c>
      <c r="AF56" t="s">
        <v>1664</v>
      </c>
      <c r="AG56" t="s">
        <v>1664</v>
      </c>
      <c r="AH56" t="s">
        <v>1664</v>
      </c>
      <c r="AI56" t="s">
        <v>1664</v>
      </c>
      <c r="AJ56">
        <v>0</v>
      </c>
      <c r="AK56"/>
      <c r="AL56">
        <v>0</v>
      </c>
      <c r="AM56"/>
      <c r="AN56">
        <v>36228250000</v>
      </c>
      <c r="AO56" t="s">
        <v>3532</v>
      </c>
      <c r="AP56" s="6">
        <v>0</v>
      </c>
    </row>
    <row r="57" spans="3:42">
      <c r="C57" s="4" t="s">
        <v>1586</v>
      </c>
      <c r="D57" t="s">
        <v>4026</v>
      </c>
      <c r="E57" s="4" t="s">
        <v>3473</v>
      </c>
      <c r="G57" s="10" t="s">
        <v>3383</v>
      </c>
      <c r="H57" s="136">
        <v>188433881625</v>
      </c>
      <c r="I57" s="5"/>
      <c r="J57" s="4" t="s">
        <v>4324</v>
      </c>
      <c r="K57" t="s">
        <v>1664</v>
      </c>
      <c r="L57" s="4" t="s">
        <v>4325</v>
      </c>
      <c r="M57" s="4" t="s">
        <v>3148</v>
      </c>
      <c r="N57" s="4">
        <v>0</v>
      </c>
      <c r="Q57" s="120">
        <v>8.9572000000000003</v>
      </c>
      <c r="R57" t="s">
        <v>1664</v>
      </c>
      <c r="S57">
        <v>0</v>
      </c>
      <c r="T57"/>
      <c r="U57">
        <v>0</v>
      </c>
      <c r="V57"/>
      <c r="W57" t="s">
        <v>1664</v>
      </c>
      <c r="X57" t="s">
        <v>1664</v>
      </c>
      <c r="Y57" t="s">
        <v>1664</v>
      </c>
      <c r="Z57" t="s">
        <v>1664</v>
      </c>
      <c r="AA57" t="s">
        <v>1664</v>
      </c>
      <c r="AB57" t="s">
        <v>1664</v>
      </c>
      <c r="AC57" t="s">
        <v>3473</v>
      </c>
      <c r="AD57" t="s">
        <v>3464</v>
      </c>
      <c r="AE57" t="s">
        <v>1664</v>
      </c>
      <c r="AF57" t="s">
        <v>1664</v>
      </c>
      <c r="AG57" t="s">
        <v>1664</v>
      </c>
      <c r="AH57" t="s">
        <v>1664</v>
      </c>
      <c r="AI57" t="s">
        <v>1664</v>
      </c>
      <c r="AJ57">
        <v>0</v>
      </c>
      <c r="AK57"/>
      <c r="AL57">
        <v>0</v>
      </c>
      <c r="AM57"/>
      <c r="AN57">
        <v>188433881625</v>
      </c>
      <c r="AO57" t="s">
        <v>4027</v>
      </c>
      <c r="AP57" s="6">
        <v>0</v>
      </c>
    </row>
    <row r="58" spans="3:42">
      <c r="C58" s="4" t="s">
        <v>1586</v>
      </c>
      <c r="D58"/>
      <c r="E58" s="4" t="s">
        <v>3473</v>
      </c>
      <c r="G58" s="10" t="s">
        <v>3968</v>
      </c>
      <c r="H58" s="136">
        <v>272199877670</v>
      </c>
      <c r="I58" s="5"/>
      <c r="J58" s="4" t="s">
        <v>4324</v>
      </c>
      <c r="K58" t="s">
        <v>1664</v>
      </c>
      <c r="L58" s="4" t="s">
        <v>4325</v>
      </c>
      <c r="M58" s="4" t="s">
        <v>3148</v>
      </c>
      <c r="N58" s="4">
        <v>0</v>
      </c>
      <c r="Q58" s="120">
        <v>88.052800000000005</v>
      </c>
      <c r="R58" t="s">
        <v>1664</v>
      </c>
      <c r="S58">
        <v>0</v>
      </c>
      <c r="T58"/>
      <c r="U58">
        <v>0</v>
      </c>
      <c r="V58"/>
      <c r="W58" t="s">
        <v>1664</v>
      </c>
      <c r="X58" t="s">
        <v>1664</v>
      </c>
      <c r="Y58" t="s">
        <v>1664</v>
      </c>
      <c r="Z58" t="s">
        <v>1664</v>
      </c>
      <c r="AA58" t="s">
        <v>1664</v>
      </c>
      <c r="AB58" t="s">
        <v>1664</v>
      </c>
      <c r="AC58" t="s">
        <v>3473</v>
      </c>
      <c r="AD58" t="s">
        <v>3464</v>
      </c>
      <c r="AE58" t="s">
        <v>1664</v>
      </c>
      <c r="AF58" t="s">
        <v>1664</v>
      </c>
      <c r="AG58" t="s">
        <v>1664</v>
      </c>
      <c r="AH58" t="s">
        <v>1664</v>
      </c>
      <c r="AI58" t="s">
        <v>1664</v>
      </c>
      <c r="AJ58">
        <v>0</v>
      </c>
      <c r="AK58"/>
      <c r="AL58">
        <v>0</v>
      </c>
      <c r="AM58"/>
      <c r="AN58">
        <v>272199877670</v>
      </c>
      <c r="AO58" t="s">
        <v>3970</v>
      </c>
      <c r="AP58" s="6">
        <v>0</v>
      </c>
    </row>
    <row r="59" spans="3:42">
      <c r="C59" s="4" t="s">
        <v>1586</v>
      </c>
      <c r="D59"/>
      <c r="E59" s="4" t="s">
        <v>3589</v>
      </c>
      <c r="G59" s="10" t="s">
        <v>3937</v>
      </c>
      <c r="H59" s="136">
        <v>32818380000</v>
      </c>
      <c r="I59" s="5"/>
      <c r="J59" s="4" t="s">
        <v>4324</v>
      </c>
      <c r="K59" t="s">
        <v>1664</v>
      </c>
      <c r="L59" s="4" t="s">
        <v>4325</v>
      </c>
      <c r="M59" s="4" t="s">
        <v>3148</v>
      </c>
      <c r="N59" s="4">
        <v>0</v>
      </c>
      <c r="Q59" s="120">
        <v>28.860499999999998</v>
      </c>
      <c r="R59" t="s">
        <v>1664</v>
      </c>
      <c r="S59">
        <v>0</v>
      </c>
      <c r="T59"/>
      <c r="U59">
        <v>0</v>
      </c>
      <c r="V59"/>
      <c r="W59" t="s">
        <v>1664</v>
      </c>
      <c r="X59" t="s">
        <v>1664</v>
      </c>
      <c r="Y59" t="s">
        <v>1664</v>
      </c>
      <c r="Z59" t="s">
        <v>1664</v>
      </c>
      <c r="AA59" t="s">
        <v>1664</v>
      </c>
      <c r="AB59" t="s">
        <v>1664</v>
      </c>
      <c r="AC59" t="s">
        <v>3589</v>
      </c>
      <c r="AD59" t="s">
        <v>3469</v>
      </c>
      <c r="AE59" t="s">
        <v>1664</v>
      </c>
      <c r="AF59" t="s">
        <v>1664</v>
      </c>
      <c r="AG59" t="s">
        <v>1664</v>
      </c>
      <c r="AH59" t="s">
        <v>1664</v>
      </c>
      <c r="AI59" t="s">
        <v>1664</v>
      </c>
      <c r="AJ59">
        <v>0</v>
      </c>
      <c r="AK59"/>
      <c r="AL59">
        <v>0</v>
      </c>
      <c r="AM59"/>
      <c r="AN59">
        <v>32818380000</v>
      </c>
      <c r="AO59" t="s">
        <v>3939</v>
      </c>
      <c r="AP59" s="6">
        <v>0</v>
      </c>
    </row>
    <row r="60" spans="3:42">
      <c r="C60" s="4" t="s">
        <v>1586</v>
      </c>
      <c r="D60"/>
      <c r="E60" s="4" t="s">
        <v>3473</v>
      </c>
      <c r="G60" s="10" t="s">
        <v>3971</v>
      </c>
      <c r="H60" s="136">
        <v>20730460000</v>
      </c>
      <c r="I60" s="5"/>
      <c r="J60" s="4" t="s">
        <v>4324</v>
      </c>
      <c r="K60" t="s">
        <v>1664</v>
      </c>
      <c r="L60" s="4" t="s">
        <v>4325</v>
      </c>
      <c r="M60" s="4" t="s">
        <v>3148</v>
      </c>
      <c r="N60" s="4">
        <v>0</v>
      </c>
      <c r="Q60" s="120">
        <v>22.26</v>
      </c>
      <c r="R60" t="s">
        <v>1664</v>
      </c>
      <c r="S60">
        <v>0</v>
      </c>
      <c r="T60"/>
      <c r="U60">
        <v>0</v>
      </c>
      <c r="V60"/>
      <c r="W60" t="s">
        <v>1664</v>
      </c>
      <c r="X60" t="s">
        <v>1664</v>
      </c>
      <c r="Y60" t="s">
        <v>1664</v>
      </c>
      <c r="Z60" t="s">
        <v>1664</v>
      </c>
      <c r="AA60" t="s">
        <v>1664</v>
      </c>
      <c r="AB60" t="s">
        <v>1664</v>
      </c>
      <c r="AC60" t="s">
        <v>3473</v>
      </c>
      <c r="AD60" t="s">
        <v>3487</v>
      </c>
      <c r="AE60" t="s">
        <v>1664</v>
      </c>
      <c r="AF60" t="s">
        <v>1664</v>
      </c>
      <c r="AG60" t="s">
        <v>1664</v>
      </c>
      <c r="AH60" t="s">
        <v>1664</v>
      </c>
      <c r="AI60" t="s">
        <v>1664</v>
      </c>
      <c r="AJ60">
        <v>0</v>
      </c>
      <c r="AK60"/>
      <c r="AL60">
        <v>0</v>
      </c>
      <c r="AM60"/>
      <c r="AN60">
        <v>20730460000</v>
      </c>
      <c r="AO60" t="s">
        <v>3973</v>
      </c>
      <c r="AP60" s="6">
        <v>0</v>
      </c>
    </row>
    <row r="61" spans="3:42">
      <c r="C61" s="4" t="s">
        <v>1586</v>
      </c>
      <c r="D61"/>
      <c r="E61" s="4" t="s">
        <v>3473</v>
      </c>
      <c r="G61" s="10" t="s">
        <v>3471</v>
      </c>
      <c r="H61" s="136">
        <v>270669957450</v>
      </c>
      <c r="I61" s="5"/>
      <c r="J61" s="4" t="s">
        <v>4324</v>
      </c>
      <c r="K61" t="s">
        <v>1664</v>
      </c>
      <c r="L61" s="4" t="s">
        <v>4325</v>
      </c>
      <c r="M61" s="4" t="s">
        <v>3148</v>
      </c>
      <c r="N61" s="4">
        <v>0</v>
      </c>
      <c r="Q61" s="120">
        <v>31.601800000000001</v>
      </c>
      <c r="R61" t="s">
        <v>1664</v>
      </c>
      <c r="S61">
        <v>0</v>
      </c>
      <c r="T61"/>
      <c r="U61">
        <v>0</v>
      </c>
      <c r="V61"/>
      <c r="W61" t="s">
        <v>1664</v>
      </c>
      <c r="X61" t="s">
        <v>1664</v>
      </c>
      <c r="Y61" t="s">
        <v>1664</v>
      </c>
      <c r="Z61" t="s">
        <v>1664</v>
      </c>
      <c r="AA61" t="s">
        <v>1664</v>
      </c>
      <c r="AB61" t="s">
        <v>1664</v>
      </c>
      <c r="AC61" t="s">
        <v>3473</v>
      </c>
      <c r="AD61" t="s">
        <v>3474</v>
      </c>
      <c r="AE61" t="s">
        <v>1664</v>
      </c>
      <c r="AF61" t="s">
        <v>1664</v>
      </c>
      <c r="AG61" t="s">
        <v>1664</v>
      </c>
      <c r="AH61" t="s">
        <v>1664</v>
      </c>
      <c r="AI61" t="s">
        <v>1664</v>
      </c>
      <c r="AJ61">
        <v>0</v>
      </c>
      <c r="AK61"/>
      <c r="AL61">
        <v>0</v>
      </c>
      <c r="AM61"/>
      <c r="AN61">
        <v>270669957450</v>
      </c>
      <c r="AO61" t="s">
        <v>3475</v>
      </c>
      <c r="AP61" s="6">
        <v>0</v>
      </c>
    </row>
    <row r="62" spans="3:42">
      <c r="C62" s="4" t="s">
        <v>1586</v>
      </c>
      <c r="D62"/>
      <c r="E62" s="4" t="s">
        <v>3531</v>
      </c>
      <c r="G62" s="10" t="s">
        <v>3923</v>
      </c>
      <c r="H62" s="136">
        <v>18487560000</v>
      </c>
      <c r="I62" s="5"/>
      <c r="J62" s="4" t="s">
        <v>4324</v>
      </c>
      <c r="K62" t="s">
        <v>1664</v>
      </c>
      <c r="L62" s="4" t="s">
        <v>4325</v>
      </c>
      <c r="M62" s="4" t="s">
        <v>3148</v>
      </c>
      <c r="N62" s="4">
        <v>0</v>
      </c>
      <c r="Q62" s="120">
        <v>0</v>
      </c>
      <c r="R62" t="s">
        <v>1664</v>
      </c>
      <c r="S62">
        <v>0</v>
      </c>
      <c r="T62"/>
      <c r="U62">
        <v>0</v>
      </c>
      <c r="V62"/>
      <c r="W62" t="s">
        <v>1664</v>
      </c>
      <c r="X62" t="s">
        <v>1664</v>
      </c>
      <c r="Y62" t="s">
        <v>1664</v>
      </c>
      <c r="Z62" t="s">
        <v>1664</v>
      </c>
      <c r="AA62" t="s">
        <v>1664</v>
      </c>
      <c r="AB62" t="s">
        <v>1664</v>
      </c>
      <c r="AC62" t="s">
        <v>3531</v>
      </c>
      <c r="AD62" t="s">
        <v>3496</v>
      </c>
      <c r="AE62" t="s">
        <v>1664</v>
      </c>
      <c r="AF62" t="s">
        <v>1664</v>
      </c>
      <c r="AG62" t="s">
        <v>1664</v>
      </c>
      <c r="AH62" t="s">
        <v>1664</v>
      </c>
      <c r="AI62" t="s">
        <v>1664</v>
      </c>
      <c r="AJ62">
        <v>0</v>
      </c>
      <c r="AK62"/>
      <c r="AL62">
        <v>0</v>
      </c>
      <c r="AM62"/>
      <c r="AN62">
        <v>18487560000</v>
      </c>
      <c r="AO62" t="s">
        <v>3925</v>
      </c>
      <c r="AP62" s="6">
        <v>0</v>
      </c>
    </row>
    <row r="63" spans="3:42">
      <c r="C63" s="4" t="s">
        <v>1586</v>
      </c>
      <c r="D63"/>
      <c r="E63" s="4" t="s">
        <v>3473</v>
      </c>
      <c r="F63" s="4" t="s">
        <v>4401</v>
      </c>
      <c r="G63" s="10" t="s">
        <v>1627</v>
      </c>
      <c r="H63" s="136">
        <v>10569010000</v>
      </c>
      <c r="I63" s="5"/>
      <c r="J63" s="4" t="s">
        <v>4324</v>
      </c>
      <c r="K63">
        <v>0</v>
      </c>
      <c r="L63" s="4" t="s">
        <v>4322</v>
      </c>
      <c r="M63" s="4" t="s">
        <v>3148</v>
      </c>
      <c r="N63" s="4">
        <v>1</v>
      </c>
      <c r="O63" s="6" t="s">
        <v>4343</v>
      </c>
      <c r="Q63" s="120">
        <v>23.143999999999998</v>
      </c>
      <c r="R63">
        <v>0</v>
      </c>
      <c r="S63">
        <v>0</v>
      </c>
      <c r="T63"/>
      <c r="U63">
        <v>0</v>
      </c>
      <c r="V63"/>
      <c r="W63">
        <v>548900000</v>
      </c>
      <c r="X63">
        <v>-50200000</v>
      </c>
      <c r="Y63">
        <v>389100000</v>
      </c>
      <c r="Z63">
        <v>272900000</v>
      </c>
      <c r="AA63">
        <v>226600000</v>
      </c>
      <c r="AB63" t="s">
        <v>1664</v>
      </c>
      <c r="AC63" t="s">
        <v>3473</v>
      </c>
      <c r="AD63" t="s">
        <v>3477</v>
      </c>
      <c r="AE63">
        <v>5728720150.8000002</v>
      </c>
      <c r="AF63">
        <v>8339662081.1999998</v>
      </c>
      <c r="AG63">
        <v>9151916701.2000008</v>
      </c>
      <c r="AH63">
        <v>6621347554</v>
      </c>
      <c r="AI63">
        <v>5699387768</v>
      </c>
      <c r="AJ63">
        <v>0</v>
      </c>
      <c r="AK63"/>
      <c r="AL63">
        <v>0</v>
      </c>
      <c r="AM63"/>
      <c r="AN63">
        <v>10569010000</v>
      </c>
      <c r="AO63" t="s">
        <v>3895</v>
      </c>
      <c r="AP63" s="6">
        <v>0</v>
      </c>
    </row>
    <row r="64" spans="3:42">
      <c r="C64" s="4" t="s">
        <v>1586</v>
      </c>
      <c r="D64"/>
      <c r="E64" s="4" t="s">
        <v>3810</v>
      </c>
      <c r="G64" s="10" t="s">
        <v>3812</v>
      </c>
      <c r="H64" s="136">
        <v>17522310000</v>
      </c>
      <c r="I64" s="5"/>
      <c r="J64" s="4" t="s">
        <v>4324</v>
      </c>
      <c r="K64" t="s">
        <v>1664</v>
      </c>
      <c r="L64" s="4" t="s">
        <v>4325</v>
      </c>
      <c r="M64" s="4" t="s">
        <v>3148</v>
      </c>
      <c r="N64" s="4">
        <v>0</v>
      </c>
      <c r="Q64" s="120">
        <v>17.09</v>
      </c>
      <c r="R64" t="s">
        <v>1664</v>
      </c>
      <c r="S64">
        <v>0</v>
      </c>
      <c r="T64"/>
      <c r="U64">
        <v>0</v>
      </c>
      <c r="V64"/>
      <c r="W64" t="s">
        <v>1664</v>
      </c>
      <c r="X64" t="s">
        <v>1664</v>
      </c>
      <c r="Y64" t="s">
        <v>1664</v>
      </c>
      <c r="Z64" t="s">
        <v>1664</v>
      </c>
      <c r="AA64" t="s">
        <v>1664</v>
      </c>
      <c r="AB64" t="s">
        <v>1664</v>
      </c>
      <c r="AC64" t="s">
        <v>3810</v>
      </c>
      <c r="AD64" t="s">
        <v>3487</v>
      </c>
      <c r="AE64" t="s">
        <v>1664</v>
      </c>
      <c r="AF64" t="s">
        <v>1664</v>
      </c>
      <c r="AG64" t="s">
        <v>1664</v>
      </c>
      <c r="AH64" t="s">
        <v>1664</v>
      </c>
      <c r="AI64" t="s">
        <v>1664</v>
      </c>
      <c r="AJ64">
        <v>0</v>
      </c>
      <c r="AK64"/>
      <c r="AL64">
        <v>0</v>
      </c>
      <c r="AM64"/>
      <c r="AN64">
        <v>17522310000</v>
      </c>
      <c r="AO64" t="s">
        <v>3814</v>
      </c>
      <c r="AP64" s="6">
        <v>0</v>
      </c>
    </row>
    <row r="65" spans="3:42">
      <c r="C65" s="4" t="s">
        <v>1586</v>
      </c>
      <c r="D65"/>
      <c r="E65" s="4" t="s">
        <v>3589</v>
      </c>
      <c r="G65" s="10" t="s">
        <v>3815</v>
      </c>
      <c r="H65" s="136">
        <v>2206234000</v>
      </c>
      <c r="I65" s="5"/>
      <c r="J65" s="4" t="s">
        <v>4324</v>
      </c>
      <c r="K65" t="s">
        <v>1664</v>
      </c>
      <c r="L65" s="4" t="s">
        <v>4325</v>
      </c>
      <c r="M65" s="4" t="s">
        <v>3148</v>
      </c>
      <c r="N65" s="4">
        <v>0</v>
      </c>
      <c r="Q65" s="120">
        <v>0</v>
      </c>
      <c r="R65" t="s">
        <v>1664</v>
      </c>
      <c r="S65">
        <v>0</v>
      </c>
      <c r="T65"/>
      <c r="U65">
        <v>0</v>
      </c>
      <c r="V65"/>
      <c r="W65" t="s">
        <v>1664</v>
      </c>
      <c r="X65" t="s">
        <v>1664</v>
      </c>
      <c r="Y65" t="s">
        <v>1664</v>
      </c>
      <c r="Z65" t="s">
        <v>1664</v>
      </c>
      <c r="AA65" t="s">
        <v>1664</v>
      </c>
      <c r="AB65" t="s">
        <v>1664</v>
      </c>
      <c r="AC65" t="s">
        <v>3589</v>
      </c>
      <c r="AD65" t="s">
        <v>3482</v>
      </c>
      <c r="AE65" t="s">
        <v>1664</v>
      </c>
      <c r="AF65" t="s">
        <v>1664</v>
      </c>
      <c r="AG65" t="s">
        <v>1664</v>
      </c>
      <c r="AH65" t="s">
        <v>1664</v>
      </c>
      <c r="AI65" t="s">
        <v>1664</v>
      </c>
      <c r="AJ65">
        <v>0</v>
      </c>
      <c r="AK65"/>
      <c r="AL65">
        <v>0</v>
      </c>
      <c r="AM65"/>
      <c r="AN65">
        <v>2206234000</v>
      </c>
      <c r="AO65" t="s">
        <v>3817</v>
      </c>
      <c r="AP65" s="6">
        <v>0</v>
      </c>
    </row>
    <row r="66" spans="3:42">
      <c r="C66" s="4" t="s">
        <v>1586</v>
      </c>
      <c r="D66"/>
      <c r="E66" s="4" t="s">
        <v>3810</v>
      </c>
      <c r="G66" s="10" t="s">
        <v>4215</v>
      </c>
      <c r="H66" s="136">
        <v>457488194313</v>
      </c>
      <c r="I66" s="5"/>
      <c r="J66" s="4" t="s">
        <v>4324</v>
      </c>
      <c r="K66" t="s">
        <v>1664</v>
      </c>
      <c r="L66" s="4" t="s">
        <v>4325</v>
      </c>
      <c r="M66" s="4" t="s">
        <v>3148</v>
      </c>
      <c r="N66" s="4">
        <v>0</v>
      </c>
      <c r="Q66" s="120">
        <v>22.017600000000002</v>
      </c>
      <c r="R66" t="s">
        <v>1664</v>
      </c>
      <c r="S66">
        <v>0</v>
      </c>
      <c r="T66"/>
      <c r="U66">
        <v>0</v>
      </c>
      <c r="V66"/>
      <c r="W66" t="s">
        <v>1664</v>
      </c>
      <c r="X66" t="s">
        <v>1664</v>
      </c>
      <c r="Y66" t="s">
        <v>1664</v>
      </c>
      <c r="Z66" t="s">
        <v>1664</v>
      </c>
      <c r="AA66" t="s">
        <v>1664</v>
      </c>
      <c r="AB66" t="s">
        <v>1664</v>
      </c>
      <c r="AC66" t="s">
        <v>3810</v>
      </c>
      <c r="AD66" t="s">
        <v>3464</v>
      </c>
      <c r="AE66" t="s">
        <v>1664</v>
      </c>
      <c r="AF66" t="s">
        <v>1664</v>
      </c>
      <c r="AG66" t="s">
        <v>1664</v>
      </c>
      <c r="AH66" t="s">
        <v>1664</v>
      </c>
      <c r="AI66" t="s">
        <v>1664</v>
      </c>
      <c r="AJ66">
        <v>0</v>
      </c>
      <c r="AK66"/>
      <c r="AL66">
        <v>0</v>
      </c>
      <c r="AM66"/>
      <c r="AN66">
        <v>457488194313</v>
      </c>
      <c r="AO66" t="s">
        <v>4217</v>
      </c>
      <c r="AP66" s="6">
        <v>0</v>
      </c>
    </row>
    <row r="67" spans="3:42">
      <c r="C67" s="4" t="s">
        <v>1586</v>
      </c>
      <c r="D67"/>
      <c r="E67" s="4" t="s">
        <v>3810</v>
      </c>
      <c r="G67" s="10" t="s">
        <v>3808</v>
      </c>
      <c r="H67" s="136">
        <v>12675460000</v>
      </c>
      <c r="I67" s="5"/>
      <c r="J67" s="4" t="s">
        <v>4324</v>
      </c>
      <c r="K67" t="s">
        <v>1664</v>
      </c>
      <c r="L67" s="4" t="s">
        <v>4325</v>
      </c>
      <c r="M67" s="4" t="s">
        <v>3148</v>
      </c>
      <c r="N67" s="4">
        <v>0</v>
      </c>
      <c r="Q67" s="120">
        <v>20.66</v>
      </c>
      <c r="R67" t="s">
        <v>1664</v>
      </c>
      <c r="S67">
        <v>0</v>
      </c>
      <c r="T67"/>
      <c r="U67">
        <v>0</v>
      </c>
      <c r="V67"/>
      <c r="W67" t="s">
        <v>1664</v>
      </c>
      <c r="X67" t="s">
        <v>1664</v>
      </c>
      <c r="Y67" t="s">
        <v>1664</v>
      </c>
      <c r="Z67" t="s">
        <v>1664</v>
      </c>
      <c r="AA67" t="s">
        <v>1664</v>
      </c>
      <c r="AB67" t="s">
        <v>1664</v>
      </c>
      <c r="AC67" t="s">
        <v>3810</v>
      </c>
      <c r="AD67" t="s">
        <v>3487</v>
      </c>
      <c r="AE67" t="s">
        <v>1664</v>
      </c>
      <c r="AF67" t="s">
        <v>1664</v>
      </c>
      <c r="AG67" t="s">
        <v>1664</v>
      </c>
      <c r="AH67" t="s">
        <v>1664</v>
      </c>
      <c r="AI67" t="s">
        <v>1664</v>
      </c>
      <c r="AJ67">
        <v>0</v>
      </c>
      <c r="AK67"/>
      <c r="AL67">
        <v>0</v>
      </c>
      <c r="AM67"/>
      <c r="AN67">
        <v>12675460000</v>
      </c>
      <c r="AO67" t="s">
        <v>3811</v>
      </c>
      <c r="AP67" s="6">
        <v>0</v>
      </c>
    </row>
    <row r="68" spans="3:42">
      <c r="C68" s="4" t="s">
        <v>1586</v>
      </c>
      <c r="D68"/>
      <c r="E68" s="4" t="s">
        <v>3473</v>
      </c>
      <c r="G68" s="10" t="s">
        <v>4070</v>
      </c>
      <c r="H68" s="136">
        <v>209650400000</v>
      </c>
      <c r="I68" s="5"/>
      <c r="J68" s="4" t="s">
        <v>4324</v>
      </c>
      <c r="K68" t="s">
        <v>1664</v>
      </c>
      <c r="L68" s="4" t="s">
        <v>4325</v>
      </c>
      <c r="M68" s="4" t="s">
        <v>3148</v>
      </c>
      <c r="N68" s="4">
        <v>0</v>
      </c>
      <c r="Q68" s="120">
        <v>20.188400000000001</v>
      </c>
      <c r="R68" t="s">
        <v>1664</v>
      </c>
      <c r="S68">
        <v>0</v>
      </c>
      <c r="T68"/>
      <c r="U68">
        <v>0</v>
      </c>
      <c r="V68"/>
      <c r="W68" t="s">
        <v>1664</v>
      </c>
      <c r="X68" t="s">
        <v>1664</v>
      </c>
      <c r="Y68" t="s">
        <v>1664</v>
      </c>
      <c r="Z68" t="s">
        <v>1664</v>
      </c>
      <c r="AA68" t="s">
        <v>1664</v>
      </c>
      <c r="AB68" t="s">
        <v>1664</v>
      </c>
      <c r="AC68" t="s">
        <v>3473</v>
      </c>
      <c r="AD68" t="s">
        <v>3469</v>
      </c>
      <c r="AE68" t="s">
        <v>1664</v>
      </c>
      <c r="AF68" t="s">
        <v>1664</v>
      </c>
      <c r="AG68" t="s">
        <v>1664</v>
      </c>
      <c r="AH68" t="s">
        <v>1664</v>
      </c>
      <c r="AI68" t="s">
        <v>1664</v>
      </c>
      <c r="AJ68">
        <v>0</v>
      </c>
      <c r="AK68"/>
      <c r="AL68">
        <v>0</v>
      </c>
      <c r="AM68"/>
      <c r="AN68">
        <v>209650400000</v>
      </c>
      <c r="AO68" t="s">
        <v>4072</v>
      </c>
      <c r="AP68" s="6">
        <v>0</v>
      </c>
    </row>
    <row r="69" spans="3:42">
      <c r="C69" s="4" t="s">
        <v>1586</v>
      </c>
      <c r="D69"/>
      <c r="E69" s="4" t="s">
        <v>3473</v>
      </c>
      <c r="G69" s="10" t="s">
        <v>4206</v>
      </c>
      <c r="H69" s="136">
        <v>16490190000</v>
      </c>
      <c r="I69" s="5"/>
      <c r="J69" s="4" t="s">
        <v>4324</v>
      </c>
      <c r="K69" t="s">
        <v>1664</v>
      </c>
      <c r="L69" s="4" t="s">
        <v>4325</v>
      </c>
      <c r="M69" s="4" t="s">
        <v>3148</v>
      </c>
      <c r="N69" s="4">
        <v>0</v>
      </c>
      <c r="Q69" s="120">
        <v>48.4236</v>
      </c>
      <c r="R69" t="s">
        <v>1664</v>
      </c>
      <c r="S69">
        <v>0</v>
      </c>
      <c r="T69"/>
      <c r="U69">
        <v>0</v>
      </c>
      <c r="V69"/>
      <c r="W69" t="s">
        <v>1664</v>
      </c>
      <c r="X69" t="s">
        <v>1664</v>
      </c>
      <c r="Y69" t="s">
        <v>1664</v>
      </c>
      <c r="Z69" t="s">
        <v>1664</v>
      </c>
      <c r="AA69" t="s">
        <v>1664</v>
      </c>
      <c r="AB69" t="s">
        <v>1664</v>
      </c>
      <c r="AC69" t="s">
        <v>3473</v>
      </c>
      <c r="AD69" t="s">
        <v>3482</v>
      </c>
      <c r="AE69" t="s">
        <v>1664</v>
      </c>
      <c r="AF69" t="s">
        <v>1664</v>
      </c>
      <c r="AG69" t="s">
        <v>1664</v>
      </c>
      <c r="AH69" t="s">
        <v>1664</v>
      </c>
      <c r="AI69" t="s">
        <v>1664</v>
      </c>
      <c r="AJ69">
        <v>0</v>
      </c>
      <c r="AK69"/>
      <c r="AL69">
        <v>0</v>
      </c>
      <c r="AM69"/>
      <c r="AN69">
        <v>16490190000</v>
      </c>
      <c r="AO69" t="s">
        <v>4208</v>
      </c>
      <c r="AP69" s="6">
        <v>0</v>
      </c>
    </row>
    <row r="70" spans="3:42">
      <c r="C70" s="4" t="s">
        <v>1586</v>
      </c>
      <c r="D70"/>
      <c r="E70" s="4" t="s">
        <v>3473</v>
      </c>
      <c r="G70" s="10" t="s">
        <v>3610</v>
      </c>
      <c r="H70" s="136">
        <v>48291050000</v>
      </c>
      <c r="I70" s="5"/>
      <c r="J70" s="4" t="s">
        <v>4324</v>
      </c>
      <c r="K70" t="s">
        <v>1664</v>
      </c>
      <c r="L70" s="4" t="s">
        <v>4325</v>
      </c>
      <c r="M70" s="4" t="s">
        <v>3148</v>
      </c>
      <c r="N70" s="4">
        <v>0</v>
      </c>
      <c r="Q70" s="120">
        <v>18.760000000000002</v>
      </c>
      <c r="R70" t="s">
        <v>1664</v>
      </c>
      <c r="S70">
        <v>0</v>
      </c>
      <c r="T70"/>
      <c r="U70">
        <v>0</v>
      </c>
      <c r="V70"/>
      <c r="W70" t="s">
        <v>1664</v>
      </c>
      <c r="X70" t="s">
        <v>1664</v>
      </c>
      <c r="Y70" t="s">
        <v>1664</v>
      </c>
      <c r="Z70" t="s">
        <v>1664</v>
      </c>
      <c r="AA70" t="s">
        <v>1664</v>
      </c>
      <c r="AB70" t="s">
        <v>1664</v>
      </c>
      <c r="AC70" t="s">
        <v>3473</v>
      </c>
      <c r="AD70" t="s">
        <v>3487</v>
      </c>
      <c r="AE70" t="s">
        <v>1664</v>
      </c>
      <c r="AF70" t="s">
        <v>1664</v>
      </c>
      <c r="AG70" t="s">
        <v>1664</v>
      </c>
      <c r="AH70" t="s">
        <v>1664</v>
      </c>
      <c r="AI70" t="s">
        <v>1664</v>
      </c>
      <c r="AJ70">
        <v>0</v>
      </c>
      <c r="AK70"/>
      <c r="AL70">
        <v>0</v>
      </c>
      <c r="AM70"/>
      <c r="AN70">
        <v>48291050000</v>
      </c>
      <c r="AO70" t="s">
        <v>3612</v>
      </c>
      <c r="AP70" s="6">
        <v>0</v>
      </c>
    </row>
    <row r="71" spans="3:42">
      <c r="C71" s="4" t="s">
        <v>1586</v>
      </c>
      <c r="D71"/>
      <c r="E71" s="4" t="s">
        <v>3531</v>
      </c>
      <c r="G71" s="10" t="s">
        <v>4094</v>
      </c>
      <c r="H71" s="136">
        <v>22503750000</v>
      </c>
      <c r="I71" s="5"/>
      <c r="J71" s="4" t="s">
        <v>4324</v>
      </c>
      <c r="K71" t="s">
        <v>1664</v>
      </c>
      <c r="L71" s="4" t="s">
        <v>4325</v>
      </c>
      <c r="M71" s="4" t="s">
        <v>3148</v>
      </c>
      <c r="N71" s="4">
        <v>0</v>
      </c>
      <c r="Q71" s="120">
        <v>37.409999999999997</v>
      </c>
      <c r="R71" t="s">
        <v>1664</v>
      </c>
      <c r="S71">
        <v>0</v>
      </c>
      <c r="T71"/>
      <c r="U71">
        <v>0</v>
      </c>
      <c r="V71"/>
      <c r="W71" t="s">
        <v>1664</v>
      </c>
      <c r="X71" t="s">
        <v>1664</v>
      </c>
      <c r="Y71" t="s">
        <v>1664</v>
      </c>
      <c r="Z71" t="s">
        <v>1664</v>
      </c>
      <c r="AA71" t="s">
        <v>1664</v>
      </c>
      <c r="AB71" t="s">
        <v>1664</v>
      </c>
      <c r="AC71" t="s">
        <v>3531</v>
      </c>
      <c r="AD71" t="s">
        <v>3487</v>
      </c>
      <c r="AE71" t="s">
        <v>1664</v>
      </c>
      <c r="AF71" t="s">
        <v>1664</v>
      </c>
      <c r="AG71" t="s">
        <v>1664</v>
      </c>
      <c r="AH71" t="s">
        <v>1664</v>
      </c>
      <c r="AI71" t="s">
        <v>1664</v>
      </c>
      <c r="AJ71">
        <v>0</v>
      </c>
      <c r="AK71"/>
      <c r="AL71">
        <v>0</v>
      </c>
      <c r="AM71"/>
      <c r="AN71">
        <v>22503750000</v>
      </c>
      <c r="AO71" t="s">
        <v>4096</v>
      </c>
      <c r="AP71" s="6">
        <v>0</v>
      </c>
    </row>
    <row r="72" spans="3:42">
      <c r="C72" s="4" t="s">
        <v>1586</v>
      </c>
      <c r="D72"/>
      <c r="E72" s="4" t="s">
        <v>3473</v>
      </c>
      <c r="G72" s="10" t="s">
        <v>4005</v>
      </c>
      <c r="H72" s="136">
        <v>211554900000</v>
      </c>
      <c r="I72" s="5"/>
      <c r="J72" s="4" t="s">
        <v>4324</v>
      </c>
      <c r="K72" t="s">
        <v>1664</v>
      </c>
      <c r="L72" s="4" t="s">
        <v>4325</v>
      </c>
      <c r="M72" s="4" t="s">
        <v>3148</v>
      </c>
      <c r="N72" s="4">
        <v>0</v>
      </c>
      <c r="Q72" s="120">
        <v>28.9377</v>
      </c>
      <c r="R72" t="s">
        <v>1664</v>
      </c>
      <c r="S72">
        <v>0</v>
      </c>
      <c r="T72"/>
      <c r="U72">
        <v>0</v>
      </c>
      <c r="V72"/>
      <c r="W72" t="s">
        <v>1664</v>
      </c>
      <c r="X72" t="s">
        <v>1664</v>
      </c>
      <c r="Y72" t="s">
        <v>1664</v>
      </c>
      <c r="Z72" t="s">
        <v>1664</v>
      </c>
      <c r="AA72" t="s">
        <v>1664</v>
      </c>
      <c r="AB72" t="s">
        <v>1664</v>
      </c>
      <c r="AC72" t="s">
        <v>3473</v>
      </c>
      <c r="AD72" t="s">
        <v>3469</v>
      </c>
      <c r="AE72" t="s">
        <v>1664</v>
      </c>
      <c r="AF72" t="s">
        <v>1664</v>
      </c>
      <c r="AG72" t="s">
        <v>1664</v>
      </c>
      <c r="AH72" t="s">
        <v>1664</v>
      </c>
      <c r="AI72" t="s">
        <v>1664</v>
      </c>
      <c r="AJ72">
        <v>0</v>
      </c>
      <c r="AK72"/>
      <c r="AL72">
        <v>0</v>
      </c>
      <c r="AM72"/>
      <c r="AN72">
        <v>211554900000</v>
      </c>
      <c r="AO72" t="s">
        <v>4007</v>
      </c>
      <c r="AP72" s="6">
        <v>0</v>
      </c>
    </row>
    <row r="73" spans="3:42">
      <c r="C73" s="4" t="s">
        <v>1586</v>
      </c>
      <c r="D73"/>
      <c r="E73" s="4" t="s">
        <v>3531</v>
      </c>
      <c r="G73" s="10" t="s">
        <v>3957</v>
      </c>
      <c r="H73" s="136">
        <v>108411900000</v>
      </c>
      <c r="I73" s="5"/>
      <c r="J73" s="4" t="s">
        <v>4324</v>
      </c>
      <c r="K73" t="s">
        <v>1664</v>
      </c>
      <c r="L73" s="4" t="s">
        <v>4322</v>
      </c>
      <c r="M73" s="4" t="s">
        <v>3148</v>
      </c>
      <c r="N73" s="4">
        <v>1</v>
      </c>
      <c r="O73" s="6" t="s">
        <v>4343</v>
      </c>
      <c r="Q73" s="120">
        <v>29.733899999999998</v>
      </c>
      <c r="R73" t="s">
        <v>1664</v>
      </c>
      <c r="S73">
        <v>0</v>
      </c>
      <c r="T73"/>
      <c r="U73">
        <v>0</v>
      </c>
      <c r="V73"/>
      <c r="W73" t="s">
        <v>1664</v>
      </c>
      <c r="X73" t="s">
        <v>1664</v>
      </c>
      <c r="Y73" t="s">
        <v>1664</v>
      </c>
      <c r="Z73" t="s">
        <v>1664</v>
      </c>
      <c r="AA73" t="s">
        <v>1664</v>
      </c>
      <c r="AB73" t="s">
        <v>1664</v>
      </c>
      <c r="AC73" t="s">
        <v>3531</v>
      </c>
      <c r="AD73"/>
      <c r="AE73" t="s">
        <v>1664</v>
      </c>
      <c r="AF73" t="s">
        <v>1664</v>
      </c>
      <c r="AG73" t="s">
        <v>1664</v>
      </c>
      <c r="AH73" t="s">
        <v>1664</v>
      </c>
      <c r="AI73" t="s">
        <v>1664</v>
      </c>
      <c r="AJ73">
        <v>0</v>
      </c>
      <c r="AK73"/>
      <c r="AL73">
        <v>0</v>
      </c>
      <c r="AM73"/>
      <c r="AN73">
        <v>108411900000</v>
      </c>
      <c r="AO73" t="s">
        <v>3959</v>
      </c>
      <c r="AP73" s="6">
        <v>0</v>
      </c>
    </row>
    <row r="74" spans="3:42">
      <c r="C74" s="4" t="s">
        <v>1586</v>
      </c>
      <c r="D74"/>
      <c r="E74" s="4" t="s">
        <v>3589</v>
      </c>
      <c r="G74" s="10" t="s">
        <v>4058</v>
      </c>
      <c r="H74" s="136">
        <v>89712909680</v>
      </c>
      <c r="I74" s="5"/>
      <c r="J74" s="4" t="s">
        <v>4324</v>
      </c>
      <c r="K74" t="s">
        <v>1664</v>
      </c>
      <c r="L74" s="4" t="s">
        <v>4325</v>
      </c>
      <c r="M74" s="4" t="s">
        <v>3148</v>
      </c>
      <c r="N74" s="4">
        <v>0</v>
      </c>
      <c r="Q74" s="120">
        <v>21.984300000000001</v>
      </c>
      <c r="R74" t="s">
        <v>1664</v>
      </c>
      <c r="S74">
        <v>0</v>
      </c>
      <c r="T74"/>
      <c r="U74">
        <v>0</v>
      </c>
      <c r="V74"/>
      <c r="W74" t="s">
        <v>1664</v>
      </c>
      <c r="X74" t="s">
        <v>1664</v>
      </c>
      <c r="Y74" t="s">
        <v>1664</v>
      </c>
      <c r="Z74" t="s">
        <v>1664</v>
      </c>
      <c r="AA74" t="s">
        <v>1664</v>
      </c>
      <c r="AB74" t="s">
        <v>1664</v>
      </c>
      <c r="AC74" t="s">
        <v>3589</v>
      </c>
      <c r="AD74" t="s">
        <v>3491</v>
      </c>
      <c r="AE74" t="s">
        <v>1664</v>
      </c>
      <c r="AF74" t="s">
        <v>1664</v>
      </c>
      <c r="AG74" t="s">
        <v>1664</v>
      </c>
      <c r="AH74" t="s">
        <v>1664</v>
      </c>
      <c r="AI74" t="s">
        <v>1664</v>
      </c>
      <c r="AJ74">
        <v>0</v>
      </c>
      <c r="AK74"/>
      <c r="AL74">
        <v>0</v>
      </c>
      <c r="AM74"/>
      <c r="AN74">
        <v>89712909680</v>
      </c>
      <c r="AO74" t="s">
        <v>4060</v>
      </c>
      <c r="AP74" s="6">
        <v>0</v>
      </c>
    </row>
    <row r="75" spans="3:42">
      <c r="C75" s="4" t="s">
        <v>1586</v>
      </c>
      <c r="D75"/>
      <c r="E75" s="4" t="s">
        <v>3473</v>
      </c>
      <c r="F75" s="4" t="s">
        <v>1592</v>
      </c>
      <c r="G75" s="10" t="s">
        <v>3237</v>
      </c>
      <c r="H75" s="136">
        <v>169713800000</v>
      </c>
      <c r="I75" s="5"/>
      <c r="J75" s="4" t="s">
        <v>4324</v>
      </c>
      <c r="K75" t="s">
        <v>1664</v>
      </c>
      <c r="L75" s="4" t="s">
        <v>4322</v>
      </c>
      <c r="M75" s="4" t="s">
        <v>3148</v>
      </c>
      <c r="N75" s="4">
        <v>1</v>
      </c>
      <c r="O75" s="6" t="s">
        <v>4343</v>
      </c>
      <c r="Q75" s="120">
        <v>35.03</v>
      </c>
      <c r="R75" t="s">
        <v>1664</v>
      </c>
      <c r="S75">
        <v>0</v>
      </c>
      <c r="T75"/>
      <c r="U75">
        <v>0</v>
      </c>
      <c r="V75"/>
      <c r="W75">
        <v>3196000000</v>
      </c>
      <c r="X75">
        <v>1335000000</v>
      </c>
      <c r="Y75">
        <v>2155000000</v>
      </c>
      <c r="Z75">
        <v>3001000000</v>
      </c>
      <c r="AA75" t="s">
        <v>1664</v>
      </c>
      <c r="AB75" t="s">
        <v>1664</v>
      </c>
      <c r="AC75" t="s">
        <v>3473</v>
      </c>
      <c r="AD75"/>
      <c r="AE75" t="s">
        <v>1664</v>
      </c>
      <c r="AF75">
        <v>64843208392.050003</v>
      </c>
      <c r="AG75">
        <v>74413226076.279999</v>
      </c>
      <c r="AH75">
        <v>100463844132.44</v>
      </c>
      <c r="AI75">
        <v>96547112274.080002</v>
      </c>
      <c r="AJ75">
        <v>113867333557.28</v>
      </c>
      <c r="AK75"/>
      <c r="AL75">
        <v>0</v>
      </c>
      <c r="AM75"/>
      <c r="AN75">
        <v>169713800000</v>
      </c>
      <c r="AO75" t="s">
        <v>3598</v>
      </c>
      <c r="AP75" s="6">
        <v>0</v>
      </c>
    </row>
    <row r="76" spans="3:42">
      <c r="C76" s="4" t="s">
        <v>1586</v>
      </c>
      <c r="D76"/>
      <c r="E76" s="4" t="s">
        <v>3473</v>
      </c>
      <c r="G76" s="10" t="s">
        <v>3765</v>
      </c>
      <c r="H76" s="136">
        <v>535856255905</v>
      </c>
      <c r="I76" s="5"/>
      <c r="J76" s="4" t="s">
        <v>4324</v>
      </c>
      <c r="K76" t="s">
        <v>1664</v>
      </c>
      <c r="L76" s="4" t="s">
        <v>4325</v>
      </c>
      <c r="M76" s="4" t="s">
        <v>3148</v>
      </c>
      <c r="N76" s="4">
        <v>0</v>
      </c>
      <c r="Q76" s="120">
        <v>79.142499999999998</v>
      </c>
      <c r="R76" t="s">
        <v>1664</v>
      </c>
      <c r="S76">
        <v>0</v>
      </c>
      <c r="T76"/>
      <c r="U76">
        <v>0</v>
      </c>
      <c r="V76"/>
      <c r="W76" t="s">
        <v>1664</v>
      </c>
      <c r="X76" t="s">
        <v>1664</v>
      </c>
      <c r="Y76" t="s">
        <v>1664</v>
      </c>
      <c r="Z76" t="s">
        <v>1664</v>
      </c>
      <c r="AA76" t="s">
        <v>1664</v>
      </c>
      <c r="AB76" t="s">
        <v>1664</v>
      </c>
      <c r="AC76" t="s">
        <v>3473</v>
      </c>
      <c r="AD76" t="s">
        <v>3474</v>
      </c>
      <c r="AE76" t="s">
        <v>1664</v>
      </c>
      <c r="AF76" t="s">
        <v>1664</v>
      </c>
      <c r="AG76" t="s">
        <v>1664</v>
      </c>
      <c r="AH76" t="s">
        <v>1664</v>
      </c>
      <c r="AI76" t="s">
        <v>1664</v>
      </c>
      <c r="AJ76">
        <v>0</v>
      </c>
      <c r="AK76"/>
      <c r="AL76">
        <v>0</v>
      </c>
      <c r="AM76"/>
      <c r="AN76">
        <v>535856255905</v>
      </c>
      <c r="AO76" t="s">
        <v>3767</v>
      </c>
      <c r="AP76" s="6">
        <v>0</v>
      </c>
    </row>
    <row r="77" spans="3:42">
      <c r="C77" s="4" t="s">
        <v>1586</v>
      </c>
      <c r="D77"/>
      <c r="E77" s="4" t="s">
        <v>3589</v>
      </c>
      <c r="G77" s="10" t="s">
        <v>3587</v>
      </c>
      <c r="H77" s="136">
        <v>28590880000</v>
      </c>
      <c r="I77" s="5"/>
      <c r="J77" s="4" t="s">
        <v>4324</v>
      </c>
      <c r="K77" t="s">
        <v>1664</v>
      </c>
      <c r="L77" s="4" t="s">
        <v>4325</v>
      </c>
      <c r="M77" s="4" t="s">
        <v>3148</v>
      </c>
      <c r="N77" s="4">
        <v>0</v>
      </c>
      <c r="Q77" s="120"/>
      <c r="R77" t="s">
        <v>1664</v>
      </c>
      <c r="S77">
        <v>0</v>
      </c>
      <c r="T77"/>
      <c r="U77">
        <v>0</v>
      </c>
      <c r="V77"/>
      <c r="W77" t="s">
        <v>1664</v>
      </c>
      <c r="X77" t="s">
        <v>1664</v>
      </c>
      <c r="Y77" t="s">
        <v>1664</v>
      </c>
      <c r="Z77" t="s">
        <v>1664</v>
      </c>
      <c r="AA77" t="s">
        <v>1664</v>
      </c>
      <c r="AB77" t="s">
        <v>1664</v>
      </c>
      <c r="AC77" t="s">
        <v>3589</v>
      </c>
      <c r="AD77" t="s">
        <v>3482</v>
      </c>
      <c r="AE77" t="s">
        <v>1664</v>
      </c>
      <c r="AF77" t="s">
        <v>1664</v>
      </c>
      <c r="AG77" t="s">
        <v>1664</v>
      </c>
      <c r="AH77" t="s">
        <v>1664</v>
      </c>
      <c r="AI77" t="s">
        <v>1664</v>
      </c>
      <c r="AJ77">
        <v>0</v>
      </c>
      <c r="AK77"/>
      <c r="AL77">
        <v>0</v>
      </c>
      <c r="AM77"/>
      <c r="AN77">
        <v>28590880000</v>
      </c>
      <c r="AO77" t="s">
        <v>3590</v>
      </c>
      <c r="AP77" s="6">
        <v>0</v>
      </c>
    </row>
    <row r="78" spans="3:42">
      <c r="C78" s="4" t="s">
        <v>1737</v>
      </c>
      <c r="D78"/>
      <c r="E78" s="4" t="s">
        <v>3646</v>
      </c>
      <c r="G78" s="10" t="s">
        <v>3747</v>
      </c>
      <c r="H78" s="136">
        <v>103493900000</v>
      </c>
      <c r="I78" s="5"/>
      <c r="J78" s="4" t="s">
        <v>4324</v>
      </c>
      <c r="K78" t="s">
        <v>1664</v>
      </c>
      <c r="L78" s="4" t="s">
        <v>4376</v>
      </c>
      <c r="M78" s="4" t="s">
        <v>4377</v>
      </c>
      <c r="N78" s="4">
        <v>0</v>
      </c>
      <c r="Q78" s="120">
        <v>18.57</v>
      </c>
      <c r="R78" t="s">
        <v>1664</v>
      </c>
      <c r="S78">
        <v>0</v>
      </c>
      <c r="T78"/>
      <c r="U78">
        <v>0</v>
      </c>
      <c r="V78"/>
      <c r="W78" t="s">
        <v>1664</v>
      </c>
      <c r="X78" t="s">
        <v>1664</v>
      </c>
      <c r="Y78" t="s">
        <v>1664</v>
      </c>
      <c r="Z78" t="s">
        <v>1664</v>
      </c>
      <c r="AA78" t="s">
        <v>1664</v>
      </c>
      <c r="AB78" t="s">
        <v>1664</v>
      </c>
      <c r="AC78" t="s">
        <v>3646</v>
      </c>
      <c r="AD78" t="s">
        <v>3487</v>
      </c>
      <c r="AE78" t="s">
        <v>1664</v>
      </c>
      <c r="AF78" t="s">
        <v>1664</v>
      </c>
      <c r="AG78" t="s">
        <v>1664</v>
      </c>
      <c r="AH78" t="s">
        <v>1664</v>
      </c>
      <c r="AI78" t="s">
        <v>1664</v>
      </c>
      <c r="AJ78">
        <v>0</v>
      </c>
      <c r="AK78"/>
      <c r="AL78">
        <v>0</v>
      </c>
      <c r="AM78"/>
      <c r="AN78">
        <v>103493900000</v>
      </c>
      <c r="AO78" t="s">
        <v>3749</v>
      </c>
      <c r="AP78" s="6">
        <v>0</v>
      </c>
    </row>
    <row r="79" spans="3:42">
      <c r="C79" s="4" t="s">
        <v>1737</v>
      </c>
      <c r="D79"/>
      <c r="E79" s="4" t="s">
        <v>3646</v>
      </c>
      <c r="F79" s="4" t="s">
        <v>1073</v>
      </c>
      <c r="G79" s="10" t="s">
        <v>1072</v>
      </c>
      <c r="H79" s="136">
        <v>1403944000</v>
      </c>
      <c r="I79" s="5"/>
      <c r="J79" s="4" t="s">
        <v>4324</v>
      </c>
      <c r="K79" t="s">
        <v>1664</v>
      </c>
      <c r="L79" s="4" t="s">
        <v>4376</v>
      </c>
      <c r="M79" s="4" t="s">
        <v>4377</v>
      </c>
      <c r="N79" s="4">
        <v>1</v>
      </c>
      <c r="O79" s="6" t="s">
        <v>3149</v>
      </c>
      <c r="Q79" s="120">
        <v>4.4515000000000002</v>
      </c>
      <c r="R79" t="s">
        <v>1664</v>
      </c>
      <c r="S79">
        <v>0</v>
      </c>
      <c r="T79"/>
      <c r="U79">
        <v>0</v>
      </c>
      <c r="V79"/>
      <c r="W79" t="s">
        <v>1664</v>
      </c>
      <c r="X79" t="s">
        <v>1664</v>
      </c>
      <c r="Y79" t="s">
        <v>1664</v>
      </c>
      <c r="Z79" t="s">
        <v>1664</v>
      </c>
      <c r="AA79" t="s">
        <v>1664</v>
      </c>
      <c r="AB79" t="s">
        <v>1664</v>
      </c>
      <c r="AC79" t="s">
        <v>3646</v>
      </c>
      <c r="AD79" t="s">
        <v>3477</v>
      </c>
      <c r="AE79" t="s">
        <v>1664</v>
      </c>
      <c r="AF79" t="s">
        <v>1664</v>
      </c>
      <c r="AG79" t="s">
        <v>1664</v>
      </c>
      <c r="AH79" t="s">
        <v>1664</v>
      </c>
      <c r="AI79" t="s">
        <v>1664</v>
      </c>
      <c r="AJ79">
        <v>0</v>
      </c>
      <c r="AK79"/>
      <c r="AL79">
        <v>0</v>
      </c>
      <c r="AM79"/>
      <c r="AN79">
        <v>1403944000</v>
      </c>
      <c r="AO79" t="s">
        <v>3795</v>
      </c>
      <c r="AP79" s="6">
        <v>0</v>
      </c>
    </row>
    <row r="80" spans="3:42">
      <c r="C80" s="4" t="s">
        <v>1737</v>
      </c>
      <c r="D80"/>
      <c r="E80" s="4" t="s">
        <v>3646</v>
      </c>
      <c r="G80" s="10" t="s">
        <v>3920</v>
      </c>
      <c r="H80" s="136">
        <v>12777790000</v>
      </c>
      <c r="I80" s="5"/>
      <c r="J80" s="4" t="s">
        <v>4324</v>
      </c>
      <c r="K80" t="s">
        <v>1664</v>
      </c>
      <c r="L80" s="4" t="s">
        <v>4376</v>
      </c>
      <c r="M80" s="4" t="s">
        <v>4377</v>
      </c>
      <c r="N80" s="4">
        <v>0</v>
      </c>
      <c r="Q80" s="120">
        <v>17.145099999999999</v>
      </c>
      <c r="R80" t="s">
        <v>1664</v>
      </c>
      <c r="S80">
        <v>0</v>
      </c>
      <c r="T80"/>
      <c r="U80">
        <v>0</v>
      </c>
      <c r="V80"/>
      <c r="W80" t="s">
        <v>1664</v>
      </c>
      <c r="X80" t="s">
        <v>1664</v>
      </c>
      <c r="Y80" t="s">
        <v>1664</v>
      </c>
      <c r="Z80" t="s">
        <v>1664</v>
      </c>
      <c r="AA80" t="s">
        <v>1664</v>
      </c>
      <c r="AB80" t="s">
        <v>1664</v>
      </c>
      <c r="AC80" t="s">
        <v>3646</v>
      </c>
      <c r="AD80" t="s">
        <v>3496</v>
      </c>
      <c r="AE80" t="s">
        <v>1664</v>
      </c>
      <c r="AF80" t="s">
        <v>1664</v>
      </c>
      <c r="AG80" t="s">
        <v>1664</v>
      </c>
      <c r="AH80" t="s">
        <v>1664</v>
      </c>
      <c r="AI80" t="s">
        <v>1664</v>
      </c>
      <c r="AJ80">
        <v>0</v>
      </c>
      <c r="AK80"/>
      <c r="AL80">
        <v>0</v>
      </c>
      <c r="AM80"/>
      <c r="AN80">
        <v>12777790000</v>
      </c>
      <c r="AO80" t="s">
        <v>3922</v>
      </c>
      <c r="AP80" s="6">
        <v>0</v>
      </c>
    </row>
    <row r="81" spans="3:42">
      <c r="C81" s="4" t="s">
        <v>1737</v>
      </c>
      <c r="D81"/>
      <c r="E81" s="4" t="s">
        <v>3646</v>
      </c>
      <c r="G81" s="10" t="s">
        <v>4039</v>
      </c>
      <c r="H81" s="136">
        <v>2671751000</v>
      </c>
      <c r="I81" s="5"/>
      <c r="J81" s="4" t="s">
        <v>4324</v>
      </c>
      <c r="K81" t="s">
        <v>1664</v>
      </c>
      <c r="L81" s="4" t="s">
        <v>4376</v>
      </c>
      <c r="M81" s="4" t="s">
        <v>4377</v>
      </c>
      <c r="N81" s="4">
        <v>0</v>
      </c>
      <c r="Q81" s="120">
        <v>6.4718</v>
      </c>
      <c r="R81" t="s">
        <v>1664</v>
      </c>
      <c r="S81">
        <v>0</v>
      </c>
      <c r="T81"/>
      <c r="U81">
        <v>0</v>
      </c>
      <c r="V81"/>
      <c r="W81" t="s">
        <v>1664</v>
      </c>
      <c r="X81" t="s">
        <v>1664</v>
      </c>
      <c r="Y81" t="s">
        <v>1664</v>
      </c>
      <c r="Z81" t="s">
        <v>1664</v>
      </c>
      <c r="AA81" t="s">
        <v>1664</v>
      </c>
      <c r="AB81" t="s">
        <v>1664</v>
      </c>
      <c r="AC81" t="s">
        <v>3646</v>
      </c>
      <c r="AD81" t="s">
        <v>3482</v>
      </c>
      <c r="AE81" t="s">
        <v>1664</v>
      </c>
      <c r="AF81" t="s">
        <v>1664</v>
      </c>
      <c r="AG81" t="s">
        <v>1664</v>
      </c>
      <c r="AH81" t="s">
        <v>1664</v>
      </c>
      <c r="AI81" t="s">
        <v>1664</v>
      </c>
      <c r="AJ81">
        <v>0</v>
      </c>
      <c r="AK81"/>
      <c r="AL81">
        <v>0</v>
      </c>
      <c r="AM81"/>
      <c r="AN81">
        <v>2671751000</v>
      </c>
      <c r="AO81" t="s">
        <v>4041</v>
      </c>
      <c r="AP81" s="6">
        <v>0</v>
      </c>
    </row>
    <row r="82" spans="3:42">
      <c r="C82" s="4" t="s">
        <v>1737</v>
      </c>
      <c r="D82"/>
      <c r="E82" s="4" t="s">
        <v>3646</v>
      </c>
      <c r="F82" s="4" t="s">
        <v>1073</v>
      </c>
      <c r="G82" s="10" t="s">
        <v>4105</v>
      </c>
      <c r="H82" s="136">
        <v>2901827000</v>
      </c>
      <c r="I82" s="5"/>
      <c r="J82" s="4" t="s">
        <v>4324</v>
      </c>
      <c r="K82" t="s">
        <v>1664</v>
      </c>
      <c r="L82" s="4" t="s">
        <v>4376</v>
      </c>
      <c r="M82" s="4" t="s">
        <v>4377</v>
      </c>
      <c r="N82" s="4">
        <v>1</v>
      </c>
      <c r="O82" s="6" t="s">
        <v>3149</v>
      </c>
      <c r="Q82" s="120">
        <v>0</v>
      </c>
      <c r="R82" t="s">
        <v>1664</v>
      </c>
      <c r="S82">
        <v>0</v>
      </c>
      <c r="T82"/>
      <c r="U82">
        <v>0</v>
      </c>
      <c r="V82"/>
      <c r="W82" t="s">
        <v>1664</v>
      </c>
      <c r="X82" t="s">
        <v>1664</v>
      </c>
      <c r="Y82" t="s">
        <v>1664</v>
      </c>
      <c r="Z82" t="s">
        <v>1664</v>
      </c>
      <c r="AA82" t="s">
        <v>1664</v>
      </c>
      <c r="AB82" t="s">
        <v>1664</v>
      </c>
      <c r="AC82" t="s">
        <v>3646</v>
      </c>
      <c r="AD82" t="s">
        <v>3477</v>
      </c>
      <c r="AE82" t="s">
        <v>1664</v>
      </c>
      <c r="AF82" t="s">
        <v>1664</v>
      </c>
      <c r="AG82" t="s">
        <v>1664</v>
      </c>
      <c r="AH82" t="s">
        <v>1664</v>
      </c>
      <c r="AI82" t="s">
        <v>1664</v>
      </c>
      <c r="AJ82">
        <v>0</v>
      </c>
      <c r="AK82"/>
      <c r="AL82">
        <v>0</v>
      </c>
      <c r="AM82"/>
      <c r="AN82">
        <v>2901827000</v>
      </c>
      <c r="AO82" t="s">
        <v>4106</v>
      </c>
      <c r="AP82" s="6">
        <v>0</v>
      </c>
    </row>
    <row r="83" spans="3:42">
      <c r="C83" s="4" t="s">
        <v>1737</v>
      </c>
      <c r="D83"/>
      <c r="E83" s="4" t="s">
        <v>3646</v>
      </c>
      <c r="G83" s="10" t="s">
        <v>4152</v>
      </c>
      <c r="H83" s="136">
        <v>28542870000</v>
      </c>
      <c r="I83" s="5"/>
      <c r="J83" s="4" t="s">
        <v>4324</v>
      </c>
      <c r="K83" t="s">
        <v>1664</v>
      </c>
      <c r="L83" s="4" t="s">
        <v>4376</v>
      </c>
      <c r="M83" s="4" t="s">
        <v>4377</v>
      </c>
      <c r="N83" s="4">
        <v>0</v>
      </c>
      <c r="Q83" s="120">
        <v>17.133099999999999</v>
      </c>
      <c r="R83" t="s">
        <v>1664</v>
      </c>
      <c r="S83">
        <v>0</v>
      </c>
      <c r="T83"/>
      <c r="U83">
        <v>0</v>
      </c>
      <c r="V83"/>
      <c r="W83" t="s">
        <v>1664</v>
      </c>
      <c r="X83" t="s">
        <v>1664</v>
      </c>
      <c r="Y83" t="s">
        <v>1664</v>
      </c>
      <c r="Z83" t="s">
        <v>1664</v>
      </c>
      <c r="AA83" t="s">
        <v>1664</v>
      </c>
      <c r="AB83" t="s">
        <v>1664</v>
      </c>
      <c r="AC83" t="s">
        <v>3646</v>
      </c>
      <c r="AD83" t="s">
        <v>3469</v>
      </c>
      <c r="AE83" t="s">
        <v>1664</v>
      </c>
      <c r="AF83" t="s">
        <v>1664</v>
      </c>
      <c r="AG83" t="s">
        <v>1664</v>
      </c>
      <c r="AH83" t="s">
        <v>1664</v>
      </c>
      <c r="AI83" t="s">
        <v>1664</v>
      </c>
      <c r="AJ83">
        <v>0</v>
      </c>
      <c r="AK83"/>
      <c r="AL83">
        <v>0</v>
      </c>
      <c r="AM83"/>
      <c r="AN83">
        <v>28542870000</v>
      </c>
      <c r="AO83" t="s">
        <v>4154</v>
      </c>
      <c r="AP83" s="6">
        <v>0</v>
      </c>
    </row>
    <row r="84" spans="3:42">
      <c r="C84" s="4" t="s">
        <v>1737</v>
      </c>
      <c r="D84"/>
      <c r="E84" s="4" t="s">
        <v>3646</v>
      </c>
      <c r="G84" s="10" t="s">
        <v>4234</v>
      </c>
      <c r="H84" s="136">
        <v>141255800000</v>
      </c>
      <c r="I84" s="5"/>
      <c r="J84" s="4" t="s">
        <v>4324</v>
      </c>
      <c r="K84" t="s">
        <v>1664</v>
      </c>
      <c r="L84" s="4" t="s">
        <v>4376</v>
      </c>
      <c r="M84" s="4" t="s">
        <v>4377</v>
      </c>
      <c r="N84" s="4">
        <v>0</v>
      </c>
      <c r="Q84" s="120">
        <v>6.7228000000000003</v>
      </c>
      <c r="R84" t="s">
        <v>1664</v>
      </c>
      <c r="S84">
        <v>0</v>
      </c>
      <c r="T84"/>
      <c r="U84">
        <v>0</v>
      </c>
      <c r="V84"/>
      <c r="W84" t="s">
        <v>1664</v>
      </c>
      <c r="X84" t="s">
        <v>1664</v>
      </c>
      <c r="Y84" t="s">
        <v>1664</v>
      </c>
      <c r="Z84" t="s">
        <v>1664</v>
      </c>
      <c r="AA84" t="s">
        <v>1664</v>
      </c>
      <c r="AB84" t="s">
        <v>1664</v>
      </c>
      <c r="AC84" t="s">
        <v>3646</v>
      </c>
      <c r="AD84" t="s">
        <v>3464</v>
      </c>
      <c r="AE84" t="s">
        <v>1664</v>
      </c>
      <c r="AF84" t="s">
        <v>1664</v>
      </c>
      <c r="AG84" t="s">
        <v>1664</v>
      </c>
      <c r="AH84" t="s">
        <v>1664</v>
      </c>
      <c r="AI84" t="s">
        <v>1664</v>
      </c>
      <c r="AJ84">
        <v>0</v>
      </c>
      <c r="AK84"/>
      <c r="AL84">
        <v>0</v>
      </c>
      <c r="AM84"/>
      <c r="AN84">
        <v>141255800000</v>
      </c>
      <c r="AO84" t="s">
        <v>4236</v>
      </c>
      <c r="AP84" s="6">
        <v>0</v>
      </c>
    </row>
    <row r="85" spans="3:42">
      <c r="C85" s="4" t="s">
        <v>1737</v>
      </c>
      <c r="D85"/>
      <c r="E85" s="4" t="s">
        <v>3646</v>
      </c>
      <c r="G85" s="10" t="s">
        <v>4162</v>
      </c>
      <c r="H85" s="136">
        <v>2372480000</v>
      </c>
      <c r="I85" s="5"/>
      <c r="J85" s="4" t="s">
        <v>4324</v>
      </c>
      <c r="K85" t="s">
        <v>1664</v>
      </c>
      <c r="L85" s="4" t="s">
        <v>4376</v>
      </c>
      <c r="M85" s="4" t="s">
        <v>4377</v>
      </c>
      <c r="N85" s="4">
        <v>0</v>
      </c>
      <c r="Q85" s="120">
        <v>11.8855</v>
      </c>
      <c r="R85" t="s">
        <v>1664</v>
      </c>
      <c r="S85">
        <v>0</v>
      </c>
      <c r="T85"/>
      <c r="U85">
        <v>0</v>
      </c>
      <c r="V85"/>
      <c r="W85" t="s">
        <v>1664</v>
      </c>
      <c r="X85" t="s">
        <v>1664</v>
      </c>
      <c r="Y85" t="s">
        <v>1664</v>
      </c>
      <c r="Z85" t="s">
        <v>1664</v>
      </c>
      <c r="AA85" t="s">
        <v>1664</v>
      </c>
      <c r="AB85" t="s">
        <v>1664</v>
      </c>
      <c r="AC85" t="s">
        <v>3646</v>
      </c>
      <c r="AD85" t="s">
        <v>3482</v>
      </c>
      <c r="AE85" t="s">
        <v>1664</v>
      </c>
      <c r="AF85" t="s">
        <v>1664</v>
      </c>
      <c r="AG85" t="s">
        <v>1664</v>
      </c>
      <c r="AH85" t="s">
        <v>1664</v>
      </c>
      <c r="AI85" t="s">
        <v>1664</v>
      </c>
      <c r="AJ85">
        <v>0</v>
      </c>
      <c r="AK85"/>
      <c r="AL85">
        <v>0</v>
      </c>
      <c r="AM85"/>
      <c r="AN85">
        <v>2372480000</v>
      </c>
      <c r="AO85" t="s">
        <v>4164</v>
      </c>
      <c r="AP85" s="6">
        <v>0</v>
      </c>
    </row>
    <row r="86" spans="3:42">
      <c r="C86" s="4" t="s">
        <v>3520</v>
      </c>
      <c r="D86"/>
      <c r="E86" s="4" t="s">
        <v>3520</v>
      </c>
      <c r="F86" s="4" t="s">
        <v>1395</v>
      </c>
      <c r="G86" s="10" t="s">
        <v>1415</v>
      </c>
      <c r="H86" s="136">
        <v>102466900000</v>
      </c>
      <c r="I86" s="5">
        <v>8.9033333333333339E-2</v>
      </c>
      <c r="J86" s="4" t="s">
        <v>4343</v>
      </c>
      <c r="K86">
        <v>10500000000</v>
      </c>
      <c r="L86" s="4" t="s">
        <v>4322</v>
      </c>
      <c r="M86" s="4" t="s">
        <v>3431</v>
      </c>
      <c r="N86" s="4">
        <v>1</v>
      </c>
      <c r="O86" s="6" t="s">
        <v>4338</v>
      </c>
      <c r="Q86" s="120">
        <v>26.349599999999999</v>
      </c>
      <c r="R86">
        <v>0</v>
      </c>
      <c r="S86">
        <v>3500000000</v>
      </c>
      <c r="T86"/>
      <c r="U86">
        <v>2901000000</v>
      </c>
      <c r="V86"/>
      <c r="W86">
        <v>-25000000</v>
      </c>
      <c r="X86">
        <v>-4364000000</v>
      </c>
      <c r="Y86">
        <v>-3000000</v>
      </c>
      <c r="Z86">
        <v>10611000000</v>
      </c>
      <c r="AA86">
        <v>-917000000</v>
      </c>
      <c r="AB86" t="s">
        <v>1664</v>
      </c>
      <c r="AC86" t="s">
        <v>3520</v>
      </c>
      <c r="AD86" t="s">
        <v>3518</v>
      </c>
      <c r="AE86">
        <v>48558271445.160004</v>
      </c>
      <c r="AF86">
        <v>64974386454.300003</v>
      </c>
      <c r="AG86">
        <v>65029526125.309998</v>
      </c>
      <c r="AH86">
        <v>101606488389.39999</v>
      </c>
      <c r="AI86">
        <v>70362057943.100006</v>
      </c>
      <c r="AJ86">
        <v>88273269383.800003</v>
      </c>
      <c r="AK86"/>
      <c r="AL86">
        <v>98397435000</v>
      </c>
      <c r="AM86">
        <v>98397435000</v>
      </c>
      <c r="AN86">
        <v>102466900000</v>
      </c>
      <c r="AO86" t="s">
        <v>3521</v>
      </c>
      <c r="AP86" s="6">
        <v>1</v>
      </c>
    </row>
    <row r="87" spans="3:42">
      <c r="C87" s="4" t="s">
        <v>3520</v>
      </c>
      <c r="D87" t="s">
        <v>4084</v>
      </c>
      <c r="E87" s="4" t="s">
        <v>3520</v>
      </c>
      <c r="F87" s="4" t="s">
        <v>1395</v>
      </c>
      <c r="G87" s="10" t="s">
        <v>1394</v>
      </c>
      <c r="H87" s="136">
        <v>64960690000</v>
      </c>
      <c r="I87" s="5">
        <v>7.3548726030995534E-2</v>
      </c>
      <c r="J87" s="4" t="s">
        <v>4343</v>
      </c>
      <c r="K87">
        <v>3200000000</v>
      </c>
      <c r="L87" s="4" t="s">
        <v>4322</v>
      </c>
      <c r="M87" s="4" t="s">
        <v>3431</v>
      </c>
      <c r="N87" s="4">
        <v>1</v>
      </c>
      <c r="O87" s="6" t="s">
        <v>4338</v>
      </c>
      <c r="Q87" s="120">
        <v>20.341999999999999</v>
      </c>
      <c r="R87">
        <v>0</v>
      </c>
      <c r="S87">
        <v>1100000000</v>
      </c>
      <c r="T87"/>
      <c r="U87">
        <v>760000000</v>
      </c>
      <c r="V87"/>
      <c r="W87">
        <v>844000000</v>
      </c>
      <c r="X87">
        <v>2665000000</v>
      </c>
      <c r="Y87">
        <v>1981000000</v>
      </c>
      <c r="Z87">
        <v>2623000000</v>
      </c>
      <c r="AA87">
        <v>1804000000</v>
      </c>
      <c r="AB87" t="s">
        <v>1664</v>
      </c>
      <c r="AC87" t="s">
        <v>3520</v>
      </c>
      <c r="AD87" t="s">
        <v>3518</v>
      </c>
      <c r="AE87">
        <v>28232902904.5</v>
      </c>
      <c r="AF87">
        <v>37199038982</v>
      </c>
      <c r="AG87">
        <v>52553614890.599998</v>
      </c>
      <c r="AH87">
        <v>56822142615</v>
      </c>
      <c r="AI87">
        <v>49964224369.5</v>
      </c>
      <c r="AJ87">
        <v>45996620288.360001</v>
      </c>
      <c r="AK87"/>
      <c r="AL87">
        <v>49952859410.32</v>
      </c>
      <c r="AM87"/>
      <c r="AN87">
        <v>64960690000</v>
      </c>
      <c r="AO87" t="s">
        <v>4085</v>
      </c>
      <c r="AP87" s="6">
        <v>1</v>
      </c>
    </row>
    <row r="88" spans="3:42">
      <c r="C88" s="4" t="s">
        <v>3520</v>
      </c>
      <c r="D88"/>
      <c r="E88" s="4" t="s">
        <v>3520</v>
      </c>
      <c r="F88" s="4" t="s">
        <v>1395</v>
      </c>
      <c r="G88" s="10" t="s">
        <v>3800</v>
      </c>
      <c r="H88" s="136">
        <v>161432900</v>
      </c>
      <c r="I88" s="5">
        <v>-0.15317</v>
      </c>
      <c r="J88" s="4" t="s">
        <v>4343</v>
      </c>
      <c r="K88">
        <v>36000000</v>
      </c>
      <c r="L88" s="4" t="s">
        <v>4322</v>
      </c>
      <c r="M88" s="4" t="s">
        <v>3431</v>
      </c>
      <c r="N88" s="4">
        <v>1</v>
      </c>
      <c r="O88" s="6" t="s">
        <v>4338</v>
      </c>
      <c r="Q88" s="120">
        <v>0</v>
      </c>
      <c r="R88" t="s">
        <v>1664</v>
      </c>
      <c r="S88">
        <v>-20000000</v>
      </c>
      <c r="T88"/>
      <c r="U88">
        <v>-57145000</v>
      </c>
      <c r="V88"/>
      <c r="W88">
        <v>-55465000</v>
      </c>
      <c r="X88">
        <v>14313000</v>
      </c>
      <c r="Y88">
        <v>30289000</v>
      </c>
      <c r="Z88">
        <v>32545000</v>
      </c>
      <c r="AA88">
        <v>33260000</v>
      </c>
      <c r="AB88" t="s">
        <v>1664</v>
      </c>
      <c r="AC88" t="s">
        <v>3520</v>
      </c>
      <c r="AD88"/>
      <c r="AE88">
        <v>635582800</v>
      </c>
      <c r="AF88">
        <v>508600592</v>
      </c>
      <c r="AG88">
        <v>428729976</v>
      </c>
      <c r="AH88">
        <v>407293477.19999999</v>
      </c>
      <c r="AI88">
        <v>156665078.72999999</v>
      </c>
      <c r="AJ88">
        <v>214364988</v>
      </c>
      <c r="AK88"/>
      <c r="AL88">
        <v>251864988</v>
      </c>
      <c r="AM88"/>
      <c r="AN88">
        <v>161432900</v>
      </c>
      <c r="AO88" t="s">
        <v>3801</v>
      </c>
      <c r="AP88" s="6">
        <v>1</v>
      </c>
    </row>
    <row r="89" spans="3:42">
      <c r="C89" s="4" t="s">
        <v>3520</v>
      </c>
      <c r="D89"/>
      <c r="E89" s="4" t="s">
        <v>3520</v>
      </c>
      <c r="F89" s="4" t="s">
        <v>1395</v>
      </c>
      <c r="G89" s="10" t="s">
        <v>1430</v>
      </c>
      <c r="H89" s="136">
        <v>121337420158</v>
      </c>
      <c r="I89" s="5"/>
      <c r="J89" s="4" t="s">
        <v>4343</v>
      </c>
      <c r="K89">
        <v>0</v>
      </c>
      <c r="L89" s="4" t="s">
        <v>4322</v>
      </c>
      <c r="M89" s="4" t="s">
        <v>3431</v>
      </c>
      <c r="N89" s="4">
        <v>1</v>
      </c>
      <c r="O89" s="6" t="s">
        <v>4338</v>
      </c>
      <c r="Q89" s="120"/>
      <c r="R89">
        <v>0</v>
      </c>
      <c r="S89">
        <v>0</v>
      </c>
      <c r="T89"/>
      <c r="U89">
        <v>-4202000000</v>
      </c>
      <c r="V89"/>
      <c r="W89">
        <v>-11873000000</v>
      </c>
      <c r="X89">
        <v>-636000000</v>
      </c>
      <c r="Y89">
        <v>0</v>
      </c>
      <c r="Z89">
        <v>0</v>
      </c>
      <c r="AA89" t="s">
        <v>1664</v>
      </c>
      <c r="AB89" t="s">
        <v>1664</v>
      </c>
      <c r="AC89" t="s">
        <v>3520</v>
      </c>
      <c r="AD89" t="s">
        <v>3464</v>
      </c>
      <c r="AE89" t="s">
        <v>1664</v>
      </c>
      <c r="AF89">
        <v>0</v>
      </c>
      <c r="AG89">
        <v>188842500000</v>
      </c>
      <c r="AH89">
        <v>0</v>
      </c>
      <c r="AI89">
        <v>0</v>
      </c>
      <c r="AJ89">
        <v>0</v>
      </c>
      <c r="AK89"/>
      <c r="AL89">
        <v>110007975000</v>
      </c>
      <c r="AM89"/>
      <c r="AN89">
        <v>121337420158</v>
      </c>
      <c r="AO89" t="s">
        <v>3632</v>
      </c>
      <c r="AP89" s="6">
        <v>1</v>
      </c>
    </row>
    <row r="90" spans="3:42">
      <c r="C90" s="4" t="s">
        <v>3520</v>
      </c>
      <c r="D90"/>
      <c r="E90" s="4" t="s">
        <v>3520</v>
      </c>
      <c r="F90" s="4" t="s">
        <v>1395</v>
      </c>
      <c r="G90" s="10" t="s">
        <v>3982</v>
      </c>
      <c r="H90" s="136">
        <v>8751862000</v>
      </c>
      <c r="I90" s="5"/>
      <c r="J90" s="4" t="s">
        <v>4343</v>
      </c>
      <c r="K90" t="s">
        <v>1664</v>
      </c>
      <c r="L90" s="4" t="s">
        <v>4322</v>
      </c>
      <c r="M90" s="4" t="s">
        <v>3431</v>
      </c>
      <c r="N90" s="4">
        <v>1</v>
      </c>
      <c r="O90" s="6" t="s">
        <v>4338</v>
      </c>
      <c r="Q90" s="120">
        <v>18.61</v>
      </c>
      <c r="R90" t="s">
        <v>1664</v>
      </c>
      <c r="S90">
        <v>0</v>
      </c>
      <c r="T90"/>
      <c r="U90">
        <v>0</v>
      </c>
      <c r="V90"/>
      <c r="W90" t="s">
        <v>1664</v>
      </c>
      <c r="X90" t="s">
        <v>1664</v>
      </c>
      <c r="Y90" t="s">
        <v>1664</v>
      </c>
      <c r="Z90" t="s">
        <v>1664</v>
      </c>
      <c r="AA90" t="s">
        <v>1664</v>
      </c>
      <c r="AB90" t="s">
        <v>1664</v>
      </c>
      <c r="AC90" t="s">
        <v>3520</v>
      </c>
      <c r="AD90" t="s">
        <v>3487</v>
      </c>
      <c r="AE90" t="s">
        <v>1664</v>
      </c>
      <c r="AF90" t="s">
        <v>1664</v>
      </c>
      <c r="AG90" t="s">
        <v>1664</v>
      </c>
      <c r="AH90" t="s">
        <v>1664</v>
      </c>
      <c r="AI90" t="s">
        <v>1664</v>
      </c>
      <c r="AJ90">
        <v>0</v>
      </c>
      <c r="AK90"/>
      <c r="AL90">
        <v>0</v>
      </c>
      <c r="AM90"/>
      <c r="AN90">
        <v>8751862000</v>
      </c>
      <c r="AO90" t="s">
        <v>3983</v>
      </c>
      <c r="AP90" s="6">
        <v>1</v>
      </c>
    </row>
    <row r="91" spans="3:42">
      <c r="C91" s="4" t="s">
        <v>3520</v>
      </c>
      <c r="D91"/>
      <c r="E91" s="4" t="s">
        <v>3520</v>
      </c>
      <c r="G91" s="10" t="s">
        <v>3717</v>
      </c>
      <c r="H91" s="136">
        <v>14625230000</v>
      </c>
      <c r="I91" s="5"/>
      <c r="J91" s="4" t="s">
        <v>4343</v>
      </c>
      <c r="K91" t="s">
        <v>1664</v>
      </c>
      <c r="L91" s="4" t="s">
        <v>4322</v>
      </c>
      <c r="M91" s="4" t="s">
        <v>3431</v>
      </c>
      <c r="N91" s="4">
        <v>0</v>
      </c>
      <c r="Q91" s="120">
        <v>18.558800000000002</v>
      </c>
      <c r="R91" t="s">
        <v>1664</v>
      </c>
      <c r="S91">
        <v>0</v>
      </c>
      <c r="T91"/>
      <c r="U91">
        <v>0</v>
      </c>
      <c r="V91"/>
      <c r="W91" t="s">
        <v>1664</v>
      </c>
      <c r="X91" t="s">
        <v>1664</v>
      </c>
      <c r="Y91" t="s">
        <v>1664</v>
      </c>
      <c r="Z91" t="s">
        <v>1664</v>
      </c>
      <c r="AA91" t="s">
        <v>1664</v>
      </c>
      <c r="AB91" t="s">
        <v>1664</v>
      </c>
      <c r="AC91" t="s">
        <v>3520</v>
      </c>
      <c r="AD91" t="s">
        <v>3477</v>
      </c>
      <c r="AE91" t="s">
        <v>1664</v>
      </c>
      <c r="AF91" t="s">
        <v>1664</v>
      </c>
      <c r="AG91" t="s">
        <v>1664</v>
      </c>
      <c r="AH91" t="s">
        <v>1664</v>
      </c>
      <c r="AI91" t="s">
        <v>1664</v>
      </c>
      <c r="AJ91">
        <v>0</v>
      </c>
      <c r="AK91"/>
      <c r="AL91">
        <v>0</v>
      </c>
      <c r="AM91"/>
      <c r="AN91">
        <v>14625230000</v>
      </c>
      <c r="AO91" t="s">
        <v>3719</v>
      </c>
      <c r="AP91" s="6">
        <v>1</v>
      </c>
    </row>
    <row r="92" spans="3:42">
      <c r="C92" s="4" t="s">
        <v>3520</v>
      </c>
      <c r="D92"/>
      <c r="E92" s="4" t="s">
        <v>3520</v>
      </c>
      <c r="G92" s="10" t="s">
        <v>4175</v>
      </c>
      <c r="H92" s="136">
        <v>28861850000</v>
      </c>
      <c r="I92" s="5"/>
      <c r="J92" s="4" t="s">
        <v>4343</v>
      </c>
      <c r="K92" t="s">
        <v>1664</v>
      </c>
      <c r="L92" s="4" t="s">
        <v>4322</v>
      </c>
      <c r="M92" s="4" t="s">
        <v>3431</v>
      </c>
      <c r="N92" s="4">
        <v>0</v>
      </c>
      <c r="Q92" s="120">
        <v>23.9604</v>
      </c>
      <c r="R92" t="s">
        <v>1664</v>
      </c>
      <c r="S92">
        <v>1120000000</v>
      </c>
      <c r="T92">
        <v>1120000000</v>
      </c>
      <c r="U92">
        <v>1088800000</v>
      </c>
      <c r="V92">
        <v>1088800000</v>
      </c>
      <c r="W92" t="s">
        <v>1664</v>
      </c>
      <c r="X92" t="s">
        <v>1664</v>
      </c>
      <c r="Y92" t="s">
        <v>1664</v>
      </c>
      <c r="Z92" t="s">
        <v>1664</v>
      </c>
      <c r="AA92" t="s">
        <v>1664</v>
      </c>
      <c r="AB92" t="s">
        <v>1664</v>
      </c>
      <c r="AC92" t="s">
        <v>3520</v>
      </c>
      <c r="AD92" t="s">
        <v>3518</v>
      </c>
      <c r="AE92" t="s">
        <v>1664</v>
      </c>
      <c r="AF92" t="s">
        <v>1664</v>
      </c>
      <c r="AG92" t="s">
        <v>1664</v>
      </c>
      <c r="AH92" t="s">
        <v>1664</v>
      </c>
      <c r="AI92" t="s">
        <v>1664</v>
      </c>
      <c r="AJ92">
        <v>22739657000</v>
      </c>
      <c r="AK92">
        <v>22739657000</v>
      </c>
      <c r="AL92">
        <v>27632622000</v>
      </c>
      <c r="AM92">
        <v>27632622000</v>
      </c>
      <c r="AN92">
        <v>28861850000</v>
      </c>
      <c r="AO92" t="s">
        <v>4177</v>
      </c>
      <c r="AP92" s="6">
        <v>1</v>
      </c>
    </row>
    <row r="93" spans="3:42">
      <c r="C93" s="4" t="s">
        <v>3520</v>
      </c>
      <c r="D93"/>
      <c r="E93" s="4" t="s">
        <v>3520</v>
      </c>
      <c r="G93" s="10" t="s">
        <v>4055</v>
      </c>
      <c r="H93" s="136">
        <v>107606223950</v>
      </c>
      <c r="I93" s="5"/>
      <c r="J93" s="4" t="s">
        <v>4343</v>
      </c>
      <c r="K93" t="s">
        <v>1664</v>
      </c>
      <c r="L93" s="4" t="s">
        <v>4322</v>
      </c>
      <c r="M93" s="4" t="s">
        <v>3431</v>
      </c>
      <c r="N93" s="4">
        <v>0</v>
      </c>
      <c r="Q93" s="120">
        <v>19.7361</v>
      </c>
      <c r="R93" t="s">
        <v>1664</v>
      </c>
      <c r="S93">
        <v>0</v>
      </c>
      <c r="T93"/>
      <c r="U93">
        <v>0</v>
      </c>
      <c r="V93"/>
      <c r="W93" t="s">
        <v>1664</v>
      </c>
      <c r="X93" t="s">
        <v>1664</v>
      </c>
      <c r="Y93" t="s">
        <v>1664</v>
      </c>
      <c r="Z93" t="s">
        <v>1664</v>
      </c>
      <c r="AA93" t="s">
        <v>1664</v>
      </c>
      <c r="AB93" t="s">
        <v>1664</v>
      </c>
      <c r="AC93" t="s">
        <v>3520</v>
      </c>
      <c r="AD93" t="s">
        <v>3464</v>
      </c>
      <c r="AE93" t="s">
        <v>1664</v>
      </c>
      <c r="AF93" t="s">
        <v>1664</v>
      </c>
      <c r="AG93" t="s">
        <v>1664</v>
      </c>
      <c r="AH93" t="s">
        <v>1664</v>
      </c>
      <c r="AI93" t="s">
        <v>1664</v>
      </c>
      <c r="AJ93">
        <v>0</v>
      </c>
      <c r="AK93"/>
      <c r="AL93">
        <v>0</v>
      </c>
      <c r="AM93"/>
      <c r="AN93">
        <v>107606223950</v>
      </c>
      <c r="AO93" t="s">
        <v>4057</v>
      </c>
      <c r="AP93" s="6">
        <v>1</v>
      </c>
    </row>
    <row r="94" spans="3:42">
      <c r="C94" s="4" t="s">
        <v>4336</v>
      </c>
      <c r="D94" t="s">
        <v>3566</v>
      </c>
      <c r="E94" s="4" t="s">
        <v>3504</v>
      </c>
      <c r="F94" s="4" t="s">
        <v>4418</v>
      </c>
      <c r="G94" s="10" t="s">
        <v>2149</v>
      </c>
      <c r="H94" s="136">
        <v>5456198000</v>
      </c>
      <c r="I94" s="5">
        <v>4.0289884451652137E-2</v>
      </c>
      <c r="J94" s="4" t="s">
        <v>4343</v>
      </c>
      <c r="K94">
        <v>0</v>
      </c>
      <c r="L94" s="4" t="s">
        <v>4322</v>
      </c>
      <c r="M94" s="4" t="s">
        <v>3431</v>
      </c>
      <c r="N94" s="4">
        <v>1</v>
      </c>
      <c r="O94" s="6" t="s">
        <v>4338</v>
      </c>
      <c r="Q94" s="120">
        <v>12.4062</v>
      </c>
      <c r="R94">
        <v>650000000</v>
      </c>
      <c r="S94">
        <v>-301000000</v>
      </c>
      <c r="T94"/>
      <c r="U94">
        <v>456000000</v>
      </c>
      <c r="V94"/>
      <c r="W94">
        <v>234000000</v>
      </c>
      <c r="X94">
        <v>422000000</v>
      </c>
      <c r="Y94">
        <v>322000000</v>
      </c>
      <c r="Z94">
        <v>286000000</v>
      </c>
      <c r="AA94">
        <v>603000000</v>
      </c>
      <c r="AB94">
        <v>8.3941507692307695</v>
      </c>
      <c r="AC94" t="s">
        <v>3504</v>
      </c>
      <c r="AD94" t="s">
        <v>3477</v>
      </c>
      <c r="AE94">
        <v>6320559965.2999992</v>
      </c>
      <c r="AF94">
        <v>6491935635.3499994</v>
      </c>
      <c r="AG94">
        <v>7607580204.8000002</v>
      </c>
      <c r="AH94">
        <v>6916460542</v>
      </c>
      <c r="AI94">
        <v>4933408607.9200001</v>
      </c>
      <c r="AJ94">
        <v>4962089447</v>
      </c>
      <c r="AK94"/>
      <c r="AL94">
        <v>3834437000.5</v>
      </c>
      <c r="AM94"/>
      <c r="AN94">
        <v>5456198000</v>
      </c>
      <c r="AO94" t="s">
        <v>4102</v>
      </c>
      <c r="AP94" s="6">
        <v>1</v>
      </c>
    </row>
    <row r="95" spans="3:42">
      <c r="C95" s="4" t="s">
        <v>2918</v>
      </c>
      <c r="D95" t="s">
        <v>1181</v>
      </c>
      <c r="E95" s="4" t="s">
        <v>3623</v>
      </c>
      <c r="F95" s="4" t="s">
        <v>4389</v>
      </c>
      <c r="G95" s="10" t="s">
        <v>2395</v>
      </c>
      <c r="H95" s="136">
        <v>15194920000</v>
      </c>
      <c r="I95" s="5">
        <v>0.27080256031511568</v>
      </c>
      <c r="J95" s="4" t="s">
        <v>4343</v>
      </c>
      <c r="K95">
        <v>836000000</v>
      </c>
      <c r="L95" s="4" t="s">
        <v>4348</v>
      </c>
      <c r="M95" s="4" t="s">
        <v>3431</v>
      </c>
      <c r="N95" s="4">
        <v>1</v>
      </c>
      <c r="O95" s="6" t="s">
        <v>3149</v>
      </c>
      <c r="Q95" s="120">
        <v>36.2791</v>
      </c>
      <c r="R95">
        <v>0</v>
      </c>
      <c r="S95">
        <v>386000000</v>
      </c>
      <c r="T95"/>
      <c r="U95">
        <v>313000000</v>
      </c>
      <c r="V95"/>
      <c r="W95">
        <v>238000000</v>
      </c>
      <c r="X95">
        <v>312000000</v>
      </c>
      <c r="Y95">
        <v>254000000</v>
      </c>
      <c r="Z95">
        <v>247000000</v>
      </c>
      <c r="AA95">
        <v>180000000</v>
      </c>
      <c r="AB95" t="s">
        <v>1664</v>
      </c>
      <c r="AC95" t="s">
        <v>3623</v>
      </c>
      <c r="AD95" t="s">
        <v>3477</v>
      </c>
      <c r="AE95">
        <v>4710985675.1999998</v>
      </c>
      <c r="AF95">
        <v>6122838272.4000006</v>
      </c>
      <c r="AG95">
        <v>8479599443.999999</v>
      </c>
      <c r="AH95">
        <v>11865964973.030001</v>
      </c>
      <c r="AI95">
        <v>11287137413.369999</v>
      </c>
      <c r="AJ95">
        <v>9866821048.4899998</v>
      </c>
      <c r="AK95"/>
      <c r="AL95">
        <v>12379127221.299999</v>
      </c>
      <c r="AM95"/>
      <c r="AN95">
        <v>15194920000</v>
      </c>
      <c r="AO95" t="s">
        <v>3758</v>
      </c>
      <c r="AP95" s="6">
        <v>1</v>
      </c>
    </row>
    <row r="96" spans="3:42">
      <c r="C96" s="4" t="s">
        <v>2431</v>
      </c>
      <c r="D96" t="s">
        <v>1949</v>
      </c>
      <c r="E96" s="4" t="s">
        <v>3517</v>
      </c>
      <c r="F96" s="4" t="s">
        <v>4342</v>
      </c>
      <c r="G96" s="10" t="s">
        <v>3516</v>
      </c>
      <c r="H96" s="136">
        <v>84941730000</v>
      </c>
      <c r="I96" s="5">
        <v>0.14344827586206896</v>
      </c>
      <c r="J96" s="4" t="s">
        <v>4343</v>
      </c>
      <c r="K96">
        <v>0</v>
      </c>
      <c r="L96" s="4" t="s">
        <v>3150</v>
      </c>
      <c r="M96" s="4" t="s">
        <v>3148</v>
      </c>
      <c r="N96" s="4">
        <v>1</v>
      </c>
      <c r="O96" s="6" t="s">
        <v>3149</v>
      </c>
      <c r="Q96" s="120">
        <v>26.654</v>
      </c>
      <c r="R96">
        <v>0</v>
      </c>
      <c r="S96">
        <v>2760000000</v>
      </c>
      <c r="T96">
        <v>2760000000</v>
      </c>
      <c r="U96">
        <v>2572000000</v>
      </c>
      <c r="V96"/>
      <c r="W96">
        <v>2341000000</v>
      </c>
      <c r="X96">
        <v>2307000000</v>
      </c>
      <c r="Y96">
        <v>2113000000</v>
      </c>
      <c r="Z96">
        <v>2209000000</v>
      </c>
      <c r="AA96">
        <v>1844000000</v>
      </c>
      <c r="AB96" t="s">
        <v>1664</v>
      </c>
      <c r="AC96" t="s">
        <v>3517</v>
      </c>
      <c r="AD96" t="s">
        <v>3518</v>
      </c>
      <c r="AE96">
        <v>41220830666</v>
      </c>
      <c r="AF96">
        <v>47466448540</v>
      </c>
      <c r="AG96">
        <v>46080805284</v>
      </c>
      <c r="AH96">
        <v>56545795920</v>
      </c>
      <c r="AI96">
        <v>63312757524</v>
      </c>
      <c r="AJ96">
        <v>72706921134</v>
      </c>
      <c r="AK96"/>
      <c r="AL96">
        <v>69301101928</v>
      </c>
      <c r="AM96"/>
      <c r="AN96">
        <v>84941730000</v>
      </c>
      <c r="AO96" t="s">
        <v>3519</v>
      </c>
      <c r="AP96" s="6">
        <v>1</v>
      </c>
    </row>
    <row r="97" spans="3:42">
      <c r="C97" s="4" t="s">
        <v>371</v>
      </c>
      <c r="D97" t="s">
        <v>106</v>
      </c>
      <c r="E97" s="4" t="s">
        <v>4440</v>
      </c>
      <c r="F97" s="4" t="s">
        <v>4408</v>
      </c>
      <c r="G97" s="10" t="s">
        <v>3369</v>
      </c>
      <c r="H97" s="136">
        <v>4417636000</v>
      </c>
      <c r="I97" s="5">
        <v>0.34022257551669316</v>
      </c>
      <c r="J97" s="4" t="s">
        <v>4343</v>
      </c>
      <c r="K97">
        <v>414000000</v>
      </c>
      <c r="L97" s="4" t="s">
        <v>4348</v>
      </c>
      <c r="M97" s="4" t="s">
        <v>3431</v>
      </c>
      <c r="N97" s="4">
        <v>1</v>
      </c>
      <c r="O97" s="6" t="s">
        <v>3149</v>
      </c>
      <c r="Q97" s="120">
        <v>24.4939</v>
      </c>
      <c r="R97">
        <v>80000000</v>
      </c>
      <c r="S97">
        <v>45200000</v>
      </c>
      <c r="T97"/>
      <c r="U97">
        <v>41000000</v>
      </c>
      <c r="V97"/>
      <c r="W97">
        <v>3300000</v>
      </c>
      <c r="X97">
        <v>37000000</v>
      </c>
      <c r="Y97">
        <v>13500000</v>
      </c>
      <c r="Z97" t="s">
        <v>1664</v>
      </c>
      <c r="AA97" t="s">
        <v>1664</v>
      </c>
      <c r="AB97">
        <v>55.22045</v>
      </c>
      <c r="AC97" t="s">
        <v>371</v>
      </c>
      <c r="AD97" t="s">
        <v>3477</v>
      </c>
      <c r="AE97" t="s">
        <v>1664</v>
      </c>
      <c r="AF97" t="s">
        <v>1664</v>
      </c>
      <c r="AG97">
        <v>1472140140.3399999</v>
      </c>
      <c r="AH97">
        <v>2407160680.9200001</v>
      </c>
      <c r="AI97">
        <v>4926865504.0799999</v>
      </c>
      <c r="AJ97">
        <v>4083565136.3999996</v>
      </c>
      <c r="AK97"/>
      <c r="AL97">
        <v>3387336970.9200001</v>
      </c>
      <c r="AM97"/>
      <c r="AN97">
        <v>4417636000</v>
      </c>
      <c r="AO97" t="s">
        <v>3988</v>
      </c>
      <c r="AP97" s="6">
        <v>1</v>
      </c>
    </row>
    <row r="98" spans="3:42">
      <c r="C98" s="4" t="s">
        <v>371</v>
      </c>
      <c r="D98"/>
      <c r="E98" s="4" t="s">
        <v>4229</v>
      </c>
      <c r="F98" s="4" t="s">
        <v>4390</v>
      </c>
      <c r="G98" s="10" t="s">
        <v>3759</v>
      </c>
      <c r="H98" s="136">
        <v>48011200000</v>
      </c>
      <c r="I98" s="5">
        <v>6.9666666666666668E-2</v>
      </c>
      <c r="J98" s="4" t="s">
        <v>4343</v>
      </c>
      <c r="K98">
        <v>8000000000</v>
      </c>
      <c r="L98" s="4" t="s">
        <v>3150</v>
      </c>
      <c r="M98" s="4" t="s">
        <v>3419</v>
      </c>
      <c r="N98" s="4">
        <v>1</v>
      </c>
      <c r="O98" s="6" t="s">
        <v>3149</v>
      </c>
      <c r="Q98" s="120">
        <v>0</v>
      </c>
      <c r="R98" t="s">
        <v>1664</v>
      </c>
      <c r="S98">
        <v>-6000000000</v>
      </c>
      <c r="T98"/>
      <c r="U98">
        <v>5113000000</v>
      </c>
      <c r="V98"/>
      <c r="W98">
        <v>650000000</v>
      </c>
      <c r="X98">
        <v>5155000000</v>
      </c>
      <c r="Y98">
        <v>1177000000</v>
      </c>
      <c r="Z98">
        <v>3173000000</v>
      </c>
      <c r="AA98">
        <v>2851000000</v>
      </c>
      <c r="AB98" t="s">
        <v>1664</v>
      </c>
      <c r="AC98" t="s">
        <v>371</v>
      </c>
      <c r="AD98" t="s">
        <v>3477</v>
      </c>
      <c r="AE98">
        <v>20036798488.5</v>
      </c>
      <c r="AF98">
        <v>31760897014</v>
      </c>
      <c r="AG98">
        <v>46057095442.800003</v>
      </c>
      <c r="AH98">
        <v>33560665886</v>
      </c>
      <c r="AI98">
        <v>39357508175.400002</v>
      </c>
      <c r="AJ98">
        <v>32620405665.310001</v>
      </c>
      <c r="AK98"/>
      <c r="AL98">
        <v>32216423277.399998</v>
      </c>
      <c r="AM98"/>
      <c r="AN98">
        <v>48011200000</v>
      </c>
      <c r="AO98" t="s">
        <v>3760</v>
      </c>
      <c r="AP98" s="6">
        <v>1</v>
      </c>
    </row>
    <row r="99" spans="3:42">
      <c r="C99" s="4" t="s">
        <v>371</v>
      </c>
      <c r="D99"/>
      <c r="E99" s="4" t="s">
        <v>4441</v>
      </c>
      <c r="F99" s="4" t="s">
        <v>381</v>
      </c>
      <c r="G99" s="10" t="s">
        <v>3750</v>
      </c>
      <c r="H99" s="136">
        <v>1529713900</v>
      </c>
      <c r="I99" s="5">
        <v>-0.59779875000000005</v>
      </c>
      <c r="J99" s="4" t="s">
        <v>4343</v>
      </c>
      <c r="K99">
        <v>120000000</v>
      </c>
      <c r="L99" s="4" t="s">
        <v>3150</v>
      </c>
      <c r="M99" s="4" t="s">
        <v>3419</v>
      </c>
      <c r="N99" s="4">
        <v>1</v>
      </c>
      <c r="O99" s="6" t="s">
        <v>3149</v>
      </c>
      <c r="Q99" s="120">
        <v>7.9275000000000002</v>
      </c>
      <c r="R99">
        <v>0</v>
      </c>
      <c r="S99">
        <v>-55000000</v>
      </c>
      <c r="T99"/>
      <c r="U99">
        <v>-2139333000</v>
      </c>
      <c r="V99"/>
      <c r="W99">
        <v>-1254904000</v>
      </c>
      <c r="X99">
        <v>-357214000</v>
      </c>
      <c r="Y99">
        <v>-180272000</v>
      </c>
      <c r="Z99">
        <v>18346000</v>
      </c>
      <c r="AA99">
        <v>-415522000</v>
      </c>
      <c r="AB99" t="s">
        <v>1664</v>
      </c>
      <c r="AC99" t="s">
        <v>371</v>
      </c>
      <c r="AD99"/>
      <c r="AE99">
        <v>2427873600</v>
      </c>
      <c r="AF99">
        <v>2608035000</v>
      </c>
      <c r="AG99">
        <v>1649232000</v>
      </c>
      <c r="AH99">
        <v>771108800</v>
      </c>
      <c r="AI99">
        <v>23735311.999999996</v>
      </c>
      <c r="AJ99">
        <v>13009750</v>
      </c>
      <c r="AK99"/>
      <c r="AL99">
        <v>1040780000</v>
      </c>
      <c r="AM99"/>
      <c r="AN99">
        <v>1529713900</v>
      </c>
      <c r="AO99" t="s">
        <v>3751</v>
      </c>
      <c r="AP99" s="6">
        <v>1</v>
      </c>
    </row>
    <row r="100" spans="3:42">
      <c r="C100" s="4" t="s">
        <v>371</v>
      </c>
      <c r="D100"/>
      <c r="E100" s="4" t="s">
        <v>3578</v>
      </c>
      <c r="G100" s="10" t="s">
        <v>3779</v>
      </c>
      <c r="H100" s="136">
        <v>2093367000</v>
      </c>
      <c r="I100" s="5"/>
      <c r="J100" s="4" t="s">
        <v>4343</v>
      </c>
      <c r="K100" t="s">
        <v>1664</v>
      </c>
      <c r="L100" s="4" t="s">
        <v>3150</v>
      </c>
      <c r="M100" s="4" t="s">
        <v>3419</v>
      </c>
      <c r="N100" s="4">
        <v>0</v>
      </c>
      <c r="Q100" s="120">
        <v>12.8996</v>
      </c>
      <c r="R100" t="s">
        <v>1664</v>
      </c>
      <c r="S100">
        <v>0</v>
      </c>
      <c r="T100"/>
      <c r="U100">
        <v>0</v>
      </c>
      <c r="V100"/>
      <c r="W100" t="s">
        <v>1664</v>
      </c>
      <c r="X100" t="s">
        <v>1664</v>
      </c>
      <c r="Y100" t="s">
        <v>1664</v>
      </c>
      <c r="Z100" t="s">
        <v>1664</v>
      </c>
      <c r="AA100" t="s">
        <v>1664</v>
      </c>
      <c r="AB100" t="s">
        <v>1664</v>
      </c>
      <c r="AC100" t="s">
        <v>371</v>
      </c>
      <c r="AD100" t="s">
        <v>3477</v>
      </c>
      <c r="AE100" t="s">
        <v>1664</v>
      </c>
      <c r="AF100" t="s">
        <v>1664</v>
      </c>
      <c r="AG100" t="s">
        <v>1664</v>
      </c>
      <c r="AH100" t="s">
        <v>1664</v>
      </c>
      <c r="AI100" t="s">
        <v>1664</v>
      </c>
      <c r="AJ100">
        <v>0</v>
      </c>
      <c r="AK100"/>
      <c r="AL100">
        <v>0</v>
      </c>
      <c r="AM100"/>
      <c r="AN100">
        <v>2093367000</v>
      </c>
      <c r="AO100" t="s">
        <v>3781</v>
      </c>
      <c r="AP100" s="6">
        <v>1</v>
      </c>
    </row>
    <row r="101" spans="3:42">
      <c r="C101" s="4" t="s">
        <v>371</v>
      </c>
      <c r="D101" t="s">
        <v>165</v>
      </c>
      <c r="E101" s="4" t="s">
        <v>4229</v>
      </c>
      <c r="F101" s="4" t="s">
        <v>371</v>
      </c>
      <c r="G101" s="10" t="s">
        <v>370</v>
      </c>
      <c r="H101" s="136">
        <v>36938400000</v>
      </c>
      <c r="I101" s="5"/>
      <c r="J101" s="4" t="s">
        <v>4343</v>
      </c>
      <c r="K101">
        <v>0</v>
      </c>
      <c r="L101" s="4" t="s">
        <v>3150</v>
      </c>
      <c r="M101" s="4" t="s">
        <v>3419</v>
      </c>
      <c r="N101" s="4">
        <v>1</v>
      </c>
      <c r="O101" s="6" t="s">
        <v>3149</v>
      </c>
      <c r="Q101" s="120">
        <v>0</v>
      </c>
      <c r="R101" t="s">
        <v>1664</v>
      </c>
      <c r="S101">
        <v>5200000000</v>
      </c>
      <c r="T101">
        <v>5200000000</v>
      </c>
      <c r="U101">
        <v>3661000000</v>
      </c>
      <c r="V101">
        <v>3661000000</v>
      </c>
      <c r="W101">
        <v>100000000</v>
      </c>
      <c r="X101">
        <v>984000000</v>
      </c>
      <c r="Y101">
        <v>1033000000</v>
      </c>
      <c r="Z101">
        <v>1423000000</v>
      </c>
      <c r="AA101">
        <v>-415000000</v>
      </c>
      <c r="AB101" t="s">
        <v>1664</v>
      </c>
      <c r="AC101" t="s">
        <v>371</v>
      </c>
      <c r="AD101" t="s">
        <v>3518</v>
      </c>
      <c r="AE101">
        <v>29710477134.199997</v>
      </c>
      <c r="AF101">
        <v>34581047156.199997</v>
      </c>
      <c r="AG101">
        <v>30441062637.5</v>
      </c>
      <c r="AH101">
        <v>35311632659.5</v>
      </c>
      <c r="AI101">
        <v>30489768337.719997</v>
      </c>
      <c r="AJ101">
        <v>34439472000</v>
      </c>
      <c r="AK101">
        <v>34439472000</v>
      </c>
      <c r="AL101">
        <v>34495753000</v>
      </c>
      <c r="AM101">
        <v>34495753000</v>
      </c>
      <c r="AN101">
        <v>36938400000</v>
      </c>
      <c r="AO101" t="s">
        <v>3775</v>
      </c>
      <c r="AP101" s="6">
        <v>1</v>
      </c>
    </row>
    <row r="102" spans="3:42">
      <c r="C102" s="4" t="s">
        <v>371</v>
      </c>
      <c r="D102"/>
      <c r="E102" s="4" t="s">
        <v>4442</v>
      </c>
      <c r="G102" s="10" t="s">
        <v>3796</v>
      </c>
      <c r="H102" s="136">
        <v>467653006260</v>
      </c>
      <c r="I102" s="5"/>
      <c r="J102" s="4" t="s">
        <v>4343</v>
      </c>
      <c r="K102" t="s">
        <v>1664</v>
      </c>
      <c r="L102" s="4" t="s">
        <v>3150</v>
      </c>
      <c r="M102" s="4" t="s">
        <v>3419</v>
      </c>
      <c r="N102" s="4">
        <v>0</v>
      </c>
      <c r="Q102" s="120">
        <v>9.3154000000000003</v>
      </c>
      <c r="R102" t="s">
        <v>1664</v>
      </c>
      <c r="S102">
        <v>0</v>
      </c>
      <c r="T102"/>
      <c r="U102">
        <v>0</v>
      </c>
      <c r="V102"/>
      <c r="W102" t="s">
        <v>1664</v>
      </c>
      <c r="X102" t="s">
        <v>1664</v>
      </c>
      <c r="Y102" t="s">
        <v>1664</v>
      </c>
      <c r="Z102" t="s">
        <v>1664</v>
      </c>
      <c r="AA102" t="s">
        <v>1664</v>
      </c>
      <c r="AB102" t="s">
        <v>1664</v>
      </c>
      <c r="AC102" t="s">
        <v>371</v>
      </c>
      <c r="AD102" t="s">
        <v>3474</v>
      </c>
      <c r="AE102" t="s">
        <v>1664</v>
      </c>
      <c r="AF102" t="s">
        <v>1664</v>
      </c>
      <c r="AG102" t="s">
        <v>1664</v>
      </c>
      <c r="AH102" t="s">
        <v>1664</v>
      </c>
      <c r="AI102" t="s">
        <v>1664</v>
      </c>
      <c r="AJ102">
        <v>0</v>
      </c>
      <c r="AK102"/>
      <c r="AL102">
        <v>0</v>
      </c>
      <c r="AM102"/>
      <c r="AN102">
        <v>467653006260</v>
      </c>
      <c r="AO102" t="s">
        <v>3798</v>
      </c>
      <c r="AP102" s="6">
        <v>1</v>
      </c>
    </row>
    <row r="103" spans="3:42">
      <c r="C103" s="4" t="s">
        <v>371</v>
      </c>
      <c r="D103"/>
      <c r="E103" s="4" t="s">
        <v>4229</v>
      </c>
      <c r="G103" s="10" t="s">
        <v>4081</v>
      </c>
      <c r="H103" s="136">
        <v>27373360000</v>
      </c>
      <c r="I103" s="5"/>
      <c r="J103" s="4" t="s">
        <v>4343</v>
      </c>
      <c r="K103" t="s">
        <v>1664</v>
      </c>
      <c r="L103" s="4" t="s">
        <v>3150</v>
      </c>
      <c r="M103" s="4" t="s">
        <v>3419</v>
      </c>
      <c r="N103" s="4">
        <v>0</v>
      </c>
      <c r="Q103" s="120">
        <v>10.27</v>
      </c>
      <c r="R103" t="s">
        <v>1664</v>
      </c>
      <c r="S103">
        <v>0</v>
      </c>
      <c r="T103"/>
      <c r="U103">
        <v>0</v>
      </c>
      <c r="V103"/>
      <c r="W103" t="s">
        <v>1664</v>
      </c>
      <c r="X103" t="s">
        <v>1664</v>
      </c>
      <c r="Y103" t="s">
        <v>1664</v>
      </c>
      <c r="Z103" t="s">
        <v>1664</v>
      </c>
      <c r="AA103" t="s">
        <v>1664</v>
      </c>
      <c r="AB103" t="s">
        <v>1664</v>
      </c>
      <c r="AC103" t="s">
        <v>371</v>
      </c>
      <c r="AD103" t="s">
        <v>3487</v>
      </c>
      <c r="AE103" t="s">
        <v>1664</v>
      </c>
      <c r="AF103" t="s">
        <v>1664</v>
      </c>
      <c r="AG103" t="s">
        <v>1664</v>
      </c>
      <c r="AH103" t="s">
        <v>1664</v>
      </c>
      <c r="AI103" t="s">
        <v>1664</v>
      </c>
      <c r="AJ103">
        <v>0</v>
      </c>
      <c r="AK103"/>
      <c r="AL103">
        <v>0</v>
      </c>
      <c r="AM103"/>
      <c r="AN103">
        <v>27373360000</v>
      </c>
      <c r="AO103" t="s">
        <v>4083</v>
      </c>
      <c r="AP103" s="6">
        <v>1</v>
      </c>
    </row>
    <row r="104" spans="3:42">
      <c r="C104" s="4" t="s">
        <v>371</v>
      </c>
      <c r="D104"/>
      <c r="E104" s="4" t="s">
        <v>4442</v>
      </c>
      <c r="G104" s="10" t="s">
        <v>4078</v>
      </c>
      <c r="H104" s="136">
        <v>2330147000</v>
      </c>
      <c r="I104" s="5"/>
      <c r="J104" s="4" t="s">
        <v>4343</v>
      </c>
      <c r="K104" t="s">
        <v>1664</v>
      </c>
      <c r="L104" s="4" t="s">
        <v>3150</v>
      </c>
      <c r="M104" s="4" t="s">
        <v>3419</v>
      </c>
      <c r="N104" s="4">
        <v>0</v>
      </c>
      <c r="Q104" s="120">
        <v>8.8193000000000001</v>
      </c>
      <c r="R104" t="s">
        <v>1664</v>
      </c>
      <c r="S104">
        <v>0</v>
      </c>
      <c r="T104"/>
      <c r="U104">
        <v>0</v>
      </c>
      <c r="V104"/>
      <c r="W104" t="s">
        <v>1664</v>
      </c>
      <c r="X104" t="s">
        <v>1664</v>
      </c>
      <c r="Y104" t="s">
        <v>1664</v>
      </c>
      <c r="Z104" t="s">
        <v>1664</v>
      </c>
      <c r="AA104" t="s">
        <v>1664</v>
      </c>
      <c r="AB104" t="s">
        <v>1664</v>
      </c>
      <c r="AC104" t="s">
        <v>371</v>
      </c>
      <c r="AD104" t="s">
        <v>3477</v>
      </c>
      <c r="AE104" t="s">
        <v>1664</v>
      </c>
      <c r="AF104" t="s">
        <v>1664</v>
      </c>
      <c r="AG104" t="s">
        <v>1664</v>
      </c>
      <c r="AH104" t="s">
        <v>1664</v>
      </c>
      <c r="AI104" t="s">
        <v>1664</v>
      </c>
      <c r="AJ104">
        <v>0</v>
      </c>
      <c r="AK104"/>
      <c r="AL104">
        <v>0</v>
      </c>
      <c r="AM104"/>
      <c r="AN104">
        <v>2330147000</v>
      </c>
      <c r="AO104" t="s">
        <v>4080</v>
      </c>
      <c r="AP104" s="6">
        <v>1</v>
      </c>
    </row>
    <row r="105" spans="3:42">
      <c r="C105" s="4" t="s">
        <v>371</v>
      </c>
      <c r="D105"/>
      <c r="E105" s="4" t="s">
        <v>4441</v>
      </c>
      <c r="F105" s="4" t="s">
        <v>381</v>
      </c>
      <c r="G105" s="10" t="s">
        <v>3668</v>
      </c>
      <c r="H105" s="136">
        <v>539539200</v>
      </c>
      <c r="I105" s="5"/>
      <c r="J105" s="4" t="s">
        <v>4343</v>
      </c>
      <c r="K105" t="s">
        <v>1664</v>
      </c>
      <c r="L105" s="4" t="s">
        <v>3150</v>
      </c>
      <c r="M105" s="4" t="s">
        <v>3419</v>
      </c>
      <c r="N105" s="4">
        <v>1</v>
      </c>
      <c r="O105" s="6" t="s">
        <v>3149</v>
      </c>
      <c r="Q105" s="120">
        <v>8.8317999999999994</v>
      </c>
      <c r="R105" t="s">
        <v>1664</v>
      </c>
      <c r="S105">
        <v>0</v>
      </c>
      <c r="T105"/>
      <c r="U105">
        <v>-180000000</v>
      </c>
      <c r="V105"/>
      <c r="W105">
        <v>-441800000</v>
      </c>
      <c r="X105">
        <v>-61500000</v>
      </c>
      <c r="Y105">
        <v>-790000000</v>
      </c>
      <c r="Z105">
        <v>-514100000</v>
      </c>
      <c r="AA105">
        <v>-576600000</v>
      </c>
      <c r="AB105" t="s">
        <v>1664</v>
      </c>
      <c r="AC105" t="s">
        <v>371</v>
      </c>
      <c r="AD105" t="s">
        <v>3477</v>
      </c>
      <c r="AE105">
        <v>492341904.06504071</v>
      </c>
      <c r="AF105">
        <v>283135465.05000001</v>
      </c>
      <c r="AG105">
        <v>930741510.7379998</v>
      </c>
      <c r="AH105">
        <v>2264760782.02</v>
      </c>
      <c r="AI105">
        <v>575699194.25999999</v>
      </c>
      <c r="AJ105">
        <v>452617162.38</v>
      </c>
      <c r="AK105"/>
      <c r="AL105">
        <v>0</v>
      </c>
      <c r="AM105"/>
      <c r="AN105">
        <v>539539200</v>
      </c>
      <c r="AO105" t="s">
        <v>3669</v>
      </c>
      <c r="AP105" s="6">
        <v>1</v>
      </c>
    </row>
    <row r="106" spans="3:42">
      <c r="C106" s="4" t="s">
        <v>371</v>
      </c>
      <c r="D106"/>
      <c r="E106" s="4" t="s">
        <v>4442</v>
      </c>
      <c r="G106" s="10" t="s">
        <v>4109</v>
      </c>
      <c r="H106" s="136">
        <v>173296300000</v>
      </c>
      <c r="I106" s="5"/>
      <c r="J106" s="4" t="s">
        <v>4343</v>
      </c>
      <c r="K106" t="s">
        <v>1664</v>
      </c>
      <c r="L106" s="4" t="s">
        <v>3150</v>
      </c>
      <c r="M106" s="4" t="s">
        <v>3419</v>
      </c>
      <c r="N106" s="4">
        <v>0</v>
      </c>
      <c r="Q106" s="120">
        <v>8.0376999999999992</v>
      </c>
      <c r="R106" t="s">
        <v>1664</v>
      </c>
      <c r="S106">
        <v>0</v>
      </c>
      <c r="T106"/>
      <c r="U106">
        <v>0</v>
      </c>
      <c r="V106"/>
      <c r="W106" t="s">
        <v>1664</v>
      </c>
      <c r="X106" t="s">
        <v>1664</v>
      </c>
      <c r="Y106" t="s">
        <v>1664</v>
      </c>
      <c r="Z106" t="s">
        <v>1664</v>
      </c>
      <c r="AA106" t="s">
        <v>1664</v>
      </c>
      <c r="AB106" t="s">
        <v>1664</v>
      </c>
      <c r="AC106" t="s">
        <v>371</v>
      </c>
      <c r="AD106" t="s">
        <v>3496</v>
      </c>
      <c r="AE106" t="s">
        <v>1664</v>
      </c>
      <c r="AF106" t="s">
        <v>1664</v>
      </c>
      <c r="AG106" t="s">
        <v>1664</v>
      </c>
      <c r="AH106" t="s">
        <v>1664</v>
      </c>
      <c r="AI106" t="s">
        <v>1664</v>
      </c>
      <c r="AJ106">
        <v>0</v>
      </c>
      <c r="AK106"/>
      <c r="AL106">
        <v>0</v>
      </c>
      <c r="AM106"/>
      <c r="AN106">
        <v>173296300000</v>
      </c>
      <c r="AO106" t="s">
        <v>4111</v>
      </c>
      <c r="AP106" s="6">
        <v>1</v>
      </c>
    </row>
    <row r="107" spans="3:42">
      <c r="C107" s="4" t="s">
        <v>371</v>
      </c>
      <c r="D107"/>
      <c r="E107" s="4" t="s">
        <v>4442</v>
      </c>
      <c r="F107" s="4" t="s">
        <v>4431</v>
      </c>
      <c r="G107" s="10" t="s">
        <v>4197</v>
      </c>
      <c r="H107" s="136">
        <v>155879400000</v>
      </c>
      <c r="I107" s="5"/>
      <c r="J107" s="4" t="s">
        <v>4343</v>
      </c>
      <c r="K107" t="s">
        <v>1664</v>
      </c>
      <c r="L107" s="4" t="s">
        <v>3150</v>
      </c>
      <c r="M107" s="4" t="s">
        <v>3419</v>
      </c>
      <c r="N107" s="4">
        <v>1</v>
      </c>
      <c r="O107" s="6" t="s">
        <v>3149</v>
      </c>
      <c r="Q107" s="120">
        <v>8.7856000000000005</v>
      </c>
      <c r="R107" t="s">
        <v>1664</v>
      </c>
      <c r="S107">
        <v>19470000000</v>
      </c>
      <c r="T107">
        <v>19470000000</v>
      </c>
      <c r="U107">
        <v>16032000000</v>
      </c>
      <c r="V107">
        <v>16032000000</v>
      </c>
      <c r="W107" t="s">
        <v>1664</v>
      </c>
      <c r="X107" t="s">
        <v>1664</v>
      </c>
      <c r="Y107" t="s">
        <v>1664</v>
      </c>
      <c r="Z107">
        <v>10000000000</v>
      </c>
      <c r="AA107">
        <v>6196000000</v>
      </c>
      <c r="AB107" t="s">
        <v>1664</v>
      </c>
      <c r="AC107" t="s">
        <v>371</v>
      </c>
      <c r="AD107" t="s">
        <v>3518</v>
      </c>
      <c r="AE107">
        <v>107761505201.88678</v>
      </c>
      <c r="AF107">
        <v>85791914928.599991</v>
      </c>
      <c r="AG107" t="s">
        <v>1664</v>
      </c>
      <c r="AH107" t="s">
        <v>1664</v>
      </c>
      <c r="AI107" t="s">
        <v>1664</v>
      </c>
      <c r="AJ107">
        <v>108467228421.06001</v>
      </c>
      <c r="AK107">
        <v>154578165000</v>
      </c>
      <c r="AL107">
        <v>160540489000</v>
      </c>
      <c r="AM107">
        <v>160540489000</v>
      </c>
      <c r="AN107">
        <v>155879400000</v>
      </c>
      <c r="AO107" t="s">
        <v>4198</v>
      </c>
      <c r="AP107" s="6">
        <v>1</v>
      </c>
    </row>
    <row r="108" spans="3:42">
      <c r="C108" s="4" t="s">
        <v>371</v>
      </c>
      <c r="D108"/>
      <c r="E108" s="4" t="s">
        <v>4442</v>
      </c>
      <c r="G108" s="10" t="s">
        <v>3670</v>
      </c>
      <c r="H108" s="136">
        <v>318292264290</v>
      </c>
      <c r="I108" s="5"/>
      <c r="J108" s="4" t="s">
        <v>4343</v>
      </c>
      <c r="K108" t="s">
        <v>1664</v>
      </c>
      <c r="L108" s="4" t="s">
        <v>3150</v>
      </c>
      <c r="M108" s="4" t="s">
        <v>3419</v>
      </c>
      <c r="N108" s="4">
        <v>0</v>
      </c>
      <c r="Q108" s="120">
        <v>10.574199999999999</v>
      </c>
      <c r="R108" t="s">
        <v>1664</v>
      </c>
      <c r="S108">
        <v>0</v>
      </c>
      <c r="T108"/>
      <c r="U108">
        <v>0</v>
      </c>
      <c r="V108"/>
      <c r="W108" t="s">
        <v>1664</v>
      </c>
      <c r="X108" t="s">
        <v>1664</v>
      </c>
      <c r="Y108" t="s">
        <v>1664</v>
      </c>
      <c r="Z108" t="s">
        <v>1664</v>
      </c>
      <c r="AA108" t="s">
        <v>1664</v>
      </c>
      <c r="AB108" t="s">
        <v>1664</v>
      </c>
      <c r="AC108" t="s">
        <v>371</v>
      </c>
      <c r="AD108" t="s">
        <v>3464</v>
      </c>
      <c r="AE108" t="s">
        <v>1664</v>
      </c>
      <c r="AF108" t="s">
        <v>1664</v>
      </c>
      <c r="AG108" t="s">
        <v>1664</v>
      </c>
      <c r="AH108" t="s">
        <v>1664</v>
      </c>
      <c r="AI108" t="s">
        <v>1664</v>
      </c>
      <c r="AJ108">
        <v>0</v>
      </c>
      <c r="AK108"/>
      <c r="AL108">
        <v>0</v>
      </c>
      <c r="AM108"/>
      <c r="AN108">
        <v>318292264290</v>
      </c>
      <c r="AO108" t="s">
        <v>3672</v>
      </c>
      <c r="AP108" s="6">
        <v>1</v>
      </c>
    </row>
    <row r="109" spans="3:42">
      <c r="C109" s="4" t="s">
        <v>371</v>
      </c>
      <c r="D109"/>
      <c r="E109" s="4" t="s">
        <v>4229</v>
      </c>
      <c r="G109" s="10" t="s">
        <v>3752</v>
      </c>
      <c r="H109" s="136">
        <v>31312830000</v>
      </c>
      <c r="I109" s="5"/>
      <c r="J109" s="4" t="s">
        <v>4343</v>
      </c>
      <c r="K109" t="s">
        <v>1664</v>
      </c>
      <c r="L109" s="4" t="s">
        <v>3150</v>
      </c>
      <c r="M109" s="4" t="s">
        <v>3419</v>
      </c>
      <c r="N109" s="4">
        <v>0</v>
      </c>
      <c r="Q109" s="120">
        <v>53.48</v>
      </c>
      <c r="R109" t="s">
        <v>1664</v>
      </c>
      <c r="S109">
        <v>0</v>
      </c>
      <c r="T109"/>
      <c r="U109">
        <v>0</v>
      </c>
      <c r="V109"/>
      <c r="W109" t="s">
        <v>1664</v>
      </c>
      <c r="X109" t="s">
        <v>1664</v>
      </c>
      <c r="Y109" t="s">
        <v>1664</v>
      </c>
      <c r="Z109" t="s">
        <v>1664</v>
      </c>
      <c r="AA109" t="s">
        <v>1664</v>
      </c>
      <c r="AB109" t="s">
        <v>1664</v>
      </c>
      <c r="AC109" t="s">
        <v>371</v>
      </c>
      <c r="AD109" t="s">
        <v>3487</v>
      </c>
      <c r="AE109" t="s">
        <v>1664</v>
      </c>
      <c r="AF109" t="s">
        <v>1664</v>
      </c>
      <c r="AG109" t="s">
        <v>1664</v>
      </c>
      <c r="AH109" t="s">
        <v>1664</v>
      </c>
      <c r="AI109" t="s">
        <v>1664</v>
      </c>
      <c r="AJ109">
        <v>0</v>
      </c>
      <c r="AK109"/>
      <c r="AL109">
        <v>0</v>
      </c>
      <c r="AM109"/>
      <c r="AN109">
        <v>31312830000</v>
      </c>
      <c r="AO109" t="s">
        <v>3754</v>
      </c>
      <c r="AP109" s="6">
        <v>1</v>
      </c>
    </row>
    <row r="110" spans="3:42">
      <c r="C110" s="4" t="s">
        <v>371</v>
      </c>
      <c r="D110"/>
      <c r="E110" s="4" t="s">
        <v>4440</v>
      </c>
      <c r="G110" s="10" t="s">
        <v>3768</v>
      </c>
      <c r="H110" s="136">
        <v>7793313000</v>
      </c>
      <c r="I110" s="5"/>
      <c r="J110" s="4" t="s">
        <v>4343</v>
      </c>
      <c r="K110" t="s">
        <v>1664</v>
      </c>
      <c r="L110" s="4" t="s">
        <v>3150</v>
      </c>
      <c r="M110" s="4" t="s">
        <v>3419</v>
      </c>
      <c r="N110" s="4">
        <v>0</v>
      </c>
      <c r="Q110" s="120">
        <v>22.460999999999999</v>
      </c>
      <c r="R110" t="s">
        <v>1664</v>
      </c>
      <c r="S110">
        <v>0</v>
      </c>
      <c r="T110"/>
      <c r="U110">
        <v>0</v>
      </c>
      <c r="V110"/>
      <c r="W110" t="s">
        <v>1664</v>
      </c>
      <c r="X110" t="s">
        <v>1664</v>
      </c>
      <c r="Y110" t="s">
        <v>1664</v>
      </c>
      <c r="Z110" t="s">
        <v>1664</v>
      </c>
      <c r="AA110" t="s">
        <v>1664</v>
      </c>
      <c r="AB110" t="s">
        <v>1664</v>
      </c>
      <c r="AC110" t="s">
        <v>371</v>
      </c>
      <c r="AD110" t="s">
        <v>3482</v>
      </c>
      <c r="AE110" t="s">
        <v>1664</v>
      </c>
      <c r="AF110" t="s">
        <v>1664</v>
      </c>
      <c r="AG110" t="s">
        <v>1664</v>
      </c>
      <c r="AH110" t="s">
        <v>1664</v>
      </c>
      <c r="AI110" t="s">
        <v>1664</v>
      </c>
      <c r="AJ110">
        <v>0</v>
      </c>
      <c r="AK110"/>
      <c r="AL110">
        <v>0</v>
      </c>
      <c r="AM110"/>
      <c r="AN110">
        <v>7793313000</v>
      </c>
      <c r="AO110" t="s">
        <v>3770</v>
      </c>
      <c r="AP110" s="6">
        <v>1</v>
      </c>
    </row>
    <row r="111" spans="3:42">
      <c r="C111" s="4" t="s">
        <v>371</v>
      </c>
      <c r="D111"/>
      <c r="E111" s="4" t="s">
        <v>4441</v>
      </c>
      <c r="G111" s="10" t="s">
        <v>4159</v>
      </c>
      <c r="H111" s="136">
        <v>4249323000</v>
      </c>
      <c r="I111" s="5"/>
      <c r="J111" s="4" t="s">
        <v>4343</v>
      </c>
      <c r="K111" t="s">
        <v>1664</v>
      </c>
      <c r="L111" s="4" t="s">
        <v>3150</v>
      </c>
      <c r="M111" s="4" t="s">
        <v>3419</v>
      </c>
      <c r="N111" s="4">
        <v>0</v>
      </c>
      <c r="Q111" s="120">
        <v>13.366899999999999</v>
      </c>
      <c r="R111" t="s">
        <v>1664</v>
      </c>
      <c r="S111">
        <v>0</v>
      </c>
      <c r="T111"/>
      <c r="U111">
        <v>0</v>
      </c>
      <c r="V111"/>
      <c r="W111" t="s">
        <v>1664</v>
      </c>
      <c r="X111" t="s">
        <v>1664</v>
      </c>
      <c r="Y111" t="s">
        <v>1664</v>
      </c>
      <c r="Z111" t="s">
        <v>1664</v>
      </c>
      <c r="AA111" t="s">
        <v>1664</v>
      </c>
      <c r="AB111" t="s">
        <v>1664</v>
      </c>
      <c r="AC111" t="s">
        <v>371</v>
      </c>
      <c r="AD111" t="s">
        <v>3477</v>
      </c>
      <c r="AE111" t="s">
        <v>1664</v>
      </c>
      <c r="AF111" t="s">
        <v>1664</v>
      </c>
      <c r="AG111" t="s">
        <v>1664</v>
      </c>
      <c r="AH111" t="s">
        <v>1664</v>
      </c>
      <c r="AI111" t="s">
        <v>1664</v>
      </c>
      <c r="AJ111">
        <v>0</v>
      </c>
      <c r="AK111"/>
      <c r="AL111">
        <v>0</v>
      </c>
      <c r="AM111"/>
      <c r="AN111">
        <v>4249323000</v>
      </c>
      <c r="AO111" t="s">
        <v>4161</v>
      </c>
      <c r="AP111" s="6">
        <v>1</v>
      </c>
    </row>
    <row r="112" spans="3:42">
      <c r="C112" s="4" t="s">
        <v>371</v>
      </c>
      <c r="D112"/>
      <c r="E112" s="4" t="s">
        <v>4441</v>
      </c>
      <c r="G112" s="10" t="s">
        <v>4223</v>
      </c>
      <c r="H112" s="136">
        <v>2809342000</v>
      </c>
      <c r="I112" s="5"/>
      <c r="J112" s="4" t="s">
        <v>4343</v>
      </c>
      <c r="K112" t="s">
        <v>1664</v>
      </c>
      <c r="L112" s="4" t="s">
        <v>3150</v>
      </c>
      <c r="M112" s="4" t="s">
        <v>3419</v>
      </c>
      <c r="N112" s="4">
        <v>0</v>
      </c>
      <c r="Q112" s="120">
        <v>7.1717000000000004</v>
      </c>
      <c r="R112" t="s">
        <v>1664</v>
      </c>
      <c r="S112">
        <v>0</v>
      </c>
      <c r="T112"/>
      <c r="U112">
        <v>0</v>
      </c>
      <c r="V112"/>
      <c r="W112" t="s">
        <v>1664</v>
      </c>
      <c r="X112" t="s">
        <v>1664</v>
      </c>
      <c r="Y112" t="s">
        <v>1664</v>
      </c>
      <c r="Z112" t="s">
        <v>1664</v>
      </c>
      <c r="AA112" t="s">
        <v>1664</v>
      </c>
      <c r="AB112" t="s">
        <v>1664</v>
      </c>
      <c r="AC112" t="s">
        <v>371</v>
      </c>
      <c r="AD112" t="s">
        <v>3477</v>
      </c>
      <c r="AE112" t="s">
        <v>1664</v>
      </c>
      <c r="AF112" t="s">
        <v>1664</v>
      </c>
      <c r="AG112" t="s">
        <v>1664</v>
      </c>
      <c r="AH112" t="s">
        <v>1664</v>
      </c>
      <c r="AI112" t="s">
        <v>1664</v>
      </c>
      <c r="AJ112">
        <v>0</v>
      </c>
      <c r="AK112"/>
      <c r="AL112">
        <v>0</v>
      </c>
      <c r="AM112"/>
      <c r="AN112">
        <v>2809342000</v>
      </c>
      <c r="AO112" t="s">
        <v>4225</v>
      </c>
      <c r="AP112" s="6">
        <v>1</v>
      </c>
    </row>
    <row r="113" spans="3:42">
      <c r="C113" s="4" t="s">
        <v>4321</v>
      </c>
      <c r="D113"/>
      <c r="E113" s="4" t="s">
        <v>3665</v>
      </c>
      <c r="F113" s="4" t="s">
        <v>2889</v>
      </c>
      <c r="G113" s="10" t="s">
        <v>2888</v>
      </c>
      <c r="H113" s="136">
        <v>5291000000</v>
      </c>
      <c r="I113" s="5">
        <v>0.18689820350359634</v>
      </c>
      <c r="J113" s="4" t="s">
        <v>4343</v>
      </c>
      <c r="K113">
        <v>366725000</v>
      </c>
      <c r="L113" s="4" t="s">
        <v>4322</v>
      </c>
      <c r="M113" s="4" t="s">
        <v>3431</v>
      </c>
      <c r="N113" s="4">
        <v>1</v>
      </c>
      <c r="O113" s="6" t="s">
        <v>3148</v>
      </c>
      <c r="Q113" s="120">
        <v>20.841200000000001</v>
      </c>
      <c r="R113">
        <v>0</v>
      </c>
      <c r="S113">
        <v>272597000</v>
      </c>
      <c r="T113"/>
      <c r="U113">
        <v>272597000</v>
      </c>
      <c r="V113"/>
      <c r="W113">
        <v>198983000</v>
      </c>
      <c r="X113">
        <v>163414000</v>
      </c>
      <c r="Y113">
        <v>126146000</v>
      </c>
      <c r="Z113">
        <v>157770000</v>
      </c>
      <c r="AA113">
        <v>134171000</v>
      </c>
      <c r="AB113" t="s">
        <v>1664</v>
      </c>
      <c r="AC113" t="s">
        <v>3665</v>
      </c>
      <c r="AD113"/>
      <c r="AE113">
        <v>2849000000</v>
      </c>
      <c r="AF113">
        <v>3145000000</v>
      </c>
      <c r="AG113">
        <v>2294000000</v>
      </c>
      <c r="AH113">
        <v>3367000000</v>
      </c>
      <c r="AI113">
        <v>5128200000</v>
      </c>
      <c r="AJ113">
        <v>6341800000</v>
      </c>
      <c r="AK113"/>
      <c r="AL113">
        <v>3700000000</v>
      </c>
      <c r="AM113"/>
      <c r="AN113">
        <v>5291000000</v>
      </c>
      <c r="AO113" t="s">
        <v>4133</v>
      </c>
      <c r="AP113" s="6">
        <v>1</v>
      </c>
    </row>
    <row r="114" spans="3:42">
      <c r="C114" s="4" t="s">
        <v>4321</v>
      </c>
      <c r="D114" t="s">
        <v>1949</v>
      </c>
      <c r="E114" s="4" t="s">
        <v>3468</v>
      </c>
      <c r="F114" s="4" t="s">
        <v>4406</v>
      </c>
      <c r="G114" s="10" t="s">
        <v>2286</v>
      </c>
      <c r="H114" s="136">
        <v>23394580000</v>
      </c>
      <c r="I114" s="5">
        <v>0.16118239597073988</v>
      </c>
      <c r="J114" s="4" t="s">
        <v>4343</v>
      </c>
      <c r="K114">
        <v>1976500000</v>
      </c>
      <c r="L114" s="4" t="s">
        <v>4322</v>
      </c>
      <c r="M114" s="4" t="s">
        <v>3431</v>
      </c>
      <c r="N114" s="4">
        <v>1</v>
      </c>
      <c r="O114" s="6" t="s">
        <v>3148</v>
      </c>
      <c r="Q114" s="120">
        <v>21.1798</v>
      </c>
      <c r="R114">
        <v>1200000000</v>
      </c>
      <c r="S114">
        <v>1000000000</v>
      </c>
      <c r="T114"/>
      <c r="U114">
        <v>904500000</v>
      </c>
      <c r="V114"/>
      <c r="W114">
        <v>681200000</v>
      </c>
      <c r="X114">
        <v>836100000</v>
      </c>
      <c r="Y114">
        <v>772400000</v>
      </c>
      <c r="Z114">
        <v>713200000</v>
      </c>
      <c r="AA114">
        <v>630200000</v>
      </c>
      <c r="AB114">
        <v>19.495483333333333</v>
      </c>
      <c r="AC114" t="s">
        <v>3468</v>
      </c>
      <c r="AD114" t="s">
        <v>3518</v>
      </c>
      <c r="AE114">
        <v>14422311827.300001</v>
      </c>
      <c r="AF114">
        <v>17126261156.689999</v>
      </c>
      <c r="AG114">
        <v>13182160942.720001</v>
      </c>
      <c r="AH114">
        <v>19810506607.360001</v>
      </c>
      <c r="AI114">
        <v>19523685458</v>
      </c>
      <c r="AJ114">
        <v>27520373063.400002</v>
      </c>
      <c r="AK114"/>
      <c r="AL114">
        <v>20010440355.719997</v>
      </c>
      <c r="AM114"/>
      <c r="AN114">
        <v>23394580000</v>
      </c>
      <c r="AO114" t="s">
        <v>3933</v>
      </c>
      <c r="AP114" s="6">
        <v>1</v>
      </c>
    </row>
    <row r="115" spans="3:42">
      <c r="C115" s="4" t="s">
        <v>4321</v>
      </c>
      <c r="D115" t="s">
        <v>1949</v>
      </c>
      <c r="E115" s="4" t="s">
        <v>3468</v>
      </c>
      <c r="F115" s="4" t="s">
        <v>4396</v>
      </c>
      <c r="G115" s="10" t="s">
        <v>4100</v>
      </c>
      <c r="H115" s="136">
        <v>90485160000</v>
      </c>
      <c r="I115" s="5">
        <v>0.11704119850187265</v>
      </c>
      <c r="J115" s="4" t="s">
        <v>4343</v>
      </c>
      <c r="K115">
        <v>6017000000</v>
      </c>
      <c r="L115" s="4" t="s">
        <v>4322</v>
      </c>
      <c r="M115" s="4" t="s">
        <v>3431</v>
      </c>
      <c r="N115" s="4">
        <v>1</v>
      </c>
      <c r="O115" s="6" t="s">
        <v>3148</v>
      </c>
      <c r="Q115" s="120">
        <v>22.224699999999999</v>
      </c>
      <c r="R115">
        <v>0</v>
      </c>
      <c r="S115">
        <v>3477000000</v>
      </c>
      <c r="T115"/>
      <c r="U115">
        <v>3000000000</v>
      </c>
      <c r="V115"/>
      <c r="W115">
        <v>2000000000</v>
      </c>
      <c r="X115">
        <v>2523000000</v>
      </c>
      <c r="Y115">
        <v>2431000000</v>
      </c>
      <c r="Z115">
        <v>2210000000</v>
      </c>
      <c r="AA115">
        <v>1811000000</v>
      </c>
      <c r="AB115" t="s">
        <v>1664</v>
      </c>
      <c r="AC115" t="s">
        <v>3468</v>
      </c>
      <c r="AD115" t="s">
        <v>3518</v>
      </c>
      <c r="AE115">
        <v>39170108890</v>
      </c>
      <c r="AF115">
        <v>41796058320</v>
      </c>
      <c r="AG115">
        <v>34298388180</v>
      </c>
      <c r="AH115">
        <v>53282596260</v>
      </c>
      <c r="AI115">
        <v>67084210056.5</v>
      </c>
      <c r="AJ115">
        <v>97796642995.300003</v>
      </c>
      <c r="AK115">
        <v>81482808000</v>
      </c>
      <c r="AL115">
        <v>86783567000</v>
      </c>
      <c r="AM115">
        <v>86783567000</v>
      </c>
      <c r="AN115">
        <v>90485160000</v>
      </c>
      <c r="AO115" t="s">
        <v>4101</v>
      </c>
      <c r="AP115" s="6">
        <v>1</v>
      </c>
    </row>
    <row r="116" spans="3:42">
      <c r="C116" s="4" t="s">
        <v>4321</v>
      </c>
      <c r="D116" t="s">
        <v>106</v>
      </c>
      <c r="E116" s="4" t="s">
        <v>3463</v>
      </c>
      <c r="F116" s="4" t="s">
        <v>4407</v>
      </c>
      <c r="G116" s="10" t="s">
        <v>486</v>
      </c>
      <c r="H116" s="136">
        <v>937663200</v>
      </c>
      <c r="I116" s="5">
        <v>8.3064226767133112E-2</v>
      </c>
      <c r="J116" s="4" t="s">
        <v>4343</v>
      </c>
      <c r="K116">
        <v>191745599.99999997</v>
      </c>
      <c r="L116" s="4" t="s">
        <v>4322</v>
      </c>
      <c r="M116" s="4" t="s">
        <v>3148</v>
      </c>
      <c r="N116" s="4">
        <v>1</v>
      </c>
      <c r="O116" s="6" t="s">
        <v>3148</v>
      </c>
      <c r="Q116" s="120">
        <v>11.048500000000001</v>
      </c>
      <c r="R116">
        <v>95000000</v>
      </c>
      <c r="S116">
        <v>80400000</v>
      </c>
      <c r="T116"/>
      <c r="U116">
        <v>54000000</v>
      </c>
      <c r="V116"/>
      <c r="W116">
        <v>5000000</v>
      </c>
      <c r="X116">
        <v>57300000</v>
      </c>
      <c r="Y116">
        <v>56500000</v>
      </c>
      <c r="Z116">
        <v>37600000</v>
      </c>
      <c r="AA116">
        <v>3200000</v>
      </c>
      <c r="AB116">
        <v>9.8701389473684209</v>
      </c>
      <c r="AC116" t="s">
        <v>3463</v>
      </c>
      <c r="AD116"/>
      <c r="AE116">
        <v>462643515.20000005</v>
      </c>
      <c r="AF116">
        <v>833204457.80000007</v>
      </c>
      <c r="AG116">
        <v>477666714</v>
      </c>
      <c r="AH116">
        <v>646605037</v>
      </c>
      <c r="AI116">
        <v>516241118.25</v>
      </c>
      <c r="AJ116">
        <v>768302538.29999995</v>
      </c>
      <c r="AK116"/>
      <c r="AL116">
        <v>786000564.25</v>
      </c>
      <c r="AM116"/>
      <c r="AN116">
        <v>937663200</v>
      </c>
      <c r="AO116" t="s">
        <v>3974</v>
      </c>
      <c r="AP116" s="6">
        <v>1</v>
      </c>
    </row>
    <row r="117" spans="3:42">
      <c r="C117" s="4" t="s">
        <v>4321</v>
      </c>
      <c r="D117" t="s">
        <v>3995</v>
      </c>
      <c r="E117" s="4" t="s">
        <v>3468</v>
      </c>
      <c r="F117" s="4" t="s">
        <v>4409</v>
      </c>
      <c r="G117" s="10" t="s">
        <v>1101</v>
      </c>
      <c r="H117" s="136">
        <v>3399638000</v>
      </c>
      <c r="I117" s="5">
        <v>4.4329132690882136E-2</v>
      </c>
      <c r="J117" s="4" t="s">
        <v>4343</v>
      </c>
      <c r="K117">
        <v>599000000</v>
      </c>
      <c r="L117" s="4" t="s">
        <v>4348</v>
      </c>
      <c r="M117" s="4" t="s">
        <v>3431</v>
      </c>
      <c r="N117" s="4">
        <v>1</v>
      </c>
      <c r="O117" s="6" t="s">
        <v>3431</v>
      </c>
      <c r="Q117" s="120">
        <v>18.851400000000002</v>
      </c>
      <c r="R117">
        <v>0</v>
      </c>
      <c r="S117">
        <v>248000000</v>
      </c>
      <c r="T117"/>
      <c r="U117">
        <v>164000000</v>
      </c>
      <c r="V117"/>
      <c r="W117">
        <v>80000000</v>
      </c>
      <c r="X117">
        <v>-118000000</v>
      </c>
      <c r="Y117">
        <v>14000000</v>
      </c>
      <c r="Z117">
        <v>125000000</v>
      </c>
      <c r="AA117">
        <v>61000000</v>
      </c>
      <c r="AB117" t="s">
        <v>1664</v>
      </c>
      <c r="AC117" t="s">
        <v>3468</v>
      </c>
      <c r="AD117" t="s">
        <v>3477</v>
      </c>
      <c r="AE117">
        <v>2161166543.8299999</v>
      </c>
      <c r="AF117">
        <v>2218930287</v>
      </c>
      <c r="AG117">
        <v>1000377893</v>
      </c>
      <c r="AH117">
        <v>1875071760</v>
      </c>
      <c r="AI117">
        <v>2586171966</v>
      </c>
      <c r="AJ117">
        <v>3746226920.6499996</v>
      </c>
      <c r="AK117"/>
      <c r="AL117">
        <v>3685135276.0500002</v>
      </c>
      <c r="AM117"/>
      <c r="AN117">
        <v>3399638000</v>
      </c>
      <c r="AO117" t="s">
        <v>3996</v>
      </c>
      <c r="AP117" s="6">
        <v>1</v>
      </c>
    </row>
    <row r="118" spans="3:42">
      <c r="C118" s="4" t="s">
        <v>4335</v>
      </c>
      <c r="D118" t="s">
        <v>3566</v>
      </c>
      <c r="E118" s="4" t="s">
        <v>3567</v>
      </c>
      <c r="F118" s="4" t="s">
        <v>4364</v>
      </c>
      <c r="G118" s="10" t="s">
        <v>1044</v>
      </c>
      <c r="H118" s="136">
        <v>11143060000</v>
      </c>
      <c r="I118" s="5">
        <v>0.46237244897959184</v>
      </c>
      <c r="J118" s="4" t="s">
        <v>4343</v>
      </c>
      <c r="K118">
        <v>1466000000</v>
      </c>
      <c r="L118" s="4" t="s">
        <v>4356</v>
      </c>
      <c r="M118" s="4" t="s">
        <v>3149</v>
      </c>
      <c r="N118" s="4">
        <v>1</v>
      </c>
      <c r="O118" s="6" t="s">
        <v>3148</v>
      </c>
      <c r="Q118" s="120">
        <v>9.6392000000000007</v>
      </c>
      <c r="R118">
        <v>1150000000</v>
      </c>
      <c r="S118">
        <v>1074000000</v>
      </c>
      <c r="T118"/>
      <c r="U118">
        <v>1250000000</v>
      </c>
      <c r="V118"/>
      <c r="W118">
        <v>906974000</v>
      </c>
      <c r="X118">
        <v>959322000</v>
      </c>
      <c r="Y118">
        <v>855004000</v>
      </c>
      <c r="Z118">
        <v>681294000</v>
      </c>
      <c r="AA118">
        <v>568265000</v>
      </c>
      <c r="AB118">
        <v>9.6896173913043473</v>
      </c>
      <c r="AC118" t="s">
        <v>3567</v>
      </c>
      <c r="AD118" t="s">
        <v>3477</v>
      </c>
      <c r="AE118">
        <v>8127592699.5999994</v>
      </c>
      <c r="AF118">
        <v>14236721205.300001</v>
      </c>
      <c r="AG118">
        <v>9701979427.3999996</v>
      </c>
      <c r="AH118">
        <v>14151431350</v>
      </c>
      <c r="AI118">
        <v>14140499519.4</v>
      </c>
      <c r="AJ118">
        <v>15057985371.650002</v>
      </c>
      <c r="AK118"/>
      <c r="AL118">
        <v>10804586943</v>
      </c>
      <c r="AM118"/>
      <c r="AN118">
        <v>11143060000</v>
      </c>
      <c r="AO118" t="s">
        <v>3568</v>
      </c>
      <c r="AP118" s="6">
        <v>1</v>
      </c>
    </row>
    <row r="119" spans="3:42">
      <c r="C119" s="4" t="s">
        <v>4335</v>
      </c>
      <c r="D119" t="s">
        <v>943</v>
      </c>
      <c r="E119" s="4" t="s">
        <v>3567</v>
      </c>
      <c r="F119" s="4" t="s">
        <v>4388</v>
      </c>
      <c r="G119" s="10" t="s">
        <v>2338</v>
      </c>
      <c r="H119" s="136">
        <v>7026173000</v>
      </c>
      <c r="I119" s="5">
        <v>0.40830279109106288</v>
      </c>
      <c r="J119" s="4" t="s">
        <v>4343</v>
      </c>
      <c r="K119">
        <v>785400000</v>
      </c>
      <c r="L119" s="4" t="s">
        <v>4356</v>
      </c>
      <c r="M119" s="4" t="s">
        <v>3419</v>
      </c>
      <c r="N119" s="4">
        <v>1</v>
      </c>
      <c r="O119" s="6" t="s">
        <v>3149</v>
      </c>
      <c r="Q119" s="120">
        <v>17.882000000000001</v>
      </c>
      <c r="R119">
        <v>420000000</v>
      </c>
      <c r="S119">
        <v>437800000</v>
      </c>
      <c r="T119"/>
      <c r="U119">
        <v>413300000</v>
      </c>
      <c r="V119"/>
      <c r="W119">
        <v>315500000</v>
      </c>
      <c r="X119">
        <v>222000000</v>
      </c>
      <c r="Y119">
        <v>216000000</v>
      </c>
      <c r="Z119">
        <v>241300000</v>
      </c>
      <c r="AA119">
        <v>197000000</v>
      </c>
      <c r="AB119">
        <v>16.728983333333332</v>
      </c>
      <c r="AC119" t="s">
        <v>3567</v>
      </c>
      <c r="AD119" t="s">
        <v>3477</v>
      </c>
      <c r="AE119">
        <v>2884000000</v>
      </c>
      <c r="AF119">
        <v>3738000000</v>
      </c>
      <c r="AG119">
        <v>3325000000</v>
      </c>
      <c r="AH119">
        <v>5194000000</v>
      </c>
      <c r="AI119">
        <v>6209000000</v>
      </c>
      <c r="AJ119">
        <v>9773449327.5</v>
      </c>
      <c r="AK119"/>
      <c r="AL119">
        <v>7407471293.04</v>
      </c>
      <c r="AM119"/>
      <c r="AN119">
        <v>7026173000</v>
      </c>
      <c r="AO119" t="s">
        <v>3792</v>
      </c>
      <c r="AP119" s="6">
        <v>1</v>
      </c>
    </row>
    <row r="120" spans="3:42">
      <c r="C120" s="4" t="s">
        <v>4335</v>
      </c>
      <c r="D120" t="s">
        <v>1046</v>
      </c>
      <c r="E120" s="4" t="s">
        <v>3563</v>
      </c>
      <c r="F120" s="4" t="s">
        <v>4375</v>
      </c>
      <c r="G120" s="10" t="s">
        <v>3630</v>
      </c>
      <c r="H120" s="136">
        <v>76614970000</v>
      </c>
      <c r="I120" s="5">
        <v>0.24792241020250302</v>
      </c>
      <c r="J120" s="4" t="s">
        <v>4343</v>
      </c>
      <c r="K120">
        <v>16717000000</v>
      </c>
      <c r="L120" s="4" t="s">
        <v>3150</v>
      </c>
      <c r="M120" s="4" t="s">
        <v>3148</v>
      </c>
      <c r="N120" s="4">
        <v>1</v>
      </c>
      <c r="O120" s="6" t="s">
        <v>3149</v>
      </c>
      <c r="Q120" s="120">
        <v>6.5968</v>
      </c>
      <c r="R120">
        <v>10603840000</v>
      </c>
      <c r="S120">
        <v>10196000000</v>
      </c>
      <c r="T120"/>
      <c r="U120">
        <v>9500000000</v>
      </c>
      <c r="V120"/>
      <c r="W120">
        <v>7067000000</v>
      </c>
      <c r="X120">
        <v>8173000000</v>
      </c>
      <c r="Y120">
        <v>8207000000</v>
      </c>
      <c r="Z120">
        <v>8207000000</v>
      </c>
      <c r="AA120">
        <v>8115000000</v>
      </c>
      <c r="AB120">
        <v>7.225209923952078</v>
      </c>
      <c r="AC120" t="s">
        <v>3563</v>
      </c>
      <c r="AD120" t="s">
        <v>3518</v>
      </c>
      <c r="AE120">
        <v>76241379809.009995</v>
      </c>
      <c r="AF120">
        <v>77741496778.5</v>
      </c>
      <c r="AG120">
        <v>56198672370</v>
      </c>
      <c r="AH120">
        <v>64364625891.5</v>
      </c>
      <c r="AI120">
        <v>53872566971.904999</v>
      </c>
      <c r="AJ120">
        <v>75950258551.970001</v>
      </c>
      <c r="AK120"/>
      <c r="AL120">
        <v>66551773373.25</v>
      </c>
      <c r="AM120"/>
      <c r="AN120">
        <v>76614970000</v>
      </c>
      <c r="AO120" t="s">
        <v>3631</v>
      </c>
      <c r="AP120" s="6">
        <v>1</v>
      </c>
    </row>
    <row r="121" spans="3:42">
      <c r="C121" s="4" t="s">
        <v>4335</v>
      </c>
      <c r="D121"/>
      <c r="E121" s="4" t="s">
        <v>3567</v>
      </c>
      <c r="F121" s="4" t="s">
        <v>4388</v>
      </c>
      <c r="G121" s="10" t="s">
        <v>3745</v>
      </c>
      <c r="H121" s="136">
        <v>31492500000</v>
      </c>
      <c r="I121" s="5"/>
      <c r="J121" s="4" t="s">
        <v>4343</v>
      </c>
      <c r="K121">
        <v>0</v>
      </c>
      <c r="L121" s="4" t="s">
        <v>4356</v>
      </c>
      <c r="M121" s="4" t="s">
        <v>3419</v>
      </c>
      <c r="N121" s="4">
        <v>1</v>
      </c>
      <c r="O121" s="6" t="s">
        <v>3149</v>
      </c>
      <c r="Q121" s="120">
        <v>18.559999999999999</v>
      </c>
      <c r="R121">
        <v>0</v>
      </c>
      <c r="S121">
        <v>0</v>
      </c>
      <c r="T121"/>
      <c r="U121">
        <v>1150000000</v>
      </c>
      <c r="V121"/>
      <c r="W121">
        <v>1079900000</v>
      </c>
      <c r="X121">
        <v>1003900000</v>
      </c>
      <c r="Y121">
        <v>824300000</v>
      </c>
      <c r="Z121">
        <v>874300000</v>
      </c>
      <c r="AA121">
        <v>722100000</v>
      </c>
      <c r="AB121" t="s">
        <v>1664</v>
      </c>
      <c r="AC121" t="s">
        <v>3567</v>
      </c>
      <c r="AD121" t="s">
        <v>3487</v>
      </c>
      <c r="AE121">
        <v>0</v>
      </c>
      <c r="AF121">
        <v>0</v>
      </c>
      <c r="AG121">
        <v>0</v>
      </c>
      <c r="AH121">
        <v>25698407803.5</v>
      </c>
      <c r="AI121">
        <v>25546158974.399998</v>
      </c>
      <c r="AJ121">
        <v>26968448716.149998</v>
      </c>
      <c r="AK121"/>
      <c r="AL121">
        <v>29611154816.950001</v>
      </c>
      <c r="AM121"/>
      <c r="AN121">
        <v>31492500000</v>
      </c>
      <c r="AO121" t="s">
        <v>3746</v>
      </c>
      <c r="AP121" s="6">
        <v>1</v>
      </c>
    </row>
    <row r="122" spans="3:42">
      <c r="C122" s="4" t="s">
        <v>4335</v>
      </c>
      <c r="D122"/>
      <c r="E122" s="4" t="s">
        <v>3567</v>
      </c>
      <c r="G122" s="10" t="s">
        <v>3627</v>
      </c>
      <c r="H122" s="136">
        <v>102045400000</v>
      </c>
      <c r="I122" s="5"/>
      <c r="J122" s="4" t="s">
        <v>4343</v>
      </c>
      <c r="K122" t="s">
        <v>1664</v>
      </c>
      <c r="L122" s="4" t="s">
        <v>4356</v>
      </c>
      <c r="M122" s="4" t="s">
        <v>3149</v>
      </c>
      <c r="N122" s="4">
        <v>0</v>
      </c>
      <c r="Q122" s="120">
        <v>19.957699999999999</v>
      </c>
      <c r="R122" t="s">
        <v>1664</v>
      </c>
      <c r="S122">
        <v>0</v>
      </c>
      <c r="T122"/>
      <c r="U122">
        <v>0</v>
      </c>
      <c r="V122"/>
      <c r="W122" t="s">
        <v>1664</v>
      </c>
      <c r="X122" t="s">
        <v>1664</v>
      </c>
      <c r="Y122" t="s">
        <v>1664</v>
      </c>
      <c r="Z122" t="s">
        <v>1664</v>
      </c>
      <c r="AA122" t="s">
        <v>1664</v>
      </c>
      <c r="AB122" t="s">
        <v>1664</v>
      </c>
      <c r="AC122" t="s">
        <v>3567</v>
      </c>
      <c r="AD122" t="s">
        <v>3474</v>
      </c>
      <c r="AE122" t="s">
        <v>1664</v>
      </c>
      <c r="AF122" t="s">
        <v>1664</v>
      </c>
      <c r="AG122" t="s">
        <v>1664</v>
      </c>
      <c r="AH122" t="s">
        <v>1664</v>
      </c>
      <c r="AI122" t="s">
        <v>1664</v>
      </c>
      <c r="AJ122">
        <v>0</v>
      </c>
      <c r="AK122"/>
      <c r="AL122">
        <v>0</v>
      </c>
      <c r="AM122"/>
      <c r="AN122">
        <v>102045400000</v>
      </c>
      <c r="AO122" t="s">
        <v>3629</v>
      </c>
      <c r="AP122" s="6">
        <v>1</v>
      </c>
    </row>
    <row r="123" spans="3:42">
      <c r="C123" s="4" t="s">
        <v>4335</v>
      </c>
      <c r="D123"/>
      <c r="E123" s="4" t="s">
        <v>3567</v>
      </c>
      <c r="F123" s="4" t="s">
        <v>1882</v>
      </c>
      <c r="G123" s="10" t="s">
        <v>3836</v>
      </c>
      <c r="H123" s="136">
        <v>111000300000</v>
      </c>
      <c r="I123" s="5"/>
      <c r="J123" s="4" t="s">
        <v>4343</v>
      </c>
      <c r="K123" t="s">
        <v>1664</v>
      </c>
      <c r="L123" s="4" t="s">
        <v>4356</v>
      </c>
      <c r="M123" s="4" t="s">
        <v>3149</v>
      </c>
      <c r="N123" s="4">
        <v>1</v>
      </c>
      <c r="O123" s="6" t="s">
        <v>3149</v>
      </c>
      <c r="Q123" s="120">
        <v>14.362</v>
      </c>
      <c r="R123" t="s">
        <v>1664</v>
      </c>
      <c r="S123">
        <v>0</v>
      </c>
      <c r="T123"/>
      <c r="U123">
        <v>0</v>
      </c>
      <c r="V123"/>
      <c r="W123" t="s">
        <v>1664</v>
      </c>
      <c r="X123" t="s">
        <v>1664</v>
      </c>
      <c r="Y123">
        <v>0</v>
      </c>
      <c r="Z123" t="s">
        <v>1664</v>
      </c>
      <c r="AA123" t="s">
        <v>1664</v>
      </c>
      <c r="AB123" t="s">
        <v>1664</v>
      </c>
      <c r="AC123" t="s">
        <v>3567</v>
      </c>
      <c r="AD123" t="s">
        <v>3464</v>
      </c>
      <c r="AE123" t="s">
        <v>1664</v>
      </c>
      <c r="AF123" t="s">
        <v>1664</v>
      </c>
      <c r="AG123">
        <v>0</v>
      </c>
      <c r="AH123" t="s">
        <v>1664</v>
      </c>
      <c r="AI123" t="s">
        <v>1664</v>
      </c>
      <c r="AJ123">
        <v>0</v>
      </c>
      <c r="AK123"/>
      <c r="AL123">
        <v>0</v>
      </c>
      <c r="AM123"/>
      <c r="AN123">
        <v>111000300000</v>
      </c>
      <c r="AO123" t="s">
        <v>3837</v>
      </c>
      <c r="AP123" s="6">
        <v>1</v>
      </c>
    </row>
    <row r="124" spans="3:42">
      <c r="C124" s="4" t="s">
        <v>4335</v>
      </c>
      <c r="D124"/>
      <c r="E124" s="4" t="s">
        <v>3563</v>
      </c>
      <c r="G124" s="10" t="s">
        <v>4124</v>
      </c>
      <c r="H124" s="136">
        <v>19558650000</v>
      </c>
      <c r="I124" s="5"/>
      <c r="J124" s="4" t="s">
        <v>4343</v>
      </c>
      <c r="K124" t="s">
        <v>1664</v>
      </c>
      <c r="L124" s="4" t="s">
        <v>3150</v>
      </c>
      <c r="M124" s="4" t="s">
        <v>3148</v>
      </c>
      <c r="N124" s="4">
        <v>0</v>
      </c>
      <c r="Q124" s="120">
        <v>5.1692</v>
      </c>
      <c r="R124" t="s">
        <v>1664</v>
      </c>
      <c r="S124">
        <v>2000000000</v>
      </c>
      <c r="T124">
        <v>2000000000</v>
      </c>
      <c r="U124">
        <v>5641000000</v>
      </c>
      <c r="V124">
        <v>5641000000</v>
      </c>
      <c r="W124" t="s">
        <v>1664</v>
      </c>
      <c r="X124" t="s">
        <v>1664</v>
      </c>
      <c r="Y124" t="s">
        <v>1664</v>
      </c>
      <c r="Z124" t="s">
        <v>1664</v>
      </c>
      <c r="AA124" t="s">
        <v>1664</v>
      </c>
      <c r="AB124" t="s">
        <v>1664</v>
      </c>
      <c r="AC124" t="s">
        <v>3563</v>
      </c>
      <c r="AD124" t="s">
        <v>3518</v>
      </c>
      <c r="AE124" t="s">
        <v>1664</v>
      </c>
      <c r="AF124" t="s">
        <v>1664</v>
      </c>
      <c r="AG124" t="s">
        <v>1664</v>
      </c>
      <c r="AH124" t="s">
        <v>1664</v>
      </c>
      <c r="AI124" t="s">
        <v>1664</v>
      </c>
      <c r="AJ124">
        <v>29970943000</v>
      </c>
      <c r="AK124">
        <v>29970943000</v>
      </c>
      <c r="AL124">
        <v>21286714000</v>
      </c>
      <c r="AM124">
        <v>21286714000</v>
      </c>
      <c r="AN124">
        <v>19558650000</v>
      </c>
      <c r="AO124" t="s">
        <v>4125</v>
      </c>
      <c r="AP124" s="6">
        <v>1</v>
      </c>
    </row>
    <row r="125" spans="3:42">
      <c r="C125" s="4" t="s">
        <v>4335</v>
      </c>
      <c r="D125"/>
      <c r="E125" s="4" t="s">
        <v>3563</v>
      </c>
      <c r="G125" s="10" t="s">
        <v>3711</v>
      </c>
      <c r="H125" s="136">
        <v>36022310000</v>
      </c>
      <c r="I125" s="5"/>
      <c r="J125" s="4" t="s">
        <v>4343</v>
      </c>
      <c r="K125" t="s">
        <v>1664</v>
      </c>
      <c r="L125" s="4" t="s">
        <v>3150</v>
      </c>
      <c r="M125" s="4" t="s">
        <v>3148</v>
      </c>
      <c r="N125" s="4">
        <v>0</v>
      </c>
      <c r="Q125" s="120">
        <v>6.2108999999999996</v>
      </c>
      <c r="R125" t="s">
        <v>1664</v>
      </c>
      <c r="S125">
        <v>8100000000</v>
      </c>
      <c r="T125">
        <v>8100000000</v>
      </c>
      <c r="U125">
        <v>5844000000</v>
      </c>
      <c r="V125">
        <v>5844000000</v>
      </c>
      <c r="W125" t="s">
        <v>1664</v>
      </c>
      <c r="X125" t="s">
        <v>1664</v>
      </c>
      <c r="Y125" t="s">
        <v>1664</v>
      </c>
      <c r="Z125" t="s">
        <v>1664</v>
      </c>
      <c r="AA125" t="s">
        <v>1664</v>
      </c>
      <c r="AB125" t="s">
        <v>1664</v>
      </c>
      <c r="AC125" t="s">
        <v>3563</v>
      </c>
      <c r="AD125" t="s">
        <v>3518</v>
      </c>
      <c r="AE125" t="s">
        <v>1664</v>
      </c>
      <c r="AF125" t="s">
        <v>1664</v>
      </c>
      <c r="AG125" t="s">
        <v>1664</v>
      </c>
      <c r="AH125" t="s">
        <v>1664</v>
      </c>
      <c r="AI125" t="s">
        <v>1664</v>
      </c>
      <c r="AJ125">
        <v>42605677500</v>
      </c>
      <c r="AK125">
        <v>42605677500</v>
      </c>
      <c r="AL125">
        <v>35362766000</v>
      </c>
      <c r="AM125">
        <v>35362766000</v>
      </c>
      <c r="AN125">
        <v>36022310000</v>
      </c>
      <c r="AO125" t="s">
        <v>3712</v>
      </c>
      <c r="AP125" s="6">
        <v>1</v>
      </c>
    </row>
    <row r="126" spans="3:42">
      <c r="C126" s="4" t="s">
        <v>4335</v>
      </c>
      <c r="D126"/>
      <c r="E126" s="4" t="s">
        <v>3563</v>
      </c>
      <c r="G126" s="10" t="s">
        <v>3882</v>
      </c>
      <c r="H126" s="136">
        <v>47473520000</v>
      </c>
      <c r="I126" s="5"/>
      <c r="J126" s="4" t="s">
        <v>4343</v>
      </c>
      <c r="K126" t="s">
        <v>1664</v>
      </c>
      <c r="L126" s="4" t="s">
        <v>3150</v>
      </c>
      <c r="M126" s="4" t="s">
        <v>3148</v>
      </c>
      <c r="N126" s="4">
        <v>0</v>
      </c>
      <c r="Q126" s="120">
        <v>8.0196000000000005</v>
      </c>
      <c r="R126" t="s">
        <v>1664</v>
      </c>
      <c r="S126">
        <v>0</v>
      </c>
      <c r="T126"/>
      <c r="U126">
        <v>0</v>
      </c>
      <c r="V126"/>
      <c r="W126" t="s">
        <v>1664</v>
      </c>
      <c r="X126" t="s">
        <v>1664</v>
      </c>
      <c r="Y126" t="s">
        <v>1664</v>
      </c>
      <c r="Z126" t="s">
        <v>1664</v>
      </c>
      <c r="AA126" t="s">
        <v>1664</v>
      </c>
      <c r="AB126" t="s">
        <v>1664</v>
      </c>
      <c r="AC126" t="s">
        <v>3563</v>
      </c>
      <c r="AD126" t="s">
        <v>3496</v>
      </c>
      <c r="AE126" t="s">
        <v>1664</v>
      </c>
      <c r="AF126" t="s">
        <v>1664</v>
      </c>
      <c r="AG126" t="s">
        <v>1664</v>
      </c>
      <c r="AH126" t="s">
        <v>1664</v>
      </c>
      <c r="AI126" t="s">
        <v>1664</v>
      </c>
      <c r="AJ126">
        <v>0</v>
      </c>
      <c r="AK126"/>
      <c r="AL126">
        <v>0</v>
      </c>
      <c r="AM126"/>
      <c r="AN126">
        <v>47473520000</v>
      </c>
      <c r="AO126" t="s">
        <v>3884</v>
      </c>
      <c r="AP126" s="6">
        <v>1</v>
      </c>
    </row>
    <row r="127" spans="3:42">
      <c r="C127" s="4" t="s">
        <v>4335</v>
      </c>
      <c r="D127"/>
      <c r="E127" s="4" t="s">
        <v>3567</v>
      </c>
      <c r="G127" s="10" t="s">
        <v>4016</v>
      </c>
      <c r="H127" s="136">
        <v>28115100000</v>
      </c>
      <c r="I127" s="5"/>
      <c r="J127" s="4" t="s">
        <v>4343</v>
      </c>
      <c r="K127" t="s">
        <v>1664</v>
      </c>
      <c r="L127" s="4" t="s">
        <v>4356</v>
      </c>
      <c r="M127" s="4" t="s">
        <v>3149</v>
      </c>
      <c r="N127" s="4">
        <v>0</v>
      </c>
      <c r="Q127" s="120">
        <v>24.5169</v>
      </c>
      <c r="R127" t="s">
        <v>1664</v>
      </c>
      <c r="S127">
        <v>0</v>
      </c>
      <c r="T127"/>
      <c r="U127">
        <v>0</v>
      </c>
      <c r="V127"/>
      <c r="W127" t="s">
        <v>1664</v>
      </c>
      <c r="X127" t="s">
        <v>1664</v>
      </c>
      <c r="Y127" t="s">
        <v>1664</v>
      </c>
      <c r="Z127" t="s">
        <v>1664</v>
      </c>
      <c r="AA127" t="s">
        <v>1664</v>
      </c>
      <c r="AB127" t="s">
        <v>1664</v>
      </c>
      <c r="AC127" t="s">
        <v>3567</v>
      </c>
      <c r="AD127" t="s">
        <v>3469</v>
      </c>
      <c r="AE127" t="s">
        <v>1664</v>
      </c>
      <c r="AF127" t="s">
        <v>1664</v>
      </c>
      <c r="AG127" t="s">
        <v>1664</v>
      </c>
      <c r="AH127" t="s">
        <v>1664</v>
      </c>
      <c r="AI127" t="s">
        <v>1664</v>
      </c>
      <c r="AJ127">
        <v>0</v>
      </c>
      <c r="AK127"/>
      <c r="AL127">
        <v>0</v>
      </c>
      <c r="AM127"/>
      <c r="AN127">
        <v>28115100000</v>
      </c>
      <c r="AO127" t="s">
        <v>4018</v>
      </c>
      <c r="AP127" s="6">
        <v>1</v>
      </c>
    </row>
    <row r="128" spans="3:42">
      <c r="C128" s="4" t="s">
        <v>4335</v>
      </c>
      <c r="D128"/>
      <c r="E128" s="4" t="s">
        <v>3563</v>
      </c>
      <c r="G128" s="10" t="s">
        <v>3742</v>
      </c>
      <c r="H128" s="136">
        <v>20708470000</v>
      </c>
      <c r="I128" s="5"/>
      <c r="J128" s="4" t="s">
        <v>4343</v>
      </c>
      <c r="K128" t="s">
        <v>1664</v>
      </c>
      <c r="L128" s="4" t="s">
        <v>3150</v>
      </c>
      <c r="M128" s="4" t="s">
        <v>3148</v>
      </c>
      <c r="N128" s="4">
        <v>0</v>
      </c>
      <c r="Q128" s="120">
        <v>4.42</v>
      </c>
      <c r="R128" t="s">
        <v>1664</v>
      </c>
      <c r="S128">
        <v>0</v>
      </c>
      <c r="T128"/>
      <c r="U128">
        <v>0</v>
      </c>
      <c r="V128"/>
      <c r="W128" t="s">
        <v>1664</v>
      </c>
      <c r="X128" t="s">
        <v>1664</v>
      </c>
      <c r="Y128" t="s">
        <v>1664</v>
      </c>
      <c r="Z128" t="s">
        <v>1664</v>
      </c>
      <c r="AA128" t="s">
        <v>1664</v>
      </c>
      <c r="AB128" t="s">
        <v>1664</v>
      </c>
      <c r="AC128" t="s">
        <v>3563</v>
      </c>
      <c r="AD128" t="s">
        <v>3487</v>
      </c>
      <c r="AE128" t="s">
        <v>1664</v>
      </c>
      <c r="AF128" t="s">
        <v>1664</v>
      </c>
      <c r="AG128" t="s">
        <v>1664</v>
      </c>
      <c r="AH128" t="s">
        <v>1664</v>
      </c>
      <c r="AI128" t="s">
        <v>1664</v>
      </c>
      <c r="AJ128">
        <v>0</v>
      </c>
      <c r="AK128"/>
      <c r="AL128">
        <v>0</v>
      </c>
      <c r="AM128"/>
      <c r="AN128">
        <v>20708470000</v>
      </c>
      <c r="AO128" t="s">
        <v>3744</v>
      </c>
      <c r="AP128" s="6">
        <v>1</v>
      </c>
    </row>
    <row r="129" spans="3:42">
      <c r="C129" s="4" t="s">
        <v>4335</v>
      </c>
      <c r="D129"/>
      <c r="E129" s="4" t="s">
        <v>3567</v>
      </c>
      <c r="F129" s="4" t="s">
        <v>4364</v>
      </c>
      <c r="G129" s="10" t="s">
        <v>1036</v>
      </c>
      <c r="H129" s="136">
        <v>6630610990</v>
      </c>
      <c r="I129" s="5"/>
      <c r="J129" s="4" t="s">
        <v>4343</v>
      </c>
      <c r="K129" t="s">
        <v>1664</v>
      </c>
      <c r="L129" s="4" t="s">
        <v>4356</v>
      </c>
      <c r="M129" s="4" t="s">
        <v>3149</v>
      </c>
      <c r="N129" s="4">
        <v>1</v>
      </c>
      <c r="O129" s="6" t="s">
        <v>3149</v>
      </c>
      <c r="Q129" s="120">
        <v>10.717499999999999</v>
      </c>
      <c r="R129" t="s">
        <v>1664</v>
      </c>
      <c r="S129">
        <v>0</v>
      </c>
      <c r="T129"/>
      <c r="U129">
        <v>0</v>
      </c>
      <c r="V129"/>
      <c r="W129" t="s">
        <v>1664</v>
      </c>
      <c r="X129" t="s">
        <v>1664</v>
      </c>
      <c r="Y129" t="s">
        <v>1664</v>
      </c>
      <c r="Z129" t="s">
        <v>1664</v>
      </c>
      <c r="AA129">
        <v>854200000</v>
      </c>
      <c r="AB129" t="s">
        <v>1664</v>
      </c>
      <c r="AC129" t="s">
        <v>3567</v>
      </c>
      <c r="AD129"/>
      <c r="AE129">
        <v>7227527286</v>
      </c>
      <c r="AF129" t="s">
        <v>1664</v>
      </c>
      <c r="AG129" t="s">
        <v>1664</v>
      </c>
      <c r="AH129" t="s">
        <v>1664</v>
      </c>
      <c r="AI129" t="s">
        <v>1664</v>
      </c>
      <c r="AJ129">
        <v>9545477804</v>
      </c>
      <c r="AK129"/>
      <c r="AL129">
        <v>0</v>
      </c>
      <c r="AM129"/>
      <c r="AN129">
        <v>6630610990</v>
      </c>
      <c r="AO129" t="s">
        <v>3894</v>
      </c>
      <c r="AP129" s="6">
        <v>1</v>
      </c>
    </row>
    <row r="130" spans="3:42">
      <c r="C130" s="4" t="s">
        <v>4335</v>
      </c>
      <c r="D130"/>
      <c r="E130" s="4" t="s">
        <v>3563</v>
      </c>
      <c r="G130" s="10" t="s">
        <v>3910</v>
      </c>
      <c r="H130" s="136">
        <v>25497390000</v>
      </c>
      <c r="I130" s="5"/>
      <c r="J130" s="4" t="s">
        <v>4343</v>
      </c>
      <c r="K130" t="s">
        <v>1664</v>
      </c>
      <c r="L130" s="4" t="s">
        <v>3150</v>
      </c>
      <c r="M130" s="4" t="s">
        <v>3148</v>
      </c>
      <c r="N130" s="4">
        <v>0</v>
      </c>
      <c r="Q130" s="120">
        <v>7.7956000000000003</v>
      </c>
      <c r="R130" t="s">
        <v>1664</v>
      </c>
      <c r="S130">
        <v>0</v>
      </c>
      <c r="T130"/>
      <c r="U130">
        <v>0</v>
      </c>
      <c r="V130"/>
      <c r="W130" t="s">
        <v>1664</v>
      </c>
      <c r="X130" t="s">
        <v>1664</v>
      </c>
      <c r="Y130" t="s">
        <v>1664</v>
      </c>
      <c r="Z130" t="s">
        <v>1664</v>
      </c>
      <c r="AA130" t="s">
        <v>1664</v>
      </c>
      <c r="AB130" t="s">
        <v>1664</v>
      </c>
      <c r="AC130" t="s">
        <v>3563</v>
      </c>
      <c r="AD130" t="s">
        <v>3482</v>
      </c>
      <c r="AE130" t="s">
        <v>1664</v>
      </c>
      <c r="AF130" t="s">
        <v>1664</v>
      </c>
      <c r="AG130" t="s">
        <v>1664</v>
      </c>
      <c r="AH130" t="s">
        <v>1664</v>
      </c>
      <c r="AI130" t="s">
        <v>1664</v>
      </c>
      <c r="AJ130">
        <v>0</v>
      </c>
      <c r="AK130"/>
      <c r="AL130">
        <v>0</v>
      </c>
      <c r="AM130"/>
      <c r="AN130">
        <v>25497390000</v>
      </c>
      <c r="AO130" t="s">
        <v>3912</v>
      </c>
      <c r="AP130" s="6">
        <v>1</v>
      </c>
    </row>
    <row r="131" spans="3:42">
      <c r="C131" s="4" t="s">
        <v>4335</v>
      </c>
      <c r="D131"/>
      <c r="E131" s="4" t="s">
        <v>3567</v>
      </c>
      <c r="G131" s="10" t="s">
        <v>4203</v>
      </c>
      <c r="H131" s="136">
        <v>82189960000</v>
      </c>
      <c r="I131" s="5"/>
      <c r="J131" s="4" t="s">
        <v>4343</v>
      </c>
      <c r="K131" t="s">
        <v>1664</v>
      </c>
      <c r="L131" s="4" t="s">
        <v>4356</v>
      </c>
      <c r="M131" s="4" t="s">
        <v>3149</v>
      </c>
      <c r="N131" s="4">
        <v>0</v>
      </c>
      <c r="Q131" s="120">
        <v>2.5665</v>
      </c>
      <c r="R131" t="s">
        <v>1664</v>
      </c>
      <c r="S131">
        <v>0</v>
      </c>
      <c r="T131"/>
      <c r="U131">
        <v>0</v>
      </c>
      <c r="V131"/>
      <c r="W131" t="s">
        <v>1664</v>
      </c>
      <c r="X131" t="s">
        <v>1664</v>
      </c>
      <c r="Y131" t="s">
        <v>1664</v>
      </c>
      <c r="Z131" t="s">
        <v>1664</v>
      </c>
      <c r="AA131" t="s">
        <v>1664</v>
      </c>
      <c r="AB131" t="s">
        <v>1664</v>
      </c>
      <c r="AC131" t="s">
        <v>3567</v>
      </c>
      <c r="AD131" t="s">
        <v>3469</v>
      </c>
      <c r="AE131" t="s">
        <v>1664</v>
      </c>
      <c r="AF131" t="s">
        <v>1664</v>
      </c>
      <c r="AG131" t="s">
        <v>1664</v>
      </c>
      <c r="AH131" t="s">
        <v>1664</v>
      </c>
      <c r="AI131" t="s">
        <v>1664</v>
      </c>
      <c r="AJ131">
        <v>0</v>
      </c>
      <c r="AK131"/>
      <c r="AL131">
        <v>0</v>
      </c>
      <c r="AM131"/>
      <c r="AN131">
        <v>82189960000</v>
      </c>
      <c r="AO131" t="s">
        <v>4205</v>
      </c>
      <c r="AP131" s="6">
        <v>1</v>
      </c>
    </row>
    <row r="132" spans="3:42">
      <c r="C132" s="4" t="s">
        <v>4335</v>
      </c>
      <c r="D132"/>
      <c r="E132" s="4" t="s">
        <v>3563</v>
      </c>
      <c r="G132" s="10" t="s">
        <v>3604</v>
      </c>
      <c r="H132" s="136">
        <v>224564472720</v>
      </c>
      <c r="I132" s="5"/>
      <c r="J132" s="4" t="s">
        <v>4343</v>
      </c>
      <c r="K132" t="s">
        <v>1664</v>
      </c>
      <c r="L132" s="4" t="s">
        <v>3150</v>
      </c>
      <c r="M132" s="4" t="s">
        <v>3148</v>
      </c>
      <c r="N132" s="4">
        <v>0</v>
      </c>
      <c r="Q132" s="120">
        <v>8.2165999999999997</v>
      </c>
      <c r="R132" t="s">
        <v>1664</v>
      </c>
      <c r="S132">
        <v>0</v>
      </c>
      <c r="T132"/>
      <c r="U132">
        <v>0</v>
      </c>
      <c r="V132"/>
      <c r="W132" t="s">
        <v>1664</v>
      </c>
      <c r="X132" t="s">
        <v>1664</v>
      </c>
      <c r="Y132" t="s">
        <v>1664</v>
      </c>
      <c r="Z132" t="s">
        <v>1664</v>
      </c>
      <c r="AA132" t="s">
        <v>1664</v>
      </c>
      <c r="AB132" t="s">
        <v>1664</v>
      </c>
      <c r="AC132" t="s">
        <v>3563</v>
      </c>
      <c r="AD132" t="s">
        <v>3474</v>
      </c>
      <c r="AE132" t="s">
        <v>1664</v>
      </c>
      <c r="AF132" t="s">
        <v>1664</v>
      </c>
      <c r="AG132" t="s">
        <v>1664</v>
      </c>
      <c r="AH132" t="s">
        <v>1664</v>
      </c>
      <c r="AI132" t="s">
        <v>1664</v>
      </c>
      <c r="AJ132">
        <v>0</v>
      </c>
      <c r="AK132"/>
      <c r="AL132">
        <v>0</v>
      </c>
      <c r="AM132"/>
      <c r="AN132">
        <v>224564472720</v>
      </c>
      <c r="AO132" t="s">
        <v>3606</v>
      </c>
      <c r="AP132" s="6">
        <v>1</v>
      </c>
    </row>
    <row r="133" spans="3:42">
      <c r="C133" s="4" t="s">
        <v>4335</v>
      </c>
      <c r="D133"/>
      <c r="E133" s="4" t="s">
        <v>3567</v>
      </c>
      <c r="F133" s="4" t="s">
        <v>4417</v>
      </c>
      <c r="G133" s="10" t="s">
        <v>4073</v>
      </c>
      <c r="H133" s="136">
        <v>2972288000</v>
      </c>
      <c r="I133" s="5"/>
      <c r="J133" s="4" t="s">
        <v>4343</v>
      </c>
      <c r="K133">
        <v>0</v>
      </c>
      <c r="L133" s="4" t="s">
        <v>4356</v>
      </c>
      <c r="M133" s="4" t="s">
        <v>3149</v>
      </c>
      <c r="N133" s="4">
        <v>1</v>
      </c>
      <c r="O133" s="6" t="s">
        <v>3149</v>
      </c>
      <c r="Q133" s="120">
        <v>5.7287999999999997</v>
      </c>
      <c r="R133">
        <v>0</v>
      </c>
      <c r="S133">
        <v>0</v>
      </c>
      <c r="T133"/>
      <c r="U133">
        <v>0</v>
      </c>
      <c r="V133"/>
      <c r="W133" t="s">
        <v>1664</v>
      </c>
      <c r="X133">
        <v>243000000</v>
      </c>
      <c r="Y133">
        <v>286000000</v>
      </c>
      <c r="Z133" t="s">
        <v>1664</v>
      </c>
      <c r="AA133" t="s">
        <v>1664</v>
      </c>
      <c r="AB133" t="s">
        <v>1664</v>
      </c>
      <c r="AC133" t="s">
        <v>3567</v>
      </c>
      <c r="AD133"/>
      <c r="AE133" t="s">
        <v>1664</v>
      </c>
      <c r="AF133" t="s">
        <v>1664</v>
      </c>
      <c r="AG133">
        <v>0</v>
      </c>
      <c r="AH133">
        <v>2008998560.8</v>
      </c>
      <c r="AI133" t="s">
        <v>1664</v>
      </c>
      <c r="AJ133">
        <v>3133727484.7999997</v>
      </c>
      <c r="AK133"/>
      <c r="AL133">
        <v>0</v>
      </c>
      <c r="AM133"/>
      <c r="AN133">
        <v>2972288000</v>
      </c>
      <c r="AO133" t="s">
        <v>4074</v>
      </c>
      <c r="AP133" s="6">
        <v>1</v>
      </c>
    </row>
    <row r="134" spans="3:42">
      <c r="C134" s="4" t="s">
        <v>4335</v>
      </c>
      <c r="D134" t="s">
        <v>1949</v>
      </c>
      <c r="E134" s="4" t="s">
        <v>3563</v>
      </c>
      <c r="G134" s="10" t="s">
        <v>3432</v>
      </c>
      <c r="H134" s="136">
        <v>426947477775</v>
      </c>
      <c r="I134" s="5"/>
      <c r="J134" s="4" t="s">
        <v>4343</v>
      </c>
      <c r="K134" t="s">
        <v>1664</v>
      </c>
      <c r="L134" s="4" t="s">
        <v>3150</v>
      </c>
      <c r="M134" s="4" t="s">
        <v>3148</v>
      </c>
      <c r="N134" s="4">
        <v>0</v>
      </c>
      <c r="Q134" s="120">
        <v>9.5404</v>
      </c>
      <c r="R134" t="s">
        <v>1664</v>
      </c>
      <c r="S134">
        <v>0</v>
      </c>
      <c r="T134"/>
      <c r="U134">
        <v>0</v>
      </c>
      <c r="V134"/>
      <c r="W134" t="s">
        <v>1664</v>
      </c>
      <c r="X134" t="s">
        <v>1664</v>
      </c>
      <c r="Y134" t="s">
        <v>1664</v>
      </c>
      <c r="Z134" t="s">
        <v>1664</v>
      </c>
      <c r="AA134" t="s">
        <v>1664</v>
      </c>
      <c r="AB134" t="s">
        <v>1664</v>
      </c>
      <c r="AC134" t="s">
        <v>3563</v>
      </c>
      <c r="AD134" t="s">
        <v>3464</v>
      </c>
      <c r="AE134" t="s">
        <v>1664</v>
      </c>
      <c r="AF134" t="s">
        <v>1664</v>
      </c>
      <c r="AG134" t="s">
        <v>1664</v>
      </c>
      <c r="AH134" t="s">
        <v>1664</v>
      </c>
      <c r="AI134" t="s">
        <v>1664</v>
      </c>
      <c r="AJ134">
        <v>0</v>
      </c>
      <c r="AK134"/>
      <c r="AL134">
        <v>0</v>
      </c>
      <c r="AM134"/>
      <c r="AN134">
        <v>426947477775</v>
      </c>
      <c r="AO134" t="s">
        <v>3905</v>
      </c>
      <c r="AP134" s="6">
        <v>1</v>
      </c>
    </row>
    <row r="135" spans="3:42">
      <c r="C135" s="4" t="s">
        <v>4335</v>
      </c>
      <c r="D135"/>
      <c r="E135" s="4" t="s">
        <v>3563</v>
      </c>
      <c r="G135" s="10" t="s">
        <v>4262</v>
      </c>
      <c r="H135" s="136">
        <v>155498277500</v>
      </c>
      <c r="I135" s="5"/>
      <c r="J135" s="4" t="s">
        <v>4343</v>
      </c>
      <c r="K135" t="s">
        <v>1664</v>
      </c>
      <c r="L135" s="4" t="s">
        <v>3150</v>
      </c>
      <c r="M135" s="4" t="s">
        <v>3148</v>
      </c>
      <c r="N135" s="4">
        <v>0</v>
      </c>
      <c r="Q135" s="120">
        <v>10.4643</v>
      </c>
      <c r="R135" t="s">
        <v>1664</v>
      </c>
      <c r="S135">
        <v>0</v>
      </c>
      <c r="T135"/>
      <c r="U135">
        <v>0</v>
      </c>
      <c r="V135"/>
      <c r="W135" t="s">
        <v>1664</v>
      </c>
      <c r="X135" t="s">
        <v>1664</v>
      </c>
      <c r="Y135" t="s">
        <v>1664</v>
      </c>
      <c r="Z135" t="s">
        <v>1664</v>
      </c>
      <c r="AA135" t="s">
        <v>1664</v>
      </c>
      <c r="AB135" t="s">
        <v>1664</v>
      </c>
      <c r="AC135" t="s">
        <v>3563</v>
      </c>
      <c r="AD135" t="s">
        <v>3474</v>
      </c>
      <c r="AE135" t="s">
        <v>1664</v>
      </c>
      <c r="AF135" t="s">
        <v>1664</v>
      </c>
      <c r="AG135" t="s">
        <v>1664</v>
      </c>
      <c r="AH135" t="s">
        <v>1664</v>
      </c>
      <c r="AI135" t="s">
        <v>1664</v>
      </c>
      <c r="AJ135">
        <v>0</v>
      </c>
      <c r="AK135"/>
      <c r="AL135">
        <v>0</v>
      </c>
      <c r="AM135"/>
      <c r="AN135">
        <v>155498277500</v>
      </c>
      <c r="AO135" t="s">
        <v>4264</v>
      </c>
      <c r="AP135" s="6">
        <v>1</v>
      </c>
    </row>
    <row r="136" spans="3:42">
      <c r="C136" s="4" t="s">
        <v>2188</v>
      </c>
      <c r="D136" t="s">
        <v>106</v>
      </c>
      <c r="E136" s="4" t="s">
        <v>3567</v>
      </c>
      <c r="F136" s="4" t="s">
        <v>2188</v>
      </c>
      <c r="G136" s="10" t="s">
        <v>997</v>
      </c>
      <c r="H136" s="136">
        <v>4606906000</v>
      </c>
      <c r="I136" s="5"/>
      <c r="J136" s="4" t="s">
        <v>4343</v>
      </c>
      <c r="K136">
        <v>0</v>
      </c>
      <c r="L136" s="4" t="s">
        <v>4330</v>
      </c>
      <c r="M136" s="4" t="s">
        <v>3419</v>
      </c>
      <c r="N136" s="4">
        <v>1</v>
      </c>
      <c r="O136" s="6" t="s">
        <v>3149</v>
      </c>
      <c r="Q136" s="120">
        <v>1.6579999999999999</v>
      </c>
      <c r="R136">
        <v>0</v>
      </c>
      <c r="S136">
        <v>5950000000</v>
      </c>
      <c r="T136"/>
      <c r="U136">
        <v>1576426000</v>
      </c>
      <c r="V136"/>
      <c r="W136">
        <v>-160477000</v>
      </c>
      <c r="X136">
        <v>122948000</v>
      </c>
      <c r="Y136">
        <v>245407000</v>
      </c>
      <c r="Z136">
        <v>440609000</v>
      </c>
      <c r="AA136">
        <v>519747000</v>
      </c>
      <c r="AB136" t="s">
        <v>1664</v>
      </c>
      <c r="AC136" t="s">
        <v>3567</v>
      </c>
      <c r="AD136" t="s">
        <v>3477</v>
      </c>
      <c r="AE136">
        <v>4064653526.7000003</v>
      </c>
      <c r="AF136">
        <v>5794248000</v>
      </c>
      <c r="AG136">
        <v>5338315500</v>
      </c>
      <c r="AH136">
        <v>4990056086.6999998</v>
      </c>
      <c r="AI136">
        <v>4364824473</v>
      </c>
      <c r="AJ136">
        <v>6088405053.6499996</v>
      </c>
      <c r="AK136"/>
      <c r="AL136">
        <v>4602945134.9000006</v>
      </c>
      <c r="AM136"/>
      <c r="AN136">
        <v>4606906000</v>
      </c>
      <c r="AO136" t="s">
        <v>3789</v>
      </c>
      <c r="AP136" s="6">
        <v>1</v>
      </c>
    </row>
    <row r="137" spans="3:42">
      <c r="C137" s="4" t="s">
        <v>3843</v>
      </c>
      <c r="D137" t="s">
        <v>3493</v>
      </c>
      <c r="E137" s="4" t="s">
        <v>3843</v>
      </c>
      <c r="F137" s="4" t="s">
        <v>4397</v>
      </c>
      <c r="G137" s="10" t="s">
        <v>3842</v>
      </c>
      <c r="H137" s="136">
        <v>4356707000</v>
      </c>
      <c r="I137" s="5">
        <v>0.53570522040781787</v>
      </c>
      <c r="J137" s="4" t="s">
        <v>4343</v>
      </c>
      <c r="K137">
        <v>161124000</v>
      </c>
      <c r="L137" s="4" t="s">
        <v>4348</v>
      </c>
      <c r="M137" s="4" t="s">
        <v>3419</v>
      </c>
      <c r="N137" s="4">
        <v>1</v>
      </c>
      <c r="O137" s="6" t="s">
        <v>3149</v>
      </c>
      <c r="Q137" s="120">
        <v>29.1889</v>
      </c>
      <c r="R137">
        <v>185000000</v>
      </c>
      <c r="S137">
        <v>128291000</v>
      </c>
      <c r="T137"/>
      <c r="U137">
        <v>134101000</v>
      </c>
      <c r="V137"/>
      <c r="W137">
        <v>198862000</v>
      </c>
      <c r="X137">
        <v>143353000</v>
      </c>
      <c r="Y137">
        <v>142800000</v>
      </c>
      <c r="Z137">
        <v>116245000</v>
      </c>
      <c r="AA137">
        <v>119868000</v>
      </c>
      <c r="AB137">
        <v>23.549767567567567</v>
      </c>
      <c r="AC137" t="s">
        <v>3843</v>
      </c>
      <c r="AD137" t="s">
        <v>3477</v>
      </c>
      <c r="AE137">
        <v>1464224317.9300001</v>
      </c>
      <c r="AF137">
        <v>1905827549.8</v>
      </c>
      <c r="AG137">
        <v>2523182193.8499999</v>
      </c>
      <c r="AH137">
        <v>3303681608.6999998</v>
      </c>
      <c r="AI137">
        <v>2936605874.4000001</v>
      </c>
      <c r="AJ137">
        <v>3049694863.25</v>
      </c>
      <c r="AK137"/>
      <c r="AL137">
        <v>3700420028.5999999</v>
      </c>
      <c r="AM137"/>
      <c r="AN137">
        <v>4356707000</v>
      </c>
      <c r="AO137" t="s">
        <v>3844</v>
      </c>
      <c r="AP137" s="6">
        <v>1</v>
      </c>
    </row>
    <row r="138" spans="3:42">
      <c r="C138" s="4" t="s">
        <v>4333</v>
      </c>
      <c r="D138"/>
      <c r="E138" s="4" t="s">
        <v>3490</v>
      </c>
      <c r="F138" s="4" t="s">
        <v>2474</v>
      </c>
      <c r="G138" s="10" t="s">
        <v>2473</v>
      </c>
      <c r="H138" s="136">
        <v>705251060</v>
      </c>
      <c r="I138" s="5"/>
      <c r="J138" s="4" t="s">
        <v>4343</v>
      </c>
      <c r="K138" t="s">
        <v>1664</v>
      </c>
      <c r="L138" s="4" t="s">
        <v>4334</v>
      </c>
      <c r="M138" s="4" t="s">
        <v>3148</v>
      </c>
      <c r="N138" s="4">
        <v>1</v>
      </c>
      <c r="O138" s="6" t="s">
        <v>3431</v>
      </c>
      <c r="Q138" s="120">
        <v>6.9648000000000003</v>
      </c>
      <c r="R138" t="s">
        <v>1664</v>
      </c>
      <c r="S138">
        <v>0</v>
      </c>
      <c r="T138"/>
      <c r="U138">
        <v>600000000</v>
      </c>
      <c r="V138"/>
      <c r="W138">
        <v>-3333071000</v>
      </c>
      <c r="X138">
        <v>-373688000</v>
      </c>
      <c r="Y138">
        <v>-155575000</v>
      </c>
      <c r="Z138">
        <v>-112275000</v>
      </c>
      <c r="AA138">
        <v>-81459000</v>
      </c>
      <c r="AB138" t="s">
        <v>1664</v>
      </c>
      <c r="AC138" t="s">
        <v>3490</v>
      </c>
      <c r="AD138"/>
      <c r="AE138">
        <v>0</v>
      </c>
      <c r="AF138">
        <v>0</v>
      </c>
      <c r="AG138">
        <v>4595831879.3199997</v>
      </c>
      <c r="AH138">
        <v>4595831879.3199997</v>
      </c>
      <c r="AI138">
        <v>21875949182.610001</v>
      </c>
      <c r="AJ138">
        <v>12259774173.799999</v>
      </c>
      <c r="AK138"/>
      <c r="AL138">
        <v>0</v>
      </c>
      <c r="AM138"/>
      <c r="AN138">
        <v>705251060</v>
      </c>
      <c r="AO138" t="s">
        <v>3799</v>
      </c>
      <c r="AP138" s="6">
        <v>1</v>
      </c>
    </row>
    <row r="139" spans="3:42">
      <c r="C139" s="4" t="s">
        <v>4366</v>
      </c>
      <c r="D139" t="s">
        <v>3878</v>
      </c>
      <c r="E139" s="4" t="s">
        <v>3578</v>
      </c>
      <c r="F139" s="4" t="s">
        <v>4399</v>
      </c>
      <c r="G139" s="10" t="s">
        <v>2035</v>
      </c>
      <c r="H139" s="136">
        <v>2524445000</v>
      </c>
      <c r="I139" s="5">
        <v>8.9911256422232605E-2</v>
      </c>
      <c r="J139" s="4" t="s">
        <v>4343</v>
      </c>
      <c r="K139">
        <v>720000000</v>
      </c>
      <c r="L139" s="4" t="s">
        <v>4322</v>
      </c>
      <c r="M139" s="4" t="s">
        <v>3419</v>
      </c>
      <c r="N139" s="4">
        <v>1</v>
      </c>
      <c r="O139" s="6" t="s">
        <v>4343</v>
      </c>
      <c r="Q139" s="120">
        <v>13.2089</v>
      </c>
      <c r="R139">
        <v>250000000</v>
      </c>
      <c r="S139">
        <v>237000000</v>
      </c>
      <c r="T139"/>
      <c r="U139">
        <v>240000000</v>
      </c>
      <c r="V139"/>
      <c r="W139">
        <v>30000000</v>
      </c>
      <c r="X139">
        <v>121200000</v>
      </c>
      <c r="Y139">
        <v>0</v>
      </c>
      <c r="Z139">
        <v>368200000</v>
      </c>
      <c r="AA139">
        <v>292800000</v>
      </c>
      <c r="AB139">
        <v>10.09778</v>
      </c>
      <c r="AC139" t="s">
        <v>3578</v>
      </c>
      <c r="AD139" t="s">
        <v>3477</v>
      </c>
      <c r="AE139">
        <v>5736843715.3999996</v>
      </c>
      <c r="AF139">
        <v>6248936372.5</v>
      </c>
      <c r="AG139">
        <v>3338399148</v>
      </c>
      <c r="AH139">
        <v>2992397201.48</v>
      </c>
      <c r="AI139">
        <v>3283817320.2999997</v>
      </c>
      <c r="AJ139">
        <v>3103742495.6999998</v>
      </c>
      <c r="AK139"/>
      <c r="AL139">
        <v>3086754304.7000003</v>
      </c>
      <c r="AM139"/>
      <c r="AN139">
        <v>2524445000</v>
      </c>
      <c r="AO139" t="s">
        <v>3879</v>
      </c>
      <c r="AP139" s="6">
        <v>1</v>
      </c>
    </row>
    <row r="140" spans="3:42">
      <c r="C140" s="4" t="s">
        <v>1586</v>
      </c>
      <c r="D140"/>
      <c r="E140" s="4" t="s">
        <v>3473</v>
      </c>
      <c r="F140" s="4" t="s">
        <v>4282</v>
      </c>
      <c r="G140" s="10" t="s">
        <v>1163</v>
      </c>
      <c r="H140" s="136">
        <v>950552200</v>
      </c>
      <c r="I140" s="5">
        <v>0.15977037037037037</v>
      </c>
      <c r="J140" s="4" t="s">
        <v>4343</v>
      </c>
      <c r="K140">
        <v>115000000</v>
      </c>
      <c r="L140" s="4" t="s">
        <v>4322</v>
      </c>
      <c r="M140" s="4" t="s">
        <v>3148</v>
      </c>
      <c r="N140" s="4">
        <v>1</v>
      </c>
      <c r="O140" s="6" t="s">
        <v>4343</v>
      </c>
      <c r="Q140" s="120">
        <v>19.721399999999999</v>
      </c>
      <c r="R140" t="s">
        <v>1664</v>
      </c>
      <c r="S140">
        <v>55000000</v>
      </c>
      <c r="T140"/>
      <c r="U140">
        <v>62868000</v>
      </c>
      <c r="V140"/>
      <c r="W140">
        <v>19229000</v>
      </c>
      <c r="X140">
        <v>28589000</v>
      </c>
      <c r="Y140">
        <v>36259000</v>
      </c>
      <c r="Z140">
        <v>34800000</v>
      </c>
      <c r="AA140">
        <v>27870000</v>
      </c>
      <c r="AB140" t="s">
        <v>1664</v>
      </c>
      <c r="AC140" t="s">
        <v>3473</v>
      </c>
      <c r="AD140"/>
      <c r="AE140">
        <v>540982998.06000006</v>
      </c>
      <c r="AF140">
        <v>993327007.19999993</v>
      </c>
      <c r="AG140">
        <v>582213198</v>
      </c>
      <c r="AH140">
        <v>765194488.80000007</v>
      </c>
      <c r="AI140">
        <v>1052736517.1999999</v>
      </c>
      <c r="AJ140">
        <v>1568411064</v>
      </c>
      <c r="AK140"/>
      <c r="AL140">
        <v>1040854615.1999999</v>
      </c>
      <c r="AM140"/>
      <c r="AN140">
        <v>950552200</v>
      </c>
      <c r="AO140" t="s">
        <v>4238</v>
      </c>
      <c r="AP140" s="6">
        <v>1</v>
      </c>
    </row>
    <row r="141" spans="3:42">
      <c r="C141" s="4" t="s">
        <v>1586</v>
      </c>
      <c r="D141" t="s">
        <v>3493</v>
      </c>
      <c r="E141" s="4" t="s">
        <v>3473</v>
      </c>
      <c r="F141" s="4" t="s">
        <v>4282</v>
      </c>
      <c r="G141" s="10" t="s">
        <v>1141</v>
      </c>
      <c r="H141" s="136">
        <v>2144103000</v>
      </c>
      <c r="I141" s="5">
        <v>0.13779876989110032</v>
      </c>
      <c r="J141" s="4" t="s">
        <v>4343</v>
      </c>
      <c r="K141">
        <v>229000000</v>
      </c>
      <c r="L141" s="4" t="s">
        <v>4322</v>
      </c>
      <c r="M141" s="4" t="s">
        <v>3148</v>
      </c>
      <c r="N141" s="4">
        <v>1</v>
      </c>
      <c r="O141" s="6" t="s">
        <v>4343</v>
      </c>
      <c r="Q141" s="120">
        <v>17.568100000000001</v>
      </c>
      <c r="R141">
        <v>105000000</v>
      </c>
      <c r="S141">
        <v>122000000</v>
      </c>
      <c r="T141"/>
      <c r="U141">
        <v>113200000</v>
      </c>
      <c r="V141"/>
      <c r="W141">
        <v>137500000</v>
      </c>
      <c r="X141">
        <v>51600000</v>
      </c>
      <c r="Y141">
        <v>20100000</v>
      </c>
      <c r="Z141">
        <v>-2600000</v>
      </c>
      <c r="AA141">
        <v>34646000</v>
      </c>
      <c r="AB141">
        <v>20.420028571428571</v>
      </c>
      <c r="AC141" t="s">
        <v>3473</v>
      </c>
      <c r="AD141" t="s">
        <v>3477</v>
      </c>
      <c r="AE141">
        <v>1414177600</v>
      </c>
      <c r="AF141">
        <v>1040334000</v>
      </c>
      <c r="AG141">
        <v>1040334000</v>
      </c>
      <c r="AH141">
        <v>1945340000</v>
      </c>
      <c r="AI141">
        <v>2013004000</v>
      </c>
      <c r="AJ141">
        <v>3590421000</v>
      </c>
      <c r="AK141"/>
      <c r="AL141">
        <v>1928424000</v>
      </c>
      <c r="AM141"/>
      <c r="AN141">
        <v>2144103000</v>
      </c>
      <c r="AO141" t="s">
        <v>4243</v>
      </c>
      <c r="AP141" s="6">
        <v>1</v>
      </c>
    </row>
    <row r="142" spans="3:42">
      <c r="C142" s="4" t="s">
        <v>1586</v>
      </c>
      <c r="D142" t="s">
        <v>106</v>
      </c>
      <c r="E142" s="4" t="s">
        <v>3531</v>
      </c>
      <c r="F142" s="4" t="s">
        <v>1460</v>
      </c>
      <c r="G142" s="10" t="s">
        <v>1459</v>
      </c>
      <c r="H142" s="136">
        <v>257878800</v>
      </c>
      <c r="I142" s="5">
        <v>5.1373954599761053E-2</v>
      </c>
      <c r="J142" s="4" t="s">
        <v>4343</v>
      </c>
      <c r="K142">
        <v>103100000</v>
      </c>
      <c r="L142" s="4" t="s">
        <v>4322</v>
      </c>
      <c r="M142" s="4" t="s">
        <v>3148</v>
      </c>
      <c r="N142" s="4">
        <v>1</v>
      </c>
      <c r="O142" s="6" t="s">
        <v>4343</v>
      </c>
      <c r="Q142" s="120">
        <v>0</v>
      </c>
      <c r="R142">
        <v>5000000</v>
      </c>
      <c r="S142">
        <v>-41100000</v>
      </c>
      <c r="T142"/>
      <c r="U142">
        <v>32600000</v>
      </c>
      <c r="V142"/>
      <c r="W142">
        <v>17700000</v>
      </c>
      <c r="X142">
        <v>37300000</v>
      </c>
      <c r="Y142">
        <v>46800000</v>
      </c>
      <c r="Z142">
        <v>46200000</v>
      </c>
      <c r="AA142">
        <v>28900000</v>
      </c>
      <c r="AB142">
        <v>51.575760000000002</v>
      </c>
      <c r="AC142" t="s">
        <v>3531</v>
      </c>
      <c r="AD142" t="s">
        <v>3845</v>
      </c>
      <c r="AE142">
        <v>889956726.12</v>
      </c>
      <c r="AF142">
        <v>915617531.03999996</v>
      </c>
      <c r="AG142">
        <v>729713138</v>
      </c>
      <c r="AH142">
        <v>566156745</v>
      </c>
      <c r="AI142">
        <v>413997840.90000004</v>
      </c>
      <c r="AJ142">
        <v>467706455</v>
      </c>
      <c r="AK142"/>
      <c r="AL142">
        <v>214393310.40000001</v>
      </c>
      <c r="AM142"/>
      <c r="AN142">
        <v>257878800</v>
      </c>
      <c r="AO142" t="s">
        <v>3846</v>
      </c>
      <c r="AP142" s="6">
        <v>1</v>
      </c>
    </row>
    <row r="143" spans="3:42">
      <c r="C143" s="4" t="s">
        <v>1586</v>
      </c>
      <c r="D143"/>
      <c r="E143" s="4" t="s">
        <v>3473</v>
      </c>
      <c r="F143" s="4" t="s">
        <v>4282</v>
      </c>
      <c r="G143" s="10" t="s">
        <v>1173</v>
      </c>
      <c r="H143" s="136">
        <v>82428947283</v>
      </c>
      <c r="I143" s="5"/>
      <c r="J143" s="4" t="s">
        <v>4343</v>
      </c>
      <c r="K143" t="s">
        <v>1664</v>
      </c>
      <c r="L143" s="4" t="s">
        <v>4322</v>
      </c>
      <c r="M143" s="4" t="s">
        <v>3148</v>
      </c>
      <c r="N143" s="4">
        <v>1</v>
      </c>
      <c r="O143" s="6" t="s">
        <v>4343</v>
      </c>
      <c r="Q143" s="120">
        <v>38.163200000000003</v>
      </c>
      <c r="R143" t="s">
        <v>1664</v>
      </c>
      <c r="S143">
        <v>0</v>
      </c>
      <c r="T143"/>
      <c r="U143">
        <v>2037000000</v>
      </c>
      <c r="V143"/>
      <c r="W143">
        <v>1638000000</v>
      </c>
      <c r="X143">
        <v>1500000000</v>
      </c>
      <c r="Y143">
        <v>1525000000</v>
      </c>
      <c r="Z143">
        <v>1185000000</v>
      </c>
      <c r="AA143">
        <v>975000000</v>
      </c>
      <c r="AB143" t="s">
        <v>1664</v>
      </c>
      <c r="AC143" t="s">
        <v>3473</v>
      </c>
      <c r="AD143" t="s">
        <v>3474</v>
      </c>
      <c r="AE143">
        <v>26625144000</v>
      </c>
      <c r="AF143">
        <v>81618145500</v>
      </c>
      <c r="AG143">
        <v>41269474480</v>
      </c>
      <c r="AH143">
        <v>63112896000</v>
      </c>
      <c r="AI143">
        <v>79884336000</v>
      </c>
      <c r="AJ143">
        <v>115755142440</v>
      </c>
      <c r="AK143"/>
      <c r="AL143">
        <v>0</v>
      </c>
      <c r="AM143"/>
      <c r="AN143">
        <v>82428947283</v>
      </c>
      <c r="AO143" t="s">
        <v>4277</v>
      </c>
      <c r="AP143" s="6">
        <v>1</v>
      </c>
    </row>
    <row r="144" spans="3:42">
      <c r="C144" s="4" t="s">
        <v>1693</v>
      </c>
      <c r="D144"/>
      <c r="E144" s="4" t="s">
        <v>3651</v>
      </c>
      <c r="F144" s="4" t="s">
        <v>1693</v>
      </c>
      <c r="G144" s="10" t="s">
        <v>4240</v>
      </c>
      <c r="H144" s="136">
        <v>1462123000</v>
      </c>
      <c r="I144" s="5">
        <v>8.2960856020587836E-2</v>
      </c>
      <c r="J144" s="4" t="s">
        <v>4343</v>
      </c>
      <c r="K144">
        <v>390000000</v>
      </c>
      <c r="L144" s="4" t="s">
        <v>3150</v>
      </c>
      <c r="M144" s="4" t="s">
        <v>3148</v>
      </c>
      <c r="N144" s="4">
        <v>1</v>
      </c>
      <c r="O144" s="6" t="s">
        <v>3149</v>
      </c>
      <c r="Q144" s="120">
        <v>11.639799999999999</v>
      </c>
      <c r="R144" t="s">
        <v>1664</v>
      </c>
      <c r="S144">
        <v>110000000</v>
      </c>
      <c r="T144"/>
      <c r="U144">
        <v>92300000</v>
      </c>
      <c r="V144"/>
      <c r="W144">
        <v>66200000</v>
      </c>
      <c r="X144">
        <v>73900000</v>
      </c>
      <c r="Y144">
        <v>74100000</v>
      </c>
      <c r="Z144">
        <v>86900000</v>
      </c>
      <c r="AA144">
        <v>59300000</v>
      </c>
      <c r="AB144" t="s">
        <v>1664</v>
      </c>
      <c r="AC144" t="s">
        <v>3651</v>
      </c>
      <c r="AD144"/>
      <c r="AE144">
        <v>1262431875.9000001</v>
      </c>
      <c r="AF144">
        <v>1691596062</v>
      </c>
      <c r="AG144">
        <v>1253034120</v>
      </c>
      <c r="AH144">
        <v>1029576368.5999999</v>
      </c>
      <c r="AI144">
        <v>1129822495.5999999</v>
      </c>
      <c r="AJ144">
        <v>1228366851.2</v>
      </c>
      <c r="AK144"/>
      <c r="AL144">
        <v>1046174379.8</v>
      </c>
      <c r="AM144"/>
      <c r="AN144">
        <v>1462123000</v>
      </c>
      <c r="AO144" t="s">
        <v>4241</v>
      </c>
      <c r="AP144" s="6">
        <v>1</v>
      </c>
    </row>
    <row r="145" spans="3:42">
      <c r="C145" s="4" t="s">
        <v>1737</v>
      </c>
      <c r="D145"/>
      <c r="E145" s="4" t="s">
        <v>3646</v>
      </c>
      <c r="F145" s="4" t="s">
        <v>4360</v>
      </c>
      <c r="G145" s="10" t="s">
        <v>1736</v>
      </c>
      <c r="H145" s="136">
        <v>29925640000</v>
      </c>
      <c r="I145" s="5">
        <v>5.7992684778357985E-2</v>
      </c>
      <c r="J145" s="4" t="s">
        <v>4343</v>
      </c>
      <c r="K145">
        <v>12963000000</v>
      </c>
      <c r="L145" s="4" t="s">
        <v>3150</v>
      </c>
      <c r="M145" s="4" t="s">
        <v>3149</v>
      </c>
      <c r="N145" s="4">
        <v>1</v>
      </c>
      <c r="O145" s="6" t="s">
        <v>3149</v>
      </c>
      <c r="Q145" s="120">
        <v>18.3733</v>
      </c>
      <c r="R145">
        <v>2700000000</v>
      </c>
      <c r="S145">
        <v>2146000000</v>
      </c>
      <c r="T145"/>
      <c r="U145">
        <v>233000000</v>
      </c>
      <c r="V145"/>
      <c r="W145">
        <v>4822000000</v>
      </c>
      <c r="X145">
        <v>3004000000</v>
      </c>
      <c r="Y145">
        <v>1954000000</v>
      </c>
      <c r="Z145">
        <v>1906000000</v>
      </c>
      <c r="AA145">
        <v>2935000000</v>
      </c>
      <c r="AB145">
        <v>11.083570370370371</v>
      </c>
      <c r="AC145" t="s">
        <v>3646</v>
      </c>
      <c r="AD145" t="s">
        <v>3518</v>
      </c>
      <c r="AE145">
        <v>38411217289.559998</v>
      </c>
      <c r="AF145">
        <v>38570820685.5</v>
      </c>
      <c r="AG145">
        <v>37240792386</v>
      </c>
      <c r="AH145">
        <v>25882350708.27</v>
      </c>
      <c r="AI145">
        <v>25270537690.5</v>
      </c>
      <c r="AJ145">
        <v>24685325238.719997</v>
      </c>
      <c r="AK145"/>
      <c r="AL145">
        <v>24685325238.719997</v>
      </c>
      <c r="AM145"/>
      <c r="AN145">
        <v>29925640000</v>
      </c>
      <c r="AO145" t="s">
        <v>4012</v>
      </c>
      <c r="AP145" s="6">
        <v>1</v>
      </c>
    </row>
    <row r="146" spans="3:42">
      <c r="C146" s="4" t="s">
        <v>1737</v>
      </c>
      <c r="D146"/>
      <c r="E146" s="4" t="s">
        <v>3646</v>
      </c>
      <c r="F146" s="4" t="s">
        <v>4360</v>
      </c>
      <c r="G146" s="10" t="s">
        <v>3645</v>
      </c>
      <c r="H146" s="136">
        <v>12069880000</v>
      </c>
      <c r="I146" s="5"/>
      <c r="J146" s="4" t="s">
        <v>4343</v>
      </c>
      <c r="K146" t="s">
        <v>1664</v>
      </c>
      <c r="L146" s="4" t="s">
        <v>3150</v>
      </c>
      <c r="M146" s="4" t="s">
        <v>3149</v>
      </c>
      <c r="N146" s="4">
        <v>1</v>
      </c>
      <c r="O146" s="6" t="s">
        <v>3149</v>
      </c>
      <c r="Q146" s="120">
        <v>6.2481</v>
      </c>
      <c r="R146" t="s">
        <v>1664</v>
      </c>
      <c r="S146">
        <v>0</v>
      </c>
      <c r="T146"/>
      <c r="U146">
        <v>0</v>
      </c>
      <c r="V146"/>
      <c r="W146" t="s">
        <v>1664</v>
      </c>
      <c r="X146" t="s">
        <v>1664</v>
      </c>
      <c r="Y146" t="s">
        <v>1664</v>
      </c>
      <c r="Z146">
        <v>0</v>
      </c>
      <c r="AA146" t="s">
        <v>1664</v>
      </c>
      <c r="AB146" t="s">
        <v>1664</v>
      </c>
      <c r="AC146" t="s">
        <v>3646</v>
      </c>
      <c r="AD146"/>
      <c r="AE146" t="s">
        <v>1664</v>
      </c>
      <c r="AF146">
        <v>13017526200</v>
      </c>
      <c r="AG146" t="s">
        <v>1664</v>
      </c>
      <c r="AH146" t="s">
        <v>1664</v>
      </c>
      <c r="AI146" t="s">
        <v>1664</v>
      </c>
      <c r="AJ146">
        <v>0</v>
      </c>
      <c r="AK146"/>
      <c r="AL146">
        <v>0</v>
      </c>
      <c r="AM146"/>
      <c r="AN146">
        <v>12069880000</v>
      </c>
      <c r="AO146" t="s">
        <v>3647</v>
      </c>
      <c r="AP146" s="6">
        <v>1</v>
      </c>
    </row>
    <row r="147" spans="3:42">
      <c r="C147" s="4" t="s">
        <v>1737</v>
      </c>
      <c r="D147"/>
      <c r="E147" s="4" t="s">
        <v>3646</v>
      </c>
      <c r="F147" s="4" t="s">
        <v>4381</v>
      </c>
      <c r="G147" s="10" t="s">
        <v>2848</v>
      </c>
      <c r="H147" s="136">
        <v>25602670000</v>
      </c>
      <c r="I147" s="5"/>
      <c r="J147" s="4" t="s">
        <v>4343</v>
      </c>
      <c r="K147" t="s">
        <v>1664</v>
      </c>
      <c r="L147" s="4" t="s">
        <v>3150</v>
      </c>
      <c r="M147" s="4" t="s">
        <v>3149</v>
      </c>
      <c r="N147" s="4">
        <v>1</v>
      </c>
      <c r="O147" s="6" t="s">
        <v>3149</v>
      </c>
      <c r="Q147" s="120"/>
      <c r="R147" t="s">
        <v>1664</v>
      </c>
      <c r="S147">
        <v>0</v>
      </c>
      <c r="T147"/>
      <c r="U147">
        <v>0</v>
      </c>
      <c r="V147"/>
      <c r="W147">
        <v>-133000000</v>
      </c>
      <c r="X147">
        <v>-9177000</v>
      </c>
      <c r="Y147">
        <v>-14983000</v>
      </c>
      <c r="Z147">
        <v>33000000</v>
      </c>
      <c r="AA147">
        <v>40000000</v>
      </c>
      <c r="AB147" t="s">
        <v>1664</v>
      </c>
      <c r="AC147" t="s">
        <v>3646</v>
      </c>
      <c r="AD147"/>
      <c r="AE147">
        <v>2425489141.3800001</v>
      </c>
      <c r="AF147">
        <v>3762892916.25</v>
      </c>
      <c r="AG147">
        <v>3862392139.2900004</v>
      </c>
      <c r="AH147">
        <v>13016330149.620001</v>
      </c>
      <c r="AI147">
        <v>22145244439.5</v>
      </c>
      <c r="AJ147">
        <v>34306050062</v>
      </c>
      <c r="AK147"/>
      <c r="AL147">
        <v>0</v>
      </c>
      <c r="AM147"/>
      <c r="AN147">
        <v>25602670000</v>
      </c>
      <c r="AO147" t="s">
        <v>3663</v>
      </c>
      <c r="AP147" s="6">
        <v>1</v>
      </c>
    </row>
    <row r="148" spans="3:42">
      <c r="C148" s="4" t="s">
        <v>4336</v>
      </c>
      <c r="D148"/>
      <c r="E148" s="4" t="s">
        <v>3504</v>
      </c>
      <c r="G148" s="10" t="s">
        <v>4187</v>
      </c>
      <c r="H148" s="136">
        <v>38668354470</v>
      </c>
      <c r="I148" s="5"/>
      <c r="J148" s="4" t="s">
        <v>4329</v>
      </c>
      <c r="K148" t="s">
        <v>1664</v>
      </c>
      <c r="L148" s="4" t="s">
        <v>4322</v>
      </c>
      <c r="M148" s="4" t="s">
        <v>3431</v>
      </c>
      <c r="N148" s="4">
        <v>0</v>
      </c>
      <c r="Q148" s="120">
        <v>17.965399999999999</v>
      </c>
      <c r="R148" t="s">
        <v>1664</v>
      </c>
      <c r="S148">
        <v>0</v>
      </c>
      <c r="T148"/>
      <c r="U148">
        <v>0</v>
      </c>
      <c r="V148"/>
      <c r="W148" t="s">
        <v>1664</v>
      </c>
      <c r="X148" t="s">
        <v>1664</v>
      </c>
      <c r="Y148" t="s">
        <v>1664</v>
      </c>
      <c r="Z148" t="s">
        <v>1664</v>
      </c>
      <c r="AA148" t="s">
        <v>1664</v>
      </c>
      <c r="AB148" t="s">
        <v>1664</v>
      </c>
      <c r="AC148" t="s">
        <v>3504</v>
      </c>
      <c r="AD148" t="s">
        <v>3464</v>
      </c>
      <c r="AE148" t="s">
        <v>1664</v>
      </c>
      <c r="AF148" t="s">
        <v>1664</v>
      </c>
      <c r="AG148" t="s">
        <v>1664</v>
      </c>
      <c r="AH148" t="s">
        <v>1664</v>
      </c>
      <c r="AI148" t="s">
        <v>1664</v>
      </c>
      <c r="AJ148">
        <v>0</v>
      </c>
      <c r="AK148"/>
      <c r="AL148">
        <v>0</v>
      </c>
      <c r="AM148"/>
      <c r="AN148">
        <v>38668354470</v>
      </c>
      <c r="AO148" t="s">
        <v>4189</v>
      </c>
      <c r="AP148" s="6">
        <v>2</v>
      </c>
    </row>
    <row r="149" spans="3:42">
      <c r="C149" s="4" t="s">
        <v>4336</v>
      </c>
      <c r="D149"/>
      <c r="E149" s="4" t="s">
        <v>3504</v>
      </c>
      <c r="G149" s="10" t="s">
        <v>3601</v>
      </c>
      <c r="H149" s="136">
        <v>66176960000</v>
      </c>
      <c r="I149" s="5"/>
      <c r="J149" s="4" t="s">
        <v>4329</v>
      </c>
      <c r="K149" t="s">
        <v>1664</v>
      </c>
      <c r="L149" s="4" t="s">
        <v>4322</v>
      </c>
      <c r="M149" s="4" t="s">
        <v>3431</v>
      </c>
      <c r="N149" s="4">
        <v>0</v>
      </c>
      <c r="Q149" s="120">
        <v>10.6317</v>
      </c>
      <c r="R149" t="s">
        <v>1664</v>
      </c>
      <c r="S149">
        <v>6680000000</v>
      </c>
      <c r="T149">
        <v>6680000000</v>
      </c>
      <c r="U149">
        <v>3164000000</v>
      </c>
      <c r="V149">
        <v>3164000000</v>
      </c>
      <c r="W149" t="s">
        <v>1664</v>
      </c>
      <c r="X149" t="s">
        <v>1664</v>
      </c>
      <c r="Y149" t="s">
        <v>1664</v>
      </c>
      <c r="Z149" t="s">
        <v>1664</v>
      </c>
      <c r="AA149" t="s">
        <v>1664</v>
      </c>
      <c r="AB149" t="s">
        <v>1664</v>
      </c>
      <c r="AC149" t="s">
        <v>3504</v>
      </c>
      <c r="AD149" t="s">
        <v>3518</v>
      </c>
      <c r="AE149" t="s">
        <v>1664</v>
      </c>
      <c r="AF149" t="s">
        <v>1664</v>
      </c>
      <c r="AG149" t="s">
        <v>1664</v>
      </c>
      <c r="AH149" t="s">
        <v>1664</v>
      </c>
      <c r="AI149" t="s">
        <v>1664</v>
      </c>
      <c r="AJ149">
        <v>50552176000</v>
      </c>
      <c r="AK149">
        <v>50552176000</v>
      </c>
      <c r="AL149">
        <v>57782100000</v>
      </c>
      <c r="AM149">
        <v>57782100000</v>
      </c>
      <c r="AN149">
        <v>66176960000</v>
      </c>
      <c r="AO149" t="s">
        <v>3603</v>
      </c>
      <c r="AP149" s="6">
        <v>2</v>
      </c>
    </row>
    <row r="150" spans="3:42">
      <c r="C150" s="4" t="s">
        <v>4336</v>
      </c>
      <c r="D150"/>
      <c r="E150" s="4" t="s">
        <v>3504</v>
      </c>
      <c r="G150" s="10" t="s">
        <v>4001</v>
      </c>
      <c r="H150" s="136">
        <v>10627650000</v>
      </c>
      <c r="I150" s="5"/>
      <c r="J150" s="4" t="s">
        <v>4329</v>
      </c>
      <c r="K150" t="s">
        <v>1664</v>
      </c>
      <c r="L150" s="4" t="s">
        <v>4322</v>
      </c>
      <c r="M150" s="4" t="s">
        <v>3431</v>
      </c>
      <c r="N150" s="4">
        <v>0</v>
      </c>
      <c r="Q150" s="120">
        <v>101.9131</v>
      </c>
      <c r="R150" t="s">
        <v>1664</v>
      </c>
      <c r="S150">
        <v>0</v>
      </c>
      <c r="T150"/>
      <c r="U150">
        <v>0</v>
      </c>
      <c r="V150"/>
      <c r="W150" t="s">
        <v>1664</v>
      </c>
      <c r="X150" t="s">
        <v>1664</v>
      </c>
      <c r="Y150" t="s">
        <v>1664</v>
      </c>
      <c r="Z150" t="s">
        <v>1664</v>
      </c>
      <c r="AA150" t="s">
        <v>1664</v>
      </c>
      <c r="AB150" t="s">
        <v>1664</v>
      </c>
      <c r="AC150" t="s">
        <v>3504</v>
      </c>
      <c r="AD150" t="s">
        <v>3496</v>
      </c>
      <c r="AE150" t="s">
        <v>1664</v>
      </c>
      <c r="AF150" t="s">
        <v>1664</v>
      </c>
      <c r="AG150" t="s">
        <v>1664</v>
      </c>
      <c r="AH150" t="s">
        <v>1664</v>
      </c>
      <c r="AI150" t="s">
        <v>1664</v>
      </c>
      <c r="AJ150">
        <v>0</v>
      </c>
      <c r="AK150"/>
      <c r="AL150">
        <v>0</v>
      </c>
      <c r="AM150"/>
      <c r="AN150">
        <v>10627650000</v>
      </c>
      <c r="AO150" t="s">
        <v>4003</v>
      </c>
      <c r="AP150" s="6">
        <v>2</v>
      </c>
    </row>
    <row r="151" spans="3:42">
      <c r="C151" s="4" t="s">
        <v>4336</v>
      </c>
      <c r="D151"/>
      <c r="E151" s="4" t="s">
        <v>3504</v>
      </c>
      <c r="G151" s="10" t="s">
        <v>4278</v>
      </c>
      <c r="H151" s="136">
        <v>62903700000</v>
      </c>
      <c r="I151" s="5"/>
      <c r="J151" s="4" t="s">
        <v>4329</v>
      </c>
      <c r="K151" t="s">
        <v>1664</v>
      </c>
      <c r="L151" s="4" t="s">
        <v>4322</v>
      </c>
      <c r="M151" s="4" t="s">
        <v>3431</v>
      </c>
      <c r="N151" s="4">
        <v>0</v>
      </c>
      <c r="Q151" s="120">
        <v>14.4909</v>
      </c>
      <c r="R151" t="s">
        <v>1664</v>
      </c>
      <c r="S151">
        <v>0</v>
      </c>
      <c r="T151"/>
      <c r="U151">
        <v>0</v>
      </c>
      <c r="V151"/>
      <c r="W151" t="s">
        <v>1664</v>
      </c>
      <c r="X151" t="s">
        <v>1664</v>
      </c>
      <c r="Y151" t="s">
        <v>1664</v>
      </c>
      <c r="Z151" t="s">
        <v>1664</v>
      </c>
      <c r="AA151" t="s">
        <v>1664</v>
      </c>
      <c r="AB151" t="s">
        <v>1664</v>
      </c>
      <c r="AC151" t="s">
        <v>3504</v>
      </c>
      <c r="AD151" t="s">
        <v>3469</v>
      </c>
      <c r="AE151" t="s">
        <v>1664</v>
      </c>
      <c r="AF151" t="s">
        <v>1664</v>
      </c>
      <c r="AG151" t="s">
        <v>1664</v>
      </c>
      <c r="AH151" t="s">
        <v>1664</v>
      </c>
      <c r="AI151" t="s">
        <v>1664</v>
      </c>
      <c r="AJ151">
        <v>0</v>
      </c>
      <c r="AK151"/>
      <c r="AL151">
        <v>0</v>
      </c>
      <c r="AM151"/>
      <c r="AN151">
        <v>62903700000</v>
      </c>
      <c r="AO151" t="s">
        <v>4280</v>
      </c>
      <c r="AP151" s="6">
        <v>2</v>
      </c>
    </row>
    <row r="152" spans="3:42">
      <c r="C152" s="4" t="s">
        <v>4336</v>
      </c>
      <c r="D152"/>
      <c r="E152" s="4" t="s">
        <v>3504</v>
      </c>
      <c r="G152" s="10" t="s">
        <v>3686</v>
      </c>
      <c r="H152" s="136">
        <v>1926807000</v>
      </c>
      <c r="I152" s="5"/>
      <c r="J152" s="4" t="s">
        <v>4329</v>
      </c>
      <c r="K152" t="s">
        <v>1664</v>
      </c>
      <c r="L152" s="4" t="s">
        <v>4322</v>
      </c>
      <c r="M152" s="4" t="s">
        <v>3431</v>
      </c>
      <c r="N152" s="4">
        <v>0</v>
      </c>
      <c r="Q152" s="120">
        <v>7.1483999999999996</v>
      </c>
      <c r="R152" t="s">
        <v>1664</v>
      </c>
      <c r="S152">
        <v>0</v>
      </c>
      <c r="T152"/>
      <c r="U152">
        <v>0</v>
      </c>
      <c r="V152"/>
      <c r="W152" t="s">
        <v>1664</v>
      </c>
      <c r="X152" t="s">
        <v>1664</v>
      </c>
      <c r="Y152" t="s">
        <v>1664</v>
      </c>
      <c r="Z152" t="s">
        <v>1664</v>
      </c>
      <c r="AA152" t="s">
        <v>1664</v>
      </c>
      <c r="AB152" t="s">
        <v>1664</v>
      </c>
      <c r="AC152" t="s">
        <v>3504</v>
      </c>
      <c r="AD152" t="s">
        <v>3477</v>
      </c>
      <c r="AE152" t="s">
        <v>1664</v>
      </c>
      <c r="AF152" t="s">
        <v>1664</v>
      </c>
      <c r="AG152" t="s">
        <v>1664</v>
      </c>
      <c r="AH152" t="s">
        <v>1664</v>
      </c>
      <c r="AI152" t="s">
        <v>1664</v>
      </c>
      <c r="AJ152">
        <v>0</v>
      </c>
      <c r="AK152"/>
      <c r="AL152">
        <v>0</v>
      </c>
      <c r="AM152"/>
      <c r="AN152">
        <v>1926807000</v>
      </c>
      <c r="AO152" t="s">
        <v>3688</v>
      </c>
      <c r="AP152" s="6">
        <v>2</v>
      </c>
    </row>
    <row r="153" spans="3:42">
      <c r="C153" s="4" t="s">
        <v>4336</v>
      </c>
      <c r="D153"/>
      <c r="E153" s="4" t="s">
        <v>3504</v>
      </c>
      <c r="G153" s="10" t="s">
        <v>3683</v>
      </c>
      <c r="H153" s="136">
        <v>14295400000</v>
      </c>
      <c r="I153" s="5"/>
      <c r="J153" s="4" t="s">
        <v>4329</v>
      </c>
      <c r="K153" t="s">
        <v>1664</v>
      </c>
      <c r="L153" s="4" t="s">
        <v>4322</v>
      </c>
      <c r="M153" s="4" t="s">
        <v>3431</v>
      </c>
      <c r="N153" s="4">
        <v>0</v>
      </c>
      <c r="Q153" s="120">
        <v>9.4748000000000001</v>
      </c>
      <c r="R153" t="s">
        <v>1664</v>
      </c>
      <c r="S153">
        <v>0</v>
      </c>
      <c r="T153"/>
      <c r="U153">
        <v>0</v>
      </c>
      <c r="V153"/>
      <c r="W153" t="s">
        <v>1664</v>
      </c>
      <c r="X153" t="s">
        <v>1664</v>
      </c>
      <c r="Y153" t="s">
        <v>1664</v>
      </c>
      <c r="Z153" t="s">
        <v>1664</v>
      </c>
      <c r="AA153" t="s">
        <v>1664</v>
      </c>
      <c r="AB153" t="s">
        <v>1664</v>
      </c>
      <c r="AC153" t="s">
        <v>3504</v>
      </c>
      <c r="AD153" t="s">
        <v>3477</v>
      </c>
      <c r="AE153" t="s">
        <v>1664</v>
      </c>
      <c r="AF153" t="s">
        <v>1664</v>
      </c>
      <c r="AG153" t="s">
        <v>1664</v>
      </c>
      <c r="AH153" t="s">
        <v>1664</v>
      </c>
      <c r="AI153" t="s">
        <v>1664</v>
      </c>
      <c r="AJ153">
        <v>0</v>
      </c>
      <c r="AK153"/>
      <c r="AL153">
        <v>0</v>
      </c>
      <c r="AM153"/>
      <c r="AN153">
        <v>14295400000</v>
      </c>
      <c r="AO153" t="s">
        <v>3685</v>
      </c>
      <c r="AP153" s="6">
        <v>2</v>
      </c>
    </row>
    <row r="154" spans="3:42">
      <c r="C154" s="4" t="s">
        <v>4336</v>
      </c>
      <c r="D154"/>
      <c r="E154" s="4" t="s">
        <v>3504</v>
      </c>
      <c r="G154" s="10" t="s">
        <v>3542</v>
      </c>
      <c r="H154" s="136">
        <v>93326860000</v>
      </c>
      <c r="I154" s="5"/>
      <c r="J154" s="4" t="s">
        <v>4329</v>
      </c>
      <c r="K154" t="s">
        <v>1664</v>
      </c>
      <c r="L154" s="4" t="s">
        <v>4322</v>
      </c>
      <c r="M154" s="4" t="s">
        <v>3431</v>
      </c>
      <c r="N154" s="4">
        <v>0</v>
      </c>
      <c r="Q154" s="120">
        <v>10.6</v>
      </c>
      <c r="R154" t="s">
        <v>1664</v>
      </c>
      <c r="S154">
        <v>0</v>
      </c>
      <c r="T154"/>
      <c r="U154">
        <v>0</v>
      </c>
      <c r="V154"/>
      <c r="W154" t="s">
        <v>1664</v>
      </c>
      <c r="X154" t="s">
        <v>1664</v>
      </c>
      <c r="Y154" t="s">
        <v>1664</v>
      </c>
      <c r="Z154" t="s">
        <v>1664</v>
      </c>
      <c r="AA154" t="s">
        <v>1664</v>
      </c>
      <c r="AB154" t="s">
        <v>1664</v>
      </c>
      <c r="AC154" t="s">
        <v>3504</v>
      </c>
      <c r="AD154" t="s">
        <v>3487</v>
      </c>
      <c r="AE154" t="s">
        <v>1664</v>
      </c>
      <c r="AF154" t="s">
        <v>1664</v>
      </c>
      <c r="AG154" t="s">
        <v>1664</v>
      </c>
      <c r="AH154" t="s">
        <v>1664</v>
      </c>
      <c r="AI154" t="s">
        <v>1664</v>
      </c>
      <c r="AJ154">
        <v>0</v>
      </c>
      <c r="AK154"/>
      <c r="AL154">
        <v>0</v>
      </c>
      <c r="AM154"/>
      <c r="AN154">
        <v>93326860000</v>
      </c>
      <c r="AO154" t="s">
        <v>3544</v>
      </c>
      <c r="AP154" s="6">
        <v>2</v>
      </c>
    </row>
    <row r="155" spans="3:42">
      <c r="C155" s="4" t="s">
        <v>4336</v>
      </c>
      <c r="D155"/>
      <c r="E155" s="4" t="s">
        <v>3504</v>
      </c>
      <c r="G155" s="10" t="s">
        <v>3502</v>
      </c>
      <c r="H155" s="136">
        <v>9762986000</v>
      </c>
      <c r="I155" s="5"/>
      <c r="J155" s="4" t="s">
        <v>4329</v>
      </c>
      <c r="K155" t="s">
        <v>1664</v>
      </c>
      <c r="L155" s="4" t="s">
        <v>4322</v>
      </c>
      <c r="M155" s="4" t="s">
        <v>3431</v>
      </c>
      <c r="N155" s="4">
        <v>0</v>
      </c>
      <c r="Q155" s="120">
        <v>0</v>
      </c>
      <c r="R155" t="s">
        <v>1664</v>
      </c>
      <c r="S155">
        <v>0</v>
      </c>
      <c r="T155"/>
      <c r="U155">
        <v>0</v>
      </c>
      <c r="V155"/>
      <c r="W155" t="s">
        <v>1664</v>
      </c>
      <c r="X155" t="s">
        <v>1664</v>
      </c>
      <c r="Y155" t="s">
        <v>1664</v>
      </c>
      <c r="Z155" t="s">
        <v>1664</v>
      </c>
      <c r="AA155" t="s">
        <v>1664</v>
      </c>
      <c r="AB155" t="s">
        <v>1664</v>
      </c>
      <c r="AC155" t="s">
        <v>3504</v>
      </c>
      <c r="AD155" t="s">
        <v>3496</v>
      </c>
      <c r="AE155" t="s">
        <v>1664</v>
      </c>
      <c r="AF155" t="s">
        <v>1664</v>
      </c>
      <c r="AG155" t="s">
        <v>1664</v>
      </c>
      <c r="AH155" t="s">
        <v>1664</v>
      </c>
      <c r="AI155" t="s">
        <v>1664</v>
      </c>
      <c r="AJ155">
        <v>0</v>
      </c>
      <c r="AK155"/>
      <c r="AL155">
        <v>0</v>
      </c>
      <c r="AM155"/>
      <c r="AN155">
        <v>9762986000</v>
      </c>
      <c r="AO155" t="s">
        <v>3505</v>
      </c>
      <c r="AP155" s="6">
        <v>2</v>
      </c>
    </row>
    <row r="156" spans="3:42">
      <c r="C156" s="4" t="s">
        <v>4336</v>
      </c>
      <c r="D156"/>
      <c r="E156" s="4" t="s">
        <v>3504</v>
      </c>
      <c r="G156" s="10" t="s">
        <v>4149</v>
      </c>
      <c r="H156" s="136">
        <v>30162240000</v>
      </c>
      <c r="I156" s="5"/>
      <c r="J156" s="4" t="s">
        <v>4329</v>
      </c>
      <c r="K156" t="s">
        <v>1664</v>
      </c>
      <c r="L156" s="4" t="s">
        <v>4322</v>
      </c>
      <c r="M156" s="4" t="s">
        <v>3431</v>
      </c>
      <c r="N156" s="4">
        <v>0</v>
      </c>
      <c r="Q156" s="120">
        <v>18.482500000000002</v>
      </c>
      <c r="R156" t="s">
        <v>1664</v>
      </c>
      <c r="S156">
        <v>0</v>
      </c>
      <c r="T156"/>
      <c r="U156">
        <v>0</v>
      </c>
      <c r="V156"/>
      <c r="W156" t="s">
        <v>1664</v>
      </c>
      <c r="X156" t="s">
        <v>1664</v>
      </c>
      <c r="Y156" t="s">
        <v>1664</v>
      </c>
      <c r="Z156" t="s">
        <v>1664</v>
      </c>
      <c r="AA156" t="s">
        <v>1664</v>
      </c>
      <c r="AB156" t="s">
        <v>1664</v>
      </c>
      <c r="AC156" t="s">
        <v>3504</v>
      </c>
      <c r="AD156" t="s">
        <v>3469</v>
      </c>
      <c r="AE156" t="s">
        <v>1664</v>
      </c>
      <c r="AF156" t="s">
        <v>1664</v>
      </c>
      <c r="AG156" t="s">
        <v>1664</v>
      </c>
      <c r="AH156" t="s">
        <v>1664</v>
      </c>
      <c r="AI156" t="s">
        <v>1664</v>
      </c>
      <c r="AJ156">
        <v>0</v>
      </c>
      <c r="AK156"/>
      <c r="AL156">
        <v>0</v>
      </c>
      <c r="AM156"/>
      <c r="AN156">
        <v>30162240000</v>
      </c>
      <c r="AO156" t="s">
        <v>4151</v>
      </c>
      <c r="AP156" s="6">
        <v>2</v>
      </c>
    </row>
    <row r="157" spans="3:42">
      <c r="C157" s="4" t="s">
        <v>4336</v>
      </c>
      <c r="D157"/>
      <c r="E157" s="4" t="s">
        <v>3504</v>
      </c>
      <c r="G157" s="10" t="s">
        <v>3510</v>
      </c>
      <c r="H157" s="136">
        <v>7554562000</v>
      </c>
      <c r="I157" s="5"/>
      <c r="J157" s="4" t="s">
        <v>4329</v>
      </c>
      <c r="K157" t="s">
        <v>1664</v>
      </c>
      <c r="L157" s="4" t="s">
        <v>4322</v>
      </c>
      <c r="M157" s="4" t="s">
        <v>3431</v>
      </c>
      <c r="N157" s="4">
        <v>0</v>
      </c>
      <c r="Q157" s="120">
        <v>7.5410000000000004</v>
      </c>
      <c r="R157" t="s">
        <v>1664</v>
      </c>
      <c r="S157">
        <v>0</v>
      </c>
      <c r="T157"/>
      <c r="U157">
        <v>0</v>
      </c>
      <c r="V157"/>
      <c r="W157" t="s">
        <v>1664</v>
      </c>
      <c r="X157" t="s">
        <v>1664</v>
      </c>
      <c r="Y157" t="s">
        <v>1664</v>
      </c>
      <c r="Z157" t="s">
        <v>1664</v>
      </c>
      <c r="AA157" t="s">
        <v>1664</v>
      </c>
      <c r="AB157" t="s">
        <v>1664</v>
      </c>
      <c r="AC157" t="s">
        <v>3504</v>
      </c>
      <c r="AD157" t="s">
        <v>3482</v>
      </c>
      <c r="AE157" t="s">
        <v>1664</v>
      </c>
      <c r="AF157" t="s">
        <v>1664</v>
      </c>
      <c r="AG157" t="s">
        <v>1664</v>
      </c>
      <c r="AH157" t="s">
        <v>1664</v>
      </c>
      <c r="AI157" t="s">
        <v>1664</v>
      </c>
      <c r="AJ157">
        <v>0</v>
      </c>
      <c r="AK157"/>
      <c r="AL157">
        <v>0</v>
      </c>
      <c r="AM157"/>
      <c r="AN157">
        <v>7554562000</v>
      </c>
      <c r="AO157" t="s">
        <v>3512</v>
      </c>
      <c r="AP157" s="6">
        <v>2</v>
      </c>
    </row>
    <row r="158" spans="3:42">
      <c r="C158" s="4" t="s">
        <v>4336</v>
      </c>
      <c r="D158"/>
      <c r="E158" s="4" t="s">
        <v>3504</v>
      </c>
      <c r="G158" s="10" t="s">
        <v>3985</v>
      </c>
      <c r="H158" s="136">
        <v>51489430000</v>
      </c>
      <c r="I158" s="5"/>
      <c r="J158" s="4" t="s">
        <v>4329</v>
      </c>
      <c r="K158" t="s">
        <v>1664</v>
      </c>
      <c r="L158" s="4" t="s">
        <v>4322</v>
      </c>
      <c r="M158" s="4" t="s">
        <v>3431</v>
      </c>
      <c r="N158" s="4">
        <v>0</v>
      </c>
      <c r="Q158" s="120">
        <v>11.59</v>
      </c>
      <c r="R158" t="s">
        <v>1664</v>
      </c>
      <c r="S158">
        <v>0</v>
      </c>
      <c r="T158"/>
      <c r="U158">
        <v>0</v>
      </c>
      <c r="V158"/>
      <c r="W158" t="s">
        <v>1664</v>
      </c>
      <c r="X158" t="s">
        <v>1664</v>
      </c>
      <c r="Y158" t="s">
        <v>1664</v>
      </c>
      <c r="Z158" t="s">
        <v>1664</v>
      </c>
      <c r="AA158" t="s">
        <v>1664</v>
      </c>
      <c r="AB158" t="s">
        <v>1664</v>
      </c>
      <c r="AC158" t="s">
        <v>3504</v>
      </c>
      <c r="AD158" t="s">
        <v>3487</v>
      </c>
      <c r="AE158" t="s">
        <v>1664</v>
      </c>
      <c r="AF158" t="s">
        <v>1664</v>
      </c>
      <c r="AG158" t="s">
        <v>1664</v>
      </c>
      <c r="AH158" t="s">
        <v>1664</v>
      </c>
      <c r="AI158" t="s">
        <v>1664</v>
      </c>
      <c r="AJ158">
        <v>0</v>
      </c>
      <c r="AK158"/>
      <c r="AL158">
        <v>0</v>
      </c>
      <c r="AM158"/>
      <c r="AN158">
        <v>51489430000</v>
      </c>
      <c r="AO158" t="s">
        <v>3987</v>
      </c>
      <c r="AP158" s="6">
        <v>2</v>
      </c>
    </row>
    <row r="159" spans="3:42">
      <c r="C159" s="4" t="s">
        <v>4336</v>
      </c>
      <c r="D159"/>
      <c r="E159" s="4" t="s">
        <v>3504</v>
      </c>
      <c r="G159" s="10" t="s">
        <v>3847</v>
      </c>
      <c r="H159" s="136">
        <v>25554530000</v>
      </c>
      <c r="I159" s="5"/>
      <c r="J159" s="4" t="s">
        <v>4329</v>
      </c>
      <c r="K159" t="s">
        <v>1664</v>
      </c>
      <c r="L159" s="4" t="s">
        <v>4322</v>
      </c>
      <c r="M159" s="4" t="s">
        <v>3431</v>
      </c>
      <c r="N159" s="4">
        <v>0</v>
      </c>
      <c r="Q159" s="120">
        <v>14.93</v>
      </c>
      <c r="R159" t="s">
        <v>1664</v>
      </c>
      <c r="S159">
        <v>0</v>
      </c>
      <c r="T159"/>
      <c r="U159">
        <v>0</v>
      </c>
      <c r="V159"/>
      <c r="W159" t="s">
        <v>1664</v>
      </c>
      <c r="X159" t="s">
        <v>1664</v>
      </c>
      <c r="Y159" t="s">
        <v>1664</v>
      </c>
      <c r="Z159" t="s">
        <v>1664</v>
      </c>
      <c r="AA159" t="s">
        <v>1664</v>
      </c>
      <c r="AB159" t="s">
        <v>1664</v>
      </c>
      <c r="AC159" t="s">
        <v>3504</v>
      </c>
      <c r="AD159" t="s">
        <v>3487</v>
      </c>
      <c r="AE159" t="s">
        <v>1664</v>
      </c>
      <c r="AF159" t="s">
        <v>1664</v>
      </c>
      <c r="AG159" t="s">
        <v>1664</v>
      </c>
      <c r="AH159" t="s">
        <v>1664</v>
      </c>
      <c r="AI159" t="s">
        <v>1664</v>
      </c>
      <c r="AJ159">
        <v>0</v>
      </c>
      <c r="AK159"/>
      <c r="AL159">
        <v>0</v>
      </c>
      <c r="AM159"/>
      <c r="AN159">
        <v>25554530000</v>
      </c>
      <c r="AO159" t="s">
        <v>3849</v>
      </c>
      <c r="AP159" s="6">
        <v>2</v>
      </c>
    </row>
    <row r="160" spans="3:42">
      <c r="C160" s="4" t="s">
        <v>1224</v>
      </c>
      <c r="D160" t="s">
        <v>165</v>
      </c>
      <c r="E160" s="4" t="s">
        <v>3615</v>
      </c>
      <c r="F160" s="4" t="s">
        <v>1224</v>
      </c>
      <c r="G160" s="10" t="s">
        <v>4144</v>
      </c>
      <c r="H160" s="136">
        <v>58837410000</v>
      </c>
      <c r="I160" s="5">
        <v>9.6704401968701628E-2</v>
      </c>
      <c r="J160" s="4" t="s">
        <v>4329</v>
      </c>
      <c r="K160">
        <v>19000000000</v>
      </c>
      <c r="L160" s="4" t="s">
        <v>3150</v>
      </c>
      <c r="M160" s="4" t="s">
        <v>3148</v>
      </c>
      <c r="N160" s="4">
        <v>1</v>
      </c>
      <c r="O160" s="6" t="s">
        <v>3149</v>
      </c>
      <c r="Q160" s="120">
        <v>2.8658000000000001</v>
      </c>
      <c r="R160">
        <v>0</v>
      </c>
      <c r="S160">
        <v>14000000000</v>
      </c>
      <c r="T160"/>
      <c r="U160">
        <v>14344000000</v>
      </c>
      <c r="V160"/>
      <c r="W160">
        <v>0</v>
      </c>
      <c r="X160" t="s">
        <v>1664</v>
      </c>
      <c r="Y160" t="s">
        <v>1664</v>
      </c>
      <c r="Z160" t="s">
        <v>1664</v>
      </c>
      <c r="AA160" t="s">
        <v>1664</v>
      </c>
      <c r="AB160" t="s">
        <v>1664</v>
      </c>
      <c r="AC160" t="s">
        <v>3615</v>
      </c>
      <c r="AD160" t="s">
        <v>3518</v>
      </c>
      <c r="AE160" t="s">
        <v>1664</v>
      </c>
      <c r="AF160" t="s">
        <v>1664</v>
      </c>
      <c r="AG160" t="s">
        <v>1664</v>
      </c>
      <c r="AH160" t="s">
        <v>1664</v>
      </c>
      <c r="AI160">
        <v>0</v>
      </c>
      <c r="AJ160">
        <v>50784114400.000008</v>
      </c>
      <c r="AK160"/>
      <c r="AL160">
        <v>40596698680</v>
      </c>
      <c r="AM160"/>
      <c r="AN160">
        <v>58837410000</v>
      </c>
      <c r="AO160" t="s">
        <v>4145</v>
      </c>
      <c r="AP160" s="6">
        <v>2</v>
      </c>
    </row>
    <row r="161" spans="3:42">
      <c r="C161" s="4" t="s">
        <v>1224</v>
      </c>
      <c r="D161" t="s">
        <v>3599</v>
      </c>
      <c r="E161" s="4" t="s">
        <v>3615</v>
      </c>
      <c r="F161" s="4" t="s">
        <v>4395</v>
      </c>
      <c r="G161" s="10" t="s">
        <v>3806</v>
      </c>
      <c r="H161" s="136">
        <v>4004855000</v>
      </c>
      <c r="I161" s="5">
        <v>3.385969047057899E-2</v>
      </c>
      <c r="J161" s="4" t="s">
        <v>4329</v>
      </c>
      <c r="K161">
        <v>3012000000</v>
      </c>
      <c r="L161" s="4" t="s">
        <v>3150</v>
      </c>
      <c r="M161" s="4" t="s">
        <v>3148</v>
      </c>
      <c r="N161" s="4">
        <v>1</v>
      </c>
      <c r="O161" s="6" t="s">
        <v>3149</v>
      </c>
      <c r="Q161" s="120">
        <v>0</v>
      </c>
      <c r="R161">
        <v>450000000</v>
      </c>
      <c r="S161">
        <v>-382000000</v>
      </c>
      <c r="T161"/>
      <c r="U161">
        <v>-79000000</v>
      </c>
      <c r="V161"/>
      <c r="W161">
        <v>-378800000</v>
      </c>
      <c r="X161">
        <v>589700000</v>
      </c>
      <c r="Y161">
        <v>700800000</v>
      </c>
      <c r="Z161">
        <v>0</v>
      </c>
      <c r="AA161">
        <v>0</v>
      </c>
      <c r="AB161">
        <v>8.8996777777777769</v>
      </c>
      <c r="AC161" t="s">
        <v>3615</v>
      </c>
      <c r="AD161" t="s">
        <v>3477</v>
      </c>
      <c r="AE161">
        <v>5245360438</v>
      </c>
      <c r="AF161">
        <v>9386434468</v>
      </c>
      <c r="AG161">
        <v>4417145632</v>
      </c>
      <c r="AH161">
        <v>6487682647</v>
      </c>
      <c r="AI161">
        <v>5785080419.9099998</v>
      </c>
      <c r="AJ161">
        <v>5774037555.8299999</v>
      </c>
      <c r="AK161"/>
      <c r="AL161">
        <v>2784872374.2000003</v>
      </c>
      <c r="AM161"/>
      <c r="AN161">
        <v>4004855000</v>
      </c>
      <c r="AO161" t="s">
        <v>3807</v>
      </c>
      <c r="AP161" s="6">
        <v>2</v>
      </c>
    </row>
    <row r="162" spans="3:42">
      <c r="C162" s="4" t="s">
        <v>1224</v>
      </c>
      <c r="D162" t="s">
        <v>4221</v>
      </c>
      <c r="E162" s="4" t="s">
        <v>3615</v>
      </c>
      <c r="F162" s="4" t="s">
        <v>4395</v>
      </c>
      <c r="G162" s="10" t="s">
        <v>1223</v>
      </c>
      <c r="H162" s="136">
        <v>4297809000</v>
      </c>
      <c r="I162" s="5">
        <v>2.0262514348455357E-2</v>
      </c>
      <c r="J162" s="4" t="s">
        <v>4329</v>
      </c>
      <c r="K162">
        <v>2401000000</v>
      </c>
      <c r="L162" s="4" t="s">
        <v>3150</v>
      </c>
      <c r="M162" s="4" t="s">
        <v>3148</v>
      </c>
      <c r="N162" s="4">
        <v>1</v>
      </c>
      <c r="O162" s="6" t="s">
        <v>3149</v>
      </c>
      <c r="Q162" s="120">
        <v>10.732699999999999</v>
      </c>
      <c r="R162">
        <v>500000000</v>
      </c>
      <c r="S162">
        <v>230000000</v>
      </c>
      <c r="T162"/>
      <c r="U162">
        <v>175000000</v>
      </c>
      <c r="V162"/>
      <c r="W162">
        <v>-1089000000</v>
      </c>
      <c r="X162">
        <v>313000000</v>
      </c>
      <c r="Y162">
        <v>546000000</v>
      </c>
      <c r="Z162">
        <v>877000000</v>
      </c>
      <c r="AA162">
        <v>983000000</v>
      </c>
      <c r="AB162">
        <v>8.595618</v>
      </c>
      <c r="AC162" t="s">
        <v>3615</v>
      </c>
      <c r="AD162" t="s">
        <v>3477</v>
      </c>
      <c r="AE162">
        <v>12991842746.26</v>
      </c>
      <c r="AF162">
        <v>14815527480</v>
      </c>
      <c r="AG162">
        <v>5872865303.25</v>
      </c>
      <c r="AH162">
        <v>7409902441</v>
      </c>
      <c r="AI162">
        <v>6967270822</v>
      </c>
      <c r="AJ162">
        <v>6385864084.4399996</v>
      </c>
      <c r="AK162"/>
      <c r="AL162">
        <v>4036826955.5</v>
      </c>
      <c r="AM162"/>
      <c r="AN162">
        <v>4297809000</v>
      </c>
      <c r="AO162" t="s">
        <v>4222</v>
      </c>
      <c r="AP162" s="6">
        <v>2</v>
      </c>
    </row>
    <row r="163" spans="3:42">
      <c r="C163" s="4" t="s">
        <v>1224</v>
      </c>
      <c r="D163"/>
      <c r="E163" s="4" t="s">
        <v>3615</v>
      </c>
      <c r="F163" s="4" t="s">
        <v>4395</v>
      </c>
      <c r="G163" s="10" t="s">
        <v>4028</v>
      </c>
      <c r="H163" s="136">
        <v>2366190000</v>
      </c>
      <c r="I163" s="5"/>
      <c r="J163" s="4" t="s">
        <v>4329</v>
      </c>
      <c r="K163" t="s">
        <v>1664</v>
      </c>
      <c r="L163" s="4" t="s">
        <v>3150</v>
      </c>
      <c r="M163" s="4" t="s">
        <v>3148</v>
      </c>
      <c r="N163" s="4">
        <v>1</v>
      </c>
      <c r="O163" s="6" t="s">
        <v>3149</v>
      </c>
      <c r="Q163" s="120">
        <v>14.3348</v>
      </c>
      <c r="R163" t="s">
        <v>1664</v>
      </c>
      <c r="S163">
        <v>0</v>
      </c>
      <c r="T163"/>
      <c r="U163">
        <v>350000000</v>
      </c>
      <c r="V163"/>
      <c r="W163">
        <v>275970000</v>
      </c>
      <c r="X163">
        <v>275970000</v>
      </c>
      <c r="Y163">
        <v>533296000</v>
      </c>
      <c r="Z163">
        <v>425177000</v>
      </c>
      <c r="AA163">
        <v>312112000</v>
      </c>
      <c r="AB163" t="s">
        <v>1664</v>
      </c>
      <c r="AC163" t="s">
        <v>3615</v>
      </c>
      <c r="AD163" t="s">
        <v>3477</v>
      </c>
      <c r="AE163">
        <v>4726787000</v>
      </c>
      <c r="AF163">
        <v>5963591500</v>
      </c>
      <c r="AG163">
        <v>2971320000</v>
      </c>
      <c r="AH163">
        <v>3714150000</v>
      </c>
      <c r="AI163">
        <v>4192532520</v>
      </c>
      <c r="AJ163">
        <v>3396218760</v>
      </c>
      <c r="AK163"/>
      <c r="AL163">
        <v>0</v>
      </c>
      <c r="AM163"/>
      <c r="AN163">
        <v>2366190000</v>
      </c>
      <c r="AO163" t="s">
        <v>4029</v>
      </c>
      <c r="AP163" s="6">
        <v>2</v>
      </c>
    </row>
    <row r="164" spans="3:42">
      <c r="C164" s="4" t="s">
        <v>1224</v>
      </c>
      <c r="D164" t="s">
        <v>1949</v>
      </c>
      <c r="E164" s="4" t="s">
        <v>3615</v>
      </c>
      <c r="F164" s="4" t="s">
        <v>4384</v>
      </c>
      <c r="G164" s="10" t="s">
        <v>1179</v>
      </c>
      <c r="H164" s="136">
        <v>21630640000</v>
      </c>
      <c r="I164" s="5"/>
      <c r="J164" s="4" t="s">
        <v>4329</v>
      </c>
      <c r="K164">
        <v>0</v>
      </c>
      <c r="L164" s="4" t="s">
        <v>3150</v>
      </c>
      <c r="M164" s="4" t="s">
        <v>3148</v>
      </c>
      <c r="N164" s="4">
        <v>1</v>
      </c>
      <c r="O164" s="6" t="s">
        <v>3149</v>
      </c>
      <c r="Q164" s="120">
        <v>9.0840999999999994</v>
      </c>
      <c r="R164" t="s">
        <v>1664</v>
      </c>
      <c r="S164">
        <v>2000000000</v>
      </c>
      <c r="T164">
        <v>2000000000</v>
      </c>
      <c r="U164">
        <v>1845000000</v>
      </c>
      <c r="V164"/>
      <c r="W164">
        <v>625000000</v>
      </c>
      <c r="X164">
        <v>1730000000</v>
      </c>
      <c r="Y164">
        <v>1660000000</v>
      </c>
      <c r="Z164">
        <v>1693000000</v>
      </c>
      <c r="AA164">
        <v>1667000000</v>
      </c>
      <c r="AB164" t="s">
        <v>1664</v>
      </c>
      <c r="AC164" t="s">
        <v>3615</v>
      </c>
      <c r="AD164" t="s">
        <v>3518</v>
      </c>
      <c r="AE164">
        <v>19168038580.450001</v>
      </c>
      <c r="AF164">
        <v>21901560414</v>
      </c>
      <c r="AG164">
        <v>15216878840</v>
      </c>
      <c r="AH164">
        <v>18756435075</v>
      </c>
      <c r="AI164">
        <v>18716792025.700001</v>
      </c>
      <c r="AJ164">
        <v>25709158121.850002</v>
      </c>
      <c r="AK164"/>
      <c r="AL164">
        <v>18552770415.720001</v>
      </c>
      <c r="AM164"/>
      <c r="AN164">
        <v>21630640000</v>
      </c>
      <c r="AO164" t="s">
        <v>3978</v>
      </c>
      <c r="AP164" s="6">
        <v>2</v>
      </c>
    </row>
    <row r="165" spans="3:42">
      <c r="C165" s="4" t="s">
        <v>1224</v>
      </c>
      <c r="D165" t="s">
        <v>3962</v>
      </c>
      <c r="E165" s="4" t="s">
        <v>3615</v>
      </c>
      <c r="F165" s="4" t="s">
        <v>1224</v>
      </c>
      <c r="G165" s="10" t="s">
        <v>3963</v>
      </c>
      <c r="H165" s="136">
        <v>72973610000</v>
      </c>
      <c r="I165" s="5"/>
      <c r="J165" s="4" t="s">
        <v>4329</v>
      </c>
      <c r="K165">
        <v>0</v>
      </c>
      <c r="L165" s="4" t="s">
        <v>3150</v>
      </c>
      <c r="M165" s="4" t="s">
        <v>3148</v>
      </c>
      <c r="N165" s="4">
        <v>1</v>
      </c>
      <c r="O165" s="6" t="s">
        <v>3149</v>
      </c>
      <c r="Q165" s="120">
        <v>4.6500000000000004</v>
      </c>
      <c r="R165">
        <v>0</v>
      </c>
      <c r="S165">
        <v>0</v>
      </c>
      <c r="T165"/>
      <c r="U165">
        <v>10000000000</v>
      </c>
      <c r="V165"/>
      <c r="W165">
        <v>500000000</v>
      </c>
      <c r="X165">
        <v>2709000000</v>
      </c>
      <c r="Y165">
        <v>7582000000</v>
      </c>
      <c r="Z165">
        <v>10864000000</v>
      </c>
      <c r="AA165">
        <v>8784000000</v>
      </c>
      <c r="AB165" t="s">
        <v>1664</v>
      </c>
      <c r="AC165" t="s">
        <v>3615</v>
      </c>
      <c r="AD165" t="s">
        <v>3487</v>
      </c>
      <c r="AE165">
        <v>83016480000</v>
      </c>
      <c r="AF165">
        <v>75313920000</v>
      </c>
      <c r="AG165">
        <v>75527880000</v>
      </c>
      <c r="AH165">
        <v>52313220000</v>
      </c>
      <c r="AI165">
        <v>61823742000</v>
      </c>
      <c r="AJ165">
        <v>72307782000</v>
      </c>
      <c r="AK165"/>
      <c r="AL165">
        <v>0</v>
      </c>
      <c r="AM165"/>
      <c r="AN165">
        <v>72973610000</v>
      </c>
      <c r="AO165" t="s">
        <v>3964</v>
      </c>
      <c r="AP165" s="6">
        <v>2</v>
      </c>
    </row>
    <row r="166" spans="3:42">
      <c r="C166" s="4" t="s">
        <v>1224</v>
      </c>
      <c r="D166"/>
      <c r="E166" s="4" t="s">
        <v>3615</v>
      </c>
      <c r="F166" s="4" t="s">
        <v>1224</v>
      </c>
      <c r="G166" s="10" t="s">
        <v>2272</v>
      </c>
      <c r="H166" s="136">
        <v>11539080000</v>
      </c>
      <c r="I166" s="5"/>
      <c r="J166" s="4" t="s">
        <v>4329</v>
      </c>
      <c r="K166">
        <v>0</v>
      </c>
      <c r="L166" s="4" t="s">
        <v>3150</v>
      </c>
      <c r="M166" s="4" t="s">
        <v>3148</v>
      </c>
      <c r="N166" s="4">
        <v>1</v>
      </c>
      <c r="O166" s="6" t="s">
        <v>3149</v>
      </c>
      <c r="Q166" s="120">
        <v>3.4066999999999998</v>
      </c>
      <c r="R166">
        <v>0</v>
      </c>
      <c r="S166">
        <v>-338000000</v>
      </c>
      <c r="T166">
        <v>-338000000</v>
      </c>
      <c r="U166">
        <v>888000000</v>
      </c>
      <c r="V166">
        <v>888000000</v>
      </c>
      <c r="W166">
        <v>-8008000000</v>
      </c>
      <c r="X166">
        <v>-141000000</v>
      </c>
      <c r="Y166">
        <v>3302000000</v>
      </c>
      <c r="Z166">
        <v>5114000000</v>
      </c>
      <c r="AA166">
        <v>3419000000</v>
      </c>
      <c r="AB166" t="s">
        <v>1664</v>
      </c>
      <c r="AC166" t="s">
        <v>3615</v>
      </c>
      <c r="AD166" t="s">
        <v>3518</v>
      </c>
      <c r="AE166">
        <v>24991466220</v>
      </c>
      <c r="AF166">
        <v>24814033020</v>
      </c>
      <c r="AG166">
        <v>16131635100</v>
      </c>
      <c r="AH166">
        <v>12473553960</v>
      </c>
      <c r="AI166">
        <v>10575018720</v>
      </c>
      <c r="AJ166">
        <v>9871712000</v>
      </c>
      <c r="AK166">
        <v>9871712000</v>
      </c>
      <c r="AL166">
        <v>11783954000</v>
      </c>
      <c r="AM166">
        <v>11783954000</v>
      </c>
      <c r="AN166">
        <v>11539080000</v>
      </c>
      <c r="AO166" t="s">
        <v>4066</v>
      </c>
      <c r="AP166" s="6">
        <v>2</v>
      </c>
    </row>
    <row r="167" spans="3:42">
      <c r="C167" s="4" t="s">
        <v>1224</v>
      </c>
      <c r="D167"/>
      <c r="E167" s="4" t="s">
        <v>3615</v>
      </c>
      <c r="G167" s="10" t="s">
        <v>4030</v>
      </c>
      <c r="H167" s="136">
        <v>7590940000</v>
      </c>
      <c r="I167" s="5"/>
      <c r="J167" s="4" t="s">
        <v>4329</v>
      </c>
      <c r="K167" t="s">
        <v>1664</v>
      </c>
      <c r="L167" s="4" t="s">
        <v>3150</v>
      </c>
      <c r="M167" s="4" t="s">
        <v>3148</v>
      </c>
      <c r="N167" s="4">
        <v>0</v>
      </c>
      <c r="Q167" s="120">
        <v>3.83</v>
      </c>
      <c r="R167" t="s">
        <v>1664</v>
      </c>
      <c r="S167">
        <v>0</v>
      </c>
      <c r="T167"/>
      <c r="U167">
        <v>0</v>
      </c>
      <c r="V167"/>
      <c r="W167" t="s">
        <v>1664</v>
      </c>
      <c r="X167" t="s">
        <v>1664</v>
      </c>
      <c r="Y167" t="s">
        <v>1664</v>
      </c>
      <c r="Z167" t="s">
        <v>1664</v>
      </c>
      <c r="AA167" t="s">
        <v>1664</v>
      </c>
      <c r="AB167" t="s">
        <v>1664</v>
      </c>
      <c r="AC167" t="s">
        <v>3615</v>
      </c>
      <c r="AD167" t="s">
        <v>3487</v>
      </c>
      <c r="AE167" t="s">
        <v>1664</v>
      </c>
      <c r="AF167" t="s">
        <v>1664</v>
      </c>
      <c r="AG167" t="s">
        <v>1664</v>
      </c>
      <c r="AH167" t="s">
        <v>1664</v>
      </c>
      <c r="AI167" t="s">
        <v>1664</v>
      </c>
      <c r="AJ167">
        <v>0</v>
      </c>
      <c r="AK167"/>
      <c r="AL167">
        <v>0</v>
      </c>
      <c r="AM167"/>
      <c r="AN167">
        <v>7590940000</v>
      </c>
      <c r="AO167" t="s">
        <v>4032</v>
      </c>
      <c r="AP167" s="6">
        <v>2</v>
      </c>
    </row>
    <row r="168" spans="3:42">
      <c r="C168" s="4" t="s">
        <v>1224</v>
      </c>
      <c r="D168"/>
      <c r="E168" s="4" t="s">
        <v>3468</v>
      </c>
      <c r="F168" s="4" t="s">
        <v>1224</v>
      </c>
      <c r="G168" s="10" t="s">
        <v>3713</v>
      </c>
      <c r="H168" s="136">
        <v>27980360000</v>
      </c>
      <c r="I168" s="5"/>
      <c r="J168" s="4" t="s">
        <v>4329</v>
      </c>
      <c r="K168" t="s">
        <v>1664</v>
      </c>
      <c r="L168" s="4" t="s">
        <v>3150</v>
      </c>
      <c r="M168" s="4" t="s">
        <v>3431</v>
      </c>
      <c r="N168" s="4">
        <v>1</v>
      </c>
      <c r="O168" s="6" t="s">
        <v>3149</v>
      </c>
      <c r="Q168" s="120">
        <v>8.84</v>
      </c>
      <c r="R168" t="s">
        <v>1664</v>
      </c>
      <c r="S168">
        <v>0</v>
      </c>
      <c r="T168"/>
      <c r="U168">
        <v>0</v>
      </c>
      <c r="V168"/>
      <c r="W168" t="s">
        <v>1664</v>
      </c>
      <c r="X168" t="s">
        <v>1664</v>
      </c>
      <c r="Y168" t="s">
        <v>1664</v>
      </c>
      <c r="Z168" t="s">
        <v>1664</v>
      </c>
      <c r="AA168" t="s">
        <v>1664</v>
      </c>
      <c r="AB168" t="s">
        <v>1664</v>
      </c>
      <c r="AC168" t="s">
        <v>3468</v>
      </c>
      <c r="AD168" t="s">
        <v>3487</v>
      </c>
      <c r="AE168" t="s">
        <v>1664</v>
      </c>
      <c r="AF168" t="s">
        <v>1664</v>
      </c>
      <c r="AG168" t="s">
        <v>1664</v>
      </c>
      <c r="AH168" t="s">
        <v>1664</v>
      </c>
      <c r="AI168" t="s">
        <v>1664</v>
      </c>
      <c r="AJ168">
        <v>0</v>
      </c>
      <c r="AK168"/>
      <c r="AL168">
        <v>0</v>
      </c>
      <c r="AM168"/>
      <c r="AN168">
        <v>27980360000</v>
      </c>
      <c r="AO168" t="s">
        <v>3715</v>
      </c>
      <c r="AP168" s="6">
        <v>2</v>
      </c>
    </row>
    <row r="169" spans="3:42">
      <c r="C169" s="4" t="s">
        <v>1224</v>
      </c>
      <c r="D169"/>
      <c r="E169" s="4" t="s">
        <v>3615</v>
      </c>
      <c r="G169" s="10" t="s">
        <v>4170</v>
      </c>
      <c r="H169" s="136">
        <v>820445391660</v>
      </c>
      <c r="I169" s="5"/>
      <c r="J169" s="4" t="s">
        <v>4329</v>
      </c>
      <c r="K169" t="s">
        <v>1664</v>
      </c>
      <c r="L169" s="4" t="s">
        <v>3150</v>
      </c>
      <c r="M169" s="4" t="s">
        <v>3148</v>
      </c>
      <c r="N169" s="4">
        <v>0</v>
      </c>
      <c r="Q169" s="120">
        <v>74.543300000000002</v>
      </c>
      <c r="R169" t="s">
        <v>1664</v>
      </c>
      <c r="S169">
        <v>0</v>
      </c>
      <c r="T169"/>
      <c r="U169">
        <v>0</v>
      </c>
      <c r="V169"/>
      <c r="W169" t="s">
        <v>1664</v>
      </c>
      <c r="X169" t="s">
        <v>1664</v>
      </c>
      <c r="Y169" t="s">
        <v>1664</v>
      </c>
      <c r="Z169" t="s">
        <v>1664</v>
      </c>
      <c r="AA169" t="s">
        <v>1664</v>
      </c>
      <c r="AB169" t="s">
        <v>1664</v>
      </c>
      <c r="AC169" t="s">
        <v>3615</v>
      </c>
      <c r="AD169" t="s">
        <v>3491</v>
      </c>
      <c r="AE169" t="s">
        <v>1664</v>
      </c>
      <c r="AF169" t="s">
        <v>1664</v>
      </c>
      <c r="AG169" t="s">
        <v>1664</v>
      </c>
      <c r="AH169" t="s">
        <v>1664</v>
      </c>
      <c r="AI169" t="s">
        <v>1664</v>
      </c>
      <c r="AJ169">
        <v>0</v>
      </c>
      <c r="AK169"/>
      <c r="AL169">
        <v>0</v>
      </c>
      <c r="AM169"/>
      <c r="AN169">
        <v>820445391660</v>
      </c>
      <c r="AO169" t="s">
        <v>4172</v>
      </c>
      <c r="AP169" s="6">
        <v>2</v>
      </c>
    </row>
    <row r="170" spans="3:42">
      <c r="C170" s="4" t="s">
        <v>1224</v>
      </c>
      <c r="D170"/>
      <c r="E170" s="4" t="s">
        <v>3615</v>
      </c>
      <c r="F170" s="4" t="s">
        <v>4384</v>
      </c>
      <c r="G170" s="10" t="s">
        <v>1206</v>
      </c>
      <c r="H170" s="136">
        <v>13404400000</v>
      </c>
      <c r="I170" s="5"/>
      <c r="J170" s="4" t="s">
        <v>4329</v>
      </c>
      <c r="K170" t="s">
        <v>1664</v>
      </c>
      <c r="L170" s="4" t="s">
        <v>3150</v>
      </c>
      <c r="M170" s="4" t="s">
        <v>3148</v>
      </c>
      <c r="N170" s="4">
        <v>1</v>
      </c>
      <c r="O170" s="6" t="s">
        <v>3149</v>
      </c>
      <c r="Q170" s="120">
        <v>20.2</v>
      </c>
      <c r="R170" t="s">
        <v>1664</v>
      </c>
      <c r="S170">
        <v>0</v>
      </c>
      <c r="T170"/>
      <c r="U170">
        <v>2000000000</v>
      </c>
      <c r="V170"/>
      <c r="W170">
        <v>-961900000</v>
      </c>
      <c r="X170">
        <v>-1225000000</v>
      </c>
      <c r="Y170">
        <v>2897300000</v>
      </c>
      <c r="Z170">
        <v>2984600000</v>
      </c>
      <c r="AA170">
        <v>2802500000</v>
      </c>
      <c r="AB170" t="s">
        <v>1664</v>
      </c>
      <c r="AC170" t="s">
        <v>3615</v>
      </c>
      <c r="AD170" t="s">
        <v>3487</v>
      </c>
      <c r="AE170">
        <v>36741099077.099998</v>
      </c>
      <c r="AF170">
        <v>45101349166.5</v>
      </c>
      <c r="AG170">
        <v>24140722148.100002</v>
      </c>
      <c r="AH170">
        <v>23120691634.799999</v>
      </c>
      <c r="AI170">
        <v>24330727831.950001</v>
      </c>
      <c r="AJ170">
        <v>18622557077.130001</v>
      </c>
      <c r="AK170"/>
      <c r="AL170">
        <v>0</v>
      </c>
      <c r="AM170"/>
      <c r="AN170">
        <v>13404400000</v>
      </c>
      <c r="AO170" t="s">
        <v>3701</v>
      </c>
      <c r="AP170" s="6">
        <v>2</v>
      </c>
    </row>
    <row r="171" spans="3:42">
      <c r="C171" s="4" t="s">
        <v>1224</v>
      </c>
      <c r="D171"/>
      <c r="E171" s="4" t="s">
        <v>3615</v>
      </c>
      <c r="G171" s="10" t="s">
        <v>3824</v>
      </c>
      <c r="H171" s="136">
        <v>45473660249</v>
      </c>
      <c r="I171" s="5"/>
      <c r="J171" s="4" t="s">
        <v>4329</v>
      </c>
      <c r="K171" t="s">
        <v>1664</v>
      </c>
      <c r="L171" s="4" t="s">
        <v>3150</v>
      </c>
      <c r="M171" s="4" t="s">
        <v>3148</v>
      </c>
      <c r="N171" s="4">
        <v>0</v>
      </c>
      <c r="Q171" s="120">
        <v>4.6359000000000004</v>
      </c>
      <c r="R171" t="s">
        <v>1664</v>
      </c>
      <c r="S171">
        <v>0</v>
      </c>
      <c r="T171"/>
      <c r="U171">
        <v>0</v>
      </c>
      <c r="V171"/>
      <c r="W171" t="s">
        <v>1664</v>
      </c>
      <c r="X171" t="s">
        <v>1664</v>
      </c>
      <c r="Y171" t="s">
        <v>1664</v>
      </c>
      <c r="Z171" t="s">
        <v>1664</v>
      </c>
      <c r="AA171" t="s">
        <v>1664</v>
      </c>
      <c r="AB171" t="s">
        <v>1664</v>
      </c>
      <c r="AC171" t="s">
        <v>3615</v>
      </c>
      <c r="AD171" t="s">
        <v>3474</v>
      </c>
      <c r="AE171" t="s">
        <v>1664</v>
      </c>
      <c r="AF171" t="s">
        <v>1664</v>
      </c>
      <c r="AG171" t="s">
        <v>1664</v>
      </c>
      <c r="AH171" t="s">
        <v>1664</v>
      </c>
      <c r="AI171" t="s">
        <v>1664</v>
      </c>
      <c r="AJ171">
        <v>0</v>
      </c>
      <c r="AK171"/>
      <c r="AL171">
        <v>0</v>
      </c>
      <c r="AM171"/>
      <c r="AN171">
        <v>45473660249</v>
      </c>
      <c r="AO171" t="s">
        <v>3826</v>
      </c>
      <c r="AP171" s="6">
        <v>2</v>
      </c>
    </row>
    <row r="172" spans="3:42">
      <c r="C172" s="4" t="s">
        <v>1224</v>
      </c>
      <c r="D172"/>
      <c r="E172" s="4" t="s">
        <v>3615</v>
      </c>
      <c r="G172" s="10" t="s">
        <v>3613</v>
      </c>
      <c r="H172" s="136">
        <v>63533500000</v>
      </c>
      <c r="I172" s="5"/>
      <c r="J172" s="4" t="s">
        <v>4329</v>
      </c>
      <c r="K172" t="s">
        <v>1664</v>
      </c>
      <c r="L172" s="4" t="s">
        <v>3150</v>
      </c>
      <c r="M172" s="4" t="s">
        <v>3148</v>
      </c>
      <c r="N172" s="4">
        <v>0</v>
      </c>
      <c r="Q172" s="120">
        <v>5.64</v>
      </c>
      <c r="R172" t="s">
        <v>1664</v>
      </c>
      <c r="S172">
        <v>0</v>
      </c>
      <c r="T172"/>
      <c r="U172">
        <v>0</v>
      </c>
      <c r="V172"/>
      <c r="W172" t="s">
        <v>1664</v>
      </c>
      <c r="X172" t="s">
        <v>1664</v>
      </c>
      <c r="Y172" t="s">
        <v>1664</v>
      </c>
      <c r="Z172" t="s">
        <v>1664</v>
      </c>
      <c r="AA172" t="s">
        <v>1664</v>
      </c>
      <c r="AB172" t="s">
        <v>1664</v>
      </c>
      <c r="AC172" t="s">
        <v>3615</v>
      </c>
      <c r="AD172" t="s">
        <v>3487</v>
      </c>
      <c r="AE172" t="s">
        <v>1664</v>
      </c>
      <c r="AF172" t="s">
        <v>1664</v>
      </c>
      <c r="AG172" t="s">
        <v>1664</v>
      </c>
      <c r="AH172" t="s">
        <v>1664</v>
      </c>
      <c r="AI172" t="s">
        <v>1664</v>
      </c>
      <c r="AJ172">
        <v>0</v>
      </c>
      <c r="AK172"/>
      <c r="AL172">
        <v>0</v>
      </c>
      <c r="AM172"/>
      <c r="AN172">
        <v>63533500000</v>
      </c>
      <c r="AO172" t="s">
        <v>3616</v>
      </c>
      <c r="AP172" s="6">
        <v>2</v>
      </c>
    </row>
    <row r="173" spans="3:42">
      <c r="C173" s="4" t="s">
        <v>1224</v>
      </c>
      <c r="D173"/>
      <c r="E173" s="4" t="s">
        <v>3615</v>
      </c>
      <c r="G173" s="10" t="s">
        <v>4248</v>
      </c>
      <c r="H173" s="136">
        <v>61316290000</v>
      </c>
      <c r="I173" s="5"/>
      <c r="J173" s="4" t="s">
        <v>4329</v>
      </c>
      <c r="K173" t="s">
        <v>1664</v>
      </c>
      <c r="L173" s="4" t="s">
        <v>3150</v>
      </c>
      <c r="M173" s="4" t="s">
        <v>3148</v>
      </c>
      <c r="N173" s="4">
        <v>0</v>
      </c>
      <c r="Q173" s="120">
        <v>5.28</v>
      </c>
      <c r="R173" t="s">
        <v>1664</v>
      </c>
      <c r="S173">
        <v>0</v>
      </c>
      <c r="T173"/>
      <c r="U173">
        <v>0</v>
      </c>
      <c r="V173"/>
      <c r="W173" t="s">
        <v>1664</v>
      </c>
      <c r="X173" t="s">
        <v>1664</v>
      </c>
      <c r="Y173" t="s">
        <v>1664</v>
      </c>
      <c r="Z173" t="s">
        <v>1664</v>
      </c>
      <c r="AA173" t="s">
        <v>1664</v>
      </c>
      <c r="AB173" t="s">
        <v>1664</v>
      </c>
      <c r="AC173" t="s">
        <v>3615</v>
      </c>
      <c r="AD173" t="s">
        <v>3487</v>
      </c>
      <c r="AE173" t="s">
        <v>1664</v>
      </c>
      <c r="AF173" t="s">
        <v>1664</v>
      </c>
      <c r="AG173" t="s">
        <v>1664</v>
      </c>
      <c r="AH173" t="s">
        <v>1664</v>
      </c>
      <c r="AI173" t="s">
        <v>1664</v>
      </c>
      <c r="AJ173">
        <v>0</v>
      </c>
      <c r="AK173"/>
      <c r="AL173">
        <v>0</v>
      </c>
      <c r="AM173"/>
      <c r="AN173">
        <v>61316290000</v>
      </c>
      <c r="AO173" t="s">
        <v>4250</v>
      </c>
      <c r="AP173" s="6">
        <v>2</v>
      </c>
    </row>
    <row r="174" spans="3:42">
      <c r="C174" s="4" t="s">
        <v>1315</v>
      </c>
      <c r="D174" t="s">
        <v>727</v>
      </c>
      <c r="E174" s="4" t="s">
        <v>3804</v>
      </c>
      <c r="F174" s="4" t="s">
        <v>575</v>
      </c>
      <c r="G174" s="10" t="s">
        <v>574</v>
      </c>
      <c r="H174" s="136">
        <v>56774790000</v>
      </c>
      <c r="I174" s="5">
        <v>0.24653333988501794</v>
      </c>
      <c r="J174" s="4" t="s">
        <v>4329</v>
      </c>
      <c r="K174">
        <v>7255000000</v>
      </c>
      <c r="L174" s="4" t="s">
        <v>4348</v>
      </c>
      <c r="M174" s="4" t="s">
        <v>3431</v>
      </c>
      <c r="N174" s="4">
        <v>1</v>
      </c>
      <c r="O174" s="6" t="s">
        <v>3149</v>
      </c>
      <c r="Q174" s="120">
        <v>16.436</v>
      </c>
      <c r="R174">
        <v>4000000000</v>
      </c>
      <c r="S174">
        <v>3614000000</v>
      </c>
      <c r="T174"/>
      <c r="U174">
        <v>3175700000</v>
      </c>
      <c r="V174"/>
      <c r="W174">
        <v>2150400000</v>
      </c>
      <c r="X174">
        <v>2166900000</v>
      </c>
      <c r="Y174">
        <v>2816700000</v>
      </c>
      <c r="Z174">
        <v>1785600000</v>
      </c>
      <c r="AA174">
        <v>813500000</v>
      </c>
      <c r="AB174">
        <v>14.193697500000001</v>
      </c>
      <c r="AC174" t="s">
        <v>3804</v>
      </c>
      <c r="AD174" t="s">
        <v>3518</v>
      </c>
      <c r="AE174">
        <v>26970752952</v>
      </c>
      <c r="AF174">
        <v>49627773546</v>
      </c>
      <c r="AG174">
        <v>47354745750</v>
      </c>
      <c r="AH174">
        <v>67509674640</v>
      </c>
      <c r="AI174">
        <v>66209145480</v>
      </c>
      <c r="AJ174">
        <v>87704167564.5</v>
      </c>
      <c r="AK174"/>
      <c r="AL174">
        <v>58115785935</v>
      </c>
      <c r="AM174"/>
      <c r="AN174">
        <v>56774790000</v>
      </c>
      <c r="AO174" t="s">
        <v>3913</v>
      </c>
      <c r="AP174" s="6">
        <v>2</v>
      </c>
    </row>
    <row r="175" spans="3:42">
      <c r="C175" s="4" t="s">
        <v>1315</v>
      </c>
      <c r="D175"/>
      <c r="E175" s="4" t="s">
        <v>3486</v>
      </c>
      <c r="F175" s="4" t="s">
        <v>575</v>
      </c>
      <c r="G175" s="10" t="s">
        <v>3942</v>
      </c>
      <c r="H175" s="136">
        <v>369859100000</v>
      </c>
      <c r="I175" s="5">
        <v>0.21659678722974338</v>
      </c>
      <c r="J175" s="4" t="s">
        <v>4329</v>
      </c>
      <c r="K175">
        <v>23000000000</v>
      </c>
      <c r="L175" s="4" t="s">
        <v>4348</v>
      </c>
      <c r="M175" s="4" t="s">
        <v>3431</v>
      </c>
      <c r="N175" s="4">
        <v>1</v>
      </c>
      <c r="O175" s="6" t="s">
        <v>3149</v>
      </c>
      <c r="Q175" s="120">
        <v>23.019600000000001</v>
      </c>
      <c r="R175" t="s">
        <v>1664</v>
      </c>
      <c r="S175">
        <v>14084000000</v>
      </c>
      <c r="T175"/>
      <c r="U175">
        <v>12036000000</v>
      </c>
      <c r="V175"/>
      <c r="W175">
        <v>4702000000</v>
      </c>
      <c r="X175">
        <v>7171000000</v>
      </c>
      <c r="Y175">
        <v>6354000000</v>
      </c>
      <c r="Z175">
        <v>5365000000</v>
      </c>
      <c r="AA175">
        <v>3981000000</v>
      </c>
      <c r="AB175" t="s">
        <v>1664</v>
      </c>
      <c r="AC175" t="s">
        <v>3486</v>
      </c>
      <c r="AD175" t="s">
        <v>3518</v>
      </c>
      <c r="AE175">
        <v>91977526914.400009</v>
      </c>
      <c r="AF175">
        <v>126760649000</v>
      </c>
      <c r="AG175">
        <v>126559040861</v>
      </c>
      <c r="AH175">
        <v>211159152052.20001</v>
      </c>
      <c r="AI175">
        <v>253113486766</v>
      </c>
      <c r="AJ175">
        <v>366332095384</v>
      </c>
      <c r="AK175"/>
      <c r="AL175">
        <v>342164664786.09998</v>
      </c>
      <c r="AM175"/>
      <c r="AN175">
        <v>369859100000</v>
      </c>
      <c r="AO175" t="s">
        <v>3943</v>
      </c>
      <c r="AP175" s="6">
        <v>2</v>
      </c>
    </row>
    <row r="176" spans="3:42">
      <c r="C176" s="4" t="s">
        <v>1315</v>
      </c>
      <c r="D176" t="s">
        <v>3493</v>
      </c>
      <c r="E176" s="4" t="s">
        <v>3486</v>
      </c>
      <c r="F176" s="4" t="s">
        <v>4426</v>
      </c>
      <c r="G176" s="10" t="s">
        <v>4147</v>
      </c>
      <c r="H176" s="136">
        <v>12290810000</v>
      </c>
      <c r="I176" s="5">
        <v>0.13615148686491532</v>
      </c>
      <c r="J176" s="4" t="s">
        <v>4329</v>
      </c>
      <c r="K176">
        <v>1680000000</v>
      </c>
      <c r="L176" s="4" t="s">
        <v>4348</v>
      </c>
      <c r="M176" s="4" t="s">
        <v>3431</v>
      </c>
      <c r="N176" s="4">
        <v>1</v>
      </c>
      <c r="O176" s="6" t="s">
        <v>3149</v>
      </c>
      <c r="Q176" s="120">
        <v>12.659599999999999</v>
      </c>
      <c r="R176">
        <v>1100000000</v>
      </c>
      <c r="S176">
        <v>807000000</v>
      </c>
      <c r="T176"/>
      <c r="U176">
        <v>765000000</v>
      </c>
      <c r="V176"/>
      <c r="W176">
        <v>-51000000</v>
      </c>
      <c r="X176">
        <v>748000000</v>
      </c>
      <c r="Y176">
        <v>867000000</v>
      </c>
      <c r="Z176">
        <v>755000000</v>
      </c>
      <c r="AA176">
        <v>593000000</v>
      </c>
      <c r="AB176">
        <v>11.173463636363635</v>
      </c>
      <c r="AC176" t="s">
        <v>3486</v>
      </c>
      <c r="AD176" t="s">
        <v>3469</v>
      </c>
      <c r="AE176">
        <v>18504994490.5</v>
      </c>
      <c r="AF176">
        <v>24642084394.200001</v>
      </c>
      <c r="AG176">
        <v>15715627845</v>
      </c>
      <c r="AH176">
        <v>14027571630</v>
      </c>
      <c r="AI176">
        <v>12452933560.5</v>
      </c>
      <c r="AJ176">
        <v>14177012480.700001</v>
      </c>
      <c r="AK176"/>
      <c r="AL176">
        <v>14464668466</v>
      </c>
      <c r="AM176"/>
      <c r="AN176">
        <v>12290810000</v>
      </c>
      <c r="AO176" t="s">
        <v>4148</v>
      </c>
      <c r="AP176" s="6">
        <v>2</v>
      </c>
    </row>
    <row r="177" spans="3:42">
      <c r="C177" s="4" t="s">
        <v>1315</v>
      </c>
      <c r="D177" t="s">
        <v>727</v>
      </c>
      <c r="E177" s="4" t="s">
        <v>3531</v>
      </c>
      <c r="F177" s="4" t="s">
        <v>4392</v>
      </c>
      <c r="G177" s="10" t="s">
        <v>3784</v>
      </c>
      <c r="H177" s="136">
        <v>79533750000</v>
      </c>
      <c r="I177" s="5">
        <v>0.13600000000000001</v>
      </c>
      <c r="J177" s="4" t="s">
        <v>4329</v>
      </c>
      <c r="K177">
        <v>0</v>
      </c>
      <c r="L177" s="4" t="s">
        <v>4331</v>
      </c>
      <c r="M177" s="4" t="s">
        <v>3431</v>
      </c>
      <c r="N177" s="4">
        <v>1</v>
      </c>
      <c r="O177" s="6" t="s">
        <v>3149</v>
      </c>
      <c r="Q177" s="120">
        <v>33.340299999999999</v>
      </c>
      <c r="R177" t="s">
        <v>1664</v>
      </c>
      <c r="S177">
        <v>2100000000</v>
      </c>
      <c r="T177">
        <v>2100000000</v>
      </c>
      <c r="U177">
        <v>2300000000</v>
      </c>
      <c r="V177"/>
      <c r="W177">
        <v>788000000</v>
      </c>
      <c r="X177">
        <v>2054000000</v>
      </c>
      <c r="Y177">
        <v>1866000000</v>
      </c>
      <c r="Z177" t="s">
        <v>1664</v>
      </c>
      <c r="AA177" t="s">
        <v>1664</v>
      </c>
      <c r="AB177" t="s">
        <v>1664</v>
      </c>
      <c r="AC177" t="s">
        <v>3531</v>
      </c>
      <c r="AD177" t="s">
        <v>3518</v>
      </c>
      <c r="AE177" t="s">
        <v>1664</v>
      </c>
      <c r="AF177" t="s">
        <v>1664</v>
      </c>
      <c r="AG177">
        <v>46838799675.5</v>
      </c>
      <c r="AH177">
        <v>60471404364.199997</v>
      </c>
      <c r="AI177">
        <v>55968391648.399994</v>
      </c>
      <c r="AJ177">
        <v>81903995127.76001</v>
      </c>
      <c r="AK177">
        <v>66875731000</v>
      </c>
      <c r="AL177">
        <v>74438619000</v>
      </c>
      <c r="AM177">
        <v>74438619000</v>
      </c>
      <c r="AN177">
        <v>79533750000</v>
      </c>
      <c r="AO177" t="s">
        <v>3785</v>
      </c>
      <c r="AP177" s="6">
        <v>2</v>
      </c>
    </row>
    <row r="178" spans="3:42">
      <c r="C178" s="4" t="s">
        <v>1315</v>
      </c>
      <c r="D178" t="s">
        <v>106</v>
      </c>
      <c r="E178" s="4" t="s">
        <v>4103</v>
      </c>
      <c r="F178" s="4" t="s">
        <v>2419</v>
      </c>
      <c r="G178" s="10" t="s">
        <v>3425</v>
      </c>
      <c r="H178" s="136">
        <v>5035737000</v>
      </c>
      <c r="I178" s="5">
        <v>0.10124120603015076</v>
      </c>
      <c r="J178" s="4" t="s">
        <v>4329</v>
      </c>
      <c r="K178">
        <v>900000000</v>
      </c>
      <c r="L178" s="4" t="s">
        <v>4331</v>
      </c>
      <c r="M178" s="4" t="s">
        <v>3431</v>
      </c>
      <c r="N178" s="4">
        <v>1</v>
      </c>
      <c r="O178" s="6" t="s">
        <v>3431</v>
      </c>
      <c r="Q178" s="120">
        <v>15.6374</v>
      </c>
      <c r="R178">
        <v>0</v>
      </c>
      <c r="S178">
        <v>316000000</v>
      </c>
      <c r="T178"/>
      <c r="U178">
        <v>453800000</v>
      </c>
      <c r="V178"/>
      <c r="W178">
        <v>301000000</v>
      </c>
      <c r="X178">
        <v>428300000</v>
      </c>
      <c r="Y178">
        <v>462500000</v>
      </c>
      <c r="Z178">
        <v>408600000</v>
      </c>
      <c r="AA178">
        <v>290800000</v>
      </c>
      <c r="AB178" t="s">
        <v>1664</v>
      </c>
      <c r="AC178" t="s">
        <v>4103</v>
      </c>
      <c r="AD178" t="s">
        <v>3477</v>
      </c>
      <c r="AE178">
        <v>6459265058.75</v>
      </c>
      <c r="AF178">
        <v>7736067355.7999992</v>
      </c>
      <c r="AG178">
        <v>5533646104.6999998</v>
      </c>
      <c r="AH178">
        <v>6642382087.6000004</v>
      </c>
      <c r="AI178">
        <v>7495752536</v>
      </c>
      <c r="AJ178">
        <v>7575740713</v>
      </c>
      <c r="AK178"/>
      <c r="AL178">
        <v>4330180502.5</v>
      </c>
      <c r="AM178"/>
      <c r="AN178">
        <v>5035737000</v>
      </c>
      <c r="AO178" t="s">
        <v>4104</v>
      </c>
      <c r="AP178" s="6">
        <v>2</v>
      </c>
    </row>
    <row r="179" spans="3:42">
      <c r="C179" s="4" t="s">
        <v>1315</v>
      </c>
      <c r="D179"/>
      <c r="E179" s="4" t="s">
        <v>3486</v>
      </c>
      <c r="G179" s="10" t="s">
        <v>3998</v>
      </c>
      <c r="H179" s="136">
        <v>143878500000</v>
      </c>
      <c r="I179" s="5"/>
      <c r="J179" s="4" t="s">
        <v>4329</v>
      </c>
      <c r="K179" t="s">
        <v>1664</v>
      </c>
      <c r="L179" s="4" t="s">
        <v>4331</v>
      </c>
      <c r="M179" s="4" t="s">
        <v>3431</v>
      </c>
      <c r="N179" s="4">
        <v>0</v>
      </c>
      <c r="Q179" s="120">
        <v>29.100899999999999</v>
      </c>
      <c r="R179" t="s">
        <v>1664</v>
      </c>
      <c r="S179">
        <v>0</v>
      </c>
      <c r="T179"/>
      <c r="U179">
        <v>0</v>
      </c>
      <c r="V179"/>
      <c r="W179" t="s">
        <v>1664</v>
      </c>
      <c r="X179" t="s">
        <v>1664</v>
      </c>
      <c r="Y179" t="s">
        <v>1664</v>
      </c>
      <c r="Z179" t="s">
        <v>1664</v>
      </c>
      <c r="AA179" t="s">
        <v>1664</v>
      </c>
      <c r="AB179" t="s">
        <v>1664</v>
      </c>
      <c r="AC179" t="s">
        <v>3486</v>
      </c>
      <c r="AD179" t="s">
        <v>3464</v>
      </c>
      <c r="AE179" t="s">
        <v>1664</v>
      </c>
      <c r="AF179" t="s">
        <v>1664</v>
      </c>
      <c r="AG179" t="s">
        <v>1664</v>
      </c>
      <c r="AH179" t="s">
        <v>1664</v>
      </c>
      <c r="AI179" t="s">
        <v>1664</v>
      </c>
      <c r="AJ179">
        <v>0</v>
      </c>
      <c r="AK179"/>
      <c r="AL179">
        <v>0</v>
      </c>
      <c r="AM179"/>
      <c r="AN179">
        <v>143878500000</v>
      </c>
      <c r="AO179" t="s">
        <v>4000</v>
      </c>
      <c r="AP179" s="6">
        <v>2</v>
      </c>
    </row>
    <row r="180" spans="3:42">
      <c r="C180" s="4" t="s">
        <v>1315</v>
      </c>
      <c r="D180"/>
      <c r="E180" s="4" t="s">
        <v>3486</v>
      </c>
      <c r="G180" s="10" t="s">
        <v>3698</v>
      </c>
      <c r="H180" s="136">
        <v>60317100000</v>
      </c>
      <c r="I180" s="5"/>
      <c r="J180" s="4" t="s">
        <v>4329</v>
      </c>
      <c r="K180" t="s">
        <v>1664</v>
      </c>
      <c r="L180" s="4" t="s">
        <v>4331</v>
      </c>
      <c r="M180" s="4" t="s">
        <v>3431</v>
      </c>
      <c r="N180" s="4">
        <v>0</v>
      </c>
      <c r="Q180" s="120">
        <v>0</v>
      </c>
      <c r="R180" t="s">
        <v>1664</v>
      </c>
      <c r="S180">
        <v>0</v>
      </c>
      <c r="T180"/>
      <c r="U180">
        <v>0</v>
      </c>
      <c r="V180"/>
      <c r="W180" t="s">
        <v>1664</v>
      </c>
      <c r="X180" t="s">
        <v>1664</v>
      </c>
      <c r="Y180" t="s">
        <v>1664</v>
      </c>
      <c r="Z180" t="s">
        <v>1664</v>
      </c>
      <c r="AA180" t="s">
        <v>1664</v>
      </c>
      <c r="AB180" t="s">
        <v>1664</v>
      </c>
      <c r="AC180" t="s">
        <v>3486</v>
      </c>
      <c r="AD180" t="s">
        <v>3469</v>
      </c>
      <c r="AE180" t="s">
        <v>1664</v>
      </c>
      <c r="AF180" t="s">
        <v>1664</v>
      </c>
      <c r="AG180" t="s">
        <v>1664</v>
      </c>
      <c r="AH180" t="s">
        <v>1664</v>
      </c>
      <c r="AI180" t="s">
        <v>1664</v>
      </c>
      <c r="AJ180">
        <v>0</v>
      </c>
      <c r="AK180"/>
      <c r="AL180">
        <v>0</v>
      </c>
      <c r="AM180"/>
      <c r="AN180">
        <v>60317100000</v>
      </c>
      <c r="AO180" t="s">
        <v>3700</v>
      </c>
      <c r="AP180" s="6">
        <v>2</v>
      </c>
    </row>
    <row r="181" spans="3:42">
      <c r="C181" s="4" t="s">
        <v>1315</v>
      </c>
      <c r="D181" t="s">
        <v>3865</v>
      </c>
      <c r="E181" s="4" t="s">
        <v>3892</v>
      </c>
      <c r="F181" s="4" t="s">
        <v>2130</v>
      </c>
      <c r="G181" s="10" t="s">
        <v>3940</v>
      </c>
      <c r="H181" s="136">
        <v>219756900000</v>
      </c>
      <c r="I181" s="5"/>
      <c r="J181" s="4" t="s">
        <v>4329</v>
      </c>
      <c r="K181">
        <v>0</v>
      </c>
      <c r="L181" s="4" t="s">
        <v>4348</v>
      </c>
      <c r="M181" s="4" t="s">
        <v>3431</v>
      </c>
      <c r="N181" s="4">
        <v>1</v>
      </c>
      <c r="O181" s="6" t="s">
        <v>3149</v>
      </c>
      <c r="Q181" s="120">
        <v>37.592300000000002</v>
      </c>
      <c r="R181">
        <v>0</v>
      </c>
      <c r="S181">
        <v>5700000000</v>
      </c>
      <c r="T181">
        <v>5700000000</v>
      </c>
      <c r="U181">
        <v>4800000000</v>
      </c>
      <c r="V181"/>
      <c r="W181">
        <v>4099000000</v>
      </c>
      <c r="X181">
        <v>4356900000</v>
      </c>
      <c r="Y181">
        <v>3987600000</v>
      </c>
      <c r="Z181">
        <v>3585500000</v>
      </c>
      <c r="AA181" t="s">
        <v>1664</v>
      </c>
      <c r="AB181" t="s">
        <v>1664</v>
      </c>
      <c r="AC181" t="s">
        <v>3892</v>
      </c>
      <c r="AD181" t="s">
        <v>3518</v>
      </c>
      <c r="AE181" t="s">
        <v>1664</v>
      </c>
      <c r="AF181">
        <v>0</v>
      </c>
      <c r="AG181">
        <v>0</v>
      </c>
      <c r="AH181">
        <v>152036596620</v>
      </c>
      <c r="AI181">
        <v>174120061380</v>
      </c>
      <c r="AJ181">
        <v>233438455281</v>
      </c>
      <c r="AK181"/>
      <c r="AL181">
        <v>186773159088</v>
      </c>
      <c r="AM181"/>
      <c r="AN181">
        <v>219756900000</v>
      </c>
      <c r="AO181" t="s">
        <v>3941</v>
      </c>
      <c r="AP181" s="6">
        <v>2</v>
      </c>
    </row>
    <row r="182" spans="3:42">
      <c r="C182" s="4" t="s">
        <v>1315</v>
      </c>
      <c r="D182"/>
      <c r="E182" s="4" t="s">
        <v>3486</v>
      </c>
      <c r="F182" s="4" t="s">
        <v>575</v>
      </c>
      <c r="G182" s="10" t="s">
        <v>640</v>
      </c>
      <c r="H182" s="136">
        <v>120154900</v>
      </c>
      <c r="I182" s="5"/>
      <c r="J182" s="4" t="s">
        <v>4329</v>
      </c>
      <c r="K182" t="s">
        <v>1664</v>
      </c>
      <c r="L182" s="4" t="s">
        <v>4348</v>
      </c>
      <c r="M182" s="4" t="s">
        <v>3431</v>
      </c>
      <c r="N182" s="4">
        <v>1</v>
      </c>
      <c r="O182" s="6" t="s">
        <v>3149</v>
      </c>
      <c r="Q182" s="120">
        <v>10.01</v>
      </c>
      <c r="R182" t="s">
        <v>1664</v>
      </c>
      <c r="S182">
        <v>0</v>
      </c>
      <c r="T182"/>
      <c r="U182">
        <v>0</v>
      </c>
      <c r="V182"/>
      <c r="W182">
        <v>-46868000</v>
      </c>
      <c r="X182">
        <v>-4851000</v>
      </c>
      <c r="Y182">
        <v>4906000</v>
      </c>
      <c r="Z182">
        <v>4990000</v>
      </c>
      <c r="AA182">
        <v>2700000</v>
      </c>
      <c r="AB182" t="s">
        <v>1664</v>
      </c>
      <c r="AC182" t="s">
        <v>3486</v>
      </c>
      <c r="AD182"/>
      <c r="AE182">
        <v>651525000</v>
      </c>
      <c r="AF182">
        <v>625940000</v>
      </c>
      <c r="AG182">
        <v>169860000</v>
      </c>
      <c r="AH182">
        <v>164772000</v>
      </c>
      <c r="AI182">
        <v>136116000</v>
      </c>
      <c r="AJ182">
        <v>191040000</v>
      </c>
      <c r="AK182"/>
      <c r="AL182">
        <v>0</v>
      </c>
      <c r="AM182"/>
      <c r="AN182">
        <v>120154900</v>
      </c>
      <c r="AO182" t="s">
        <v>3984</v>
      </c>
      <c r="AP182" s="6">
        <v>2</v>
      </c>
    </row>
    <row r="183" spans="3:42">
      <c r="C183" s="4" t="s">
        <v>1315</v>
      </c>
      <c r="D183"/>
      <c r="E183" s="4" t="s">
        <v>3486</v>
      </c>
      <c r="G183" s="10" t="s">
        <v>3484</v>
      </c>
      <c r="H183" s="136">
        <v>30024000000</v>
      </c>
      <c r="I183" s="5"/>
      <c r="J183" s="4" t="s">
        <v>4329</v>
      </c>
      <c r="K183" t="s">
        <v>1664</v>
      </c>
      <c r="L183" s="4" t="s">
        <v>4331</v>
      </c>
      <c r="M183" s="4" t="s">
        <v>3431</v>
      </c>
      <c r="N183" s="4">
        <v>0</v>
      </c>
      <c r="Q183" s="120">
        <v>139.52000000000001</v>
      </c>
      <c r="R183" t="s">
        <v>1664</v>
      </c>
      <c r="S183">
        <v>0</v>
      </c>
      <c r="T183"/>
      <c r="U183">
        <v>0</v>
      </c>
      <c r="V183"/>
      <c r="W183" t="s">
        <v>1664</v>
      </c>
      <c r="X183" t="s">
        <v>1664</v>
      </c>
      <c r="Y183" t="s">
        <v>1664</v>
      </c>
      <c r="Z183" t="s">
        <v>1664</v>
      </c>
      <c r="AA183" t="s">
        <v>1664</v>
      </c>
      <c r="AB183" t="s">
        <v>1664</v>
      </c>
      <c r="AC183" t="s">
        <v>3486</v>
      </c>
      <c r="AD183" t="s">
        <v>3487</v>
      </c>
      <c r="AE183" t="s">
        <v>1664</v>
      </c>
      <c r="AF183" t="s">
        <v>1664</v>
      </c>
      <c r="AG183" t="s">
        <v>1664</v>
      </c>
      <c r="AH183" t="s">
        <v>1664</v>
      </c>
      <c r="AI183" t="s">
        <v>1664</v>
      </c>
      <c r="AJ183">
        <v>0</v>
      </c>
      <c r="AK183"/>
      <c r="AL183">
        <v>0</v>
      </c>
      <c r="AM183"/>
      <c r="AN183">
        <v>30024000000</v>
      </c>
      <c r="AO183" t="s">
        <v>3488</v>
      </c>
      <c r="AP183" s="6">
        <v>2</v>
      </c>
    </row>
    <row r="184" spans="3:42">
      <c r="C184" s="4" t="s">
        <v>1315</v>
      </c>
      <c r="D184"/>
      <c r="E184" s="4" t="s">
        <v>3486</v>
      </c>
      <c r="F184" s="4" t="s">
        <v>4416</v>
      </c>
      <c r="G184" s="10" t="s">
        <v>4048</v>
      </c>
      <c r="H184" s="136">
        <v>7399572605</v>
      </c>
      <c r="I184" s="5"/>
      <c r="J184" s="4" t="s">
        <v>4329</v>
      </c>
      <c r="K184" t="s">
        <v>1664</v>
      </c>
      <c r="L184" s="4" t="s">
        <v>4348</v>
      </c>
      <c r="M184" s="4" t="s">
        <v>3431</v>
      </c>
      <c r="N184" s="4">
        <v>1</v>
      </c>
      <c r="O184" s="6" t="s">
        <v>3149</v>
      </c>
      <c r="Q184" s="120">
        <v>14.714399999999999</v>
      </c>
      <c r="R184" t="s">
        <v>1664</v>
      </c>
      <c r="S184">
        <v>0</v>
      </c>
      <c r="T184"/>
      <c r="U184">
        <v>0</v>
      </c>
      <c r="V184"/>
      <c r="W184" t="s">
        <v>1664</v>
      </c>
      <c r="X184">
        <v>450000000</v>
      </c>
      <c r="Y184">
        <v>450000000</v>
      </c>
      <c r="Z184" t="s">
        <v>1664</v>
      </c>
      <c r="AA184" t="s">
        <v>1664</v>
      </c>
      <c r="AB184" t="s">
        <v>1664</v>
      </c>
      <c r="AC184" t="s">
        <v>3486</v>
      </c>
      <c r="AD184"/>
      <c r="AE184" t="s">
        <v>1664</v>
      </c>
      <c r="AF184" t="s">
        <v>1664</v>
      </c>
      <c r="AG184">
        <v>8114284500</v>
      </c>
      <c r="AH184">
        <v>8016913086</v>
      </c>
      <c r="AI184" t="s">
        <v>1664</v>
      </c>
      <c r="AJ184">
        <v>0</v>
      </c>
      <c r="AK184"/>
      <c r="AL184">
        <v>0</v>
      </c>
      <c r="AM184"/>
      <c r="AN184">
        <v>7399572605</v>
      </c>
      <c r="AO184" t="s">
        <v>4049</v>
      </c>
      <c r="AP184" s="6">
        <v>2</v>
      </c>
    </row>
    <row r="185" spans="3:42">
      <c r="C185" s="4" t="s">
        <v>1315</v>
      </c>
      <c r="D185" t="s">
        <v>3865</v>
      </c>
      <c r="E185" s="4" t="s">
        <v>3486</v>
      </c>
      <c r="F185" s="4" t="s">
        <v>575</v>
      </c>
      <c r="G185" s="10" t="s">
        <v>3866</v>
      </c>
      <c r="H185" s="136">
        <v>198090400000</v>
      </c>
      <c r="I185" s="5"/>
      <c r="J185" s="4" t="s">
        <v>4329</v>
      </c>
      <c r="K185">
        <v>0</v>
      </c>
      <c r="L185" s="4" t="s">
        <v>4348</v>
      </c>
      <c r="M185" s="4" t="s">
        <v>3431</v>
      </c>
      <c r="N185" s="4">
        <v>1</v>
      </c>
      <c r="O185" s="6" t="s">
        <v>3149</v>
      </c>
      <c r="Q185" s="120">
        <v>49.676900000000003</v>
      </c>
      <c r="R185">
        <v>0</v>
      </c>
      <c r="S185">
        <v>3400000000</v>
      </c>
      <c r="T185">
        <v>3400000000</v>
      </c>
      <c r="U185">
        <v>3000000000</v>
      </c>
      <c r="V185"/>
      <c r="W185">
        <v>1528200000</v>
      </c>
      <c r="X185">
        <v>1528200000</v>
      </c>
      <c r="Y185">
        <v>1405500000</v>
      </c>
      <c r="Z185">
        <v>0</v>
      </c>
      <c r="AA185">
        <v>0</v>
      </c>
      <c r="AB185" t="s">
        <v>1664</v>
      </c>
      <c r="AC185" t="s">
        <v>3486</v>
      </c>
      <c r="AD185" t="s">
        <v>3518</v>
      </c>
      <c r="AE185">
        <v>41235412327.200005</v>
      </c>
      <c r="AF185">
        <v>46978388340</v>
      </c>
      <c r="AG185">
        <v>49765420816.799995</v>
      </c>
      <c r="AH185">
        <v>71491605806.400009</v>
      </c>
      <c r="AI185">
        <v>92858854795.199997</v>
      </c>
      <c r="AJ185">
        <v>162154616832</v>
      </c>
      <c r="AK185"/>
      <c r="AL185">
        <v>182624862000</v>
      </c>
      <c r="AM185">
        <v>182624862000</v>
      </c>
      <c r="AN185">
        <v>198090400000</v>
      </c>
      <c r="AO185" t="s">
        <v>3867</v>
      </c>
      <c r="AP185" s="6">
        <v>2</v>
      </c>
    </row>
    <row r="186" spans="3:42">
      <c r="C186" s="4" t="s">
        <v>1315</v>
      </c>
      <c r="D186"/>
      <c r="E186" s="4" t="s">
        <v>3486</v>
      </c>
      <c r="F186" s="4" t="s">
        <v>4430</v>
      </c>
      <c r="G186" s="10" t="s">
        <v>618</v>
      </c>
      <c r="H186" s="136">
        <v>1235051000</v>
      </c>
      <c r="I186" s="5"/>
      <c r="J186" s="4" t="s">
        <v>4329</v>
      </c>
      <c r="K186" t="s">
        <v>1664</v>
      </c>
      <c r="L186" s="4" t="s">
        <v>4376</v>
      </c>
      <c r="M186" s="4" t="s">
        <v>3149</v>
      </c>
      <c r="N186" s="4">
        <v>1</v>
      </c>
      <c r="O186" s="6" t="s">
        <v>3149</v>
      </c>
      <c r="Q186" s="120">
        <v>23.188800000000001</v>
      </c>
      <c r="R186" t="s">
        <v>1664</v>
      </c>
      <c r="S186">
        <v>0</v>
      </c>
      <c r="T186"/>
      <c r="U186">
        <v>0</v>
      </c>
      <c r="V186"/>
      <c r="W186" t="s">
        <v>1664</v>
      </c>
      <c r="X186">
        <v>47100000</v>
      </c>
      <c r="Y186">
        <v>47146000</v>
      </c>
      <c r="Z186">
        <v>71007000</v>
      </c>
      <c r="AA186">
        <v>86292000</v>
      </c>
      <c r="AB186" t="s">
        <v>1664</v>
      </c>
      <c r="AC186" t="s">
        <v>3486</v>
      </c>
      <c r="AD186"/>
      <c r="AE186">
        <v>2039400000</v>
      </c>
      <c r="AF186">
        <v>2004750000</v>
      </c>
      <c r="AG186">
        <v>1404480000</v>
      </c>
      <c r="AH186">
        <v>939180000</v>
      </c>
      <c r="AI186" t="s">
        <v>1664</v>
      </c>
      <c r="AJ186">
        <v>1626240000</v>
      </c>
      <c r="AK186"/>
      <c r="AL186">
        <v>0</v>
      </c>
      <c r="AM186"/>
      <c r="AN186">
        <v>1235051000</v>
      </c>
      <c r="AO186" t="s">
        <v>4196</v>
      </c>
      <c r="AP186" s="6">
        <v>2</v>
      </c>
    </row>
    <row r="187" spans="3:42">
      <c r="C187" s="4" t="s">
        <v>1315</v>
      </c>
      <c r="D187"/>
      <c r="E187" s="4" t="s">
        <v>3486</v>
      </c>
      <c r="F187" s="4" t="s">
        <v>575</v>
      </c>
      <c r="G187" s="10" t="s">
        <v>4033</v>
      </c>
      <c r="H187" s="136">
        <v>124614700000</v>
      </c>
      <c r="I187" s="5"/>
      <c r="J187" s="4" t="s">
        <v>4329</v>
      </c>
      <c r="K187" t="s">
        <v>1664</v>
      </c>
      <c r="L187" s="4" t="s">
        <v>4348</v>
      </c>
      <c r="M187" s="4" t="s">
        <v>3431</v>
      </c>
      <c r="N187" s="4">
        <v>1</v>
      </c>
      <c r="O187" s="6" t="s">
        <v>3149</v>
      </c>
      <c r="Q187" s="120">
        <v>24.755099999999999</v>
      </c>
      <c r="R187" t="s">
        <v>1664</v>
      </c>
      <c r="S187">
        <v>0</v>
      </c>
      <c r="T187"/>
      <c r="U187">
        <v>0</v>
      </c>
      <c r="V187"/>
      <c r="W187" t="s">
        <v>1664</v>
      </c>
      <c r="X187" t="s">
        <v>1664</v>
      </c>
      <c r="Y187">
        <v>249000000</v>
      </c>
      <c r="Z187">
        <v>249000000</v>
      </c>
      <c r="AA187">
        <v>260230000</v>
      </c>
      <c r="AB187" t="s">
        <v>1664</v>
      </c>
      <c r="AC187" t="s">
        <v>3486</v>
      </c>
      <c r="AD187"/>
      <c r="AE187">
        <v>9008851656.7999992</v>
      </c>
      <c r="AF187">
        <v>9092525201.6000004</v>
      </c>
      <c r="AG187">
        <v>131011788800</v>
      </c>
      <c r="AH187" t="s">
        <v>1664</v>
      </c>
      <c r="AI187" t="s">
        <v>1664</v>
      </c>
      <c r="AJ187">
        <v>127685317600</v>
      </c>
      <c r="AK187"/>
      <c r="AL187">
        <v>0</v>
      </c>
      <c r="AM187"/>
      <c r="AN187">
        <v>124614700000</v>
      </c>
      <c r="AO187" t="s">
        <v>4034</v>
      </c>
      <c r="AP187" s="6">
        <v>2</v>
      </c>
    </row>
    <row r="188" spans="3:42">
      <c r="C188" s="4" t="s">
        <v>2431</v>
      </c>
      <c r="D188" t="s">
        <v>1181</v>
      </c>
      <c r="E188" s="4" t="s">
        <v>3517</v>
      </c>
      <c r="G188" s="10" t="s">
        <v>3833</v>
      </c>
      <c r="H188" s="136">
        <v>27377580000</v>
      </c>
      <c r="I188" s="5">
        <v>0.15301391035548687</v>
      </c>
      <c r="J188" s="4" t="s">
        <v>4329</v>
      </c>
      <c r="K188">
        <v>1476000000</v>
      </c>
      <c r="L188" s="4" t="s">
        <v>3150</v>
      </c>
      <c r="M188" s="4" t="s">
        <v>3148</v>
      </c>
      <c r="N188" s="4">
        <v>1</v>
      </c>
      <c r="Q188" s="120">
        <v>31.7044</v>
      </c>
      <c r="R188">
        <v>0</v>
      </c>
      <c r="S188">
        <v>856000000</v>
      </c>
      <c r="T188"/>
      <c r="U188">
        <v>821000000</v>
      </c>
      <c r="V188"/>
      <c r="W188">
        <v>743000000</v>
      </c>
      <c r="X188">
        <v>702000000</v>
      </c>
      <c r="Y188">
        <v>663000000</v>
      </c>
      <c r="Z188">
        <v>720000000</v>
      </c>
      <c r="AA188" t="s">
        <v>1664</v>
      </c>
      <c r="AB188" t="s">
        <v>1664</v>
      </c>
      <c r="AC188" t="s">
        <v>3517</v>
      </c>
      <c r="AD188" t="s">
        <v>3469</v>
      </c>
      <c r="AE188" t="s">
        <v>1664</v>
      </c>
      <c r="AF188">
        <v>20794035672</v>
      </c>
      <c r="AG188">
        <v>21015641736</v>
      </c>
      <c r="AH188">
        <v>27986999166</v>
      </c>
      <c r="AI188">
        <v>34441275780</v>
      </c>
      <c r="AJ188">
        <v>44247344112</v>
      </c>
      <c r="AK188"/>
      <c r="AL188">
        <v>26158749138</v>
      </c>
      <c r="AM188"/>
      <c r="AN188">
        <v>27377580000</v>
      </c>
      <c r="AO188" t="s">
        <v>3834</v>
      </c>
      <c r="AP188" s="6">
        <v>2</v>
      </c>
    </row>
    <row r="189" spans="3:42">
      <c r="C189" s="4" t="s">
        <v>2431</v>
      </c>
      <c r="D189" t="s">
        <v>165</v>
      </c>
      <c r="E189" s="4" t="s">
        <v>3517</v>
      </c>
      <c r="F189" s="4" t="s">
        <v>2431</v>
      </c>
      <c r="G189" s="10" t="s">
        <v>2448</v>
      </c>
      <c r="H189" s="136">
        <v>6876988000</v>
      </c>
      <c r="I189" s="5"/>
      <c r="J189" s="4" t="s">
        <v>4329</v>
      </c>
      <c r="K189">
        <v>0</v>
      </c>
      <c r="L189" s="4" t="s">
        <v>3150</v>
      </c>
      <c r="M189" s="4" t="s">
        <v>3148</v>
      </c>
      <c r="N189" s="4">
        <v>1</v>
      </c>
      <c r="O189" s="6" t="s">
        <v>3148</v>
      </c>
      <c r="Q189" s="120">
        <v>13.996600000000001</v>
      </c>
      <c r="R189">
        <v>0</v>
      </c>
      <c r="S189">
        <v>0</v>
      </c>
      <c r="T189"/>
      <c r="U189">
        <v>330000000</v>
      </c>
      <c r="V189"/>
      <c r="W189">
        <v>332000000</v>
      </c>
      <c r="X189">
        <v>543000000</v>
      </c>
      <c r="Y189">
        <v>707000000</v>
      </c>
      <c r="Z189">
        <v>576000000</v>
      </c>
      <c r="AA189">
        <v>427000000</v>
      </c>
      <c r="AB189" t="s">
        <v>1664</v>
      </c>
      <c r="AC189" t="s">
        <v>3517</v>
      </c>
      <c r="AD189" t="s">
        <v>3477</v>
      </c>
      <c r="AE189">
        <v>7037225994.1799994</v>
      </c>
      <c r="AF189">
        <v>7708443409.5999994</v>
      </c>
      <c r="AG189">
        <v>5740548640.3199997</v>
      </c>
      <c r="AH189">
        <v>7256313634</v>
      </c>
      <c r="AI189">
        <v>7174860506</v>
      </c>
      <c r="AJ189">
        <v>9503812552.6000004</v>
      </c>
      <c r="AK189"/>
      <c r="AL189">
        <v>0</v>
      </c>
      <c r="AM189"/>
      <c r="AN189">
        <v>6876988000</v>
      </c>
      <c r="AO189" t="s">
        <v>3591</v>
      </c>
      <c r="AP189" s="6">
        <v>2</v>
      </c>
    </row>
    <row r="190" spans="3:42">
      <c r="C190" s="4" t="s">
        <v>2431</v>
      </c>
      <c r="D190"/>
      <c r="E190" s="4" t="s">
        <v>3517</v>
      </c>
      <c r="G190" s="10" t="s">
        <v>3705</v>
      </c>
      <c r="H190" s="136">
        <v>10027080000</v>
      </c>
      <c r="I190" s="5"/>
      <c r="J190" s="4" t="s">
        <v>4329</v>
      </c>
      <c r="K190" t="s">
        <v>1664</v>
      </c>
      <c r="L190" s="4" t="s">
        <v>3150</v>
      </c>
      <c r="M190" s="4" t="s">
        <v>3148</v>
      </c>
      <c r="N190" s="4">
        <v>0</v>
      </c>
      <c r="Q190" s="120">
        <v>8.1</v>
      </c>
      <c r="R190" t="s">
        <v>1664</v>
      </c>
      <c r="S190">
        <v>0</v>
      </c>
      <c r="T190"/>
      <c r="U190">
        <v>0</v>
      </c>
      <c r="V190"/>
      <c r="W190" t="s">
        <v>1664</v>
      </c>
      <c r="X190" t="s">
        <v>1664</v>
      </c>
      <c r="Y190" t="s">
        <v>1664</v>
      </c>
      <c r="Z190" t="s">
        <v>1664</v>
      </c>
      <c r="AA190" t="s">
        <v>1664</v>
      </c>
      <c r="AB190" t="s">
        <v>1664</v>
      </c>
      <c r="AC190" t="s">
        <v>3517</v>
      </c>
      <c r="AD190" t="s">
        <v>3487</v>
      </c>
      <c r="AE190" t="s">
        <v>1664</v>
      </c>
      <c r="AF190" t="s">
        <v>1664</v>
      </c>
      <c r="AG190" t="s">
        <v>1664</v>
      </c>
      <c r="AH190" t="s">
        <v>1664</v>
      </c>
      <c r="AI190" t="s">
        <v>1664</v>
      </c>
      <c r="AJ190">
        <v>0</v>
      </c>
      <c r="AK190"/>
      <c r="AL190">
        <v>0</v>
      </c>
      <c r="AM190"/>
      <c r="AN190">
        <v>10027080000</v>
      </c>
      <c r="AO190" t="s">
        <v>3707</v>
      </c>
      <c r="AP190" s="6">
        <v>2</v>
      </c>
    </row>
    <row r="191" spans="3:42">
      <c r="C191" s="4" t="s">
        <v>2431</v>
      </c>
      <c r="D191"/>
      <c r="E191" s="4" t="s">
        <v>3517</v>
      </c>
      <c r="G191" s="10" t="s">
        <v>3639</v>
      </c>
      <c r="H191" s="136">
        <v>11986110000</v>
      </c>
      <c r="I191" s="5"/>
      <c r="J191" s="4" t="s">
        <v>4329</v>
      </c>
      <c r="K191" t="s">
        <v>1664</v>
      </c>
      <c r="L191" s="4" t="s">
        <v>3150</v>
      </c>
      <c r="M191" s="4" t="s">
        <v>3148</v>
      </c>
      <c r="N191" s="4">
        <v>0</v>
      </c>
      <c r="Q191" s="120">
        <v>15.57</v>
      </c>
      <c r="R191" t="s">
        <v>1664</v>
      </c>
      <c r="S191">
        <v>0</v>
      </c>
      <c r="T191"/>
      <c r="U191">
        <v>0</v>
      </c>
      <c r="V191"/>
      <c r="W191" t="s">
        <v>1664</v>
      </c>
      <c r="X191" t="s">
        <v>1664</v>
      </c>
      <c r="Y191" t="s">
        <v>1664</v>
      </c>
      <c r="Z191" t="s">
        <v>1664</v>
      </c>
      <c r="AA191" t="s">
        <v>1664</v>
      </c>
      <c r="AB191" t="s">
        <v>1664</v>
      </c>
      <c r="AC191" t="s">
        <v>3517</v>
      </c>
      <c r="AD191" t="s">
        <v>3487</v>
      </c>
      <c r="AE191" t="s">
        <v>1664</v>
      </c>
      <c r="AF191" t="s">
        <v>1664</v>
      </c>
      <c r="AG191" t="s">
        <v>1664</v>
      </c>
      <c r="AH191" t="s">
        <v>1664</v>
      </c>
      <c r="AI191" t="s">
        <v>1664</v>
      </c>
      <c r="AJ191">
        <v>0</v>
      </c>
      <c r="AK191"/>
      <c r="AL191">
        <v>0</v>
      </c>
      <c r="AM191"/>
      <c r="AN191">
        <v>11986110000</v>
      </c>
      <c r="AO191" t="s">
        <v>3641</v>
      </c>
      <c r="AP191" s="6">
        <v>2</v>
      </c>
    </row>
    <row r="192" spans="3:42">
      <c r="C192" s="4" t="s">
        <v>2431</v>
      </c>
      <c r="D192"/>
      <c r="E192" s="4" t="s">
        <v>3517</v>
      </c>
      <c r="G192" s="10" t="s">
        <v>3607</v>
      </c>
      <c r="H192" s="136">
        <v>40774880000</v>
      </c>
      <c r="I192" s="5"/>
      <c r="J192" s="4" t="s">
        <v>4329</v>
      </c>
      <c r="K192" t="s">
        <v>1664</v>
      </c>
      <c r="L192" s="4" t="s">
        <v>3150</v>
      </c>
      <c r="M192" s="4" t="s">
        <v>3148</v>
      </c>
      <c r="N192" s="4">
        <v>0</v>
      </c>
      <c r="Q192" s="120">
        <v>9.25</v>
      </c>
      <c r="R192" t="s">
        <v>1664</v>
      </c>
      <c r="S192">
        <v>0</v>
      </c>
      <c r="T192"/>
      <c r="U192">
        <v>0</v>
      </c>
      <c r="V192"/>
      <c r="W192" t="s">
        <v>1664</v>
      </c>
      <c r="X192" t="s">
        <v>1664</v>
      </c>
      <c r="Y192" t="s">
        <v>1664</v>
      </c>
      <c r="Z192" t="s">
        <v>1664</v>
      </c>
      <c r="AA192" t="s">
        <v>1664</v>
      </c>
      <c r="AB192" t="s">
        <v>1664</v>
      </c>
      <c r="AC192" t="s">
        <v>3517</v>
      </c>
      <c r="AD192" t="s">
        <v>3487</v>
      </c>
      <c r="AE192" t="s">
        <v>1664</v>
      </c>
      <c r="AF192" t="s">
        <v>1664</v>
      </c>
      <c r="AG192" t="s">
        <v>1664</v>
      </c>
      <c r="AH192" t="s">
        <v>1664</v>
      </c>
      <c r="AI192" t="s">
        <v>1664</v>
      </c>
      <c r="AJ192">
        <v>0</v>
      </c>
      <c r="AK192"/>
      <c r="AL192">
        <v>0</v>
      </c>
      <c r="AM192"/>
      <c r="AN192">
        <v>40774880000</v>
      </c>
      <c r="AO192" t="s">
        <v>3609</v>
      </c>
      <c r="AP192" s="6">
        <v>2</v>
      </c>
    </row>
    <row r="193" spans="3:42">
      <c r="C193" s="4" t="s">
        <v>2431</v>
      </c>
      <c r="D193"/>
      <c r="E193" s="4" t="s">
        <v>3517</v>
      </c>
      <c r="F193" s="4" t="s">
        <v>2431</v>
      </c>
      <c r="G193" s="10" t="s">
        <v>2430</v>
      </c>
      <c r="H193" s="136">
        <v>11572290000</v>
      </c>
      <c r="I193" s="5"/>
      <c r="J193" s="4" t="s">
        <v>4329</v>
      </c>
      <c r="K193">
        <v>0</v>
      </c>
      <c r="L193" s="4" t="s">
        <v>3150</v>
      </c>
      <c r="M193" s="4" t="s">
        <v>3148</v>
      </c>
      <c r="N193" s="4">
        <v>1</v>
      </c>
      <c r="O193" s="6" t="s">
        <v>3148</v>
      </c>
      <c r="Q193" s="120">
        <v>8.8785000000000007</v>
      </c>
      <c r="R193">
        <v>0</v>
      </c>
      <c r="S193">
        <v>0</v>
      </c>
      <c r="T193"/>
      <c r="U193">
        <v>0</v>
      </c>
      <c r="V193"/>
      <c r="W193">
        <v>700000000</v>
      </c>
      <c r="X193">
        <v>1075000000</v>
      </c>
      <c r="Y193">
        <v>1085000000</v>
      </c>
      <c r="Z193">
        <v>1061000000</v>
      </c>
      <c r="AA193">
        <v>621000000</v>
      </c>
      <c r="AB193" t="s">
        <v>1664</v>
      </c>
      <c r="AC193" t="s">
        <v>3517</v>
      </c>
      <c r="AD193" t="s">
        <v>3477</v>
      </c>
      <c r="AE193">
        <v>11699343968</v>
      </c>
      <c r="AF193">
        <v>12387540672</v>
      </c>
      <c r="AG193">
        <v>9740630272</v>
      </c>
      <c r="AH193">
        <v>11011147264</v>
      </c>
      <c r="AI193">
        <v>10820569715.200001</v>
      </c>
      <c r="AJ193">
        <v>10820569715.200001</v>
      </c>
      <c r="AK193"/>
      <c r="AL193">
        <v>0</v>
      </c>
      <c r="AM193"/>
      <c r="AN193">
        <v>11572290000</v>
      </c>
      <c r="AO193" t="s">
        <v>4132</v>
      </c>
      <c r="AP193" s="6">
        <v>2</v>
      </c>
    </row>
    <row r="194" spans="3:42">
      <c r="C194" s="4" t="s">
        <v>2431</v>
      </c>
      <c r="D194"/>
      <c r="E194" s="4" t="s">
        <v>3517</v>
      </c>
      <c r="G194" s="10" t="s">
        <v>3522</v>
      </c>
      <c r="H194" s="136">
        <v>11890180000</v>
      </c>
      <c r="I194" s="5"/>
      <c r="J194" s="4" t="s">
        <v>4329</v>
      </c>
      <c r="K194" t="s">
        <v>1664</v>
      </c>
      <c r="L194" s="4" t="s">
        <v>3150</v>
      </c>
      <c r="M194" s="4" t="s">
        <v>3148</v>
      </c>
      <c r="N194" s="4">
        <v>0</v>
      </c>
      <c r="Q194" s="120">
        <v>38.580800000000004</v>
      </c>
      <c r="R194" t="s">
        <v>1664</v>
      </c>
      <c r="S194">
        <v>0</v>
      </c>
      <c r="T194"/>
      <c r="U194">
        <v>0</v>
      </c>
      <c r="V194"/>
      <c r="W194" t="s">
        <v>1664</v>
      </c>
      <c r="X194" t="s">
        <v>1664</v>
      </c>
      <c r="Y194" t="s">
        <v>1664</v>
      </c>
      <c r="Z194" t="s">
        <v>1664</v>
      </c>
      <c r="AA194" t="s">
        <v>1664</v>
      </c>
      <c r="AB194" t="s">
        <v>1664</v>
      </c>
      <c r="AC194" t="s">
        <v>3517</v>
      </c>
      <c r="AD194" t="s">
        <v>3496</v>
      </c>
      <c r="AE194" t="s">
        <v>1664</v>
      </c>
      <c r="AF194" t="s">
        <v>1664</v>
      </c>
      <c r="AG194" t="s">
        <v>1664</v>
      </c>
      <c r="AH194" t="s">
        <v>1664</v>
      </c>
      <c r="AI194" t="s">
        <v>1664</v>
      </c>
      <c r="AJ194">
        <v>0</v>
      </c>
      <c r="AK194"/>
      <c r="AL194">
        <v>0</v>
      </c>
      <c r="AM194"/>
      <c r="AN194">
        <v>11890180000</v>
      </c>
      <c r="AO194" t="s">
        <v>3524</v>
      </c>
      <c r="AP194" s="6">
        <v>2</v>
      </c>
    </row>
    <row r="195" spans="3:42">
      <c r="C195" s="4" t="s">
        <v>2431</v>
      </c>
      <c r="D195"/>
      <c r="E195" s="4" t="s">
        <v>3517</v>
      </c>
      <c r="G195" s="10" t="s">
        <v>3862</v>
      </c>
      <c r="H195" s="136">
        <v>27922090000</v>
      </c>
      <c r="I195" s="5"/>
      <c r="J195" s="4" t="s">
        <v>4329</v>
      </c>
      <c r="K195" t="s">
        <v>1664</v>
      </c>
      <c r="L195" s="4" t="s">
        <v>3150</v>
      </c>
      <c r="M195" s="4" t="s">
        <v>3148</v>
      </c>
      <c r="N195" s="4">
        <v>0</v>
      </c>
      <c r="Q195" s="120">
        <v>18.78</v>
      </c>
      <c r="R195" t="s">
        <v>1664</v>
      </c>
      <c r="S195">
        <v>0</v>
      </c>
      <c r="T195"/>
      <c r="U195">
        <v>0</v>
      </c>
      <c r="V195"/>
      <c r="W195" t="s">
        <v>1664</v>
      </c>
      <c r="X195" t="s">
        <v>1664</v>
      </c>
      <c r="Y195" t="s">
        <v>1664</v>
      </c>
      <c r="Z195" t="s">
        <v>1664</v>
      </c>
      <c r="AA195" t="s">
        <v>1664</v>
      </c>
      <c r="AB195" t="s">
        <v>1664</v>
      </c>
      <c r="AC195" t="s">
        <v>3517</v>
      </c>
      <c r="AD195" t="s">
        <v>3487</v>
      </c>
      <c r="AE195" t="s">
        <v>1664</v>
      </c>
      <c r="AF195" t="s">
        <v>1664</v>
      </c>
      <c r="AG195" t="s">
        <v>1664</v>
      </c>
      <c r="AH195" t="s">
        <v>1664</v>
      </c>
      <c r="AI195" t="s">
        <v>1664</v>
      </c>
      <c r="AJ195">
        <v>0</v>
      </c>
      <c r="AK195"/>
      <c r="AL195">
        <v>0</v>
      </c>
      <c r="AM195"/>
      <c r="AN195">
        <v>27922090000</v>
      </c>
      <c r="AO195" t="s">
        <v>3864</v>
      </c>
      <c r="AP195" s="6">
        <v>2</v>
      </c>
    </row>
    <row r="196" spans="3:42">
      <c r="C196" s="4" t="s">
        <v>2431</v>
      </c>
      <c r="D196"/>
      <c r="E196" s="4" t="s">
        <v>3517</v>
      </c>
      <c r="G196" s="10" t="s">
        <v>4155</v>
      </c>
      <c r="H196" s="136">
        <v>12909350000</v>
      </c>
      <c r="I196" s="5"/>
      <c r="J196" s="4" t="s">
        <v>4329</v>
      </c>
      <c r="K196" t="s">
        <v>1664</v>
      </c>
      <c r="L196" s="4" t="s">
        <v>3150</v>
      </c>
      <c r="M196" s="4" t="s">
        <v>3148</v>
      </c>
      <c r="N196" s="4">
        <v>0</v>
      </c>
      <c r="Q196" s="120">
        <v>52.39</v>
      </c>
      <c r="R196" t="s">
        <v>1664</v>
      </c>
      <c r="S196">
        <v>0</v>
      </c>
      <c r="T196"/>
      <c r="U196">
        <v>0</v>
      </c>
      <c r="V196"/>
      <c r="W196" t="s">
        <v>1664</v>
      </c>
      <c r="X196" t="s">
        <v>1664</v>
      </c>
      <c r="Y196" t="s">
        <v>1664</v>
      </c>
      <c r="Z196" t="s">
        <v>1664</v>
      </c>
      <c r="AA196" t="s">
        <v>1664</v>
      </c>
      <c r="AB196" t="s">
        <v>1664</v>
      </c>
      <c r="AC196" t="s">
        <v>3517</v>
      </c>
      <c r="AD196" t="s">
        <v>3487</v>
      </c>
      <c r="AE196" t="s">
        <v>1664</v>
      </c>
      <c r="AF196" t="s">
        <v>1664</v>
      </c>
      <c r="AG196" t="s">
        <v>1664</v>
      </c>
      <c r="AH196" t="s">
        <v>1664</v>
      </c>
      <c r="AI196" t="s">
        <v>1664</v>
      </c>
      <c r="AJ196">
        <v>0</v>
      </c>
      <c r="AK196"/>
      <c r="AL196">
        <v>0</v>
      </c>
      <c r="AM196"/>
      <c r="AN196">
        <v>12909350000</v>
      </c>
      <c r="AO196" t="s">
        <v>4157</v>
      </c>
      <c r="AP196" s="6">
        <v>2</v>
      </c>
    </row>
    <row r="197" spans="3:42">
      <c r="C197" s="4" t="s">
        <v>2431</v>
      </c>
      <c r="D197"/>
      <c r="E197" s="4" t="s">
        <v>3517</v>
      </c>
      <c r="G197" s="10" t="s">
        <v>4121</v>
      </c>
      <c r="H197" s="136">
        <v>37406210000</v>
      </c>
      <c r="I197" s="5"/>
      <c r="J197" s="4" t="s">
        <v>4329</v>
      </c>
      <c r="K197" t="s">
        <v>1664</v>
      </c>
      <c r="L197" s="4" t="s">
        <v>3150</v>
      </c>
      <c r="M197" s="4" t="s">
        <v>3148</v>
      </c>
      <c r="N197" s="4">
        <v>0</v>
      </c>
      <c r="Q197" s="120">
        <v>39.934199999999997</v>
      </c>
      <c r="R197" t="s">
        <v>1664</v>
      </c>
      <c r="S197">
        <v>0</v>
      </c>
      <c r="T197"/>
      <c r="U197">
        <v>0</v>
      </c>
      <c r="V197"/>
      <c r="W197" t="s">
        <v>1664</v>
      </c>
      <c r="X197" t="s">
        <v>1664</v>
      </c>
      <c r="Y197" t="s">
        <v>1664</v>
      </c>
      <c r="Z197" t="s">
        <v>1664</v>
      </c>
      <c r="AA197" t="s">
        <v>1664</v>
      </c>
      <c r="AB197" t="s">
        <v>1664</v>
      </c>
      <c r="AC197" t="s">
        <v>3517</v>
      </c>
      <c r="AD197" t="s">
        <v>3469</v>
      </c>
      <c r="AE197" t="s">
        <v>1664</v>
      </c>
      <c r="AF197" t="s">
        <v>1664</v>
      </c>
      <c r="AG197" t="s">
        <v>1664</v>
      </c>
      <c r="AH197" t="s">
        <v>1664</v>
      </c>
      <c r="AI197" t="s">
        <v>1664</v>
      </c>
      <c r="AJ197">
        <v>0</v>
      </c>
      <c r="AK197"/>
      <c r="AL197">
        <v>0</v>
      </c>
      <c r="AM197"/>
      <c r="AN197">
        <v>37406210000</v>
      </c>
      <c r="AO197" t="s">
        <v>4123</v>
      </c>
      <c r="AP197" s="6">
        <v>2</v>
      </c>
    </row>
    <row r="198" spans="3:42">
      <c r="C198" s="4" t="s">
        <v>2431</v>
      </c>
      <c r="D198"/>
      <c r="E198" s="4" t="s">
        <v>3517</v>
      </c>
      <c r="G198" s="10" t="s">
        <v>3934</v>
      </c>
      <c r="H198" s="136">
        <v>184843700000</v>
      </c>
      <c r="I198" s="5"/>
      <c r="J198" s="4" t="s">
        <v>4329</v>
      </c>
      <c r="K198" t="s">
        <v>1664</v>
      </c>
      <c r="L198" s="4" t="s">
        <v>3150</v>
      </c>
      <c r="M198" s="4" t="s">
        <v>3148</v>
      </c>
      <c r="N198" s="4">
        <v>0</v>
      </c>
      <c r="Q198" s="120">
        <v>34.479999999999997</v>
      </c>
      <c r="R198" t="s">
        <v>1664</v>
      </c>
      <c r="S198">
        <v>0</v>
      </c>
      <c r="T198"/>
      <c r="U198">
        <v>0</v>
      </c>
      <c r="V198"/>
      <c r="W198" t="s">
        <v>1664</v>
      </c>
      <c r="X198" t="s">
        <v>1664</v>
      </c>
      <c r="Y198" t="s">
        <v>1664</v>
      </c>
      <c r="Z198" t="s">
        <v>1664</v>
      </c>
      <c r="AA198" t="s">
        <v>1664</v>
      </c>
      <c r="AB198" t="s">
        <v>1664</v>
      </c>
      <c r="AC198" t="s">
        <v>3517</v>
      </c>
      <c r="AD198" t="s">
        <v>3487</v>
      </c>
      <c r="AE198" t="s">
        <v>1664</v>
      </c>
      <c r="AF198" t="s">
        <v>1664</v>
      </c>
      <c r="AG198" t="s">
        <v>1664</v>
      </c>
      <c r="AH198" t="s">
        <v>1664</v>
      </c>
      <c r="AI198" t="s">
        <v>1664</v>
      </c>
      <c r="AJ198">
        <v>0</v>
      </c>
      <c r="AK198"/>
      <c r="AL198">
        <v>0</v>
      </c>
      <c r="AM198"/>
      <c r="AN198">
        <v>184843700000</v>
      </c>
      <c r="AO198" t="s">
        <v>3936</v>
      </c>
      <c r="AP198" s="6">
        <v>2</v>
      </c>
    </row>
    <row r="199" spans="3:42">
      <c r="C199" s="4" t="s">
        <v>2431</v>
      </c>
      <c r="D199"/>
      <c r="E199" s="4" t="s">
        <v>3517</v>
      </c>
      <c r="G199" s="10" t="s">
        <v>3875</v>
      </c>
      <c r="H199" s="136">
        <v>6884133000</v>
      </c>
      <c r="I199" s="5"/>
      <c r="J199" s="4" t="s">
        <v>4329</v>
      </c>
      <c r="K199" t="s">
        <v>1664</v>
      </c>
      <c r="L199" s="4" t="s">
        <v>3150</v>
      </c>
      <c r="M199" s="4" t="s">
        <v>3148</v>
      </c>
      <c r="N199" s="4">
        <v>0</v>
      </c>
      <c r="Q199" s="120">
        <v>23.825500000000002</v>
      </c>
      <c r="R199" t="s">
        <v>1664</v>
      </c>
      <c r="S199">
        <v>0</v>
      </c>
      <c r="T199"/>
      <c r="U199">
        <v>0</v>
      </c>
      <c r="V199"/>
      <c r="W199" t="s">
        <v>1664</v>
      </c>
      <c r="X199" t="s">
        <v>1664</v>
      </c>
      <c r="Y199" t="s">
        <v>1664</v>
      </c>
      <c r="Z199" t="s">
        <v>1664</v>
      </c>
      <c r="AA199" t="s">
        <v>1664</v>
      </c>
      <c r="AB199" t="s">
        <v>1664</v>
      </c>
      <c r="AC199" t="s">
        <v>3517</v>
      </c>
      <c r="AD199" t="s">
        <v>3496</v>
      </c>
      <c r="AE199" t="s">
        <v>1664</v>
      </c>
      <c r="AF199" t="s">
        <v>1664</v>
      </c>
      <c r="AG199" t="s">
        <v>1664</v>
      </c>
      <c r="AH199" t="s">
        <v>1664</v>
      </c>
      <c r="AI199" t="s">
        <v>1664</v>
      </c>
      <c r="AJ199">
        <v>0</v>
      </c>
      <c r="AK199"/>
      <c r="AL199">
        <v>0</v>
      </c>
      <c r="AM199"/>
      <c r="AN199">
        <v>6884133000</v>
      </c>
      <c r="AO199" t="s">
        <v>3877</v>
      </c>
      <c r="AP199" s="6">
        <v>2</v>
      </c>
    </row>
    <row r="200" spans="3:42">
      <c r="C200" s="4" t="s">
        <v>1926</v>
      </c>
      <c r="D200" t="s">
        <v>106</v>
      </c>
      <c r="E200" s="4" t="s">
        <v>3854</v>
      </c>
      <c r="F200" s="4" t="s">
        <v>4404</v>
      </c>
      <c r="G200" s="10" t="s">
        <v>262</v>
      </c>
      <c r="H200" s="136">
        <v>1362715000</v>
      </c>
      <c r="I200" s="5">
        <v>9.2371823331996172E-2</v>
      </c>
      <c r="J200" s="4" t="s">
        <v>4329</v>
      </c>
      <c r="K200">
        <v>570120000</v>
      </c>
      <c r="L200" s="4" t="s">
        <v>3150</v>
      </c>
      <c r="M200" s="4" t="s">
        <v>3431</v>
      </c>
      <c r="N200" s="4">
        <v>1</v>
      </c>
      <c r="O200" s="6" t="s">
        <v>3148</v>
      </c>
      <c r="Q200" s="120">
        <v>8.7200000000000006</v>
      </c>
      <c r="R200">
        <v>180000000</v>
      </c>
      <c r="S200">
        <v>156086000</v>
      </c>
      <c r="T200"/>
      <c r="U200">
        <v>204179000</v>
      </c>
      <c r="V200"/>
      <c r="W200">
        <v>155995000</v>
      </c>
      <c r="X200">
        <v>148821000</v>
      </c>
      <c r="Y200">
        <v>148882000</v>
      </c>
      <c r="Z200">
        <v>142181000</v>
      </c>
      <c r="AA200">
        <v>139000000</v>
      </c>
      <c r="AB200">
        <v>7.5706388888888885</v>
      </c>
      <c r="AC200" t="s">
        <v>3854</v>
      </c>
      <c r="AD200" t="s">
        <v>3845</v>
      </c>
      <c r="AE200">
        <v>2588934000</v>
      </c>
      <c r="AF200">
        <v>3143000000</v>
      </c>
      <c r="AG200">
        <v>1930700000</v>
      </c>
      <c r="AH200">
        <v>1701710000</v>
      </c>
      <c r="AI200">
        <v>1542315000</v>
      </c>
      <c r="AJ200">
        <v>1616400000</v>
      </c>
      <c r="AK200"/>
      <c r="AL200">
        <v>1032700000</v>
      </c>
      <c r="AM200"/>
      <c r="AN200">
        <v>1362715000</v>
      </c>
      <c r="AO200" t="s">
        <v>4239</v>
      </c>
      <c r="AP200" s="6">
        <v>2</v>
      </c>
    </row>
    <row r="201" spans="3:42">
      <c r="C201" s="4" t="s">
        <v>1926</v>
      </c>
      <c r="D201" t="s">
        <v>943</v>
      </c>
      <c r="E201" s="4" t="s">
        <v>3665</v>
      </c>
      <c r="F201" s="4" t="s">
        <v>164</v>
      </c>
      <c r="G201" s="10" t="s">
        <v>4086</v>
      </c>
      <c r="H201" s="136">
        <v>29780950000</v>
      </c>
      <c r="I201" s="5">
        <v>7.6879504658476081E-2</v>
      </c>
      <c r="J201" s="4" t="s">
        <v>4329</v>
      </c>
      <c r="K201">
        <v>7123000000</v>
      </c>
      <c r="L201" s="4" t="s">
        <v>4322</v>
      </c>
      <c r="M201" s="4" t="s">
        <v>3431</v>
      </c>
      <c r="N201" s="4">
        <v>1</v>
      </c>
      <c r="O201" s="6" t="s">
        <v>3148</v>
      </c>
      <c r="Q201" s="120">
        <v>10.8482</v>
      </c>
      <c r="R201">
        <v>0</v>
      </c>
      <c r="S201">
        <v>3003000000</v>
      </c>
      <c r="T201"/>
      <c r="U201">
        <v>2614000000</v>
      </c>
      <c r="V201"/>
      <c r="W201">
        <v>456000000</v>
      </c>
      <c r="X201">
        <v>1406000000</v>
      </c>
      <c r="Y201">
        <v>420000000</v>
      </c>
      <c r="Z201">
        <v>1566000000</v>
      </c>
      <c r="AA201">
        <v>1311000000</v>
      </c>
      <c r="AB201" t="s">
        <v>1664</v>
      </c>
      <c r="AC201" t="s">
        <v>3665</v>
      </c>
      <c r="AD201" t="s">
        <v>3518</v>
      </c>
      <c r="AE201">
        <v>25542896468</v>
      </c>
      <c r="AF201">
        <v>27677854550</v>
      </c>
      <c r="AG201">
        <v>15577672614</v>
      </c>
      <c r="AH201">
        <v>20056951527</v>
      </c>
      <c r="AI201">
        <v>19650659812.5</v>
      </c>
      <c r="AJ201">
        <v>32420968602.649998</v>
      </c>
      <c r="AK201"/>
      <c r="AL201">
        <v>23921403211.75</v>
      </c>
      <c r="AM201"/>
      <c r="AN201">
        <v>29780950000</v>
      </c>
      <c r="AO201" t="s">
        <v>4087</v>
      </c>
      <c r="AP201" s="6">
        <v>2</v>
      </c>
    </row>
    <row r="202" spans="3:42">
      <c r="C202" s="4" t="s">
        <v>1926</v>
      </c>
      <c r="D202" t="s">
        <v>1181</v>
      </c>
      <c r="E202" s="4" t="s">
        <v>3481</v>
      </c>
      <c r="F202" s="4" t="s">
        <v>1926</v>
      </c>
      <c r="G202" s="10" t="s">
        <v>1925</v>
      </c>
      <c r="H202" s="136">
        <v>64314860000</v>
      </c>
      <c r="I202" s="5">
        <v>7.2379408188082694E-2</v>
      </c>
      <c r="J202" s="4" t="s">
        <v>4329</v>
      </c>
      <c r="K202">
        <v>10215000000</v>
      </c>
      <c r="L202" s="4" t="s">
        <v>4322</v>
      </c>
      <c r="M202" s="4" t="s">
        <v>3431</v>
      </c>
      <c r="N202" s="4">
        <v>1</v>
      </c>
      <c r="O202" s="6" t="s">
        <v>3148</v>
      </c>
      <c r="Q202" s="120">
        <v>13.675700000000001</v>
      </c>
      <c r="R202">
        <v>0</v>
      </c>
      <c r="S202">
        <v>4259000000</v>
      </c>
      <c r="T202"/>
      <c r="U202">
        <v>2597000000</v>
      </c>
      <c r="V202"/>
      <c r="W202">
        <v>1242000000</v>
      </c>
      <c r="X202">
        <v>3260000000</v>
      </c>
      <c r="Y202">
        <v>2983000000</v>
      </c>
      <c r="Z202">
        <v>2837000000</v>
      </c>
      <c r="AA202">
        <v>2545000000</v>
      </c>
      <c r="AB202" t="s">
        <v>1664</v>
      </c>
      <c r="AC202" t="s">
        <v>3481</v>
      </c>
      <c r="AD202" t="s">
        <v>3518</v>
      </c>
      <c r="AE202">
        <v>38128067144</v>
      </c>
      <c r="AF202">
        <v>52168983491.519997</v>
      </c>
      <c r="AG202">
        <v>48613900458.239998</v>
      </c>
      <c r="AH202">
        <v>58163341912.899994</v>
      </c>
      <c r="AI202">
        <v>49242138377.040001</v>
      </c>
      <c r="AJ202">
        <v>56226581308.100006</v>
      </c>
      <c r="AK202">
        <v>55642451000</v>
      </c>
      <c r="AL202">
        <v>59535005000</v>
      </c>
      <c r="AM202">
        <v>59535005000</v>
      </c>
      <c r="AN202">
        <v>64314860000</v>
      </c>
      <c r="AO202" t="s">
        <v>4242</v>
      </c>
      <c r="AP202" s="6">
        <v>2</v>
      </c>
    </row>
    <row r="203" spans="3:42">
      <c r="C203" s="4" t="s">
        <v>1926</v>
      </c>
      <c r="D203" t="s">
        <v>106</v>
      </c>
      <c r="E203" s="4" t="s">
        <v>3481</v>
      </c>
      <c r="F203" s="4" t="s">
        <v>4378</v>
      </c>
      <c r="G203" s="10" t="s">
        <v>3245</v>
      </c>
      <c r="H203" s="136">
        <v>2658021000</v>
      </c>
      <c r="I203" s="5">
        <v>5.3973634651600752E-2</v>
      </c>
      <c r="J203" s="4" t="s">
        <v>4329</v>
      </c>
      <c r="K203">
        <v>474000000</v>
      </c>
      <c r="L203" s="4" t="s">
        <v>4325</v>
      </c>
      <c r="M203" s="4" t="s">
        <v>3419</v>
      </c>
      <c r="N203" s="4">
        <v>1</v>
      </c>
      <c r="O203" s="6" t="s">
        <v>3149</v>
      </c>
      <c r="Q203" s="120">
        <v>23.595500000000001</v>
      </c>
      <c r="R203">
        <v>0</v>
      </c>
      <c r="S203">
        <v>113000000</v>
      </c>
      <c r="T203"/>
      <c r="U203">
        <v>114600000</v>
      </c>
      <c r="V203"/>
      <c r="W203">
        <v>50400000</v>
      </c>
      <c r="X203">
        <v>125000000</v>
      </c>
      <c r="Y203">
        <v>155600000</v>
      </c>
      <c r="Z203">
        <v>155100000</v>
      </c>
      <c r="AA203">
        <v>155300000</v>
      </c>
      <c r="AB203" t="s">
        <v>1664</v>
      </c>
      <c r="AC203" t="s">
        <v>3481</v>
      </c>
      <c r="AD203"/>
      <c r="AE203">
        <v>0</v>
      </c>
      <c r="AF203">
        <v>0</v>
      </c>
      <c r="AG203">
        <v>0</v>
      </c>
      <c r="AH203">
        <v>0</v>
      </c>
      <c r="AI203">
        <v>0</v>
      </c>
      <c r="AJ203">
        <v>0</v>
      </c>
      <c r="AK203"/>
      <c r="AL203">
        <v>3138995768</v>
      </c>
      <c r="AM203"/>
      <c r="AN203">
        <v>2658021000</v>
      </c>
      <c r="AO203" t="s">
        <v>3738</v>
      </c>
      <c r="AP203" s="6">
        <v>2</v>
      </c>
    </row>
    <row r="204" spans="3:42">
      <c r="C204" s="4" t="s">
        <v>1926</v>
      </c>
      <c r="D204" t="s">
        <v>3637</v>
      </c>
      <c r="E204" s="4" t="s">
        <v>3481</v>
      </c>
      <c r="F204" s="4" t="s">
        <v>1932</v>
      </c>
      <c r="G204" s="10" t="s">
        <v>1931</v>
      </c>
      <c r="H204" s="136">
        <v>12933170000</v>
      </c>
      <c r="I204" s="5">
        <v>3.9100221109155724E-2</v>
      </c>
      <c r="J204" s="4" t="s">
        <v>4329</v>
      </c>
      <c r="K204">
        <v>3988980000</v>
      </c>
      <c r="L204" s="4" t="s">
        <v>4322</v>
      </c>
      <c r="M204" s="4" t="s">
        <v>3431</v>
      </c>
      <c r="N204" s="4">
        <v>1</v>
      </c>
      <c r="O204" s="6" t="s">
        <v>3148</v>
      </c>
      <c r="Q204" s="120">
        <v>12.1724</v>
      </c>
      <c r="R204">
        <v>1300000000</v>
      </c>
      <c r="S204">
        <v>973000000</v>
      </c>
      <c r="T204"/>
      <c r="U204">
        <v>1125000000</v>
      </c>
      <c r="V204"/>
      <c r="W204">
        <v>696000000</v>
      </c>
      <c r="X204">
        <v>1184000000</v>
      </c>
      <c r="Y204">
        <v>1311000000</v>
      </c>
      <c r="Z204">
        <v>1085000000</v>
      </c>
      <c r="AA204">
        <v>732000000</v>
      </c>
      <c r="AB204">
        <v>9.9485923076923068</v>
      </c>
      <c r="AC204" t="s">
        <v>3481</v>
      </c>
      <c r="AD204" t="s">
        <v>3518</v>
      </c>
      <c r="AE204">
        <v>12066890598</v>
      </c>
      <c r="AF204">
        <v>15823934817.699999</v>
      </c>
      <c r="AG204">
        <v>11539992329.609999</v>
      </c>
      <c r="AH204">
        <v>14346108092.400002</v>
      </c>
      <c r="AI204">
        <v>12808699539</v>
      </c>
      <c r="AJ204">
        <v>12045075994.549999</v>
      </c>
      <c r="AK204"/>
      <c r="AL204">
        <v>10485629756</v>
      </c>
      <c r="AM204"/>
      <c r="AN204">
        <v>12933170000</v>
      </c>
      <c r="AO204" t="s">
        <v>3638</v>
      </c>
      <c r="AP204" s="6">
        <v>2</v>
      </c>
    </row>
    <row r="205" spans="3:42">
      <c r="C205" s="4" t="s">
        <v>1926</v>
      </c>
      <c r="D205"/>
      <c r="E205" s="4" t="s">
        <v>3665</v>
      </c>
      <c r="F205" s="4" t="s">
        <v>4382</v>
      </c>
      <c r="G205" s="10" t="s">
        <v>3664</v>
      </c>
      <c r="H205" s="136">
        <v>178213900</v>
      </c>
      <c r="I205" s="5"/>
      <c r="J205" s="4" t="s">
        <v>4329</v>
      </c>
      <c r="K205" t="s">
        <v>1664</v>
      </c>
      <c r="L205" s="4" t="s">
        <v>4322</v>
      </c>
      <c r="M205" s="4" t="s">
        <v>3148</v>
      </c>
      <c r="N205" s="4">
        <v>1</v>
      </c>
      <c r="O205" s="6" t="s">
        <v>3148</v>
      </c>
      <c r="Q205" s="120">
        <v>4.6734</v>
      </c>
      <c r="R205" t="s">
        <v>1664</v>
      </c>
      <c r="S205">
        <v>0</v>
      </c>
      <c r="T205"/>
      <c r="U205">
        <v>150008000</v>
      </c>
      <c r="V205"/>
      <c r="W205">
        <v>150000000</v>
      </c>
      <c r="X205">
        <v>64000000</v>
      </c>
      <c r="Y205">
        <v>133400000</v>
      </c>
      <c r="Z205">
        <v>171500000</v>
      </c>
      <c r="AA205" t="s">
        <v>1664</v>
      </c>
      <c r="AB205" t="s">
        <v>1664</v>
      </c>
      <c r="AC205" t="s">
        <v>3665</v>
      </c>
      <c r="AD205" t="s">
        <v>3666</v>
      </c>
      <c r="AE205" t="s">
        <v>1664</v>
      </c>
      <c r="AF205">
        <v>3080772459.4000001</v>
      </c>
      <c r="AG205">
        <v>2187171244.8000002</v>
      </c>
      <c r="AH205">
        <v>2463099098.5999999</v>
      </c>
      <c r="AI205">
        <v>2116290695.1999998</v>
      </c>
      <c r="AJ205">
        <v>3108618389.5999999</v>
      </c>
      <c r="AK205"/>
      <c r="AL205">
        <v>0</v>
      </c>
      <c r="AM205"/>
      <c r="AN205">
        <v>178213900</v>
      </c>
      <c r="AO205" t="s">
        <v>3667</v>
      </c>
      <c r="AP205" s="6">
        <v>2</v>
      </c>
    </row>
    <row r="206" spans="3:42">
      <c r="C206" s="4" t="s">
        <v>1926</v>
      </c>
      <c r="D206"/>
      <c r="E206" s="4" t="s">
        <v>3854</v>
      </c>
      <c r="F206" s="4" t="s">
        <v>4404</v>
      </c>
      <c r="G206" s="10" t="s">
        <v>3930</v>
      </c>
      <c r="H206" s="136">
        <v>34504240000</v>
      </c>
      <c r="I206" s="5"/>
      <c r="J206" s="4" t="s">
        <v>4329</v>
      </c>
      <c r="K206" t="s">
        <v>1664</v>
      </c>
      <c r="L206" s="4" t="s">
        <v>3150</v>
      </c>
      <c r="M206" s="4" t="s">
        <v>3431</v>
      </c>
      <c r="N206" s="4">
        <v>1</v>
      </c>
      <c r="O206" s="6" t="s">
        <v>3148</v>
      </c>
      <c r="Q206" s="120">
        <v>10.3438</v>
      </c>
      <c r="R206" t="s">
        <v>1664</v>
      </c>
      <c r="S206">
        <v>0</v>
      </c>
      <c r="T206"/>
      <c r="U206">
        <v>0</v>
      </c>
      <c r="V206"/>
      <c r="W206" t="s">
        <v>1664</v>
      </c>
      <c r="X206">
        <v>1650000000</v>
      </c>
      <c r="Y206">
        <v>1502000000</v>
      </c>
      <c r="Z206">
        <v>1417000000</v>
      </c>
      <c r="AA206">
        <v>1791000000</v>
      </c>
      <c r="AB206" t="s">
        <v>1664</v>
      </c>
      <c r="AC206" t="s">
        <v>3854</v>
      </c>
      <c r="AD206"/>
      <c r="AE206">
        <v>32773090320</v>
      </c>
      <c r="AF206">
        <v>36414544800</v>
      </c>
      <c r="AG206">
        <v>24261431871.959999</v>
      </c>
      <c r="AH206">
        <v>26629128148.549999</v>
      </c>
      <c r="AI206" t="s">
        <v>1664</v>
      </c>
      <c r="AJ206">
        <v>0</v>
      </c>
      <c r="AK206"/>
      <c r="AL206">
        <v>0</v>
      </c>
      <c r="AM206"/>
      <c r="AN206">
        <v>34504240000</v>
      </c>
      <c r="AO206" t="s">
        <v>3931</v>
      </c>
      <c r="AP206" s="6">
        <v>2</v>
      </c>
    </row>
    <row r="207" spans="3:42">
      <c r="C207" s="4" t="s">
        <v>1926</v>
      </c>
      <c r="D207" t="s">
        <v>1949</v>
      </c>
      <c r="E207" s="4" t="s">
        <v>3481</v>
      </c>
      <c r="F207" s="4" t="s">
        <v>1926</v>
      </c>
      <c r="G207" s="10" t="s">
        <v>1947</v>
      </c>
      <c r="H207" s="136">
        <v>9051280000</v>
      </c>
      <c r="I207" s="5"/>
      <c r="J207" s="4" t="s">
        <v>4329</v>
      </c>
      <c r="K207">
        <v>0</v>
      </c>
      <c r="L207" s="4" t="s">
        <v>4322</v>
      </c>
      <c r="M207" s="4" t="s">
        <v>3431</v>
      </c>
      <c r="N207" s="4">
        <v>1</v>
      </c>
      <c r="O207" s="6" t="s">
        <v>3148</v>
      </c>
      <c r="Q207" s="120">
        <v>9.4040999999999997</v>
      </c>
      <c r="R207">
        <v>0</v>
      </c>
      <c r="S207">
        <v>0</v>
      </c>
      <c r="T207"/>
      <c r="U207">
        <v>520000000</v>
      </c>
      <c r="V207"/>
      <c r="W207">
        <v>300000000</v>
      </c>
      <c r="X207">
        <v>725000000</v>
      </c>
      <c r="Y207">
        <v>629000000</v>
      </c>
      <c r="Z207">
        <v>545000000</v>
      </c>
      <c r="AA207">
        <v>475000000</v>
      </c>
      <c r="AB207" t="s">
        <v>1664</v>
      </c>
      <c r="AC207" t="s">
        <v>3481</v>
      </c>
      <c r="AD207" t="s">
        <v>3477</v>
      </c>
      <c r="AE207">
        <v>6502854169.5</v>
      </c>
      <c r="AF207">
        <v>8957544212.3999996</v>
      </c>
      <c r="AG207">
        <v>7075600000</v>
      </c>
      <c r="AH207">
        <v>9996000000</v>
      </c>
      <c r="AI207">
        <v>7872532911.3600006</v>
      </c>
      <c r="AJ207">
        <v>8869000000</v>
      </c>
      <c r="AK207"/>
      <c r="AL207">
        <v>0</v>
      </c>
      <c r="AM207"/>
      <c r="AN207">
        <v>9051280000</v>
      </c>
      <c r="AO207" t="s">
        <v>3761</v>
      </c>
      <c r="AP207" s="6">
        <v>2</v>
      </c>
    </row>
    <row r="208" spans="3:42">
      <c r="C208" s="4" t="s">
        <v>1926</v>
      </c>
      <c r="D208"/>
      <c r="E208" s="4" t="s">
        <v>3854</v>
      </c>
      <c r="G208" s="10" t="s">
        <v>3852</v>
      </c>
      <c r="H208" s="136">
        <v>13528250000</v>
      </c>
      <c r="I208" s="5"/>
      <c r="J208" s="4" t="s">
        <v>4329</v>
      </c>
      <c r="K208" t="s">
        <v>1664</v>
      </c>
      <c r="L208" s="4" t="s">
        <v>3150</v>
      </c>
      <c r="M208" s="4" t="s">
        <v>3431</v>
      </c>
      <c r="N208" s="4">
        <v>0</v>
      </c>
      <c r="Q208" s="120">
        <v>7.33</v>
      </c>
      <c r="R208" t="s">
        <v>1664</v>
      </c>
      <c r="S208">
        <v>0</v>
      </c>
      <c r="T208"/>
      <c r="U208">
        <v>0</v>
      </c>
      <c r="V208"/>
      <c r="W208" t="s">
        <v>1664</v>
      </c>
      <c r="X208" t="s">
        <v>1664</v>
      </c>
      <c r="Y208" t="s">
        <v>1664</v>
      </c>
      <c r="Z208" t="s">
        <v>1664</v>
      </c>
      <c r="AA208" t="s">
        <v>1664</v>
      </c>
      <c r="AB208" t="s">
        <v>1664</v>
      </c>
      <c r="AC208" t="s">
        <v>3854</v>
      </c>
      <c r="AD208" t="s">
        <v>3487</v>
      </c>
      <c r="AE208" t="s">
        <v>1664</v>
      </c>
      <c r="AF208" t="s">
        <v>1664</v>
      </c>
      <c r="AG208" t="s">
        <v>1664</v>
      </c>
      <c r="AH208" t="s">
        <v>1664</v>
      </c>
      <c r="AI208" t="s">
        <v>1664</v>
      </c>
      <c r="AJ208">
        <v>0</v>
      </c>
      <c r="AK208"/>
      <c r="AL208">
        <v>0</v>
      </c>
      <c r="AM208"/>
      <c r="AN208">
        <v>13528250000</v>
      </c>
      <c r="AO208" t="s">
        <v>3855</v>
      </c>
      <c r="AP208" s="6">
        <v>2</v>
      </c>
    </row>
    <row r="209" spans="3:42">
      <c r="C209" s="4" t="s">
        <v>1926</v>
      </c>
      <c r="D209"/>
      <c r="E209" s="4" t="s">
        <v>3481</v>
      </c>
      <c r="F209" s="4" t="s">
        <v>4378</v>
      </c>
      <c r="G209" s="10" t="s">
        <v>425</v>
      </c>
      <c r="H209" s="136">
        <v>4247030000</v>
      </c>
      <c r="I209" s="5"/>
      <c r="J209" s="4" t="s">
        <v>4329</v>
      </c>
      <c r="K209">
        <v>0</v>
      </c>
      <c r="L209" s="4" t="s">
        <v>4325</v>
      </c>
      <c r="M209" s="4" t="s">
        <v>3419</v>
      </c>
      <c r="N209" s="4">
        <v>1</v>
      </c>
      <c r="O209" s="6" t="s">
        <v>3149</v>
      </c>
      <c r="Q209" s="120">
        <v>21.777200000000001</v>
      </c>
      <c r="R209" t="s">
        <v>1664</v>
      </c>
      <c r="S209">
        <v>0</v>
      </c>
      <c r="T209"/>
      <c r="U209">
        <v>148000000</v>
      </c>
      <c r="V209"/>
      <c r="W209">
        <v>-97000000</v>
      </c>
      <c r="X209">
        <v>74889000</v>
      </c>
      <c r="Y209">
        <v>-433736000</v>
      </c>
      <c r="Z209">
        <v>150400000</v>
      </c>
      <c r="AA209">
        <v>-561800000</v>
      </c>
      <c r="AB209" t="s">
        <v>1664</v>
      </c>
      <c r="AC209" t="s">
        <v>3481</v>
      </c>
      <c r="AD209"/>
      <c r="AE209">
        <v>4230749688</v>
      </c>
      <c r="AF209">
        <v>4116460777.7999997</v>
      </c>
      <c r="AG209">
        <v>2844612536.5099998</v>
      </c>
      <c r="AH209">
        <v>3028729222.0799999</v>
      </c>
      <c r="AI209">
        <v>3008742007.6799998</v>
      </c>
      <c r="AJ209">
        <v>3318097440</v>
      </c>
      <c r="AK209"/>
      <c r="AL209">
        <v>4250583840</v>
      </c>
      <c r="AM209"/>
      <c r="AN209">
        <v>4247030000</v>
      </c>
      <c r="AO209" t="s">
        <v>3636</v>
      </c>
      <c r="AP209" s="6">
        <v>2</v>
      </c>
    </row>
    <row r="210" spans="3:42">
      <c r="C210" s="4" t="s">
        <v>4321</v>
      </c>
      <c r="D210" t="s">
        <v>3548</v>
      </c>
      <c r="E210" s="4" t="s">
        <v>3468</v>
      </c>
      <c r="F210" s="4" t="s">
        <v>2737</v>
      </c>
      <c r="G210" s="10" t="s">
        <v>2736</v>
      </c>
      <c r="H210" s="136">
        <v>9246043000</v>
      </c>
      <c r="I210" s="5">
        <v>1.9391118867558659E-2</v>
      </c>
      <c r="J210" s="4" t="s">
        <v>4329</v>
      </c>
      <c r="K210">
        <v>767000000</v>
      </c>
      <c r="L210" s="4" t="s">
        <v>4325</v>
      </c>
      <c r="M210" s="4" t="s">
        <v>3148</v>
      </c>
      <c r="N210" s="4">
        <v>1</v>
      </c>
      <c r="O210" s="6" t="s">
        <v>3148</v>
      </c>
      <c r="Q210" s="120">
        <v>0</v>
      </c>
      <c r="R210">
        <v>-132000000</v>
      </c>
      <c r="S210">
        <v>-581000000</v>
      </c>
      <c r="T210"/>
      <c r="U210">
        <v>247000000</v>
      </c>
      <c r="V210"/>
      <c r="W210">
        <v>467000000</v>
      </c>
      <c r="X210">
        <v>681000000</v>
      </c>
      <c r="Y210">
        <v>365000000</v>
      </c>
      <c r="Z210">
        <v>289000000</v>
      </c>
      <c r="AA210">
        <v>3001000000</v>
      </c>
      <c r="AB210">
        <v>-70.045780303030298</v>
      </c>
      <c r="AC210" t="s">
        <v>3468</v>
      </c>
      <c r="AD210" t="s">
        <v>3518</v>
      </c>
      <c r="AE210">
        <v>5018003651.2999992</v>
      </c>
      <c r="AF210">
        <v>6173902423</v>
      </c>
      <c r="AG210">
        <v>7699592820.1499996</v>
      </c>
      <c r="AH210">
        <v>8629891281.8000011</v>
      </c>
      <c r="AI210">
        <v>8166692481.4800005</v>
      </c>
      <c r="AJ210">
        <v>11588919977.459999</v>
      </c>
      <c r="AK210"/>
      <c r="AL210">
        <v>8520799643.7200003</v>
      </c>
      <c r="AM210"/>
      <c r="AN210">
        <v>9246043000</v>
      </c>
      <c r="AO210" t="s">
        <v>3549</v>
      </c>
      <c r="AP210" s="6">
        <v>2</v>
      </c>
    </row>
    <row r="211" spans="3:42">
      <c r="C211" s="4" t="s">
        <v>4321</v>
      </c>
      <c r="D211"/>
      <c r="E211" s="4" t="s">
        <v>3665</v>
      </c>
      <c r="F211" s="4" t="s">
        <v>4420</v>
      </c>
      <c r="G211" s="10" t="s">
        <v>4119</v>
      </c>
      <c r="H211" s="136">
        <v>3265077000</v>
      </c>
      <c r="I211" s="5"/>
      <c r="J211" s="4" t="s">
        <v>4329</v>
      </c>
      <c r="K211" t="s">
        <v>1664</v>
      </c>
      <c r="L211" s="4" t="s">
        <v>3150</v>
      </c>
      <c r="M211" s="4" t="s">
        <v>3149</v>
      </c>
      <c r="N211" s="4">
        <v>1</v>
      </c>
      <c r="O211" s="6" t="s">
        <v>3149</v>
      </c>
      <c r="Q211" s="120">
        <v>12.4255</v>
      </c>
      <c r="R211" t="s">
        <v>1664</v>
      </c>
      <c r="S211">
        <v>0</v>
      </c>
      <c r="T211"/>
      <c r="U211">
        <v>0</v>
      </c>
      <c r="V211"/>
      <c r="W211">
        <v>0</v>
      </c>
      <c r="X211">
        <v>0</v>
      </c>
      <c r="Y211">
        <v>0</v>
      </c>
      <c r="Z211">
        <v>281000000</v>
      </c>
      <c r="AA211">
        <v>185000000</v>
      </c>
      <c r="AB211" t="s">
        <v>1664</v>
      </c>
      <c r="AC211" t="s">
        <v>3665</v>
      </c>
      <c r="AD211" t="s">
        <v>3496</v>
      </c>
      <c r="AE211">
        <v>5179500000</v>
      </c>
      <c r="AF211">
        <v>5179500000</v>
      </c>
      <c r="AG211">
        <v>0</v>
      </c>
      <c r="AH211">
        <v>0</v>
      </c>
      <c r="AI211">
        <v>0</v>
      </c>
      <c r="AJ211">
        <v>6117000000</v>
      </c>
      <c r="AK211"/>
      <c r="AL211">
        <v>0</v>
      </c>
      <c r="AM211"/>
      <c r="AN211">
        <v>3265077000</v>
      </c>
      <c r="AO211" t="s">
        <v>4120</v>
      </c>
      <c r="AP211" s="6">
        <v>2</v>
      </c>
    </row>
    <row r="212" spans="3:42">
      <c r="C212" s="4" t="s">
        <v>4335</v>
      </c>
      <c r="D212"/>
      <c r="E212" s="4" t="s">
        <v>3495</v>
      </c>
      <c r="F212" s="4" t="s">
        <v>2595</v>
      </c>
      <c r="G212" s="10" t="s">
        <v>3540</v>
      </c>
      <c r="H212" s="136">
        <v>3260428000</v>
      </c>
      <c r="I212" s="5"/>
      <c r="J212" s="4" t="s">
        <v>4329</v>
      </c>
      <c r="K212">
        <v>0</v>
      </c>
      <c r="L212" s="4" t="s">
        <v>4356</v>
      </c>
      <c r="M212" s="4" t="s">
        <v>3149</v>
      </c>
      <c r="N212" s="4">
        <v>1</v>
      </c>
      <c r="O212" s="6" t="s">
        <v>3148</v>
      </c>
      <c r="Q212" s="120">
        <v>65.652699999999996</v>
      </c>
      <c r="R212" t="s">
        <v>1664</v>
      </c>
      <c r="S212">
        <v>0</v>
      </c>
      <c r="T212"/>
      <c r="U212">
        <v>0</v>
      </c>
      <c r="V212"/>
      <c r="W212">
        <v>136000000</v>
      </c>
      <c r="X212">
        <v>89000000</v>
      </c>
      <c r="Y212">
        <v>85000000</v>
      </c>
      <c r="Z212" t="s">
        <v>1664</v>
      </c>
      <c r="AA212" t="s">
        <v>1664</v>
      </c>
      <c r="AB212" t="s">
        <v>1664</v>
      </c>
      <c r="AC212" t="s">
        <v>3495</v>
      </c>
      <c r="AD212"/>
      <c r="AE212" t="s">
        <v>1664</v>
      </c>
      <c r="AF212" t="s">
        <v>1664</v>
      </c>
      <c r="AG212">
        <v>0</v>
      </c>
      <c r="AH212">
        <v>0</v>
      </c>
      <c r="AI212">
        <v>0</v>
      </c>
      <c r="AJ212">
        <v>10750704400</v>
      </c>
      <c r="AK212"/>
      <c r="AL212">
        <v>4051710559.9999995</v>
      </c>
      <c r="AM212"/>
      <c r="AN212">
        <v>3260428000</v>
      </c>
      <c r="AO212" t="s">
        <v>3541</v>
      </c>
      <c r="AP212" s="6">
        <v>2</v>
      </c>
    </row>
    <row r="213" spans="3:42">
      <c r="C213" s="4" t="s">
        <v>2188</v>
      </c>
      <c r="D213"/>
      <c r="E213" s="4" t="s">
        <v>3840</v>
      </c>
      <c r="G213" s="10" t="s">
        <v>4265</v>
      </c>
      <c r="H213" s="136">
        <v>3501545000</v>
      </c>
      <c r="I213" s="5"/>
      <c r="J213" s="4" t="s">
        <v>4329</v>
      </c>
      <c r="K213" t="s">
        <v>1664</v>
      </c>
      <c r="L213" s="4" t="s">
        <v>4330</v>
      </c>
      <c r="M213" s="4" t="s">
        <v>3419</v>
      </c>
      <c r="N213" s="4">
        <v>0</v>
      </c>
      <c r="Q213" s="120">
        <v>15.857200000000001</v>
      </c>
      <c r="R213" t="s">
        <v>1664</v>
      </c>
      <c r="S213">
        <v>0</v>
      </c>
      <c r="T213"/>
      <c r="U213">
        <v>0</v>
      </c>
      <c r="V213"/>
      <c r="W213" t="s">
        <v>1664</v>
      </c>
      <c r="X213" t="s">
        <v>1664</v>
      </c>
      <c r="Y213" t="s">
        <v>1664</v>
      </c>
      <c r="Z213" t="s">
        <v>1664</v>
      </c>
      <c r="AA213" t="s">
        <v>1664</v>
      </c>
      <c r="AB213" t="s">
        <v>1664</v>
      </c>
      <c r="AC213" t="s">
        <v>3840</v>
      </c>
      <c r="AD213" t="s">
        <v>3477</v>
      </c>
      <c r="AE213" t="s">
        <v>1664</v>
      </c>
      <c r="AF213" t="s">
        <v>1664</v>
      </c>
      <c r="AG213" t="s">
        <v>1664</v>
      </c>
      <c r="AH213" t="s">
        <v>1664</v>
      </c>
      <c r="AI213" t="s">
        <v>1664</v>
      </c>
      <c r="AJ213">
        <v>0</v>
      </c>
      <c r="AK213"/>
      <c r="AL213">
        <v>0</v>
      </c>
      <c r="AM213"/>
      <c r="AN213">
        <v>3501545000</v>
      </c>
      <c r="AO213" t="s">
        <v>4267</v>
      </c>
      <c r="AP213" s="6">
        <v>2</v>
      </c>
    </row>
    <row r="214" spans="3:42">
      <c r="C214" s="4" t="s">
        <v>2188</v>
      </c>
      <c r="D214"/>
      <c r="E214" s="4" t="s">
        <v>3481</v>
      </c>
      <c r="G214" s="10" t="s">
        <v>3479</v>
      </c>
      <c r="H214" s="136">
        <v>4857051000</v>
      </c>
      <c r="I214" s="5"/>
      <c r="J214" s="4" t="s">
        <v>4329</v>
      </c>
      <c r="K214" t="s">
        <v>1664</v>
      </c>
      <c r="L214" s="4" t="s">
        <v>4330</v>
      </c>
      <c r="M214" s="4" t="s">
        <v>3419</v>
      </c>
      <c r="N214" s="4">
        <v>0</v>
      </c>
      <c r="Q214" s="120">
        <v>7.9886999999999997</v>
      </c>
      <c r="R214" t="s">
        <v>1664</v>
      </c>
      <c r="S214">
        <v>0</v>
      </c>
      <c r="T214"/>
      <c r="U214">
        <v>0</v>
      </c>
      <c r="V214"/>
      <c r="W214" t="s">
        <v>1664</v>
      </c>
      <c r="X214" t="s">
        <v>1664</v>
      </c>
      <c r="Y214" t="s">
        <v>1664</v>
      </c>
      <c r="Z214" t="s">
        <v>1664</v>
      </c>
      <c r="AA214" t="s">
        <v>1664</v>
      </c>
      <c r="AB214" t="s">
        <v>1664</v>
      </c>
      <c r="AC214" t="s">
        <v>3481</v>
      </c>
      <c r="AD214" t="s">
        <v>3482</v>
      </c>
      <c r="AE214" t="s">
        <v>1664</v>
      </c>
      <c r="AF214" t="s">
        <v>1664</v>
      </c>
      <c r="AG214" t="s">
        <v>1664</v>
      </c>
      <c r="AH214" t="s">
        <v>1664</v>
      </c>
      <c r="AI214" t="s">
        <v>1664</v>
      </c>
      <c r="AJ214">
        <v>0</v>
      </c>
      <c r="AK214"/>
      <c r="AL214">
        <v>0</v>
      </c>
      <c r="AM214"/>
      <c r="AN214">
        <v>4857051000</v>
      </c>
      <c r="AO214" t="s">
        <v>3483</v>
      </c>
      <c r="AP214" s="6">
        <v>2</v>
      </c>
    </row>
    <row r="215" spans="3:42">
      <c r="C215" s="4" t="s">
        <v>2188</v>
      </c>
      <c r="D215" t="s">
        <v>106</v>
      </c>
      <c r="E215" s="4" t="s">
        <v>3567</v>
      </c>
      <c r="F215" s="4" t="s">
        <v>2188</v>
      </c>
      <c r="G215" s="10" t="s">
        <v>4024</v>
      </c>
      <c r="H215" s="136">
        <v>2552073000</v>
      </c>
      <c r="I215" s="5"/>
      <c r="J215" s="4" t="s">
        <v>4329</v>
      </c>
      <c r="K215">
        <v>0</v>
      </c>
      <c r="L215" s="4" t="s">
        <v>4330</v>
      </c>
      <c r="M215" s="4" t="s">
        <v>3419</v>
      </c>
      <c r="N215" s="4">
        <v>1</v>
      </c>
      <c r="O215" s="6" t="s">
        <v>819</v>
      </c>
      <c r="Q215" s="120">
        <v>10.752000000000001</v>
      </c>
      <c r="R215">
        <v>0</v>
      </c>
      <c r="S215">
        <v>0</v>
      </c>
      <c r="T215"/>
      <c r="U215">
        <v>0</v>
      </c>
      <c r="V215"/>
      <c r="W215" t="s">
        <v>1664</v>
      </c>
      <c r="X215" t="s">
        <v>1664</v>
      </c>
      <c r="Y215" t="s">
        <v>1664</v>
      </c>
      <c r="Z215" t="s">
        <v>1664</v>
      </c>
      <c r="AA215" t="s">
        <v>1664</v>
      </c>
      <c r="AB215" t="s">
        <v>1664</v>
      </c>
      <c r="AC215" t="s">
        <v>3567</v>
      </c>
      <c r="AD215" t="s">
        <v>3845</v>
      </c>
      <c r="AE215" t="s">
        <v>1664</v>
      </c>
      <c r="AF215" t="s">
        <v>1664</v>
      </c>
      <c r="AG215" t="s">
        <v>1664</v>
      </c>
      <c r="AH215" t="s">
        <v>1664</v>
      </c>
      <c r="AI215" t="s">
        <v>1664</v>
      </c>
      <c r="AJ215">
        <v>0</v>
      </c>
      <c r="AK215"/>
      <c r="AL215">
        <v>2218110421</v>
      </c>
      <c r="AM215"/>
      <c r="AN215">
        <v>2552073000</v>
      </c>
      <c r="AO215" t="s">
        <v>4025</v>
      </c>
      <c r="AP215" s="6">
        <v>2</v>
      </c>
    </row>
    <row r="216" spans="3:42">
      <c r="C216" s="4" t="s">
        <v>2188</v>
      </c>
      <c r="D216"/>
      <c r="E216" s="4" t="s">
        <v>3840</v>
      </c>
      <c r="G216" s="10" t="s">
        <v>4127</v>
      </c>
      <c r="H216" s="136">
        <v>6877400000</v>
      </c>
      <c r="I216" s="5"/>
      <c r="J216" s="4" t="s">
        <v>4329</v>
      </c>
      <c r="K216" t="s">
        <v>1664</v>
      </c>
      <c r="L216" s="4" t="s">
        <v>4330</v>
      </c>
      <c r="M216" s="4" t="s">
        <v>3419</v>
      </c>
      <c r="N216" s="4">
        <v>0</v>
      </c>
      <c r="Q216" s="120">
        <v>0</v>
      </c>
      <c r="R216" t="s">
        <v>1664</v>
      </c>
      <c r="S216">
        <v>0</v>
      </c>
      <c r="T216"/>
      <c r="U216">
        <v>0</v>
      </c>
      <c r="V216"/>
      <c r="W216" t="s">
        <v>1664</v>
      </c>
      <c r="X216" t="s">
        <v>1664</v>
      </c>
      <c r="Y216" t="s">
        <v>1664</v>
      </c>
      <c r="Z216" t="s">
        <v>1664</v>
      </c>
      <c r="AA216" t="s">
        <v>1664</v>
      </c>
      <c r="AB216" t="s">
        <v>1664</v>
      </c>
      <c r="AC216" t="s">
        <v>3840</v>
      </c>
      <c r="AD216" t="s">
        <v>3482</v>
      </c>
      <c r="AE216" t="s">
        <v>1664</v>
      </c>
      <c r="AF216" t="s">
        <v>1664</v>
      </c>
      <c r="AG216" t="s">
        <v>1664</v>
      </c>
      <c r="AH216" t="s">
        <v>1664</v>
      </c>
      <c r="AI216" t="s">
        <v>1664</v>
      </c>
      <c r="AJ216">
        <v>0</v>
      </c>
      <c r="AK216"/>
      <c r="AL216">
        <v>0</v>
      </c>
      <c r="AM216"/>
      <c r="AN216">
        <v>6877400000</v>
      </c>
      <c r="AO216" t="s">
        <v>4129</v>
      </c>
      <c r="AP216" s="6">
        <v>2</v>
      </c>
    </row>
    <row r="217" spans="3:42">
      <c r="C217" s="4" t="s">
        <v>2188</v>
      </c>
      <c r="D217"/>
      <c r="E217" s="4" t="s">
        <v>3840</v>
      </c>
      <c r="G217" s="10" t="s">
        <v>3838</v>
      </c>
      <c r="H217" s="136">
        <v>10808860000</v>
      </c>
      <c r="I217" s="5"/>
      <c r="J217" s="4" t="s">
        <v>4329</v>
      </c>
      <c r="K217" t="s">
        <v>1664</v>
      </c>
      <c r="L217" s="4" t="s">
        <v>4330</v>
      </c>
      <c r="M217" s="4" t="s">
        <v>3419</v>
      </c>
      <c r="N217" s="4">
        <v>0</v>
      </c>
      <c r="Q217" s="120">
        <v>386.36599999999999</v>
      </c>
      <c r="R217" t="s">
        <v>1664</v>
      </c>
      <c r="S217">
        <v>0</v>
      </c>
      <c r="T217"/>
      <c r="U217">
        <v>0</v>
      </c>
      <c r="V217"/>
      <c r="W217" t="s">
        <v>1664</v>
      </c>
      <c r="X217" t="s">
        <v>1664</v>
      </c>
      <c r="Y217" t="s">
        <v>1664</v>
      </c>
      <c r="Z217" t="s">
        <v>1664</v>
      </c>
      <c r="AA217" t="s">
        <v>1664</v>
      </c>
      <c r="AB217" t="s">
        <v>1664</v>
      </c>
      <c r="AC217" t="s">
        <v>3840</v>
      </c>
      <c r="AD217" t="s">
        <v>3482</v>
      </c>
      <c r="AE217" t="s">
        <v>1664</v>
      </c>
      <c r="AF217" t="s">
        <v>1664</v>
      </c>
      <c r="AG217" t="s">
        <v>1664</v>
      </c>
      <c r="AH217" t="s">
        <v>1664</v>
      </c>
      <c r="AI217" t="s">
        <v>1664</v>
      </c>
      <c r="AJ217">
        <v>0</v>
      </c>
      <c r="AK217"/>
      <c r="AL217">
        <v>0</v>
      </c>
      <c r="AM217"/>
      <c r="AN217">
        <v>10808860000</v>
      </c>
      <c r="AO217" t="s">
        <v>3841</v>
      </c>
      <c r="AP217" s="6">
        <v>2</v>
      </c>
    </row>
    <row r="218" spans="3:42">
      <c r="C218" s="4" t="s">
        <v>4333</v>
      </c>
      <c r="D218" t="s">
        <v>3599</v>
      </c>
      <c r="E218" s="4" t="s">
        <v>3490</v>
      </c>
      <c r="F218" s="4" t="s">
        <v>4373</v>
      </c>
      <c r="G218" s="10" t="s">
        <v>893</v>
      </c>
      <c r="H218" s="136">
        <v>798574100</v>
      </c>
      <c r="I218" s="5">
        <v>3.3771272374570144E-2</v>
      </c>
      <c r="J218" s="4" t="s">
        <v>4329</v>
      </c>
      <c r="K218">
        <v>1020000000</v>
      </c>
      <c r="L218" s="4" t="s">
        <v>4322</v>
      </c>
      <c r="M218" s="4" t="s">
        <v>3148</v>
      </c>
      <c r="N218" s="4">
        <v>1</v>
      </c>
      <c r="O218" s="6" t="s">
        <v>3431</v>
      </c>
      <c r="Q218" s="120">
        <v>0</v>
      </c>
      <c r="R218">
        <v>0</v>
      </c>
      <c r="S218">
        <v>-1012000000</v>
      </c>
      <c r="T218"/>
      <c r="U218">
        <v>-2962000000</v>
      </c>
      <c r="V218"/>
      <c r="W218">
        <v>550000000</v>
      </c>
      <c r="X218">
        <v>834000000</v>
      </c>
      <c r="Y218">
        <v>650000000</v>
      </c>
      <c r="Z218">
        <v>601000000</v>
      </c>
      <c r="AA218">
        <v>578800000</v>
      </c>
      <c r="AB218" t="s">
        <v>1664</v>
      </c>
      <c r="AC218" t="s">
        <v>3490</v>
      </c>
      <c r="AD218" t="s">
        <v>3477</v>
      </c>
      <c r="AE218">
        <v>10500252028.4</v>
      </c>
      <c r="AF218">
        <v>12864332578</v>
      </c>
      <c r="AG218">
        <v>7054490454</v>
      </c>
      <c r="AH218">
        <v>7482035330</v>
      </c>
      <c r="AI218">
        <v>8167091268.9200001</v>
      </c>
      <c r="AJ218">
        <v>4098357637</v>
      </c>
      <c r="AK218"/>
      <c r="AL218">
        <v>987331612.54999995</v>
      </c>
      <c r="AM218"/>
      <c r="AN218">
        <v>798574100</v>
      </c>
      <c r="AO218" t="s">
        <v>3600</v>
      </c>
      <c r="AP218" s="6">
        <v>2</v>
      </c>
    </row>
    <row r="219" spans="3:42">
      <c r="C219" s="4" t="s">
        <v>4333</v>
      </c>
      <c r="D219"/>
      <c r="E219" s="4" t="s">
        <v>3490</v>
      </c>
      <c r="F219" s="4" t="s">
        <v>855</v>
      </c>
      <c r="G219" s="10" t="s">
        <v>4014</v>
      </c>
      <c r="H219" s="136">
        <v>1692952000</v>
      </c>
      <c r="I219" s="5">
        <v>8.2614213197969542E-3</v>
      </c>
      <c r="J219" s="4" t="s">
        <v>4329</v>
      </c>
      <c r="K219">
        <v>308000000</v>
      </c>
      <c r="L219" s="4" t="s">
        <v>4334</v>
      </c>
      <c r="M219" s="4" t="s">
        <v>3149</v>
      </c>
      <c r="N219" s="4">
        <v>1</v>
      </c>
      <c r="O219" s="6" t="s">
        <v>3431</v>
      </c>
      <c r="Q219" s="120"/>
      <c r="R219">
        <v>25000000</v>
      </c>
      <c r="S219">
        <v>-28554000</v>
      </c>
      <c r="T219"/>
      <c r="U219">
        <v>-32344000</v>
      </c>
      <c r="V219"/>
      <c r="W219">
        <v>-11306000</v>
      </c>
      <c r="X219">
        <v>-40900000</v>
      </c>
      <c r="Y219">
        <v>-27900000</v>
      </c>
      <c r="Z219" t="s">
        <v>1664</v>
      </c>
      <c r="AA219" t="s">
        <v>1664</v>
      </c>
      <c r="AB219">
        <v>67.71808</v>
      </c>
      <c r="AC219" t="s">
        <v>3490</v>
      </c>
      <c r="AD219" t="s">
        <v>3477</v>
      </c>
      <c r="AE219" t="s">
        <v>1664</v>
      </c>
      <c r="AF219" t="s">
        <v>1664</v>
      </c>
      <c r="AG219">
        <v>0</v>
      </c>
      <c r="AH219">
        <v>0</v>
      </c>
      <c r="AI219">
        <v>0</v>
      </c>
      <c r="AJ219">
        <v>4788730986.3999996</v>
      </c>
      <c r="AK219"/>
      <c r="AL219">
        <v>3012752801.6800003</v>
      </c>
      <c r="AM219"/>
      <c r="AN219">
        <v>1692952000</v>
      </c>
      <c r="AO219" t="s">
        <v>4015</v>
      </c>
      <c r="AP219" s="6">
        <v>2</v>
      </c>
    </row>
    <row r="220" spans="3:42">
      <c r="C220" s="4" t="s">
        <v>4380</v>
      </c>
      <c r="D220" t="s">
        <v>727</v>
      </c>
      <c r="E220" s="4" t="s">
        <v>3468</v>
      </c>
      <c r="F220" s="4" t="s">
        <v>4386</v>
      </c>
      <c r="G220" s="10" t="s">
        <v>3733</v>
      </c>
      <c r="H220" s="136">
        <v>113089195602</v>
      </c>
      <c r="I220" s="5">
        <v>0.14458793769138598</v>
      </c>
      <c r="J220" s="4" t="s">
        <v>4329</v>
      </c>
      <c r="K220">
        <v>0</v>
      </c>
      <c r="L220" s="4" t="s">
        <v>4322</v>
      </c>
      <c r="M220" s="4" t="s">
        <v>3431</v>
      </c>
      <c r="N220" s="4">
        <v>1</v>
      </c>
      <c r="O220" s="6" t="s">
        <v>3148</v>
      </c>
      <c r="Q220" s="120">
        <v>11.894399999999999</v>
      </c>
      <c r="R220">
        <v>0</v>
      </c>
      <c r="S220">
        <v>7131000000</v>
      </c>
      <c r="T220"/>
      <c r="U220">
        <v>5963000000</v>
      </c>
      <c r="V220"/>
      <c r="W220">
        <v>2751000000</v>
      </c>
      <c r="X220">
        <v>3253000000</v>
      </c>
      <c r="Y220">
        <v>3073000000</v>
      </c>
      <c r="Z220">
        <v>2159100000</v>
      </c>
      <c r="AA220">
        <v>1523900000</v>
      </c>
      <c r="AB220" t="s">
        <v>1664</v>
      </c>
      <c r="AC220" t="s">
        <v>3468</v>
      </c>
      <c r="AD220" t="s">
        <v>3474</v>
      </c>
      <c r="AE220">
        <v>33565648000</v>
      </c>
      <c r="AF220">
        <v>50001750000</v>
      </c>
      <c r="AG220">
        <v>46501000000</v>
      </c>
      <c r="AH220">
        <v>56297360000</v>
      </c>
      <c r="AI220">
        <v>85181230000</v>
      </c>
      <c r="AJ220">
        <v>107667460000</v>
      </c>
      <c r="AK220"/>
      <c r="AL220">
        <v>130343040000</v>
      </c>
      <c r="AM220"/>
      <c r="AN220">
        <v>113089195602</v>
      </c>
      <c r="AO220" t="s">
        <v>3734</v>
      </c>
      <c r="AP220" s="6">
        <v>2</v>
      </c>
    </row>
    <row r="221" spans="3:42">
      <c r="C221" s="4" t="s">
        <v>4380</v>
      </c>
      <c r="D221"/>
      <c r="E221" s="4" t="s">
        <v>3468</v>
      </c>
      <c r="F221" s="4" t="s">
        <v>4396</v>
      </c>
      <c r="G221" s="10" t="s">
        <v>1835</v>
      </c>
      <c r="H221" s="136">
        <v>963942100</v>
      </c>
      <c r="I221" s="5">
        <v>7.5555555555555556E-2</v>
      </c>
      <c r="J221" s="4" t="s">
        <v>4329</v>
      </c>
      <c r="K221">
        <v>240000000</v>
      </c>
      <c r="L221" s="4" t="s">
        <v>4322</v>
      </c>
      <c r="M221" s="4" t="s">
        <v>3431</v>
      </c>
      <c r="N221" s="4">
        <v>1</v>
      </c>
      <c r="O221" s="6" t="s">
        <v>3148</v>
      </c>
      <c r="Q221" s="120">
        <v>10.5648</v>
      </c>
      <c r="R221">
        <v>0</v>
      </c>
      <c r="S221">
        <v>140000000</v>
      </c>
      <c r="T221"/>
      <c r="U221">
        <v>125000000</v>
      </c>
      <c r="V221"/>
      <c r="W221">
        <v>39583000</v>
      </c>
      <c r="X221">
        <v>95625000</v>
      </c>
      <c r="Y221">
        <v>84000000</v>
      </c>
      <c r="Z221">
        <v>60000000</v>
      </c>
      <c r="AA221">
        <v>43000000</v>
      </c>
      <c r="AB221" t="s">
        <v>1664</v>
      </c>
      <c r="AC221" t="s">
        <v>3468</v>
      </c>
      <c r="AD221"/>
      <c r="AE221">
        <v>739724296.29999995</v>
      </c>
      <c r="AF221">
        <v>1208458739</v>
      </c>
      <c r="AG221">
        <v>888572137.5999999</v>
      </c>
      <c r="AH221">
        <v>850887158.54999995</v>
      </c>
      <c r="AI221">
        <v>948074736.0999999</v>
      </c>
      <c r="AJ221">
        <v>1092864392.45</v>
      </c>
      <c r="AK221"/>
      <c r="AL221">
        <v>983776295.20000005</v>
      </c>
      <c r="AM221"/>
      <c r="AN221">
        <v>963942100</v>
      </c>
      <c r="AO221" t="s">
        <v>3947</v>
      </c>
      <c r="AP221" s="6">
        <v>2</v>
      </c>
    </row>
    <row r="222" spans="3:42">
      <c r="C222" s="4" t="s">
        <v>4380</v>
      </c>
      <c r="D222"/>
      <c r="E222" s="4" t="s">
        <v>3468</v>
      </c>
      <c r="F222" s="4" t="s">
        <v>4398</v>
      </c>
      <c r="G222" s="10" t="s">
        <v>3850</v>
      </c>
      <c r="H222" s="136">
        <v>94741250</v>
      </c>
      <c r="I222" s="5">
        <v>2.0122361167137285E-2</v>
      </c>
      <c r="J222" s="4" t="s">
        <v>4329</v>
      </c>
      <c r="K222">
        <v>10000000</v>
      </c>
      <c r="L222" s="4" t="s">
        <v>4322</v>
      </c>
      <c r="M222" s="4" t="s">
        <v>3431</v>
      </c>
      <c r="N222" s="4">
        <v>1</v>
      </c>
      <c r="O222" s="6" t="s">
        <v>3148</v>
      </c>
      <c r="Q222" s="120">
        <v>0</v>
      </c>
      <c r="R222" t="s">
        <v>1664</v>
      </c>
      <c r="S222">
        <v>0</v>
      </c>
      <c r="T222"/>
      <c r="U222">
        <v>8138000</v>
      </c>
      <c r="V222"/>
      <c r="W222">
        <v>-26017000</v>
      </c>
      <c r="X222">
        <v>19500000</v>
      </c>
      <c r="Y222">
        <v>23873000</v>
      </c>
      <c r="Z222">
        <v>17688000</v>
      </c>
      <c r="AA222">
        <v>23255000</v>
      </c>
      <c r="AB222" t="s">
        <v>1664</v>
      </c>
      <c r="AC222" t="s">
        <v>3468</v>
      </c>
      <c r="AD222" t="s">
        <v>3845</v>
      </c>
      <c r="AE222">
        <v>441080112.44</v>
      </c>
      <c r="AF222">
        <v>533311658</v>
      </c>
      <c r="AG222">
        <v>282341466</v>
      </c>
      <c r="AH222">
        <v>151836980.68000001</v>
      </c>
      <c r="AI222">
        <v>190423633.18000001</v>
      </c>
      <c r="AJ222">
        <v>150582115.19999999</v>
      </c>
      <c r="AK222"/>
      <c r="AL222">
        <v>108701464.41</v>
      </c>
      <c r="AM222"/>
      <c r="AN222">
        <v>94741250</v>
      </c>
      <c r="AO222" t="s">
        <v>3851</v>
      </c>
      <c r="AP222" s="6">
        <v>2</v>
      </c>
    </row>
    <row r="223" spans="3:42">
      <c r="C223" s="4" t="s">
        <v>4380</v>
      </c>
      <c r="D223"/>
      <c r="E223" s="4" t="s">
        <v>4020</v>
      </c>
      <c r="F223" s="4" t="s">
        <v>4432</v>
      </c>
      <c r="G223" s="10" t="s">
        <v>2277</v>
      </c>
      <c r="H223" s="136">
        <v>2447972000</v>
      </c>
      <c r="I223" s="5"/>
      <c r="J223" s="4" t="s">
        <v>4329</v>
      </c>
      <c r="K223">
        <v>0</v>
      </c>
      <c r="L223" s="4" t="s">
        <v>4348</v>
      </c>
      <c r="M223" s="4" t="s">
        <v>3431</v>
      </c>
      <c r="N223" s="4">
        <v>1</v>
      </c>
      <c r="O223" s="6" t="s">
        <v>3148</v>
      </c>
      <c r="Q223" s="120">
        <v>9.3511000000000006</v>
      </c>
      <c r="R223">
        <v>0</v>
      </c>
      <c r="S223">
        <v>0</v>
      </c>
      <c r="T223"/>
      <c r="U223">
        <v>160000000</v>
      </c>
      <c r="V223"/>
      <c r="W223">
        <v>139600000</v>
      </c>
      <c r="X223">
        <v>167500000</v>
      </c>
      <c r="Y223">
        <v>182700000</v>
      </c>
      <c r="Z223">
        <v>126900000</v>
      </c>
      <c r="AA223">
        <v>89700000</v>
      </c>
      <c r="AB223" t="s">
        <v>1664</v>
      </c>
      <c r="AC223" t="s">
        <v>4020</v>
      </c>
      <c r="AD223" t="s">
        <v>3477</v>
      </c>
      <c r="AE223">
        <v>1437264874.77</v>
      </c>
      <c r="AF223">
        <v>2840497916.0999999</v>
      </c>
      <c r="AG223">
        <v>1559470094.8500001</v>
      </c>
      <c r="AH223">
        <v>1821476539.8</v>
      </c>
      <c r="AI223">
        <v>2799891751.2000003</v>
      </c>
      <c r="AJ223">
        <v>3335506402.5</v>
      </c>
      <c r="AK223"/>
      <c r="AL223">
        <v>0</v>
      </c>
      <c r="AM223"/>
      <c r="AN223">
        <v>2447972000</v>
      </c>
      <c r="AO223" t="s">
        <v>4199</v>
      </c>
      <c r="AP223" s="6">
        <v>2</v>
      </c>
    </row>
    <row r="224" spans="3:42">
      <c r="C224" s="4" t="s">
        <v>4380</v>
      </c>
      <c r="D224"/>
      <c r="E224" s="4" t="s">
        <v>3468</v>
      </c>
      <c r="G224" s="10" t="s">
        <v>3660</v>
      </c>
      <c r="H224" s="136">
        <v>139553369049</v>
      </c>
      <c r="I224" s="5"/>
      <c r="J224" s="4" t="s">
        <v>4329</v>
      </c>
      <c r="K224" t="s">
        <v>1664</v>
      </c>
      <c r="L224" s="4" t="s">
        <v>4322</v>
      </c>
      <c r="M224" s="4" t="s">
        <v>3431</v>
      </c>
      <c r="N224" s="4">
        <v>0</v>
      </c>
      <c r="Q224" s="120">
        <v>17.338799999999999</v>
      </c>
      <c r="R224" t="s">
        <v>1664</v>
      </c>
      <c r="S224">
        <v>0</v>
      </c>
      <c r="T224"/>
      <c r="U224">
        <v>0</v>
      </c>
      <c r="V224"/>
      <c r="W224" t="s">
        <v>1664</v>
      </c>
      <c r="X224" t="s">
        <v>1664</v>
      </c>
      <c r="Y224" t="s">
        <v>1664</v>
      </c>
      <c r="Z224" t="s">
        <v>1664</v>
      </c>
      <c r="AA224" t="s">
        <v>1664</v>
      </c>
      <c r="AB224" t="s">
        <v>1664</v>
      </c>
      <c r="AC224" t="s">
        <v>3468</v>
      </c>
      <c r="AD224" t="s">
        <v>3464</v>
      </c>
      <c r="AE224" t="s">
        <v>1664</v>
      </c>
      <c r="AF224" t="s">
        <v>1664</v>
      </c>
      <c r="AG224" t="s">
        <v>1664</v>
      </c>
      <c r="AH224" t="s">
        <v>1664</v>
      </c>
      <c r="AI224" t="s">
        <v>1664</v>
      </c>
      <c r="AJ224">
        <v>0</v>
      </c>
      <c r="AK224"/>
      <c r="AL224">
        <v>0</v>
      </c>
      <c r="AM224"/>
      <c r="AN224">
        <v>139553369049</v>
      </c>
      <c r="AO224" t="s">
        <v>3662</v>
      </c>
      <c r="AP224" s="6">
        <v>2</v>
      </c>
    </row>
    <row r="225" spans="3:42">
      <c r="C225" s="4" t="s">
        <v>4366</v>
      </c>
      <c r="D225" t="s">
        <v>3555</v>
      </c>
      <c r="E225" s="4" t="s">
        <v>3578</v>
      </c>
      <c r="F225" s="4" t="s">
        <v>4368</v>
      </c>
      <c r="G225" s="10" t="s">
        <v>3585</v>
      </c>
      <c r="H225" s="136">
        <v>20450380000</v>
      </c>
      <c r="I225" s="5"/>
      <c r="J225" s="4" t="s">
        <v>4329</v>
      </c>
      <c r="K225">
        <v>0</v>
      </c>
      <c r="L225" s="4" t="s">
        <v>4322</v>
      </c>
      <c r="M225" s="4" t="s">
        <v>3431</v>
      </c>
      <c r="N225" s="4">
        <v>1</v>
      </c>
      <c r="O225" s="6" t="s">
        <v>3148</v>
      </c>
      <c r="Q225" s="120">
        <v>5.3376999999999999</v>
      </c>
      <c r="R225">
        <v>0</v>
      </c>
      <c r="S225">
        <v>8930000000</v>
      </c>
      <c r="T225">
        <v>8930000000</v>
      </c>
      <c r="U225">
        <v>12389380530.973452</v>
      </c>
      <c r="V225"/>
      <c r="W225">
        <v>-733000000</v>
      </c>
      <c r="X225">
        <v>-2230909090.9090905</v>
      </c>
      <c r="Y225">
        <v>4597321428.5714283</v>
      </c>
      <c r="Z225">
        <v>3770491803.2786884</v>
      </c>
      <c r="AA225">
        <v>1662616822.4299064</v>
      </c>
      <c r="AB225" t="s">
        <v>1664</v>
      </c>
      <c r="AC225" t="s">
        <v>3578</v>
      </c>
      <c r="AD225" t="s">
        <v>3518</v>
      </c>
      <c r="AE225">
        <v>21766547169.899998</v>
      </c>
      <c r="AF225">
        <v>27591397821</v>
      </c>
      <c r="AG225">
        <v>20728384578</v>
      </c>
      <c r="AH225">
        <v>14394711512.5</v>
      </c>
      <c r="AI225">
        <v>19675026156.600002</v>
      </c>
      <c r="AJ225">
        <v>27323940000</v>
      </c>
      <c r="AK225"/>
      <c r="AL225">
        <v>24090177000</v>
      </c>
      <c r="AM225">
        <v>24090177000</v>
      </c>
      <c r="AN225">
        <v>20450380000</v>
      </c>
      <c r="AO225" t="s">
        <v>3586</v>
      </c>
      <c r="AP225" s="6">
        <v>2</v>
      </c>
    </row>
    <row r="226" spans="3:42">
      <c r="C226" s="4" t="s">
        <v>4366</v>
      </c>
      <c r="D226"/>
      <c r="E226" s="4" t="s">
        <v>3578</v>
      </c>
      <c r="G226" s="10" t="s">
        <v>3576</v>
      </c>
      <c r="H226" s="136">
        <v>2161616000</v>
      </c>
      <c r="I226" s="5"/>
      <c r="J226" s="4" t="s">
        <v>4329</v>
      </c>
      <c r="K226" t="s">
        <v>1664</v>
      </c>
      <c r="L226" s="4" t="s">
        <v>4322</v>
      </c>
      <c r="M226" s="4" t="s">
        <v>3431</v>
      </c>
      <c r="N226" s="4">
        <v>0</v>
      </c>
      <c r="Q226" s="120">
        <v>6.7831999999999999</v>
      </c>
      <c r="R226" t="s">
        <v>1664</v>
      </c>
      <c r="S226">
        <v>0</v>
      </c>
      <c r="T226"/>
      <c r="U226">
        <v>0</v>
      </c>
      <c r="V226"/>
      <c r="W226" t="s">
        <v>1664</v>
      </c>
      <c r="X226" t="s">
        <v>1664</v>
      </c>
      <c r="Y226" t="s">
        <v>1664</v>
      </c>
      <c r="Z226" t="s">
        <v>1664</v>
      </c>
      <c r="AA226" t="s">
        <v>1664</v>
      </c>
      <c r="AB226" t="s">
        <v>1664</v>
      </c>
      <c r="AC226" t="s">
        <v>3578</v>
      </c>
      <c r="AD226" t="s">
        <v>3477</v>
      </c>
      <c r="AE226" t="s">
        <v>1664</v>
      </c>
      <c r="AF226" t="s">
        <v>1664</v>
      </c>
      <c r="AG226" t="s">
        <v>1664</v>
      </c>
      <c r="AH226" t="s">
        <v>1664</v>
      </c>
      <c r="AI226" t="s">
        <v>1664</v>
      </c>
      <c r="AJ226">
        <v>0</v>
      </c>
      <c r="AK226"/>
      <c r="AL226">
        <v>0</v>
      </c>
      <c r="AM226"/>
      <c r="AN226">
        <v>2161616000</v>
      </c>
      <c r="AO226" t="s">
        <v>3579</v>
      </c>
      <c r="AP226" s="6">
        <v>2</v>
      </c>
    </row>
    <row r="227" spans="3:42">
      <c r="C227" s="4" t="s">
        <v>514</v>
      </c>
      <c r="D227" t="s">
        <v>106</v>
      </c>
      <c r="E227" s="4" t="s">
        <v>3517</v>
      </c>
      <c r="F227" s="4" t="s">
        <v>514</v>
      </c>
      <c r="G227" s="10" t="s">
        <v>513</v>
      </c>
      <c r="H227" s="136">
        <v>5711552000</v>
      </c>
      <c r="I227" s="5">
        <v>3.8213043478260871E-2</v>
      </c>
      <c r="J227" s="4" t="s">
        <v>4329</v>
      </c>
      <c r="K227">
        <v>1100000000</v>
      </c>
      <c r="L227" s="4" t="s">
        <v>4322</v>
      </c>
      <c r="M227" s="4" t="s">
        <v>3431</v>
      </c>
      <c r="N227" s="4">
        <v>1</v>
      </c>
      <c r="O227" s="6" t="s">
        <v>3431</v>
      </c>
      <c r="Q227" s="120">
        <v>11.497999999999999</v>
      </c>
      <c r="R227" t="s">
        <v>1664</v>
      </c>
      <c r="S227">
        <v>530000000</v>
      </c>
      <c r="T227"/>
      <c r="U227">
        <v>619000000</v>
      </c>
      <c r="V227"/>
      <c r="W227">
        <v>130500000</v>
      </c>
      <c r="X227">
        <v>287791000</v>
      </c>
      <c r="Y227">
        <v>316984000</v>
      </c>
      <c r="Z227">
        <v>211943000</v>
      </c>
      <c r="AA227">
        <v>130724000</v>
      </c>
      <c r="AB227" t="s">
        <v>1664</v>
      </c>
      <c r="AC227" t="s">
        <v>3517</v>
      </c>
      <c r="AD227" t="s">
        <v>3482</v>
      </c>
      <c r="AE227">
        <v>6092800000</v>
      </c>
      <c r="AF227">
        <v>10102400000</v>
      </c>
      <c r="AG227">
        <v>8959104000</v>
      </c>
      <c r="AH227">
        <v>10681440000</v>
      </c>
      <c r="AI227">
        <v>10856384000</v>
      </c>
      <c r="AJ227">
        <v>8808800000</v>
      </c>
      <c r="AK227"/>
      <c r="AL227">
        <v>8456448000</v>
      </c>
      <c r="AM227"/>
      <c r="AN227">
        <v>5711552000</v>
      </c>
      <c r="AO227" t="s">
        <v>4209</v>
      </c>
      <c r="AP227" s="6">
        <v>2</v>
      </c>
    </row>
    <row r="228" spans="3:42">
      <c r="C228" s="4" t="s">
        <v>1315</v>
      </c>
      <c r="D228"/>
      <c r="E228" s="4" t="s">
        <v>3623</v>
      </c>
      <c r="F228" s="4" t="s">
        <v>1315</v>
      </c>
      <c r="G228" s="10" t="s">
        <v>3622</v>
      </c>
      <c r="H228" s="136">
        <v>2806350000</v>
      </c>
      <c r="I228" s="5">
        <v>0.20233672053359594</v>
      </c>
      <c r="J228" s="4" t="s">
        <v>3431</v>
      </c>
      <c r="K228">
        <v>404500000</v>
      </c>
      <c r="L228" s="4" t="s">
        <v>3150</v>
      </c>
      <c r="M228" s="4" t="s">
        <v>3149</v>
      </c>
      <c r="N228" s="4">
        <v>1</v>
      </c>
      <c r="O228" s="6" t="s">
        <v>3431</v>
      </c>
      <c r="Q228" s="120">
        <v>14.501799999999999</v>
      </c>
      <c r="R228">
        <v>0</v>
      </c>
      <c r="S228">
        <v>225200000</v>
      </c>
      <c r="T228"/>
      <c r="U228">
        <v>191700000</v>
      </c>
      <c r="V228"/>
      <c r="W228">
        <v>170000000</v>
      </c>
      <c r="X228">
        <v>176100000</v>
      </c>
      <c r="Y228">
        <v>173400000</v>
      </c>
      <c r="Z228">
        <v>288300000</v>
      </c>
      <c r="AA228">
        <v>249700000</v>
      </c>
      <c r="AB228" t="s">
        <v>1664</v>
      </c>
      <c r="AC228" t="s">
        <v>3623</v>
      </c>
      <c r="AD228" t="s">
        <v>3477</v>
      </c>
      <c r="AE228">
        <v>6075743037.8500004</v>
      </c>
      <c r="AF228">
        <v>4311044097.2399998</v>
      </c>
      <c r="AG228">
        <v>3631889381.8500004</v>
      </c>
      <c r="AH228">
        <v>2822998880</v>
      </c>
      <c r="AI228">
        <v>2106321422.3999999</v>
      </c>
      <c r="AJ228">
        <v>2078940289.8</v>
      </c>
      <c r="AK228"/>
      <c r="AL228">
        <v>2725038012</v>
      </c>
      <c r="AM228"/>
      <c r="AN228">
        <v>2806350000</v>
      </c>
      <c r="AO228" t="s">
        <v>3624</v>
      </c>
      <c r="AP228" s="6">
        <v>3</v>
      </c>
    </row>
    <row r="229" spans="3:42">
      <c r="C229" s="4" t="s">
        <v>1315</v>
      </c>
      <c r="D229"/>
      <c r="E229" s="4" t="s">
        <v>3892</v>
      </c>
      <c r="G229" s="10" t="s">
        <v>3891</v>
      </c>
      <c r="H229" s="136">
        <v>3750454000</v>
      </c>
      <c r="I229" s="5">
        <v>0.13996603453155959</v>
      </c>
      <c r="J229" s="4" t="s">
        <v>3431</v>
      </c>
      <c r="K229">
        <v>159008000</v>
      </c>
      <c r="L229" s="4" t="s">
        <v>3150</v>
      </c>
      <c r="M229" s="4" t="s">
        <v>3149</v>
      </c>
      <c r="N229" s="4">
        <v>0</v>
      </c>
      <c r="Q229" s="120">
        <v>28.668099999999999</v>
      </c>
      <c r="R229">
        <v>0</v>
      </c>
      <c r="S229">
        <v>99500000</v>
      </c>
      <c r="T229"/>
      <c r="U229">
        <v>71100000</v>
      </c>
      <c r="V229"/>
      <c r="W229">
        <v>30700000</v>
      </c>
      <c r="X229">
        <v>50600000</v>
      </c>
      <c r="Y229">
        <v>47200000</v>
      </c>
      <c r="Z229">
        <v>0</v>
      </c>
      <c r="AA229" t="s">
        <v>1664</v>
      </c>
      <c r="AB229" t="s">
        <v>1664</v>
      </c>
      <c r="AC229" t="s">
        <v>3892</v>
      </c>
      <c r="AD229" t="s">
        <v>3477</v>
      </c>
      <c r="AE229" t="s">
        <v>1664</v>
      </c>
      <c r="AF229">
        <v>0</v>
      </c>
      <c r="AG229">
        <v>990357725.39999998</v>
      </c>
      <c r="AH229">
        <v>1309162663</v>
      </c>
      <c r="AI229">
        <v>1845588519.5</v>
      </c>
      <c r="AJ229">
        <v>3821251978.1799998</v>
      </c>
      <c r="AK229"/>
      <c r="AL229">
        <v>0</v>
      </c>
      <c r="AM229"/>
      <c r="AN229">
        <v>3750454000</v>
      </c>
      <c r="AO229" t="s">
        <v>3893</v>
      </c>
      <c r="AP229" s="6">
        <v>3</v>
      </c>
    </row>
    <row r="230" spans="3:42">
      <c r="C230" s="4" t="s">
        <v>1315</v>
      </c>
      <c r="D230"/>
      <c r="E230" s="4" t="s">
        <v>3486</v>
      </c>
      <c r="F230" s="4" t="s">
        <v>4415</v>
      </c>
      <c r="G230" s="10" t="s">
        <v>4043</v>
      </c>
      <c r="H230" s="136">
        <v>8958983000</v>
      </c>
      <c r="I230" s="5">
        <v>6.581139029662969E-2</v>
      </c>
      <c r="J230" s="4" t="s">
        <v>3431</v>
      </c>
      <c r="K230">
        <v>0</v>
      </c>
      <c r="L230" s="4" t="s">
        <v>4348</v>
      </c>
      <c r="M230" s="4" t="s">
        <v>3149</v>
      </c>
      <c r="N230" s="4">
        <v>1</v>
      </c>
      <c r="O230" s="6" t="s">
        <v>3431</v>
      </c>
      <c r="Q230" s="120">
        <v>27.73</v>
      </c>
      <c r="R230">
        <v>0</v>
      </c>
      <c r="S230">
        <v>353500000</v>
      </c>
      <c r="T230"/>
      <c r="U230">
        <v>309600000</v>
      </c>
      <c r="V230"/>
      <c r="W230">
        <v>78900000</v>
      </c>
      <c r="X230">
        <v>262400000</v>
      </c>
      <c r="Y230">
        <v>187400000</v>
      </c>
      <c r="Z230">
        <v>135800000</v>
      </c>
      <c r="AA230">
        <v>62400000</v>
      </c>
      <c r="AB230" t="s">
        <v>1664</v>
      </c>
      <c r="AC230" t="s">
        <v>3486</v>
      </c>
      <c r="AD230" t="s">
        <v>3487</v>
      </c>
      <c r="AE230">
        <v>0</v>
      </c>
      <c r="AF230">
        <v>4675571280</v>
      </c>
      <c r="AG230">
        <v>7616656440</v>
      </c>
      <c r="AH230">
        <v>13849611992.639999</v>
      </c>
      <c r="AI230">
        <v>13803242400</v>
      </c>
      <c r="AJ230">
        <v>16083075000</v>
      </c>
      <c r="AK230"/>
      <c r="AL230">
        <v>8482887000</v>
      </c>
      <c r="AM230"/>
      <c r="AN230">
        <v>8958983000</v>
      </c>
      <c r="AO230" t="s">
        <v>4044</v>
      </c>
      <c r="AP230" s="6">
        <v>3</v>
      </c>
    </row>
    <row r="231" spans="3:42">
      <c r="C231" s="4" t="s">
        <v>1315</v>
      </c>
      <c r="D231" t="s">
        <v>4009</v>
      </c>
      <c r="E231" s="4" t="s">
        <v>3892</v>
      </c>
      <c r="F231" s="4" t="s">
        <v>1315</v>
      </c>
      <c r="G231" s="10" t="s">
        <v>1857</v>
      </c>
      <c r="H231" s="136">
        <v>591664700</v>
      </c>
      <c r="I231" s="5">
        <v>1.3862469942217277E-2</v>
      </c>
      <c r="J231" s="4" t="s">
        <v>3431</v>
      </c>
      <c r="K231">
        <v>135000000</v>
      </c>
      <c r="L231" s="4" t="s">
        <v>3150</v>
      </c>
      <c r="M231" s="4" t="s">
        <v>3431</v>
      </c>
      <c r="N231" s="4">
        <v>1</v>
      </c>
      <c r="O231" s="6" t="s">
        <v>3149</v>
      </c>
      <c r="Q231" s="120">
        <v>0</v>
      </c>
      <c r="R231">
        <v>20000000</v>
      </c>
      <c r="S231">
        <v>-270900000</v>
      </c>
      <c r="T231"/>
      <c r="U231">
        <v>-61900000</v>
      </c>
      <c r="V231"/>
      <c r="W231">
        <v>54000000</v>
      </c>
      <c r="X231">
        <v>37300000</v>
      </c>
      <c r="Y231">
        <v>97000000</v>
      </c>
      <c r="Z231">
        <v>128400000</v>
      </c>
      <c r="AA231">
        <v>119700000</v>
      </c>
      <c r="AB231">
        <v>29.583234999999998</v>
      </c>
      <c r="AC231" t="s">
        <v>3892</v>
      </c>
      <c r="AD231" t="s">
        <v>4010</v>
      </c>
      <c r="AE231">
        <v>2114826301</v>
      </c>
      <c r="AF231">
        <v>2358424323.52</v>
      </c>
      <c r="AG231">
        <v>1317555488</v>
      </c>
      <c r="AH231">
        <v>1235208270</v>
      </c>
      <c r="AI231">
        <v>905819398</v>
      </c>
      <c r="AJ231">
        <v>575607053.82000005</v>
      </c>
      <c r="AK231"/>
      <c r="AL231">
        <v>513846640.31999999</v>
      </c>
      <c r="AM231"/>
      <c r="AN231">
        <v>591664700</v>
      </c>
      <c r="AO231" t="s">
        <v>4011</v>
      </c>
      <c r="AP231" s="6">
        <v>3</v>
      </c>
    </row>
    <row r="232" spans="3:42">
      <c r="C232" s="4" t="s">
        <v>1315</v>
      </c>
      <c r="D232"/>
      <c r="E232" s="4" t="s">
        <v>3651</v>
      </c>
      <c r="F232" s="4" t="s">
        <v>1315</v>
      </c>
      <c r="G232" s="10" t="s">
        <v>3650</v>
      </c>
      <c r="H232" s="136">
        <v>12727033670</v>
      </c>
      <c r="I232" s="5"/>
      <c r="J232" s="4" t="s">
        <v>3431</v>
      </c>
      <c r="K232" t="s">
        <v>1664</v>
      </c>
      <c r="L232" s="4" t="s">
        <v>3150</v>
      </c>
      <c r="M232" s="4" t="s">
        <v>3149</v>
      </c>
      <c r="N232" s="4">
        <v>1</v>
      </c>
      <c r="O232" s="6" t="s">
        <v>3431</v>
      </c>
      <c r="Q232" s="120">
        <v>14.953099999999999</v>
      </c>
      <c r="R232" t="s">
        <v>1664</v>
      </c>
      <c r="S232">
        <v>0</v>
      </c>
      <c r="T232"/>
      <c r="U232">
        <v>0</v>
      </c>
      <c r="V232"/>
      <c r="W232" t="s">
        <v>1664</v>
      </c>
      <c r="X232" t="s">
        <v>1664</v>
      </c>
      <c r="Y232" t="s">
        <v>1664</v>
      </c>
      <c r="Z232">
        <v>0</v>
      </c>
      <c r="AA232">
        <v>563000000</v>
      </c>
      <c r="AB232" t="s">
        <v>1664</v>
      </c>
      <c r="AC232" t="s">
        <v>3651</v>
      </c>
      <c r="AD232"/>
      <c r="AE232">
        <v>19285081400</v>
      </c>
      <c r="AF232">
        <v>14891800000</v>
      </c>
      <c r="AG232" t="s">
        <v>1664</v>
      </c>
      <c r="AH232" t="s">
        <v>1664</v>
      </c>
      <c r="AI232" t="s">
        <v>1664</v>
      </c>
      <c r="AJ232">
        <v>13385680000</v>
      </c>
      <c r="AK232"/>
      <c r="AL232">
        <v>0</v>
      </c>
      <c r="AM232"/>
      <c r="AN232">
        <v>12727033670</v>
      </c>
      <c r="AO232" t="s">
        <v>3652</v>
      </c>
      <c r="AP232" s="6">
        <v>3</v>
      </c>
    </row>
    <row r="233" spans="3:42">
      <c r="C233" s="4" t="s">
        <v>1315</v>
      </c>
      <c r="D233" t="s">
        <v>664</v>
      </c>
      <c r="E233" s="4" t="s">
        <v>3651</v>
      </c>
      <c r="G233" s="10" t="s">
        <v>3989</v>
      </c>
      <c r="H233" s="136">
        <v>284942400000</v>
      </c>
      <c r="I233" s="5"/>
      <c r="J233" s="4" t="s">
        <v>3431</v>
      </c>
      <c r="K233" t="s">
        <v>1664</v>
      </c>
      <c r="L233" s="4" t="s">
        <v>3150</v>
      </c>
      <c r="M233" s="4" t="s">
        <v>3149</v>
      </c>
      <c r="N233" s="4">
        <v>0</v>
      </c>
      <c r="Q233" s="120">
        <v>29.480699999999999</v>
      </c>
      <c r="R233" t="s">
        <v>1664</v>
      </c>
      <c r="S233">
        <v>0</v>
      </c>
      <c r="T233"/>
      <c r="U233">
        <v>0</v>
      </c>
      <c r="V233"/>
      <c r="W233" t="s">
        <v>1664</v>
      </c>
      <c r="X233" t="s">
        <v>1664</v>
      </c>
      <c r="Y233" t="s">
        <v>1664</v>
      </c>
      <c r="Z233" t="s">
        <v>1664</v>
      </c>
      <c r="AA233" t="s">
        <v>1664</v>
      </c>
      <c r="AB233" t="s">
        <v>1664</v>
      </c>
      <c r="AC233" t="s">
        <v>3651</v>
      </c>
      <c r="AD233" t="s">
        <v>3469</v>
      </c>
      <c r="AE233" t="s">
        <v>1664</v>
      </c>
      <c r="AF233" t="s">
        <v>1664</v>
      </c>
      <c r="AG233" t="s">
        <v>1664</v>
      </c>
      <c r="AH233" t="s">
        <v>1664</v>
      </c>
      <c r="AI233" t="s">
        <v>1664</v>
      </c>
      <c r="AJ233">
        <v>0</v>
      </c>
      <c r="AK233"/>
      <c r="AL233">
        <v>0</v>
      </c>
      <c r="AM233"/>
      <c r="AN233">
        <v>284942400000</v>
      </c>
      <c r="AO233" t="s">
        <v>3991</v>
      </c>
      <c r="AP233" s="6">
        <v>3</v>
      </c>
    </row>
    <row r="234" spans="3:42">
      <c r="C234" s="4" t="s">
        <v>1315</v>
      </c>
      <c r="D234"/>
      <c r="E234" s="4" t="s">
        <v>3892</v>
      </c>
      <c r="G234" s="10" t="s">
        <v>4184</v>
      </c>
      <c r="H234" s="136">
        <v>360439799420</v>
      </c>
      <c r="I234" s="5"/>
      <c r="J234" s="4" t="s">
        <v>3431</v>
      </c>
      <c r="K234" t="s">
        <v>1664</v>
      </c>
      <c r="L234" s="4" t="s">
        <v>3150</v>
      </c>
      <c r="M234" s="4" t="s">
        <v>3149</v>
      </c>
      <c r="N234" s="4">
        <v>0</v>
      </c>
      <c r="Q234" s="120">
        <v>26.0215</v>
      </c>
      <c r="R234" t="s">
        <v>1664</v>
      </c>
      <c r="S234">
        <v>0</v>
      </c>
      <c r="T234"/>
      <c r="U234">
        <v>0</v>
      </c>
      <c r="V234"/>
      <c r="W234" t="s">
        <v>1664</v>
      </c>
      <c r="X234" t="s">
        <v>1664</v>
      </c>
      <c r="Y234" t="s">
        <v>1664</v>
      </c>
      <c r="Z234" t="s">
        <v>1664</v>
      </c>
      <c r="AA234" t="s">
        <v>1664</v>
      </c>
      <c r="AB234" t="s">
        <v>1664</v>
      </c>
      <c r="AC234" t="s">
        <v>3892</v>
      </c>
      <c r="AD234" t="s">
        <v>3464</v>
      </c>
      <c r="AE234" t="s">
        <v>1664</v>
      </c>
      <c r="AF234" t="s">
        <v>1664</v>
      </c>
      <c r="AG234" t="s">
        <v>1664</v>
      </c>
      <c r="AH234" t="s">
        <v>1664</v>
      </c>
      <c r="AI234" t="s">
        <v>1664</v>
      </c>
      <c r="AJ234">
        <v>0</v>
      </c>
      <c r="AK234"/>
      <c r="AL234">
        <v>0</v>
      </c>
      <c r="AM234"/>
      <c r="AN234">
        <v>360439799420</v>
      </c>
      <c r="AO234" t="s">
        <v>4186</v>
      </c>
      <c r="AP234" s="6">
        <v>3</v>
      </c>
    </row>
    <row r="235" spans="3:42">
      <c r="C235" s="4" t="s">
        <v>1315</v>
      </c>
      <c r="D235"/>
      <c r="E235" s="4" t="s">
        <v>3892</v>
      </c>
      <c r="G235" s="10" t="s">
        <v>4212</v>
      </c>
      <c r="H235" s="136">
        <v>103463100000</v>
      </c>
      <c r="I235" s="5"/>
      <c r="J235" s="4" t="s">
        <v>3431</v>
      </c>
      <c r="K235" t="s">
        <v>1664</v>
      </c>
      <c r="L235" s="4" t="s">
        <v>3150</v>
      </c>
      <c r="M235" s="4" t="s">
        <v>3149</v>
      </c>
      <c r="N235" s="4">
        <v>0</v>
      </c>
      <c r="Q235" s="120">
        <v>14.531700000000001</v>
      </c>
      <c r="R235" t="s">
        <v>1664</v>
      </c>
      <c r="S235">
        <v>0</v>
      </c>
      <c r="T235"/>
      <c r="U235">
        <v>0</v>
      </c>
      <c r="V235"/>
      <c r="W235" t="s">
        <v>1664</v>
      </c>
      <c r="X235" t="s">
        <v>1664</v>
      </c>
      <c r="Y235" t="s">
        <v>1664</v>
      </c>
      <c r="Z235" t="s">
        <v>1664</v>
      </c>
      <c r="AA235" t="s">
        <v>1664</v>
      </c>
      <c r="AB235" t="s">
        <v>1664</v>
      </c>
      <c r="AC235" t="s">
        <v>3892</v>
      </c>
      <c r="AD235" t="s">
        <v>3496</v>
      </c>
      <c r="AE235" t="s">
        <v>1664</v>
      </c>
      <c r="AF235" t="s">
        <v>1664</v>
      </c>
      <c r="AG235" t="s">
        <v>1664</v>
      </c>
      <c r="AH235" t="s">
        <v>1664</v>
      </c>
      <c r="AI235" t="s">
        <v>1664</v>
      </c>
      <c r="AJ235">
        <v>0</v>
      </c>
      <c r="AK235"/>
      <c r="AL235">
        <v>0</v>
      </c>
      <c r="AM235"/>
      <c r="AN235">
        <v>103463100000</v>
      </c>
      <c r="AO235" t="s">
        <v>4214</v>
      </c>
      <c r="AP235" s="6">
        <v>3</v>
      </c>
    </row>
    <row r="236" spans="3:42">
      <c r="C236" s="4" t="s">
        <v>1315</v>
      </c>
      <c r="D236"/>
      <c r="E236" s="4" t="s">
        <v>3571</v>
      </c>
      <c r="G236" s="10" t="s">
        <v>3856</v>
      </c>
      <c r="H236" s="136">
        <v>50261990000</v>
      </c>
      <c r="I236" s="5"/>
      <c r="J236" s="4" t="s">
        <v>3431</v>
      </c>
      <c r="K236" t="s">
        <v>1664</v>
      </c>
      <c r="L236" s="4" t="s">
        <v>4322</v>
      </c>
      <c r="M236" s="4" t="s">
        <v>3148</v>
      </c>
      <c r="N236" s="4">
        <v>0</v>
      </c>
      <c r="Q236" s="120">
        <v>19.382100000000001</v>
      </c>
      <c r="R236" t="s">
        <v>1664</v>
      </c>
      <c r="S236">
        <v>0</v>
      </c>
      <c r="T236"/>
      <c r="U236">
        <v>0</v>
      </c>
      <c r="V236"/>
      <c r="W236" t="s">
        <v>1664</v>
      </c>
      <c r="X236" t="s">
        <v>1664</v>
      </c>
      <c r="Y236" t="s">
        <v>1664</v>
      </c>
      <c r="Z236" t="s">
        <v>1664</v>
      </c>
      <c r="AA236" t="s">
        <v>1664</v>
      </c>
      <c r="AB236" t="s">
        <v>1664</v>
      </c>
      <c r="AC236" t="s">
        <v>3571</v>
      </c>
      <c r="AD236" t="s">
        <v>3496</v>
      </c>
      <c r="AE236" t="s">
        <v>1664</v>
      </c>
      <c r="AF236" t="s">
        <v>1664</v>
      </c>
      <c r="AG236" t="s">
        <v>1664</v>
      </c>
      <c r="AH236" t="s">
        <v>1664</v>
      </c>
      <c r="AI236" t="s">
        <v>1664</v>
      </c>
      <c r="AJ236">
        <v>0</v>
      </c>
      <c r="AK236"/>
      <c r="AL236">
        <v>0</v>
      </c>
      <c r="AM236"/>
      <c r="AN236">
        <v>50261990000</v>
      </c>
      <c r="AO236" t="s">
        <v>3858</v>
      </c>
      <c r="AP236" s="6">
        <v>3</v>
      </c>
    </row>
    <row r="237" spans="3:42">
      <c r="C237" s="4" t="s">
        <v>1315</v>
      </c>
      <c r="D237"/>
      <c r="E237" s="4" t="s">
        <v>3571</v>
      </c>
      <c r="G237" s="10" t="s">
        <v>4022</v>
      </c>
      <c r="H237" s="136">
        <v>43125070000</v>
      </c>
      <c r="I237" s="5"/>
      <c r="J237" s="4" t="s">
        <v>3431</v>
      </c>
      <c r="K237" t="s">
        <v>1664</v>
      </c>
      <c r="L237" s="4" t="s">
        <v>4322</v>
      </c>
      <c r="M237" s="4" t="s">
        <v>3148</v>
      </c>
      <c r="N237" s="4">
        <v>0</v>
      </c>
      <c r="Q237" s="120">
        <v>18.075800000000001</v>
      </c>
      <c r="R237" t="s">
        <v>1664</v>
      </c>
      <c r="S237">
        <v>1996000000</v>
      </c>
      <c r="T237">
        <v>1996000000</v>
      </c>
      <c r="U237">
        <v>1305000000</v>
      </c>
      <c r="V237">
        <v>1305000000</v>
      </c>
      <c r="W237" t="s">
        <v>1664</v>
      </c>
      <c r="X237" t="s">
        <v>1664</v>
      </c>
      <c r="Y237" t="s">
        <v>1664</v>
      </c>
      <c r="Z237" t="s">
        <v>1664</v>
      </c>
      <c r="AA237" t="s">
        <v>1664</v>
      </c>
      <c r="AB237" t="s">
        <v>1664</v>
      </c>
      <c r="AC237" t="s">
        <v>3571</v>
      </c>
      <c r="AD237" t="s">
        <v>3518</v>
      </c>
      <c r="AE237" t="s">
        <v>1664</v>
      </c>
      <c r="AF237" t="s">
        <v>1664</v>
      </c>
      <c r="AG237" t="s">
        <v>1664</v>
      </c>
      <c r="AH237" t="s">
        <v>1664</v>
      </c>
      <c r="AI237" t="s">
        <v>1664</v>
      </c>
      <c r="AJ237">
        <v>48136005000</v>
      </c>
      <c r="AK237">
        <v>48136005000</v>
      </c>
      <c r="AL237">
        <v>47863477000</v>
      </c>
      <c r="AM237">
        <v>47863477000</v>
      </c>
      <c r="AN237">
        <v>43125070000</v>
      </c>
      <c r="AO237" t="s">
        <v>4023</v>
      </c>
      <c r="AP237" s="6">
        <v>3</v>
      </c>
    </row>
    <row r="238" spans="3:42">
      <c r="C238" s="4" t="s">
        <v>1315</v>
      </c>
      <c r="D238"/>
      <c r="E238" s="4" t="s">
        <v>3651</v>
      </c>
      <c r="F238" s="4" t="s">
        <v>1315</v>
      </c>
      <c r="G238" s="10" t="s">
        <v>1314</v>
      </c>
      <c r="H238" s="136">
        <v>36653970000</v>
      </c>
      <c r="I238" s="5"/>
      <c r="J238" s="4" t="s">
        <v>3431</v>
      </c>
      <c r="K238" t="s">
        <v>1664</v>
      </c>
      <c r="L238" s="4" t="s">
        <v>3150</v>
      </c>
      <c r="M238" s="4" t="s">
        <v>3149</v>
      </c>
      <c r="N238" s="4">
        <v>1</v>
      </c>
      <c r="O238" s="6" t="s">
        <v>3431</v>
      </c>
      <c r="Q238" s="120">
        <v>26.627300000000002</v>
      </c>
      <c r="R238" t="s">
        <v>1664</v>
      </c>
      <c r="S238">
        <v>959000000</v>
      </c>
      <c r="T238">
        <v>959000000</v>
      </c>
      <c r="U238">
        <v>773700000</v>
      </c>
      <c r="V238">
        <v>773700000</v>
      </c>
      <c r="W238" t="s">
        <v>1664</v>
      </c>
      <c r="X238" t="s">
        <v>1664</v>
      </c>
      <c r="Y238">
        <v>2700000000</v>
      </c>
      <c r="Z238">
        <v>2453000000</v>
      </c>
      <c r="AA238">
        <v>1720000000</v>
      </c>
      <c r="AB238" t="s">
        <v>1664</v>
      </c>
      <c r="AC238" t="s">
        <v>3651</v>
      </c>
      <c r="AD238" t="s">
        <v>3518</v>
      </c>
      <c r="AE238">
        <v>37219469701</v>
      </c>
      <c r="AF238">
        <v>43898488620</v>
      </c>
      <c r="AG238">
        <v>33714039260.16</v>
      </c>
      <c r="AH238" t="s">
        <v>1664</v>
      </c>
      <c r="AI238" t="s">
        <v>1664</v>
      </c>
      <c r="AJ238">
        <v>34240821123.600002</v>
      </c>
      <c r="AK238"/>
      <c r="AL238">
        <v>34230625000</v>
      </c>
      <c r="AM238">
        <v>34230625000</v>
      </c>
      <c r="AN238">
        <v>36653970000</v>
      </c>
      <c r="AO238" t="s">
        <v>3716</v>
      </c>
      <c r="AP238" s="6">
        <v>3</v>
      </c>
    </row>
    <row r="239" spans="3:42">
      <c r="C239" s="4" t="s">
        <v>1315</v>
      </c>
      <c r="D239"/>
      <c r="E239" s="4" t="s">
        <v>3571</v>
      </c>
      <c r="G239" s="10" t="s">
        <v>4178</v>
      </c>
      <c r="H239" s="136">
        <v>251179579325</v>
      </c>
      <c r="I239" s="5"/>
      <c r="J239" s="4" t="s">
        <v>3431</v>
      </c>
      <c r="K239" t="s">
        <v>1664</v>
      </c>
      <c r="L239" s="4" t="s">
        <v>4322</v>
      </c>
      <c r="M239" s="4" t="s">
        <v>3148</v>
      </c>
      <c r="N239" s="4">
        <v>0</v>
      </c>
      <c r="Q239" s="120">
        <v>24.155100000000001</v>
      </c>
      <c r="R239" t="s">
        <v>1664</v>
      </c>
      <c r="S239">
        <v>0</v>
      </c>
      <c r="T239"/>
      <c r="U239">
        <v>0</v>
      </c>
      <c r="V239"/>
      <c r="W239" t="s">
        <v>1664</v>
      </c>
      <c r="X239" t="s">
        <v>1664</v>
      </c>
      <c r="Y239" t="s">
        <v>1664</v>
      </c>
      <c r="Z239" t="s">
        <v>1664</v>
      </c>
      <c r="AA239" t="s">
        <v>1664</v>
      </c>
      <c r="AB239" t="s">
        <v>1664</v>
      </c>
      <c r="AC239" t="s">
        <v>3571</v>
      </c>
      <c r="AD239" t="s">
        <v>3474</v>
      </c>
      <c r="AE239" t="s">
        <v>1664</v>
      </c>
      <c r="AF239" t="s">
        <v>1664</v>
      </c>
      <c r="AG239" t="s">
        <v>1664</v>
      </c>
      <c r="AH239" t="s">
        <v>1664</v>
      </c>
      <c r="AI239" t="s">
        <v>1664</v>
      </c>
      <c r="AJ239">
        <v>0</v>
      </c>
      <c r="AK239"/>
      <c r="AL239">
        <v>0</v>
      </c>
      <c r="AM239"/>
      <c r="AN239">
        <v>251179579325</v>
      </c>
      <c r="AO239" t="s">
        <v>4180</v>
      </c>
      <c r="AP239" s="6">
        <v>3</v>
      </c>
    </row>
    <row r="240" spans="3:42">
      <c r="C240" s="4" t="s">
        <v>1315</v>
      </c>
      <c r="D240"/>
      <c r="E240" s="4" t="s">
        <v>3651</v>
      </c>
      <c r="G240" s="10" t="s">
        <v>4075</v>
      </c>
      <c r="H240" s="136">
        <v>762728800</v>
      </c>
      <c r="I240" s="5"/>
      <c r="J240" s="4" t="s">
        <v>3431</v>
      </c>
      <c r="K240" t="s">
        <v>1664</v>
      </c>
      <c r="L240" s="4" t="s">
        <v>3150</v>
      </c>
      <c r="M240" s="4" t="s">
        <v>3149</v>
      </c>
      <c r="N240" s="4">
        <v>0</v>
      </c>
      <c r="Q240" s="120">
        <v>43.235700000000001</v>
      </c>
      <c r="R240" t="s">
        <v>1664</v>
      </c>
      <c r="S240">
        <v>0</v>
      </c>
      <c r="T240"/>
      <c r="U240">
        <v>0</v>
      </c>
      <c r="V240"/>
      <c r="W240" t="s">
        <v>1664</v>
      </c>
      <c r="X240" t="s">
        <v>1664</v>
      </c>
      <c r="Y240" t="s">
        <v>1664</v>
      </c>
      <c r="Z240" t="s">
        <v>1664</v>
      </c>
      <c r="AA240" t="s">
        <v>1664</v>
      </c>
      <c r="AB240" t="s">
        <v>1664</v>
      </c>
      <c r="AC240" t="s">
        <v>3651</v>
      </c>
      <c r="AD240" t="s">
        <v>3496</v>
      </c>
      <c r="AE240" t="s">
        <v>1664</v>
      </c>
      <c r="AF240" t="s">
        <v>1664</v>
      </c>
      <c r="AG240" t="s">
        <v>1664</v>
      </c>
      <c r="AH240" t="s">
        <v>1664</v>
      </c>
      <c r="AI240" t="s">
        <v>1664</v>
      </c>
      <c r="AJ240">
        <v>0</v>
      </c>
      <c r="AK240"/>
      <c r="AL240">
        <v>0</v>
      </c>
      <c r="AM240"/>
      <c r="AN240">
        <v>762728800</v>
      </c>
      <c r="AO240" t="s">
        <v>4077</v>
      </c>
      <c r="AP240" s="6">
        <v>3</v>
      </c>
    </row>
    <row r="241" spans="3:42">
      <c r="C241" s="4" t="s">
        <v>1315</v>
      </c>
      <c r="D241"/>
      <c r="E241" s="4" t="s">
        <v>4020</v>
      </c>
      <c r="G241" s="10" t="s">
        <v>4019</v>
      </c>
      <c r="H241" s="136">
        <v>1624380485</v>
      </c>
      <c r="I241" s="5"/>
      <c r="J241" s="4" t="s">
        <v>3431</v>
      </c>
      <c r="K241" t="s">
        <v>1664</v>
      </c>
      <c r="L241" s="4" t="s">
        <v>4403</v>
      </c>
      <c r="M241" s="4" t="s">
        <v>3431</v>
      </c>
      <c r="N241" s="4">
        <v>1</v>
      </c>
      <c r="O241" s="6" t="s">
        <v>3431</v>
      </c>
      <c r="Q241" s="120"/>
      <c r="R241" t="s">
        <v>1664</v>
      </c>
      <c r="S241">
        <v>0</v>
      </c>
      <c r="T241"/>
      <c r="U241">
        <v>0</v>
      </c>
      <c r="V241"/>
      <c r="W241">
        <v>-71600000</v>
      </c>
      <c r="X241">
        <v>-195600000</v>
      </c>
      <c r="Y241">
        <v>-47800000</v>
      </c>
      <c r="Z241">
        <v>-71100000</v>
      </c>
      <c r="AA241" t="s">
        <v>1664</v>
      </c>
      <c r="AB241" t="s">
        <v>1664</v>
      </c>
      <c r="AC241" t="s">
        <v>4020</v>
      </c>
      <c r="AD241"/>
      <c r="AE241" t="s">
        <v>1664</v>
      </c>
      <c r="AF241">
        <v>0</v>
      </c>
      <c r="AG241">
        <v>0</v>
      </c>
      <c r="AH241">
        <v>650694097.60000002</v>
      </c>
      <c r="AI241">
        <v>33518454352.899998</v>
      </c>
      <c r="AJ241">
        <v>7901251995.1199999</v>
      </c>
      <c r="AK241"/>
      <c r="AL241">
        <v>0</v>
      </c>
      <c r="AM241"/>
      <c r="AN241">
        <v>1624380485</v>
      </c>
      <c r="AO241" t="s">
        <v>4021</v>
      </c>
      <c r="AP241" s="6">
        <v>3</v>
      </c>
    </row>
    <row r="242" spans="3:42">
      <c r="C242" s="4" t="s">
        <v>1315</v>
      </c>
      <c r="D242"/>
      <c r="E242" s="4" t="s">
        <v>3571</v>
      </c>
      <c r="G242" s="10" t="s">
        <v>3569</v>
      </c>
      <c r="H242" s="136">
        <v>92783700000</v>
      </c>
      <c r="I242" s="5"/>
      <c r="J242" s="4" t="s">
        <v>3431</v>
      </c>
      <c r="K242" t="s">
        <v>1664</v>
      </c>
      <c r="L242" s="4" t="s">
        <v>4322</v>
      </c>
      <c r="M242" s="4" t="s">
        <v>3148</v>
      </c>
      <c r="N242" s="4">
        <v>0</v>
      </c>
      <c r="Q242" s="120">
        <v>18.748899999999999</v>
      </c>
      <c r="R242" t="s">
        <v>1664</v>
      </c>
      <c r="S242">
        <v>0</v>
      </c>
      <c r="T242"/>
      <c r="U242">
        <v>0</v>
      </c>
      <c r="V242"/>
      <c r="W242" t="s">
        <v>1664</v>
      </c>
      <c r="X242" t="s">
        <v>1664</v>
      </c>
      <c r="Y242" t="s">
        <v>1664</v>
      </c>
      <c r="Z242" t="s">
        <v>1664</v>
      </c>
      <c r="AA242" t="s">
        <v>1664</v>
      </c>
      <c r="AB242" t="s">
        <v>1664</v>
      </c>
      <c r="AC242" t="s">
        <v>3571</v>
      </c>
      <c r="AD242" t="s">
        <v>3482</v>
      </c>
      <c r="AE242" t="s">
        <v>1664</v>
      </c>
      <c r="AF242" t="s">
        <v>1664</v>
      </c>
      <c r="AG242" t="s">
        <v>1664</v>
      </c>
      <c r="AH242" t="s">
        <v>1664</v>
      </c>
      <c r="AI242" t="s">
        <v>1664</v>
      </c>
      <c r="AJ242">
        <v>0</v>
      </c>
      <c r="AK242"/>
      <c r="AL242">
        <v>0</v>
      </c>
      <c r="AM242"/>
      <c r="AN242">
        <v>92783700000</v>
      </c>
      <c r="AO242" t="s">
        <v>3572</v>
      </c>
      <c r="AP242" s="6">
        <v>3</v>
      </c>
    </row>
    <row r="243" spans="3:42">
      <c r="C243" s="4" t="s">
        <v>1315</v>
      </c>
      <c r="D243"/>
      <c r="E243" s="4" t="s">
        <v>3571</v>
      </c>
      <c r="G243" s="10" t="s">
        <v>4063</v>
      </c>
      <c r="H243" s="136">
        <v>6603726000</v>
      </c>
      <c r="I243" s="5"/>
      <c r="J243" s="4" t="s">
        <v>3431</v>
      </c>
      <c r="K243" t="s">
        <v>1664</v>
      </c>
      <c r="L243" s="4" t="s">
        <v>4322</v>
      </c>
      <c r="M243" s="4" t="s">
        <v>3148</v>
      </c>
      <c r="N243" s="4">
        <v>0</v>
      </c>
      <c r="Q243" s="120">
        <v>22.441700000000001</v>
      </c>
      <c r="R243" t="s">
        <v>1664</v>
      </c>
      <c r="S243">
        <v>0</v>
      </c>
      <c r="T243"/>
      <c r="U243">
        <v>0</v>
      </c>
      <c r="V243"/>
      <c r="W243" t="s">
        <v>1664</v>
      </c>
      <c r="X243" t="s">
        <v>1664</v>
      </c>
      <c r="Y243" t="s">
        <v>1664</v>
      </c>
      <c r="Z243" t="s">
        <v>1664</v>
      </c>
      <c r="AA243" t="s">
        <v>1664</v>
      </c>
      <c r="AB243" t="s">
        <v>1664</v>
      </c>
      <c r="AC243" t="s">
        <v>3571</v>
      </c>
      <c r="AD243" t="s">
        <v>3477</v>
      </c>
      <c r="AE243" t="s">
        <v>1664</v>
      </c>
      <c r="AF243" t="s">
        <v>1664</v>
      </c>
      <c r="AG243" t="s">
        <v>1664</v>
      </c>
      <c r="AH243" t="s">
        <v>1664</v>
      </c>
      <c r="AI243" t="s">
        <v>1664</v>
      </c>
      <c r="AJ243">
        <v>0</v>
      </c>
      <c r="AK243"/>
      <c r="AL243">
        <v>0</v>
      </c>
      <c r="AM243"/>
      <c r="AN243">
        <v>6603726000</v>
      </c>
      <c r="AO243" t="s">
        <v>4065</v>
      </c>
      <c r="AP243" s="6">
        <v>3</v>
      </c>
    </row>
    <row r="244" spans="3:42">
      <c r="C244" s="4" t="s">
        <v>1926</v>
      </c>
      <c r="D244" t="s">
        <v>4136</v>
      </c>
      <c r="E244" s="4" t="s">
        <v>3481</v>
      </c>
      <c r="F244" s="4" t="s">
        <v>4421</v>
      </c>
      <c r="G244" s="10" t="s">
        <v>3284</v>
      </c>
      <c r="H244" s="136">
        <v>4628060000</v>
      </c>
      <c r="I244" s="5">
        <v>4.1694032678993437E-2</v>
      </c>
      <c r="J244" s="4" t="s">
        <v>3431</v>
      </c>
      <c r="K244">
        <v>712800000</v>
      </c>
      <c r="L244" s="4" t="s">
        <v>4322</v>
      </c>
      <c r="M244" s="4" t="s">
        <v>3149</v>
      </c>
      <c r="N244" s="4">
        <v>1</v>
      </c>
      <c r="O244" s="6" t="s">
        <v>3419</v>
      </c>
      <c r="Q244" s="120">
        <v>30.2333</v>
      </c>
      <c r="R244">
        <v>230000000</v>
      </c>
      <c r="S244">
        <v>151632000</v>
      </c>
      <c r="T244"/>
      <c r="U244">
        <v>169099000</v>
      </c>
      <c r="V244"/>
      <c r="W244">
        <v>53209000</v>
      </c>
      <c r="X244">
        <v>150548000</v>
      </c>
      <c r="Y244">
        <v>91410000</v>
      </c>
      <c r="Z244">
        <v>111472000</v>
      </c>
      <c r="AA244">
        <v>184032000</v>
      </c>
      <c r="AB244">
        <v>20.122</v>
      </c>
      <c r="AC244" t="s">
        <v>3481</v>
      </c>
      <c r="AD244" t="s">
        <v>3477</v>
      </c>
      <c r="AE244">
        <v>3083063881.5600004</v>
      </c>
      <c r="AF244">
        <v>3343452585.1999998</v>
      </c>
      <c r="AG244">
        <v>1711027439</v>
      </c>
      <c r="AH244">
        <v>2917415294</v>
      </c>
      <c r="AI244">
        <v>2852089410.5599999</v>
      </c>
      <c r="AJ244">
        <v>3695535731.8399997</v>
      </c>
      <c r="AK244"/>
      <c r="AL244">
        <v>3998711198.1599998</v>
      </c>
      <c r="AM244"/>
      <c r="AN244">
        <v>4628060000</v>
      </c>
      <c r="AO244" t="s">
        <v>4137</v>
      </c>
      <c r="AP244" s="6">
        <v>3</v>
      </c>
    </row>
    <row r="245" spans="3:42">
      <c r="C245" s="4" t="s">
        <v>371</v>
      </c>
      <c r="D245"/>
      <c r="E245" s="4" t="s">
        <v>4443</v>
      </c>
      <c r="F245" s="4" t="s">
        <v>4410</v>
      </c>
      <c r="G245" s="10" t="s">
        <v>4115</v>
      </c>
      <c r="H245" s="136">
        <v>12315070000</v>
      </c>
      <c r="I245" s="5"/>
      <c r="J245" s="4" t="s">
        <v>3431</v>
      </c>
      <c r="K245" t="s">
        <v>1664</v>
      </c>
      <c r="L245" s="4" t="s">
        <v>4348</v>
      </c>
      <c r="M245" s="4" t="s">
        <v>3149</v>
      </c>
      <c r="N245" s="4">
        <v>1</v>
      </c>
      <c r="O245" s="6" t="s">
        <v>3419</v>
      </c>
      <c r="Q245" s="120">
        <v>76.601900000000001</v>
      </c>
      <c r="R245" t="s">
        <v>1664</v>
      </c>
      <c r="S245">
        <v>0</v>
      </c>
      <c r="T245"/>
      <c r="U245">
        <v>0</v>
      </c>
      <c r="V245"/>
      <c r="W245" t="s">
        <v>1664</v>
      </c>
      <c r="X245" t="s">
        <v>1664</v>
      </c>
      <c r="Y245">
        <v>0</v>
      </c>
      <c r="Z245">
        <v>0</v>
      </c>
      <c r="AA245" t="s">
        <v>1664</v>
      </c>
      <c r="AB245" t="s">
        <v>1664</v>
      </c>
      <c r="AC245" t="s">
        <v>3527</v>
      </c>
      <c r="AD245"/>
      <c r="AE245" t="s">
        <v>1664</v>
      </c>
      <c r="AF245">
        <v>7957062100.000001</v>
      </c>
      <c r="AG245">
        <v>22484985900.000004</v>
      </c>
      <c r="AH245" t="s">
        <v>1664</v>
      </c>
      <c r="AI245" t="s">
        <v>1664</v>
      </c>
      <c r="AJ245">
        <v>14317275700</v>
      </c>
      <c r="AK245"/>
      <c r="AL245">
        <v>0</v>
      </c>
      <c r="AM245"/>
      <c r="AN245">
        <v>12315070000</v>
      </c>
      <c r="AO245" t="s">
        <v>4116</v>
      </c>
      <c r="AP245" s="6">
        <v>3</v>
      </c>
    </row>
    <row r="246" spans="3:42">
      <c r="C246" s="4" t="s">
        <v>371</v>
      </c>
      <c r="D246"/>
      <c r="E246" s="4" t="s">
        <v>3468</v>
      </c>
      <c r="F246" s="4" t="s">
        <v>4410</v>
      </c>
      <c r="G246" s="10" t="s">
        <v>1328</v>
      </c>
      <c r="H246" s="136">
        <v>2830311000</v>
      </c>
      <c r="I246" s="5"/>
      <c r="J246" s="4" t="s">
        <v>3431</v>
      </c>
      <c r="K246" t="s">
        <v>1664</v>
      </c>
      <c r="L246" s="4" t="s">
        <v>4348</v>
      </c>
      <c r="M246" s="4" t="s">
        <v>3149</v>
      </c>
      <c r="N246" s="4">
        <v>1</v>
      </c>
      <c r="O246" s="6" t="s">
        <v>3419</v>
      </c>
      <c r="Q246" s="120"/>
      <c r="R246" t="s">
        <v>1664</v>
      </c>
      <c r="S246">
        <v>0</v>
      </c>
      <c r="T246"/>
      <c r="U246">
        <v>-100000000</v>
      </c>
      <c r="V246"/>
      <c r="W246">
        <v>-129600000</v>
      </c>
      <c r="X246">
        <v>-72600000</v>
      </c>
      <c r="Y246">
        <v>-83853000</v>
      </c>
      <c r="Z246">
        <v>329000</v>
      </c>
      <c r="AA246">
        <v>95400000</v>
      </c>
      <c r="AB246" t="s">
        <v>1664</v>
      </c>
      <c r="AC246" t="s">
        <v>3527</v>
      </c>
      <c r="AD246"/>
      <c r="AE246">
        <v>1896668480</v>
      </c>
      <c r="AF246">
        <v>707002038.63</v>
      </c>
      <c r="AG246">
        <v>814652554.80000007</v>
      </c>
      <c r="AH246">
        <v>1333508637.5</v>
      </c>
      <c r="AI246">
        <v>2381113023.1199999</v>
      </c>
      <c r="AJ246">
        <v>2233893648.5999999</v>
      </c>
      <c r="AK246"/>
      <c r="AL246">
        <v>0</v>
      </c>
      <c r="AM246"/>
      <c r="AN246">
        <v>2830311000</v>
      </c>
      <c r="AO246" t="s">
        <v>4004</v>
      </c>
      <c r="AP246" s="6">
        <v>3</v>
      </c>
    </row>
    <row r="247" spans="3:42">
      <c r="C247" s="4" t="s">
        <v>371</v>
      </c>
      <c r="D247"/>
      <c r="E247" s="4" t="s">
        <v>4443</v>
      </c>
      <c r="F247" s="4" t="s">
        <v>4410</v>
      </c>
      <c r="G247" s="10" t="s">
        <v>1363</v>
      </c>
      <c r="H247" s="136">
        <v>159842400000</v>
      </c>
      <c r="I247" s="5"/>
      <c r="J247" s="4" t="s">
        <v>3431</v>
      </c>
      <c r="K247" t="s">
        <v>1664</v>
      </c>
      <c r="L247" s="4" t="s">
        <v>4348</v>
      </c>
      <c r="M247" s="4" t="s">
        <v>3149</v>
      </c>
      <c r="N247" s="4">
        <v>1</v>
      </c>
      <c r="O247" s="6" t="s">
        <v>3419</v>
      </c>
      <c r="Q247" s="120"/>
      <c r="R247" t="s">
        <v>1664</v>
      </c>
      <c r="S247">
        <v>0</v>
      </c>
      <c r="T247"/>
      <c r="U247">
        <v>0</v>
      </c>
      <c r="V247"/>
      <c r="W247" t="s">
        <v>1664</v>
      </c>
      <c r="X247" t="s">
        <v>1664</v>
      </c>
      <c r="Y247" t="s">
        <v>1664</v>
      </c>
      <c r="Z247">
        <v>850000000</v>
      </c>
      <c r="AA247">
        <v>965000000</v>
      </c>
      <c r="AB247" t="s">
        <v>1664</v>
      </c>
      <c r="AC247" t="s">
        <v>3527</v>
      </c>
      <c r="AD247"/>
      <c r="AE247">
        <v>13340407258.064514</v>
      </c>
      <c r="AF247">
        <v>317387854600</v>
      </c>
      <c r="AG247" t="s">
        <v>1664</v>
      </c>
      <c r="AH247" t="s">
        <v>1664</v>
      </c>
      <c r="AI247" t="s">
        <v>1664</v>
      </c>
      <c r="AJ247">
        <v>0</v>
      </c>
      <c r="AK247"/>
      <c r="AL247">
        <v>0</v>
      </c>
      <c r="AM247"/>
      <c r="AN247">
        <v>159842400000</v>
      </c>
      <c r="AO247" t="s">
        <v>4237</v>
      </c>
      <c r="AP247" s="6">
        <v>3</v>
      </c>
    </row>
    <row r="248" spans="3:42">
      <c r="C248" s="4" t="s">
        <v>371</v>
      </c>
      <c r="D248"/>
      <c r="E248" s="4" t="s">
        <v>4440</v>
      </c>
      <c r="G248" s="10" t="s">
        <v>3525</v>
      </c>
      <c r="H248" s="136">
        <v>1526993000</v>
      </c>
      <c r="I248" s="5"/>
      <c r="J248" s="4" t="s">
        <v>3431</v>
      </c>
      <c r="K248" t="s">
        <v>1664</v>
      </c>
      <c r="L248" s="4" t="s">
        <v>4348</v>
      </c>
      <c r="M248" s="4" t="s">
        <v>3149</v>
      </c>
      <c r="N248" s="4">
        <v>0</v>
      </c>
      <c r="Q248" s="120">
        <v>26.341100000000001</v>
      </c>
      <c r="R248" t="s">
        <v>1664</v>
      </c>
      <c r="S248">
        <v>0</v>
      </c>
      <c r="T248"/>
      <c r="U248">
        <v>0</v>
      </c>
      <c r="V248"/>
      <c r="W248" t="s">
        <v>1664</v>
      </c>
      <c r="X248" t="s">
        <v>1664</v>
      </c>
      <c r="Y248" t="s">
        <v>1664</v>
      </c>
      <c r="Z248" t="s">
        <v>1664</v>
      </c>
      <c r="AA248" t="s">
        <v>1664</v>
      </c>
      <c r="AB248" t="s">
        <v>1664</v>
      </c>
      <c r="AC248" t="s">
        <v>3527</v>
      </c>
      <c r="AD248" t="s">
        <v>3477</v>
      </c>
      <c r="AE248" t="s">
        <v>1664</v>
      </c>
      <c r="AF248" t="s">
        <v>1664</v>
      </c>
      <c r="AG248" t="s">
        <v>1664</v>
      </c>
      <c r="AH248" t="s">
        <v>1664</v>
      </c>
      <c r="AI248" t="s">
        <v>1664</v>
      </c>
      <c r="AJ248">
        <v>0</v>
      </c>
      <c r="AK248"/>
      <c r="AL248">
        <v>0</v>
      </c>
      <c r="AM248"/>
      <c r="AN248">
        <v>1526993000</v>
      </c>
      <c r="AO248" t="s">
        <v>3528</v>
      </c>
      <c r="AP248" s="6">
        <v>3</v>
      </c>
    </row>
    <row r="249" spans="3:42">
      <c r="C249" s="4" t="s">
        <v>371</v>
      </c>
      <c r="D249"/>
      <c r="E249" s="4" t="s">
        <v>4440</v>
      </c>
      <c r="G249" s="10" t="s">
        <v>2540</v>
      </c>
      <c r="H249" s="136">
        <v>1904121000</v>
      </c>
      <c r="I249" s="5"/>
      <c r="J249" s="4" t="s">
        <v>3431</v>
      </c>
      <c r="K249" t="s">
        <v>1664</v>
      </c>
      <c r="L249" s="4" t="s">
        <v>4348</v>
      </c>
      <c r="M249" s="4" t="s">
        <v>3149</v>
      </c>
      <c r="N249" s="4">
        <v>1</v>
      </c>
      <c r="Q249" s="120">
        <v>0</v>
      </c>
      <c r="R249" t="s">
        <v>1664</v>
      </c>
      <c r="S249">
        <v>0</v>
      </c>
      <c r="T249"/>
      <c r="U249">
        <v>0</v>
      </c>
      <c r="V249"/>
      <c r="W249" t="s">
        <v>1664</v>
      </c>
      <c r="X249" t="s">
        <v>1664</v>
      </c>
      <c r="Y249" t="s">
        <v>1664</v>
      </c>
      <c r="Z249" t="s">
        <v>1664</v>
      </c>
      <c r="AA249" t="s">
        <v>1664</v>
      </c>
      <c r="AB249" t="s">
        <v>1664</v>
      </c>
      <c r="AC249" t="s">
        <v>3527</v>
      </c>
      <c r="AD249"/>
      <c r="AE249" t="s">
        <v>1664</v>
      </c>
      <c r="AF249" t="s">
        <v>1664</v>
      </c>
      <c r="AG249" t="s">
        <v>1664</v>
      </c>
      <c r="AH249" t="s">
        <v>1664</v>
      </c>
      <c r="AI249" t="s">
        <v>1664</v>
      </c>
      <c r="AJ249">
        <v>0</v>
      </c>
      <c r="AK249"/>
      <c r="AL249">
        <v>0</v>
      </c>
      <c r="AM249"/>
      <c r="AN249">
        <v>1904121000</v>
      </c>
      <c r="AO249" t="s">
        <v>4252</v>
      </c>
      <c r="AP249" s="6">
        <v>3</v>
      </c>
    </row>
    <row r="250" spans="3:42">
      <c r="C250" s="4" t="s">
        <v>4321</v>
      </c>
      <c r="D250" t="s">
        <v>4231</v>
      </c>
      <c r="E250" s="4" t="s">
        <v>4232</v>
      </c>
      <c r="F250" s="4" t="s">
        <v>4437</v>
      </c>
      <c r="G250" s="10" t="s">
        <v>194</v>
      </c>
      <c r="H250" s="136">
        <v>4791290000</v>
      </c>
      <c r="I250" s="5">
        <v>0.11726092794271221</v>
      </c>
      <c r="J250" s="4" t="s">
        <v>3431</v>
      </c>
      <c r="K250">
        <v>850000000</v>
      </c>
      <c r="L250" s="4" t="s">
        <v>4322</v>
      </c>
      <c r="M250" s="4" t="s">
        <v>3431</v>
      </c>
      <c r="N250" s="4">
        <v>1</v>
      </c>
      <c r="O250" s="6" t="s">
        <v>3149</v>
      </c>
      <c r="Q250" s="120">
        <v>9.5885999999999996</v>
      </c>
      <c r="R250" t="s">
        <v>1664</v>
      </c>
      <c r="S250">
        <v>342000000</v>
      </c>
      <c r="T250"/>
      <c r="U250">
        <v>243000000</v>
      </c>
      <c r="V250"/>
      <c r="W250">
        <v>202000000</v>
      </c>
      <c r="X250">
        <v>150000000</v>
      </c>
      <c r="Y250">
        <v>48500000</v>
      </c>
      <c r="Z250">
        <v>12900000</v>
      </c>
      <c r="AA250">
        <v>-27000000</v>
      </c>
      <c r="AB250" t="s">
        <v>1664</v>
      </c>
      <c r="AC250" t="s">
        <v>4232</v>
      </c>
      <c r="AD250" t="s">
        <v>3477</v>
      </c>
      <c r="AE250">
        <v>0</v>
      </c>
      <c r="AF250">
        <v>0</v>
      </c>
      <c r="AG250">
        <v>0</v>
      </c>
      <c r="AH250">
        <v>3439344015.0999999</v>
      </c>
      <c r="AI250">
        <v>3460174498.3499999</v>
      </c>
      <c r="AJ250">
        <v>3786073105.6800003</v>
      </c>
      <c r="AK250"/>
      <c r="AL250">
        <v>3905916505.02</v>
      </c>
      <c r="AM250"/>
      <c r="AN250">
        <v>4791290000</v>
      </c>
      <c r="AO250" t="s">
        <v>4233</v>
      </c>
      <c r="AP250" s="6">
        <v>3</v>
      </c>
    </row>
    <row r="251" spans="3:42">
      <c r="C251" s="4" t="s">
        <v>4321</v>
      </c>
      <c r="D251"/>
      <c r="E251" s="4" t="s">
        <v>3665</v>
      </c>
      <c r="F251" s="4" t="s">
        <v>4427</v>
      </c>
      <c r="G251" s="10" t="s">
        <v>1796</v>
      </c>
      <c r="H251" s="136">
        <v>671890400</v>
      </c>
      <c r="I251" s="5"/>
      <c r="J251" s="4" t="s">
        <v>3431</v>
      </c>
      <c r="K251" t="s">
        <v>1664</v>
      </c>
      <c r="L251" s="4" t="s">
        <v>3150</v>
      </c>
      <c r="M251" s="4" t="s">
        <v>3149</v>
      </c>
      <c r="N251" s="4">
        <v>1</v>
      </c>
      <c r="O251" s="6" t="s">
        <v>3149</v>
      </c>
      <c r="Q251" s="120">
        <v>0</v>
      </c>
      <c r="R251" t="s">
        <v>1664</v>
      </c>
      <c r="S251">
        <v>0</v>
      </c>
      <c r="T251"/>
      <c r="U251">
        <v>0</v>
      </c>
      <c r="V251"/>
      <c r="W251">
        <v>40000000</v>
      </c>
      <c r="X251">
        <v>40000000</v>
      </c>
      <c r="Y251">
        <v>100000000</v>
      </c>
      <c r="Z251">
        <v>0</v>
      </c>
      <c r="AA251">
        <v>119300000</v>
      </c>
      <c r="AB251" t="s">
        <v>1664</v>
      </c>
      <c r="AC251" t="s">
        <v>3665</v>
      </c>
      <c r="AD251"/>
      <c r="AE251">
        <v>2172306706.6400003</v>
      </c>
      <c r="AF251">
        <v>2229019906.0799999</v>
      </c>
      <c r="AG251">
        <v>1274453920</v>
      </c>
      <c r="AH251">
        <v>1210731224</v>
      </c>
      <c r="AI251">
        <v>917606822.39999998</v>
      </c>
      <c r="AJ251">
        <v>0</v>
      </c>
      <c r="AK251"/>
      <c r="AL251">
        <v>0</v>
      </c>
      <c r="AM251"/>
      <c r="AN251">
        <v>671890400</v>
      </c>
      <c r="AO251" t="s">
        <v>4158</v>
      </c>
      <c r="AP251" s="6">
        <v>3</v>
      </c>
    </row>
    <row r="252" spans="3:42">
      <c r="C252" s="4" t="s">
        <v>4321</v>
      </c>
      <c r="D252"/>
      <c r="E252" s="4" t="s">
        <v>3468</v>
      </c>
      <c r="F252" s="4" t="s">
        <v>4402</v>
      </c>
      <c r="G252" s="10" t="s">
        <v>2828</v>
      </c>
      <c r="H252" s="136">
        <v>192198000</v>
      </c>
      <c r="I252" s="5"/>
      <c r="J252" s="4" t="s">
        <v>3431</v>
      </c>
      <c r="K252" t="s">
        <v>1664</v>
      </c>
      <c r="L252" s="4" t="s">
        <v>4403</v>
      </c>
      <c r="M252" s="4" t="s">
        <v>3431</v>
      </c>
      <c r="N252" s="4">
        <v>1</v>
      </c>
      <c r="O252" s="6" t="s">
        <v>3431</v>
      </c>
      <c r="Q252" s="120">
        <v>16.323499999999999</v>
      </c>
      <c r="R252" t="s">
        <v>1664</v>
      </c>
      <c r="S252">
        <v>0</v>
      </c>
      <c r="T252"/>
      <c r="U252">
        <v>12000000</v>
      </c>
      <c r="V252"/>
      <c r="W252" t="s">
        <v>1664</v>
      </c>
      <c r="X252">
        <v>10617000</v>
      </c>
      <c r="Y252">
        <v>8498000</v>
      </c>
      <c r="Z252">
        <v>8276000</v>
      </c>
      <c r="AA252">
        <v>-8824000</v>
      </c>
      <c r="AB252" t="s">
        <v>1664</v>
      </c>
      <c r="AC252" t="s">
        <v>3468</v>
      </c>
      <c r="AD252"/>
      <c r="AE252">
        <v>67798080</v>
      </c>
      <c r="AF252">
        <v>99813840</v>
      </c>
      <c r="AG252">
        <v>69681360</v>
      </c>
      <c r="AH252">
        <v>99813840</v>
      </c>
      <c r="AI252" t="s">
        <v>1664</v>
      </c>
      <c r="AJ252">
        <v>211745990</v>
      </c>
      <c r="AK252"/>
      <c r="AL252">
        <v>0</v>
      </c>
      <c r="AM252"/>
      <c r="AN252">
        <v>192198000</v>
      </c>
      <c r="AO252" t="s">
        <v>3929</v>
      </c>
      <c r="AP252" s="6">
        <v>3</v>
      </c>
    </row>
    <row r="253" spans="3:42">
      <c r="C253" s="4" t="s">
        <v>4321</v>
      </c>
      <c r="D253"/>
      <c r="E253" s="4" t="s">
        <v>3468</v>
      </c>
      <c r="G253" s="10" t="s">
        <v>3466</v>
      </c>
      <c r="H253" s="136">
        <v>61880250000</v>
      </c>
      <c r="I253" s="5"/>
      <c r="J253" s="4" t="s">
        <v>3431</v>
      </c>
      <c r="K253" t="s">
        <v>1664</v>
      </c>
      <c r="L253" s="4" t="s">
        <v>4322</v>
      </c>
      <c r="M253" s="4" t="s">
        <v>3431</v>
      </c>
      <c r="N253" s="4">
        <v>0</v>
      </c>
      <c r="Q253" s="120">
        <v>20.0488</v>
      </c>
      <c r="R253" t="s">
        <v>1664</v>
      </c>
      <c r="S253">
        <v>0</v>
      </c>
      <c r="T253"/>
      <c r="U253">
        <v>0</v>
      </c>
      <c r="V253"/>
      <c r="W253" t="s">
        <v>1664</v>
      </c>
      <c r="X253" t="s">
        <v>1664</v>
      </c>
      <c r="Y253" t="s">
        <v>1664</v>
      </c>
      <c r="Z253" t="s">
        <v>1664</v>
      </c>
      <c r="AA253" t="s">
        <v>1664</v>
      </c>
      <c r="AB253" t="s">
        <v>1664</v>
      </c>
      <c r="AC253" t="s">
        <v>3468</v>
      </c>
      <c r="AD253" t="s">
        <v>3469</v>
      </c>
      <c r="AE253" t="s">
        <v>1664</v>
      </c>
      <c r="AF253" t="s">
        <v>1664</v>
      </c>
      <c r="AG253" t="s">
        <v>1664</v>
      </c>
      <c r="AH253" t="s">
        <v>1664</v>
      </c>
      <c r="AI253" t="s">
        <v>1664</v>
      </c>
      <c r="AJ253">
        <v>0</v>
      </c>
      <c r="AK253"/>
      <c r="AL253">
        <v>0</v>
      </c>
      <c r="AM253"/>
      <c r="AN253">
        <v>61880250000</v>
      </c>
      <c r="AO253" t="s">
        <v>3470</v>
      </c>
      <c r="AP253" s="6">
        <v>3</v>
      </c>
    </row>
    <row r="254" spans="3:42">
      <c r="C254" s="4" t="s">
        <v>4321</v>
      </c>
      <c r="D254"/>
      <c r="E254" s="4" t="s">
        <v>3468</v>
      </c>
      <c r="G254" s="10" t="s">
        <v>3954</v>
      </c>
      <c r="H254" s="136">
        <v>161743400</v>
      </c>
      <c r="I254" s="5"/>
      <c r="J254" s="4" t="s">
        <v>3431</v>
      </c>
      <c r="K254" t="s">
        <v>1664</v>
      </c>
      <c r="L254" s="4" t="s">
        <v>4322</v>
      </c>
      <c r="M254" s="4" t="s">
        <v>3431</v>
      </c>
      <c r="N254" s="4">
        <v>0</v>
      </c>
      <c r="Q254" s="120"/>
      <c r="R254" t="s">
        <v>1664</v>
      </c>
      <c r="S254">
        <v>0</v>
      </c>
      <c r="T254"/>
      <c r="U254">
        <v>0</v>
      </c>
      <c r="V254"/>
      <c r="W254" t="s">
        <v>1664</v>
      </c>
      <c r="X254" t="s">
        <v>1664</v>
      </c>
      <c r="Y254" t="s">
        <v>1664</v>
      </c>
      <c r="Z254" t="s">
        <v>1664</v>
      </c>
      <c r="AA254" t="s">
        <v>1664</v>
      </c>
      <c r="AB254" t="s">
        <v>1664</v>
      </c>
      <c r="AC254" t="s">
        <v>3468</v>
      </c>
      <c r="AD254" t="s">
        <v>3477</v>
      </c>
      <c r="AE254" t="s">
        <v>1664</v>
      </c>
      <c r="AF254" t="s">
        <v>1664</v>
      </c>
      <c r="AG254" t="s">
        <v>1664</v>
      </c>
      <c r="AH254" t="s">
        <v>1664</v>
      </c>
      <c r="AI254" t="s">
        <v>1664</v>
      </c>
      <c r="AJ254">
        <v>0</v>
      </c>
      <c r="AK254"/>
      <c r="AL254">
        <v>0</v>
      </c>
      <c r="AM254"/>
      <c r="AN254">
        <v>161743400</v>
      </c>
      <c r="AO254" t="s">
        <v>3956</v>
      </c>
      <c r="AP254" s="6">
        <v>3</v>
      </c>
    </row>
    <row r="255" spans="3:42">
      <c r="C255" s="4" t="s">
        <v>4321</v>
      </c>
      <c r="D255"/>
      <c r="E255" s="4" t="s">
        <v>3468</v>
      </c>
      <c r="G255" s="10" t="s">
        <v>4067</v>
      </c>
      <c r="H255" s="136">
        <v>6863208000</v>
      </c>
      <c r="I255" s="5"/>
      <c r="J255" s="4" t="s">
        <v>3431</v>
      </c>
      <c r="K255" t="s">
        <v>1664</v>
      </c>
      <c r="L255" s="4" t="s">
        <v>4322</v>
      </c>
      <c r="M255" s="4" t="s">
        <v>3431</v>
      </c>
      <c r="N255" s="4">
        <v>0</v>
      </c>
      <c r="Q255" s="120">
        <v>7.6759000000000004</v>
      </c>
      <c r="R255" t="s">
        <v>1664</v>
      </c>
      <c r="S255">
        <v>0</v>
      </c>
      <c r="T255"/>
      <c r="U255">
        <v>0</v>
      </c>
      <c r="V255"/>
      <c r="W255" t="s">
        <v>1664</v>
      </c>
      <c r="X255" t="s">
        <v>1664</v>
      </c>
      <c r="Y255" t="s">
        <v>1664</v>
      </c>
      <c r="Z255" t="s">
        <v>1664</v>
      </c>
      <c r="AA255" t="s">
        <v>1664</v>
      </c>
      <c r="AB255" t="s">
        <v>1664</v>
      </c>
      <c r="AC255" t="s">
        <v>3468</v>
      </c>
      <c r="AD255" t="s">
        <v>3477</v>
      </c>
      <c r="AE255" t="s">
        <v>1664</v>
      </c>
      <c r="AF255" t="s">
        <v>1664</v>
      </c>
      <c r="AG255" t="s">
        <v>1664</v>
      </c>
      <c r="AH255" t="s">
        <v>1664</v>
      </c>
      <c r="AI255" t="s">
        <v>1664</v>
      </c>
      <c r="AJ255">
        <v>0</v>
      </c>
      <c r="AK255"/>
      <c r="AL255">
        <v>0</v>
      </c>
      <c r="AM255"/>
      <c r="AN255">
        <v>6863208000</v>
      </c>
      <c r="AO255" t="s">
        <v>4069</v>
      </c>
      <c r="AP255" s="6">
        <v>3</v>
      </c>
    </row>
    <row r="256" spans="3:42">
      <c r="C256" s="4" t="s">
        <v>4321</v>
      </c>
      <c r="D256"/>
      <c r="E256" s="4" t="s">
        <v>3490</v>
      </c>
      <c r="G256" s="10" t="s">
        <v>4112</v>
      </c>
      <c r="H256" s="136">
        <v>108960000000</v>
      </c>
      <c r="I256" s="5"/>
      <c r="J256" s="4" t="s">
        <v>3431</v>
      </c>
      <c r="K256" t="s">
        <v>1664</v>
      </c>
      <c r="L256" s="4" t="s">
        <v>4322</v>
      </c>
      <c r="M256" s="4" t="s">
        <v>3431</v>
      </c>
      <c r="N256" s="4">
        <v>0</v>
      </c>
      <c r="Q256" s="120">
        <v>11.98</v>
      </c>
      <c r="R256" t="s">
        <v>1664</v>
      </c>
      <c r="S256">
        <v>0</v>
      </c>
      <c r="T256"/>
      <c r="U256">
        <v>0</v>
      </c>
      <c r="V256"/>
      <c r="W256" t="s">
        <v>1664</v>
      </c>
      <c r="X256" t="s">
        <v>1664</v>
      </c>
      <c r="Y256" t="s">
        <v>1664</v>
      </c>
      <c r="Z256" t="s">
        <v>1664</v>
      </c>
      <c r="AA256" t="s">
        <v>1664</v>
      </c>
      <c r="AB256" t="s">
        <v>1664</v>
      </c>
      <c r="AC256" t="s">
        <v>3490</v>
      </c>
      <c r="AD256" t="s">
        <v>3487</v>
      </c>
      <c r="AE256" t="s">
        <v>1664</v>
      </c>
      <c r="AF256" t="s">
        <v>1664</v>
      </c>
      <c r="AG256" t="s">
        <v>1664</v>
      </c>
      <c r="AH256" t="s">
        <v>1664</v>
      </c>
      <c r="AI256" t="s">
        <v>1664</v>
      </c>
      <c r="AJ256">
        <v>0</v>
      </c>
      <c r="AK256"/>
      <c r="AL256">
        <v>0</v>
      </c>
      <c r="AM256"/>
      <c r="AN256">
        <v>108960000000</v>
      </c>
      <c r="AO256" t="s">
        <v>4114</v>
      </c>
      <c r="AP256" s="6">
        <v>3</v>
      </c>
    </row>
    <row r="257" spans="3:42">
      <c r="C257" s="4" t="s">
        <v>4321</v>
      </c>
      <c r="D257"/>
      <c r="E257" s="4" t="s">
        <v>3463</v>
      </c>
      <c r="G257" s="10" t="s">
        <v>3461</v>
      </c>
      <c r="H257" s="136">
        <v>54117334896</v>
      </c>
      <c r="I257" s="5"/>
      <c r="J257" s="4" t="s">
        <v>3431</v>
      </c>
      <c r="K257" t="s">
        <v>1664</v>
      </c>
      <c r="L257" s="4" t="s">
        <v>4322</v>
      </c>
      <c r="M257" s="4" t="s">
        <v>3431</v>
      </c>
      <c r="N257" s="4">
        <v>0</v>
      </c>
      <c r="Q257" s="120">
        <v>10.8056</v>
      </c>
      <c r="R257" t="s">
        <v>1664</v>
      </c>
      <c r="S257">
        <v>0</v>
      </c>
      <c r="T257"/>
      <c r="U257">
        <v>0</v>
      </c>
      <c r="V257"/>
      <c r="W257" t="s">
        <v>1664</v>
      </c>
      <c r="X257" t="s">
        <v>1664</v>
      </c>
      <c r="Y257" t="s">
        <v>1664</v>
      </c>
      <c r="Z257" t="s">
        <v>1664</v>
      </c>
      <c r="AA257" t="s">
        <v>1664</v>
      </c>
      <c r="AB257" t="s">
        <v>1664</v>
      </c>
      <c r="AC257" t="s">
        <v>3463</v>
      </c>
      <c r="AD257" t="s">
        <v>3464</v>
      </c>
      <c r="AE257" t="s">
        <v>1664</v>
      </c>
      <c r="AF257" t="s">
        <v>1664</v>
      </c>
      <c r="AG257" t="s">
        <v>1664</v>
      </c>
      <c r="AH257" t="s">
        <v>1664</v>
      </c>
      <c r="AI257" t="s">
        <v>1664</v>
      </c>
      <c r="AJ257">
        <v>0</v>
      </c>
      <c r="AK257"/>
      <c r="AL257">
        <v>0</v>
      </c>
      <c r="AM257"/>
      <c r="AN257">
        <v>54117334896</v>
      </c>
      <c r="AO257" t="s">
        <v>3465</v>
      </c>
      <c r="AP257" s="6">
        <v>3</v>
      </c>
    </row>
    <row r="258" spans="3:42">
      <c r="C258" s="4" t="s">
        <v>2083</v>
      </c>
      <c r="D258" t="s">
        <v>106</v>
      </c>
      <c r="E258" s="4" t="s">
        <v>3552</v>
      </c>
      <c r="F258" s="4" t="s">
        <v>2083</v>
      </c>
      <c r="G258" s="10" t="s">
        <v>2555</v>
      </c>
      <c r="H258" s="136">
        <v>810513200</v>
      </c>
      <c r="I258" s="5">
        <v>7.8869047619047616E-2</v>
      </c>
      <c r="J258" s="4" t="s">
        <v>3431</v>
      </c>
      <c r="K258">
        <v>520000000</v>
      </c>
      <c r="L258" s="4" t="s">
        <v>4322</v>
      </c>
      <c r="M258" s="4" t="s">
        <v>3148</v>
      </c>
      <c r="N258" s="4">
        <v>1</v>
      </c>
      <c r="O258" s="6" t="s">
        <v>3431</v>
      </c>
      <c r="Q258" s="120">
        <v>5.6265999999999998</v>
      </c>
      <c r="R258">
        <v>0</v>
      </c>
      <c r="S258">
        <v>188000000</v>
      </c>
      <c r="T258"/>
      <c r="U258">
        <v>325000000</v>
      </c>
      <c r="V258"/>
      <c r="W258">
        <v>118100000</v>
      </c>
      <c r="X258">
        <v>160700000</v>
      </c>
      <c r="Y258">
        <v>276900000</v>
      </c>
      <c r="Z258">
        <v>182700000</v>
      </c>
      <c r="AA258">
        <v>142400000</v>
      </c>
      <c r="AB258" t="s">
        <v>1664</v>
      </c>
      <c r="AC258" t="s">
        <v>3552</v>
      </c>
      <c r="AD258" t="s">
        <v>3477</v>
      </c>
      <c r="AE258">
        <v>2439002458</v>
      </c>
      <c r="AF258">
        <v>2779421510.4000001</v>
      </c>
      <c r="AG258">
        <v>2205898153.1999998</v>
      </c>
      <c r="AH258">
        <v>2469707856</v>
      </c>
      <c r="AI258">
        <v>2000463363.3600001</v>
      </c>
      <c r="AJ258">
        <v>2310299439.8399997</v>
      </c>
      <c r="AK258"/>
      <c r="AL258">
        <v>1462740607.4399998</v>
      </c>
      <c r="AM258"/>
      <c r="AN258">
        <v>810513200</v>
      </c>
      <c r="AO258" t="s">
        <v>3997</v>
      </c>
      <c r="AP258" s="6">
        <v>3</v>
      </c>
    </row>
    <row r="259" spans="3:42">
      <c r="C259" s="4" t="s">
        <v>2083</v>
      </c>
      <c r="D259" t="s">
        <v>943</v>
      </c>
      <c r="E259" s="4" t="s">
        <v>3500</v>
      </c>
      <c r="F259" s="4" t="s">
        <v>2083</v>
      </c>
      <c r="G259" s="10" t="s">
        <v>4210</v>
      </c>
      <c r="H259" s="136">
        <v>6555802000</v>
      </c>
      <c r="I259" s="5">
        <v>-0.20871240980594272</v>
      </c>
      <c r="J259" s="4" t="s">
        <v>3431</v>
      </c>
      <c r="K259">
        <v>0</v>
      </c>
      <c r="L259" s="4" t="s">
        <v>4376</v>
      </c>
      <c r="M259" s="4" t="s">
        <v>3419</v>
      </c>
      <c r="N259" s="4">
        <v>1</v>
      </c>
      <c r="O259" s="6" t="s">
        <v>3149</v>
      </c>
      <c r="Q259" s="120">
        <v>2.69</v>
      </c>
      <c r="R259">
        <v>300000000</v>
      </c>
      <c r="S259">
        <v>178200000</v>
      </c>
      <c r="T259"/>
      <c r="U259">
        <v>-972100000</v>
      </c>
      <c r="V259"/>
      <c r="W259">
        <v>-7212600000</v>
      </c>
      <c r="X259">
        <v>1103300000</v>
      </c>
      <c r="Y259">
        <v>1242800000</v>
      </c>
      <c r="Z259">
        <v>2439500000</v>
      </c>
      <c r="AA259">
        <v>2722500000</v>
      </c>
      <c r="AB259">
        <v>21.852673333333332</v>
      </c>
      <c r="AC259" t="s">
        <v>3500</v>
      </c>
      <c r="AD259" t="s">
        <v>3518</v>
      </c>
      <c r="AE259">
        <v>21966026485</v>
      </c>
      <c r="AF259">
        <v>20470618580</v>
      </c>
      <c r="AG259">
        <v>17503937308</v>
      </c>
      <c r="AH259">
        <v>18262296492</v>
      </c>
      <c r="AI259">
        <v>8940279154.9200001</v>
      </c>
      <c r="AJ259">
        <v>8537416025.6000004</v>
      </c>
      <c r="AK259"/>
      <c r="AL259">
        <v>6748243489.4400005</v>
      </c>
      <c r="AM259"/>
      <c r="AN259">
        <v>6555802000</v>
      </c>
      <c r="AO259" t="s">
        <v>4211</v>
      </c>
      <c r="AP259" s="6">
        <v>3</v>
      </c>
    </row>
    <row r="260" spans="3:42">
      <c r="C260" s="4" t="s">
        <v>2083</v>
      </c>
      <c r="D260"/>
      <c r="E260" s="4" t="s">
        <v>3500</v>
      </c>
      <c r="G260" s="10" t="s">
        <v>3868</v>
      </c>
      <c r="H260" s="136">
        <v>2524888000</v>
      </c>
      <c r="I260" s="5"/>
      <c r="J260" s="4" t="s">
        <v>3431</v>
      </c>
      <c r="K260" t="s">
        <v>1664</v>
      </c>
      <c r="L260" s="4" t="s">
        <v>4322</v>
      </c>
      <c r="M260" s="4" t="s">
        <v>3148</v>
      </c>
      <c r="N260" s="4">
        <v>0</v>
      </c>
      <c r="Q260" s="120">
        <v>0</v>
      </c>
      <c r="R260" t="s">
        <v>1664</v>
      </c>
      <c r="S260">
        <v>0</v>
      </c>
      <c r="T260"/>
      <c r="U260">
        <v>0</v>
      </c>
      <c r="V260"/>
      <c r="W260" t="s">
        <v>1664</v>
      </c>
      <c r="X260" t="s">
        <v>1664</v>
      </c>
      <c r="Y260" t="s">
        <v>1664</v>
      </c>
      <c r="Z260" t="s">
        <v>1664</v>
      </c>
      <c r="AA260" t="s">
        <v>1664</v>
      </c>
      <c r="AB260" t="s">
        <v>1664</v>
      </c>
      <c r="AC260" t="s">
        <v>3500</v>
      </c>
      <c r="AD260" t="s">
        <v>3477</v>
      </c>
      <c r="AE260" t="s">
        <v>1664</v>
      </c>
      <c r="AF260" t="s">
        <v>1664</v>
      </c>
      <c r="AG260" t="s">
        <v>1664</v>
      </c>
      <c r="AH260" t="s">
        <v>1664</v>
      </c>
      <c r="AI260" t="s">
        <v>1664</v>
      </c>
      <c r="AJ260">
        <v>0</v>
      </c>
      <c r="AK260"/>
      <c r="AL260">
        <v>0</v>
      </c>
      <c r="AM260"/>
      <c r="AN260">
        <v>2524888000</v>
      </c>
      <c r="AO260" t="s">
        <v>3870</v>
      </c>
      <c r="AP260" s="6">
        <v>3</v>
      </c>
    </row>
    <row r="261" spans="3:42">
      <c r="C261" s="4" t="s">
        <v>2083</v>
      </c>
      <c r="D261"/>
      <c r="E261" s="4" t="s">
        <v>3500</v>
      </c>
      <c r="G261" s="10" t="s">
        <v>4259</v>
      </c>
      <c r="H261" s="136">
        <v>5053681000</v>
      </c>
      <c r="I261" s="5"/>
      <c r="J261" s="4" t="s">
        <v>3431</v>
      </c>
      <c r="K261" t="s">
        <v>1664</v>
      </c>
      <c r="L261" s="4" t="s">
        <v>4322</v>
      </c>
      <c r="M261" s="4" t="s">
        <v>3148</v>
      </c>
      <c r="N261" s="4">
        <v>0</v>
      </c>
      <c r="Q261" s="120">
        <v>0</v>
      </c>
      <c r="R261" t="s">
        <v>1664</v>
      </c>
      <c r="S261">
        <v>0</v>
      </c>
      <c r="T261"/>
      <c r="U261">
        <v>0</v>
      </c>
      <c r="V261"/>
      <c r="W261" t="s">
        <v>1664</v>
      </c>
      <c r="X261" t="s">
        <v>1664</v>
      </c>
      <c r="Y261" t="s">
        <v>1664</v>
      </c>
      <c r="Z261" t="s">
        <v>1664</v>
      </c>
      <c r="AA261" t="s">
        <v>1664</v>
      </c>
      <c r="AB261" t="s">
        <v>1664</v>
      </c>
      <c r="AC261" t="s">
        <v>3500</v>
      </c>
      <c r="AD261" t="s">
        <v>3482</v>
      </c>
      <c r="AE261" t="s">
        <v>1664</v>
      </c>
      <c r="AF261" t="s">
        <v>1664</v>
      </c>
      <c r="AG261" t="s">
        <v>1664</v>
      </c>
      <c r="AH261" t="s">
        <v>1664</v>
      </c>
      <c r="AI261" t="s">
        <v>1664</v>
      </c>
      <c r="AJ261">
        <v>0</v>
      </c>
      <c r="AK261"/>
      <c r="AL261">
        <v>0</v>
      </c>
      <c r="AM261"/>
      <c r="AN261">
        <v>5053681000</v>
      </c>
      <c r="AO261" t="s">
        <v>4261</v>
      </c>
      <c r="AP261" s="6">
        <v>3</v>
      </c>
    </row>
    <row r="262" spans="3:42">
      <c r="C262" s="4" t="s">
        <v>2083</v>
      </c>
      <c r="D262"/>
      <c r="E262" s="4" t="s">
        <v>3552</v>
      </c>
      <c r="G262" s="10" t="s">
        <v>3550</v>
      </c>
      <c r="H262" s="136">
        <v>1922303000</v>
      </c>
      <c r="I262" s="5"/>
      <c r="J262" s="4" t="s">
        <v>3431</v>
      </c>
      <c r="K262" t="s">
        <v>1664</v>
      </c>
      <c r="L262" s="4" t="s">
        <v>4322</v>
      </c>
      <c r="M262" s="4" t="s">
        <v>3148</v>
      </c>
      <c r="N262" s="4">
        <v>0</v>
      </c>
      <c r="Q262" s="120">
        <v>16.955400000000001</v>
      </c>
      <c r="R262" t="s">
        <v>1664</v>
      </c>
      <c r="S262">
        <v>0</v>
      </c>
      <c r="T262"/>
      <c r="U262">
        <v>0</v>
      </c>
      <c r="V262"/>
      <c r="W262" t="s">
        <v>1664</v>
      </c>
      <c r="X262" t="s">
        <v>1664</v>
      </c>
      <c r="Y262" t="s">
        <v>1664</v>
      </c>
      <c r="Z262" t="s">
        <v>1664</v>
      </c>
      <c r="AA262" t="s">
        <v>1664</v>
      </c>
      <c r="AB262" t="s">
        <v>1664</v>
      </c>
      <c r="AC262" t="s">
        <v>3552</v>
      </c>
      <c r="AD262" t="s">
        <v>3477</v>
      </c>
      <c r="AE262" t="s">
        <v>1664</v>
      </c>
      <c r="AF262" t="s">
        <v>1664</v>
      </c>
      <c r="AG262" t="s">
        <v>1664</v>
      </c>
      <c r="AH262" t="s">
        <v>1664</v>
      </c>
      <c r="AI262" t="s">
        <v>1664</v>
      </c>
      <c r="AJ262">
        <v>0</v>
      </c>
      <c r="AK262"/>
      <c r="AL262">
        <v>0</v>
      </c>
      <c r="AM262"/>
      <c r="AN262">
        <v>1922303000</v>
      </c>
      <c r="AO262" t="s">
        <v>3553</v>
      </c>
      <c r="AP262" s="6">
        <v>3</v>
      </c>
    </row>
    <row r="263" spans="3:42">
      <c r="C263" s="4" t="s">
        <v>2083</v>
      </c>
      <c r="D263"/>
      <c r="E263" s="4" t="s">
        <v>3552</v>
      </c>
      <c r="G263" s="10" t="s">
        <v>4253</v>
      </c>
      <c r="H263" s="136">
        <v>19657380000</v>
      </c>
      <c r="I263" s="5"/>
      <c r="J263" s="4" t="s">
        <v>3431</v>
      </c>
      <c r="K263" t="s">
        <v>1664</v>
      </c>
      <c r="L263" s="4" t="s">
        <v>4322</v>
      </c>
      <c r="M263" s="4" t="s">
        <v>3148</v>
      </c>
      <c r="N263" s="4">
        <v>0</v>
      </c>
      <c r="Q263" s="120">
        <v>12.21</v>
      </c>
      <c r="R263" t="s">
        <v>1664</v>
      </c>
      <c r="S263">
        <v>0</v>
      </c>
      <c r="T263"/>
      <c r="U263">
        <v>0</v>
      </c>
      <c r="V263"/>
      <c r="W263" t="s">
        <v>1664</v>
      </c>
      <c r="X263" t="s">
        <v>1664</v>
      </c>
      <c r="Y263" t="s">
        <v>1664</v>
      </c>
      <c r="Z263" t="s">
        <v>1664</v>
      </c>
      <c r="AA263" t="s">
        <v>1664</v>
      </c>
      <c r="AB263" t="s">
        <v>1664</v>
      </c>
      <c r="AC263" t="s">
        <v>3552</v>
      </c>
      <c r="AD263" t="s">
        <v>3487</v>
      </c>
      <c r="AE263" t="s">
        <v>1664</v>
      </c>
      <c r="AF263" t="s">
        <v>1664</v>
      </c>
      <c r="AG263" t="s">
        <v>1664</v>
      </c>
      <c r="AH263" t="s">
        <v>1664</v>
      </c>
      <c r="AI263" t="s">
        <v>1664</v>
      </c>
      <c r="AJ263">
        <v>0</v>
      </c>
      <c r="AK263"/>
      <c r="AL263">
        <v>0</v>
      </c>
      <c r="AM263"/>
      <c r="AN263">
        <v>19657380000</v>
      </c>
      <c r="AO263" t="s">
        <v>4255</v>
      </c>
      <c r="AP263" s="6">
        <v>3</v>
      </c>
    </row>
    <row r="264" spans="3:42">
      <c r="C264" s="4" t="s">
        <v>2083</v>
      </c>
      <c r="D264"/>
      <c r="E264" s="4" t="s">
        <v>3500</v>
      </c>
      <c r="G264" s="10" t="s">
        <v>3708</v>
      </c>
      <c r="H264" s="136">
        <v>4430140000</v>
      </c>
      <c r="I264" s="5"/>
      <c r="J264" s="4" t="s">
        <v>3431</v>
      </c>
      <c r="K264" t="s">
        <v>1664</v>
      </c>
      <c r="L264" s="4" t="s">
        <v>4322</v>
      </c>
      <c r="M264" s="4" t="s">
        <v>3148</v>
      </c>
      <c r="N264" s="4">
        <v>0</v>
      </c>
      <c r="Q264" s="120">
        <v>0</v>
      </c>
      <c r="R264" t="s">
        <v>1664</v>
      </c>
      <c r="S264">
        <v>0</v>
      </c>
      <c r="T264"/>
      <c r="U264">
        <v>0</v>
      </c>
      <c r="V264"/>
      <c r="W264" t="s">
        <v>1664</v>
      </c>
      <c r="X264" t="s">
        <v>1664</v>
      </c>
      <c r="Y264" t="s">
        <v>1664</v>
      </c>
      <c r="Z264" t="s">
        <v>1664</v>
      </c>
      <c r="AA264" t="s">
        <v>1664</v>
      </c>
      <c r="AB264" t="s">
        <v>1664</v>
      </c>
      <c r="AC264" t="s">
        <v>3500</v>
      </c>
      <c r="AD264" t="s">
        <v>3477</v>
      </c>
      <c r="AE264" t="s">
        <v>1664</v>
      </c>
      <c r="AF264" t="s">
        <v>1664</v>
      </c>
      <c r="AG264" t="s">
        <v>1664</v>
      </c>
      <c r="AH264" t="s">
        <v>1664</v>
      </c>
      <c r="AI264" t="s">
        <v>1664</v>
      </c>
      <c r="AJ264">
        <v>0</v>
      </c>
      <c r="AK264"/>
      <c r="AL264">
        <v>0</v>
      </c>
      <c r="AM264"/>
      <c r="AN264">
        <v>4430140000</v>
      </c>
      <c r="AO264" t="s">
        <v>3710</v>
      </c>
      <c r="AP264" s="6">
        <v>3</v>
      </c>
    </row>
    <row r="265" spans="3:42">
      <c r="C265" s="4" t="s">
        <v>2083</v>
      </c>
      <c r="D265"/>
      <c r="E265" s="4" t="s">
        <v>3500</v>
      </c>
      <c r="G265" s="10" t="s">
        <v>3689</v>
      </c>
      <c r="H265" s="136">
        <v>2346296000</v>
      </c>
      <c r="I265" s="5"/>
      <c r="J265" s="4" t="s">
        <v>3431</v>
      </c>
      <c r="K265" t="s">
        <v>1664</v>
      </c>
      <c r="L265" s="4" t="s">
        <v>4322</v>
      </c>
      <c r="M265" s="4" t="s">
        <v>3148</v>
      </c>
      <c r="N265" s="4">
        <v>0</v>
      </c>
      <c r="Q265" s="120">
        <v>11.875500000000001</v>
      </c>
      <c r="R265" t="s">
        <v>1664</v>
      </c>
      <c r="S265">
        <v>0</v>
      </c>
      <c r="T265"/>
      <c r="U265">
        <v>0</v>
      </c>
      <c r="V265"/>
      <c r="W265" t="s">
        <v>1664</v>
      </c>
      <c r="X265" t="s">
        <v>1664</v>
      </c>
      <c r="Y265" t="s">
        <v>1664</v>
      </c>
      <c r="Z265" t="s">
        <v>1664</v>
      </c>
      <c r="AA265" t="s">
        <v>1664</v>
      </c>
      <c r="AB265" t="s">
        <v>1664</v>
      </c>
      <c r="AC265" t="s">
        <v>3500</v>
      </c>
      <c r="AD265" t="s">
        <v>3482</v>
      </c>
      <c r="AE265" t="s">
        <v>1664</v>
      </c>
      <c r="AF265" t="s">
        <v>1664</v>
      </c>
      <c r="AG265" t="s">
        <v>1664</v>
      </c>
      <c r="AH265" t="s">
        <v>1664</v>
      </c>
      <c r="AI265" t="s">
        <v>1664</v>
      </c>
      <c r="AJ265">
        <v>0</v>
      </c>
      <c r="AK265"/>
      <c r="AL265">
        <v>0</v>
      </c>
      <c r="AM265"/>
      <c r="AN265">
        <v>2346296000</v>
      </c>
      <c r="AO265" t="s">
        <v>3691</v>
      </c>
      <c r="AP265" s="6">
        <v>3</v>
      </c>
    </row>
    <row r="266" spans="3:42">
      <c r="C266" s="4" t="s">
        <v>2083</v>
      </c>
      <c r="D266"/>
      <c r="E266" s="4" t="s">
        <v>3500</v>
      </c>
      <c r="G266" s="10" t="s">
        <v>3818</v>
      </c>
      <c r="H266" s="136">
        <v>7746604000</v>
      </c>
      <c r="I266" s="5"/>
      <c r="J266" s="4" t="s">
        <v>3431</v>
      </c>
      <c r="K266" t="s">
        <v>1664</v>
      </c>
      <c r="L266" s="4" t="s">
        <v>4322</v>
      </c>
      <c r="M266" s="4" t="s">
        <v>3148</v>
      </c>
      <c r="N266" s="4">
        <v>0</v>
      </c>
      <c r="Q266" s="120">
        <v>0</v>
      </c>
      <c r="R266" t="s">
        <v>1664</v>
      </c>
      <c r="S266">
        <v>0</v>
      </c>
      <c r="T266"/>
      <c r="U266">
        <v>0</v>
      </c>
      <c r="V266"/>
      <c r="W266" t="s">
        <v>1664</v>
      </c>
      <c r="X266" t="s">
        <v>1664</v>
      </c>
      <c r="Y266" t="s">
        <v>1664</v>
      </c>
      <c r="Z266" t="s">
        <v>1664</v>
      </c>
      <c r="AA266" t="s">
        <v>1664</v>
      </c>
      <c r="AB266" t="s">
        <v>1664</v>
      </c>
      <c r="AC266" t="s">
        <v>3500</v>
      </c>
      <c r="AD266" t="s">
        <v>3477</v>
      </c>
      <c r="AE266" t="s">
        <v>1664</v>
      </c>
      <c r="AF266" t="s">
        <v>1664</v>
      </c>
      <c r="AG266" t="s">
        <v>1664</v>
      </c>
      <c r="AH266" t="s">
        <v>1664</v>
      </c>
      <c r="AI266" t="s">
        <v>1664</v>
      </c>
      <c r="AJ266">
        <v>0</v>
      </c>
      <c r="AK266"/>
      <c r="AL266">
        <v>0</v>
      </c>
      <c r="AM266"/>
      <c r="AN266">
        <v>7746604000</v>
      </c>
      <c r="AO266" t="s">
        <v>3820</v>
      </c>
      <c r="AP266" s="6">
        <v>3</v>
      </c>
    </row>
    <row r="267" spans="3:42">
      <c r="C267" s="4" t="s">
        <v>2083</v>
      </c>
      <c r="D267"/>
      <c r="E267" s="4" t="s">
        <v>3500</v>
      </c>
      <c r="G267" s="10" t="s">
        <v>3914</v>
      </c>
      <c r="H267" s="136">
        <v>7165792000</v>
      </c>
      <c r="I267" s="5"/>
      <c r="J267" s="4" t="s">
        <v>3431</v>
      </c>
      <c r="K267" t="s">
        <v>1664</v>
      </c>
      <c r="L267" s="4" t="s">
        <v>4322</v>
      </c>
      <c r="M267" s="4" t="s">
        <v>3148</v>
      </c>
      <c r="N267" s="4">
        <v>0</v>
      </c>
      <c r="Q267" s="120">
        <v>41.529499999999999</v>
      </c>
      <c r="R267" t="s">
        <v>1664</v>
      </c>
      <c r="S267">
        <v>0</v>
      </c>
      <c r="T267"/>
      <c r="U267">
        <v>0</v>
      </c>
      <c r="V267"/>
      <c r="W267" t="s">
        <v>1664</v>
      </c>
      <c r="X267" t="s">
        <v>1664</v>
      </c>
      <c r="Y267" t="s">
        <v>1664</v>
      </c>
      <c r="Z267" t="s">
        <v>1664</v>
      </c>
      <c r="AA267" t="s">
        <v>1664</v>
      </c>
      <c r="AB267" t="s">
        <v>1664</v>
      </c>
      <c r="AC267" t="s">
        <v>3500</v>
      </c>
      <c r="AD267" t="s">
        <v>3477</v>
      </c>
      <c r="AE267" t="s">
        <v>1664</v>
      </c>
      <c r="AF267" t="s">
        <v>1664</v>
      </c>
      <c r="AG267" t="s">
        <v>1664</v>
      </c>
      <c r="AH267" t="s">
        <v>1664</v>
      </c>
      <c r="AI267" t="s">
        <v>1664</v>
      </c>
      <c r="AJ267">
        <v>0</v>
      </c>
      <c r="AK267"/>
      <c r="AL267">
        <v>0</v>
      </c>
      <c r="AM267"/>
      <c r="AN267">
        <v>7165792000</v>
      </c>
      <c r="AO267" t="s">
        <v>3916</v>
      </c>
      <c r="AP267" s="6">
        <v>3</v>
      </c>
    </row>
    <row r="268" spans="3:42">
      <c r="C268" s="4" t="s">
        <v>2083</v>
      </c>
      <c r="D268"/>
      <c r="E268" s="4" t="s">
        <v>3500</v>
      </c>
      <c r="F268" s="4" t="s">
        <v>4414</v>
      </c>
      <c r="G268" s="10" t="s">
        <v>2494</v>
      </c>
      <c r="H268" s="136">
        <v>111704200000</v>
      </c>
      <c r="I268" s="5"/>
      <c r="J268" s="4" t="s">
        <v>3431</v>
      </c>
      <c r="K268" t="s">
        <v>1664</v>
      </c>
      <c r="L268" s="4" t="s">
        <v>4348</v>
      </c>
      <c r="M268" s="4" t="s">
        <v>3431</v>
      </c>
      <c r="N268" s="4">
        <v>1</v>
      </c>
      <c r="O268" s="6" t="s">
        <v>3431</v>
      </c>
      <c r="Q268" s="120">
        <v>31.818100000000001</v>
      </c>
      <c r="R268" t="s">
        <v>1664</v>
      </c>
      <c r="S268">
        <v>0</v>
      </c>
      <c r="T268"/>
      <c r="U268">
        <v>2939723000</v>
      </c>
      <c r="V268"/>
      <c r="W268">
        <v>1481814000</v>
      </c>
      <c r="X268">
        <v>1572959000</v>
      </c>
      <c r="Y268">
        <v>1649361000</v>
      </c>
      <c r="Z268">
        <v>1652325000</v>
      </c>
      <c r="AA268">
        <v>1209932000</v>
      </c>
      <c r="AB268" t="s">
        <v>1664</v>
      </c>
      <c r="AC268" t="s">
        <v>3500</v>
      </c>
      <c r="AD268"/>
      <c r="AE268">
        <v>27913828800</v>
      </c>
      <c r="AF268">
        <v>34059904000</v>
      </c>
      <c r="AG268">
        <v>35888112000</v>
      </c>
      <c r="AH268">
        <v>55850854800</v>
      </c>
      <c r="AI268">
        <v>62964889020</v>
      </c>
      <c r="AJ268">
        <v>106369342920.00002</v>
      </c>
      <c r="AK268"/>
      <c r="AL268">
        <v>0</v>
      </c>
      <c r="AM268"/>
      <c r="AN268">
        <v>111704200000</v>
      </c>
      <c r="AO268" t="s">
        <v>4035</v>
      </c>
      <c r="AP268" s="6">
        <v>3</v>
      </c>
    </row>
    <row r="269" spans="3:42">
      <c r="C269" s="4" t="s">
        <v>2083</v>
      </c>
      <c r="D269"/>
      <c r="E269" s="4" t="s">
        <v>3500</v>
      </c>
      <c r="G269" s="10" t="s">
        <v>3965</v>
      </c>
      <c r="H269" s="136">
        <v>817282000</v>
      </c>
      <c r="I269" s="5"/>
      <c r="J269" s="4" t="s">
        <v>3431</v>
      </c>
      <c r="K269" t="s">
        <v>1664</v>
      </c>
      <c r="L269" s="4" t="s">
        <v>4322</v>
      </c>
      <c r="M269" s="4" t="s">
        <v>3148</v>
      </c>
      <c r="N269" s="4">
        <v>0</v>
      </c>
      <c r="Q269" s="120">
        <v>13.3165</v>
      </c>
      <c r="R269" t="s">
        <v>1664</v>
      </c>
      <c r="S269">
        <v>0</v>
      </c>
      <c r="T269"/>
      <c r="U269">
        <v>0</v>
      </c>
      <c r="V269"/>
      <c r="W269" t="s">
        <v>1664</v>
      </c>
      <c r="X269" t="s">
        <v>1664</v>
      </c>
      <c r="Y269" t="s">
        <v>1664</v>
      </c>
      <c r="Z269" t="s">
        <v>1664</v>
      </c>
      <c r="AA269" t="s">
        <v>1664</v>
      </c>
      <c r="AB269" t="s">
        <v>1664</v>
      </c>
      <c r="AC269" t="s">
        <v>3500</v>
      </c>
      <c r="AD269" t="s">
        <v>3477</v>
      </c>
      <c r="AE269" t="s">
        <v>1664</v>
      </c>
      <c r="AF269" t="s">
        <v>1664</v>
      </c>
      <c r="AG269" t="s">
        <v>1664</v>
      </c>
      <c r="AH269" t="s">
        <v>1664</v>
      </c>
      <c r="AI269" t="s">
        <v>1664</v>
      </c>
      <c r="AJ269">
        <v>0</v>
      </c>
      <c r="AK269"/>
      <c r="AL269">
        <v>0</v>
      </c>
      <c r="AM269"/>
      <c r="AN269">
        <v>817282000</v>
      </c>
      <c r="AO269" t="s">
        <v>3967</v>
      </c>
      <c r="AP269" s="6">
        <v>3</v>
      </c>
    </row>
    <row r="270" spans="3:42">
      <c r="C270" s="4" t="s">
        <v>2083</v>
      </c>
      <c r="D270"/>
      <c r="E270" s="4" t="s">
        <v>3500</v>
      </c>
      <c r="G270" s="10" t="s">
        <v>3498</v>
      </c>
      <c r="H270" s="136">
        <v>2696092000</v>
      </c>
      <c r="I270" s="5"/>
      <c r="J270" s="4" t="s">
        <v>3431</v>
      </c>
      <c r="K270" t="s">
        <v>1664</v>
      </c>
      <c r="L270" s="4" t="s">
        <v>4322</v>
      </c>
      <c r="M270" s="4" t="s">
        <v>3148</v>
      </c>
      <c r="N270" s="4">
        <v>0</v>
      </c>
      <c r="Q270" s="120">
        <v>15.305300000000001</v>
      </c>
      <c r="R270" t="s">
        <v>1664</v>
      </c>
      <c r="S270">
        <v>0</v>
      </c>
      <c r="T270"/>
      <c r="U270">
        <v>0</v>
      </c>
      <c r="V270"/>
      <c r="W270" t="s">
        <v>1664</v>
      </c>
      <c r="X270" t="s">
        <v>1664</v>
      </c>
      <c r="Y270" t="s">
        <v>1664</v>
      </c>
      <c r="Z270" t="s">
        <v>1664</v>
      </c>
      <c r="AA270" t="s">
        <v>1664</v>
      </c>
      <c r="AB270" t="s">
        <v>1664</v>
      </c>
      <c r="AC270" t="s">
        <v>3500</v>
      </c>
      <c r="AD270" t="s">
        <v>3482</v>
      </c>
      <c r="AE270" t="s">
        <v>1664</v>
      </c>
      <c r="AF270" t="s">
        <v>1664</v>
      </c>
      <c r="AG270" t="s">
        <v>1664</v>
      </c>
      <c r="AH270" t="s">
        <v>1664</v>
      </c>
      <c r="AI270" t="s">
        <v>1664</v>
      </c>
      <c r="AJ270">
        <v>0</v>
      </c>
      <c r="AK270"/>
      <c r="AL270">
        <v>0</v>
      </c>
      <c r="AM270"/>
      <c r="AN270">
        <v>2696092000</v>
      </c>
      <c r="AO270" t="s">
        <v>3501</v>
      </c>
      <c r="AP270" s="6">
        <v>3</v>
      </c>
    </row>
    <row r="271" spans="3:42">
      <c r="C271" s="4" t="s">
        <v>2018</v>
      </c>
      <c r="D271"/>
      <c r="E271" s="4" t="s">
        <v>3620</v>
      </c>
      <c r="F271" s="4" t="s">
        <v>2725</v>
      </c>
      <c r="G271" s="10" t="s">
        <v>2724</v>
      </c>
      <c r="H271" s="136">
        <v>827804500</v>
      </c>
      <c r="I271" s="5"/>
      <c r="J271" s="4" t="s">
        <v>3431</v>
      </c>
      <c r="K271" t="s">
        <v>1664</v>
      </c>
      <c r="L271" s="4" t="s">
        <v>4325</v>
      </c>
      <c r="M271" s="4" t="s">
        <v>3149</v>
      </c>
      <c r="N271" s="4">
        <v>1</v>
      </c>
      <c r="O271" s="6" t="s">
        <v>3419</v>
      </c>
      <c r="Q271" s="120"/>
      <c r="R271" t="s">
        <v>1664</v>
      </c>
      <c r="S271">
        <v>0</v>
      </c>
      <c r="T271"/>
      <c r="U271">
        <v>0</v>
      </c>
      <c r="V271"/>
      <c r="W271">
        <v>-26300000</v>
      </c>
      <c r="X271">
        <v>4600000</v>
      </c>
      <c r="Y271">
        <v>2500000</v>
      </c>
      <c r="Z271" t="s">
        <v>1664</v>
      </c>
      <c r="AA271" t="s">
        <v>1664</v>
      </c>
      <c r="AB271" t="s">
        <v>1664</v>
      </c>
      <c r="AC271" t="s">
        <v>3620</v>
      </c>
      <c r="AD271"/>
      <c r="AE271" t="s">
        <v>1664</v>
      </c>
      <c r="AF271" t="s">
        <v>1664</v>
      </c>
      <c r="AG271">
        <v>0</v>
      </c>
      <c r="AH271">
        <v>0</v>
      </c>
      <c r="AI271">
        <v>1792011309.5999999</v>
      </c>
      <c r="AJ271">
        <v>0</v>
      </c>
      <c r="AK271"/>
      <c r="AL271">
        <v>0</v>
      </c>
      <c r="AM271"/>
      <c r="AN271">
        <v>827804500</v>
      </c>
      <c r="AO271" t="s">
        <v>3621</v>
      </c>
      <c r="AP271" s="6">
        <v>3</v>
      </c>
    </row>
    <row r="272" spans="3:42">
      <c r="C272" s="4" t="s">
        <v>2018</v>
      </c>
      <c r="D272"/>
      <c r="E272" s="4" t="s">
        <v>3620</v>
      </c>
      <c r="G272" s="10" t="s">
        <v>3899</v>
      </c>
      <c r="H272" s="136">
        <v>3517167000</v>
      </c>
      <c r="I272" s="5"/>
      <c r="J272" s="4" t="s">
        <v>3431</v>
      </c>
      <c r="K272" t="s">
        <v>1664</v>
      </c>
      <c r="L272" s="4" t="s">
        <v>3150</v>
      </c>
      <c r="M272" s="4" t="s">
        <v>3431</v>
      </c>
      <c r="N272" s="4">
        <v>0</v>
      </c>
      <c r="Q272" s="120">
        <v>19.329899999999999</v>
      </c>
      <c r="R272" t="s">
        <v>1664</v>
      </c>
      <c r="S272">
        <v>0</v>
      </c>
      <c r="T272"/>
      <c r="U272">
        <v>0</v>
      </c>
      <c r="V272"/>
      <c r="W272" t="s">
        <v>1664</v>
      </c>
      <c r="X272" t="s">
        <v>1664</v>
      </c>
      <c r="Y272" t="s">
        <v>1664</v>
      </c>
      <c r="Z272" t="s">
        <v>1664</v>
      </c>
      <c r="AA272" t="s">
        <v>1664</v>
      </c>
      <c r="AB272" t="s">
        <v>1664</v>
      </c>
      <c r="AC272" t="s">
        <v>3620</v>
      </c>
      <c r="AD272" t="s">
        <v>3477</v>
      </c>
      <c r="AE272" t="s">
        <v>1664</v>
      </c>
      <c r="AF272" t="s">
        <v>1664</v>
      </c>
      <c r="AG272" t="s">
        <v>1664</v>
      </c>
      <c r="AH272" t="s">
        <v>1664</v>
      </c>
      <c r="AI272" t="s">
        <v>1664</v>
      </c>
      <c r="AJ272">
        <v>0</v>
      </c>
      <c r="AK272"/>
      <c r="AL272">
        <v>0</v>
      </c>
      <c r="AM272"/>
      <c r="AN272">
        <v>3517167000</v>
      </c>
      <c r="AO272" t="s">
        <v>3901</v>
      </c>
      <c r="AP272" s="6">
        <v>3</v>
      </c>
    </row>
    <row r="273" spans="3:42">
      <c r="C273" s="4" t="s">
        <v>2018</v>
      </c>
      <c r="D273"/>
      <c r="E273" s="4" t="s">
        <v>3620</v>
      </c>
      <c r="G273" s="10" t="s">
        <v>4190</v>
      </c>
      <c r="H273" s="136">
        <v>151066500000</v>
      </c>
      <c r="I273" s="5"/>
      <c r="J273" s="4" t="s">
        <v>3431</v>
      </c>
      <c r="K273" t="s">
        <v>1664</v>
      </c>
      <c r="L273" s="4" t="s">
        <v>3150</v>
      </c>
      <c r="M273" s="4" t="s">
        <v>3431</v>
      </c>
      <c r="N273" s="4">
        <v>0</v>
      </c>
      <c r="Q273" s="120">
        <v>67.046700000000001</v>
      </c>
      <c r="R273" t="s">
        <v>1664</v>
      </c>
      <c r="S273">
        <v>0</v>
      </c>
      <c r="T273"/>
      <c r="U273">
        <v>0</v>
      </c>
      <c r="V273"/>
      <c r="W273" t="s">
        <v>1664</v>
      </c>
      <c r="X273" t="s">
        <v>1664</v>
      </c>
      <c r="Y273" t="s">
        <v>1664</v>
      </c>
      <c r="Z273" t="s">
        <v>1664</v>
      </c>
      <c r="AA273" t="s">
        <v>1664</v>
      </c>
      <c r="AB273" t="s">
        <v>1664</v>
      </c>
      <c r="AC273" t="s">
        <v>3620</v>
      </c>
      <c r="AD273" t="s">
        <v>3474</v>
      </c>
      <c r="AE273" t="s">
        <v>1664</v>
      </c>
      <c r="AF273" t="s">
        <v>1664</v>
      </c>
      <c r="AG273" t="s">
        <v>1664</v>
      </c>
      <c r="AH273" t="s">
        <v>1664</v>
      </c>
      <c r="AI273" t="s">
        <v>1664</v>
      </c>
      <c r="AJ273">
        <v>0</v>
      </c>
      <c r="AK273"/>
      <c r="AL273">
        <v>0</v>
      </c>
      <c r="AM273"/>
      <c r="AN273">
        <v>151066500000</v>
      </c>
      <c r="AO273" t="s">
        <v>4192</v>
      </c>
      <c r="AP273" s="6">
        <v>3</v>
      </c>
    </row>
    <row r="274" spans="3:42">
      <c r="C274" s="4" t="s">
        <v>2018</v>
      </c>
      <c r="D274"/>
      <c r="E274" s="4" t="s">
        <v>3620</v>
      </c>
      <c r="F274" s="4" t="s">
        <v>2018</v>
      </c>
      <c r="G274" s="10" t="s">
        <v>1716</v>
      </c>
      <c r="H274" s="136">
        <v>18315540000</v>
      </c>
      <c r="I274" s="5"/>
      <c r="J274" s="4" t="s">
        <v>3431</v>
      </c>
      <c r="K274" t="s">
        <v>1664</v>
      </c>
      <c r="L274" s="4" t="s">
        <v>4322</v>
      </c>
      <c r="M274" s="4" t="s">
        <v>3431</v>
      </c>
      <c r="N274" s="4">
        <v>1</v>
      </c>
      <c r="O274" s="6" t="s">
        <v>3419</v>
      </c>
      <c r="Q274" s="120">
        <v>13.835100000000001</v>
      </c>
      <c r="R274" t="s">
        <v>1664</v>
      </c>
      <c r="S274">
        <v>1220000000</v>
      </c>
      <c r="T274">
        <v>1220000000</v>
      </c>
      <c r="U274">
        <v>1027000000</v>
      </c>
      <c r="V274">
        <v>1027000000</v>
      </c>
      <c r="W274" t="s">
        <v>1664</v>
      </c>
      <c r="X274">
        <v>930000000</v>
      </c>
      <c r="Y274">
        <v>919000000</v>
      </c>
      <c r="Z274">
        <v>862000000</v>
      </c>
      <c r="AA274">
        <v>0</v>
      </c>
      <c r="AB274" t="s">
        <v>1664</v>
      </c>
      <c r="AC274" t="s">
        <v>3620</v>
      </c>
      <c r="AD274" t="s">
        <v>3518</v>
      </c>
      <c r="AE274">
        <v>15110909917.199999</v>
      </c>
      <c r="AF274">
        <v>12687046790</v>
      </c>
      <c r="AG274">
        <v>10555397190</v>
      </c>
      <c r="AH274">
        <v>9800211467.8400002</v>
      </c>
      <c r="AI274" t="s">
        <v>1664</v>
      </c>
      <c r="AJ274">
        <v>14233869452.800001</v>
      </c>
      <c r="AK274">
        <v>17835998000</v>
      </c>
      <c r="AL274">
        <v>15380383000</v>
      </c>
      <c r="AM274">
        <v>15380383000</v>
      </c>
      <c r="AN274">
        <v>18315540000</v>
      </c>
      <c r="AO274" t="s">
        <v>4042</v>
      </c>
      <c r="AP274" s="6">
        <v>3</v>
      </c>
    </row>
    <row r="275" spans="3:42">
      <c r="C275" s="4" t="s">
        <v>2018</v>
      </c>
      <c r="D275"/>
      <c r="E275" s="4" t="s">
        <v>3620</v>
      </c>
      <c r="G275" s="10" t="s">
        <v>3896</v>
      </c>
      <c r="H275" s="136">
        <v>2011752000</v>
      </c>
      <c r="I275" s="5"/>
      <c r="J275" s="4" t="s">
        <v>3431</v>
      </c>
      <c r="K275" t="s">
        <v>1664</v>
      </c>
      <c r="L275" s="4" t="s">
        <v>3150</v>
      </c>
      <c r="M275" s="4" t="s">
        <v>3431</v>
      </c>
      <c r="N275" s="4">
        <v>0</v>
      </c>
      <c r="Q275" s="120">
        <v>10.748100000000001</v>
      </c>
      <c r="R275" t="s">
        <v>1664</v>
      </c>
      <c r="S275">
        <v>0</v>
      </c>
      <c r="T275"/>
      <c r="U275">
        <v>0</v>
      </c>
      <c r="V275"/>
      <c r="W275" t="s">
        <v>1664</v>
      </c>
      <c r="X275" t="s">
        <v>1664</v>
      </c>
      <c r="Y275" t="s">
        <v>1664</v>
      </c>
      <c r="Z275" t="s">
        <v>1664</v>
      </c>
      <c r="AA275" t="s">
        <v>1664</v>
      </c>
      <c r="AB275" t="s">
        <v>1664</v>
      </c>
      <c r="AC275" t="s">
        <v>3620</v>
      </c>
      <c r="AD275" t="s">
        <v>3477</v>
      </c>
      <c r="AE275" t="s">
        <v>1664</v>
      </c>
      <c r="AF275" t="s">
        <v>1664</v>
      </c>
      <c r="AG275" t="s">
        <v>1664</v>
      </c>
      <c r="AH275" t="s">
        <v>1664</v>
      </c>
      <c r="AI275" t="s">
        <v>1664</v>
      </c>
      <c r="AJ275">
        <v>0</v>
      </c>
      <c r="AK275"/>
      <c r="AL275">
        <v>0</v>
      </c>
      <c r="AM275"/>
      <c r="AN275">
        <v>2011752000</v>
      </c>
      <c r="AO275" t="s">
        <v>3898</v>
      </c>
      <c r="AP275" s="6">
        <v>3</v>
      </c>
    </row>
    <row r="276" spans="3:42">
      <c r="C276" s="4" t="s">
        <v>2018</v>
      </c>
      <c r="D276"/>
      <c r="E276" s="4" t="s">
        <v>3620</v>
      </c>
      <c r="G276" s="10" t="s">
        <v>4245</v>
      </c>
      <c r="H276" s="136">
        <v>8575099000</v>
      </c>
      <c r="I276" s="5"/>
      <c r="J276" s="4" t="s">
        <v>3431</v>
      </c>
      <c r="K276" t="s">
        <v>1664</v>
      </c>
      <c r="L276" s="4" t="s">
        <v>3150</v>
      </c>
      <c r="M276" s="4" t="s">
        <v>3431</v>
      </c>
      <c r="N276" s="4">
        <v>0</v>
      </c>
      <c r="Q276" s="120">
        <v>0</v>
      </c>
      <c r="R276" t="s">
        <v>1664</v>
      </c>
      <c r="S276">
        <v>-1000000000</v>
      </c>
      <c r="T276">
        <v>-1000000000</v>
      </c>
      <c r="U276">
        <v>24692000000</v>
      </c>
      <c r="V276">
        <v>24692000000</v>
      </c>
      <c r="W276" t="s">
        <v>1664</v>
      </c>
      <c r="X276" t="s">
        <v>1664</v>
      </c>
      <c r="Y276" t="s">
        <v>1664</v>
      </c>
      <c r="Z276" t="s">
        <v>1664</v>
      </c>
      <c r="AA276" t="s">
        <v>1664</v>
      </c>
      <c r="AB276" t="s">
        <v>1664</v>
      </c>
      <c r="AC276" t="s">
        <v>3620</v>
      </c>
      <c r="AD276" t="s">
        <v>3518</v>
      </c>
      <c r="AE276" t="s">
        <v>1664</v>
      </c>
      <c r="AF276" t="s">
        <v>1664</v>
      </c>
      <c r="AG276" t="s">
        <v>1664</v>
      </c>
      <c r="AH276" t="s">
        <v>1664</v>
      </c>
      <c r="AI276" t="s">
        <v>1664</v>
      </c>
      <c r="AJ276">
        <v>11766022000</v>
      </c>
      <c r="AK276">
        <v>11766022000</v>
      </c>
      <c r="AL276">
        <v>10099266000</v>
      </c>
      <c r="AM276">
        <v>10099266000</v>
      </c>
      <c r="AN276">
        <v>8575099000</v>
      </c>
      <c r="AO276" t="s">
        <v>4247</v>
      </c>
      <c r="AP276" s="6">
        <v>3</v>
      </c>
    </row>
    <row r="277" spans="3:42">
      <c r="C277" s="4" t="s">
        <v>2018</v>
      </c>
      <c r="D277"/>
      <c r="E277" s="4" t="s">
        <v>3620</v>
      </c>
      <c r="G277" s="10" t="s">
        <v>3633</v>
      </c>
      <c r="H277" s="136">
        <v>15641220000</v>
      </c>
      <c r="I277" s="5"/>
      <c r="J277" s="4" t="s">
        <v>3431</v>
      </c>
      <c r="K277" t="s">
        <v>1664</v>
      </c>
      <c r="L277" s="4" t="s">
        <v>4376</v>
      </c>
      <c r="M277" s="4" t="s">
        <v>4377</v>
      </c>
      <c r="N277" s="4">
        <v>0</v>
      </c>
      <c r="Q277" s="120">
        <v>5.2657999999999996</v>
      </c>
      <c r="R277" t="s">
        <v>1664</v>
      </c>
      <c r="S277">
        <v>0</v>
      </c>
      <c r="T277"/>
      <c r="U277">
        <v>0</v>
      </c>
      <c r="V277"/>
      <c r="W277" t="s">
        <v>1664</v>
      </c>
      <c r="X277" t="s">
        <v>1664</v>
      </c>
      <c r="Y277" t="s">
        <v>1664</v>
      </c>
      <c r="Z277" t="s">
        <v>1664</v>
      </c>
      <c r="AA277" t="s">
        <v>1664</v>
      </c>
      <c r="AB277" t="s">
        <v>1664</v>
      </c>
      <c r="AC277" t="s">
        <v>3620</v>
      </c>
      <c r="AD277" t="s">
        <v>3477</v>
      </c>
      <c r="AE277" t="s">
        <v>1664</v>
      </c>
      <c r="AF277" t="s">
        <v>1664</v>
      </c>
      <c r="AG277" t="s">
        <v>1664</v>
      </c>
      <c r="AH277" t="s">
        <v>1664</v>
      </c>
      <c r="AI277" t="s">
        <v>1664</v>
      </c>
      <c r="AJ277">
        <v>0</v>
      </c>
      <c r="AK277"/>
      <c r="AL277">
        <v>0</v>
      </c>
      <c r="AM277"/>
      <c r="AN277">
        <v>15641220000</v>
      </c>
      <c r="AO277" t="s">
        <v>3635</v>
      </c>
      <c r="AP277" s="6">
        <v>3</v>
      </c>
    </row>
    <row r="278" spans="3:42">
      <c r="C278" s="4" t="s">
        <v>2018</v>
      </c>
      <c r="D278"/>
      <c r="E278" s="4" t="s">
        <v>3620</v>
      </c>
      <c r="F278" s="4" t="s">
        <v>2018</v>
      </c>
      <c r="G278" s="10" t="s">
        <v>2017</v>
      </c>
      <c r="H278" s="136">
        <v>2857949000</v>
      </c>
      <c r="I278" s="5"/>
      <c r="J278" s="4" t="s">
        <v>3431</v>
      </c>
      <c r="K278" t="s">
        <v>1664</v>
      </c>
      <c r="L278" s="4" t="s">
        <v>3150</v>
      </c>
      <c r="M278" s="4" t="s">
        <v>3431</v>
      </c>
      <c r="N278" s="4">
        <v>1</v>
      </c>
      <c r="O278" s="6" t="s">
        <v>3431</v>
      </c>
      <c r="Q278" s="120">
        <v>11.3299</v>
      </c>
      <c r="R278" t="s">
        <v>1664</v>
      </c>
      <c r="S278">
        <v>0</v>
      </c>
      <c r="T278"/>
      <c r="U278">
        <v>0</v>
      </c>
      <c r="V278"/>
      <c r="W278">
        <v>200000000</v>
      </c>
      <c r="X278">
        <v>-15000000</v>
      </c>
      <c r="Y278">
        <v>194000000</v>
      </c>
      <c r="Z278">
        <v>176000000</v>
      </c>
      <c r="AA278">
        <v>238000000</v>
      </c>
      <c r="AB278" t="s">
        <v>1664</v>
      </c>
      <c r="AC278" t="s">
        <v>3620</v>
      </c>
      <c r="AD278" t="s">
        <v>3477</v>
      </c>
      <c r="AE278">
        <v>3461918750.3999996</v>
      </c>
      <c r="AF278">
        <v>3501258736.1999998</v>
      </c>
      <c r="AG278">
        <v>2884932292</v>
      </c>
      <c r="AH278">
        <v>2884932292</v>
      </c>
      <c r="AI278">
        <v>2688232363</v>
      </c>
      <c r="AJ278">
        <v>3197029512.6799998</v>
      </c>
      <c r="AK278"/>
      <c r="AL278">
        <v>0</v>
      </c>
      <c r="AM278"/>
      <c r="AN278">
        <v>2857949000</v>
      </c>
      <c r="AO278" t="s">
        <v>3932</v>
      </c>
      <c r="AP278" s="6">
        <v>3</v>
      </c>
    </row>
    <row r="279" spans="3:42">
      <c r="C279" s="4" t="s">
        <v>2018</v>
      </c>
      <c r="D279"/>
      <c r="E279" s="4" t="s">
        <v>3646</v>
      </c>
      <c r="G279" s="10" t="s">
        <v>3695</v>
      </c>
      <c r="H279" s="136">
        <v>188559829430</v>
      </c>
      <c r="I279" s="5"/>
      <c r="J279" s="4" t="s">
        <v>3431</v>
      </c>
      <c r="K279" t="s">
        <v>1664</v>
      </c>
      <c r="L279" s="4" t="s">
        <v>3150</v>
      </c>
      <c r="M279" s="4" t="s">
        <v>3431</v>
      </c>
      <c r="N279" s="4">
        <v>0</v>
      </c>
      <c r="Q279" s="120">
        <v>28.799700000000001</v>
      </c>
      <c r="R279" t="s">
        <v>1664</v>
      </c>
      <c r="S279">
        <v>0</v>
      </c>
      <c r="T279"/>
      <c r="U279">
        <v>0</v>
      </c>
      <c r="V279"/>
      <c r="W279" t="s">
        <v>1664</v>
      </c>
      <c r="X279" t="s">
        <v>1664</v>
      </c>
      <c r="Y279" t="s">
        <v>1664</v>
      </c>
      <c r="Z279" t="s">
        <v>1664</v>
      </c>
      <c r="AA279" t="s">
        <v>1664</v>
      </c>
      <c r="AB279" t="s">
        <v>1664</v>
      </c>
      <c r="AC279" t="s">
        <v>3646</v>
      </c>
      <c r="AD279" t="s">
        <v>3491</v>
      </c>
      <c r="AE279" t="s">
        <v>1664</v>
      </c>
      <c r="AF279" t="s">
        <v>1664</v>
      </c>
      <c r="AG279" t="s">
        <v>1664</v>
      </c>
      <c r="AH279" t="s">
        <v>1664</v>
      </c>
      <c r="AI279" t="s">
        <v>1664</v>
      </c>
      <c r="AJ279">
        <v>0</v>
      </c>
      <c r="AK279"/>
      <c r="AL279">
        <v>0</v>
      </c>
      <c r="AM279"/>
      <c r="AN279">
        <v>188559829430</v>
      </c>
      <c r="AO279" t="s">
        <v>3697</v>
      </c>
      <c r="AP279" s="6">
        <v>3</v>
      </c>
    </row>
    <row r="280" spans="3:42">
      <c r="C280" s="4" t="s">
        <v>2018</v>
      </c>
      <c r="D280"/>
      <c r="E280" s="4" t="s">
        <v>3620</v>
      </c>
      <c r="G280" s="10" t="s">
        <v>3975</v>
      </c>
      <c r="H280" s="136">
        <v>1537197000</v>
      </c>
      <c r="I280" s="5"/>
      <c r="J280" s="4" t="s">
        <v>3431</v>
      </c>
      <c r="K280" t="s">
        <v>1664</v>
      </c>
      <c r="L280" s="4" t="s">
        <v>3150</v>
      </c>
      <c r="M280" s="4" t="s">
        <v>3431</v>
      </c>
      <c r="N280" s="4">
        <v>0</v>
      </c>
      <c r="Q280" s="120">
        <v>8.8276000000000003</v>
      </c>
      <c r="R280" t="s">
        <v>1664</v>
      </c>
      <c r="S280">
        <v>0</v>
      </c>
      <c r="T280"/>
      <c r="U280">
        <v>0</v>
      </c>
      <c r="V280"/>
      <c r="W280" t="s">
        <v>1664</v>
      </c>
      <c r="X280" t="s">
        <v>1664</v>
      </c>
      <c r="Y280" t="s">
        <v>1664</v>
      </c>
      <c r="Z280" t="s">
        <v>1664</v>
      </c>
      <c r="AA280" t="s">
        <v>1664</v>
      </c>
      <c r="AB280" t="s">
        <v>1664</v>
      </c>
      <c r="AC280" t="s">
        <v>3620</v>
      </c>
      <c r="AD280" t="s">
        <v>3477</v>
      </c>
      <c r="AE280" t="s">
        <v>1664</v>
      </c>
      <c r="AF280" t="s">
        <v>1664</v>
      </c>
      <c r="AG280" t="s">
        <v>1664</v>
      </c>
      <c r="AH280" t="s">
        <v>1664</v>
      </c>
      <c r="AI280" t="s">
        <v>1664</v>
      </c>
      <c r="AJ280">
        <v>0</v>
      </c>
      <c r="AK280"/>
      <c r="AL280">
        <v>0</v>
      </c>
      <c r="AM280"/>
      <c r="AN280">
        <v>1537197000</v>
      </c>
      <c r="AO280" t="s">
        <v>3977</v>
      </c>
      <c r="AP280" s="6">
        <v>3</v>
      </c>
    </row>
    <row r="281" spans="3:42">
      <c r="C281" s="4" t="s">
        <v>2018</v>
      </c>
      <c r="D281"/>
      <c r="E281" s="4" t="s">
        <v>3620</v>
      </c>
      <c r="G281" s="10" t="s">
        <v>4218</v>
      </c>
      <c r="H281" s="136">
        <v>44444550000</v>
      </c>
      <c r="I281" s="5"/>
      <c r="J281" s="4" t="s">
        <v>3431</v>
      </c>
      <c r="K281" t="s">
        <v>1664</v>
      </c>
      <c r="L281" s="4" t="s">
        <v>3150</v>
      </c>
      <c r="M281" s="4" t="s">
        <v>3431</v>
      </c>
      <c r="N281" s="4">
        <v>1</v>
      </c>
      <c r="Q281" s="120">
        <v>56.583199999999998</v>
      </c>
      <c r="R281" t="s">
        <v>1664</v>
      </c>
      <c r="S281">
        <v>0</v>
      </c>
      <c r="T281"/>
      <c r="U281">
        <v>0</v>
      </c>
      <c r="V281"/>
      <c r="W281" t="s">
        <v>1664</v>
      </c>
      <c r="X281" t="s">
        <v>1664</v>
      </c>
      <c r="Y281" t="s">
        <v>1664</v>
      </c>
      <c r="Z281" t="s">
        <v>1664</v>
      </c>
      <c r="AA281" t="s">
        <v>1664</v>
      </c>
      <c r="AB281" t="s">
        <v>1664</v>
      </c>
      <c r="AC281" t="s">
        <v>3620</v>
      </c>
      <c r="AD281" t="s">
        <v>3496</v>
      </c>
      <c r="AE281" t="s">
        <v>1664</v>
      </c>
      <c r="AF281" t="s">
        <v>1664</v>
      </c>
      <c r="AG281" t="s">
        <v>1664</v>
      </c>
      <c r="AH281" t="s">
        <v>1664</v>
      </c>
      <c r="AI281" t="s">
        <v>1664</v>
      </c>
      <c r="AJ281">
        <v>0</v>
      </c>
      <c r="AK281"/>
      <c r="AL281">
        <v>0</v>
      </c>
      <c r="AM281"/>
      <c r="AN281">
        <v>44444550000</v>
      </c>
      <c r="AO281" t="s">
        <v>4220</v>
      </c>
      <c r="AP281" s="6">
        <v>3</v>
      </c>
    </row>
    <row r="282" spans="3:42">
      <c r="C282" s="4" t="s">
        <v>2018</v>
      </c>
      <c r="D282"/>
      <c r="E282" s="4" t="s">
        <v>3620</v>
      </c>
      <c r="F282" s="4" t="s">
        <v>4429</v>
      </c>
      <c r="G282" s="10" t="s">
        <v>4173</v>
      </c>
      <c r="H282" s="136">
        <v>1551153000</v>
      </c>
      <c r="I282" s="5"/>
      <c r="J282" s="4" t="s">
        <v>3431</v>
      </c>
      <c r="K282" t="s">
        <v>1664</v>
      </c>
      <c r="L282" s="4" t="s">
        <v>4376</v>
      </c>
      <c r="M282" s="4" t="s">
        <v>4377</v>
      </c>
      <c r="N282" s="4">
        <v>1</v>
      </c>
      <c r="O282" s="6" t="s">
        <v>3419</v>
      </c>
      <c r="Q282" s="120">
        <v>10.2982</v>
      </c>
      <c r="R282" t="s">
        <v>1664</v>
      </c>
      <c r="S282">
        <v>0</v>
      </c>
      <c r="T282"/>
      <c r="U282">
        <v>0</v>
      </c>
      <c r="V282"/>
      <c r="W282">
        <v>55300000</v>
      </c>
      <c r="X282">
        <v>154800000</v>
      </c>
      <c r="Y282" t="s">
        <v>1664</v>
      </c>
      <c r="Z282">
        <v>110000000</v>
      </c>
      <c r="AA282">
        <v>98605000</v>
      </c>
      <c r="AB282" t="s">
        <v>1664</v>
      </c>
      <c r="AC282" t="s">
        <v>3620</v>
      </c>
      <c r="AD282" t="s">
        <v>3477</v>
      </c>
      <c r="AE282">
        <v>1982571651.8999999</v>
      </c>
      <c r="AF282">
        <v>1382555257.78</v>
      </c>
      <c r="AG282" t="s">
        <v>1664</v>
      </c>
      <c r="AH282">
        <v>1556685889.6399999</v>
      </c>
      <c r="AI282">
        <v>1472750937</v>
      </c>
      <c r="AJ282">
        <v>0</v>
      </c>
      <c r="AK282"/>
      <c r="AL282">
        <v>0</v>
      </c>
      <c r="AM282"/>
      <c r="AN282">
        <v>1551153000</v>
      </c>
      <c r="AO282" t="s">
        <v>4174</v>
      </c>
      <c r="AP282" s="6">
        <v>3</v>
      </c>
    </row>
    <row r="283" spans="3:42">
      <c r="C283" s="4" t="s">
        <v>4337</v>
      </c>
      <c r="D283" t="s">
        <v>3755</v>
      </c>
      <c r="E283" s="4" t="s">
        <v>3514</v>
      </c>
      <c r="F283" s="4" t="s">
        <v>4340</v>
      </c>
      <c r="G283" s="10" t="s">
        <v>3756</v>
      </c>
      <c r="H283" s="136">
        <v>3264749000</v>
      </c>
      <c r="I283" s="5">
        <v>-0.17958051655399548</v>
      </c>
      <c r="J283" s="4" t="s">
        <v>3431</v>
      </c>
      <c r="K283">
        <v>569000000</v>
      </c>
      <c r="L283" s="4" t="s">
        <v>4322</v>
      </c>
      <c r="M283" s="4" t="s">
        <v>4338</v>
      </c>
      <c r="N283" s="4">
        <v>1</v>
      </c>
      <c r="O283" s="6" t="s">
        <v>3419</v>
      </c>
      <c r="Q283" s="120">
        <v>0</v>
      </c>
      <c r="R283">
        <v>100000000</v>
      </c>
      <c r="S283">
        <v>-169000000</v>
      </c>
      <c r="T283"/>
      <c r="U283">
        <v>-858000000</v>
      </c>
      <c r="V283"/>
      <c r="W283">
        <v>-1273000000</v>
      </c>
      <c r="X283">
        <v>349000000</v>
      </c>
      <c r="Y283">
        <v>358000000</v>
      </c>
      <c r="Z283">
        <v>305000000</v>
      </c>
      <c r="AA283">
        <v>437000000</v>
      </c>
      <c r="AB283">
        <v>32.647489999999998</v>
      </c>
      <c r="AC283" t="s">
        <v>3514</v>
      </c>
      <c r="AD283"/>
      <c r="AE283">
        <v>3545202951</v>
      </c>
      <c r="AF283">
        <v>5475369002.1000004</v>
      </c>
      <c r="AG283">
        <v>5239022138.6999998</v>
      </c>
      <c r="AH283">
        <v>5282866400</v>
      </c>
      <c r="AI283">
        <v>3626180567.5000005</v>
      </c>
      <c r="AJ283">
        <v>4104111881.6399999</v>
      </c>
      <c r="AK283"/>
      <c r="AL283">
        <v>2396033663.2740002</v>
      </c>
      <c r="AM283"/>
      <c r="AN283">
        <v>3264749000</v>
      </c>
      <c r="AO283" t="s">
        <v>3757</v>
      </c>
      <c r="AP283" s="6">
        <v>3</v>
      </c>
    </row>
    <row r="284" spans="3:42">
      <c r="C284" s="4" t="s">
        <v>4337</v>
      </c>
      <c r="D284"/>
      <c r="E284" s="4" t="s">
        <v>3514</v>
      </c>
      <c r="F284" s="4" t="s">
        <v>2109</v>
      </c>
      <c r="G284" s="10" t="s">
        <v>3793</v>
      </c>
      <c r="H284" s="136">
        <v>2552961000</v>
      </c>
      <c r="I284" s="5"/>
      <c r="J284" s="4" t="s">
        <v>3431</v>
      </c>
      <c r="K284" t="s">
        <v>1664</v>
      </c>
      <c r="L284" s="4" t="s">
        <v>3150</v>
      </c>
      <c r="M284" s="4" t="s">
        <v>4377</v>
      </c>
      <c r="N284" s="4">
        <v>1</v>
      </c>
      <c r="O284" s="6" t="s">
        <v>3149</v>
      </c>
      <c r="Q284" s="120">
        <v>25.707100000000001</v>
      </c>
      <c r="R284" t="s">
        <v>1664</v>
      </c>
      <c r="S284">
        <v>0</v>
      </c>
      <c r="T284"/>
      <c r="U284">
        <v>-100000000</v>
      </c>
      <c r="V284"/>
      <c r="W284">
        <v>-644800000</v>
      </c>
      <c r="X284">
        <v>38000000</v>
      </c>
      <c r="Y284">
        <v>139497000</v>
      </c>
      <c r="Z284">
        <v>61101000</v>
      </c>
      <c r="AA284">
        <v>119000000</v>
      </c>
      <c r="AB284" t="s">
        <v>1664</v>
      </c>
      <c r="AC284" t="s">
        <v>3514</v>
      </c>
      <c r="AD284" t="s">
        <v>3477</v>
      </c>
      <c r="AE284">
        <v>1521741844.3499999</v>
      </c>
      <c r="AF284">
        <v>1650566550.75</v>
      </c>
      <c r="AG284">
        <v>1219003784.3099999</v>
      </c>
      <c r="AH284">
        <v>606371828.60000002</v>
      </c>
      <c r="AI284">
        <v>114718994.59999999</v>
      </c>
      <c r="AJ284">
        <v>2231959837</v>
      </c>
      <c r="AK284"/>
      <c r="AL284">
        <v>0</v>
      </c>
      <c r="AM284"/>
      <c r="AN284">
        <v>2552961000</v>
      </c>
      <c r="AO284" t="s">
        <v>3794</v>
      </c>
      <c r="AP284" s="6">
        <v>3</v>
      </c>
    </row>
    <row r="285" spans="3:42">
      <c r="C285" s="4" t="s">
        <v>4337</v>
      </c>
      <c r="D285"/>
      <c r="E285" s="4" t="s">
        <v>3514</v>
      </c>
      <c r="F285" s="4" t="s">
        <v>4340</v>
      </c>
      <c r="G285" s="10" t="s">
        <v>3513</v>
      </c>
      <c r="H285" s="136">
        <v>3226537000</v>
      </c>
      <c r="I285" s="5"/>
      <c r="J285" s="4" t="s">
        <v>3431</v>
      </c>
      <c r="K285" t="s">
        <v>1664</v>
      </c>
      <c r="L285" s="4" t="s">
        <v>4322</v>
      </c>
      <c r="M285" s="4" t="s">
        <v>4338</v>
      </c>
      <c r="N285" s="4">
        <v>1</v>
      </c>
      <c r="O285" s="6" t="s">
        <v>3419</v>
      </c>
      <c r="Q285" s="120">
        <v>2.512</v>
      </c>
      <c r="R285" t="s">
        <v>1664</v>
      </c>
      <c r="S285">
        <v>0</v>
      </c>
      <c r="T285"/>
      <c r="U285">
        <v>0</v>
      </c>
      <c r="V285"/>
      <c r="W285" t="s">
        <v>1664</v>
      </c>
      <c r="X285">
        <v>500000000</v>
      </c>
      <c r="Y285">
        <v>409000000</v>
      </c>
      <c r="Z285">
        <v>-274000000</v>
      </c>
      <c r="AA285">
        <v>792000000</v>
      </c>
      <c r="AB285" t="s">
        <v>1664</v>
      </c>
      <c r="AC285" t="s">
        <v>3514</v>
      </c>
      <c r="AD285" t="s">
        <v>3477</v>
      </c>
      <c r="AE285">
        <v>1552133667.26</v>
      </c>
      <c r="AF285">
        <v>6026594532.1000004</v>
      </c>
      <c r="AG285">
        <v>3857706315</v>
      </c>
      <c r="AH285">
        <v>1658813715.45</v>
      </c>
      <c r="AI285" t="s">
        <v>1664</v>
      </c>
      <c r="AJ285">
        <v>0</v>
      </c>
      <c r="AK285"/>
      <c r="AL285">
        <v>0</v>
      </c>
      <c r="AM285"/>
      <c r="AN285">
        <v>3226537000</v>
      </c>
      <c r="AO285" t="s">
        <v>3515</v>
      </c>
      <c r="AP285" s="6">
        <v>3</v>
      </c>
    </row>
    <row r="286" spans="3:42">
      <c r="C286" s="4" t="s">
        <v>4337</v>
      </c>
      <c r="D286"/>
      <c r="E286" s="4" t="s">
        <v>3508</v>
      </c>
      <c r="G286" s="10" t="s">
        <v>3827</v>
      </c>
      <c r="H286" s="136">
        <v>8640500000</v>
      </c>
      <c r="I286" s="5"/>
      <c r="J286" s="4" t="s">
        <v>3431</v>
      </c>
      <c r="K286" t="s">
        <v>1664</v>
      </c>
      <c r="L286" s="4" t="s">
        <v>4322</v>
      </c>
      <c r="M286" s="4" t="s">
        <v>4338</v>
      </c>
      <c r="N286" s="4">
        <v>0</v>
      </c>
      <c r="Q286" s="120">
        <v>24.360399999999998</v>
      </c>
      <c r="R286" t="s">
        <v>1664</v>
      </c>
      <c r="S286">
        <v>0</v>
      </c>
      <c r="T286"/>
      <c r="U286">
        <v>0</v>
      </c>
      <c r="V286"/>
      <c r="W286" t="s">
        <v>1664</v>
      </c>
      <c r="X286" t="s">
        <v>1664</v>
      </c>
      <c r="Y286" t="s">
        <v>1664</v>
      </c>
      <c r="Z286" t="s">
        <v>1664</v>
      </c>
      <c r="AA286" t="s">
        <v>1664</v>
      </c>
      <c r="AB286" t="s">
        <v>1664</v>
      </c>
      <c r="AC286" t="s">
        <v>3508</v>
      </c>
      <c r="AD286" t="s">
        <v>3477</v>
      </c>
      <c r="AE286" t="s">
        <v>1664</v>
      </c>
      <c r="AF286" t="s">
        <v>1664</v>
      </c>
      <c r="AG286" t="s">
        <v>1664</v>
      </c>
      <c r="AH286" t="s">
        <v>1664</v>
      </c>
      <c r="AI286" t="s">
        <v>1664</v>
      </c>
      <c r="AJ286">
        <v>0</v>
      </c>
      <c r="AK286"/>
      <c r="AL286">
        <v>0</v>
      </c>
      <c r="AM286"/>
      <c r="AN286">
        <v>8640500000</v>
      </c>
      <c r="AO286" t="s">
        <v>3829</v>
      </c>
      <c r="AP286" s="6">
        <v>3</v>
      </c>
    </row>
    <row r="287" spans="3:42">
      <c r="C287" s="4" t="s">
        <v>4337</v>
      </c>
      <c r="D287"/>
      <c r="E287" s="4" t="s">
        <v>3508</v>
      </c>
      <c r="G287" s="10" t="s">
        <v>3506</v>
      </c>
      <c r="H287" s="136">
        <v>11400260000</v>
      </c>
      <c r="I287" s="5"/>
      <c r="J287" s="4" t="s">
        <v>3431</v>
      </c>
      <c r="K287" t="s">
        <v>1664</v>
      </c>
      <c r="L287" s="4" t="s">
        <v>4322</v>
      </c>
      <c r="M287" s="4" t="s">
        <v>4338</v>
      </c>
      <c r="N287" s="4">
        <v>0</v>
      </c>
      <c r="Q287" s="120">
        <v>20.076699999999999</v>
      </c>
      <c r="R287" t="s">
        <v>1664</v>
      </c>
      <c r="S287">
        <v>0</v>
      </c>
      <c r="T287"/>
      <c r="U287">
        <v>0</v>
      </c>
      <c r="V287"/>
      <c r="W287" t="s">
        <v>1664</v>
      </c>
      <c r="X287" t="s">
        <v>1664</v>
      </c>
      <c r="Y287" t="s">
        <v>1664</v>
      </c>
      <c r="Z287" t="s">
        <v>1664</v>
      </c>
      <c r="AA287" t="s">
        <v>1664</v>
      </c>
      <c r="AB287" t="s">
        <v>1664</v>
      </c>
      <c r="AC287" t="s">
        <v>3508</v>
      </c>
      <c r="AD287" t="s">
        <v>3477</v>
      </c>
      <c r="AE287" t="s">
        <v>1664</v>
      </c>
      <c r="AF287" t="s">
        <v>1664</v>
      </c>
      <c r="AG287" t="s">
        <v>1664</v>
      </c>
      <c r="AH287" t="s">
        <v>1664</v>
      </c>
      <c r="AI287" t="s">
        <v>1664</v>
      </c>
      <c r="AJ287">
        <v>0</v>
      </c>
      <c r="AK287"/>
      <c r="AL287">
        <v>0</v>
      </c>
      <c r="AM287"/>
      <c r="AN287">
        <v>11400260000</v>
      </c>
      <c r="AO287" t="s">
        <v>3509</v>
      </c>
      <c r="AP287" s="6">
        <v>3</v>
      </c>
    </row>
    <row r="288" spans="3:42">
      <c r="C288" s="4" t="s">
        <v>4425</v>
      </c>
      <c r="D288" t="s">
        <v>3821</v>
      </c>
      <c r="E288" s="4" t="s">
        <v>4229</v>
      </c>
      <c r="F288" s="4" t="s">
        <v>4436</v>
      </c>
      <c r="G288" s="10" t="s">
        <v>3424</v>
      </c>
      <c r="H288" s="136">
        <v>21182520000</v>
      </c>
      <c r="I288" s="5">
        <v>4.117290427888539E-2</v>
      </c>
      <c r="J288" s="4" t="s">
        <v>3431</v>
      </c>
      <c r="K288">
        <v>6196000000</v>
      </c>
      <c r="L288" s="4" t="s">
        <v>4322</v>
      </c>
      <c r="M288" s="4" t="s">
        <v>3419</v>
      </c>
      <c r="N288" s="4">
        <v>1</v>
      </c>
      <c r="O288" s="6" t="s">
        <v>3149</v>
      </c>
      <c r="Q288" s="120">
        <v>20.556799999999999</v>
      </c>
      <c r="R288">
        <v>0</v>
      </c>
      <c r="S288">
        <v>1162000000</v>
      </c>
      <c r="T288"/>
      <c r="U288">
        <v>404300000</v>
      </c>
      <c r="V288"/>
      <c r="W288">
        <v>88800000</v>
      </c>
      <c r="X288">
        <v>624900000</v>
      </c>
      <c r="Y288">
        <v>440600000</v>
      </c>
      <c r="Z288">
        <v>616100000</v>
      </c>
      <c r="AA288">
        <v>597000000</v>
      </c>
      <c r="AB288" t="s">
        <v>1664</v>
      </c>
      <c r="AC288" t="s">
        <v>4229</v>
      </c>
      <c r="AD288" t="s">
        <v>3518</v>
      </c>
      <c r="AE288">
        <v>8788491238.7999992</v>
      </c>
      <c r="AF288">
        <v>12112343694.5</v>
      </c>
      <c r="AG288">
        <v>12957390929</v>
      </c>
      <c r="AH288">
        <v>13047130397</v>
      </c>
      <c r="AI288">
        <v>11578013353.620001</v>
      </c>
      <c r="AJ288">
        <v>22573137081.16</v>
      </c>
      <c r="AK288"/>
      <c r="AL288">
        <v>16793406384</v>
      </c>
      <c r="AM288"/>
      <c r="AN288">
        <v>21182520000</v>
      </c>
      <c r="AO288" t="s">
        <v>4230</v>
      </c>
      <c r="AP288" s="6">
        <v>3</v>
      </c>
    </row>
    <row r="289" spans="3:42">
      <c r="C289" s="4" t="s">
        <v>4425</v>
      </c>
      <c r="D289"/>
      <c r="E289" s="4" t="s">
        <v>3623</v>
      </c>
      <c r="F289" s="4" t="s">
        <v>4424</v>
      </c>
      <c r="G289" s="10" t="s">
        <v>363</v>
      </c>
      <c r="H289" s="136">
        <v>12715240000</v>
      </c>
      <c r="I289" s="5"/>
      <c r="J289" s="4" t="s">
        <v>3431</v>
      </c>
      <c r="K289" t="s">
        <v>1664</v>
      </c>
      <c r="L289" s="4" t="s">
        <v>4322</v>
      </c>
      <c r="M289" s="4" t="s">
        <v>3419</v>
      </c>
      <c r="N289" s="4">
        <v>1</v>
      </c>
      <c r="O289" s="6" t="s">
        <v>3149</v>
      </c>
      <c r="Q289" s="120">
        <v>20.375800000000002</v>
      </c>
      <c r="R289" t="s">
        <v>1664</v>
      </c>
      <c r="S289">
        <v>0</v>
      </c>
      <c r="T289"/>
      <c r="U289">
        <v>0</v>
      </c>
      <c r="V289"/>
      <c r="W289">
        <v>0</v>
      </c>
      <c r="X289">
        <v>350000000</v>
      </c>
      <c r="Y289">
        <v>300000000</v>
      </c>
      <c r="Z289">
        <v>300000000</v>
      </c>
      <c r="AA289">
        <v>420000000</v>
      </c>
      <c r="AB289" t="s">
        <v>1664</v>
      </c>
      <c r="AC289" t="s">
        <v>3623</v>
      </c>
      <c r="AD289"/>
      <c r="AE289">
        <v>7861528278.6000004</v>
      </c>
      <c r="AF289">
        <v>8008578447.8400002</v>
      </c>
      <c r="AG289">
        <v>6504142101</v>
      </c>
      <c r="AH289">
        <v>9173668250.2799988</v>
      </c>
      <c r="AI289">
        <v>11594340267</v>
      </c>
      <c r="AJ289">
        <v>0</v>
      </c>
      <c r="AK289"/>
      <c r="AL289">
        <v>0</v>
      </c>
      <c r="AM289"/>
      <c r="AN289">
        <v>12715240000</v>
      </c>
      <c r="AO289" t="s">
        <v>4146</v>
      </c>
      <c r="AP289" s="6">
        <v>3</v>
      </c>
    </row>
    <row r="290" spans="3:42">
      <c r="C290" s="4" t="s">
        <v>2918</v>
      </c>
      <c r="D290"/>
      <c r="E290" s="4" t="s">
        <v>3623</v>
      </c>
      <c r="F290" s="4" t="s">
        <v>2792</v>
      </c>
      <c r="G290" s="10" t="s">
        <v>3648</v>
      </c>
      <c r="H290" s="136">
        <v>10935270000</v>
      </c>
      <c r="I290" s="5">
        <v>0.12720773015255016</v>
      </c>
      <c r="J290" s="4" t="s">
        <v>3419</v>
      </c>
      <c r="K290">
        <v>1073520000.0000001</v>
      </c>
      <c r="L290" s="4" t="s">
        <v>4322</v>
      </c>
      <c r="M290" s="4" t="s">
        <v>3431</v>
      </c>
      <c r="N290" s="4">
        <v>1</v>
      </c>
      <c r="O290" s="6" t="s">
        <v>3419</v>
      </c>
      <c r="Q290" s="120">
        <v>22.9984</v>
      </c>
      <c r="R290">
        <v>0</v>
      </c>
      <c r="S290">
        <v>484600000</v>
      </c>
      <c r="T290"/>
      <c r="U290">
        <v>420900000</v>
      </c>
      <c r="V290"/>
      <c r="W290">
        <v>138900000</v>
      </c>
      <c r="X290">
        <v>392600000</v>
      </c>
      <c r="Y290">
        <v>417200000</v>
      </c>
      <c r="Z290">
        <v>416100000</v>
      </c>
      <c r="AA290">
        <v>319400000</v>
      </c>
      <c r="AB290" t="s">
        <v>1664</v>
      </c>
      <c r="AC290" t="s">
        <v>3623</v>
      </c>
      <c r="AD290" t="s">
        <v>3477</v>
      </c>
      <c r="AE290">
        <v>8132799999.999999</v>
      </c>
      <c r="AF290">
        <v>10077600000</v>
      </c>
      <c r="AG290">
        <v>7606115200</v>
      </c>
      <c r="AH290">
        <v>10714603815.6</v>
      </c>
      <c r="AI290">
        <v>9994174533.2000008</v>
      </c>
      <c r="AJ290">
        <v>13227986295.5</v>
      </c>
      <c r="AK290"/>
      <c r="AL290">
        <v>11156296872.25</v>
      </c>
      <c r="AM290"/>
      <c r="AN290">
        <v>10935270000</v>
      </c>
      <c r="AO290" t="s">
        <v>3649</v>
      </c>
      <c r="AP290" s="6">
        <v>4</v>
      </c>
    </row>
    <row r="291" spans="3:42">
      <c r="C291" s="4" t="s">
        <v>2918</v>
      </c>
      <c r="D291" t="s">
        <v>3773</v>
      </c>
      <c r="E291" s="4" t="s">
        <v>3623</v>
      </c>
      <c r="F291" s="4" t="s">
        <v>4391</v>
      </c>
      <c r="G291" s="10" t="s">
        <v>3250</v>
      </c>
      <c r="H291" s="136">
        <v>3846917000</v>
      </c>
      <c r="I291" s="5">
        <v>6.8439372922609862E-2</v>
      </c>
      <c r="J291" s="4" t="s">
        <v>3419</v>
      </c>
      <c r="K291">
        <v>1260897000</v>
      </c>
      <c r="L291" s="4" t="s">
        <v>4322</v>
      </c>
      <c r="M291" s="4" t="s">
        <v>3431</v>
      </c>
      <c r="N291" s="4">
        <v>1</v>
      </c>
      <c r="O291" s="6" t="s">
        <v>3149</v>
      </c>
      <c r="Q291" s="120">
        <v>13.1625</v>
      </c>
      <c r="R291">
        <v>260000000</v>
      </c>
      <c r="S291">
        <v>204600000</v>
      </c>
      <c r="T291"/>
      <c r="U291">
        <v>114300000</v>
      </c>
      <c r="V291"/>
      <c r="W291">
        <v>138700000</v>
      </c>
      <c r="X291">
        <v>141800000</v>
      </c>
      <c r="Y291">
        <v>81800000</v>
      </c>
      <c r="Z291">
        <v>66200000</v>
      </c>
      <c r="AA291">
        <v>93000000</v>
      </c>
      <c r="AB291">
        <v>14.795834615384615</v>
      </c>
      <c r="AC291" t="s">
        <v>3623</v>
      </c>
      <c r="AD291" t="s">
        <v>3477</v>
      </c>
      <c r="AE291">
        <v>1932404530.6499999</v>
      </c>
      <c r="AF291">
        <v>4951846883.5500002</v>
      </c>
      <c r="AG291">
        <v>3220354638.7599998</v>
      </c>
      <c r="AH291">
        <v>3540764752</v>
      </c>
      <c r="AI291">
        <v>2737251766.1999998</v>
      </c>
      <c r="AJ291">
        <v>3410436826.54</v>
      </c>
      <c r="AK291"/>
      <c r="AL291">
        <v>3172351660.1399999</v>
      </c>
      <c r="AM291"/>
      <c r="AN291">
        <v>3846917000</v>
      </c>
      <c r="AO291" t="s">
        <v>3774</v>
      </c>
      <c r="AP291" s="6">
        <v>4</v>
      </c>
    </row>
    <row r="292" spans="3:42">
      <c r="C292" s="4" t="s">
        <v>2918</v>
      </c>
      <c r="D292"/>
      <c r="E292" s="4" t="s">
        <v>3623</v>
      </c>
      <c r="F292" s="4" t="s">
        <v>2792</v>
      </c>
      <c r="G292" s="10" t="s">
        <v>4107</v>
      </c>
      <c r="H292" s="136">
        <v>14990060000</v>
      </c>
      <c r="I292" s="5"/>
      <c r="J292" s="4" t="s">
        <v>3419</v>
      </c>
      <c r="K292" t="s">
        <v>1664</v>
      </c>
      <c r="L292" s="4" t="s">
        <v>4322</v>
      </c>
      <c r="M292" s="4" t="s">
        <v>3431</v>
      </c>
      <c r="N292" s="4">
        <v>1</v>
      </c>
      <c r="O292" s="6" t="s">
        <v>3419</v>
      </c>
      <c r="Q292" s="120">
        <v>25.396799999999999</v>
      </c>
      <c r="R292" t="s">
        <v>1664</v>
      </c>
      <c r="S292">
        <v>0</v>
      </c>
      <c r="T292"/>
      <c r="U292">
        <v>600000000</v>
      </c>
      <c r="V292"/>
      <c r="W292">
        <v>505000000</v>
      </c>
      <c r="X292">
        <v>702000000</v>
      </c>
      <c r="Y292">
        <v>667000000</v>
      </c>
      <c r="Z292" t="s">
        <v>1664</v>
      </c>
      <c r="AA292" t="s">
        <v>1664</v>
      </c>
      <c r="AB292" t="s">
        <v>1664</v>
      </c>
      <c r="AC292" t="s">
        <v>3623</v>
      </c>
      <c r="AD292"/>
      <c r="AE292" t="s">
        <v>1664</v>
      </c>
      <c r="AF292" t="s">
        <v>1664</v>
      </c>
      <c r="AG292">
        <v>16794210400</v>
      </c>
      <c r="AH292">
        <v>19981098212</v>
      </c>
      <c r="AI292">
        <v>20200504440</v>
      </c>
      <c r="AJ292">
        <v>23052785404</v>
      </c>
      <c r="AK292"/>
      <c r="AL292">
        <v>0</v>
      </c>
      <c r="AM292"/>
      <c r="AN292">
        <v>14990060000</v>
      </c>
      <c r="AO292" t="s">
        <v>4108</v>
      </c>
      <c r="AP292" s="6">
        <v>4</v>
      </c>
    </row>
    <row r="293" spans="3:42">
      <c r="C293" s="4" t="s">
        <v>2918</v>
      </c>
      <c r="D293"/>
      <c r="E293" s="4" t="s">
        <v>3623</v>
      </c>
      <c r="G293" s="10" t="s">
        <v>4061</v>
      </c>
      <c r="H293" s="136">
        <v>53469100000</v>
      </c>
      <c r="I293" s="5"/>
      <c r="J293" s="4" t="s">
        <v>3419</v>
      </c>
      <c r="K293">
        <v>0</v>
      </c>
      <c r="L293" s="4" t="s">
        <v>4322</v>
      </c>
      <c r="M293" s="4" t="s">
        <v>3431</v>
      </c>
      <c r="N293" s="4">
        <v>1</v>
      </c>
      <c r="Q293" s="120">
        <v>30.669</v>
      </c>
      <c r="R293">
        <v>0</v>
      </c>
      <c r="S293">
        <v>0</v>
      </c>
      <c r="T293"/>
      <c r="U293">
        <v>1689000000</v>
      </c>
      <c r="V293"/>
      <c r="W293">
        <v>1543000000</v>
      </c>
      <c r="X293">
        <v>1808000000</v>
      </c>
      <c r="Y293">
        <v>1674000000</v>
      </c>
      <c r="Z293">
        <v>1620000000</v>
      </c>
      <c r="AA293" t="s">
        <v>1664</v>
      </c>
      <c r="AB293" t="s">
        <v>1664</v>
      </c>
      <c r="AC293" t="s">
        <v>3623</v>
      </c>
      <c r="AD293" t="s">
        <v>3496</v>
      </c>
      <c r="AE293" t="s">
        <v>1664</v>
      </c>
      <c r="AF293">
        <v>45517983000</v>
      </c>
      <c r="AG293">
        <v>39410506800</v>
      </c>
      <c r="AH293">
        <v>36587239500</v>
      </c>
      <c r="AI293">
        <v>34378561000</v>
      </c>
      <c r="AJ293">
        <v>46094160000</v>
      </c>
      <c r="AK293"/>
      <c r="AL293">
        <v>0</v>
      </c>
      <c r="AM293"/>
      <c r="AN293">
        <v>53469100000</v>
      </c>
      <c r="AO293" t="s">
        <v>4062</v>
      </c>
      <c r="AP293" s="6">
        <v>4</v>
      </c>
    </row>
    <row r="294" spans="3:42">
      <c r="C294" s="4" t="s">
        <v>2918</v>
      </c>
      <c r="D294"/>
      <c r="E294" s="4" t="s">
        <v>3623</v>
      </c>
      <c r="G294" s="10" t="s">
        <v>3673</v>
      </c>
      <c r="H294" s="136">
        <v>52209424568</v>
      </c>
      <c r="I294" s="5"/>
      <c r="J294" s="4" t="s">
        <v>3419</v>
      </c>
      <c r="K294" t="s">
        <v>1664</v>
      </c>
      <c r="L294" s="4" t="s">
        <v>4322</v>
      </c>
      <c r="M294" s="4" t="s">
        <v>3431</v>
      </c>
      <c r="N294" s="4">
        <v>0</v>
      </c>
      <c r="Q294" s="120">
        <v>39.624000000000002</v>
      </c>
      <c r="R294" t="s">
        <v>1664</v>
      </c>
      <c r="S294">
        <v>0</v>
      </c>
      <c r="T294"/>
      <c r="U294">
        <v>0</v>
      </c>
      <c r="V294"/>
      <c r="W294" t="s">
        <v>1664</v>
      </c>
      <c r="X294" t="s">
        <v>1664</v>
      </c>
      <c r="Y294" t="s">
        <v>1664</v>
      </c>
      <c r="Z294" t="s">
        <v>1664</v>
      </c>
      <c r="AA294" t="s">
        <v>1664</v>
      </c>
      <c r="AB294" t="s">
        <v>1664</v>
      </c>
      <c r="AC294" t="s">
        <v>3623</v>
      </c>
      <c r="AD294" t="s">
        <v>3491</v>
      </c>
      <c r="AE294" t="s">
        <v>1664</v>
      </c>
      <c r="AF294" t="s">
        <v>1664</v>
      </c>
      <c r="AG294" t="s">
        <v>1664</v>
      </c>
      <c r="AH294" t="s">
        <v>1664</v>
      </c>
      <c r="AI294" t="s">
        <v>1664</v>
      </c>
      <c r="AJ294">
        <v>0</v>
      </c>
      <c r="AK294"/>
      <c r="AL294">
        <v>0</v>
      </c>
      <c r="AM294"/>
      <c r="AN294">
        <v>52209424568</v>
      </c>
      <c r="AO294" t="s">
        <v>3675</v>
      </c>
      <c r="AP294" s="6">
        <v>4</v>
      </c>
    </row>
    <row r="295" spans="3:42">
      <c r="C295" s="4" t="s">
        <v>2918</v>
      </c>
      <c r="D295"/>
      <c r="E295" s="4" t="s">
        <v>3623</v>
      </c>
      <c r="G295" s="10" t="s">
        <v>4052</v>
      </c>
      <c r="H295" s="136">
        <v>9580601000</v>
      </c>
      <c r="I295" s="5"/>
      <c r="J295" s="4" t="s">
        <v>3419</v>
      </c>
      <c r="K295" t="s">
        <v>1664</v>
      </c>
      <c r="L295" s="4" t="s">
        <v>4322</v>
      </c>
      <c r="M295" s="4" t="s">
        <v>3431</v>
      </c>
      <c r="N295" s="4">
        <v>0</v>
      </c>
      <c r="Q295" s="120">
        <v>11.7897</v>
      </c>
      <c r="R295" t="s">
        <v>1664</v>
      </c>
      <c r="S295">
        <v>0</v>
      </c>
      <c r="T295"/>
      <c r="U295">
        <v>0</v>
      </c>
      <c r="V295"/>
      <c r="W295" t="s">
        <v>1664</v>
      </c>
      <c r="X295" t="s">
        <v>1664</v>
      </c>
      <c r="Y295" t="s">
        <v>1664</v>
      </c>
      <c r="Z295" t="s">
        <v>1664</v>
      </c>
      <c r="AA295" t="s">
        <v>1664</v>
      </c>
      <c r="AB295" t="s">
        <v>1664</v>
      </c>
      <c r="AC295" t="s">
        <v>3623</v>
      </c>
      <c r="AD295" t="s">
        <v>3496</v>
      </c>
      <c r="AE295" t="s">
        <v>1664</v>
      </c>
      <c r="AF295" t="s">
        <v>1664</v>
      </c>
      <c r="AG295" t="s">
        <v>1664</v>
      </c>
      <c r="AH295" t="s">
        <v>1664</v>
      </c>
      <c r="AI295" t="s">
        <v>1664</v>
      </c>
      <c r="AJ295">
        <v>0</v>
      </c>
      <c r="AK295"/>
      <c r="AL295">
        <v>0</v>
      </c>
      <c r="AM295"/>
      <c r="AN295">
        <v>9580601000</v>
      </c>
      <c r="AO295" t="s">
        <v>4054</v>
      </c>
      <c r="AP295" s="6">
        <v>4</v>
      </c>
    </row>
    <row r="296" spans="3:42">
      <c r="C296" s="4" t="s">
        <v>2918</v>
      </c>
      <c r="D296"/>
      <c r="E296" s="4" t="s">
        <v>3623</v>
      </c>
      <c r="G296" s="10" t="s">
        <v>3739</v>
      </c>
      <c r="H296" s="136">
        <v>761601200</v>
      </c>
      <c r="I296" s="5"/>
      <c r="J296" s="4" t="s">
        <v>3419</v>
      </c>
      <c r="K296" t="s">
        <v>1664</v>
      </c>
      <c r="L296" s="4" t="s">
        <v>4322</v>
      </c>
      <c r="M296" s="4" t="s">
        <v>3431</v>
      </c>
      <c r="N296" s="4">
        <v>0</v>
      </c>
      <c r="Q296" s="120">
        <v>3.9813000000000001</v>
      </c>
      <c r="R296" t="s">
        <v>1664</v>
      </c>
      <c r="S296">
        <v>0</v>
      </c>
      <c r="T296"/>
      <c r="U296">
        <v>0</v>
      </c>
      <c r="V296"/>
      <c r="W296" t="s">
        <v>1664</v>
      </c>
      <c r="X296" t="s">
        <v>1664</v>
      </c>
      <c r="Y296" t="s">
        <v>1664</v>
      </c>
      <c r="Z296" t="s">
        <v>1664</v>
      </c>
      <c r="AA296" t="s">
        <v>1664</v>
      </c>
      <c r="AB296" t="s">
        <v>1664</v>
      </c>
      <c r="AC296" t="s">
        <v>3623</v>
      </c>
      <c r="AD296" t="s">
        <v>3477</v>
      </c>
      <c r="AE296" t="s">
        <v>1664</v>
      </c>
      <c r="AF296" t="s">
        <v>1664</v>
      </c>
      <c r="AG296" t="s">
        <v>1664</v>
      </c>
      <c r="AH296" t="s">
        <v>1664</v>
      </c>
      <c r="AI296" t="s">
        <v>1664</v>
      </c>
      <c r="AJ296">
        <v>0</v>
      </c>
      <c r="AK296"/>
      <c r="AL296">
        <v>0</v>
      </c>
      <c r="AM296"/>
      <c r="AN296">
        <v>761601200</v>
      </c>
      <c r="AO296" t="s">
        <v>3741</v>
      </c>
      <c r="AP296" s="6">
        <v>4</v>
      </c>
    </row>
    <row r="297" spans="3:42">
      <c r="C297" s="4" t="s">
        <v>2918</v>
      </c>
      <c r="D297"/>
      <c r="E297" s="4" t="s">
        <v>3623</v>
      </c>
      <c r="G297" s="10" t="s">
        <v>4165</v>
      </c>
      <c r="H297" s="136">
        <v>7289542000</v>
      </c>
      <c r="I297" s="5"/>
      <c r="J297" s="4" t="s">
        <v>3419</v>
      </c>
      <c r="K297" t="s">
        <v>1664</v>
      </c>
      <c r="L297" s="4" t="s">
        <v>4322</v>
      </c>
      <c r="M297" s="4" t="s">
        <v>3431</v>
      </c>
      <c r="N297" s="4">
        <v>0</v>
      </c>
      <c r="Q297" s="120">
        <v>11.211399999999999</v>
      </c>
      <c r="R297" t="s">
        <v>1664</v>
      </c>
      <c r="S297">
        <v>645000000</v>
      </c>
      <c r="T297">
        <v>645000000</v>
      </c>
      <c r="U297">
        <v>557000000</v>
      </c>
      <c r="V297">
        <v>557000000</v>
      </c>
      <c r="W297" t="s">
        <v>1664</v>
      </c>
      <c r="X297" t="s">
        <v>1664</v>
      </c>
      <c r="Y297" t="s">
        <v>1664</v>
      </c>
      <c r="Z297" t="s">
        <v>1664</v>
      </c>
      <c r="AA297" t="s">
        <v>1664</v>
      </c>
      <c r="AB297" t="s">
        <v>1664</v>
      </c>
      <c r="AC297" t="s">
        <v>3623</v>
      </c>
      <c r="AD297" t="s">
        <v>3518</v>
      </c>
      <c r="AE297" t="s">
        <v>1664</v>
      </c>
      <c r="AF297" t="s">
        <v>1664</v>
      </c>
      <c r="AG297" t="s">
        <v>1664</v>
      </c>
      <c r="AH297" t="s">
        <v>1664</v>
      </c>
      <c r="AI297" t="s">
        <v>1664</v>
      </c>
      <c r="AJ297">
        <v>18502251000</v>
      </c>
      <c r="AK297">
        <v>18502251000</v>
      </c>
      <c r="AL297">
        <v>15512438000</v>
      </c>
      <c r="AM297">
        <v>15512438000</v>
      </c>
      <c r="AN297">
        <v>7289542000</v>
      </c>
      <c r="AO297" t="s">
        <v>4167</v>
      </c>
      <c r="AP297" s="6">
        <v>4</v>
      </c>
    </row>
    <row r="298" spans="3:42">
      <c r="C298" s="4" t="s">
        <v>966</v>
      </c>
      <c r="D298"/>
      <c r="E298" s="4" t="s">
        <v>3655</v>
      </c>
      <c r="F298" s="4" t="s">
        <v>4379</v>
      </c>
      <c r="G298" s="10" t="s">
        <v>965</v>
      </c>
      <c r="H298" s="136">
        <v>12185730000</v>
      </c>
      <c r="I298" s="5"/>
      <c r="J298" s="4" t="s">
        <v>3419</v>
      </c>
      <c r="K298" t="s">
        <v>1664</v>
      </c>
      <c r="L298" s="4" t="s">
        <v>3150</v>
      </c>
      <c r="M298" s="4" t="s">
        <v>3149</v>
      </c>
      <c r="N298" s="4">
        <v>1</v>
      </c>
      <c r="O298" s="6" t="s">
        <v>3431</v>
      </c>
      <c r="Q298" s="120">
        <v>6.2892000000000001</v>
      </c>
      <c r="R298" t="s">
        <v>1664</v>
      </c>
      <c r="S298">
        <v>1210000000</v>
      </c>
      <c r="T298">
        <v>1210000000</v>
      </c>
      <c r="U298">
        <v>1150000000</v>
      </c>
      <c r="V298"/>
      <c r="W298">
        <v>1011000000</v>
      </c>
      <c r="X298">
        <v>861000000</v>
      </c>
      <c r="Y298">
        <v>826000000</v>
      </c>
      <c r="Z298">
        <v>0</v>
      </c>
      <c r="AA298">
        <v>1031000000</v>
      </c>
      <c r="AB298" t="s">
        <v>1664</v>
      </c>
      <c r="AC298" t="s">
        <v>3655</v>
      </c>
      <c r="AD298" t="s">
        <v>3518</v>
      </c>
      <c r="AE298">
        <v>17310222675.060001</v>
      </c>
      <c r="AF298">
        <v>11721644887</v>
      </c>
      <c r="AG298">
        <v>11343527310</v>
      </c>
      <c r="AH298">
        <v>11325935021.119999</v>
      </c>
      <c r="AI298">
        <v>12108982560</v>
      </c>
      <c r="AJ298">
        <v>12996974614.400002</v>
      </c>
      <c r="AK298"/>
      <c r="AL298">
        <v>11996659000</v>
      </c>
      <c r="AM298">
        <v>11996659000</v>
      </c>
      <c r="AN298">
        <v>12185730000</v>
      </c>
      <c r="AO298" t="s">
        <v>3656</v>
      </c>
      <c r="AP298" s="6">
        <v>4</v>
      </c>
    </row>
    <row r="299" spans="3:42">
      <c r="C299" s="4" t="s">
        <v>966</v>
      </c>
      <c r="D299"/>
      <c r="E299" s="4" t="s">
        <v>3655</v>
      </c>
      <c r="G299" s="10" t="s">
        <v>4256</v>
      </c>
      <c r="H299" s="136">
        <v>441793314959</v>
      </c>
      <c r="I299" s="5"/>
      <c r="J299" s="4" t="s">
        <v>3419</v>
      </c>
      <c r="K299" t="s">
        <v>1664</v>
      </c>
      <c r="L299" s="4" t="s">
        <v>3150</v>
      </c>
      <c r="M299" s="4" t="s">
        <v>3149</v>
      </c>
      <c r="N299" s="4">
        <v>0</v>
      </c>
      <c r="Q299" s="120">
        <v>31.564299999999999</v>
      </c>
      <c r="R299" t="s">
        <v>1664</v>
      </c>
      <c r="S299">
        <v>0</v>
      </c>
      <c r="T299"/>
      <c r="U299">
        <v>0</v>
      </c>
      <c r="V299"/>
      <c r="W299" t="s">
        <v>1664</v>
      </c>
      <c r="X299" t="s">
        <v>1664</v>
      </c>
      <c r="Y299" t="s">
        <v>1664</v>
      </c>
      <c r="Z299" t="s">
        <v>1664</v>
      </c>
      <c r="AA299" t="s">
        <v>1664</v>
      </c>
      <c r="AB299" t="s">
        <v>1664</v>
      </c>
      <c r="AC299" t="s">
        <v>3655</v>
      </c>
      <c r="AD299" t="s">
        <v>3464</v>
      </c>
      <c r="AE299" t="s">
        <v>1664</v>
      </c>
      <c r="AF299" t="s">
        <v>1664</v>
      </c>
      <c r="AG299" t="s">
        <v>1664</v>
      </c>
      <c r="AH299" t="s">
        <v>1664</v>
      </c>
      <c r="AI299" t="s">
        <v>1664</v>
      </c>
      <c r="AJ299">
        <v>0</v>
      </c>
      <c r="AK299"/>
      <c r="AL299">
        <v>0</v>
      </c>
      <c r="AM299"/>
      <c r="AN299">
        <v>441793314959</v>
      </c>
      <c r="AO299" t="s">
        <v>4258</v>
      </c>
      <c r="AP299" s="6">
        <v>4</v>
      </c>
    </row>
    <row r="300" spans="3:42">
      <c r="C300" s="4" t="s">
        <v>966</v>
      </c>
      <c r="D300"/>
      <c r="E300" s="4" t="s">
        <v>3559</v>
      </c>
      <c r="G300" s="10" t="s">
        <v>3557</v>
      </c>
      <c r="H300" s="136">
        <v>1395889000000</v>
      </c>
      <c r="I300" s="5"/>
      <c r="J300" s="4" t="s">
        <v>3419</v>
      </c>
      <c r="K300" t="s">
        <v>1664</v>
      </c>
      <c r="L300" s="4" t="s">
        <v>3150</v>
      </c>
      <c r="M300" s="4" t="s">
        <v>3149</v>
      </c>
      <c r="N300" s="4">
        <v>0</v>
      </c>
      <c r="Q300" s="120">
        <v>107.5651</v>
      </c>
      <c r="R300" t="s">
        <v>1664</v>
      </c>
      <c r="S300">
        <v>0</v>
      </c>
      <c r="T300"/>
      <c r="U300">
        <v>0</v>
      </c>
      <c r="V300"/>
      <c r="W300" t="s">
        <v>1664</v>
      </c>
      <c r="X300" t="s">
        <v>1664</v>
      </c>
      <c r="Y300" t="s">
        <v>1664</v>
      </c>
      <c r="Z300" t="s">
        <v>1664</v>
      </c>
      <c r="AA300" t="s">
        <v>1664</v>
      </c>
      <c r="AB300" t="s">
        <v>1664</v>
      </c>
      <c r="AC300" t="s">
        <v>3559</v>
      </c>
      <c r="AD300" t="s">
        <v>3491</v>
      </c>
      <c r="AE300" t="s">
        <v>1664</v>
      </c>
      <c r="AF300" t="s">
        <v>1664</v>
      </c>
      <c r="AG300" t="s">
        <v>1664</v>
      </c>
      <c r="AH300" t="s">
        <v>1664</v>
      </c>
      <c r="AI300" t="s">
        <v>1664</v>
      </c>
      <c r="AJ300">
        <v>0</v>
      </c>
      <c r="AK300"/>
      <c r="AL300">
        <v>0</v>
      </c>
      <c r="AM300"/>
      <c r="AN300">
        <v>1395889000000</v>
      </c>
      <c r="AO300" t="s">
        <v>3560</v>
      </c>
      <c r="AP300" s="6">
        <v>4</v>
      </c>
    </row>
    <row r="301" spans="3:42">
      <c r="C301" s="4" t="s">
        <v>966</v>
      </c>
      <c r="D301"/>
      <c r="E301" s="4" t="s">
        <v>3655</v>
      </c>
      <c r="G301" s="10" t="s">
        <v>3859</v>
      </c>
      <c r="H301" s="136">
        <v>5568966000</v>
      </c>
      <c r="I301" s="5"/>
      <c r="J301" s="4" t="s">
        <v>3419</v>
      </c>
      <c r="K301" t="s">
        <v>1664</v>
      </c>
      <c r="L301" s="4" t="s">
        <v>3150</v>
      </c>
      <c r="M301" s="4" t="s">
        <v>3149</v>
      </c>
      <c r="N301" s="4">
        <v>0</v>
      </c>
      <c r="Q301" s="120">
        <v>72.28</v>
      </c>
      <c r="R301" t="s">
        <v>1664</v>
      </c>
      <c r="S301">
        <v>0</v>
      </c>
      <c r="T301"/>
      <c r="U301">
        <v>0</v>
      </c>
      <c r="V301"/>
      <c r="W301" t="s">
        <v>1664</v>
      </c>
      <c r="X301" t="s">
        <v>1664</v>
      </c>
      <c r="Y301" t="s">
        <v>1664</v>
      </c>
      <c r="Z301" t="s">
        <v>1664</v>
      </c>
      <c r="AA301" t="s">
        <v>1664</v>
      </c>
      <c r="AB301" t="s">
        <v>1664</v>
      </c>
      <c r="AC301" t="s">
        <v>3655</v>
      </c>
      <c r="AD301" t="s">
        <v>3487</v>
      </c>
      <c r="AE301" t="s">
        <v>1664</v>
      </c>
      <c r="AF301" t="s">
        <v>1664</v>
      </c>
      <c r="AG301" t="s">
        <v>1664</v>
      </c>
      <c r="AH301" t="s">
        <v>1664</v>
      </c>
      <c r="AI301" t="s">
        <v>1664</v>
      </c>
      <c r="AJ301">
        <v>0</v>
      </c>
      <c r="AK301"/>
      <c r="AL301">
        <v>0</v>
      </c>
      <c r="AM301"/>
      <c r="AN301">
        <v>5568966000</v>
      </c>
      <c r="AO301" t="s">
        <v>3861</v>
      </c>
      <c r="AP301" s="6">
        <v>4</v>
      </c>
    </row>
    <row r="302" spans="3:42">
      <c r="C302" s="4" t="s">
        <v>966</v>
      </c>
      <c r="D302"/>
      <c r="E302" s="4" t="s">
        <v>3655</v>
      </c>
      <c r="G302" s="10" t="s">
        <v>3917</v>
      </c>
      <c r="H302" s="136">
        <v>28477510000</v>
      </c>
      <c r="I302" s="5"/>
      <c r="J302" s="4" t="s">
        <v>3419</v>
      </c>
      <c r="K302" t="s">
        <v>1664</v>
      </c>
      <c r="L302" s="4" t="s">
        <v>3150</v>
      </c>
      <c r="M302" s="4" t="s">
        <v>3149</v>
      </c>
      <c r="N302" s="4">
        <v>0</v>
      </c>
      <c r="Q302" s="120">
        <v>11.8489</v>
      </c>
      <c r="R302" t="s">
        <v>1664</v>
      </c>
      <c r="S302">
        <v>0</v>
      </c>
      <c r="T302"/>
      <c r="U302">
        <v>0</v>
      </c>
      <c r="V302"/>
      <c r="W302" t="s">
        <v>1664</v>
      </c>
      <c r="X302" t="s">
        <v>1664</v>
      </c>
      <c r="Y302" t="s">
        <v>1664</v>
      </c>
      <c r="Z302" t="s">
        <v>1664</v>
      </c>
      <c r="AA302" t="s">
        <v>1664</v>
      </c>
      <c r="AB302" t="s">
        <v>1664</v>
      </c>
      <c r="AC302" t="s">
        <v>3655</v>
      </c>
      <c r="AD302" t="s">
        <v>3496</v>
      </c>
      <c r="AE302" t="s">
        <v>1664</v>
      </c>
      <c r="AF302" t="s">
        <v>1664</v>
      </c>
      <c r="AG302" t="s">
        <v>1664</v>
      </c>
      <c r="AH302" t="s">
        <v>1664</v>
      </c>
      <c r="AI302" t="s">
        <v>1664</v>
      </c>
      <c r="AJ302">
        <v>0</v>
      </c>
      <c r="AK302"/>
      <c r="AL302">
        <v>0</v>
      </c>
      <c r="AM302"/>
      <c r="AN302">
        <v>28477510000</v>
      </c>
      <c r="AO302" t="s">
        <v>3919</v>
      </c>
      <c r="AP302" s="6">
        <v>4</v>
      </c>
    </row>
    <row r="303" spans="3:42">
      <c r="C303" s="4" t="s">
        <v>966</v>
      </c>
      <c r="D303"/>
      <c r="E303" s="4" t="s">
        <v>3804</v>
      </c>
      <c r="G303" s="10" t="s">
        <v>3944</v>
      </c>
      <c r="H303" s="136">
        <v>305771200</v>
      </c>
      <c r="I303" s="5"/>
      <c r="J303" s="4" t="s">
        <v>3419</v>
      </c>
      <c r="K303" t="s">
        <v>1664</v>
      </c>
      <c r="L303" s="4" t="s">
        <v>3150</v>
      </c>
      <c r="M303" s="4" t="s">
        <v>3149</v>
      </c>
      <c r="N303" s="4">
        <v>0</v>
      </c>
      <c r="Q303" s="120">
        <v>11.8019</v>
      </c>
      <c r="R303" t="s">
        <v>1664</v>
      </c>
      <c r="S303">
        <v>0</v>
      </c>
      <c r="T303"/>
      <c r="U303">
        <v>0</v>
      </c>
      <c r="V303"/>
      <c r="W303" t="s">
        <v>1664</v>
      </c>
      <c r="X303" t="s">
        <v>1664</v>
      </c>
      <c r="Y303" t="s">
        <v>1664</v>
      </c>
      <c r="Z303" t="s">
        <v>1664</v>
      </c>
      <c r="AA303" t="s">
        <v>1664</v>
      </c>
      <c r="AB303" t="s">
        <v>1664</v>
      </c>
      <c r="AC303" t="s">
        <v>3804</v>
      </c>
      <c r="AD303" t="s">
        <v>3477</v>
      </c>
      <c r="AE303" t="s">
        <v>1664</v>
      </c>
      <c r="AF303" t="s">
        <v>1664</v>
      </c>
      <c r="AG303" t="s">
        <v>1664</v>
      </c>
      <c r="AH303" t="s">
        <v>1664</v>
      </c>
      <c r="AI303" t="s">
        <v>1664</v>
      </c>
      <c r="AJ303">
        <v>0</v>
      </c>
      <c r="AK303"/>
      <c r="AL303">
        <v>0</v>
      </c>
      <c r="AM303"/>
      <c r="AN303">
        <v>305771200</v>
      </c>
      <c r="AO303" t="s">
        <v>3946</v>
      </c>
      <c r="AP303" s="6">
        <v>4</v>
      </c>
    </row>
    <row r="304" spans="3:42">
      <c r="C304" s="4" t="s">
        <v>966</v>
      </c>
      <c r="D304"/>
      <c r="E304" s="4" t="s">
        <v>3804</v>
      </c>
      <c r="G304" s="10" t="s">
        <v>4181</v>
      </c>
      <c r="H304" s="136">
        <v>310131267312</v>
      </c>
      <c r="I304" s="5"/>
      <c r="J304" s="4" t="s">
        <v>3419</v>
      </c>
      <c r="K304" t="s">
        <v>1664</v>
      </c>
      <c r="L304" s="4" t="s">
        <v>3150</v>
      </c>
      <c r="M304" s="4" t="s">
        <v>3149</v>
      </c>
      <c r="N304" s="4">
        <v>0</v>
      </c>
      <c r="Q304" s="120">
        <v>19.405899999999999</v>
      </c>
      <c r="R304" t="s">
        <v>1664</v>
      </c>
      <c r="S304">
        <v>0</v>
      </c>
      <c r="T304"/>
      <c r="U304">
        <v>0</v>
      </c>
      <c r="V304"/>
      <c r="W304" t="s">
        <v>1664</v>
      </c>
      <c r="X304" t="s">
        <v>1664</v>
      </c>
      <c r="Y304" t="s">
        <v>1664</v>
      </c>
      <c r="Z304" t="s">
        <v>1664</v>
      </c>
      <c r="AA304" t="s">
        <v>1664</v>
      </c>
      <c r="AB304" t="s">
        <v>1664</v>
      </c>
      <c r="AC304" t="s">
        <v>3804</v>
      </c>
      <c r="AD304" t="s">
        <v>3464</v>
      </c>
      <c r="AE304" t="s">
        <v>1664</v>
      </c>
      <c r="AF304" t="s">
        <v>1664</v>
      </c>
      <c r="AG304" t="s">
        <v>1664</v>
      </c>
      <c r="AH304" t="s">
        <v>1664</v>
      </c>
      <c r="AI304" t="s">
        <v>1664</v>
      </c>
      <c r="AJ304">
        <v>0</v>
      </c>
      <c r="AK304"/>
      <c r="AL304">
        <v>0</v>
      </c>
      <c r="AM304"/>
      <c r="AN304">
        <v>310131267312</v>
      </c>
      <c r="AO304" t="s">
        <v>4183</v>
      </c>
      <c r="AP304" s="6">
        <v>4</v>
      </c>
    </row>
    <row r="305" spans="3:42">
      <c r="C305" s="4" t="s">
        <v>966</v>
      </c>
      <c r="D305"/>
      <c r="E305" s="4" t="s">
        <v>3804</v>
      </c>
      <c r="G305" s="10" t="s">
        <v>3802</v>
      </c>
      <c r="H305" s="136">
        <v>670574900</v>
      </c>
      <c r="I305" s="5"/>
      <c r="J305" s="4" t="s">
        <v>3419</v>
      </c>
      <c r="K305" t="s">
        <v>1664</v>
      </c>
      <c r="L305" s="4" t="s">
        <v>3150</v>
      </c>
      <c r="M305" s="4" t="s">
        <v>3149</v>
      </c>
      <c r="N305" s="4">
        <v>0</v>
      </c>
      <c r="Q305" s="120">
        <v>0</v>
      </c>
      <c r="R305" t="s">
        <v>1664</v>
      </c>
      <c r="S305">
        <v>0</v>
      </c>
      <c r="T305"/>
      <c r="U305">
        <v>0</v>
      </c>
      <c r="V305"/>
      <c r="W305" t="s">
        <v>1664</v>
      </c>
      <c r="X305" t="s">
        <v>1664</v>
      </c>
      <c r="Y305" t="s">
        <v>1664</v>
      </c>
      <c r="Z305" t="s">
        <v>1664</v>
      </c>
      <c r="AA305" t="s">
        <v>1664</v>
      </c>
      <c r="AB305" t="s">
        <v>1664</v>
      </c>
      <c r="AC305" t="s">
        <v>3804</v>
      </c>
      <c r="AD305" t="s">
        <v>3477</v>
      </c>
      <c r="AE305" t="s">
        <v>1664</v>
      </c>
      <c r="AF305" t="s">
        <v>1664</v>
      </c>
      <c r="AG305" t="s">
        <v>1664</v>
      </c>
      <c r="AH305" t="s">
        <v>1664</v>
      </c>
      <c r="AI305" t="s">
        <v>1664</v>
      </c>
      <c r="AJ305">
        <v>0</v>
      </c>
      <c r="AK305"/>
      <c r="AL305">
        <v>0</v>
      </c>
      <c r="AM305"/>
      <c r="AN305">
        <v>670574900</v>
      </c>
      <c r="AO305" t="s">
        <v>3805</v>
      </c>
      <c r="AP305" s="6">
        <v>4</v>
      </c>
    </row>
    <row r="306" spans="3:42">
      <c r="C306" s="4" t="s">
        <v>966</v>
      </c>
      <c r="D306"/>
      <c r="E306" s="4" t="s">
        <v>3559</v>
      </c>
      <c r="G306" s="10" t="s">
        <v>3702</v>
      </c>
      <c r="H306" s="136">
        <v>249426133225</v>
      </c>
      <c r="I306" s="5"/>
      <c r="J306" s="4" t="s">
        <v>3419</v>
      </c>
      <c r="K306" t="s">
        <v>1664</v>
      </c>
      <c r="L306" s="4" t="s">
        <v>3150</v>
      </c>
      <c r="M306" s="4" t="s">
        <v>3149</v>
      </c>
      <c r="N306" s="4">
        <v>0</v>
      </c>
      <c r="Q306" s="120">
        <v>41.772399999999998</v>
      </c>
      <c r="R306" t="s">
        <v>1664</v>
      </c>
      <c r="S306">
        <v>0</v>
      </c>
      <c r="T306"/>
      <c r="U306">
        <v>0</v>
      </c>
      <c r="V306"/>
      <c r="W306" t="s">
        <v>1664</v>
      </c>
      <c r="X306" t="s">
        <v>1664</v>
      </c>
      <c r="Y306" t="s">
        <v>1664</v>
      </c>
      <c r="Z306" t="s">
        <v>1664</v>
      </c>
      <c r="AA306" t="s">
        <v>1664</v>
      </c>
      <c r="AB306" t="s">
        <v>1664</v>
      </c>
      <c r="AC306" t="s">
        <v>3559</v>
      </c>
      <c r="AD306" t="s">
        <v>3491</v>
      </c>
      <c r="AE306" t="s">
        <v>1664</v>
      </c>
      <c r="AF306" t="s">
        <v>1664</v>
      </c>
      <c r="AG306" t="s">
        <v>1664</v>
      </c>
      <c r="AH306" t="s">
        <v>1664</v>
      </c>
      <c r="AI306" t="s">
        <v>1664</v>
      </c>
      <c r="AJ306">
        <v>0</v>
      </c>
      <c r="AK306"/>
      <c r="AL306">
        <v>0</v>
      </c>
      <c r="AM306"/>
      <c r="AN306">
        <v>249426133225</v>
      </c>
      <c r="AO306" t="s">
        <v>3704</v>
      </c>
      <c r="AP306" s="6">
        <v>4</v>
      </c>
    </row>
    <row r="307" spans="3:42">
      <c r="C307" s="4" t="s">
        <v>966</v>
      </c>
      <c r="D307"/>
      <c r="E307" s="4" t="s">
        <v>3655</v>
      </c>
      <c r="G307" s="10" t="s">
        <v>3657</v>
      </c>
      <c r="H307" s="136">
        <v>178903300</v>
      </c>
      <c r="I307" s="5"/>
      <c r="J307" s="4" t="s">
        <v>3419</v>
      </c>
      <c r="K307" t="s">
        <v>1664</v>
      </c>
      <c r="L307" s="4" t="s">
        <v>3150</v>
      </c>
      <c r="M307" s="4" t="s">
        <v>3149</v>
      </c>
      <c r="N307" s="4">
        <v>0</v>
      </c>
      <c r="Q307" s="120"/>
      <c r="R307" t="s">
        <v>1664</v>
      </c>
      <c r="S307">
        <v>0</v>
      </c>
      <c r="T307"/>
      <c r="U307">
        <v>0</v>
      </c>
      <c r="V307"/>
      <c r="W307" t="s">
        <v>1664</v>
      </c>
      <c r="X307" t="s">
        <v>1664</v>
      </c>
      <c r="Y307" t="s">
        <v>1664</v>
      </c>
      <c r="Z307" t="s">
        <v>1664</v>
      </c>
      <c r="AA307" t="s">
        <v>1664</v>
      </c>
      <c r="AB307" t="s">
        <v>1664</v>
      </c>
      <c r="AC307" t="s">
        <v>3655</v>
      </c>
      <c r="AD307" t="s">
        <v>3477</v>
      </c>
      <c r="AE307" t="s">
        <v>1664</v>
      </c>
      <c r="AF307" t="s">
        <v>1664</v>
      </c>
      <c r="AG307" t="s">
        <v>1664</v>
      </c>
      <c r="AH307" t="s">
        <v>1664</v>
      </c>
      <c r="AI307" t="s">
        <v>1664</v>
      </c>
      <c r="AJ307">
        <v>0</v>
      </c>
      <c r="AK307"/>
      <c r="AL307">
        <v>0</v>
      </c>
      <c r="AM307"/>
      <c r="AN307">
        <v>178903300</v>
      </c>
      <c r="AO307" t="s">
        <v>3659</v>
      </c>
      <c r="AP307" s="6">
        <v>4</v>
      </c>
    </row>
    <row r="308" spans="3:42">
      <c r="C308" s="4" t="s">
        <v>966</v>
      </c>
      <c r="D308"/>
      <c r="E308" s="4" t="s">
        <v>3655</v>
      </c>
      <c r="G308" s="10" t="s">
        <v>3786</v>
      </c>
      <c r="H308" s="136">
        <v>5046684000</v>
      </c>
      <c r="I308" s="5"/>
      <c r="J308" s="4" t="s">
        <v>3419</v>
      </c>
      <c r="K308" t="s">
        <v>1664</v>
      </c>
      <c r="L308" s="4" t="s">
        <v>3150</v>
      </c>
      <c r="M308" s="4" t="s">
        <v>3149</v>
      </c>
      <c r="N308" s="4">
        <v>0</v>
      </c>
      <c r="Q308" s="120">
        <v>26.801500000000001</v>
      </c>
      <c r="R308" t="s">
        <v>1664</v>
      </c>
      <c r="S308">
        <v>0</v>
      </c>
      <c r="T308"/>
      <c r="U308">
        <v>0</v>
      </c>
      <c r="V308"/>
      <c r="W308" t="s">
        <v>1664</v>
      </c>
      <c r="X308" t="s">
        <v>1664</v>
      </c>
      <c r="Y308" t="s">
        <v>1664</v>
      </c>
      <c r="Z308" t="s">
        <v>1664</v>
      </c>
      <c r="AA308" t="s">
        <v>1664</v>
      </c>
      <c r="AB308" t="s">
        <v>1664</v>
      </c>
      <c r="AC308" t="s">
        <v>3655</v>
      </c>
      <c r="AD308" t="s">
        <v>3482</v>
      </c>
      <c r="AE308" t="s">
        <v>1664</v>
      </c>
      <c r="AF308" t="s">
        <v>1664</v>
      </c>
      <c r="AG308" t="s">
        <v>1664</v>
      </c>
      <c r="AH308" t="s">
        <v>1664</v>
      </c>
      <c r="AI308" t="s">
        <v>1664</v>
      </c>
      <c r="AJ308">
        <v>0</v>
      </c>
      <c r="AK308"/>
      <c r="AL308">
        <v>0</v>
      </c>
      <c r="AM308"/>
      <c r="AN308">
        <v>5046684000</v>
      </c>
      <c r="AO308" t="s">
        <v>3788</v>
      </c>
      <c r="AP308" s="6">
        <v>4</v>
      </c>
    </row>
    <row r="309" spans="3:42">
      <c r="C309" s="4" t="s">
        <v>3476</v>
      </c>
      <c r="D309"/>
      <c r="E309" s="4" t="s">
        <v>3476</v>
      </c>
      <c r="F309" s="4" t="s">
        <v>130</v>
      </c>
      <c r="G309" s="10" t="s">
        <v>3771</v>
      </c>
      <c r="H309" s="136">
        <v>496131500</v>
      </c>
      <c r="I309" s="5">
        <v>-0.02</v>
      </c>
      <c r="J309" s="4" t="s">
        <v>3419</v>
      </c>
      <c r="K309">
        <v>-6000000</v>
      </c>
      <c r="L309" s="4" t="s">
        <v>4326</v>
      </c>
      <c r="M309" s="4" t="s">
        <v>4327</v>
      </c>
      <c r="N309" s="4">
        <v>1</v>
      </c>
      <c r="O309" s="6" t="s">
        <v>3419</v>
      </c>
      <c r="Q309" s="120"/>
      <c r="R309" t="s">
        <v>1664</v>
      </c>
      <c r="S309">
        <v>-427000000</v>
      </c>
      <c r="T309"/>
      <c r="U309">
        <v>-100000000</v>
      </c>
      <c r="V309"/>
      <c r="W309">
        <v>-483000000</v>
      </c>
      <c r="X309">
        <v>270000000</v>
      </c>
      <c r="Y309">
        <v>34000000</v>
      </c>
      <c r="Z309">
        <v>114000000</v>
      </c>
      <c r="AA309">
        <v>135000000</v>
      </c>
      <c r="AB309" t="s">
        <v>1664</v>
      </c>
      <c r="AC309" t="s">
        <v>3476</v>
      </c>
      <c r="AD309" t="s">
        <v>3477</v>
      </c>
      <c r="AE309">
        <v>3706699201</v>
      </c>
      <c r="AF309">
        <v>2758473824</v>
      </c>
      <c r="AG309">
        <v>2104351188.1600001</v>
      </c>
      <c r="AH309">
        <v>2227847628.8000002</v>
      </c>
      <c r="AI309">
        <v>957688974</v>
      </c>
      <c r="AJ309">
        <v>1107580154.28</v>
      </c>
      <c r="AK309"/>
      <c r="AL309">
        <v>569065955.69999993</v>
      </c>
      <c r="AM309"/>
      <c r="AN309">
        <v>496131500</v>
      </c>
      <c r="AO309" t="s">
        <v>3772</v>
      </c>
      <c r="AP309" s="6">
        <v>4</v>
      </c>
    </row>
    <row r="310" spans="3:42">
      <c r="C310" s="4" t="s">
        <v>3476</v>
      </c>
      <c r="D310"/>
      <c r="E310" s="4" t="s">
        <v>3476</v>
      </c>
      <c r="F310" s="4" t="s">
        <v>2008</v>
      </c>
      <c r="G310" s="10" t="s">
        <v>2007</v>
      </c>
      <c r="H310" s="136">
        <v>9059369000</v>
      </c>
      <c r="I310" s="5"/>
      <c r="J310" s="4" t="s">
        <v>3419</v>
      </c>
      <c r="K310" t="s">
        <v>1664</v>
      </c>
      <c r="L310" s="4" t="s">
        <v>4326</v>
      </c>
      <c r="M310" s="4" t="s">
        <v>4327</v>
      </c>
      <c r="N310" s="4">
        <v>1</v>
      </c>
      <c r="O310" s="6" t="s">
        <v>3419</v>
      </c>
      <c r="Q310" s="120">
        <v>13.936400000000001</v>
      </c>
      <c r="R310" t="s">
        <v>1664</v>
      </c>
      <c r="S310">
        <v>0</v>
      </c>
      <c r="T310"/>
      <c r="U310">
        <v>0</v>
      </c>
      <c r="V310"/>
      <c r="W310" t="s">
        <v>1664</v>
      </c>
      <c r="X310" t="s">
        <v>1664</v>
      </c>
      <c r="Y310" t="s">
        <v>1664</v>
      </c>
      <c r="Z310" t="s">
        <v>1664</v>
      </c>
      <c r="AA310" t="s">
        <v>1664</v>
      </c>
      <c r="AB310" t="s">
        <v>1664</v>
      </c>
      <c r="AC310" t="s">
        <v>3476</v>
      </c>
      <c r="AD310" t="s">
        <v>3477</v>
      </c>
      <c r="AE310" t="s">
        <v>1664</v>
      </c>
      <c r="AF310" t="s">
        <v>1664</v>
      </c>
      <c r="AG310" t="s">
        <v>1664</v>
      </c>
      <c r="AH310" t="s">
        <v>1664</v>
      </c>
      <c r="AI310" t="s">
        <v>1664</v>
      </c>
      <c r="AJ310">
        <v>0</v>
      </c>
      <c r="AK310"/>
      <c r="AL310">
        <v>0</v>
      </c>
      <c r="AM310"/>
      <c r="AN310">
        <v>9059369000</v>
      </c>
      <c r="AO310" t="s">
        <v>3478</v>
      </c>
      <c r="AP310" s="6">
        <v>4</v>
      </c>
    </row>
    <row r="311" spans="3:42">
      <c r="C311" s="4" t="s">
        <v>3476</v>
      </c>
      <c r="D311"/>
      <c r="E311" s="4" t="s">
        <v>3476</v>
      </c>
      <c r="F311" s="4" t="s">
        <v>130</v>
      </c>
      <c r="G311" s="10" t="s">
        <v>157</v>
      </c>
      <c r="H311" s="136">
        <v>14951930000</v>
      </c>
      <c r="I311" s="5"/>
      <c r="J311" s="4" t="s">
        <v>3419</v>
      </c>
      <c r="K311" t="s">
        <v>1664</v>
      </c>
      <c r="L311" s="4" t="s">
        <v>4326</v>
      </c>
      <c r="M311" s="4" t="s">
        <v>4327</v>
      </c>
      <c r="N311" s="4">
        <v>1</v>
      </c>
      <c r="O311" s="6" t="s">
        <v>3419</v>
      </c>
      <c r="Q311" s="120">
        <v>18.5793</v>
      </c>
      <c r="R311" t="s">
        <v>1664</v>
      </c>
      <c r="S311">
        <v>0</v>
      </c>
      <c r="T311"/>
      <c r="U311">
        <v>0</v>
      </c>
      <c r="V311"/>
      <c r="W311" t="s">
        <v>1664</v>
      </c>
      <c r="X311" t="s">
        <v>1664</v>
      </c>
      <c r="Y311" t="s">
        <v>1664</v>
      </c>
      <c r="Z311">
        <v>723000000</v>
      </c>
      <c r="AA311">
        <v>637000000</v>
      </c>
      <c r="AB311" t="s">
        <v>1664</v>
      </c>
      <c r="AC311" t="s">
        <v>3476</v>
      </c>
      <c r="AD311" t="s">
        <v>3477</v>
      </c>
      <c r="AE311">
        <v>16121295835.539999</v>
      </c>
      <c r="AF311">
        <v>10876678770.5</v>
      </c>
      <c r="AG311" t="s">
        <v>1664</v>
      </c>
      <c r="AH311" t="s">
        <v>1664</v>
      </c>
      <c r="AI311" t="s">
        <v>1664</v>
      </c>
      <c r="AJ311">
        <v>0</v>
      </c>
      <c r="AK311"/>
      <c r="AL311">
        <v>0</v>
      </c>
      <c r="AM311"/>
      <c r="AN311">
        <v>14951930000</v>
      </c>
      <c r="AO311" t="s">
        <v>4126</v>
      </c>
      <c r="AP311" s="6">
        <v>4</v>
      </c>
    </row>
    <row r="312" spans="3:42">
      <c r="C312" s="4" t="s">
        <v>3476</v>
      </c>
      <c r="D312"/>
      <c r="E312" s="4" t="s">
        <v>3476</v>
      </c>
      <c r="G312" s="10" t="s">
        <v>4141</v>
      </c>
      <c r="H312" s="136">
        <v>108801546000</v>
      </c>
      <c r="I312" s="5"/>
      <c r="J312" s="4" t="s">
        <v>3419</v>
      </c>
      <c r="K312" t="s">
        <v>1664</v>
      </c>
      <c r="L312" s="4" t="s">
        <v>4326</v>
      </c>
      <c r="M312" s="4" t="s">
        <v>3149</v>
      </c>
      <c r="N312" s="4">
        <v>0</v>
      </c>
      <c r="Q312" s="120">
        <v>33.722700000000003</v>
      </c>
      <c r="R312" t="s">
        <v>1664</v>
      </c>
      <c r="S312">
        <v>0</v>
      </c>
      <c r="T312"/>
      <c r="U312">
        <v>0</v>
      </c>
      <c r="V312"/>
      <c r="W312" t="s">
        <v>1664</v>
      </c>
      <c r="X312" t="s">
        <v>1664</v>
      </c>
      <c r="Y312" t="s">
        <v>1664</v>
      </c>
      <c r="Z312" t="s">
        <v>1664</v>
      </c>
      <c r="AA312" t="s">
        <v>1664</v>
      </c>
      <c r="AB312" t="s">
        <v>1664</v>
      </c>
      <c r="AC312" t="s">
        <v>3476</v>
      </c>
      <c r="AD312" t="s">
        <v>3491</v>
      </c>
      <c r="AE312" t="s">
        <v>1664</v>
      </c>
      <c r="AF312" t="s">
        <v>1664</v>
      </c>
      <c r="AG312" t="s">
        <v>1664</v>
      </c>
      <c r="AH312" t="s">
        <v>1664</v>
      </c>
      <c r="AI312" t="s">
        <v>1664</v>
      </c>
      <c r="AJ312">
        <v>0</v>
      </c>
      <c r="AK312"/>
      <c r="AL312">
        <v>0</v>
      </c>
      <c r="AM312"/>
      <c r="AN312">
        <v>108801546000</v>
      </c>
      <c r="AO312" t="s">
        <v>4143</v>
      </c>
      <c r="AP312" s="6">
        <v>4</v>
      </c>
    </row>
    <row r="313" spans="3:42">
      <c r="C313" s="4" t="s">
        <v>3476</v>
      </c>
      <c r="D313"/>
      <c r="E313" s="4" t="s">
        <v>3476</v>
      </c>
      <c r="F313" s="4" t="s">
        <v>2071</v>
      </c>
      <c r="G313" s="10" t="s">
        <v>3927</v>
      </c>
      <c r="H313" s="136">
        <v>6215140000</v>
      </c>
      <c r="I313" s="5"/>
      <c r="J313" s="4" t="s">
        <v>3419</v>
      </c>
      <c r="K313" t="s">
        <v>1664</v>
      </c>
      <c r="L313" s="4" t="s">
        <v>4326</v>
      </c>
      <c r="M313" s="4" t="s">
        <v>3419</v>
      </c>
      <c r="N313" s="4">
        <v>1</v>
      </c>
      <c r="O313" s="6" t="s">
        <v>3149</v>
      </c>
      <c r="Q313" s="120">
        <v>18.846299999999999</v>
      </c>
      <c r="R313" t="s">
        <v>1664</v>
      </c>
      <c r="S313">
        <v>0</v>
      </c>
      <c r="T313"/>
      <c r="U313">
        <v>0</v>
      </c>
      <c r="V313"/>
      <c r="W313" t="s">
        <v>1664</v>
      </c>
      <c r="X313">
        <v>170400000</v>
      </c>
      <c r="Y313">
        <v>170400000</v>
      </c>
      <c r="Z313">
        <v>180700000</v>
      </c>
      <c r="AA313">
        <v>176000000</v>
      </c>
      <c r="AB313" t="s">
        <v>1664</v>
      </c>
      <c r="AC313" t="s">
        <v>3476</v>
      </c>
      <c r="AD313" t="s">
        <v>3477</v>
      </c>
      <c r="AE313">
        <v>0</v>
      </c>
      <c r="AF313">
        <v>0</v>
      </c>
      <c r="AG313">
        <v>0</v>
      </c>
      <c r="AH313">
        <v>7145309999.999999</v>
      </c>
      <c r="AI313" t="s">
        <v>1664</v>
      </c>
      <c r="AJ313">
        <v>7429900000</v>
      </c>
      <c r="AK313"/>
      <c r="AL313">
        <v>0</v>
      </c>
      <c r="AM313"/>
      <c r="AN313">
        <v>6215140000</v>
      </c>
      <c r="AO313" t="s">
        <v>3928</v>
      </c>
      <c r="AP313" s="6">
        <v>4</v>
      </c>
    </row>
    <row r="314" spans="3:42">
      <c r="C314" s="4" t="s">
        <v>3476</v>
      </c>
      <c r="D314"/>
      <c r="E314" s="4" t="s">
        <v>3476</v>
      </c>
      <c r="G314" s="10" t="s">
        <v>3951</v>
      </c>
      <c r="H314" s="136">
        <v>201062178243</v>
      </c>
      <c r="I314" s="5"/>
      <c r="J314" s="4" t="s">
        <v>3419</v>
      </c>
      <c r="K314" t="s">
        <v>1664</v>
      </c>
      <c r="L314" s="4" t="s">
        <v>3150</v>
      </c>
      <c r="M314" s="4" t="s">
        <v>3419</v>
      </c>
      <c r="N314" s="4">
        <v>0</v>
      </c>
      <c r="Q314" s="120">
        <v>25.520299999999999</v>
      </c>
      <c r="R314" t="s">
        <v>1664</v>
      </c>
      <c r="S314">
        <v>0</v>
      </c>
      <c r="T314"/>
      <c r="U314">
        <v>0</v>
      </c>
      <c r="V314"/>
      <c r="W314" t="s">
        <v>1664</v>
      </c>
      <c r="X314" t="s">
        <v>1664</v>
      </c>
      <c r="Y314" t="s">
        <v>1664</v>
      </c>
      <c r="Z314" t="s">
        <v>1664</v>
      </c>
      <c r="AA314" t="s">
        <v>1664</v>
      </c>
      <c r="AB314" t="s">
        <v>1664</v>
      </c>
      <c r="AC314" t="s">
        <v>3476</v>
      </c>
      <c r="AD314" t="s">
        <v>3464</v>
      </c>
      <c r="AE314" t="s">
        <v>1664</v>
      </c>
      <c r="AF314" t="s">
        <v>1664</v>
      </c>
      <c r="AG314" t="s">
        <v>1664</v>
      </c>
      <c r="AH314" t="s">
        <v>1664</v>
      </c>
      <c r="AI314" t="s">
        <v>1664</v>
      </c>
      <c r="AJ314">
        <v>0</v>
      </c>
      <c r="AK314"/>
      <c r="AL314">
        <v>0</v>
      </c>
      <c r="AM314"/>
      <c r="AN314">
        <v>201062178243</v>
      </c>
      <c r="AO314" t="s">
        <v>3953</v>
      </c>
      <c r="AP314" s="6">
        <v>4</v>
      </c>
    </row>
    <row r="315" spans="3:42">
      <c r="C315" s="4" t="s">
        <v>1586</v>
      </c>
      <c r="D315"/>
      <c r="E315" s="4" t="s">
        <v>3810</v>
      </c>
      <c r="F315" s="4" t="s">
        <v>1293</v>
      </c>
      <c r="G315" s="10" t="s">
        <v>1292</v>
      </c>
      <c r="H315" s="136">
        <v>683168500</v>
      </c>
      <c r="I315" s="5"/>
      <c r="J315" s="4" t="s">
        <v>3419</v>
      </c>
      <c r="K315" t="s">
        <v>1664</v>
      </c>
      <c r="L315" s="4" t="s">
        <v>4322</v>
      </c>
      <c r="M315" s="4" t="s">
        <v>3148</v>
      </c>
      <c r="N315" s="4">
        <v>1</v>
      </c>
      <c r="O315" s="6" t="s">
        <v>4343</v>
      </c>
      <c r="Q315" s="120">
        <v>65.188599999999994</v>
      </c>
      <c r="R315" t="s">
        <v>1664</v>
      </c>
      <c r="S315">
        <v>0</v>
      </c>
      <c r="T315"/>
      <c r="U315">
        <v>100000000</v>
      </c>
      <c r="V315"/>
      <c r="W315">
        <v>35000000</v>
      </c>
      <c r="X315">
        <v>114700000</v>
      </c>
      <c r="Y315">
        <v>123100000</v>
      </c>
      <c r="Z315">
        <v>163300000</v>
      </c>
      <c r="AA315">
        <v>131000000</v>
      </c>
      <c r="AB315" t="s">
        <v>1664</v>
      </c>
      <c r="AC315" t="s">
        <v>3810</v>
      </c>
      <c r="AD315" t="s">
        <v>3477</v>
      </c>
      <c r="AE315">
        <v>2205621082.5</v>
      </c>
      <c r="AF315">
        <v>2429470290</v>
      </c>
      <c r="AG315">
        <v>2705222025</v>
      </c>
      <c r="AH315">
        <v>3197436957</v>
      </c>
      <c r="AI315">
        <v>3262458241.0599999</v>
      </c>
      <c r="AJ315">
        <v>2924762631.3600001</v>
      </c>
      <c r="AK315"/>
      <c r="AL315">
        <v>0</v>
      </c>
      <c r="AM315"/>
      <c r="AN315">
        <v>683168500</v>
      </c>
      <c r="AO315" t="s">
        <v>3926</v>
      </c>
      <c r="AP315" s="6">
        <v>4</v>
      </c>
    </row>
    <row r="316" spans="3:42">
      <c r="C316" s="4" t="s">
        <v>1586</v>
      </c>
      <c r="D316"/>
      <c r="E316" s="4" t="s">
        <v>3810</v>
      </c>
      <c r="F316" s="4" t="s">
        <v>1293</v>
      </c>
      <c r="G316" s="10" t="s">
        <v>1308</v>
      </c>
      <c r="H316" s="136">
        <v>86592720</v>
      </c>
      <c r="I316" s="5"/>
      <c r="J316" s="4" t="s">
        <v>3419</v>
      </c>
      <c r="K316" t="s">
        <v>1664</v>
      </c>
      <c r="L316" s="4" t="s">
        <v>4322</v>
      </c>
      <c r="M316" s="4" t="s">
        <v>3419</v>
      </c>
      <c r="N316" s="4">
        <v>1</v>
      </c>
      <c r="O316" s="6" t="s">
        <v>3431</v>
      </c>
      <c r="Q316" s="120">
        <v>0</v>
      </c>
      <c r="R316" t="s">
        <v>1664</v>
      </c>
      <c r="S316">
        <v>0</v>
      </c>
      <c r="T316"/>
      <c r="U316">
        <v>0</v>
      </c>
      <c r="V316"/>
      <c r="W316" t="s">
        <v>1664</v>
      </c>
      <c r="X316" t="s">
        <v>1664</v>
      </c>
      <c r="Y316" t="s">
        <v>1664</v>
      </c>
      <c r="Z316">
        <v>197800000</v>
      </c>
      <c r="AA316">
        <v>177600000</v>
      </c>
      <c r="AB316" t="s">
        <v>1664</v>
      </c>
      <c r="AC316" t="s">
        <v>3810</v>
      </c>
      <c r="AD316" t="s">
        <v>3477</v>
      </c>
      <c r="AE316">
        <v>4577184094.54</v>
      </c>
      <c r="AF316">
        <v>6942688378.6499996</v>
      </c>
      <c r="AG316" t="s">
        <v>1664</v>
      </c>
      <c r="AH316" t="s">
        <v>1664</v>
      </c>
      <c r="AI316" t="s">
        <v>1664</v>
      </c>
      <c r="AJ316">
        <v>5687130136.2999992</v>
      </c>
      <c r="AK316"/>
      <c r="AL316">
        <v>0</v>
      </c>
      <c r="AM316"/>
      <c r="AN316">
        <v>86592720</v>
      </c>
      <c r="AO316" t="s">
        <v>4013</v>
      </c>
      <c r="AP316" s="6">
        <v>4</v>
      </c>
    </row>
  </sheetData>
  <phoneticPr fontId="8" type="noConversion"/>
  <conditionalFormatting sqref="C2:AP316">
    <cfRule type="expression" dxfId="0" priority="340">
      <formula>#REF!="p"</formula>
    </cfRule>
  </conditionalFormatting>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6E5B1-507A-47B3-88A1-6648D540DFDB}">
  <sheetPr codeName="Feuil2"/>
  <dimension ref="A3:C15"/>
  <sheetViews>
    <sheetView workbookViewId="0"/>
  </sheetViews>
  <sheetFormatPr baseColWidth="10" defaultColWidth="11" defaultRowHeight="16"/>
  <cols>
    <col min="1" max="1" width="16" bestFit="1" customWidth="1"/>
    <col min="2" max="2" width="19" bestFit="1" customWidth="1"/>
    <col min="3" max="3" width="10.83203125" bestFit="1" customWidth="1"/>
    <col min="4" max="4" width="14" bestFit="1" customWidth="1"/>
    <col min="5" max="6" width="12" bestFit="1" customWidth="1"/>
    <col min="7" max="7" width="7" bestFit="1" customWidth="1"/>
    <col min="8" max="8" width="12" bestFit="1" customWidth="1"/>
    <col min="9" max="9" width="10" bestFit="1" customWidth="1"/>
    <col min="10" max="10" width="9" bestFit="1" customWidth="1"/>
    <col min="11" max="11" width="12" bestFit="1" customWidth="1"/>
    <col min="12" max="12" width="11" bestFit="1" customWidth="1"/>
    <col min="13" max="15" width="12" bestFit="1" customWidth="1"/>
    <col min="16" max="16" width="11" bestFit="1" customWidth="1"/>
    <col min="17" max="17" width="6" bestFit="1" customWidth="1"/>
    <col min="18" max="18" width="11" bestFit="1" customWidth="1"/>
    <col min="19" max="19" width="10" bestFit="1" customWidth="1"/>
    <col min="20" max="20" width="11" bestFit="1" customWidth="1"/>
    <col min="21" max="21" width="6" bestFit="1" customWidth="1"/>
    <col min="22" max="22" width="11" bestFit="1" customWidth="1"/>
    <col min="23" max="23" width="12" bestFit="1" customWidth="1"/>
    <col min="24" max="24" width="13" bestFit="1" customWidth="1"/>
    <col min="25" max="25" width="12" bestFit="1" customWidth="1"/>
    <col min="26" max="26" width="13" bestFit="1" customWidth="1"/>
    <col min="27" max="29" width="12" bestFit="1" customWidth="1"/>
    <col min="30" max="30" width="11" bestFit="1" customWidth="1"/>
    <col min="31" max="33" width="12" bestFit="1" customWidth="1"/>
    <col min="34" max="34" width="15" bestFit="1" customWidth="1"/>
    <col min="35" max="35" width="8" bestFit="1" customWidth="1"/>
    <col min="36" max="36" width="10" bestFit="1" customWidth="1"/>
    <col min="37" max="37" width="11" bestFit="1" customWidth="1"/>
    <col min="38" max="38" width="13" bestFit="1" customWidth="1"/>
    <col min="39" max="39" width="21" bestFit="1" customWidth="1"/>
    <col min="40" max="41" width="11" bestFit="1" customWidth="1"/>
    <col min="42" max="46" width="12" bestFit="1" customWidth="1"/>
    <col min="47" max="47" width="10" bestFit="1" customWidth="1"/>
    <col min="48" max="48" width="13" bestFit="1" customWidth="1"/>
    <col min="49" max="49" width="7" bestFit="1" customWidth="1"/>
    <col min="50" max="50" width="11" bestFit="1" customWidth="1"/>
    <col min="51" max="51" width="14" bestFit="1" customWidth="1"/>
    <col min="52" max="52" width="11" bestFit="1" customWidth="1"/>
    <col min="53" max="53" width="21" bestFit="1" customWidth="1"/>
    <col min="54" max="54" width="11" bestFit="1" customWidth="1"/>
    <col min="55" max="56" width="18" bestFit="1" customWidth="1"/>
    <col min="57" max="59" width="11" bestFit="1" customWidth="1"/>
    <col min="60" max="60" width="12" bestFit="1" customWidth="1"/>
    <col min="61" max="61" width="17" bestFit="1" customWidth="1"/>
    <col min="62" max="63" width="12" bestFit="1" customWidth="1"/>
    <col min="64" max="64" width="11" bestFit="1" customWidth="1"/>
    <col min="65" max="65" width="10" bestFit="1" customWidth="1"/>
    <col min="66" max="66" width="11" bestFit="1" customWidth="1"/>
    <col min="67" max="68" width="12" bestFit="1" customWidth="1"/>
    <col min="69" max="69" width="23" bestFit="1" customWidth="1"/>
    <col min="70" max="70" width="10" bestFit="1" customWidth="1"/>
    <col min="71" max="76" width="12" bestFit="1" customWidth="1"/>
    <col min="77" max="77" width="11" bestFit="1" customWidth="1"/>
    <col min="78" max="78" width="13" bestFit="1" customWidth="1"/>
    <col min="79" max="79" width="11" bestFit="1" customWidth="1"/>
    <col min="80" max="81" width="12" bestFit="1" customWidth="1"/>
    <col min="82" max="82" width="14" bestFit="1" customWidth="1"/>
    <col min="83" max="83" width="9" bestFit="1" customWidth="1"/>
    <col min="84" max="84" width="12" bestFit="1" customWidth="1"/>
    <col min="85" max="86" width="11" bestFit="1" customWidth="1"/>
    <col min="87" max="87" width="10" bestFit="1" customWidth="1"/>
    <col min="88" max="88" width="12" bestFit="1" customWidth="1"/>
    <col min="89" max="89" width="11" bestFit="1" customWidth="1"/>
    <col min="90" max="90" width="12" bestFit="1" customWidth="1"/>
    <col min="91" max="91" width="17" bestFit="1" customWidth="1"/>
    <col min="92" max="92" width="12" bestFit="1" customWidth="1"/>
    <col min="93" max="93" width="11" bestFit="1" customWidth="1"/>
    <col min="94" max="94" width="15" bestFit="1" customWidth="1"/>
    <col min="95" max="95" width="12" bestFit="1" customWidth="1"/>
    <col min="96" max="96" width="19" bestFit="1" customWidth="1"/>
    <col min="97" max="97" width="12" bestFit="1" customWidth="1"/>
    <col min="98" max="98" width="13" bestFit="1" customWidth="1"/>
    <col min="99" max="99" width="10" bestFit="1" customWidth="1"/>
    <col min="100" max="100" width="12" bestFit="1" customWidth="1"/>
    <col min="101" max="101" width="11" bestFit="1" customWidth="1"/>
    <col min="102" max="102" width="6" bestFit="1" customWidth="1"/>
    <col min="103" max="104" width="11" bestFit="1" customWidth="1"/>
    <col min="105" max="105" width="13" bestFit="1" customWidth="1"/>
    <col min="106" max="109" width="12" bestFit="1" customWidth="1"/>
    <col min="110" max="110" width="15" bestFit="1" customWidth="1"/>
    <col min="111" max="112" width="12" bestFit="1" customWidth="1"/>
    <col min="113" max="113" width="11" bestFit="1" customWidth="1"/>
    <col min="114" max="114" width="15" bestFit="1" customWidth="1"/>
    <col min="115" max="115" width="18" bestFit="1" customWidth="1"/>
    <col min="116" max="116" width="22" bestFit="1" customWidth="1"/>
    <col min="117" max="117" width="11" bestFit="1" customWidth="1"/>
    <col min="118" max="118" width="12" bestFit="1" customWidth="1"/>
    <col min="119" max="119" width="11" bestFit="1" customWidth="1"/>
    <col min="120" max="120" width="13" bestFit="1" customWidth="1"/>
    <col min="121" max="121" width="12" bestFit="1" customWidth="1"/>
    <col min="122" max="122" width="11" bestFit="1" customWidth="1"/>
    <col min="123" max="123" width="16" bestFit="1" customWidth="1"/>
    <col min="124" max="124" width="12" bestFit="1" customWidth="1"/>
    <col min="125" max="125" width="7" bestFit="1" customWidth="1"/>
    <col min="126" max="127" width="12" bestFit="1" customWidth="1"/>
    <col min="128" max="128" width="11" bestFit="1" customWidth="1"/>
    <col min="129" max="129" width="12" bestFit="1" customWidth="1"/>
    <col min="130" max="131" width="10" bestFit="1" customWidth="1"/>
    <col min="132" max="132" width="12" bestFit="1" customWidth="1"/>
    <col min="133" max="133" width="10" bestFit="1" customWidth="1"/>
    <col min="134" max="134" width="11" bestFit="1" customWidth="1"/>
    <col min="135" max="135" width="22" bestFit="1" customWidth="1"/>
    <col min="136" max="136" width="12" bestFit="1" customWidth="1"/>
    <col min="137" max="137" width="11" bestFit="1" customWidth="1"/>
    <col min="138" max="138" width="12" bestFit="1" customWidth="1"/>
    <col min="139" max="139" width="11" bestFit="1" customWidth="1"/>
    <col min="140" max="140" width="6" bestFit="1" customWidth="1"/>
    <col min="141" max="141" width="10" bestFit="1" customWidth="1"/>
    <col min="142" max="144" width="12" bestFit="1" customWidth="1"/>
    <col min="145" max="145" width="11" bestFit="1" customWidth="1"/>
    <col min="146" max="146" width="12" bestFit="1" customWidth="1"/>
    <col min="147" max="147" width="11" bestFit="1" customWidth="1"/>
    <col min="148" max="148" width="12" bestFit="1" customWidth="1"/>
    <col min="149" max="149" width="5" bestFit="1" customWidth="1"/>
    <col min="150" max="150" width="11" bestFit="1" customWidth="1"/>
    <col min="151" max="151" width="12" bestFit="1" customWidth="1"/>
    <col min="152" max="152" width="13" bestFit="1" customWidth="1"/>
    <col min="153" max="153" width="6" bestFit="1" customWidth="1"/>
    <col min="154" max="154" width="12" bestFit="1" customWidth="1"/>
    <col min="155" max="155" width="13" bestFit="1" customWidth="1"/>
    <col min="156" max="156" width="12" bestFit="1" customWidth="1"/>
    <col min="157" max="157" width="6" bestFit="1" customWidth="1"/>
    <col min="158" max="158" width="12" bestFit="1" customWidth="1"/>
  </cols>
  <sheetData>
    <row r="3" spans="1:3">
      <c r="A3" s="139" t="s">
        <v>12</v>
      </c>
      <c r="B3" s="139" t="s">
        <v>0</v>
      </c>
    </row>
    <row r="4" spans="1:3">
      <c r="A4" s="139" t="s">
        <v>6</v>
      </c>
      <c r="B4" t="s">
        <v>1</v>
      </c>
      <c r="C4" t="s">
        <v>11</v>
      </c>
    </row>
    <row r="5" spans="1:3">
      <c r="A5" s="138">
        <v>2014</v>
      </c>
      <c r="B5">
        <v>126800000</v>
      </c>
      <c r="C5">
        <v>126800000</v>
      </c>
    </row>
    <row r="6" spans="1:3">
      <c r="A6" s="138">
        <v>2015</v>
      </c>
      <c r="B6">
        <v>269500000</v>
      </c>
      <c r="C6">
        <v>269500000</v>
      </c>
    </row>
    <row r="7" spans="1:3">
      <c r="A7" s="138">
        <v>2016</v>
      </c>
      <c r="B7">
        <v>151200000</v>
      </c>
      <c r="C7">
        <v>151200000</v>
      </c>
    </row>
    <row r="8" spans="1:3">
      <c r="A8" s="138">
        <v>2017</v>
      </c>
      <c r="B8">
        <v>285700000</v>
      </c>
      <c r="C8">
        <v>285700000</v>
      </c>
    </row>
    <row r="9" spans="1:3">
      <c r="A9" s="138">
        <v>2018</v>
      </c>
      <c r="B9">
        <v>555800000</v>
      </c>
      <c r="C9">
        <v>555800000</v>
      </c>
    </row>
    <row r="10" spans="1:3">
      <c r="A10" s="138">
        <v>2019</v>
      </c>
      <c r="B10">
        <v>708500000</v>
      </c>
      <c r="C10">
        <v>708500000</v>
      </c>
    </row>
    <row r="11" spans="1:3">
      <c r="A11" s="138">
        <v>2020</v>
      </c>
      <c r="B11">
        <v>489000000</v>
      </c>
      <c r="C11">
        <v>489000000</v>
      </c>
    </row>
    <row r="12" spans="1:3">
      <c r="A12" s="138">
        <v>2021</v>
      </c>
      <c r="B12">
        <v>392700000</v>
      </c>
      <c r="C12">
        <v>392700000</v>
      </c>
    </row>
    <row r="13" spans="1:3">
      <c r="A13" s="138">
        <v>2022</v>
      </c>
      <c r="B13">
        <v>520513000</v>
      </c>
      <c r="C13">
        <v>520513000</v>
      </c>
    </row>
    <row r="14" spans="1:3">
      <c r="A14" s="138">
        <v>2023</v>
      </c>
    </row>
    <row r="15" spans="1:3">
      <c r="A15" s="138" t="s">
        <v>11</v>
      </c>
      <c r="B15">
        <v>3499713000</v>
      </c>
      <c r="C15">
        <v>3499713000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06B44-7C73-452A-BAE8-92A6C7C45177}">
  <sheetPr codeName="Feuil3"/>
  <dimension ref="A1"/>
  <sheetViews>
    <sheetView workbookViewId="0"/>
  </sheetViews>
  <sheetFormatPr baseColWidth="10" defaultColWidth="11" defaultRowHeight="16"/>
  <cols>
    <col min="1" max="1" width="15" customWidth="1"/>
    <col min="2" max="2" width="6" bestFit="1" customWidth="1"/>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AR4651"/>
  <sheetViews>
    <sheetView showGridLines="0" tabSelected="1" zoomScale="120" zoomScaleNormal="120" workbookViewId="0">
      <pane xSplit="4" ySplit="2" topLeftCell="E3" activePane="bottomRight" state="frozen"/>
      <selection pane="topRight" activeCell="E1" sqref="E1"/>
      <selection pane="bottomLeft" activeCell="A3" sqref="A3"/>
      <selection pane="bottomRight" activeCell="G4625" sqref="G4625"/>
    </sheetView>
  </sheetViews>
  <sheetFormatPr baseColWidth="10" defaultColWidth="11" defaultRowHeight="20.25" customHeight="1"/>
  <cols>
    <col min="1" max="1" width="20" style="216" customWidth="1"/>
    <col min="2" max="2" width="16.1640625" style="216" customWidth="1"/>
    <col min="3" max="4" width="10.1640625" style="178" customWidth="1"/>
    <col min="5" max="5" width="9.83203125" style="178" customWidth="1"/>
    <col min="6" max="6" width="15.1640625" style="178" customWidth="1"/>
    <col min="7" max="7" width="24" style="179" customWidth="1"/>
    <col min="8" max="8" width="24" style="180" customWidth="1"/>
    <col min="9" max="12" width="24" style="179" customWidth="1"/>
    <col min="13" max="13" width="17" style="179" customWidth="1"/>
    <col min="14" max="15" width="15" style="179" customWidth="1"/>
    <col min="16" max="16" width="18" style="179" customWidth="1"/>
    <col min="17" max="17" width="21" style="179" customWidth="1"/>
    <col min="18" max="19" width="18" style="179" customWidth="1"/>
    <col min="20" max="20" width="22.83203125" style="179" customWidth="1"/>
    <col min="21" max="22" width="18" style="178" customWidth="1"/>
    <col min="23" max="23" width="19" style="179" customWidth="1"/>
    <col min="24" max="24" width="16.1640625" style="182" customWidth="1"/>
    <col min="25" max="25" width="12.1640625" style="179" customWidth="1"/>
    <col min="26" max="26" width="15.1640625" style="182" customWidth="1"/>
    <col min="27" max="27" width="19.1640625" style="179" customWidth="1"/>
    <col min="28" max="28" width="30.1640625" style="178" customWidth="1"/>
    <col min="29" max="29" width="223" style="177" customWidth="1"/>
    <col min="30" max="16384" width="11" style="177"/>
  </cols>
  <sheetData>
    <row r="1" spans="1:29" ht="20.25" customHeight="1">
      <c r="A1" s="176"/>
      <c r="Q1" s="283"/>
      <c r="R1" s="284"/>
      <c r="T1" s="178"/>
      <c r="V1" s="181"/>
    </row>
    <row r="2" spans="1:29" s="184" customFormat="1" ht="20.25" customHeight="1">
      <c r="A2" s="183" t="s">
        <v>13</v>
      </c>
      <c r="B2" s="183" t="s">
        <v>14</v>
      </c>
      <c r="C2" s="184" t="s">
        <v>15</v>
      </c>
      <c r="D2" s="184" t="s">
        <v>16</v>
      </c>
      <c r="E2" s="184" t="s">
        <v>17</v>
      </c>
      <c r="F2" s="184" t="s">
        <v>18</v>
      </c>
      <c r="G2" s="184" t="s">
        <v>19</v>
      </c>
      <c r="H2" s="184" t="s">
        <v>20</v>
      </c>
      <c r="I2" s="184" t="s">
        <v>21</v>
      </c>
      <c r="J2" s="184" t="s">
        <v>22</v>
      </c>
      <c r="K2" s="184" t="s">
        <v>23</v>
      </c>
      <c r="L2" s="184" t="s">
        <v>24</v>
      </c>
      <c r="M2" s="185" t="s">
        <v>25</v>
      </c>
      <c r="N2" s="184" t="s">
        <v>26</v>
      </c>
      <c r="O2" s="184" t="s">
        <v>27</v>
      </c>
      <c r="P2" s="184" t="s">
        <v>28</v>
      </c>
      <c r="Q2" s="184" t="s">
        <v>29</v>
      </c>
      <c r="R2" s="285" t="s">
        <v>30</v>
      </c>
      <c r="S2" s="185" t="s">
        <v>31</v>
      </c>
      <c r="T2" s="282" t="s">
        <v>32</v>
      </c>
      <c r="U2" s="184" t="s">
        <v>33</v>
      </c>
      <c r="V2" s="184" t="s">
        <v>34</v>
      </c>
      <c r="W2" s="184" t="s">
        <v>35</v>
      </c>
      <c r="X2" s="186" t="s">
        <v>36</v>
      </c>
      <c r="Y2" s="184" t="s">
        <v>37</v>
      </c>
      <c r="Z2" s="186" t="s">
        <v>38</v>
      </c>
      <c r="AA2" s="184" t="s">
        <v>39</v>
      </c>
      <c r="AB2" s="184" t="s">
        <v>40</v>
      </c>
      <c r="AC2" s="183" t="s">
        <v>41</v>
      </c>
    </row>
    <row r="3" spans="1:29" s="184" customFormat="1" ht="20.25" customHeight="1">
      <c r="A3" s="217" t="s">
        <v>45</v>
      </c>
      <c r="B3" s="216" t="s">
        <v>46</v>
      </c>
      <c r="C3" s="178" t="s">
        <v>47</v>
      </c>
      <c r="D3" s="178" t="s">
        <v>48</v>
      </c>
      <c r="E3" s="187">
        <v>4.88</v>
      </c>
      <c r="F3" s="178">
        <v>2025</v>
      </c>
      <c r="G3" s="188">
        <f>G5*1.1</f>
        <v>10239900000</v>
      </c>
      <c r="H3" s="188">
        <f>Tableau3[[#This Row],[Chiffre d''affaires]]*0.16</f>
        <v>1638384000</v>
      </c>
      <c r="I3" s="188">
        <f>Tableau3[[#This Row],[Chiffre d''affaires]]*0.075</f>
        <v>767992500</v>
      </c>
      <c r="J3" s="188">
        <f>Tableau3[[#This Row],[Chiffre d''affaires]]*0.056</f>
        <v>573434400</v>
      </c>
      <c r="K3" s="188">
        <v>-380000000</v>
      </c>
      <c r="L3" s="188">
        <v>3400000000</v>
      </c>
      <c r="M3" s="194">
        <f>L3/P3</f>
        <v>4.6061122467367959</v>
      </c>
      <c r="N3" s="190">
        <f>J3/L5</f>
        <v>0.19288072653884963</v>
      </c>
      <c r="O3" s="190">
        <f>(I3*0.75)/(K5+L5)</f>
        <v>0.20630171024355301</v>
      </c>
      <c r="P3" s="188">
        <v>738149619</v>
      </c>
      <c r="Q3" s="188">
        <f>P3*E3</f>
        <v>3602170140.7199998</v>
      </c>
      <c r="R3" s="195">
        <f>Q3/L3</f>
        <v>1.0594618060941177</v>
      </c>
      <c r="S3" s="187">
        <f>(Q3+K3)/I3</f>
        <v>4.1955750098080387</v>
      </c>
      <c r="T3" s="180">
        <v>400000000</v>
      </c>
      <c r="U3" s="189">
        <f>IFERROR(IF(Tableau3[[#This Row],[Dettes]]=0,"",(Tableau3[[#This Row],[Dettes]]/Tableau3[[#This Row],[EBE]])),"")</f>
        <v>-0.2319358587486206</v>
      </c>
      <c r="V3" s="190" t="str">
        <f>IFERROR(Tableau3[[#This Row],[Fonds propres]]/Tableau3[[#This Row],[Total Bilan]],"")</f>
        <v/>
      </c>
      <c r="W3" s="180"/>
      <c r="X3" s="191" t="s">
        <v>49</v>
      </c>
      <c r="Y3" s="180">
        <v>16697</v>
      </c>
      <c r="Z3" s="192">
        <f>IFERROR(Tableau3[[#This Row],[Chiffre d''affaires]]/Tableau3[[#This Row],[Salariés]],"")</f>
        <v>613277.83434149844</v>
      </c>
      <c r="AA3" s="178" t="s">
        <v>50</v>
      </c>
      <c r="AB3" s="178"/>
      <c r="AC3" s="177" t="s">
        <v>51</v>
      </c>
    </row>
    <row r="4" spans="1:29" s="184" customFormat="1" ht="20.25" customHeight="1">
      <c r="A4" s="217"/>
      <c r="B4" s="278"/>
      <c r="C4" s="193"/>
      <c r="D4" s="193"/>
      <c r="E4" s="185"/>
      <c r="F4" s="185"/>
      <c r="G4" s="202">
        <f>(G3/G5)-1</f>
        <v>0.10000000000000009</v>
      </c>
      <c r="H4" s="203">
        <f>(H3/H5)-1</f>
        <v>0.1985252377468909</v>
      </c>
      <c r="I4" s="203">
        <f>(I3/I5)-1</f>
        <v>0.28641959798994976</v>
      </c>
      <c r="J4" s="203">
        <f>(J3/J5)-1</f>
        <v>0.27998750000000006</v>
      </c>
      <c r="K4" s="185"/>
      <c r="L4" s="185"/>
      <c r="M4" s="185"/>
      <c r="N4" s="185"/>
      <c r="O4" s="185"/>
      <c r="P4" s="185"/>
      <c r="Q4" s="185"/>
      <c r="R4" s="185"/>
      <c r="S4" s="185"/>
      <c r="T4" s="180"/>
      <c r="U4" s="189" t="str">
        <f>IFERROR(IF(Tableau3[[#This Row],[Dettes]]=0,"",(Tableau3[[#This Row],[Dettes]]/Tableau3[[#This Row],[EBE]])),"")</f>
        <v/>
      </c>
      <c r="V4" s="190" t="str">
        <f>IFERROR(Tableau3[[#This Row],[Fonds propres]]/Tableau3[[#This Row],[Total Bilan]],"")</f>
        <v/>
      </c>
      <c r="W4" s="180"/>
      <c r="X4" s="186"/>
      <c r="Y4" s="180"/>
      <c r="Z4" s="192" t="str">
        <f>IFERROR(Tableau3[[#This Row],[Chiffre d''affaires]]/Tableau3[[#This Row],[Salariés]],"")</f>
        <v/>
      </c>
      <c r="AA4" s="178" t="s">
        <v>53</v>
      </c>
      <c r="AB4" s="178"/>
      <c r="AC4" s="177" t="s">
        <v>54</v>
      </c>
    </row>
    <row r="5" spans="1:29" s="198" customFormat="1" ht="20.25" customHeight="1">
      <c r="A5" s="217"/>
      <c r="B5" s="216"/>
      <c r="C5" s="178"/>
      <c r="D5" s="178"/>
      <c r="E5" s="187">
        <v>5.6</v>
      </c>
      <c r="F5" s="178">
        <v>2024</v>
      </c>
      <c r="G5" s="188">
        <v>9309000000</v>
      </c>
      <c r="H5" s="188">
        <v>1367000000</v>
      </c>
      <c r="I5" s="188">
        <v>597000000</v>
      </c>
      <c r="J5" s="188">
        <v>448000000</v>
      </c>
      <c r="K5" s="188">
        <v>-181000000</v>
      </c>
      <c r="L5" s="188">
        <v>2973000000</v>
      </c>
      <c r="M5" s="194">
        <f>L5/P5</f>
        <v>4.0276387381024987</v>
      </c>
      <c r="N5" s="190">
        <f>J5/L7</f>
        <v>0.16074632221026194</v>
      </c>
      <c r="O5" s="190">
        <f>(I5*0.75)/(K7+L7)</f>
        <v>0.16305535324107792</v>
      </c>
      <c r="P5" s="188">
        <v>738149619</v>
      </c>
      <c r="Q5" s="188">
        <f>P5*E5</f>
        <v>4133637866.3999996</v>
      </c>
      <c r="R5" s="195">
        <f>Q5/L5</f>
        <v>1.3903928242179615</v>
      </c>
      <c r="S5" s="187">
        <f>(Q5+K5)/I5</f>
        <v>6.6208339470686761</v>
      </c>
      <c r="T5" s="180">
        <v>308000000</v>
      </c>
      <c r="U5" s="189">
        <f>IFERROR(IF(Tableau3[[#This Row],[Dettes]]=0,"",(Tableau3[[#This Row],[Dettes]]/Tableau3[[#This Row],[EBE]])),"")</f>
        <v>-0.13240673006583761</v>
      </c>
      <c r="V5" s="190">
        <f>IFERROR(Tableau3[[#This Row],[Fonds propres]]/Tableau3[[#This Row],[Total Bilan]],"")</f>
        <v>0.26941549614861804</v>
      </c>
      <c r="W5" s="180">
        <v>11035000000</v>
      </c>
      <c r="X5" s="196"/>
      <c r="Y5" s="180">
        <v>16697</v>
      </c>
      <c r="Z5" s="192">
        <f>IFERROR(Tableau3[[#This Row],[Chiffre d''affaires]]/Tableau3[[#This Row],[Salariés]],"")</f>
        <v>557525.30394681683</v>
      </c>
      <c r="AA5" s="197" t="s">
        <v>55</v>
      </c>
      <c r="AC5" s="177" t="s">
        <v>56</v>
      </c>
    </row>
    <row r="6" spans="1:29" s="198" customFormat="1" ht="20.25" customHeight="1">
      <c r="A6" s="200"/>
      <c r="B6" s="279"/>
      <c r="C6" s="201"/>
      <c r="D6" s="201"/>
      <c r="G6" s="202">
        <f>(G5/G7)-1</f>
        <v>0.13927303879574104</v>
      </c>
      <c r="H6" s="203">
        <f>(H5/H7)-1</f>
        <v>0.20973451327433623</v>
      </c>
      <c r="I6" s="203">
        <f>(I5/I7)-1</f>
        <v>0.25420168067226889</v>
      </c>
      <c r="J6" s="203">
        <f>(J5/J7)-1</f>
        <v>0.31378299120234598</v>
      </c>
      <c r="U6" s="198" t="str">
        <f>IFERROR(IF(Tableau3[[#This Row],[Dettes]]=0,"",(Tableau3[[#This Row],[Dettes]]/Tableau3[[#This Row],[EBE]])),"")</f>
        <v/>
      </c>
      <c r="V6" s="198" t="str">
        <f>IFERROR(Tableau3[[#This Row],[Fonds propres]]/Tableau3[[#This Row],[Total Bilan]],"")</f>
        <v/>
      </c>
      <c r="X6" s="196"/>
      <c r="Z6" s="196" t="str">
        <f>IFERROR(Tableau3[[#This Row],[Chiffre d''affaires]]/Tableau3[[#This Row],[Salariés]],"")</f>
        <v/>
      </c>
      <c r="AC6" s="177" t="s">
        <v>57</v>
      </c>
    </row>
    <row r="7" spans="1:29" s="204" customFormat="1" ht="20.25" customHeight="1">
      <c r="A7" s="217"/>
      <c r="B7" s="216"/>
      <c r="C7" s="178"/>
      <c r="D7" s="178"/>
      <c r="E7" s="187">
        <v>5.0999999999999996</v>
      </c>
      <c r="F7" s="178">
        <v>2023</v>
      </c>
      <c r="G7" s="188">
        <v>8171000000</v>
      </c>
      <c r="H7" s="188">
        <v>1130000000</v>
      </c>
      <c r="I7" s="188">
        <v>476000000</v>
      </c>
      <c r="J7" s="188">
        <v>341000000</v>
      </c>
      <c r="K7" s="188">
        <v>-41000000</v>
      </c>
      <c r="L7" s="188">
        <v>2787000000</v>
      </c>
      <c r="M7" s="194">
        <f>L7/P7</f>
        <v>3.7756573034280736</v>
      </c>
      <c r="N7" s="190">
        <f>J7/L9</f>
        <v>0.13462297670746151</v>
      </c>
      <c r="O7" s="190">
        <f>(I7*0.75)/(K9+L9)</f>
        <v>0.11145800811738994</v>
      </c>
      <c r="P7" s="188">
        <v>738149619</v>
      </c>
      <c r="Q7" s="188">
        <f>P7*E7</f>
        <v>3764563056.8999996</v>
      </c>
      <c r="R7" s="195">
        <f>Q7/L7</f>
        <v>1.3507581833153928</v>
      </c>
      <c r="S7" s="187">
        <f>(Q7+K7)/I7</f>
        <v>7.8226114640756297</v>
      </c>
      <c r="T7" s="180">
        <v>300000000</v>
      </c>
      <c r="U7" s="189">
        <f>IFERROR(IF(Tableau3[[#This Row],[Dettes]]=0,"",(Tableau3[[#This Row],[Dettes]]/Tableau3[[#This Row],[EBE]])),"")</f>
        <v>-3.6283185840707964E-2</v>
      </c>
      <c r="V7" s="190">
        <f>IFERROR(Tableau3[[#This Row],[Fonds propres]]/Tableau3[[#This Row],[Total Bilan]],"")</f>
        <v>0.28320292653185652</v>
      </c>
      <c r="W7" s="180">
        <f>5711000000+4130000000</f>
        <v>9841000000</v>
      </c>
      <c r="X7" s="191"/>
      <c r="Y7" s="180">
        <v>14000</v>
      </c>
      <c r="Z7" s="192">
        <f>IFERROR(Tableau3[[#This Row],[Chiffre d''affaires]]/Tableau3[[#This Row],[Salariés]],"")</f>
        <v>583642.85714285716</v>
      </c>
      <c r="AB7" s="178"/>
      <c r="AC7" s="177" t="s">
        <v>58</v>
      </c>
    </row>
    <row r="8" spans="1:29" s="204" customFormat="1" ht="20.25" customHeight="1">
      <c r="A8" s="217"/>
      <c r="B8" s="216"/>
      <c r="C8" s="178"/>
      <c r="D8" s="178"/>
      <c r="G8" s="202">
        <f>(G7/G9)-1</f>
        <v>0.41636332119951458</v>
      </c>
      <c r="H8" s="203">
        <f>(H7/H9)-1</f>
        <v>0.9859402460456943</v>
      </c>
      <c r="I8" s="203">
        <f>(I7/I9)-1</f>
        <v>157.66666666666666</v>
      </c>
      <c r="J8" s="203">
        <f>(J7/J9)-1</f>
        <v>-3.0177514792899407</v>
      </c>
      <c r="S8" s="205"/>
      <c r="T8" s="180"/>
      <c r="U8" s="189" t="str">
        <f>IFERROR(IF(Tableau3[[#This Row],[Dettes]]=0,"",(Tableau3[[#This Row],[Dettes]]/Tableau3[[#This Row],[EBE]])),"")</f>
        <v/>
      </c>
      <c r="V8" s="190" t="str">
        <f>IFERROR(Tableau3[[#This Row],[Fonds propres]]/Tableau3[[#This Row],[Total Bilan]],"")</f>
        <v/>
      </c>
      <c r="W8" s="180"/>
      <c r="X8" s="206"/>
      <c r="Y8" s="180"/>
      <c r="Z8" s="192" t="str">
        <f>IFERROR(Tableau3[[#This Row],[Chiffre d''affaires]]/Tableau3[[#This Row],[Salariés]],"")</f>
        <v/>
      </c>
      <c r="AB8" s="178"/>
      <c r="AC8" s="177" t="s">
        <v>4518</v>
      </c>
    </row>
    <row r="9" spans="1:29" ht="20.25" customHeight="1">
      <c r="A9" s="217"/>
      <c r="E9" s="187">
        <v>3.246</v>
      </c>
      <c r="F9" s="178">
        <v>2022</v>
      </c>
      <c r="G9" s="188">
        <v>5769000000</v>
      </c>
      <c r="H9" s="188">
        <v>569000000</v>
      </c>
      <c r="I9" s="188">
        <v>3000000</v>
      </c>
      <c r="J9" s="188">
        <v>-169000000</v>
      </c>
      <c r="K9" s="188">
        <v>670000000</v>
      </c>
      <c r="L9" s="188">
        <v>2533000000</v>
      </c>
      <c r="M9" s="194">
        <f>L9/P9</f>
        <v>3.431553623818913</v>
      </c>
      <c r="N9" s="190">
        <f>J9/L11</f>
        <v>-6.4039408866995079E-2</v>
      </c>
      <c r="O9" s="190">
        <f>(I9*0.75)/(K11+L11)</f>
        <v>6.3398140321217246E-4</v>
      </c>
      <c r="P9" s="188">
        <v>738149619</v>
      </c>
      <c r="Q9" s="188">
        <f>P9*E9</f>
        <v>2396033663.2740002</v>
      </c>
      <c r="R9" s="195">
        <f>Q9/L9</f>
        <v>0.94592722592735889</v>
      </c>
      <c r="S9" s="187">
        <f>(Q9+K9)/I9</f>
        <v>1022.0112210913334</v>
      </c>
      <c r="T9" s="180">
        <f>(776000000-569000000)</f>
        <v>207000000</v>
      </c>
      <c r="U9" s="189">
        <f>IFERROR(IF(Tableau3[[#This Row],[Dettes]]=0,"",(Tableau3[[#This Row],[Dettes]]/Tableau3[[#This Row],[EBE]])),"")</f>
        <v>1.1775043936731107</v>
      </c>
      <c r="V9" s="190" t="str">
        <f>IFERROR(Tableau3[[#This Row],[Fonds propres]]/Tableau3[[#This Row],[Total Bilan]],"")</f>
        <v/>
      </c>
      <c r="W9" s="180"/>
      <c r="Y9" s="180">
        <v>13951</v>
      </c>
      <c r="Z9" s="192">
        <f>IFERROR(Tableau3[[#This Row],[Chiffre d''affaires]]/Tableau3[[#This Row],[Salariés]],"")</f>
        <v>413518.74417604471</v>
      </c>
      <c r="AB9" s="197"/>
      <c r="AC9" s="177" t="s">
        <v>59</v>
      </c>
    </row>
    <row r="10" spans="1:29" ht="20.25" customHeight="1">
      <c r="A10" s="217"/>
      <c r="G10" s="202">
        <f>(G9/G11)-1</f>
        <v>2.9567901234567899</v>
      </c>
      <c r="H10" s="203">
        <f>(H9/H11)-1</f>
        <v>-2.0326678765880217</v>
      </c>
      <c r="I10" s="203">
        <f>(I9/I11)-1</f>
        <v>-1.0028957528957529</v>
      </c>
      <c r="J10" s="203">
        <f>(J9/J11)-1</f>
        <v>-0.80303030303030298</v>
      </c>
      <c r="K10" s="178"/>
      <c r="L10" s="178"/>
      <c r="M10" s="178"/>
      <c r="N10" s="178"/>
      <c r="O10" s="178"/>
      <c r="P10" s="178"/>
      <c r="Q10" s="178"/>
      <c r="R10" s="178"/>
      <c r="S10" s="187"/>
      <c r="T10" s="180"/>
      <c r="U10" s="189" t="str">
        <f>IFERROR(IF(Tableau3[[#This Row],[Dettes]]=0,"",(Tableau3[[#This Row],[Dettes]]/Tableau3[[#This Row],[EBE]])),"")</f>
        <v/>
      </c>
      <c r="V10" s="190" t="str">
        <f>IFERROR(Tableau3[[#This Row],[Fonds propres]]/Tableau3[[#This Row],[Total Bilan]],"")</f>
        <v/>
      </c>
      <c r="W10" s="180"/>
      <c r="Y10" s="180"/>
      <c r="Z10" s="192" t="str">
        <f>IFERROR(Tableau3[[#This Row],[Chiffre d''affaires]]/Tableau3[[#This Row],[Salariés]],"")</f>
        <v/>
      </c>
      <c r="AC10" s="177" t="s">
        <v>60</v>
      </c>
    </row>
    <row r="11" spans="1:29" ht="20.25" customHeight="1">
      <c r="A11" s="217"/>
      <c r="E11" s="187">
        <v>5.56</v>
      </c>
      <c r="F11" s="178">
        <v>2021</v>
      </c>
      <c r="G11" s="188">
        <v>1458000000</v>
      </c>
      <c r="H11" s="188">
        <v>-551000000</v>
      </c>
      <c r="I11" s="188">
        <v>-1036000000</v>
      </c>
      <c r="J11" s="188">
        <v>-858000000</v>
      </c>
      <c r="K11" s="188">
        <v>910000000</v>
      </c>
      <c r="L11" s="188">
        <v>2639000000</v>
      </c>
      <c r="M11" s="194">
        <f>L11/P11</f>
        <v>3.5751559468054133</v>
      </c>
      <c r="N11" s="190">
        <f>J11/L13</f>
        <v>-0.4518167456556082</v>
      </c>
      <c r="O11" s="190">
        <f>(I11*0.75)/(K13+L13)</f>
        <v>-0.25694444444444442</v>
      </c>
      <c r="P11" s="188">
        <f>P13+301260394</f>
        <v>738149619</v>
      </c>
      <c r="Q11" s="188">
        <f>P11*E11</f>
        <v>4104111881.6399999</v>
      </c>
      <c r="R11" s="195">
        <f>Q11/L11</f>
        <v>1.5551769161197422</v>
      </c>
      <c r="S11" s="187">
        <f>(Q11+K11)/I11</f>
        <v>-4.8398763336293431</v>
      </c>
      <c r="T11" s="180">
        <f>(-1035000000+719000000)</f>
        <v>-316000000</v>
      </c>
      <c r="U11" s="189">
        <f>IFERROR(IF(Tableau3[[#This Row],[Dettes]]=0,"",(Tableau3[[#This Row],[Dettes]]/Tableau3[[#This Row],[EBE]])),"")</f>
        <v>-1.6515426497277677</v>
      </c>
      <c r="V11" s="190" t="str">
        <f>IFERROR(Tableau3[[#This Row],[Fonds propres]]/Tableau3[[#This Row],[Total Bilan]],"")</f>
        <v/>
      </c>
      <c r="W11" s="180"/>
      <c r="Y11" s="180">
        <v>13689</v>
      </c>
      <c r="Z11" s="192">
        <f>G11/Tableau3[[#This Row],[Salariés]]</f>
        <v>106508.87573964497</v>
      </c>
      <c r="AC11" s="177" t="s">
        <v>61</v>
      </c>
    </row>
    <row r="12" spans="1:29" ht="20.25" customHeight="1">
      <c r="A12" s="217"/>
      <c r="G12" s="202">
        <f>(G11/G13)-1</f>
        <v>-0.51545363908275177</v>
      </c>
      <c r="H12" s="203">
        <f>(H11/H13)-1</f>
        <v>1.0183150183150182</v>
      </c>
      <c r="I12" s="203">
        <f>(I11/I13)-1</f>
        <v>0.33333333333333326</v>
      </c>
      <c r="J12" s="203">
        <f>(J11/J13)-1</f>
        <v>-0.32600157109190886</v>
      </c>
      <c r="K12" s="178"/>
      <c r="L12" s="178"/>
      <c r="M12" s="178"/>
      <c r="N12" s="178"/>
      <c r="O12" s="178"/>
      <c r="P12" s="178"/>
      <c r="Q12" s="178"/>
      <c r="R12" s="178"/>
      <c r="S12" s="187"/>
      <c r="T12" s="180"/>
      <c r="U12" s="189" t="str">
        <f>IFERROR(IF(Tableau3[[#This Row],[Dettes]]=0,"",(Tableau3[[#This Row],[Dettes]]/Tableau3[[#This Row],[EBE]])),"")</f>
        <v/>
      </c>
      <c r="V12" s="190" t="str">
        <f>IFERROR(Tableau3[[#This Row],[Fonds propres]]/Tableau3[[#This Row],[Total Bilan]],"")</f>
        <v/>
      </c>
      <c r="W12" s="180"/>
      <c r="Y12" s="180"/>
      <c r="Z12" s="192" t="str">
        <f>IFERROR(Tableau3[[#This Row],[Chiffre d''affaires]]/Tableau3[[#This Row],[Salariés]],"")</f>
        <v/>
      </c>
      <c r="AA12" s="207"/>
      <c r="AB12" s="207"/>
      <c r="AC12" s="177" t="s">
        <v>62</v>
      </c>
    </row>
    <row r="13" spans="1:29" ht="20.25" customHeight="1">
      <c r="A13" s="217"/>
      <c r="E13" s="187">
        <v>8.3000000000000007</v>
      </c>
      <c r="F13" s="178">
        <v>2020</v>
      </c>
      <c r="G13" s="188">
        <v>3009000000</v>
      </c>
      <c r="H13" s="188">
        <v>-273000000</v>
      </c>
      <c r="I13" s="188">
        <v>-777000000</v>
      </c>
      <c r="J13" s="188">
        <v>-1273000000</v>
      </c>
      <c r="K13" s="188">
        <v>1125000000</v>
      </c>
      <c r="L13" s="188">
        <v>1899000000</v>
      </c>
      <c r="M13" s="194">
        <f>L13/P13</f>
        <v>4.3466395858126283</v>
      </c>
      <c r="N13" s="190">
        <f>J13/L15</f>
        <v>-0.42646566164154104</v>
      </c>
      <c r="O13" s="190">
        <f>(I13*0.75)/(K15+L15)</f>
        <v>-0.17600422832980972</v>
      </c>
      <c r="P13" s="188">
        <v>436889225</v>
      </c>
      <c r="Q13" s="188">
        <f>P13*E13</f>
        <v>3626180567.5000005</v>
      </c>
      <c r="R13" s="195">
        <f>Q13/L13</f>
        <v>1.90952109926277</v>
      </c>
      <c r="S13" s="187">
        <f>(Q13+K13)/I13</f>
        <v>-6.1147755051480051</v>
      </c>
      <c r="T13" s="180"/>
      <c r="U13" s="189">
        <f>IFERROR(IF(Tableau3[[#This Row],[Dettes]]=0,"",(Tableau3[[#This Row],[Dettes]]/Tableau3[[#This Row],[EBE]])),"")</f>
        <v>-4.1208791208791204</v>
      </c>
      <c r="V13" s="190" t="str">
        <f>IFERROR(Tableau3[[#This Row],[Fonds propres]]/Tableau3[[#This Row],[Total Bilan]],"")</f>
        <v/>
      </c>
      <c r="W13" s="180"/>
      <c r="X13" s="191"/>
      <c r="Y13" s="180">
        <v>13000</v>
      </c>
      <c r="Z13" s="192">
        <f>IFERROR(Tableau3[[#This Row],[Chiffre d''affaires]]/Tableau3[[#This Row],[Salariés]],"")</f>
        <v>231461.53846153847</v>
      </c>
      <c r="AA13" s="197"/>
      <c r="AB13" s="197"/>
      <c r="AC13" s="177" t="s">
        <v>63</v>
      </c>
    </row>
    <row r="14" spans="1:29" ht="20.25" customHeight="1">
      <c r="A14" s="217"/>
      <c r="E14" s="187"/>
      <c r="G14" s="202">
        <f>(G13/G15)-1</f>
        <v>-0.5287392325763508</v>
      </c>
      <c r="H14" s="203">
        <f>(H13/H15)-1</f>
        <v>-1.2814432989690721</v>
      </c>
      <c r="I14" s="203">
        <f>(I13/I15)-1</f>
        <v>-2.6673819742489271</v>
      </c>
      <c r="J14" s="203">
        <f>(J13/J15)-1</f>
        <v>-4.6475644699140402</v>
      </c>
      <c r="K14" s="178"/>
      <c r="L14" s="178"/>
      <c r="M14" s="178"/>
      <c r="N14" s="178"/>
      <c r="O14" s="178"/>
      <c r="P14" s="178"/>
      <c r="Q14" s="178"/>
      <c r="R14" s="178"/>
      <c r="S14" s="187"/>
      <c r="T14" s="180"/>
      <c r="U14" s="189" t="str">
        <f>IFERROR(IF(Tableau3[[#This Row],[Dettes]]=0,"",(Tableau3[[#This Row],[Dettes]]/Tableau3[[#This Row],[EBE]])),"")</f>
        <v/>
      </c>
      <c r="V14" s="190" t="str">
        <f>IFERROR(Tableau3[[#This Row],[Fonds propres]]/Tableau3[[#This Row],[Total Bilan]],"")</f>
        <v/>
      </c>
      <c r="W14" s="180"/>
      <c r="Y14" s="180"/>
      <c r="Z14" s="192"/>
      <c r="AA14" s="178"/>
      <c r="AC14" s="177" t="s">
        <v>64</v>
      </c>
    </row>
    <row r="15" spans="1:29" ht="20.25" customHeight="1">
      <c r="A15" s="217"/>
      <c r="E15" s="187">
        <v>13.3</v>
      </c>
      <c r="F15" s="178">
        <v>2019</v>
      </c>
      <c r="G15" s="188">
        <v>6385000000</v>
      </c>
      <c r="H15" s="188">
        <v>970000000</v>
      </c>
      <c r="I15" s="188">
        <v>466000000</v>
      </c>
      <c r="J15" s="188">
        <v>349000000</v>
      </c>
      <c r="K15" s="188">
        <v>326000000</v>
      </c>
      <c r="L15" s="188">
        <v>2985000000</v>
      </c>
      <c r="M15" s="194">
        <f>L15/P15</f>
        <v>7.5149543815834523</v>
      </c>
      <c r="N15" s="190">
        <f>J15/L17</f>
        <v>0.1079492731209403</v>
      </c>
      <c r="O15" s="190">
        <f>(I15*0.75)/(K17+L17)</f>
        <v>0.12319351427564329</v>
      </c>
      <c r="P15" s="188">
        <v>397208000</v>
      </c>
      <c r="Q15" s="188">
        <f>P15*E15</f>
        <v>5282866400</v>
      </c>
      <c r="R15" s="195">
        <f>Q15/L15</f>
        <v>1.7698044891122278</v>
      </c>
      <c r="S15" s="187">
        <f>(Q15+K15)/I15</f>
        <v>12.03619399141631</v>
      </c>
      <c r="T15" s="180"/>
      <c r="U15" s="189">
        <f>IFERROR(IF(Tableau3[[#This Row],[Dettes]]=0,"",(Tableau3[[#This Row],[Dettes]]/Tableau3[[#This Row],[EBE]])),"")</f>
        <v>0.33608247422680415</v>
      </c>
      <c r="V15" s="190" t="str">
        <f>IFERROR(Tableau3[[#This Row],[Fonds propres]]/Tableau3[[#This Row],[Total Bilan]],"")</f>
        <v/>
      </c>
      <c r="W15" s="180"/>
      <c r="X15" s="191"/>
      <c r="Y15" s="180"/>
      <c r="Z15" s="192"/>
      <c r="AA15" s="197"/>
      <c r="AB15" s="197"/>
      <c r="AC15" s="177" t="s">
        <v>65</v>
      </c>
    </row>
    <row r="16" spans="1:29" ht="20.25" customHeight="1">
      <c r="A16" s="217"/>
      <c r="E16" s="187"/>
      <c r="G16" s="202">
        <f>(G15/G17)-1</f>
        <v>8.2570362834859301E-2</v>
      </c>
      <c r="H16" s="203">
        <f>(H15/H17)-1</f>
        <v>0.15613825983313467</v>
      </c>
      <c r="I16" s="203">
        <f>(I15/I17)-1</f>
        <v>-0.21680672268907564</v>
      </c>
      <c r="J16" s="203">
        <f>(J15/J17)-1</f>
        <v>-2.5139664804469275E-2</v>
      </c>
      <c r="K16" s="178"/>
      <c r="L16" s="178"/>
      <c r="M16" s="178"/>
      <c r="N16" s="178"/>
      <c r="O16" s="178"/>
      <c r="P16" s="178"/>
      <c r="Q16" s="178"/>
      <c r="R16" s="178"/>
      <c r="S16" s="187"/>
      <c r="T16" s="180"/>
      <c r="U16" s="189" t="str">
        <f>IFERROR(IF(Tableau3[[#This Row],[Dettes]]=0,"",(Tableau3[[#This Row],[Dettes]]/Tableau3[[#This Row],[EBE]])),"")</f>
        <v/>
      </c>
      <c r="V16" s="190" t="str">
        <f>IFERROR(Tableau3[[#This Row],[Fonds propres]]/Tableau3[[#This Row],[Total Bilan]],"")</f>
        <v/>
      </c>
      <c r="W16" s="180"/>
      <c r="Y16" s="180"/>
      <c r="Z16" s="192" t="str">
        <f>IFERROR(Tableau3[[#This Row],[Chiffre d''affaires]]/Tableau3[[#This Row],[Salariés]],"")</f>
        <v/>
      </c>
      <c r="AA16" s="178"/>
      <c r="AC16" s="177" t="s">
        <v>66</v>
      </c>
    </row>
    <row r="17" spans="1:29" ht="20.25" customHeight="1">
      <c r="A17" s="217"/>
      <c r="E17" s="187">
        <v>12.08</v>
      </c>
      <c r="F17" s="178">
        <v>2018</v>
      </c>
      <c r="G17" s="188">
        <v>5898000000</v>
      </c>
      <c r="H17" s="188">
        <v>839000000</v>
      </c>
      <c r="I17" s="188">
        <v>595000000</v>
      </c>
      <c r="J17" s="188">
        <v>358000000</v>
      </c>
      <c r="K17" s="188">
        <v>-396000000</v>
      </c>
      <c r="L17" s="188">
        <v>3233000000</v>
      </c>
      <c r="M17" s="194">
        <f>L17/P17</f>
        <v>8.2074285738119936</v>
      </c>
      <c r="N17" s="190">
        <f>J17/L19</f>
        <v>0.13288789903489234</v>
      </c>
      <c r="O17" s="190">
        <f>(I17*0.75)/(K19+L19)</f>
        <v>0.19094993581514763</v>
      </c>
      <c r="P17" s="188">
        <v>393911439</v>
      </c>
      <c r="Q17" s="188">
        <f>P17*E15</f>
        <v>5239022138.6999998</v>
      </c>
      <c r="R17" s="195">
        <f>Q17/L17</f>
        <v>1.6204831854933497</v>
      </c>
      <c r="S17" s="187">
        <f>(Q17+K17)/I17</f>
        <v>8.1395330062184872</v>
      </c>
      <c r="T17" s="180"/>
      <c r="U17" s="189">
        <f>IFERROR(IF(Tableau3[[#This Row],[Dettes]]=0,"",(Tableau3[[#This Row],[Dettes]]/Tableau3[[#This Row],[EBE]])),"")</f>
        <v>-0.47199046483909418</v>
      </c>
      <c r="V17" s="190" t="str">
        <f>IFERROR(Tableau3[[#This Row],[Fonds propres]]/Tableau3[[#This Row],[Total Bilan]],"")</f>
        <v/>
      </c>
      <c r="W17" s="180"/>
      <c r="X17" s="191"/>
      <c r="Y17" s="180"/>
      <c r="Z17" s="192" t="str">
        <f>IFERROR(Tableau3[[#This Row],[Chiffre d''affaires]]/Tableau3[[#This Row],[Salariés]],"")</f>
        <v/>
      </c>
      <c r="AA17" s="197"/>
      <c r="AB17" s="197"/>
      <c r="AC17" s="177" t="s">
        <v>67</v>
      </c>
    </row>
    <row r="18" spans="1:29" ht="20.25" customHeight="1">
      <c r="A18" s="217"/>
      <c r="E18" s="187"/>
      <c r="G18" s="202">
        <f>(G17/G19)-1</f>
        <v>0.16861501882306329</v>
      </c>
      <c r="H18" s="178"/>
      <c r="I18" s="203">
        <f>(I17/I19)-1</f>
        <v>0.45833333333333326</v>
      </c>
      <c r="J18" s="203">
        <f>(J17/J19)-1</f>
        <v>0.17377049180327875</v>
      </c>
      <c r="K18" s="178"/>
      <c r="L18" s="178"/>
      <c r="M18" s="208"/>
      <c r="N18" s="178"/>
      <c r="O18" s="178"/>
      <c r="P18" s="178"/>
      <c r="Q18" s="178"/>
      <c r="R18" s="195"/>
      <c r="S18" s="187"/>
      <c r="T18" s="180"/>
      <c r="U18" s="189" t="str">
        <f>IFERROR(IF(Tableau3[[#This Row],[Dettes]]=0,"",(Tableau3[[#This Row],[Dettes]]/Tableau3[[#This Row],[EBE]])),"")</f>
        <v/>
      </c>
      <c r="V18" s="190" t="str">
        <f>IFERROR(Tableau3[[#This Row],[Fonds propres]]/Tableau3[[#This Row],[Total Bilan]],"")</f>
        <v/>
      </c>
      <c r="W18" s="180"/>
      <c r="X18" s="192"/>
      <c r="Y18" s="180"/>
      <c r="Z18" s="192" t="str">
        <f>IFERROR(Tableau3[[#This Row],[Chiffre d''affaires]]/Tableau3[[#This Row],[Salariés]],"")</f>
        <v/>
      </c>
      <c r="AA18" s="188"/>
      <c r="AB18" s="188"/>
      <c r="AC18" s="177" t="s">
        <v>68</v>
      </c>
    </row>
    <row r="19" spans="1:29" ht="20.25" customHeight="1">
      <c r="A19" s="217"/>
      <c r="E19" s="187">
        <v>13.9</v>
      </c>
      <c r="F19" s="178">
        <v>2017</v>
      </c>
      <c r="G19" s="188">
        <v>5047000000</v>
      </c>
      <c r="H19" s="188"/>
      <c r="I19" s="188">
        <v>408000000</v>
      </c>
      <c r="J19" s="188">
        <v>305000000</v>
      </c>
      <c r="K19" s="188">
        <v>-357000000</v>
      </c>
      <c r="L19" s="188">
        <v>2694000000</v>
      </c>
      <c r="M19" s="194">
        <f>L19/P19</f>
        <v>6.8391007045621741</v>
      </c>
      <c r="N19" s="190">
        <f>J19/L21</f>
        <v>0.11960784313725491</v>
      </c>
      <c r="O19" s="190">
        <f>(I19*0.75)/(K21+L21)</f>
        <v>0.13093709884467267</v>
      </c>
      <c r="P19" s="188">
        <v>393911439</v>
      </c>
      <c r="Q19" s="188">
        <f>P19*E19</f>
        <v>5475369002.1000004</v>
      </c>
      <c r="R19" s="195">
        <f>Q19/L19</f>
        <v>2.0324309584632516</v>
      </c>
      <c r="S19" s="187">
        <f>(Q19+K19)/I19</f>
        <v>12.54502206397059</v>
      </c>
      <c r="T19" s="180"/>
      <c r="U19" s="189" t="str">
        <f>IFERROR(IF(Tableau3[[#This Row],[Dettes]]=0,"",(Tableau3[[#This Row],[Dettes]]/Tableau3[[#This Row],[EBE]])),"")</f>
        <v/>
      </c>
      <c r="V19" s="190" t="str">
        <f>IFERROR(Tableau3[[#This Row],[Fonds propres]]/Tableau3[[#This Row],[Total Bilan]],"")</f>
        <v/>
      </c>
      <c r="W19" s="180"/>
      <c r="X19" s="191"/>
      <c r="Y19" s="180"/>
      <c r="Z19" s="192" t="str">
        <f>IFERROR(Tableau3[[#This Row],[Chiffre d''affaires]]/Tableau3[[#This Row],[Salariés]],"")</f>
        <v/>
      </c>
      <c r="AA19" s="197"/>
      <c r="AB19" s="197"/>
      <c r="AC19" s="177" t="s">
        <v>69</v>
      </c>
    </row>
    <row r="20" spans="1:29" ht="20.25" customHeight="1">
      <c r="A20" s="217"/>
      <c r="E20" s="187"/>
      <c r="G20" s="202">
        <f>(G19/G21)-1</f>
        <v>8.0959520239880067E-2</v>
      </c>
      <c r="H20" s="203"/>
      <c r="I20" s="203">
        <f>(I19/I21)-1</f>
        <v>-0.18072289156626509</v>
      </c>
      <c r="J20" s="203">
        <f>(J19/J21)-1</f>
        <v>-0.30205949656750575</v>
      </c>
      <c r="K20" s="188"/>
      <c r="L20" s="188"/>
      <c r="M20" s="194"/>
      <c r="N20" s="188"/>
      <c r="O20" s="188"/>
      <c r="P20" s="188"/>
      <c r="Q20" s="188"/>
      <c r="R20" s="195"/>
      <c r="S20" s="209"/>
      <c r="T20" s="180"/>
      <c r="U20" s="189" t="str">
        <f>IFERROR(IF(Tableau3[[#This Row],[Dettes]]=0,"",(Tableau3[[#This Row],[Dettes]]/Tableau3[[#This Row],[EBE]])),"")</f>
        <v/>
      </c>
      <c r="V20" s="190" t="str">
        <f>IFERROR(Tableau3[[#This Row],[Fonds propres]]/Tableau3[[#This Row],[Total Bilan]],"")</f>
        <v/>
      </c>
      <c r="W20" s="180"/>
      <c r="X20" s="192"/>
      <c r="Y20" s="180"/>
      <c r="Z20" s="192" t="str">
        <f>IFERROR(Tableau3[[#This Row],[Chiffre d''affaires]]/Tableau3[[#This Row],[Salariés]],"")</f>
        <v/>
      </c>
      <c r="AA20" s="188"/>
      <c r="AB20" s="188"/>
      <c r="AC20" s="177" t="s">
        <v>70</v>
      </c>
    </row>
    <row r="21" spans="1:29" ht="20.25" customHeight="1">
      <c r="A21" s="217"/>
      <c r="E21" s="187">
        <v>9</v>
      </c>
      <c r="F21" s="178">
        <v>2016</v>
      </c>
      <c r="G21" s="188">
        <v>4669000000</v>
      </c>
      <c r="H21" s="188"/>
      <c r="I21" s="188">
        <v>498000000</v>
      </c>
      <c r="J21" s="188">
        <v>437000000</v>
      </c>
      <c r="K21" s="188">
        <v>-213000000</v>
      </c>
      <c r="L21" s="188">
        <v>2550000000</v>
      </c>
      <c r="M21" s="194">
        <f>L21/P21</f>
        <v>6.4735363016457104</v>
      </c>
      <c r="N21" s="190">
        <f>J21/L23</f>
        <v>0.19430858159181857</v>
      </c>
      <c r="O21" s="190">
        <f>(I21*0.75)/(K23+L23)</f>
        <v>0.20589856670341786</v>
      </c>
      <c r="P21" s="188">
        <v>393911439</v>
      </c>
      <c r="Q21" s="188">
        <f>P21*E21</f>
        <v>3545202951</v>
      </c>
      <c r="R21" s="195">
        <f>Q21/L21</f>
        <v>1.3902756670588234</v>
      </c>
      <c r="S21" s="187">
        <f>(Q21+K21)/I21</f>
        <v>6.6911705843373497</v>
      </c>
      <c r="T21" s="180"/>
      <c r="U21" s="189" t="str">
        <f>IFERROR(IF(Tableau3[[#This Row],[Dettes]]=0,"",(Tableau3[[#This Row],[Dettes]]/Tableau3[[#This Row],[EBE]])),"")</f>
        <v/>
      </c>
      <c r="V21" s="190" t="str">
        <f>IFERROR(Tableau3[[#This Row],[Fonds propres]]/Tableau3[[#This Row],[Total Bilan]],"")</f>
        <v/>
      </c>
      <c r="W21" s="180"/>
      <c r="X21" s="191"/>
      <c r="Y21" s="180"/>
      <c r="Z21" s="192" t="str">
        <f>IFERROR(Tableau3[[#This Row],[Chiffre d''affaires]]/Tableau3[[#This Row],[Salariés]],"")</f>
        <v/>
      </c>
      <c r="AA21" s="197"/>
      <c r="AB21" s="197"/>
      <c r="AC21" s="177" t="s">
        <v>71</v>
      </c>
    </row>
    <row r="22" spans="1:29" ht="20.25" customHeight="1">
      <c r="A22" s="217"/>
      <c r="E22" s="187"/>
      <c r="G22" s="202">
        <f>(G21/G23)-1</f>
        <v>-3.6278275714894948E-3</v>
      </c>
      <c r="H22" s="203"/>
      <c r="I22" s="203">
        <f>(I21/I23)-1</f>
        <v>-0.27616279069767447</v>
      </c>
      <c r="J22" s="203">
        <f>(J21/J23)-1</f>
        <v>-0.20255474452554745</v>
      </c>
      <c r="K22" s="188"/>
      <c r="L22" s="188"/>
      <c r="M22" s="194"/>
      <c r="N22" s="188"/>
      <c r="O22" s="188"/>
      <c r="P22" s="188"/>
      <c r="Q22" s="188"/>
      <c r="R22" s="195"/>
      <c r="S22" s="209"/>
      <c r="T22" s="180"/>
      <c r="U22" s="189" t="str">
        <f>IFERROR(IF(Tableau3[[#This Row],[Dettes]]=0,"",(Tableau3[[#This Row],[Dettes]]/Tableau3[[#This Row],[EBE]])),"")</f>
        <v/>
      </c>
      <c r="V22" s="190" t="str">
        <f>IFERROR(Tableau3[[#This Row],[Fonds propres]]/Tableau3[[#This Row],[Total Bilan]],"")</f>
        <v/>
      </c>
      <c r="W22" s="180"/>
      <c r="X22" s="191"/>
      <c r="Y22" s="180"/>
      <c r="Z22" s="192" t="str">
        <f>IFERROR(Tableau3[[#This Row],[Chiffre d''affaires]]/Tableau3[[#This Row],[Salariés]],"")</f>
        <v/>
      </c>
      <c r="AA22" s="197"/>
      <c r="AB22" s="197"/>
      <c r="AC22" s="177" t="s">
        <v>72</v>
      </c>
    </row>
    <row r="23" spans="1:29" ht="20.25" customHeight="1">
      <c r="A23" s="217"/>
      <c r="E23" s="187">
        <v>15</v>
      </c>
      <c r="F23" s="178">
        <v>2015</v>
      </c>
      <c r="G23" s="188">
        <v>4686000000</v>
      </c>
      <c r="H23" s="188"/>
      <c r="I23" s="188">
        <v>688000000</v>
      </c>
      <c r="J23" s="188">
        <v>548000000</v>
      </c>
      <c r="K23" s="188">
        <v>-435000000</v>
      </c>
      <c r="L23" s="188">
        <v>2249000000</v>
      </c>
      <c r="M23" s="194">
        <f>L23/P23</f>
        <v>5.709405153882825</v>
      </c>
      <c r="N23" s="190">
        <f>J23/L23</f>
        <v>0.2436638506002668</v>
      </c>
      <c r="O23" s="190">
        <f>(I23*0.78)/(K23+L23)</f>
        <v>0.29583241455347298</v>
      </c>
      <c r="P23" s="188">
        <v>393911439</v>
      </c>
      <c r="Q23" s="188">
        <f>P23*E23</f>
        <v>5908671585</v>
      </c>
      <c r="R23" s="195">
        <f>Q23/L23</f>
        <v>2.6272439239662071</v>
      </c>
      <c r="S23" s="187">
        <f>(Q23+K23)/I23</f>
        <v>7.9559180014534885</v>
      </c>
      <c r="T23" s="180"/>
      <c r="U23" s="189" t="str">
        <f>IFERROR(IF(Tableau3[[#This Row],[Dettes]]=0,"",(Tableau3[[#This Row],[Dettes]]/Tableau3[[#This Row],[EBE]])),"")</f>
        <v/>
      </c>
      <c r="V23" s="190" t="str">
        <f>IFERROR(Tableau3[[#This Row],[Fonds propres]]/Tableau3[[#This Row],[Total Bilan]],"")</f>
        <v/>
      </c>
      <c r="W23" s="180"/>
      <c r="X23" s="191"/>
      <c r="Y23" s="180"/>
      <c r="Z23" s="192" t="str">
        <f>IFERROR(Tableau3[[#This Row],[Chiffre d''affaires]]/Tableau3[[#This Row],[Salariés]],"")</f>
        <v/>
      </c>
      <c r="AA23" s="197"/>
      <c r="AB23" s="197"/>
      <c r="AC23" s="177" t="s">
        <v>73</v>
      </c>
    </row>
    <row r="24" spans="1:29" ht="20.25" customHeight="1">
      <c r="A24" s="217"/>
      <c r="E24" s="187"/>
      <c r="F24" s="207"/>
      <c r="G24" s="188"/>
      <c r="H24" s="188"/>
      <c r="I24" s="188"/>
      <c r="J24" s="188"/>
      <c r="K24" s="188"/>
      <c r="L24" s="188"/>
      <c r="M24" s="210"/>
      <c r="N24" s="190"/>
      <c r="O24" s="190"/>
      <c r="P24" s="188"/>
      <c r="Q24" s="188"/>
      <c r="R24" s="195"/>
      <c r="S24" s="187"/>
      <c r="T24" s="180"/>
      <c r="U24" s="189" t="str">
        <f>IFERROR(IF(Tableau3[[#This Row],[Dettes]]=0,"",(Tableau3[[#This Row],[Dettes]]/Tableau3[[#This Row],[EBE]])),"")</f>
        <v/>
      </c>
      <c r="V24" s="190" t="str">
        <f>IFERROR(Tableau3[[#This Row],[Fonds propres]]/Tableau3[[#This Row],[Total Bilan]],"")</f>
        <v/>
      </c>
      <c r="W24" s="180"/>
      <c r="X24" s="191"/>
      <c r="Y24" s="180"/>
      <c r="Z24" s="192" t="str">
        <f>IFERROR(Tableau3[[#This Row],[Chiffre d''affaires]]/Tableau3[[#This Row],[Salariés]],"")</f>
        <v/>
      </c>
      <c r="AA24" s="197"/>
      <c r="AB24" s="197"/>
      <c r="AC24" s="177" t="s">
        <v>74</v>
      </c>
    </row>
    <row r="25" spans="1:29" ht="20.25" customHeight="1">
      <c r="A25" s="217"/>
      <c r="E25" s="187"/>
      <c r="F25" s="207"/>
      <c r="G25" s="188"/>
      <c r="H25" s="188"/>
      <c r="I25" s="188"/>
      <c r="J25" s="188"/>
      <c r="K25" s="188"/>
      <c r="L25" s="188"/>
      <c r="M25" s="210"/>
      <c r="N25" s="190"/>
      <c r="O25" s="190"/>
      <c r="P25" s="188"/>
      <c r="Q25" s="188"/>
      <c r="R25" s="195"/>
      <c r="S25" s="197"/>
      <c r="T25" s="180"/>
      <c r="U25" s="189" t="str">
        <f>IFERROR(IF(Tableau3[[#This Row],[Dettes]]=0,"",(Tableau3[[#This Row],[Dettes]]/Tableau3[[#This Row],[EBE]])),"")</f>
        <v/>
      </c>
      <c r="V25" s="190" t="str">
        <f>IFERROR(Tableau3[[#This Row],[Fonds propres]]/Tableau3[[#This Row],[Total Bilan]],"")</f>
        <v/>
      </c>
      <c r="W25" s="180"/>
      <c r="X25" s="191"/>
      <c r="Y25" s="180"/>
      <c r="Z25" s="192" t="str">
        <f>IFERROR(Tableau3[[#This Row],[Chiffre d''affaires]]/Tableau3[[#This Row],[Salariés]],"")</f>
        <v/>
      </c>
      <c r="AA25" s="197"/>
      <c r="AB25" s="197"/>
      <c r="AC25" s="177" t="s">
        <v>75</v>
      </c>
    </row>
    <row r="26" spans="1:29" ht="20.25" customHeight="1">
      <c r="A26" s="217"/>
      <c r="E26" s="187"/>
      <c r="F26" s="207"/>
      <c r="G26" s="188"/>
      <c r="H26" s="188"/>
      <c r="I26" s="188"/>
      <c r="J26" s="188"/>
      <c r="K26" s="188"/>
      <c r="L26" s="188"/>
      <c r="M26" s="210"/>
      <c r="N26" s="190"/>
      <c r="O26" s="190"/>
      <c r="P26" s="188"/>
      <c r="Q26" s="188"/>
      <c r="R26" s="195"/>
      <c r="S26" s="197"/>
      <c r="T26" s="180"/>
      <c r="U26" s="189" t="str">
        <f>IFERROR(IF(Tableau3[[#This Row],[Dettes]]=0,"",(Tableau3[[#This Row],[Dettes]]/Tableau3[[#This Row],[EBE]])),"")</f>
        <v/>
      </c>
      <c r="V26" s="190" t="str">
        <f>IFERROR(Tableau3[[#This Row],[Fonds propres]]/Tableau3[[#This Row],[Total Bilan]],"")</f>
        <v/>
      </c>
      <c r="W26" s="180"/>
      <c r="X26" s="191"/>
      <c r="Y26" s="180"/>
      <c r="Z26" s="192" t="str">
        <f>IFERROR(Tableau3[[#This Row],[Chiffre d''affaires]]/Tableau3[[#This Row],[Salariés]],"")</f>
        <v/>
      </c>
      <c r="AA26" s="197"/>
      <c r="AB26" s="197"/>
      <c r="AC26" s="177" t="s">
        <v>76</v>
      </c>
    </row>
    <row r="27" spans="1:29" ht="20.25" customHeight="1">
      <c r="A27" s="217"/>
      <c r="E27" s="187"/>
      <c r="F27" s="207"/>
      <c r="G27" s="188"/>
      <c r="H27" s="188"/>
      <c r="I27" s="188"/>
      <c r="J27" s="188"/>
      <c r="K27" s="188"/>
      <c r="L27" s="188"/>
      <c r="M27" s="210"/>
      <c r="N27" s="190"/>
      <c r="O27" s="190"/>
      <c r="P27" s="188"/>
      <c r="Q27" s="188"/>
      <c r="R27" s="195"/>
      <c r="S27" s="197"/>
      <c r="T27" s="180"/>
      <c r="U27" s="189" t="str">
        <f>IFERROR(IF(Tableau3[[#This Row],[Dettes]]=0,"",(Tableau3[[#This Row],[Dettes]]/Tableau3[[#This Row],[EBE]])),"")</f>
        <v/>
      </c>
      <c r="V27" s="190" t="str">
        <f>IFERROR(Tableau3[[#This Row],[Fonds propres]]/Tableau3[[#This Row],[Total Bilan]],"")</f>
        <v/>
      </c>
      <c r="W27" s="180"/>
      <c r="X27" s="191"/>
      <c r="Y27" s="180"/>
      <c r="Z27" s="192" t="str">
        <f>IFERROR(Tableau3[[#This Row],[Chiffre d''affaires]]/Tableau3[[#This Row],[Salariés]],"")</f>
        <v/>
      </c>
      <c r="AA27" s="197"/>
      <c r="AB27" s="197"/>
      <c r="AC27" s="177" t="s">
        <v>77</v>
      </c>
    </row>
    <row r="28" spans="1:29" ht="20.25" customHeight="1">
      <c r="A28" s="217"/>
      <c r="E28" s="187"/>
      <c r="F28" s="207"/>
      <c r="G28" s="188"/>
      <c r="H28" s="188"/>
      <c r="I28" s="188"/>
      <c r="J28" s="188"/>
      <c r="K28" s="188"/>
      <c r="L28" s="188"/>
      <c r="M28" s="210"/>
      <c r="N28" s="190"/>
      <c r="O28" s="190"/>
      <c r="P28" s="188"/>
      <c r="Q28" s="188"/>
      <c r="R28" s="195"/>
      <c r="S28" s="197"/>
      <c r="T28" s="180"/>
      <c r="U28" s="189" t="str">
        <f>IFERROR(IF(Tableau3[[#This Row],[Dettes]]=0,"",(Tableau3[[#This Row],[Dettes]]/Tableau3[[#This Row],[EBE]])),"")</f>
        <v/>
      </c>
      <c r="V28" s="190" t="str">
        <f>IFERROR(Tableau3[[#This Row],[Fonds propres]]/Tableau3[[#This Row],[Total Bilan]],"")</f>
        <v/>
      </c>
      <c r="W28" s="180"/>
      <c r="Y28" s="180"/>
      <c r="Z28" s="192" t="str">
        <f>IFERROR(Tableau3[[#This Row],[Chiffre d''affaires]]/Tableau3[[#This Row],[Salariés]],"")</f>
        <v/>
      </c>
      <c r="AA28" s="177"/>
      <c r="AC28" s="177" t="s">
        <v>78</v>
      </c>
    </row>
    <row r="29" spans="1:29" ht="20.25" customHeight="1">
      <c r="A29" s="217"/>
      <c r="E29" s="187"/>
      <c r="F29" s="207"/>
      <c r="G29" s="188"/>
      <c r="H29" s="188"/>
      <c r="I29" s="188"/>
      <c r="J29" s="188"/>
      <c r="K29" s="188"/>
      <c r="L29" s="188"/>
      <c r="M29" s="210"/>
      <c r="N29" s="190"/>
      <c r="O29" s="190"/>
      <c r="P29" s="188"/>
      <c r="Q29" s="188"/>
      <c r="R29" s="195"/>
      <c r="S29" s="197"/>
      <c r="T29" s="180"/>
      <c r="U29" s="189" t="str">
        <f>IFERROR(IF(Tableau3[[#This Row],[Dettes]]=0,"",(Tableau3[[#This Row],[Dettes]]/Tableau3[[#This Row],[EBE]])),"")</f>
        <v/>
      </c>
      <c r="V29" s="190" t="str">
        <f>IFERROR(Tableau3[[#This Row],[Fonds propres]]/Tableau3[[#This Row],[Total Bilan]],"")</f>
        <v/>
      </c>
      <c r="W29" s="180"/>
      <c r="Y29" s="180"/>
      <c r="Z29" s="192" t="str">
        <f>IFERROR(Tableau3[[#This Row],[Chiffre d''affaires]]/Tableau3[[#This Row],[Salariés]],"")</f>
        <v/>
      </c>
      <c r="AA29" s="177"/>
      <c r="AC29" s="177" t="s">
        <v>79</v>
      </c>
    </row>
    <row r="30" spans="1:29" ht="20.25" customHeight="1">
      <c r="A30" s="217"/>
      <c r="E30" s="187"/>
      <c r="F30" s="207"/>
      <c r="G30" s="188"/>
      <c r="H30" s="188"/>
      <c r="I30" s="188"/>
      <c r="J30" s="188"/>
      <c r="K30" s="188"/>
      <c r="L30" s="188"/>
      <c r="M30" s="210"/>
      <c r="N30" s="190"/>
      <c r="O30" s="190"/>
      <c r="P30" s="188"/>
      <c r="Q30" s="188"/>
      <c r="R30" s="195"/>
      <c r="S30" s="197"/>
      <c r="T30" s="180"/>
      <c r="U30" s="189" t="str">
        <f>IFERROR(IF(Tableau3[[#This Row],[Dettes]]=0,"",(Tableau3[[#This Row],[Dettes]]/Tableau3[[#This Row],[EBE]])),"")</f>
        <v/>
      </c>
      <c r="V30" s="190" t="str">
        <f>IFERROR(Tableau3[[#This Row],[Fonds propres]]/Tableau3[[#This Row],[Total Bilan]],"")</f>
        <v/>
      </c>
      <c r="W30" s="180"/>
      <c r="Y30" s="180"/>
      <c r="Z30" s="192" t="str">
        <f>IFERROR(Tableau3[[#This Row],[Chiffre d''affaires]]/Tableau3[[#This Row],[Salariés]],"")</f>
        <v/>
      </c>
      <c r="AA30" s="177"/>
      <c r="AC30" s="177" t="s">
        <v>80</v>
      </c>
    </row>
    <row r="31" spans="1:29" ht="20.25" customHeight="1">
      <c r="A31" s="217"/>
      <c r="E31" s="187"/>
      <c r="F31" s="207"/>
      <c r="G31" s="188"/>
      <c r="H31" s="188"/>
      <c r="I31" s="188"/>
      <c r="J31" s="188"/>
      <c r="K31" s="188"/>
      <c r="L31" s="188"/>
      <c r="M31" s="210"/>
      <c r="N31" s="190"/>
      <c r="O31" s="190"/>
      <c r="P31" s="188"/>
      <c r="Q31" s="188"/>
      <c r="R31" s="195"/>
      <c r="S31" s="197"/>
      <c r="T31" s="180"/>
      <c r="U31" s="189" t="str">
        <f>IFERROR(IF(Tableau3[[#This Row],[Dettes]]=0,"",(Tableau3[[#This Row],[Dettes]]/Tableau3[[#This Row],[EBE]])),"")</f>
        <v/>
      </c>
      <c r="V31" s="190" t="str">
        <f>IFERROR(Tableau3[[#This Row],[Fonds propres]]/Tableau3[[#This Row],[Total Bilan]],"")</f>
        <v/>
      </c>
      <c r="W31" s="180"/>
      <c r="Y31" s="180"/>
      <c r="Z31" s="192" t="str">
        <f>IFERROR(Tableau3[[#This Row],[Chiffre d''affaires]]/Tableau3[[#This Row],[Salariés]],"")</f>
        <v/>
      </c>
      <c r="AA31" s="177"/>
      <c r="AC31" s="177" t="s">
        <v>81</v>
      </c>
    </row>
    <row r="32" spans="1:29" ht="20.25" customHeight="1">
      <c r="A32" s="217"/>
      <c r="E32" s="187"/>
      <c r="F32" s="207"/>
      <c r="G32" s="188"/>
      <c r="H32" s="188"/>
      <c r="I32" s="188"/>
      <c r="J32" s="188"/>
      <c r="K32" s="188"/>
      <c r="L32" s="188"/>
      <c r="M32" s="210"/>
      <c r="N32" s="190"/>
      <c r="O32" s="190"/>
      <c r="P32" s="188"/>
      <c r="Q32" s="188"/>
      <c r="R32" s="195"/>
      <c r="S32" s="197"/>
      <c r="T32" s="180"/>
      <c r="U32" s="189" t="str">
        <f>IFERROR(IF(Tableau3[[#This Row],[Dettes]]=0,"",(Tableau3[[#This Row],[Dettes]]/Tableau3[[#This Row],[EBE]])),"")</f>
        <v/>
      </c>
      <c r="V32" s="190" t="str">
        <f>IFERROR(Tableau3[[#This Row],[Fonds propres]]/Tableau3[[#This Row],[Total Bilan]],"")</f>
        <v/>
      </c>
      <c r="W32" s="180"/>
      <c r="X32" s="191"/>
      <c r="Y32" s="180"/>
      <c r="Z32" s="192" t="str">
        <f>IFERROR(Tableau3[[#This Row],[Chiffre d''affaires]]/Tableau3[[#This Row],[Salariés]],"")</f>
        <v/>
      </c>
      <c r="AA32" s="197"/>
      <c r="AB32" s="197"/>
      <c r="AC32" s="177" t="s">
        <v>82</v>
      </c>
    </row>
    <row r="33" spans="1:29" ht="20.25" customHeight="1">
      <c r="A33" s="217"/>
      <c r="E33" s="187"/>
      <c r="F33" s="207"/>
      <c r="G33" s="188"/>
      <c r="H33" s="188"/>
      <c r="I33" s="188"/>
      <c r="J33" s="188"/>
      <c r="K33" s="188"/>
      <c r="L33" s="188"/>
      <c r="M33" s="210"/>
      <c r="N33" s="190"/>
      <c r="O33" s="190"/>
      <c r="P33" s="188"/>
      <c r="Q33" s="188"/>
      <c r="R33" s="195"/>
      <c r="S33" s="197"/>
      <c r="T33" s="180"/>
      <c r="U33" s="189" t="str">
        <f>IFERROR(IF(Tableau3[[#This Row],[Dettes]]=0,"",(Tableau3[[#This Row],[Dettes]]/Tableau3[[#This Row],[EBE]])),"")</f>
        <v/>
      </c>
      <c r="V33" s="190" t="str">
        <f>IFERROR(Tableau3[[#This Row],[Fonds propres]]/Tableau3[[#This Row],[Total Bilan]],"")</f>
        <v/>
      </c>
      <c r="W33" s="180"/>
      <c r="X33" s="191"/>
      <c r="Y33" s="180"/>
      <c r="Z33" s="192" t="str">
        <f>IFERROR(Tableau3[[#This Row],[Chiffre d''affaires]]/Tableau3[[#This Row],[Salariés]],"")</f>
        <v/>
      </c>
      <c r="AA33" s="197"/>
      <c r="AB33" s="197"/>
    </row>
    <row r="34" spans="1:29" ht="20.25" customHeight="1">
      <c r="A34" s="217"/>
      <c r="E34" s="187"/>
      <c r="F34" s="207"/>
      <c r="G34" s="188"/>
      <c r="H34" s="188"/>
      <c r="I34" s="188"/>
      <c r="J34" s="188"/>
      <c r="K34" s="188"/>
      <c r="L34" s="188"/>
      <c r="M34" s="210"/>
      <c r="N34" s="190"/>
      <c r="O34" s="190"/>
      <c r="P34" s="188"/>
      <c r="Q34" s="188"/>
      <c r="R34" s="195"/>
      <c r="S34" s="197"/>
      <c r="T34" s="180"/>
      <c r="U34" s="189" t="str">
        <f>IFERROR(IF(Tableau3[[#This Row],[Dettes]]=0,"",(Tableau3[[#This Row],[Dettes]]/Tableau3[[#This Row],[EBE]])),"")</f>
        <v/>
      </c>
      <c r="V34" s="190" t="str">
        <f>IFERROR(Tableau3[[#This Row],[Fonds propres]]/Tableau3[[#This Row],[Total Bilan]],"")</f>
        <v/>
      </c>
      <c r="W34" s="180"/>
      <c r="X34" s="191"/>
      <c r="Y34" s="180"/>
      <c r="Z34" s="192" t="str">
        <f>IFERROR(Tableau3[[#This Row],[Chiffre d''affaires]]/Tableau3[[#This Row],[Salariés]],"")</f>
        <v/>
      </c>
      <c r="AA34" s="197"/>
      <c r="AB34" s="197"/>
    </row>
    <row r="35" spans="1:29" ht="20.25" customHeight="1">
      <c r="A35" s="217" t="s">
        <v>83</v>
      </c>
      <c r="B35" s="216" t="s">
        <v>46</v>
      </c>
      <c r="C35" s="178" t="s">
        <v>84</v>
      </c>
      <c r="D35" s="178" t="s">
        <v>85</v>
      </c>
      <c r="E35" s="187">
        <v>3.87</v>
      </c>
      <c r="F35" s="178">
        <v>2019</v>
      </c>
      <c r="G35" s="188">
        <f>G37</f>
        <v>26515000000</v>
      </c>
      <c r="H35" s="211">
        <f>H37</f>
        <v>4217000000</v>
      </c>
      <c r="I35" s="188">
        <f>I37</f>
        <v>1332000000</v>
      </c>
      <c r="J35" s="188">
        <v>500000000</v>
      </c>
      <c r="K35" s="188">
        <v>6000000000</v>
      </c>
      <c r="L35" s="188">
        <v>2000000000</v>
      </c>
      <c r="M35" s="194">
        <f>L35/P35</f>
        <v>4.6659850517936592</v>
      </c>
      <c r="N35" s="190">
        <f>J35/L35</f>
        <v>0.25</v>
      </c>
      <c r="O35" s="190">
        <f>(I35*0.78)/(K35+L35)</f>
        <v>0.12987000000000001</v>
      </c>
      <c r="P35" s="188">
        <v>428634035</v>
      </c>
      <c r="Q35" s="188">
        <f>P35*E35</f>
        <v>1658813715.45</v>
      </c>
      <c r="R35" s="195">
        <f>Q35/L35</f>
        <v>0.829406857725</v>
      </c>
      <c r="S35" s="197">
        <f>(Q35+L35)/H39</f>
        <v>0.76817420017845894</v>
      </c>
      <c r="T35" s="180"/>
      <c r="U35" s="189">
        <f>IFERROR(IF(Tableau3[[#This Row],[Dettes]]=0,"",(Tableau3[[#This Row],[Dettes]]/Tableau3[[#This Row],[EBE]])),"")</f>
        <v>1.4228124258951862</v>
      </c>
      <c r="V35" s="190" t="str">
        <f>IFERROR(Tableau3[[#This Row],[Fonds propres]]/Tableau3[[#This Row],[Total Bilan]],"")</f>
        <v/>
      </c>
      <c r="W35" s="180"/>
      <c r="X35" s="191"/>
      <c r="Y35" s="180"/>
      <c r="Z35" s="192" t="str">
        <f>IFERROR(Tableau3[[#This Row],[Chiffre d''affaires]]/Tableau3[[#This Row],[Salariés]],"")</f>
        <v/>
      </c>
      <c r="AA35" s="197"/>
      <c r="AB35" s="197"/>
      <c r="AC35" s="177" t="s">
        <v>86</v>
      </c>
    </row>
    <row r="36" spans="1:29" ht="20.25" customHeight="1">
      <c r="A36" s="217"/>
      <c r="E36" s="187"/>
      <c r="F36" s="207"/>
      <c r="G36" s="202">
        <f>(G35/G37)-1</f>
        <v>0</v>
      </c>
      <c r="H36" s="203">
        <f>(H35/H37)-1</f>
        <v>0</v>
      </c>
      <c r="I36" s="203">
        <f>(I35/I37)-1</f>
        <v>0</v>
      </c>
      <c r="J36" s="203">
        <f>(J35/J37)-1</f>
        <v>0.22249388753056243</v>
      </c>
      <c r="K36" s="188"/>
      <c r="L36" s="188"/>
      <c r="M36" s="210"/>
      <c r="N36" s="190"/>
      <c r="O36" s="190"/>
      <c r="P36" s="188"/>
      <c r="Q36" s="188"/>
      <c r="R36" s="195"/>
      <c r="S36" s="197"/>
      <c r="T36" s="180"/>
      <c r="U36" s="189" t="str">
        <f>IFERROR(IF(Tableau3[[#This Row],[Dettes]]=0,"",(Tableau3[[#This Row],[Dettes]]/Tableau3[[#This Row],[EBE]])),"")</f>
        <v/>
      </c>
      <c r="V36" s="190" t="str">
        <f>IFERROR(Tableau3[[#This Row],[Fonds propres]]/Tableau3[[#This Row],[Total Bilan]],"")</f>
        <v/>
      </c>
      <c r="W36" s="180"/>
      <c r="X36" s="191"/>
      <c r="Y36" s="180"/>
      <c r="Z36" s="192" t="str">
        <f>IFERROR(Tableau3[[#This Row],[Chiffre d''affaires]]/Tableau3[[#This Row],[Salariés]],"")</f>
        <v/>
      </c>
      <c r="AA36" s="197"/>
      <c r="AB36" s="197"/>
      <c r="AC36" s="177" t="s">
        <v>88</v>
      </c>
    </row>
    <row r="37" spans="1:29" ht="20.25" customHeight="1">
      <c r="A37" s="217"/>
      <c r="E37" s="187">
        <v>9</v>
      </c>
      <c r="F37" s="178">
        <v>2018</v>
      </c>
      <c r="G37" s="188">
        <v>26515000000</v>
      </c>
      <c r="H37" s="188">
        <v>4217000000</v>
      </c>
      <c r="I37" s="188">
        <v>1332000000</v>
      </c>
      <c r="J37" s="188">
        <v>409000000</v>
      </c>
      <c r="K37" s="188">
        <v>6164000000</v>
      </c>
      <c r="L37" s="188">
        <v>1863000000</v>
      </c>
      <c r="M37" s="194">
        <f>L37/P37</f>
        <v>4.3463650757457932</v>
      </c>
      <c r="N37" s="190">
        <f>J37/L37</f>
        <v>0.21953837895866882</v>
      </c>
      <c r="O37" s="190">
        <f>(I37*0.78)/(K37+L37)</f>
        <v>0.12943316307462316</v>
      </c>
      <c r="P37" s="188">
        <v>428634035</v>
      </c>
      <c r="Q37" s="188">
        <f>P37*E37</f>
        <v>3857706315</v>
      </c>
      <c r="R37" s="195">
        <f>Q37/L37</f>
        <v>2.0706958212560385</v>
      </c>
      <c r="S37" s="197">
        <f>(Q37+L37)/H37</f>
        <v>1.3565820049798434</v>
      </c>
      <c r="T37" s="180"/>
      <c r="U37" s="189">
        <f>IFERROR(IF(Tableau3[[#This Row],[Dettes]]=0,"",(Tableau3[[#This Row],[Dettes]]/Tableau3[[#This Row],[EBE]])),"")</f>
        <v>1.461702632202988</v>
      </c>
      <c r="V37" s="190" t="str">
        <f>IFERROR(Tableau3[[#This Row],[Fonds propres]]/Tableau3[[#This Row],[Total Bilan]],"")</f>
        <v/>
      </c>
      <c r="W37" s="180"/>
      <c r="X37" s="191"/>
      <c r="Y37" s="180"/>
      <c r="Z37" s="192" t="str">
        <f>IFERROR(Tableau3[[#This Row],[Chiffre d''affaires]]/Tableau3[[#This Row],[Salariés]],"")</f>
        <v/>
      </c>
      <c r="AA37" s="197"/>
      <c r="AB37" s="197"/>
      <c r="AC37" s="177" t="s">
        <v>89</v>
      </c>
    </row>
    <row r="38" spans="1:29" ht="20.25" customHeight="1">
      <c r="A38" s="217"/>
      <c r="E38" s="187"/>
      <c r="G38" s="202">
        <f>(G37/G39)-1</f>
        <v>2.8470579108645921E-2</v>
      </c>
      <c r="H38" s="203">
        <f>(H37/H39)-1</f>
        <v>-0.11463363426411921</v>
      </c>
      <c r="I38" s="203">
        <f>(I37/I39)-1</f>
        <v>-0.30733229329173162</v>
      </c>
      <c r="J38" s="203">
        <f>(J37/J39)-1</f>
        <v>-2.492700729927007</v>
      </c>
      <c r="K38" s="188"/>
      <c r="L38" s="188"/>
      <c r="M38" s="194"/>
      <c r="N38" s="190"/>
      <c r="O38" s="190"/>
      <c r="P38" s="188"/>
      <c r="Q38" s="188"/>
      <c r="R38" s="195"/>
      <c r="S38" s="197"/>
      <c r="T38" s="180"/>
      <c r="U38" s="189" t="str">
        <f>IFERROR(IF(Tableau3[[#This Row],[Dettes]]=0,"",(Tableau3[[#This Row],[Dettes]]/Tableau3[[#This Row],[EBE]])),"")</f>
        <v/>
      </c>
      <c r="V38" s="190" t="str">
        <f>IFERROR(Tableau3[[#This Row],[Fonds propres]]/Tableau3[[#This Row],[Total Bilan]],"")</f>
        <v/>
      </c>
      <c r="W38" s="180"/>
      <c r="X38" s="191"/>
      <c r="Y38" s="180"/>
      <c r="Z38" s="192" t="str">
        <f>IFERROR(Tableau3[[#This Row],[Chiffre d''affaires]]/Tableau3[[#This Row],[Salariés]],"")</f>
        <v/>
      </c>
      <c r="AA38" s="197"/>
      <c r="AB38" s="197"/>
      <c r="AC38" s="177" t="s">
        <v>90</v>
      </c>
    </row>
    <row r="39" spans="1:29" ht="20.25" customHeight="1">
      <c r="A39" s="217"/>
      <c r="E39" s="187">
        <v>14.06</v>
      </c>
      <c r="F39" s="178">
        <v>2017</v>
      </c>
      <c r="G39" s="188">
        <v>25781000000</v>
      </c>
      <c r="H39" s="188">
        <v>4763000000</v>
      </c>
      <c r="I39" s="188">
        <v>1923000000</v>
      </c>
      <c r="J39" s="188">
        <v>-274000000</v>
      </c>
      <c r="K39" s="188">
        <v>6359000000</v>
      </c>
      <c r="L39" s="188">
        <v>2420000000</v>
      </c>
      <c r="M39" s="194">
        <f>L39/P39</f>
        <v>5.6458419126703276</v>
      </c>
      <c r="N39" s="190">
        <f>J39/L39</f>
        <v>-0.11322314049586776</v>
      </c>
      <c r="O39" s="190">
        <f>(I39*0.78)/(K39+L39)</f>
        <v>0.17085545050689144</v>
      </c>
      <c r="P39" s="188">
        <v>428634035</v>
      </c>
      <c r="Q39" s="188">
        <f>P39*E39</f>
        <v>6026594532.1000004</v>
      </c>
      <c r="R39" s="195">
        <f>Q39/L39</f>
        <v>2.4903283190495871</v>
      </c>
      <c r="S39" s="197">
        <f>(Q39+L39)/H39</f>
        <v>1.7733769750367416</v>
      </c>
      <c r="T39" s="180"/>
      <c r="U39" s="189">
        <f>IFERROR(IF(Tableau3[[#This Row],[Dettes]]=0,"",(Tableau3[[#This Row],[Dettes]]/Tableau3[[#This Row],[EBE]])),"")</f>
        <v>1.3350829309258871</v>
      </c>
      <c r="V39" s="190" t="str">
        <f>IFERROR(Tableau3[[#This Row],[Fonds propres]]/Tableau3[[#This Row],[Total Bilan]],"")</f>
        <v/>
      </c>
      <c r="W39" s="180"/>
      <c r="X39" s="191"/>
      <c r="Y39" s="180"/>
      <c r="Z39" s="192" t="str">
        <f>IFERROR(Tableau3[[#This Row],[Chiffre d''affaires]]/Tableau3[[#This Row],[Salariés]],"")</f>
        <v/>
      </c>
      <c r="AA39" s="197"/>
      <c r="AB39" s="197"/>
      <c r="AC39" s="177" t="s">
        <v>91</v>
      </c>
    </row>
    <row r="40" spans="1:29" ht="20.25" customHeight="1">
      <c r="A40" s="217"/>
      <c r="E40" s="187"/>
      <c r="G40" s="202">
        <f>(G39/G41)-1</f>
        <v>3.7715343744968655E-2</v>
      </c>
      <c r="H40" s="203">
        <f>(H37/H41)-1</f>
        <v>0.5537951363301401</v>
      </c>
      <c r="I40" s="203">
        <f>(I39/I41)-1</f>
        <v>0.83317445185891326</v>
      </c>
      <c r="J40" s="203">
        <f>(J39/J41)-1</f>
        <v>-1.345959595959596</v>
      </c>
      <c r="K40" s="188"/>
      <c r="L40" s="188"/>
      <c r="M40" s="194"/>
      <c r="N40" s="188"/>
      <c r="O40" s="188"/>
      <c r="P40" s="188"/>
      <c r="Q40" s="188"/>
      <c r="R40" s="195"/>
      <c r="S40" s="188"/>
      <c r="T40" s="180"/>
      <c r="U40" s="189" t="str">
        <f>IFERROR(IF(Tableau3[[#This Row],[Dettes]]=0,"",(Tableau3[[#This Row],[Dettes]]/Tableau3[[#This Row],[EBE]])),"")</f>
        <v/>
      </c>
      <c r="V40" s="190" t="str">
        <f>IFERROR(Tableau3[[#This Row],[Fonds propres]]/Tableau3[[#This Row],[Total Bilan]],"")</f>
        <v/>
      </c>
      <c r="W40" s="180"/>
      <c r="X40" s="192"/>
      <c r="Y40" s="180"/>
      <c r="Z40" s="192" t="str">
        <f>IFERROR(Tableau3[[#This Row],[Chiffre d''affaires]]/Tableau3[[#This Row],[Salariés]],"")</f>
        <v/>
      </c>
      <c r="AA40" s="188"/>
      <c r="AB40" s="188"/>
      <c r="AC40" s="177" t="s">
        <v>92</v>
      </c>
    </row>
    <row r="41" spans="1:29" ht="20.25" customHeight="1">
      <c r="A41" s="217"/>
      <c r="E41" s="187">
        <v>5.17</v>
      </c>
      <c r="F41" s="178">
        <v>2016</v>
      </c>
      <c r="G41" s="188">
        <v>24844000000</v>
      </c>
      <c r="H41" s="188">
        <v>2714000000</v>
      </c>
      <c r="I41" s="188">
        <v>1049000000</v>
      </c>
      <c r="J41" s="188">
        <v>792000000</v>
      </c>
      <c r="K41" s="188">
        <v>3655000000</v>
      </c>
      <c r="L41" s="188">
        <v>1784000000</v>
      </c>
      <c r="M41" s="194">
        <f>L41/P41</f>
        <v>5.9423232641309598</v>
      </c>
      <c r="N41" s="190">
        <f>J41/L41</f>
        <v>0.44394618834080718</v>
      </c>
      <c r="O41" s="190">
        <f>(I41*0.78)/(K41+L41)</f>
        <v>0.1504357418643133</v>
      </c>
      <c r="P41" s="188">
        <v>300219278</v>
      </c>
      <c r="Q41" s="188">
        <f>P41*E41</f>
        <v>1552133667.26</v>
      </c>
      <c r="R41" s="195">
        <f>Q41/L41</f>
        <v>0.87003008254484304</v>
      </c>
      <c r="S41" s="197">
        <f>(Q41+L41)/H41</f>
        <v>1.2292312701768608</v>
      </c>
      <c r="T41" s="180"/>
      <c r="U41" s="189">
        <f>IFERROR(IF(Tableau3[[#This Row],[Dettes]]=0,"",(Tableau3[[#This Row],[Dettes]]/Tableau3[[#This Row],[EBE]])),"")</f>
        <v>1.3467207074428886</v>
      </c>
      <c r="V41" s="190" t="str">
        <f>IFERROR(Tableau3[[#This Row],[Fonds propres]]/Tableau3[[#This Row],[Total Bilan]],"")</f>
        <v/>
      </c>
      <c r="W41" s="180"/>
      <c r="X41" s="191"/>
      <c r="Y41" s="180"/>
      <c r="Z41" s="192" t="str">
        <f>IFERROR(Tableau3[[#This Row],[Chiffre d''affaires]]/Tableau3[[#This Row],[Salariés]],"")</f>
        <v/>
      </c>
      <c r="AA41" s="197"/>
      <c r="AB41" s="197"/>
      <c r="AC41" s="177" t="s">
        <v>93</v>
      </c>
    </row>
    <row r="42" spans="1:29" ht="20.25" customHeight="1">
      <c r="A42" s="217"/>
      <c r="E42" s="187"/>
      <c r="G42" s="202">
        <f>(G41/G43)-1</f>
        <v>-4.6624966422349257E-2</v>
      </c>
      <c r="H42" s="203">
        <f>(H41/H43)-1</f>
        <v>0.10911319983653445</v>
      </c>
      <c r="I42" s="203">
        <f>(I41/I43)-1</f>
        <v>-5.9192825112107661E-2</v>
      </c>
      <c r="J42" s="203">
        <f>(J41/J43)-1</f>
        <v>5.2362204724409445</v>
      </c>
      <c r="K42" s="188"/>
      <c r="L42" s="188"/>
      <c r="M42" s="194"/>
      <c r="N42" s="188"/>
      <c r="O42" s="188"/>
      <c r="P42" s="188"/>
      <c r="Q42" s="188"/>
      <c r="R42" s="195"/>
      <c r="S42" s="188"/>
      <c r="T42" s="180"/>
      <c r="U42" s="189" t="str">
        <f>IFERROR(IF(Tableau3[[#This Row],[Dettes]]=0,"",(Tableau3[[#This Row],[Dettes]]/Tableau3[[#This Row],[EBE]])),"")</f>
        <v/>
      </c>
      <c r="V42" s="190" t="str">
        <f>IFERROR(Tableau3[[#This Row],[Fonds propres]]/Tableau3[[#This Row],[Total Bilan]],"")</f>
        <v/>
      </c>
      <c r="W42" s="180"/>
      <c r="X42" s="192"/>
      <c r="Y42" s="180"/>
      <c r="Z42" s="192" t="str">
        <f>IFERROR(Tableau3[[#This Row],[Chiffre d''affaires]]/Tableau3[[#This Row],[Salariés]],"")</f>
        <v/>
      </c>
      <c r="AA42" s="188"/>
      <c r="AB42" s="188"/>
      <c r="AC42" s="177" t="s">
        <v>94</v>
      </c>
    </row>
    <row r="43" spans="1:29" ht="20.25" customHeight="1">
      <c r="A43" s="217"/>
      <c r="E43" s="187">
        <v>6.99</v>
      </c>
      <c r="F43" s="178">
        <v>2015</v>
      </c>
      <c r="G43" s="188">
        <v>26059000000</v>
      </c>
      <c r="H43" s="188">
        <v>2447000000</v>
      </c>
      <c r="I43" s="188">
        <v>1115000000</v>
      </c>
      <c r="J43" s="188">
        <v>127000000</v>
      </c>
      <c r="K43" s="188">
        <v>4307000000</v>
      </c>
      <c r="L43" s="188">
        <v>273000000</v>
      </c>
      <c r="M43" s="194">
        <f>L43/P43</f>
        <v>0.90933534254918835</v>
      </c>
      <c r="N43" s="190">
        <f>J43/L43</f>
        <v>0.46520146520146521</v>
      </c>
      <c r="O43" s="190">
        <f>(I43*0.78)/(K43+L43)</f>
        <v>0.18989082969432314</v>
      </c>
      <c r="P43" s="188">
        <v>300219278</v>
      </c>
      <c r="Q43" s="188">
        <f>P43*E43</f>
        <v>2098532753.22</v>
      </c>
      <c r="R43" s="195">
        <f>Q43/L43</f>
        <v>7.6869331619780219</v>
      </c>
      <c r="S43" s="197">
        <f>(Q43+L43)/H43</f>
        <v>0.96915927798120161</v>
      </c>
      <c r="T43" s="180"/>
      <c r="U43" s="189">
        <f>IFERROR(IF(Tableau3[[#This Row],[Dettes]]=0,"",(Tableau3[[#This Row],[Dettes]]/Tableau3[[#This Row],[EBE]])),"")</f>
        <v>1.7601144258275438</v>
      </c>
      <c r="V43" s="190" t="str">
        <f>IFERROR(Tableau3[[#This Row],[Fonds propres]]/Tableau3[[#This Row],[Total Bilan]],"")</f>
        <v/>
      </c>
      <c r="W43" s="180"/>
      <c r="X43" s="191"/>
      <c r="Y43" s="180"/>
      <c r="Z43" s="192" t="str">
        <f>IFERROR(Tableau3[[#This Row],[Chiffre d''affaires]]/Tableau3[[#This Row],[Salariés]],"")</f>
        <v/>
      </c>
      <c r="AA43" s="197"/>
      <c r="AB43" s="197"/>
      <c r="AC43" s="177" t="s">
        <v>95</v>
      </c>
    </row>
    <row r="44" spans="1:29" ht="20.25" customHeight="1">
      <c r="A44" s="217"/>
      <c r="E44" s="187"/>
      <c r="G44" s="202">
        <f>(G43/G45)-1</f>
        <v>4.6042068079640286E-2</v>
      </c>
      <c r="H44" s="203">
        <f>(H43/H45)-1</f>
        <v>0.53996224040276908</v>
      </c>
      <c r="I44" s="203">
        <f>(I43/I45)-1</f>
        <v>0.48468708388814918</v>
      </c>
      <c r="J44" s="203">
        <f>(J43/J45)-1</f>
        <v>-1.5879629629629628</v>
      </c>
      <c r="K44" s="188"/>
      <c r="L44" s="188"/>
      <c r="M44" s="194"/>
      <c r="N44" s="188"/>
      <c r="O44" s="188"/>
      <c r="P44" s="188"/>
      <c r="Q44" s="188"/>
      <c r="R44" s="195"/>
      <c r="S44" s="188"/>
      <c r="T44" s="180"/>
      <c r="U44" s="189" t="str">
        <f>IFERROR(IF(Tableau3[[#This Row],[Dettes]]=0,"",(Tableau3[[#This Row],[Dettes]]/Tableau3[[#This Row],[EBE]])),"")</f>
        <v/>
      </c>
      <c r="V44" s="190" t="str">
        <f>IFERROR(Tableau3[[#This Row],[Fonds propres]]/Tableau3[[#This Row],[Total Bilan]],"")</f>
        <v/>
      </c>
      <c r="W44" s="180"/>
      <c r="X44" s="192"/>
      <c r="Y44" s="180"/>
      <c r="Z44" s="192" t="str">
        <f>IFERROR(Tableau3[[#This Row],[Chiffre d''affaires]]/Tableau3[[#This Row],[Salariés]],"")</f>
        <v/>
      </c>
      <c r="AA44" s="188"/>
      <c r="AB44" s="188"/>
      <c r="AC44" s="177" t="s">
        <v>96</v>
      </c>
    </row>
    <row r="45" spans="1:29" ht="20.25" customHeight="1">
      <c r="A45" s="217"/>
      <c r="E45" s="187">
        <v>8.08</v>
      </c>
      <c r="F45" s="178">
        <v>2014</v>
      </c>
      <c r="G45" s="188">
        <v>24912000000</v>
      </c>
      <c r="H45" s="188">
        <v>1589000000</v>
      </c>
      <c r="I45" s="188">
        <v>751000000</v>
      </c>
      <c r="J45" s="188">
        <v>-216000000</v>
      </c>
      <c r="K45" s="188">
        <v>5407000000</v>
      </c>
      <c r="L45" s="188">
        <v>-653000000</v>
      </c>
      <c r="M45" s="194">
        <f>L45/P45</f>
        <v>-2.1750768449986082</v>
      </c>
      <c r="N45" s="190">
        <f>J45/L45</f>
        <v>0.33078101071975496</v>
      </c>
      <c r="O45" s="190">
        <f>(I45*0.78)/(K45+L45)</f>
        <v>0.12321834244846445</v>
      </c>
      <c r="P45" s="188">
        <v>300219278</v>
      </c>
      <c r="Q45" s="188">
        <f>P45*E45</f>
        <v>2425771766.2400002</v>
      </c>
      <c r="R45" s="195">
        <f>Q45/L45</f>
        <v>-3.7148112806125577</v>
      </c>
      <c r="S45" s="197">
        <f>(Q45+L45)/H45</f>
        <v>1.1156524645940844</v>
      </c>
      <c r="T45" s="180"/>
      <c r="U45" s="189">
        <f>IFERROR(IF(Tableau3[[#This Row],[Dettes]]=0,"",(Tableau3[[#This Row],[Dettes]]/Tableau3[[#This Row],[EBE]])),"")</f>
        <v>3.4027690371302706</v>
      </c>
      <c r="V45" s="190" t="str">
        <f>IFERROR(Tableau3[[#This Row],[Fonds propres]]/Tableau3[[#This Row],[Total Bilan]],"")</f>
        <v/>
      </c>
      <c r="W45" s="180"/>
      <c r="X45" s="191"/>
      <c r="Y45" s="180"/>
      <c r="Z45" s="192" t="str">
        <f>IFERROR(Tableau3[[#This Row],[Chiffre d''affaires]]/Tableau3[[#This Row],[Salariés]],"")</f>
        <v/>
      </c>
      <c r="AA45" s="197"/>
      <c r="AB45" s="197"/>
    </row>
    <row r="46" spans="1:29" ht="20.25" customHeight="1">
      <c r="A46" s="217"/>
      <c r="E46" s="187"/>
      <c r="G46" s="202">
        <f>(G45/G47)-1</f>
        <v>-2.3824451410658254E-2</v>
      </c>
      <c r="H46" s="203">
        <f>(H45/H47)-1</f>
        <v>-0.14339622641509431</v>
      </c>
      <c r="I46" s="203">
        <f>(I45/I47)-1</f>
        <v>4.7769230769230768</v>
      </c>
      <c r="J46" s="203">
        <f>(J45/J47)-1</f>
        <v>-0.88177339901477836</v>
      </c>
      <c r="K46" s="188"/>
      <c r="L46" s="188"/>
      <c r="M46" s="194"/>
      <c r="N46" s="188"/>
      <c r="O46" s="188"/>
      <c r="P46" s="188"/>
      <c r="Q46" s="188"/>
      <c r="R46" s="195"/>
      <c r="S46" s="188"/>
      <c r="T46" s="180"/>
      <c r="U46" s="189" t="str">
        <f>IFERROR(IF(Tableau3[[#This Row],[Dettes]]=0,"",(Tableau3[[#This Row],[Dettes]]/Tableau3[[#This Row],[EBE]])),"")</f>
        <v/>
      </c>
      <c r="V46" s="190" t="str">
        <f>IFERROR(Tableau3[[#This Row],[Fonds propres]]/Tableau3[[#This Row],[Total Bilan]],"")</f>
        <v/>
      </c>
      <c r="W46" s="180"/>
      <c r="X46" s="192"/>
      <c r="Y46" s="180"/>
      <c r="Z46" s="192" t="str">
        <f>IFERROR(Tableau3[[#This Row],[Chiffre d''affaires]]/Tableau3[[#This Row],[Salariés]],"")</f>
        <v/>
      </c>
      <c r="AA46" s="188"/>
      <c r="AB46" s="188"/>
    </row>
    <row r="47" spans="1:29" ht="20.25" customHeight="1">
      <c r="A47" s="217"/>
      <c r="E47" s="187">
        <v>7.67</v>
      </c>
      <c r="F47" s="178">
        <v>2013</v>
      </c>
      <c r="G47" s="188">
        <v>25520000000</v>
      </c>
      <c r="H47" s="188">
        <v>1855000000</v>
      </c>
      <c r="I47" s="188">
        <v>130000000</v>
      </c>
      <c r="J47" s="188">
        <v>-1827000000</v>
      </c>
      <c r="K47" s="188">
        <v>5348000000</v>
      </c>
      <c r="L47" s="188">
        <v>2242000000</v>
      </c>
      <c r="M47" s="194">
        <f>L47/P47</f>
        <v>7.4678748644515762</v>
      </c>
      <c r="N47" s="190">
        <f>J47/L47</f>
        <v>-0.81489741302408569</v>
      </c>
      <c r="O47" s="190">
        <f>(I47*0.78)/(K47+L47)</f>
        <v>1.3359683794466403E-2</v>
      </c>
      <c r="P47" s="188">
        <v>300219278</v>
      </c>
      <c r="Q47" s="188">
        <f>P47*E47</f>
        <v>2302681862.2599998</v>
      </c>
      <c r="R47" s="195">
        <f>Q47/L47</f>
        <v>1.0270659510526314</v>
      </c>
      <c r="S47" s="197">
        <f>(Q47+L47)/H47</f>
        <v>2.4499632680646903</v>
      </c>
      <c r="T47" s="180"/>
      <c r="U47" s="189">
        <f>IFERROR(IF(Tableau3[[#This Row],[Dettes]]=0,"",(Tableau3[[#This Row],[Dettes]]/Tableau3[[#This Row],[EBE]])),"")</f>
        <v>2.8830188679245281</v>
      </c>
      <c r="V47" s="190" t="str">
        <f>IFERROR(Tableau3[[#This Row],[Fonds propres]]/Tableau3[[#This Row],[Total Bilan]],"")</f>
        <v/>
      </c>
      <c r="W47" s="180"/>
      <c r="X47" s="191"/>
      <c r="Y47" s="180"/>
      <c r="Z47" s="192" t="str">
        <f>IFERROR(Tableau3[[#This Row],[Chiffre d''affaires]]/Tableau3[[#This Row],[Salariés]],"")</f>
        <v/>
      </c>
      <c r="AA47" s="197"/>
      <c r="AB47" s="197"/>
    </row>
    <row r="48" spans="1:29" ht="20.25" customHeight="1">
      <c r="A48" s="217"/>
      <c r="E48" s="187"/>
      <c r="G48" s="202">
        <f>(G47/G49)-1</f>
        <v>3.8154427093577414E-3</v>
      </c>
      <c r="H48" s="203">
        <f>(H47/H49)-1</f>
        <v>0.33070301291248216</v>
      </c>
      <c r="I48" s="203">
        <f>(I47/I49)-1</f>
        <v>-1.3869047619047619</v>
      </c>
      <c r="J48" s="203">
        <f>(J47/J49)-1</f>
        <v>0.49142857142857133</v>
      </c>
      <c r="K48" s="188"/>
      <c r="L48" s="188"/>
      <c r="M48" s="188"/>
      <c r="N48" s="188"/>
      <c r="O48" s="188"/>
      <c r="P48" s="188"/>
      <c r="Q48" s="188"/>
      <c r="R48" s="195"/>
      <c r="S48" s="188"/>
      <c r="T48" s="180"/>
      <c r="U48" s="189" t="str">
        <f>IFERROR(IF(Tableau3[[#This Row],[Dettes]]=0,"",(Tableau3[[#This Row],[Dettes]]/Tableau3[[#This Row],[EBE]])),"")</f>
        <v/>
      </c>
      <c r="V48" s="190" t="str">
        <f>IFERROR(Tableau3[[#This Row],[Fonds propres]]/Tableau3[[#This Row],[Total Bilan]],"")</f>
        <v/>
      </c>
      <c r="W48" s="180"/>
      <c r="X48" s="192"/>
      <c r="Y48" s="180"/>
      <c r="Z48" s="192" t="str">
        <f>IFERROR(Tableau3[[#This Row],[Chiffre d''affaires]]/Tableau3[[#This Row],[Salariés]],"")</f>
        <v/>
      </c>
      <c r="AA48" s="188"/>
      <c r="AB48" s="188"/>
    </row>
    <row r="49" spans="1:29" ht="20.25" customHeight="1">
      <c r="A49" s="217"/>
      <c r="E49" s="187">
        <v>7.03</v>
      </c>
      <c r="F49" s="178">
        <v>2012</v>
      </c>
      <c r="G49" s="188">
        <v>25423000000</v>
      </c>
      <c r="H49" s="188">
        <v>1394000000</v>
      </c>
      <c r="I49" s="188">
        <v>-336000000</v>
      </c>
      <c r="J49" s="188">
        <v>-1225000000</v>
      </c>
      <c r="K49" s="188">
        <v>5966000000</v>
      </c>
      <c r="L49" s="188">
        <v>3589000000</v>
      </c>
      <c r="M49" s="194">
        <f>L49/P49</f>
        <v>11.954595400765703</v>
      </c>
      <c r="N49" s="190">
        <f>J49/L49</f>
        <v>-0.34132070214544441</v>
      </c>
      <c r="O49" s="190">
        <f>(I49*0.78)/(K49+L49)</f>
        <v>-2.7428571428571427E-2</v>
      </c>
      <c r="P49" s="188">
        <v>300219278</v>
      </c>
      <c r="Q49" s="188">
        <f>P49*E49</f>
        <v>2110541524.3400002</v>
      </c>
      <c r="R49" s="195">
        <f>Q49/L49</f>
        <v>0.58805837958762885</v>
      </c>
      <c r="S49" s="197">
        <f>(Q49+L49)/H49</f>
        <v>4.0886237620803447</v>
      </c>
      <c r="T49" s="180"/>
      <c r="U49" s="189">
        <f>IFERROR(IF(Tableau3[[#This Row],[Dettes]]=0,"",(Tableau3[[#This Row],[Dettes]]/Tableau3[[#This Row],[EBE]])),"")</f>
        <v>4.2797704447632707</v>
      </c>
      <c r="V49" s="190" t="str">
        <f>IFERROR(Tableau3[[#This Row],[Fonds propres]]/Tableau3[[#This Row],[Total Bilan]],"")</f>
        <v/>
      </c>
      <c r="W49" s="180"/>
      <c r="X49" s="191"/>
      <c r="Y49" s="180"/>
      <c r="Z49" s="192" t="str">
        <f>IFERROR(Tableau3[[#This Row],[Chiffre d''affaires]]/Tableau3[[#This Row],[Salariés]],"")</f>
        <v/>
      </c>
      <c r="AA49" s="197"/>
      <c r="AB49" s="197"/>
    </row>
    <row r="50" spans="1:29" ht="20.25" customHeight="1">
      <c r="A50" s="217"/>
      <c r="E50" s="187"/>
      <c r="G50" s="188"/>
      <c r="H50" s="188"/>
      <c r="I50" s="188"/>
      <c r="J50" s="188"/>
      <c r="K50" s="188"/>
      <c r="L50" s="188"/>
      <c r="M50" s="188"/>
      <c r="N50" s="188"/>
      <c r="O50" s="188"/>
      <c r="P50" s="188"/>
      <c r="Q50" s="188"/>
      <c r="R50" s="195"/>
      <c r="S50" s="188"/>
      <c r="T50" s="180"/>
      <c r="U50" s="189" t="str">
        <f>IFERROR(IF(Tableau3[[#This Row],[Dettes]]=0,"",(Tableau3[[#This Row],[Dettes]]/Tableau3[[#This Row],[EBE]])),"")</f>
        <v/>
      </c>
      <c r="V50" s="190" t="str">
        <f>IFERROR(Tableau3[[#This Row],[Fonds propres]]/Tableau3[[#This Row],[Total Bilan]],"")</f>
        <v/>
      </c>
      <c r="W50" s="180"/>
      <c r="X50" s="192"/>
      <c r="Y50" s="180"/>
      <c r="Z50" s="192" t="str">
        <f>IFERROR(Tableau3[[#This Row],[Chiffre d''affaires]]/Tableau3[[#This Row],[Salariés]],"")</f>
        <v/>
      </c>
      <c r="AA50" s="188"/>
      <c r="AB50" s="188"/>
    </row>
    <row r="51" spans="1:29" ht="20.25" customHeight="1">
      <c r="A51" s="217"/>
      <c r="E51" s="187"/>
      <c r="G51" s="188"/>
      <c r="H51" s="188"/>
      <c r="I51" s="188"/>
      <c r="J51" s="188"/>
      <c r="K51" s="188"/>
      <c r="L51" s="188"/>
      <c r="M51" s="188"/>
      <c r="N51" s="188"/>
      <c r="O51" s="188"/>
      <c r="P51" s="188"/>
      <c r="Q51" s="188"/>
      <c r="R51" s="195"/>
      <c r="S51" s="188"/>
      <c r="T51" s="180"/>
      <c r="U51" s="189" t="str">
        <f>IFERROR(IF(Tableau3[[#This Row],[Dettes]]=0,"",(Tableau3[[#This Row],[Dettes]]/Tableau3[[#This Row],[EBE]])),"")</f>
        <v/>
      </c>
      <c r="V51" s="190" t="str">
        <f>IFERROR(Tableau3[[#This Row],[Fonds propres]]/Tableau3[[#This Row],[Total Bilan]],"")</f>
        <v/>
      </c>
      <c r="W51" s="180"/>
      <c r="X51" s="192"/>
      <c r="Y51" s="180"/>
      <c r="Z51" s="192" t="str">
        <f>IFERROR(Tableau3[[#This Row],[Chiffre d''affaires]]/Tableau3[[#This Row],[Salariés]],"")</f>
        <v/>
      </c>
      <c r="AA51" s="188"/>
      <c r="AB51" s="188"/>
    </row>
    <row r="52" spans="1:29" ht="20.25" customHeight="1">
      <c r="A52" s="217"/>
      <c r="E52" s="187"/>
      <c r="G52" s="188"/>
      <c r="H52" s="188"/>
      <c r="I52" s="188"/>
      <c r="J52" s="188"/>
      <c r="K52" s="188"/>
      <c r="L52" s="188"/>
      <c r="M52" s="188"/>
      <c r="N52" s="188"/>
      <c r="O52" s="188"/>
      <c r="P52" s="188"/>
      <c r="Q52" s="188"/>
      <c r="R52" s="195"/>
      <c r="S52" s="188"/>
      <c r="T52" s="180"/>
      <c r="U52" s="189" t="str">
        <f>IFERROR(IF(Tableau3[[#This Row],[Dettes]]=0,"",(Tableau3[[#This Row],[Dettes]]/Tableau3[[#This Row],[EBE]])),"")</f>
        <v/>
      </c>
      <c r="V52" s="190" t="str">
        <f>IFERROR(Tableau3[[#This Row],[Fonds propres]]/Tableau3[[#This Row],[Total Bilan]],"")</f>
        <v/>
      </c>
      <c r="W52" s="180"/>
      <c r="X52" s="192"/>
      <c r="Y52" s="180"/>
      <c r="Z52" s="192" t="str">
        <f>IFERROR(Tableau3[[#This Row],[Chiffre d''affaires]]/Tableau3[[#This Row],[Salariés]],"")</f>
        <v/>
      </c>
      <c r="AA52" s="188"/>
      <c r="AB52" s="188"/>
    </row>
    <row r="53" spans="1:29" ht="20.25" customHeight="1">
      <c r="A53" s="217" t="s">
        <v>97</v>
      </c>
      <c r="B53" s="216" t="s">
        <v>98</v>
      </c>
      <c r="C53" s="178" t="s">
        <v>99</v>
      </c>
      <c r="D53" s="188" t="s">
        <v>100</v>
      </c>
      <c r="E53" s="187"/>
      <c r="F53" s="178">
        <v>2025</v>
      </c>
      <c r="G53" s="188"/>
      <c r="H53" s="188"/>
      <c r="I53" s="188"/>
      <c r="J53" s="188"/>
      <c r="K53" s="188"/>
      <c r="L53" s="188"/>
      <c r="M53" s="188"/>
      <c r="N53" s="188"/>
      <c r="O53" s="188"/>
      <c r="P53" s="188"/>
      <c r="Q53" s="188"/>
      <c r="R53" s="195"/>
      <c r="S53" s="188"/>
      <c r="T53" s="180"/>
      <c r="U53" s="189" t="str">
        <f>IFERROR(IF(Tableau3[[#This Row],[Dettes]]=0,"",(Tableau3[[#This Row],[Dettes]]/Tableau3[[#This Row],[EBE]])),"")</f>
        <v/>
      </c>
      <c r="V53" s="190" t="str">
        <f>IFERROR(Tableau3[[#This Row],[Fonds propres]]/Tableau3[[#This Row],[Total Bilan]],"")</f>
        <v/>
      </c>
      <c r="W53" s="180"/>
      <c r="X53" s="192"/>
      <c r="Y53" s="180">
        <v>32477</v>
      </c>
      <c r="Z53" s="192">
        <f>IFERROR(Tableau3[[#This Row],[Chiffre d''affaires]]/Tableau3[[#This Row],[Salariés]],"")</f>
        <v>0</v>
      </c>
      <c r="AA53" s="188" t="s">
        <v>101</v>
      </c>
      <c r="AB53" s="188"/>
      <c r="AC53" s="177" t="s">
        <v>102</v>
      </c>
    </row>
    <row r="54" spans="1:29" ht="20.25" customHeight="1">
      <c r="A54" s="217"/>
      <c r="E54" s="187"/>
      <c r="G54" s="188"/>
      <c r="H54" s="188"/>
      <c r="I54" s="188"/>
      <c r="J54" s="188"/>
      <c r="K54" s="188"/>
      <c r="L54" s="188"/>
      <c r="M54" s="188"/>
      <c r="N54" s="188"/>
      <c r="O54" s="188"/>
      <c r="P54" s="188"/>
      <c r="Q54" s="188"/>
      <c r="R54" s="195"/>
      <c r="S54" s="188"/>
      <c r="T54" s="180"/>
      <c r="U54" s="189" t="str">
        <f>IFERROR(IF(Tableau3[[#This Row],[Dettes]]=0,"",(Tableau3[[#This Row],[Dettes]]/Tableau3[[#This Row],[EBE]])),"")</f>
        <v/>
      </c>
      <c r="V54" s="190" t="str">
        <f>IFERROR(Tableau3[[#This Row],[Fonds propres]]/Tableau3[[#This Row],[Total Bilan]],"")</f>
        <v/>
      </c>
      <c r="W54" s="180"/>
      <c r="X54" s="192"/>
      <c r="Y54" s="180"/>
      <c r="Z54" s="192" t="str">
        <f>IFERROR(Tableau3[[#This Row],[Chiffre d''affaires]]/Tableau3[[#This Row],[Salariés]],"")</f>
        <v/>
      </c>
      <c r="AA54" s="188" t="s">
        <v>104</v>
      </c>
      <c r="AB54" s="188"/>
      <c r="AC54" s="177" t="s">
        <v>105</v>
      </c>
    </row>
    <row r="55" spans="1:29" ht="20.25" customHeight="1">
      <c r="A55" s="217"/>
      <c r="E55" s="187">
        <v>165</v>
      </c>
      <c r="F55" s="178">
        <v>2024</v>
      </c>
      <c r="G55" s="188">
        <v>6735000000</v>
      </c>
      <c r="H55" s="188">
        <v>1000000000</v>
      </c>
      <c r="I55" s="188">
        <v>304000000</v>
      </c>
      <c r="J55" s="188">
        <v>193000000</v>
      </c>
      <c r="K55" s="188">
        <v>-1376000000</v>
      </c>
      <c r="L55" s="188">
        <v>12112000000</v>
      </c>
      <c r="M55" s="194">
        <v>235</v>
      </c>
      <c r="N55" s="190">
        <f>J55/(L58+K58)</f>
        <v>1.8904887844059165E-2</v>
      </c>
      <c r="O55" s="190">
        <f>(I55*0.78)/(K58+L58)</f>
        <v>2.3226564795768439E-2</v>
      </c>
      <c r="P55" s="188">
        <v>28936000</v>
      </c>
      <c r="Q55" s="188">
        <f>(P55*E55)+(E56*P56)</f>
        <v>8527555950</v>
      </c>
      <c r="R55" s="195">
        <f>Q55/L55</f>
        <v>0.70405845029722591</v>
      </c>
      <c r="S55" s="197">
        <f>(Q55+K55)/H55</f>
        <v>7.1515559499999997</v>
      </c>
      <c r="T55" s="180"/>
      <c r="U55" s="189">
        <f>IFERROR(IF(Tableau3[[#This Row],[Dettes]]=0,"",(Tableau3[[#This Row],[Dettes]]/Tableau3[[#This Row],[EBE]])),"")</f>
        <v>-1.3759999999999999</v>
      </c>
      <c r="V55" s="190">
        <f>IFERROR(Tableau3[[#This Row],[Fonds propres]]/Tableau3[[#This Row],[Total Bilan]],"")</f>
        <v>0.8656375071469411</v>
      </c>
      <c r="W55" s="180">
        <v>13992000000</v>
      </c>
      <c r="X55" s="192" t="s">
        <v>106</v>
      </c>
      <c r="Y55" s="180">
        <v>32477</v>
      </c>
      <c r="Z55" s="192">
        <f>Tableau3[[#This Row],[Chiffre d''affaires]]/Tableau3[[#This Row],[Salariés]]</f>
        <v>207377.52871262739</v>
      </c>
      <c r="AA55" s="188" t="s">
        <v>107</v>
      </c>
      <c r="AB55" s="188"/>
      <c r="AC55" s="177" t="s">
        <v>108</v>
      </c>
    </row>
    <row r="56" spans="1:29" ht="20.25" customHeight="1">
      <c r="A56" s="217"/>
      <c r="E56" s="187">
        <v>32.1</v>
      </c>
      <c r="G56" s="203">
        <f>(G55/G58)-1</f>
        <v>-0.14617139959432046</v>
      </c>
      <c r="H56" s="203">
        <f>(H55/H58)-1</f>
        <v>-0.41176470588235292</v>
      </c>
      <c r="I56" s="203">
        <f>(I55/I58)-1</f>
        <v>-0.7447523089840471</v>
      </c>
      <c r="J56" s="203">
        <f>(J55/J58)-1</f>
        <v>-0.7779056386651324</v>
      </c>
      <c r="K56" s="188"/>
      <c r="L56" s="188"/>
      <c r="M56" s="188"/>
      <c r="N56" s="188"/>
      <c r="O56" s="188"/>
      <c r="P56" s="188">
        <v>116919500</v>
      </c>
      <c r="Q56" s="188"/>
      <c r="R56" s="195"/>
      <c r="S56" s="188"/>
      <c r="T56" s="180"/>
      <c r="U56" s="189" t="str">
        <f>IFERROR(IF(Tableau3[[#This Row],[Dettes]]=0,"",(Tableau3[[#This Row],[Dettes]]/Tableau3[[#This Row],[EBE]])),"")</f>
        <v/>
      </c>
      <c r="V56" s="190" t="str">
        <f>IFERROR(Tableau3[[#This Row],[Fonds propres]]/Tableau3[[#This Row],[Total Bilan]],"")</f>
        <v/>
      </c>
      <c r="W56" s="180"/>
      <c r="X56" s="192"/>
      <c r="Y56" s="180"/>
      <c r="Z56" s="192" t="str">
        <f>IFERROR(Tableau3[[#This Row],[Chiffre d''affaires]]/Tableau3[[#This Row],[Salariés]],"")</f>
        <v/>
      </c>
      <c r="AB56" s="188"/>
      <c r="AC56" s="177" t="s">
        <v>109</v>
      </c>
    </row>
    <row r="57" spans="1:29" ht="20.25" customHeight="1">
      <c r="A57" s="217"/>
      <c r="G57" s="188"/>
      <c r="H57" s="188"/>
      <c r="I57" s="178"/>
      <c r="J57" s="178"/>
      <c r="K57" s="178"/>
      <c r="L57" s="178"/>
      <c r="M57" s="178"/>
      <c r="N57" s="178"/>
      <c r="O57" s="178"/>
      <c r="P57" s="178"/>
      <c r="Q57" s="178"/>
      <c r="R57" s="178"/>
      <c r="S57" s="178"/>
      <c r="T57" s="180"/>
      <c r="U57" s="189"/>
      <c r="V57" s="190" t="str">
        <f>IFERROR(Tableau3[[#This Row],[Fonds propres]]/Tableau3[[#This Row],[Total Bilan]],"")</f>
        <v/>
      </c>
      <c r="W57" s="180"/>
      <c r="X57" s="192"/>
      <c r="Y57" s="180"/>
      <c r="Z57" s="192"/>
      <c r="AB57" s="188"/>
      <c r="AC57" s="177" t="s">
        <v>110</v>
      </c>
    </row>
    <row r="58" spans="1:29" ht="20.25" customHeight="1">
      <c r="A58" s="217"/>
      <c r="D58" s="188"/>
      <c r="E58" s="187">
        <v>228.6</v>
      </c>
      <c r="F58" s="178">
        <v>2023</v>
      </c>
      <c r="G58" s="188">
        <v>7888000000</v>
      </c>
      <c r="H58" s="188">
        <v>1700000000</v>
      </c>
      <c r="I58" s="188">
        <v>1191000000</v>
      </c>
      <c r="J58" s="188">
        <v>869000000</v>
      </c>
      <c r="K58" s="188">
        <v>-1988000000</v>
      </c>
      <c r="L58" s="188">
        <v>12197000000</v>
      </c>
      <c r="M58" s="194">
        <v>238</v>
      </c>
      <c r="N58" s="190">
        <f>J58/(L61+K61)</f>
        <v>9.1367889811796874E-2</v>
      </c>
      <c r="O58" s="190">
        <f>(I58*0.78)/(K61+L61)</f>
        <v>9.7674271895699716E-2</v>
      </c>
      <c r="P58" s="188">
        <v>28936000</v>
      </c>
      <c r="Q58" s="188">
        <f>(P58*E58)+(E59*P59)</f>
        <v>11765073575</v>
      </c>
      <c r="R58" s="195">
        <f>Q58/L58</f>
        <v>0.96458748667705174</v>
      </c>
      <c r="S58" s="197">
        <f>(Q58+K58)/H58</f>
        <v>5.7512197499999997</v>
      </c>
      <c r="T58" s="180">
        <v>1000000000</v>
      </c>
      <c r="U58" s="189">
        <f>IFERROR(IF(Tableau3[[#This Row],[Dettes]]=0,"",(Tableau3[[#This Row],[Dettes]]/Tableau3[[#This Row],[EBE]])),"")</f>
        <v>-1.1694117647058824</v>
      </c>
      <c r="V58" s="190">
        <f>IFERROR(Tableau3[[#This Row],[Fonds propres]]/Tableau3[[#This Row],[Total Bilan]],"")</f>
        <v>0.8571930564340432</v>
      </c>
      <c r="W58" s="180">
        <v>14229000000</v>
      </c>
      <c r="X58" s="192"/>
      <c r="Y58" s="180">
        <v>33602</v>
      </c>
      <c r="Z58" s="192">
        <f>IFERROR(Tableau3[[#This Row],[Chiffre d''affaires]]/Tableau3[[#This Row],[Salariés]],"")</f>
        <v>234747.93167073387</v>
      </c>
      <c r="AB58" s="188"/>
      <c r="AC58" s="177" t="s">
        <v>111</v>
      </c>
    </row>
    <row r="59" spans="1:29" ht="20.25" customHeight="1">
      <c r="A59" s="217"/>
      <c r="E59" s="187">
        <v>44.05</v>
      </c>
      <c r="G59" s="203">
        <f>(G58/G61)-1</f>
        <v>5.1873583144419255E-2</v>
      </c>
      <c r="H59" s="203">
        <f>(H58/H61)-1</f>
        <v>1.1904761904761862E-2</v>
      </c>
      <c r="I59" s="203">
        <f>(I58/I61)-1</f>
        <v>2.8497409326424972E-2</v>
      </c>
      <c r="J59" s="203">
        <f>(J58/J61)-1</f>
        <v>7.6827757125154994E-2</v>
      </c>
      <c r="K59" s="188"/>
      <c r="L59" s="188"/>
      <c r="M59" s="188"/>
      <c r="N59" s="188"/>
      <c r="O59" s="188"/>
      <c r="P59" s="188">
        <v>116919500</v>
      </c>
      <c r="Q59" s="188"/>
      <c r="R59" s="195"/>
      <c r="S59" s="188"/>
      <c r="T59" s="180"/>
      <c r="U59" s="189" t="str">
        <f>IFERROR(IF(Tableau3[[#This Row],[Dettes]]=0,"",(Tableau3[[#This Row],[Dettes]]/Tableau3[[#This Row],[EBE]])),"")</f>
        <v/>
      </c>
      <c r="V59" s="190"/>
      <c r="W59" s="180"/>
      <c r="X59" s="192"/>
      <c r="Y59" s="180"/>
      <c r="Z59" s="192" t="str">
        <f>IFERROR(Tableau3[[#This Row],[Chiffre d''affaires]]/Tableau3[[#This Row],[Salariés]],"")</f>
        <v/>
      </c>
      <c r="AB59" s="188"/>
      <c r="AC59" s="177" t="s">
        <v>4503</v>
      </c>
    </row>
    <row r="60" spans="1:29" ht="20.25" customHeight="1">
      <c r="A60" s="217"/>
      <c r="C60" s="187"/>
      <c r="E60" s="187"/>
      <c r="G60" s="188"/>
      <c r="H60" s="188"/>
      <c r="I60" s="188"/>
      <c r="J60" s="188"/>
      <c r="K60" s="188"/>
      <c r="L60" s="188"/>
      <c r="M60" s="188"/>
      <c r="N60" s="188"/>
      <c r="O60" s="188"/>
      <c r="P60" s="188"/>
      <c r="Q60" s="188"/>
      <c r="R60" s="195"/>
      <c r="S60" s="188"/>
      <c r="T60" s="180"/>
      <c r="U60" s="189" t="str">
        <f>IFERROR(IF(Tableau3[[#This Row],[Dettes]]=0,"",(Tableau3[[#This Row],[Dettes]]/Tableau3[[#This Row],[EBE]])),"")</f>
        <v/>
      </c>
      <c r="V60" s="190"/>
      <c r="W60" s="180"/>
      <c r="X60" s="192"/>
      <c r="Y60" s="180"/>
      <c r="Z60" s="192"/>
      <c r="AA60" s="177"/>
      <c r="AC60" s="177" t="s">
        <v>4498</v>
      </c>
    </row>
    <row r="61" spans="1:29" ht="20.25" customHeight="1">
      <c r="A61" s="217"/>
      <c r="C61" s="187"/>
      <c r="D61" s="188"/>
      <c r="E61" s="187">
        <v>263</v>
      </c>
      <c r="F61" s="178">
        <v>2022</v>
      </c>
      <c r="G61" s="188">
        <v>7499000000</v>
      </c>
      <c r="H61" s="188">
        <v>1680000000</v>
      </c>
      <c r="I61" s="188">
        <v>1158000000</v>
      </c>
      <c r="J61" s="188">
        <v>807000000</v>
      </c>
      <c r="K61" s="188">
        <v>-2540000000</v>
      </c>
      <c r="L61" s="188">
        <v>12051000000</v>
      </c>
      <c r="M61" s="194">
        <v>219</v>
      </c>
      <c r="N61" s="190">
        <f>J61/(L64+K64)</f>
        <v>8.9200840057477623E-2</v>
      </c>
      <c r="O61" s="190">
        <f>(I61*0.78)/(K64+L64)</f>
        <v>9.9838620537194653E-2</v>
      </c>
      <c r="P61" s="188">
        <f>P64</f>
        <v>28883462</v>
      </c>
      <c r="Q61" s="188">
        <f>(P61*E61)+(E62*P62)</f>
        <v>14464668466</v>
      </c>
      <c r="R61" s="195">
        <f>Q61/L61</f>
        <v>1.2002878156169612</v>
      </c>
      <c r="S61" s="197">
        <f>(Q61+K61)/H61</f>
        <v>7.0980169440476191</v>
      </c>
      <c r="T61" s="180">
        <v>342000000</v>
      </c>
      <c r="U61" s="189">
        <f>IFERROR(IF(Tableau3[[#This Row],[Dettes]]=0,"",(Tableau3[[#This Row],[Dettes]]/Tableau3[[#This Row],[EBE]])),"")</f>
        <v>-1.5119047619047619</v>
      </c>
      <c r="V61" s="190">
        <f>IFERROR(Tableau3[[#This Row],[Fonds propres]]/Tableau3[[#This Row],[Total Bilan]],"")</f>
        <v>0.86760259179265664</v>
      </c>
      <c r="W61" s="180">
        <v>13890000000</v>
      </c>
      <c r="X61" s="192"/>
      <c r="Y61" s="180">
        <v>32061</v>
      </c>
      <c r="Z61" s="192">
        <f>IFERROR(Tableau3[[#This Row],[Chiffre d''affaires]]/Tableau3[[#This Row],[Salariés]],"")</f>
        <v>233897.88216212843</v>
      </c>
      <c r="AA61" s="188"/>
      <c r="AB61" s="188"/>
      <c r="AC61" s="177" t="s">
        <v>4504</v>
      </c>
    </row>
    <row r="62" spans="1:29" ht="20.25" customHeight="1">
      <c r="A62" s="217"/>
      <c r="C62" s="187"/>
      <c r="E62" s="187">
        <v>60</v>
      </c>
      <c r="G62" s="203">
        <f>(G61/G64)-1</f>
        <v>2.5434158348147218E-2</v>
      </c>
      <c r="H62" s="203">
        <f>(H61/H64)-1</f>
        <v>0.15147361206305687</v>
      </c>
      <c r="I62" s="203">
        <f>(I61/I64)-1</f>
        <v>0.13418217433888335</v>
      </c>
      <c r="J62" s="203">
        <f>(J61/J64)-1</f>
        <v>5.4901960784313752E-2</v>
      </c>
      <c r="K62" s="188"/>
      <c r="L62" s="188"/>
      <c r="M62" s="188"/>
      <c r="N62" s="188"/>
      <c r="O62" s="188"/>
      <c r="P62" s="188">
        <v>114471966</v>
      </c>
      <c r="Q62" s="188"/>
      <c r="R62" s="195"/>
      <c r="S62" s="188"/>
      <c r="T62" s="180"/>
      <c r="U62" s="189" t="str">
        <f>IFERROR(IF(Tableau3[[#This Row],[Dettes]]=0,"",(Tableau3[[#This Row],[Dettes]]/Tableau3[[#This Row],[EBE]])),"")</f>
        <v/>
      </c>
      <c r="V62" s="190" t="str">
        <f>IFERROR(Tableau3[[#This Row],[Fonds propres]]/Tableau3[[#This Row],[Total Bilan]],"")</f>
        <v/>
      </c>
      <c r="W62" s="180"/>
      <c r="X62" s="192"/>
      <c r="Y62" s="180"/>
      <c r="Z62" s="192" t="str">
        <f>IFERROR(Tableau3[[#This Row],[Chiffre d''affaires]]/Tableau3[[#This Row],[Salariés]],"")</f>
        <v/>
      </c>
      <c r="AA62" s="188"/>
      <c r="AB62" s="188"/>
      <c r="AC62" s="177" t="s">
        <v>2669</v>
      </c>
    </row>
    <row r="63" spans="1:29" ht="20.25" customHeight="1">
      <c r="A63" s="217"/>
      <c r="C63" s="187"/>
      <c r="E63" s="187"/>
      <c r="G63" s="188"/>
      <c r="H63" s="188"/>
      <c r="I63" s="188"/>
      <c r="J63" s="188"/>
      <c r="K63" s="188"/>
      <c r="L63" s="188"/>
      <c r="M63" s="188"/>
      <c r="N63" s="188"/>
      <c r="O63" s="188"/>
      <c r="P63" s="188"/>
      <c r="Q63" s="188"/>
      <c r="R63" s="195"/>
      <c r="S63" s="188"/>
      <c r="T63" s="180"/>
      <c r="U63" s="189" t="str">
        <f>IFERROR(IF(Tableau3[[#This Row],[Dettes]]=0,"",(Tableau3[[#This Row],[Dettes]]/Tableau3[[#This Row],[EBE]])),"")</f>
        <v/>
      </c>
      <c r="V63" s="190" t="str">
        <f>IFERROR(Tableau3[[#This Row],[Fonds propres]]/Tableau3[[#This Row],[Total Bilan]],"")</f>
        <v/>
      </c>
      <c r="W63" s="180"/>
      <c r="X63" s="192"/>
      <c r="Y63" s="180"/>
      <c r="Z63" s="192" t="str">
        <f>IFERROR(Tableau3[[#This Row],[Chiffre d''affaires]]/Tableau3[[#This Row],[Salariés]],"")</f>
        <v/>
      </c>
      <c r="AA63" s="188"/>
      <c r="AB63" s="188"/>
      <c r="AC63" s="177" t="s">
        <v>4505</v>
      </c>
    </row>
    <row r="64" spans="1:29" ht="20.25" customHeight="1">
      <c r="A64" s="217"/>
      <c r="C64" s="187"/>
      <c r="D64" s="188"/>
      <c r="E64" s="187">
        <v>279</v>
      </c>
      <c r="F64" s="178">
        <v>2021</v>
      </c>
      <c r="G64" s="188">
        <v>7313000000</v>
      </c>
      <c r="H64" s="188">
        <v>1459000000</v>
      </c>
      <c r="I64" s="188">
        <v>1021000000</v>
      </c>
      <c r="J64" s="188">
        <v>765000000</v>
      </c>
      <c r="K64" s="188">
        <v>-2558000000</v>
      </c>
      <c r="L64" s="188">
        <v>11605000000</v>
      </c>
      <c r="M64" s="194">
        <v>228</v>
      </c>
      <c r="N64" s="190">
        <f>J64/(L67+K67)</f>
        <v>8.2568807339449546E-2</v>
      </c>
      <c r="O64" s="190">
        <f>(I64*0.78)/(K67+L67)</f>
        <v>8.5955747436589319E-2</v>
      </c>
      <c r="P64" s="188">
        <v>28883462</v>
      </c>
      <c r="Q64" s="188">
        <f>(P64*E64)+(E65*P65)</f>
        <v>14177012480.700001</v>
      </c>
      <c r="R64" s="195">
        <f>Q64/L64</f>
        <v>1.2216296838173202</v>
      </c>
      <c r="S64" s="197">
        <f>(Q64+K64)/H64</f>
        <v>7.9636823034270057</v>
      </c>
      <c r="T64" s="180">
        <v>1033000000</v>
      </c>
      <c r="U64" s="189">
        <f>IFERROR(IF(Tableau3[[#This Row],[Dettes]]=0,"",(Tableau3[[#This Row],[Dettes]]/Tableau3[[#This Row],[EBE]])),"")</f>
        <v>-1.7532556545579163</v>
      </c>
      <c r="V64" s="190">
        <f>IFERROR(Tableau3[[#This Row],[Fonds propres]]/Tableau3[[#This Row],[Total Bilan]],"")</f>
        <v>0.84831871345029242</v>
      </c>
      <c r="W64" s="180">
        <v>13680000000</v>
      </c>
      <c r="X64" s="192"/>
      <c r="Y64" s="180">
        <v>31444</v>
      </c>
      <c r="Z64" s="192">
        <f>IFERROR(Tableau3[[#This Row],[Chiffre d''affaires]]/Tableau3[[#This Row],[Salariés]],"")</f>
        <v>232572.19183310011</v>
      </c>
      <c r="AA64" s="188"/>
      <c r="AB64" s="188"/>
      <c r="AC64" s="177" t="s">
        <v>4506</v>
      </c>
    </row>
    <row r="65" spans="1:29" ht="20.25" customHeight="1">
      <c r="A65" s="217"/>
      <c r="C65" s="187"/>
      <c r="E65" s="187">
        <v>53.45</v>
      </c>
      <c r="F65" s="207"/>
      <c r="G65" s="203">
        <f>(G64/G67)-1</f>
        <v>0.30705987488829312</v>
      </c>
      <c r="H65" s="203">
        <f>(H64/H67)-1</f>
        <v>1.8330097087378641</v>
      </c>
      <c r="I65" s="203">
        <f>(I64/I67)-1</f>
        <v>18.634615384615383</v>
      </c>
      <c r="J65" s="203">
        <f>(J64/J67)-1</f>
        <v>-16</v>
      </c>
      <c r="K65" s="188"/>
      <c r="L65" s="188"/>
      <c r="M65" s="188"/>
      <c r="N65" s="188"/>
      <c r="O65" s="188"/>
      <c r="P65" s="188">
        <v>114471966</v>
      </c>
      <c r="Q65" s="188"/>
      <c r="R65" s="195"/>
      <c r="S65" s="188"/>
      <c r="T65" s="180"/>
      <c r="U65" s="189" t="str">
        <f>IFERROR(IF(Tableau3[[#This Row],[Dettes]]=0,"",(Tableau3[[#This Row],[Dettes]]/Tableau3[[#This Row],[EBE]])),"")</f>
        <v/>
      </c>
      <c r="V65" s="190" t="str">
        <f>IFERROR(Tableau3[[#This Row],[Fonds propres]]/Tableau3[[#This Row],[Total Bilan]],"")</f>
        <v/>
      </c>
      <c r="W65" s="180"/>
      <c r="X65" s="192"/>
      <c r="Y65" s="180"/>
      <c r="Z65" s="192" t="str">
        <f>IFERROR(Tableau3[[#This Row],[Chiffre d''affaires]]/Tableau3[[#This Row],[Salariés]],"")</f>
        <v/>
      </c>
      <c r="AA65" s="188"/>
      <c r="AB65" s="188"/>
      <c r="AC65" s="177" t="s">
        <v>112</v>
      </c>
    </row>
    <row r="66" spans="1:29" ht="20.25" customHeight="1">
      <c r="A66" s="217"/>
      <c r="C66" s="187"/>
      <c r="E66" s="187"/>
      <c r="G66" s="188"/>
      <c r="H66" s="188"/>
      <c r="I66" s="188"/>
      <c r="J66" s="188"/>
      <c r="K66" s="188"/>
      <c r="L66" s="188"/>
      <c r="M66" s="188"/>
      <c r="N66" s="188"/>
      <c r="O66" s="188"/>
      <c r="P66" s="188"/>
      <c r="Q66" s="188"/>
      <c r="R66" s="195"/>
      <c r="S66" s="188"/>
      <c r="T66" s="180"/>
      <c r="U66" s="189" t="str">
        <f>IFERROR(IF(Tableau3[[#This Row],[Dettes]]=0,"",(Tableau3[[#This Row],[Dettes]]/Tableau3[[#This Row],[EBE]])),"")</f>
        <v/>
      </c>
      <c r="V66" s="190" t="str">
        <f>IFERROR(Tableau3[[#This Row],[Fonds propres]]/Tableau3[[#This Row],[Total Bilan]],"")</f>
        <v/>
      </c>
      <c r="W66" s="180"/>
      <c r="X66" s="191"/>
      <c r="Y66" s="180"/>
      <c r="Z66" s="192" t="str">
        <f>IFERROR(Tableau3[[#This Row],[Chiffre d''affaires]]/Tableau3[[#This Row],[Salariés]],"")</f>
        <v/>
      </c>
      <c r="AA66" s="197"/>
      <c r="AB66" s="197"/>
      <c r="AC66" s="177" t="s">
        <v>113</v>
      </c>
    </row>
    <row r="67" spans="1:29" ht="20.25" customHeight="1">
      <c r="A67" s="217"/>
      <c r="C67" s="187"/>
      <c r="E67" s="187">
        <v>241.5</v>
      </c>
      <c r="F67" s="178">
        <v>2020</v>
      </c>
      <c r="G67" s="188">
        <v>5595000000</v>
      </c>
      <c r="H67" s="188">
        <v>515000000</v>
      </c>
      <c r="I67" s="188">
        <v>52000000</v>
      </c>
      <c r="J67" s="188">
        <v>-51000000</v>
      </c>
      <c r="K67" s="188">
        <v>-1700000000</v>
      </c>
      <c r="L67" s="188">
        <v>10965000000</v>
      </c>
      <c r="M67" s="194">
        <v>211</v>
      </c>
      <c r="N67" s="190">
        <f>J67/L67</f>
        <v>-4.6511627906976744E-3</v>
      </c>
      <c r="O67" s="190">
        <f>(I67*0.78)/(K67+L67)</f>
        <v>4.3777657852131675E-3</v>
      </c>
      <c r="P67" s="188">
        <v>28872923</v>
      </c>
      <c r="Q67" s="188">
        <f>(P67*E67)+(E68*P68)</f>
        <v>12452933560.5</v>
      </c>
      <c r="R67" s="195">
        <f>Q67/L67</f>
        <v>1.1356984551299589</v>
      </c>
      <c r="S67" s="197">
        <f>(Q67+K67)/H67</f>
        <v>20.879482641747572</v>
      </c>
      <c r="T67" s="180"/>
      <c r="U67" s="189">
        <f>IFERROR(IF(Tableau3[[#This Row],[Dettes]]=0,"",(Tableau3[[#This Row],[Dettes]]/Tableau3[[#This Row],[EBE]])),"")</f>
        <v>-3.3009708737864076</v>
      </c>
      <c r="V67" s="190">
        <f>IFERROR(Tableau3[[#This Row],[Fonds propres]]/Tableau3[[#This Row],[Total Bilan]],"")</f>
        <v>0.85</v>
      </c>
      <c r="W67" s="180">
        <v>12900000000</v>
      </c>
      <c r="X67" s="192"/>
      <c r="Y67" s="180">
        <v>32424</v>
      </c>
      <c r="Z67" s="192">
        <f>IFERROR(Tableau3[[#This Row],[Chiffre d''affaires]]/Tableau3[[#This Row],[Salariés]],"")</f>
        <v>172557.36491487786</v>
      </c>
      <c r="AA67" s="188"/>
      <c r="AB67" s="188"/>
      <c r="AC67" s="177" t="s">
        <v>4624</v>
      </c>
    </row>
    <row r="68" spans="1:29" ht="20.25" customHeight="1">
      <c r="A68" s="217"/>
      <c r="C68" s="187"/>
      <c r="E68" s="187">
        <v>48</v>
      </c>
      <c r="G68" s="203">
        <f>(G67/G70)-1</f>
        <v>-0.32124226616523111</v>
      </c>
      <c r="H68" s="203">
        <f>(H67/H70)-1</f>
        <v>-0.65735196274118435</v>
      </c>
      <c r="I68" s="203">
        <f>(I67/I70)-1</f>
        <v>-0.94916911045943309</v>
      </c>
      <c r="J68" s="203">
        <f>(J67/J70)-1</f>
        <v>-1.0681818181818181</v>
      </c>
      <c r="K68" s="188"/>
      <c r="L68" s="188"/>
      <c r="M68" s="188"/>
      <c r="N68" s="188"/>
      <c r="O68" s="188"/>
      <c r="P68" s="188">
        <v>114169222</v>
      </c>
      <c r="Q68" s="188"/>
      <c r="R68" s="195"/>
      <c r="S68" s="188"/>
      <c r="T68" s="180"/>
      <c r="U68" s="189" t="str">
        <f>IFERROR(IF(Tableau3[[#This Row],[Dettes]]=0,"",(Tableau3[[#This Row],[Dettes]]/Tableau3[[#This Row],[EBE]])),"")</f>
        <v/>
      </c>
      <c r="V68" s="190" t="str">
        <f>IFERROR(Tableau3[[#This Row],[Fonds propres]]/Tableau3[[#This Row],[Total Bilan]],"")</f>
        <v/>
      </c>
      <c r="W68" s="180"/>
      <c r="X68" s="192"/>
      <c r="Y68" s="180"/>
      <c r="Z68" s="192" t="str">
        <f>IFERROR(Tableau3[[#This Row],[Chiffre d''affaires]]/Tableau3[[#This Row],[Salariés]],"")</f>
        <v/>
      </c>
      <c r="AA68" s="188"/>
      <c r="AB68" s="188"/>
      <c r="AC68" s="177" t="s">
        <v>114</v>
      </c>
    </row>
    <row r="69" spans="1:29" s="188" customFormat="1" ht="20.25" customHeight="1">
      <c r="A69" s="217"/>
      <c r="B69" s="216"/>
      <c r="C69" s="187"/>
      <c r="E69" s="187"/>
      <c r="F69" s="178"/>
      <c r="R69" s="195"/>
      <c r="T69" s="180"/>
      <c r="U69" s="189" t="str">
        <f>IFERROR(IF(Tableau3[[#This Row],[Dettes]]=0,"",(Tableau3[[#This Row],[Dettes]]/Tableau3[[#This Row],[EBE]])),"")</f>
        <v/>
      </c>
      <c r="V69" s="190" t="str">
        <f>IFERROR(Tableau3[[#This Row],[Fonds propres]]/Tableau3[[#This Row],[Total Bilan]],"")</f>
        <v/>
      </c>
      <c r="W69" s="180"/>
      <c r="X69" s="191"/>
      <c r="Y69" s="180"/>
      <c r="Z69" s="192" t="str">
        <f>IFERROR(Tableau3[[#This Row],[Chiffre d''affaires]]/Tableau3[[#This Row],[Salariés]],"")</f>
        <v/>
      </c>
      <c r="AA69" s="197"/>
      <c r="AB69" s="197"/>
      <c r="AC69" s="177" t="s">
        <v>115</v>
      </c>
    </row>
    <row r="70" spans="1:29" s="188" customFormat="1" ht="20.25" customHeight="1">
      <c r="A70" s="212"/>
      <c r="B70" s="212"/>
      <c r="C70" s="187"/>
      <c r="E70" s="187">
        <v>290</v>
      </c>
      <c r="F70" s="178">
        <v>2019</v>
      </c>
      <c r="G70" s="188">
        <v>8243000000</v>
      </c>
      <c r="H70" s="188">
        <v>1503000000</v>
      </c>
      <c r="I70" s="188">
        <v>1023000000</v>
      </c>
      <c r="J70" s="188">
        <v>748000000</v>
      </c>
      <c r="K70" s="188">
        <v>-1348000000</v>
      </c>
      <c r="L70" s="188">
        <v>11493000000</v>
      </c>
      <c r="M70" s="194">
        <v>268</v>
      </c>
      <c r="N70" s="190">
        <f>J70/L70</f>
        <v>6.5083094057252239E-2</v>
      </c>
      <c r="O70" s="190">
        <f>(I70*0.78)/(K70+L70)</f>
        <v>7.8653523903400691E-2</v>
      </c>
      <c r="P70" s="188">
        <v>28814317</v>
      </c>
      <c r="Q70" s="188">
        <f>(P70*E70)+(E71*P71)</f>
        <v>14027571630</v>
      </c>
      <c r="R70" s="195">
        <f>Q70/L70</f>
        <v>1.2205317697729052</v>
      </c>
      <c r="S70" s="197">
        <f>(Q70+K70)/H70</f>
        <v>8.436175402528276</v>
      </c>
      <c r="T70" s="180"/>
      <c r="U70" s="189">
        <f>IFERROR(IF(Tableau3[[#This Row],[Dettes]]=0,"",(Tableau3[[#This Row],[Dettes]]/Tableau3[[#This Row],[EBE]])),"")</f>
        <v>-0.89687292082501668</v>
      </c>
      <c r="V70" s="190">
        <f>IFERROR(Tableau3[[#This Row],[Fonds propres]]/Tableau3[[#This Row],[Total Bilan]],"")</f>
        <v>0.83951789627465301</v>
      </c>
      <c r="W70" s="180">
        <v>13690000000</v>
      </c>
      <c r="X70" s="192"/>
      <c r="Y70" s="180">
        <v>36089</v>
      </c>
      <c r="Z70" s="192">
        <f>IFERROR(Tableau3[[#This Row],[Chiffre d''affaires]]/Tableau3[[#This Row],[Salariés]],"")</f>
        <v>228407.54800631772</v>
      </c>
      <c r="AC70" s="177" t="s">
        <v>116</v>
      </c>
    </row>
    <row r="71" spans="1:29" ht="20.25" customHeight="1">
      <c r="A71" s="212"/>
      <c r="B71" s="212"/>
      <c r="C71" s="187"/>
      <c r="D71" s="188"/>
      <c r="E71" s="187">
        <v>50</v>
      </c>
      <c r="G71" s="203">
        <f>(G70/G73)-1</f>
        <v>-2.7374631268436533E-2</v>
      </c>
      <c r="H71" s="203">
        <f>(H70/H73)-1</f>
        <v>-8.7985436893203928E-2</v>
      </c>
      <c r="I71" s="203">
        <f>(I70/I73)-1</f>
        <v>-0.11351819757365689</v>
      </c>
      <c r="J71" s="203">
        <f>(J70/J73)-1</f>
        <v>-0.13725490196078427</v>
      </c>
      <c r="K71" s="188"/>
      <c r="L71" s="188"/>
      <c r="M71" s="188"/>
      <c r="N71" s="188"/>
      <c r="O71" s="188"/>
      <c r="P71" s="188">
        <v>113428394</v>
      </c>
      <c r="Q71" s="188"/>
      <c r="R71" s="195"/>
      <c r="S71" s="188"/>
      <c r="T71" s="180"/>
      <c r="U71" s="189" t="str">
        <f>IFERROR(IF(Tableau3[[#This Row],[Dettes]]=0,"",(Tableau3[[#This Row],[Dettes]]/Tableau3[[#This Row],[EBE]])),"")</f>
        <v/>
      </c>
      <c r="V71" s="190" t="str">
        <f>IFERROR(Tableau3[[#This Row],[Fonds propres]]/Tableau3[[#This Row],[Total Bilan]],"")</f>
        <v/>
      </c>
      <c r="W71" s="180"/>
      <c r="X71" s="192"/>
      <c r="Y71" s="180"/>
      <c r="Z71" s="192" t="str">
        <f>IFERROR(Tableau3[[#This Row],[Chiffre d''affaires]]/Tableau3[[#This Row],[Salariés]],"")</f>
        <v/>
      </c>
      <c r="AA71" s="188"/>
      <c r="AB71" s="188"/>
      <c r="AC71" s="177" t="s">
        <v>117</v>
      </c>
    </row>
    <row r="72" spans="1:29" ht="20.25" customHeight="1">
      <c r="A72" s="217"/>
      <c r="C72" s="187"/>
      <c r="E72" s="187"/>
      <c r="G72" s="188"/>
      <c r="H72" s="188"/>
      <c r="I72" s="188"/>
      <c r="J72" s="188"/>
      <c r="K72" s="188"/>
      <c r="L72" s="188"/>
      <c r="M72" s="188"/>
      <c r="N72" s="188"/>
      <c r="O72" s="188"/>
      <c r="P72" s="188"/>
      <c r="Q72" s="188"/>
      <c r="R72" s="195"/>
      <c r="S72" s="188"/>
      <c r="T72" s="180"/>
      <c r="U72" s="189" t="str">
        <f>IFERROR(IF(Tableau3[[#This Row],[Dettes]]=0,"",(Tableau3[[#This Row],[Dettes]]/Tableau3[[#This Row],[EBE]])),"")</f>
        <v/>
      </c>
      <c r="V72" s="190" t="str">
        <f>IFERROR(Tableau3[[#This Row],[Fonds propres]]/Tableau3[[#This Row],[Total Bilan]],"")</f>
        <v/>
      </c>
      <c r="W72" s="180"/>
      <c r="X72" s="191"/>
      <c r="Y72" s="180"/>
      <c r="Z72" s="192" t="str">
        <f>IFERROR(Tableau3[[#This Row],[Chiffre d''affaires]]/Tableau3[[#This Row],[Salariés]],"")</f>
        <v/>
      </c>
      <c r="AA72" s="197"/>
      <c r="AB72" s="197"/>
      <c r="AC72" s="177" t="s">
        <v>118</v>
      </c>
    </row>
    <row r="73" spans="1:29" ht="20.25" customHeight="1">
      <c r="A73" s="217"/>
      <c r="C73" s="187"/>
      <c r="E73" s="187">
        <v>320</v>
      </c>
      <c r="F73" s="178">
        <v>2018</v>
      </c>
      <c r="G73" s="188">
        <v>8475000000</v>
      </c>
      <c r="H73" s="188">
        <v>1648000000</v>
      </c>
      <c r="I73" s="188">
        <v>1154000000</v>
      </c>
      <c r="J73" s="188">
        <v>867000000</v>
      </c>
      <c r="K73" s="188">
        <v>-1037000000</v>
      </c>
      <c r="L73" s="188">
        <v>11185000000</v>
      </c>
      <c r="M73" s="194">
        <f>215+43</f>
        <v>258</v>
      </c>
      <c r="N73" s="190">
        <f>J73/L73</f>
        <v>7.751452838623156E-2</v>
      </c>
      <c r="O73" s="190">
        <f>(I73*0.78)/(K73+L73)</f>
        <v>8.8699251083957431E-2</v>
      </c>
      <c r="P73" s="188">
        <v>29268442</v>
      </c>
      <c r="Q73" s="188">
        <f>(P73*E73)+(E74*P74)</f>
        <v>15715627845</v>
      </c>
      <c r="R73" s="195">
        <f>Q73/L73</f>
        <v>1.4050628381761288</v>
      </c>
      <c r="S73" s="197">
        <f>(Q73+K73)/H73</f>
        <v>8.9069343719660186</v>
      </c>
      <c r="T73" s="180"/>
      <c r="U73" s="189">
        <f>IFERROR(IF(Tableau3[[#This Row],[Dettes]]=0,"",(Tableau3[[#This Row],[Dettes]]/Tableau3[[#This Row],[EBE]])),"")</f>
        <v>-0.62924757281553401</v>
      </c>
      <c r="V73" s="190">
        <f>IFERROR(Tableau3[[#This Row],[Fonds propres]]/Tableau3[[#This Row],[Total Bilan]],"")</f>
        <v>0.81881405563689602</v>
      </c>
      <c r="W73" s="180">
        <v>13660000000</v>
      </c>
      <c r="X73" s="192"/>
      <c r="Y73" s="180"/>
      <c r="Z73" s="192" t="str">
        <f>IFERROR(Tableau3[[#This Row],[Chiffre d''affaires]]/Tableau3[[#This Row],[Salariés]],"")</f>
        <v/>
      </c>
      <c r="AA73" s="188"/>
      <c r="AB73" s="188"/>
      <c r="AC73" s="177" t="s">
        <v>4625</v>
      </c>
    </row>
    <row r="74" spans="1:29" ht="20.25" customHeight="1">
      <c r="A74" s="217"/>
      <c r="C74" s="187"/>
      <c r="E74" s="187">
        <v>55</v>
      </c>
      <c r="G74" s="203">
        <f>(G73/G76)-1</f>
        <v>6.083364626361254E-2</v>
      </c>
      <c r="H74" s="203">
        <f>(H73/H76)-1</f>
        <v>0.3482590850000451</v>
      </c>
      <c r="I74" s="203">
        <f>(I73/I76)-1</f>
        <v>0.1464175940330652</v>
      </c>
      <c r="J74" s="203">
        <f>(J73/J76)-1</f>
        <v>0.14834437086092711</v>
      </c>
      <c r="K74" s="188"/>
      <c r="L74" s="188"/>
      <c r="M74" s="188"/>
      <c r="N74" s="188"/>
      <c r="O74" s="188"/>
      <c r="P74" s="188">
        <v>115449571</v>
      </c>
      <c r="Q74" s="188"/>
      <c r="R74" s="195"/>
      <c r="S74" s="188"/>
      <c r="T74" s="180"/>
      <c r="U74" s="189" t="str">
        <f>IFERROR(IF(Tableau3[[#This Row],[Dettes]]=0,"",(Tableau3[[#This Row],[Dettes]]/Tableau3[[#This Row],[EBE]])),"")</f>
        <v/>
      </c>
      <c r="V74" s="190" t="str">
        <f>IFERROR(Tableau3[[#This Row],[Fonds propres]]/Tableau3[[#This Row],[Total Bilan]],"")</f>
        <v/>
      </c>
      <c r="W74" s="180"/>
      <c r="X74" s="192"/>
      <c r="Y74" s="180"/>
      <c r="Z74" s="192" t="str">
        <f>IFERROR(Tableau3[[#This Row],[Chiffre d''affaires]]/Tableau3[[#This Row],[Salariés]],"")</f>
        <v/>
      </c>
      <c r="AA74" s="188"/>
      <c r="AB74" s="188"/>
      <c r="AC74" s="177" t="s">
        <v>119</v>
      </c>
    </row>
    <row r="75" spans="1:29" ht="20.25" customHeight="1">
      <c r="A75" s="217"/>
      <c r="C75" s="187"/>
      <c r="E75" s="187"/>
      <c r="G75" s="188"/>
      <c r="H75" s="188"/>
      <c r="I75" s="188"/>
      <c r="J75" s="188"/>
      <c r="K75" s="188"/>
      <c r="L75" s="188"/>
      <c r="M75" s="188"/>
      <c r="N75" s="188"/>
      <c r="O75" s="188"/>
      <c r="P75" s="188"/>
      <c r="Q75" s="188"/>
      <c r="R75" s="195"/>
      <c r="S75" s="188"/>
      <c r="T75" s="180"/>
      <c r="U75" s="189" t="str">
        <f>IFERROR(IF(Tableau3[[#This Row],[Dettes]]=0,"",(Tableau3[[#This Row],[Dettes]]/Tableau3[[#This Row],[EBE]])),"")</f>
        <v/>
      </c>
      <c r="V75" s="190" t="str">
        <f>IFERROR(Tableau3[[#This Row],[Fonds propres]]/Tableau3[[#This Row],[Total Bilan]],"")</f>
        <v/>
      </c>
      <c r="W75" s="180"/>
      <c r="X75" s="191"/>
      <c r="Y75" s="180"/>
      <c r="Z75" s="192" t="str">
        <f>IFERROR(Tableau3[[#This Row],[Chiffre d''affaires]]/Tableau3[[#This Row],[Salariés]],"")</f>
        <v/>
      </c>
      <c r="AA75" s="197"/>
      <c r="AB75" s="197"/>
      <c r="AC75" s="177" t="s">
        <v>120</v>
      </c>
    </row>
    <row r="76" spans="1:29" ht="20.25" customHeight="1">
      <c r="A76" s="217"/>
      <c r="C76" s="187"/>
      <c r="E76" s="187">
        <v>480</v>
      </c>
      <c r="F76" s="178">
        <v>2017</v>
      </c>
      <c r="G76" s="188">
        <v>7989000000</v>
      </c>
      <c r="H76" s="188">
        <f>G76*0.153</f>
        <v>1222317000</v>
      </c>
      <c r="I76" s="188">
        <f>G76*0.126</f>
        <v>1006614000</v>
      </c>
      <c r="J76" s="188">
        <v>755000000</v>
      </c>
      <c r="K76" s="188">
        <v>-1600000000</v>
      </c>
      <c r="L76" s="188">
        <v>11289000000</v>
      </c>
      <c r="M76" s="194">
        <v>244</v>
      </c>
      <c r="N76" s="190">
        <f>J76/L76</f>
        <v>6.6879262999379921E-2</v>
      </c>
      <c r="O76" s="190">
        <f>(I76*0.78)/(K76+L76)</f>
        <v>8.1036115182165344E-2</v>
      </c>
      <c r="P76" s="188">
        <v>29987419</v>
      </c>
      <c r="Q76" s="188">
        <f>(P76*E76)+(E77*P77)</f>
        <v>24642084394.200001</v>
      </c>
      <c r="R76" s="195">
        <f>Q76/L76</f>
        <v>2.1828403219239969</v>
      </c>
      <c r="S76" s="197">
        <f>(Q76+K76)/H76</f>
        <v>18.851152683141937</v>
      </c>
      <c r="T76" s="180"/>
      <c r="U76" s="189">
        <f>IFERROR(IF(Tableau3[[#This Row],[Dettes]]=0,"",(Tableau3[[#This Row],[Dettes]]/Tableau3[[#This Row],[EBE]])),"")</f>
        <v>-1.308989402912665</v>
      </c>
      <c r="V76" s="190">
        <f>IFERROR(Tableau3[[#This Row],[Fonds propres]]/Tableau3[[#This Row],[Total Bilan]],"")</f>
        <v>0.8374629080118694</v>
      </c>
      <c r="W76" s="180">
        <v>13480000000</v>
      </c>
      <c r="Y76" s="180"/>
      <c r="Z76" s="192" t="str">
        <f>IFERROR(Tableau3[[#This Row],[Chiffre d''affaires]]/Tableau3[[#This Row],[Salariés]],"")</f>
        <v/>
      </c>
      <c r="AA76" s="177"/>
      <c r="AC76" s="177" t="s">
        <v>121</v>
      </c>
    </row>
    <row r="77" spans="1:29" ht="20.25" customHeight="1">
      <c r="A77" s="217"/>
      <c r="C77" s="187"/>
      <c r="E77" s="187">
        <v>86.2</v>
      </c>
      <c r="G77" s="203">
        <f>(G76/G79)-1</f>
        <v>5.7725407122997563E-2</v>
      </c>
      <c r="H77" s="203">
        <f>(H76/H79)-1</f>
        <v>-1.5847826086956562E-2</v>
      </c>
      <c r="I77" s="203">
        <f>(I76/I79)-1</f>
        <v>0.25045217391304342</v>
      </c>
      <c r="J77" s="203">
        <f>(J76/J79)-1</f>
        <v>0.27318718381112994</v>
      </c>
      <c r="K77" s="178"/>
      <c r="L77" s="178"/>
      <c r="M77" s="178"/>
      <c r="N77" s="178"/>
      <c r="O77" s="178"/>
      <c r="P77" s="188">
        <v>118887741</v>
      </c>
      <c r="Q77" s="178"/>
      <c r="R77" s="195"/>
      <c r="S77" s="178"/>
      <c r="T77" s="180"/>
      <c r="U77" s="189" t="str">
        <f>IFERROR(IF(Tableau3[[#This Row],[Dettes]]=0,"",(Tableau3[[#This Row],[Dettes]]/Tableau3[[#This Row],[EBE]])),"")</f>
        <v/>
      </c>
      <c r="V77" s="190" t="str">
        <f>IFERROR(Tableau3[[#This Row],[Fonds propres]]/Tableau3[[#This Row],[Total Bilan]],"")</f>
        <v/>
      </c>
      <c r="W77" s="180"/>
      <c r="Y77" s="180"/>
      <c r="Z77" s="192" t="str">
        <f>IFERROR(Tableau3[[#This Row],[Chiffre d''affaires]]/Tableau3[[#This Row],[Salariés]],"")</f>
        <v/>
      </c>
      <c r="AA77" s="177"/>
      <c r="AC77" s="177" t="s">
        <v>122</v>
      </c>
    </row>
    <row r="78" spans="1:29" ht="20.25" customHeight="1">
      <c r="A78" s="217"/>
      <c r="C78" s="187"/>
      <c r="E78" s="187"/>
      <c r="G78" s="188"/>
      <c r="H78" s="178"/>
      <c r="I78" s="178"/>
      <c r="J78" s="178"/>
      <c r="K78" s="178"/>
      <c r="L78" s="178"/>
      <c r="M78" s="178"/>
      <c r="N78" s="178"/>
      <c r="O78" s="178"/>
      <c r="P78" s="178"/>
      <c r="Q78" s="178"/>
      <c r="R78" s="195"/>
      <c r="S78" s="178"/>
      <c r="T78" s="180"/>
      <c r="U78" s="189" t="str">
        <f>IFERROR(IF(Tableau3[[#This Row],[Dettes]]=0,"",(Tableau3[[#This Row],[Dettes]]/Tableau3[[#This Row],[EBE]])),"")</f>
        <v/>
      </c>
      <c r="V78" s="190" t="str">
        <f>IFERROR(Tableau3[[#This Row],[Fonds propres]]/Tableau3[[#This Row],[Total Bilan]],"")</f>
        <v/>
      </c>
      <c r="W78" s="180"/>
      <c r="X78" s="191"/>
      <c r="Y78" s="180"/>
      <c r="Z78" s="192" t="str">
        <f>IFERROR(Tableau3[[#This Row],[Chiffre d''affaires]]/Tableau3[[#This Row],[Salariés]],"")</f>
        <v/>
      </c>
      <c r="AA78" s="197"/>
      <c r="AB78" s="197"/>
      <c r="AC78" s="177" t="s">
        <v>123</v>
      </c>
    </row>
    <row r="79" spans="1:29" ht="20.25" customHeight="1">
      <c r="A79" s="217"/>
      <c r="C79" s="187"/>
      <c r="E79" s="187">
        <v>347.5</v>
      </c>
      <c r="F79" s="178">
        <v>2016</v>
      </c>
      <c r="G79" s="188">
        <v>7553000000</v>
      </c>
      <c r="H79" s="188">
        <v>1242000000</v>
      </c>
      <c r="I79" s="188">
        <v>805000000</v>
      </c>
      <c r="J79" s="188">
        <v>593000000</v>
      </c>
      <c r="K79" s="188">
        <v>-1136000000</v>
      </c>
      <c r="L79" s="188">
        <v>11073000000</v>
      </c>
      <c r="M79" s="194">
        <v>244</v>
      </c>
      <c r="N79" s="190">
        <f>J79/L79</f>
        <v>5.3553689153797525E-2</v>
      </c>
      <c r="O79" s="190">
        <f>(I79*0.78)/(K79+L79)</f>
        <v>6.3188084935091079E-2</v>
      </c>
      <c r="P79" s="188">
        <v>29987419</v>
      </c>
      <c r="Q79" s="188">
        <f>(P79*E79)+(E80*P80)</f>
        <v>18504994490.5</v>
      </c>
      <c r="R79" s="195">
        <f>Q79/L79</f>
        <v>1.6711816572292966</v>
      </c>
      <c r="S79" s="197">
        <f>(Q79+K79)/H79</f>
        <v>13.984697657407407</v>
      </c>
      <c r="T79" s="180"/>
      <c r="U79" s="189">
        <f>IFERROR(IF(Tableau3[[#This Row],[Dettes]]=0,"",(Tableau3[[#This Row],[Dettes]]/Tableau3[[#This Row],[EBE]])),"")</f>
        <v>-0.91465378421900156</v>
      </c>
      <c r="V79" s="190" t="str">
        <f>IFERROR(Tableau3[[#This Row],[Fonds propres]]/Tableau3[[#This Row],[Total Bilan]],"")</f>
        <v/>
      </c>
      <c r="W79" s="180"/>
      <c r="Y79" s="180"/>
      <c r="Z79" s="192" t="str">
        <f>IFERROR(Tableau3[[#This Row],[Chiffre d''affaires]]/Tableau3[[#This Row],[Salariés]],"")</f>
        <v/>
      </c>
      <c r="AA79" s="177"/>
      <c r="AC79" s="177" t="s">
        <v>4673</v>
      </c>
    </row>
    <row r="80" spans="1:29" ht="20.25" customHeight="1">
      <c r="A80" s="217"/>
      <c r="C80" s="187"/>
      <c r="E80" s="187">
        <v>68</v>
      </c>
      <c r="F80" s="214" t="s">
        <v>127</v>
      </c>
      <c r="G80" s="203">
        <f>(G79/G82)-1</f>
        <v>-0.10625961424683472</v>
      </c>
      <c r="H80" s="203">
        <f>(H79/H82)-1</f>
        <v>-0.33045822102425881</v>
      </c>
      <c r="I80" s="203">
        <f>(I79/I82)-1</f>
        <v>-0.44521019986216404</v>
      </c>
      <c r="J80" s="203">
        <f>(J79/J82)-1</f>
        <v>-0.47006255585344059</v>
      </c>
      <c r="K80" s="178"/>
      <c r="L80" s="178"/>
      <c r="M80" s="208"/>
      <c r="N80" s="178"/>
      <c r="O80" s="178"/>
      <c r="P80" s="188">
        <v>118887741</v>
      </c>
      <c r="Q80" s="178"/>
      <c r="R80" s="195"/>
      <c r="S80" s="178"/>
      <c r="T80" s="180"/>
      <c r="U80" s="189" t="str">
        <f>IFERROR(IF(Tableau3[[#This Row],[Dettes]]=0,"",(Tableau3[[#This Row],[Dettes]]/Tableau3[[#This Row],[EBE]])),"")</f>
        <v/>
      </c>
      <c r="V80" s="190" t="str">
        <f>IFERROR(Tableau3[[#This Row],[Fonds propres]]/Tableau3[[#This Row],[Total Bilan]],"")</f>
        <v/>
      </c>
      <c r="W80" s="180"/>
      <c r="Y80" s="180"/>
      <c r="Z80" s="192" t="str">
        <f>IFERROR(Tableau3[[#This Row],[Chiffre d''affaires]]/Tableau3[[#This Row],[Salariés]],"")</f>
        <v/>
      </c>
      <c r="AA80" s="177"/>
      <c r="AC80" s="177" t="s">
        <v>124</v>
      </c>
    </row>
    <row r="81" spans="1:29" ht="20.25" customHeight="1">
      <c r="A81" s="217"/>
      <c r="C81" s="187"/>
      <c r="E81" s="187"/>
      <c r="G81" s="188"/>
      <c r="H81" s="178"/>
      <c r="I81" s="178"/>
      <c r="J81" s="178"/>
      <c r="K81" s="178"/>
      <c r="L81" s="178"/>
      <c r="M81" s="208"/>
      <c r="N81" s="178"/>
      <c r="O81" s="178"/>
      <c r="P81" s="178"/>
      <c r="Q81" s="178"/>
      <c r="R81" s="195"/>
      <c r="S81" s="178"/>
      <c r="T81" s="180"/>
      <c r="U81" s="189" t="str">
        <f>IFERROR(IF(Tableau3[[#This Row],[Dettes]]=0,"",(Tableau3[[#This Row],[Dettes]]/Tableau3[[#This Row],[EBE]])),"")</f>
        <v/>
      </c>
      <c r="V81" s="190" t="str">
        <f>IFERROR(Tableau3[[#This Row],[Fonds propres]]/Tableau3[[#This Row],[Total Bilan]],"")</f>
        <v/>
      </c>
      <c r="W81" s="180"/>
      <c r="X81" s="191"/>
      <c r="Y81" s="180"/>
      <c r="Z81" s="192" t="str">
        <f>IFERROR(Tableau3[[#This Row],[Chiffre d''affaires]]/Tableau3[[#This Row],[Salariés]],"")</f>
        <v/>
      </c>
      <c r="AA81" s="197"/>
      <c r="AB81" s="197"/>
      <c r="AC81" s="177" t="s">
        <v>125</v>
      </c>
    </row>
    <row r="82" spans="1:29" ht="20.25" customHeight="1">
      <c r="A82" s="275"/>
      <c r="C82" s="187"/>
      <c r="D82" s="188"/>
      <c r="E82" s="187">
        <v>250</v>
      </c>
      <c r="F82" s="178">
        <v>2015</v>
      </c>
      <c r="G82" s="188">
        <v>8451000000</v>
      </c>
      <c r="H82" s="188">
        <v>1855000000</v>
      </c>
      <c r="I82" s="188">
        <v>1451000000</v>
      </c>
      <c r="J82" s="188">
        <v>1119000000</v>
      </c>
      <c r="K82" s="188">
        <v>-1202000000</v>
      </c>
      <c r="L82" s="188">
        <v>11242000000</v>
      </c>
      <c r="M82" s="194">
        <v>250</v>
      </c>
      <c r="N82" s="190">
        <f>J82/L82</f>
        <v>9.9537448852517349E-2</v>
      </c>
      <c r="O82" s="190">
        <f>(I82*0.78)/(K82+L82)</f>
        <v>0.11272709163346614</v>
      </c>
      <c r="P82" s="188">
        <v>30308846</v>
      </c>
      <c r="Q82" s="188">
        <f>(P82*E82)+(E83*P83)</f>
        <v>13580695800</v>
      </c>
      <c r="R82" s="195">
        <f>Q82/L82</f>
        <v>1.20803200498132</v>
      </c>
      <c r="S82" s="197">
        <f>(Q82+K82)/H82</f>
        <v>6.6731513746630728</v>
      </c>
      <c r="T82" s="180"/>
      <c r="U82" s="189">
        <f>IFERROR(IF(Tableau3[[#This Row],[Dettes]]=0,"",(Tableau3[[#This Row],[Dettes]]/Tableau3[[#This Row],[EBE]])),"")</f>
        <v>-0.64797843665768196</v>
      </c>
      <c r="V82" s="190" t="str">
        <f>IFERROR(Tableau3[[#This Row],[Fonds propres]]/Tableau3[[#This Row],[Total Bilan]],"")</f>
        <v/>
      </c>
      <c r="W82" s="180"/>
      <c r="X82" s="191"/>
      <c r="Y82" s="180"/>
      <c r="Z82" s="192" t="str">
        <f>IFERROR(Tableau3[[#This Row],[Chiffre d''affaires]]/Tableau3[[#This Row],[Salariés]],"")</f>
        <v/>
      </c>
      <c r="AA82" s="197"/>
      <c r="AB82" s="197"/>
      <c r="AC82" s="177" t="s">
        <v>126</v>
      </c>
    </row>
    <row r="83" spans="1:29" ht="20.25" customHeight="1">
      <c r="A83" s="275"/>
      <c r="C83" s="187"/>
      <c r="D83" s="188"/>
      <c r="E83" s="187">
        <v>50</v>
      </c>
      <c r="F83" s="214" t="s">
        <v>127</v>
      </c>
      <c r="G83" s="188"/>
      <c r="H83" s="215"/>
      <c r="I83" s="214"/>
      <c r="J83" s="215"/>
      <c r="K83" s="215"/>
      <c r="L83" s="215"/>
      <c r="M83" s="188"/>
      <c r="N83" s="188"/>
      <c r="O83" s="188"/>
      <c r="P83" s="188">
        <v>120069686</v>
      </c>
      <c r="Q83" s="178"/>
      <c r="R83" s="195"/>
      <c r="S83" s="197"/>
      <c r="T83" s="180"/>
      <c r="U83" s="189" t="str">
        <f>IFERROR(IF(Tableau3[[#This Row],[Dettes]]=0,"",(Tableau3[[#This Row],[Dettes]]/Tableau3[[#This Row],[EBE]])),"")</f>
        <v/>
      </c>
      <c r="V83" s="190" t="str">
        <f>IFERROR(Tableau3[[#This Row],[Fonds propres]]/Tableau3[[#This Row],[Total Bilan]],"")</f>
        <v/>
      </c>
      <c r="W83" s="180"/>
      <c r="X83" s="191"/>
      <c r="Y83" s="180"/>
      <c r="Z83" s="192" t="str">
        <f>IFERROR(Tableau3[[#This Row],[Chiffre d''affaires]]/Tableau3[[#This Row],[Salariés]],"")</f>
        <v/>
      </c>
      <c r="AA83" s="197"/>
      <c r="AB83" s="197"/>
      <c r="AC83" s="177" t="s">
        <v>4672</v>
      </c>
    </row>
    <row r="84" spans="1:29" ht="20.25" customHeight="1">
      <c r="A84" s="275"/>
      <c r="C84" s="187"/>
      <c r="D84" s="188"/>
      <c r="E84" s="187"/>
      <c r="F84" s="214"/>
      <c r="G84" s="188"/>
      <c r="H84" s="215"/>
      <c r="I84" s="214"/>
      <c r="J84" s="215"/>
      <c r="K84" s="215"/>
      <c r="L84" s="215"/>
      <c r="M84" s="188"/>
      <c r="N84" s="188"/>
      <c r="O84" s="188"/>
      <c r="P84" s="188"/>
      <c r="Q84" s="178"/>
      <c r="R84" s="195"/>
      <c r="S84" s="197"/>
      <c r="T84" s="180"/>
      <c r="U84" s="189" t="str">
        <f>IFERROR(IF(Tableau3[[#This Row],[Dettes]]=0,"",(Tableau3[[#This Row],[Dettes]]/Tableau3[[#This Row],[EBE]])),"")</f>
        <v/>
      </c>
      <c r="V84" s="190" t="str">
        <f>IFERROR(Tableau3[[#This Row],[Fonds propres]]/Tableau3[[#This Row],[Total Bilan]],"")</f>
        <v/>
      </c>
      <c r="W84" s="180"/>
      <c r="X84" s="191"/>
      <c r="Y84" s="180"/>
      <c r="Z84" s="192" t="str">
        <f>IFERROR(Tableau3[[#This Row],[Chiffre d''affaires]]/Tableau3[[#This Row],[Salariés]],"")</f>
        <v/>
      </c>
      <c r="AA84" s="197"/>
      <c r="AB84" s="197"/>
      <c r="AC84" s="177" t="s">
        <v>128</v>
      </c>
    </row>
    <row r="85" spans="1:29" ht="20.25" customHeight="1">
      <c r="A85" s="275"/>
      <c r="C85" s="187"/>
      <c r="D85" s="188"/>
      <c r="E85" s="187"/>
      <c r="F85" s="214"/>
      <c r="G85" s="188"/>
      <c r="H85" s="215"/>
      <c r="I85" s="214"/>
      <c r="J85" s="215"/>
      <c r="K85" s="215"/>
      <c r="L85" s="215"/>
      <c r="M85" s="188"/>
      <c r="N85" s="188"/>
      <c r="O85" s="188"/>
      <c r="P85" s="188"/>
      <c r="Q85" s="178"/>
      <c r="R85" s="195"/>
      <c r="S85" s="197"/>
      <c r="T85" s="180"/>
      <c r="U85" s="189" t="str">
        <f>IFERROR(IF(Tableau3[[#This Row],[Dettes]]=0,"",(Tableau3[[#This Row],[Dettes]]/Tableau3[[#This Row],[EBE]])),"")</f>
        <v/>
      </c>
      <c r="V85" s="190" t="str">
        <f>IFERROR(Tableau3[[#This Row],[Fonds propres]]/Tableau3[[#This Row],[Total Bilan]],"")</f>
        <v/>
      </c>
      <c r="W85" s="180"/>
      <c r="X85" s="191"/>
      <c r="Y85" s="180"/>
      <c r="Z85" s="192" t="str">
        <f>IFERROR(Tableau3[[#This Row],[Chiffre d''affaires]]/Tableau3[[#This Row],[Salariés]],"")</f>
        <v/>
      </c>
      <c r="AA85" s="197"/>
      <c r="AB85" s="197"/>
    </row>
    <row r="86" spans="1:29" ht="20.25" customHeight="1">
      <c r="A86" s="275"/>
      <c r="D86" s="188"/>
      <c r="E86" s="187"/>
      <c r="F86" s="214"/>
      <c r="G86" s="188"/>
      <c r="H86" s="215"/>
      <c r="I86" s="214"/>
      <c r="J86" s="215"/>
      <c r="K86" s="215"/>
      <c r="L86" s="215"/>
      <c r="M86" s="188"/>
      <c r="N86" s="188"/>
      <c r="O86" s="188"/>
      <c r="P86" s="188"/>
      <c r="Q86" s="178"/>
      <c r="R86" s="195"/>
      <c r="S86" s="197"/>
      <c r="T86" s="180"/>
      <c r="U86" s="189" t="str">
        <f>IFERROR(IF(Tableau3[[#This Row],[Dettes]]=0,"",(Tableau3[[#This Row],[Dettes]]/Tableau3[[#This Row],[EBE]])),"")</f>
        <v/>
      </c>
      <c r="V86" s="190" t="str">
        <f>IFERROR(Tableau3[[#This Row],[Fonds propres]]/Tableau3[[#This Row],[Total Bilan]],"")</f>
        <v/>
      </c>
      <c r="W86" s="180"/>
      <c r="X86" s="191"/>
      <c r="Y86" s="180"/>
      <c r="Z86" s="192" t="str">
        <f>IFERROR(Tableau3[[#This Row],[Chiffre d''affaires]]/Tableau3[[#This Row],[Salariés]],"")</f>
        <v/>
      </c>
      <c r="AA86" s="197"/>
      <c r="AB86" s="197"/>
      <c r="AC86" s="188"/>
    </row>
    <row r="87" spans="1:29" ht="20.25" customHeight="1">
      <c r="A87" s="275" t="s">
        <v>5141</v>
      </c>
      <c r="B87" s="216" t="s">
        <v>5157</v>
      </c>
      <c r="C87" s="178" t="s">
        <v>5158</v>
      </c>
      <c r="D87" s="188" t="s">
        <v>383</v>
      </c>
      <c r="E87" s="187">
        <v>213.1</v>
      </c>
      <c r="F87" s="238">
        <v>2025</v>
      </c>
      <c r="G87" s="188"/>
      <c r="H87" s="188"/>
      <c r="I87" s="188"/>
      <c r="J87" s="188"/>
      <c r="K87" s="188"/>
      <c r="L87" s="215"/>
      <c r="M87" s="188"/>
      <c r="N87" s="188"/>
      <c r="O87" s="188"/>
      <c r="P87" s="188"/>
      <c r="Q87" s="178"/>
      <c r="R87" s="195"/>
      <c r="S87" s="197"/>
      <c r="T87" s="180"/>
      <c r="U87" s="189" t="str">
        <f>IFERROR(IF(Tableau3[[#This Row],[Dettes]]=0,"",(Tableau3[[#This Row],[Dettes]]/Tableau3[[#This Row],[EBE]])),"")</f>
        <v/>
      </c>
      <c r="V87" s="190" t="str">
        <f>IFERROR(Tableau3[[#This Row],[Fonds propres]]/Tableau3[[#This Row],[Total Bilan]],"")</f>
        <v/>
      </c>
      <c r="W87" s="180"/>
      <c r="X87" s="191"/>
      <c r="Y87" s="180"/>
      <c r="Z87" s="192" t="str">
        <f>IFERROR(Tableau3[[#This Row],[Chiffre d''affaires]]/Tableau3[[#This Row],[Salariés]],"")</f>
        <v/>
      </c>
      <c r="AA87" s="197"/>
      <c r="AB87" s="197"/>
      <c r="AC87" s="188"/>
    </row>
    <row r="88" spans="1:29" ht="20.25" customHeight="1">
      <c r="A88" s="275"/>
      <c r="D88" s="188"/>
      <c r="E88" s="187"/>
      <c r="F88" s="238"/>
      <c r="G88" s="188"/>
      <c r="H88" s="188"/>
      <c r="I88" s="188"/>
      <c r="J88" s="188"/>
      <c r="K88" s="188"/>
      <c r="L88" s="215"/>
      <c r="M88" s="188"/>
      <c r="N88" s="188"/>
      <c r="O88" s="188"/>
      <c r="P88" s="188"/>
      <c r="Q88" s="178"/>
      <c r="R88" s="195"/>
      <c r="S88" s="197"/>
      <c r="T88" s="180"/>
      <c r="U88" s="189" t="str">
        <f>IFERROR(IF(Tableau3[[#This Row],[Dettes]]=0,"",(Tableau3[[#This Row],[Dettes]]/Tableau3[[#This Row],[EBE]])),"")</f>
        <v/>
      </c>
      <c r="V88" s="190" t="str">
        <f>IFERROR(Tableau3[[#This Row],[Fonds propres]]/Tableau3[[#This Row],[Total Bilan]],"")</f>
        <v/>
      </c>
      <c r="W88" s="180"/>
      <c r="X88" s="191"/>
      <c r="Y88" s="180"/>
      <c r="Z88" s="192" t="str">
        <f>IFERROR(Tableau3[[#This Row],[Chiffre d''affaires]]/Tableau3[[#This Row],[Salariés]],"")</f>
        <v/>
      </c>
      <c r="AA88" s="197"/>
      <c r="AB88" s="197"/>
      <c r="AC88" s="188"/>
    </row>
    <row r="89" spans="1:29" ht="20.25" customHeight="1">
      <c r="A89" s="275"/>
      <c r="D89" s="188"/>
      <c r="E89" s="187">
        <v>206.3</v>
      </c>
      <c r="F89" s="238">
        <v>2024</v>
      </c>
      <c r="G89" s="188">
        <v>6300000000</v>
      </c>
      <c r="H89" s="188">
        <v>1770000000</v>
      </c>
      <c r="I89" s="188">
        <v>1590000000</v>
      </c>
      <c r="J89" s="188">
        <v>1410000000</v>
      </c>
      <c r="K89" s="188">
        <v>-2340000000</v>
      </c>
      <c r="L89" s="215">
        <v>7850000000</v>
      </c>
      <c r="M89" s="194">
        <f>L89/P89</f>
        <v>40.785576973034757</v>
      </c>
      <c r="N89" s="190">
        <f>J89/L91</f>
        <v>0.20114122681883023</v>
      </c>
      <c r="O89" s="190">
        <f>(I89*0.78)/(K91+L91)</f>
        <v>0.23942084942084943</v>
      </c>
      <c r="P89" s="188">
        <v>192470000</v>
      </c>
      <c r="Q89" s="188">
        <f>(P89*E89)+(E90*P90)</f>
        <v>39706561000</v>
      </c>
      <c r="R89" s="195">
        <f t="shared" ref="R89" si="0">Q89/L89</f>
        <v>5.0581606369426755</v>
      </c>
      <c r="S89" s="197">
        <f t="shared" ref="S89" si="1">(Q89+K89)/H89</f>
        <v>21.111051412429379</v>
      </c>
      <c r="T89" s="180"/>
      <c r="U89" s="189">
        <f>IFERROR(IF(Tableau3[[#This Row],[Dettes]]=0,"",(Tableau3[[#This Row],[Dettes]]/Tableau3[[#This Row],[EBE]])),"")</f>
        <v>-1.3220338983050848</v>
      </c>
      <c r="V89" s="190">
        <f>IFERROR(Tableau3[[#This Row],[Fonds propres]]/Tableau3[[#This Row],[Total Bilan]],"")</f>
        <v>0.81516095534787125</v>
      </c>
      <c r="W89" s="180">
        <v>9630000000</v>
      </c>
      <c r="X89" s="191"/>
      <c r="Y89" s="180">
        <v>21800</v>
      </c>
      <c r="Z89" s="192">
        <f>IFERROR(Tableau3[[#This Row],[Chiffre d''affaires]]/Tableau3[[#This Row],[Salariés]],"")</f>
        <v>288990.82568807341</v>
      </c>
      <c r="AA89" s="197"/>
      <c r="AB89" s="197"/>
      <c r="AC89" s="188"/>
    </row>
    <row r="90" spans="1:29" ht="20.25" customHeight="1">
      <c r="A90" s="275"/>
      <c r="D90" s="188"/>
      <c r="E90" s="187"/>
      <c r="F90" s="238"/>
      <c r="G90" s="202">
        <f>(G89/G91)-1</f>
        <v>0.20458891013384317</v>
      </c>
      <c r="H90" s="203">
        <f>(H89/H91)-1</f>
        <v>0.39370078740157477</v>
      </c>
      <c r="I90" s="203">
        <f>(I89/I91)-1</f>
        <v>0.45871559633027514</v>
      </c>
      <c r="J90" s="203">
        <f>(J89/J91)-1</f>
        <v>9.3023255813953432E-2</v>
      </c>
      <c r="K90" s="188"/>
      <c r="L90" s="215"/>
      <c r="M90" s="188"/>
      <c r="N90" s="188"/>
      <c r="O90" s="188"/>
      <c r="P90" s="188"/>
      <c r="Q90" s="178"/>
      <c r="R90" s="195"/>
      <c r="S90" s="197"/>
      <c r="T90" s="180"/>
      <c r="U90" s="189" t="str">
        <f>IFERROR(IF(Tableau3[[#This Row],[Dettes]]=0,"",(Tableau3[[#This Row],[Dettes]]/Tableau3[[#This Row],[EBE]])),"")</f>
        <v/>
      </c>
      <c r="V90" s="190" t="str">
        <f>IFERROR(Tableau3[[#This Row],[Fonds propres]]/Tableau3[[#This Row],[Total Bilan]],"")</f>
        <v/>
      </c>
      <c r="W90" s="180"/>
      <c r="X90" s="191"/>
      <c r="Y90" s="180"/>
      <c r="Z90" s="192" t="str">
        <f>IFERROR(Tableau3[[#This Row],[Chiffre d''affaires]]/Tableau3[[#This Row],[Salariés]],"")</f>
        <v/>
      </c>
      <c r="AA90" s="197"/>
      <c r="AB90" s="197"/>
      <c r="AC90" s="188"/>
    </row>
    <row r="91" spans="1:29" ht="20.25" customHeight="1">
      <c r="A91" s="275"/>
      <c r="D91" s="188"/>
      <c r="E91" s="187">
        <v>128.5</v>
      </c>
      <c r="F91" s="238">
        <v>2023</v>
      </c>
      <c r="G91" s="188">
        <v>5230000000</v>
      </c>
      <c r="H91" s="188">
        <v>1270000000</v>
      </c>
      <c r="I91" s="188">
        <v>1090000000</v>
      </c>
      <c r="J91" s="188">
        <v>1290000000</v>
      </c>
      <c r="K91" s="188">
        <v>-1830000000</v>
      </c>
      <c r="L91" s="215">
        <v>7010000000</v>
      </c>
      <c r="M91" s="194">
        <f t="shared" ref="M91" si="2">L91/P91</f>
        <v>36.55229950985504</v>
      </c>
      <c r="N91" s="190">
        <f t="shared" ref="N91" si="3">J91/L93</f>
        <v>0.20806451612903226</v>
      </c>
      <c r="O91" s="190">
        <f t="shared" ref="O91" si="4">(I91*0.78)/(K93+L93)</f>
        <v>0.17386503067484663</v>
      </c>
      <c r="P91" s="188">
        <v>191780000</v>
      </c>
      <c r="Q91" s="188">
        <f t="shared" ref="Q91" si="5">(P91*E91)+(E92*P92)</f>
        <v>24643730000</v>
      </c>
      <c r="R91" s="195">
        <f t="shared" ref="R91" si="6">Q91/L91</f>
        <v>3.5155106990014264</v>
      </c>
      <c r="S91" s="197">
        <f t="shared" ref="S91" si="7">(Q91+K91)/H91</f>
        <v>17.963566929133858</v>
      </c>
      <c r="T91" s="180"/>
      <c r="U91" s="189">
        <f>IFERROR(IF(Tableau3[[#This Row],[Dettes]]=0,"",(Tableau3[[#This Row],[Dettes]]/Tableau3[[#This Row],[EBE]])),"")</f>
        <v>-1.4409448818897639</v>
      </c>
      <c r="V91" s="190">
        <f>IFERROR(Tableau3[[#This Row],[Fonds propres]]/Tableau3[[#This Row],[Total Bilan]],"")</f>
        <v>0.81511627906976747</v>
      </c>
      <c r="W91" s="180">
        <v>8600000000</v>
      </c>
      <c r="X91" s="191"/>
      <c r="Y91" s="180">
        <v>19900</v>
      </c>
      <c r="Z91" s="192">
        <f>IFERROR(Tableau3[[#This Row],[Chiffre d''affaires]]/Tableau3[[#This Row],[Salariés]],"")</f>
        <v>262814.0703517588</v>
      </c>
      <c r="AA91" s="197"/>
      <c r="AB91" s="197"/>
      <c r="AC91" s="188"/>
    </row>
    <row r="92" spans="1:29" ht="20.25" customHeight="1">
      <c r="A92" s="275"/>
      <c r="D92" s="188"/>
      <c r="E92" s="187"/>
      <c r="F92" s="238"/>
      <c r="G92" s="202">
        <f>(G91/G93)-1</f>
        <v>7.6131687242798396E-2</v>
      </c>
      <c r="H92" s="203">
        <f>(H91/H93)-1</f>
        <v>6.7226890756302504E-2</v>
      </c>
      <c r="I92" s="203">
        <f>(I91/I93)-1</f>
        <v>5.8252427184465994E-2</v>
      </c>
      <c r="J92" s="203">
        <f>(J91/J93)-1</f>
        <v>-0.86750069331032575</v>
      </c>
      <c r="K92" s="188"/>
      <c r="L92" s="215"/>
      <c r="M92" s="188"/>
      <c r="N92" s="188"/>
      <c r="O92" s="188"/>
      <c r="P92" s="188"/>
      <c r="Q92" s="178"/>
      <c r="R92" s="195"/>
      <c r="S92" s="197"/>
      <c r="T92" s="180"/>
      <c r="U92" s="189" t="str">
        <f>IFERROR(IF(Tableau3[[#This Row],[Dettes]]=0,"",(Tableau3[[#This Row],[Dettes]]/Tableau3[[#This Row],[EBE]])),"")</f>
        <v/>
      </c>
      <c r="V92" s="190" t="str">
        <f>IFERROR(Tableau3[[#This Row],[Fonds propres]]/Tableau3[[#This Row],[Total Bilan]],"")</f>
        <v/>
      </c>
      <c r="W92" s="180"/>
      <c r="X92" s="191"/>
      <c r="Y92" s="180"/>
      <c r="Z92" s="192" t="str">
        <f>IFERROR(Tableau3[[#This Row],[Chiffre d''affaires]]/Tableau3[[#This Row],[Salariés]],"")</f>
        <v/>
      </c>
      <c r="AA92" s="197"/>
      <c r="AB92" s="197"/>
      <c r="AC92" s="188"/>
    </row>
    <row r="93" spans="1:29" ht="20.25" customHeight="1">
      <c r="A93" s="275"/>
      <c r="D93" s="188"/>
      <c r="E93" s="187">
        <v>92.3</v>
      </c>
      <c r="F93" s="238">
        <v>2022</v>
      </c>
      <c r="G93" s="188">
        <v>4860000000</v>
      </c>
      <c r="H93" s="188">
        <v>1190000000</v>
      </c>
      <c r="I93" s="188">
        <v>1030000000</v>
      </c>
      <c r="J93" s="188">
        <v>9735900000</v>
      </c>
      <c r="K93" s="188">
        <v>-1310000000</v>
      </c>
      <c r="L93" s="215">
        <v>6200000000</v>
      </c>
      <c r="M93" s="194">
        <f t="shared" ref="M93" si="8">L93/P93</f>
        <v>32.355703997495041</v>
      </c>
      <c r="N93" s="190">
        <f t="shared" ref="N93" si="9">J93/L95</f>
        <v>1.5934369885433715</v>
      </c>
      <c r="O93" s="190">
        <f t="shared" ref="O93" si="10">(I93*0.78)/(K95+L95)</f>
        <v>0.18468965517241379</v>
      </c>
      <c r="P93" s="188">
        <v>191620000</v>
      </c>
      <c r="Q93" s="188">
        <f t="shared" ref="Q93" si="11">(P93*E93)+(E94*P94)</f>
        <v>17686526000</v>
      </c>
      <c r="R93" s="195">
        <f t="shared" ref="R93" si="12">Q93/L93</f>
        <v>2.8526654838709677</v>
      </c>
      <c r="S93" s="197">
        <f t="shared" ref="S93" si="13">(Q93+K93)/H93</f>
        <v>13.761786554621848</v>
      </c>
      <c r="T93" s="180"/>
      <c r="U93" s="189">
        <f>IFERROR(IF(Tableau3[[#This Row],[Dettes]]=0,"",(Tableau3[[#This Row],[Dettes]]/Tableau3[[#This Row],[EBE]])),"")</f>
        <v>-1.1008403361344539</v>
      </c>
      <c r="V93" s="190">
        <f>IFERROR(Tableau3[[#This Row],[Fonds propres]]/Tableau3[[#This Row],[Total Bilan]],"")</f>
        <v>0.80206985769728334</v>
      </c>
      <c r="W93" s="180">
        <v>7730000000</v>
      </c>
      <c r="X93" s="191"/>
      <c r="Y93" s="180">
        <v>19700</v>
      </c>
      <c r="Z93" s="192">
        <f>IFERROR(Tableau3[[#This Row],[Chiffre d''affaires]]/Tableau3[[#This Row],[Salariés]],"")</f>
        <v>246700.50761421319</v>
      </c>
      <c r="AA93" s="197"/>
      <c r="AB93" s="197"/>
      <c r="AC93" s="188"/>
    </row>
    <row r="94" spans="1:29" ht="20.25" customHeight="1">
      <c r="A94" s="275"/>
      <c r="D94" s="188"/>
      <c r="E94" s="187"/>
      <c r="F94" s="238"/>
      <c r="G94" s="202">
        <f>(G93/G95)-1</f>
        <v>-2.4096385542168641E-2</v>
      </c>
      <c r="H94" s="203">
        <f>(H93/H95)-1</f>
        <v>-0.13138686131386856</v>
      </c>
      <c r="I94" s="203">
        <f>(I93/I95)-1</f>
        <v>-0.15573770491803274</v>
      </c>
      <c r="J94" s="203">
        <f>(J93/J95)-1</f>
        <v>8.0147222222222219</v>
      </c>
      <c r="K94" s="188"/>
      <c r="L94" s="215"/>
      <c r="M94" s="188"/>
      <c r="N94" s="188"/>
      <c r="O94" s="188"/>
      <c r="P94" s="188"/>
      <c r="Q94" s="178"/>
      <c r="R94" s="195"/>
      <c r="S94" s="197"/>
      <c r="T94" s="180"/>
      <c r="U94" s="189" t="str">
        <f>IFERROR(IF(Tableau3[[#This Row],[Dettes]]=0,"",(Tableau3[[#This Row],[Dettes]]/Tableau3[[#This Row],[EBE]])),"")</f>
        <v/>
      </c>
      <c r="V94" s="190" t="str">
        <f>IFERROR(Tableau3[[#This Row],[Fonds propres]]/Tableau3[[#This Row],[Total Bilan]],"")</f>
        <v/>
      </c>
      <c r="W94" s="180"/>
      <c r="X94" s="191"/>
      <c r="Y94" s="180"/>
      <c r="Z94" s="192" t="str">
        <f>IFERROR(Tableau3[[#This Row],[Chiffre d''affaires]]/Tableau3[[#This Row],[Salariés]],"")</f>
        <v/>
      </c>
      <c r="AA94" s="197"/>
      <c r="AB94" s="197"/>
      <c r="AC94" s="177" t="s">
        <v>2137</v>
      </c>
    </row>
    <row r="95" spans="1:29" ht="20.25" customHeight="1">
      <c r="A95" s="275"/>
      <c r="D95" s="188"/>
      <c r="E95" s="187">
        <v>136.19999999999999</v>
      </c>
      <c r="F95" s="238">
        <v>2021</v>
      </c>
      <c r="G95" s="188">
        <v>4980000000</v>
      </c>
      <c r="H95" s="188">
        <v>1370000000</v>
      </c>
      <c r="I95" s="188">
        <v>1220000000</v>
      </c>
      <c r="J95" s="188">
        <v>1080000000</v>
      </c>
      <c r="K95" s="188">
        <v>-1760000000</v>
      </c>
      <c r="L95" s="215">
        <v>6110000000</v>
      </c>
      <c r="M95" s="194">
        <f t="shared" ref="M95" si="14">L95/P95</f>
        <v>31.722132807227037</v>
      </c>
      <c r="N95" s="190">
        <f t="shared" ref="N95" si="15">J95/L97</f>
        <v>0.19565217391304349</v>
      </c>
      <c r="O95" s="190">
        <f t="shared" ref="O95" si="16">(I95*0.78)/(K97+L97)</f>
        <v>0.2524137931034483</v>
      </c>
      <c r="P95" s="188">
        <v>192610000</v>
      </c>
      <c r="Q95" s="188">
        <f t="shared" ref="Q95" si="17">(P95*E95)+(E96*P96)</f>
        <v>26233481999.999996</v>
      </c>
      <c r="R95" s="195">
        <f t="shared" ref="R95" si="18">Q95/L95</f>
        <v>4.2935322422258588</v>
      </c>
      <c r="S95" s="197">
        <f t="shared" ref="S95" si="19">(Q95+K95)/H95</f>
        <v>17.863855474452553</v>
      </c>
      <c r="T95" s="180"/>
      <c r="U95" s="189">
        <f>IFERROR(IF(Tableau3[[#This Row],[Dettes]]=0,"",(Tableau3[[#This Row],[Dettes]]/Tableau3[[#This Row],[EBE]])),"")</f>
        <v>-1.2846715328467153</v>
      </c>
      <c r="V95" s="190">
        <f>IFERROR(Tableau3[[#This Row],[Fonds propres]]/Tableau3[[#This Row],[Total Bilan]],"")</f>
        <v>0.77834394904458604</v>
      </c>
      <c r="W95" s="180">
        <v>7850000000</v>
      </c>
      <c r="X95" s="191"/>
      <c r="Y95" s="180">
        <v>18700</v>
      </c>
      <c r="Z95" s="192">
        <f>IFERROR(Tableau3[[#This Row],[Chiffre d''affaires]]/Tableau3[[#This Row],[Salariés]],"")</f>
        <v>266310.16042780748</v>
      </c>
      <c r="AA95" s="197"/>
      <c r="AB95" s="197"/>
      <c r="AC95" s="177" t="s">
        <v>917</v>
      </c>
    </row>
    <row r="96" spans="1:29" ht="20.25" customHeight="1">
      <c r="A96" s="275"/>
      <c r="D96" s="188"/>
      <c r="E96" s="187"/>
      <c r="F96" s="238"/>
      <c r="G96" s="202">
        <f>(G95/G97)-1</f>
        <v>0.1885441527446301</v>
      </c>
      <c r="H96" s="203">
        <f>(H95/H97)-1</f>
        <v>0.16101694915254239</v>
      </c>
      <c r="I96" s="203">
        <f>(I95/I97)-1</f>
        <v>0.161904761904762</v>
      </c>
      <c r="J96" s="203">
        <f>(J95/J97)-1</f>
        <v>8.8358594001934909E-2</v>
      </c>
      <c r="K96" s="188"/>
      <c r="L96" s="215"/>
      <c r="M96" s="188"/>
      <c r="N96" s="188"/>
      <c r="O96" s="188"/>
      <c r="P96" s="188"/>
      <c r="Q96" s="178"/>
      <c r="R96" s="195"/>
      <c r="S96" s="197"/>
      <c r="T96" s="180"/>
      <c r="U96" s="189" t="str">
        <f>IFERROR(IF(Tableau3[[#This Row],[Dettes]]=0,"",(Tableau3[[#This Row],[Dettes]]/Tableau3[[#This Row],[EBE]])),"")</f>
        <v/>
      </c>
      <c r="V96" s="190" t="str">
        <f>IFERROR(Tableau3[[#This Row],[Fonds propres]]/Tableau3[[#This Row],[Total Bilan]],"")</f>
        <v/>
      </c>
      <c r="W96" s="180"/>
      <c r="X96" s="191"/>
      <c r="Y96" s="180"/>
      <c r="Z96" s="192" t="str">
        <f>IFERROR(Tableau3[[#This Row],[Chiffre d''affaires]]/Tableau3[[#This Row],[Salariés]],"")</f>
        <v/>
      </c>
      <c r="AA96" s="197"/>
      <c r="AB96" s="197"/>
      <c r="AC96" s="177" t="s">
        <v>4546</v>
      </c>
    </row>
    <row r="97" spans="1:29" ht="20.25" customHeight="1">
      <c r="A97" s="275"/>
      <c r="D97" s="188"/>
      <c r="E97" s="187">
        <v>119.6</v>
      </c>
      <c r="F97" s="238">
        <v>2020</v>
      </c>
      <c r="G97" s="188">
        <v>4190000000</v>
      </c>
      <c r="H97" s="188">
        <v>1180000000</v>
      </c>
      <c r="I97" s="188">
        <v>1050000000</v>
      </c>
      <c r="J97" s="188">
        <v>992320000</v>
      </c>
      <c r="K97" s="188">
        <v>-1750000000</v>
      </c>
      <c r="L97" s="215">
        <v>5520000000</v>
      </c>
      <c r="M97" s="194">
        <f t="shared" ref="M97" si="20">L97/P97</f>
        <v>28.814532546849716</v>
      </c>
      <c r="N97" s="190">
        <f>J97/L97</f>
        <v>0.17976811594202899</v>
      </c>
      <c r="O97" s="190">
        <f>(I97*0.78)/(K97+L97)</f>
        <v>0.21724137931034482</v>
      </c>
      <c r="P97" s="188">
        <v>191570000</v>
      </c>
      <c r="Q97" s="188">
        <f t="shared" ref="Q97" si="21">(P97*E97)+(E98*P98)</f>
        <v>22911772000</v>
      </c>
      <c r="R97" s="195">
        <f t="shared" ref="R97" si="22">Q97/L97</f>
        <v>4.1506833333333333</v>
      </c>
      <c r="S97" s="197">
        <f t="shared" ref="S97" si="23">(Q97+K97)/H97</f>
        <v>17.933705084745764</v>
      </c>
      <c r="T97" s="180"/>
      <c r="U97" s="189">
        <f>IFERROR(IF(Tableau3[[#This Row],[Dettes]]=0,"",(Tableau3[[#This Row],[Dettes]]/Tableau3[[#This Row],[EBE]])),"")</f>
        <v>-1.4830508474576272</v>
      </c>
      <c r="V97" s="190">
        <f>IFERROR(Tableau3[[#This Row],[Fonds propres]]/Tableau3[[#This Row],[Total Bilan]],"")</f>
        <v>0.78520625889046947</v>
      </c>
      <c r="W97" s="180">
        <v>7030000000</v>
      </c>
      <c r="X97" s="191"/>
      <c r="Y97" s="180">
        <v>16000</v>
      </c>
      <c r="Z97" s="192">
        <f>IFERROR(Tableau3[[#This Row],[Chiffre d''affaires]]/Tableau3[[#This Row],[Salariés]],"")</f>
        <v>261875</v>
      </c>
      <c r="AA97" s="197"/>
      <c r="AB97" s="197"/>
      <c r="AC97" s="177" t="s">
        <v>5159</v>
      </c>
    </row>
    <row r="98" spans="1:29" ht="20.25" customHeight="1">
      <c r="A98" s="275"/>
      <c r="D98" s="188"/>
      <c r="E98" s="187"/>
      <c r="F98" s="214"/>
      <c r="G98" s="188"/>
      <c r="H98" s="188"/>
      <c r="I98" s="188"/>
      <c r="J98" s="188"/>
      <c r="K98" s="188"/>
      <c r="L98" s="215"/>
      <c r="M98" s="188"/>
      <c r="N98" s="188"/>
      <c r="O98" s="188"/>
      <c r="P98" s="188"/>
      <c r="Q98" s="178"/>
      <c r="R98" s="195"/>
      <c r="S98" s="197"/>
      <c r="T98" s="180"/>
      <c r="U98" s="189" t="str">
        <f>IFERROR(IF(Tableau3[[#This Row],[Dettes]]=0,"",(Tableau3[[#This Row],[Dettes]]/Tableau3[[#This Row],[EBE]])),"")</f>
        <v/>
      </c>
      <c r="V98" s="190" t="str">
        <f>IFERROR(Tableau3[[#This Row],[Fonds propres]]/Tableau3[[#This Row],[Total Bilan]],"")</f>
        <v/>
      </c>
      <c r="W98" s="180"/>
      <c r="X98" s="191"/>
      <c r="Y98" s="180"/>
      <c r="Z98" s="192" t="str">
        <f>IFERROR(Tableau3[[#This Row],[Chiffre d''affaires]]/Tableau3[[#This Row],[Salariés]],"")</f>
        <v/>
      </c>
      <c r="AA98" s="197"/>
      <c r="AB98" s="197"/>
      <c r="AC98" s="188"/>
    </row>
    <row r="99" spans="1:29" ht="20.25" customHeight="1">
      <c r="A99" s="275"/>
      <c r="D99" s="188"/>
      <c r="E99" s="187"/>
      <c r="F99" s="214"/>
      <c r="G99" s="188"/>
      <c r="H99" s="188"/>
      <c r="I99" s="188"/>
      <c r="J99" s="188"/>
      <c r="K99" s="188"/>
      <c r="L99" s="215"/>
      <c r="M99" s="188"/>
      <c r="N99" s="188"/>
      <c r="O99" s="188"/>
      <c r="P99" s="188"/>
      <c r="Q99" s="178"/>
      <c r="R99" s="195"/>
      <c r="S99" s="197"/>
      <c r="T99" s="180"/>
      <c r="U99" s="189" t="str">
        <f>IFERROR(IF(Tableau3[[#This Row],[Dettes]]=0,"",(Tableau3[[#This Row],[Dettes]]/Tableau3[[#This Row],[EBE]])),"")</f>
        <v/>
      </c>
      <c r="V99" s="190" t="str">
        <f>IFERROR(Tableau3[[#This Row],[Fonds propres]]/Tableau3[[#This Row],[Total Bilan]],"")</f>
        <v/>
      </c>
      <c r="W99" s="180"/>
      <c r="X99" s="191"/>
      <c r="Y99" s="180"/>
      <c r="Z99" s="192" t="str">
        <f>IFERROR(Tableau3[[#This Row],[Chiffre d''affaires]]/Tableau3[[#This Row],[Salariés]],"")</f>
        <v/>
      </c>
      <c r="AA99" s="197"/>
      <c r="AB99" s="197"/>
      <c r="AC99" s="188"/>
    </row>
    <row r="100" spans="1:29" ht="20.25" customHeight="1">
      <c r="A100" s="275"/>
      <c r="D100" s="188"/>
      <c r="E100" s="187"/>
      <c r="F100" s="214"/>
      <c r="G100" s="188"/>
      <c r="H100" s="215"/>
      <c r="I100" s="214"/>
      <c r="J100" s="215"/>
      <c r="K100" s="215"/>
      <c r="L100" s="215"/>
      <c r="M100" s="188"/>
      <c r="N100" s="188"/>
      <c r="O100" s="188"/>
      <c r="P100" s="188"/>
      <c r="Q100" s="178"/>
      <c r="R100" s="195"/>
      <c r="S100" s="197"/>
      <c r="T100" s="180"/>
      <c r="U100" s="189" t="str">
        <f>IFERROR(IF(Tableau3[[#This Row],[Dettes]]=0,"",(Tableau3[[#This Row],[Dettes]]/Tableau3[[#This Row],[EBE]])),"")</f>
        <v/>
      </c>
      <c r="V100" s="190" t="str">
        <f>IFERROR(Tableau3[[#This Row],[Fonds propres]]/Tableau3[[#This Row],[Total Bilan]],"")</f>
        <v/>
      </c>
      <c r="W100" s="180"/>
      <c r="X100" s="191"/>
      <c r="Y100" s="180"/>
      <c r="Z100" s="192" t="str">
        <f>IFERROR(Tableau3[[#This Row],[Chiffre d''affaires]]/Tableau3[[#This Row],[Salariés]],"")</f>
        <v/>
      </c>
      <c r="AA100" s="197"/>
      <c r="AB100" s="197"/>
      <c r="AC100" s="188"/>
    </row>
    <row r="101" spans="1:29" ht="20.25" customHeight="1">
      <c r="A101" s="217" t="s">
        <v>129</v>
      </c>
      <c r="B101" s="216" t="s">
        <v>130</v>
      </c>
      <c r="C101" s="178" t="s">
        <v>84</v>
      </c>
      <c r="D101" s="178" t="s">
        <v>85</v>
      </c>
      <c r="E101" s="187">
        <v>3.3</v>
      </c>
      <c r="F101" s="178">
        <v>2022</v>
      </c>
      <c r="G101" s="188">
        <f>4450000000</f>
        <v>4450000000</v>
      </c>
      <c r="H101" s="211">
        <v>-6000000</v>
      </c>
      <c r="I101" s="211">
        <v>-69000000</v>
      </c>
      <c r="J101" s="211">
        <v>-427000000</v>
      </c>
      <c r="K101" s="211">
        <v>1217000000</v>
      </c>
      <c r="L101" s="211">
        <v>772000000</v>
      </c>
      <c r="M101" s="194">
        <f>L101/P101</f>
        <v>4.476809716838944</v>
      </c>
      <c r="N101" s="190">
        <f>J101/(M101*P101)</f>
        <v>-0.55310880829015541</v>
      </c>
      <c r="O101" s="190">
        <f>(I101*0.64)/(K101+L101)</f>
        <v>-2.2202111613876321E-2</v>
      </c>
      <c r="P101" s="188">
        <v>172444229</v>
      </c>
      <c r="Q101" s="211">
        <f>P101*E101</f>
        <v>569065955.69999993</v>
      </c>
      <c r="R101" s="195">
        <f>Q101/L101</f>
        <v>0.73713206696891187</v>
      </c>
      <c r="S101" s="197" t="s">
        <v>131</v>
      </c>
      <c r="T101" s="180">
        <v>-48000000</v>
      </c>
      <c r="U101" s="189">
        <f>IFERROR(IF(Tableau3[[#This Row],[Dettes]]=0,"",(Tableau3[[#This Row],[Dettes]]/Tableau3[[#This Row],[EBE]])),"")</f>
        <v>-202.83333333333334</v>
      </c>
      <c r="V101" s="190" t="str">
        <f>IFERROR(Tableau3[[#This Row],[Fonds propres]]/Tableau3[[#This Row],[Total Bilan]],"")</f>
        <v/>
      </c>
      <c r="W101" s="180"/>
      <c r="X101" s="191" t="s">
        <v>132</v>
      </c>
      <c r="Y101" s="180">
        <v>99000</v>
      </c>
      <c r="Z101" s="192">
        <f>IFERROR(Tableau3[[#This Row],[Chiffre d''affaires]]/Tableau3[[#This Row],[Salariés]],"")</f>
        <v>44949.494949494947</v>
      </c>
      <c r="AA101" s="197"/>
      <c r="AB101" s="197"/>
      <c r="AC101" s="177" t="s">
        <v>133</v>
      </c>
    </row>
    <row r="102" spans="1:29" ht="20.25" customHeight="1">
      <c r="A102" s="275"/>
      <c r="D102" s="188"/>
      <c r="G102" s="202">
        <f>(G101/G103)-1</f>
        <v>0.20270270270270263</v>
      </c>
      <c r="H102" s="203"/>
      <c r="I102" s="203">
        <f>(I101/I103)-1</f>
        <v>-0.2247191011235955</v>
      </c>
      <c r="J102" s="203">
        <f>(J101/J103)-1</f>
        <v>3.2699999999999996</v>
      </c>
      <c r="K102" s="178"/>
      <c r="L102" s="178"/>
      <c r="M102" s="178"/>
      <c r="N102" s="178"/>
      <c r="O102" s="178"/>
      <c r="P102" s="178"/>
      <c r="Q102" s="178"/>
      <c r="R102" s="178"/>
      <c r="S102" s="178"/>
      <c r="T102" s="180"/>
      <c r="U102" s="189" t="str">
        <f>IFERROR(IF(Tableau3[[#This Row],[Dettes]]=0,"",(Tableau3[[#This Row],[Dettes]]/Tableau3[[#This Row],[EBE]])),"")</f>
        <v/>
      </c>
      <c r="V102" s="190" t="str">
        <f>IFERROR(Tableau3[[#This Row],[Fonds propres]]/Tableau3[[#This Row],[Total Bilan]],"")</f>
        <v/>
      </c>
      <c r="W102" s="180"/>
      <c r="X102" s="206">
        <v>43922</v>
      </c>
      <c r="Y102" s="180"/>
      <c r="Z102" s="192" t="str">
        <f>IFERROR(Tableau3[[#This Row],[Chiffre d''affaires]]/Tableau3[[#This Row],[Salariés]],"")</f>
        <v/>
      </c>
      <c r="AA102" s="207"/>
      <c r="AB102" s="207"/>
      <c r="AC102" s="177" t="s">
        <v>135</v>
      </c>
    </row>
    <row r="103" spans="1:29" ht="20.25" customHeight="1">
      <c r="A103" s="217"/>
      <c r="E103" s="187">
        <v>6.36</v>
      </c>
      <c r="F103" s="178">
        <v>2021</v>
      </c>
      <c r="G103" s="188">
        <v>3700000000</v>
      </c>
      <c r="H103" s="211">
        <v>-64000000</v>
      </c>
      <c r="I103" s="211">
        <v>-89000000</v>
      </c>
      <c r="J103" s="211">
        <v>-100000000</v>
      </c>
      <c r="K103" s="211">
        <v>1108000000</v>
      </c>
      <c r="L103" s="211">
        <v>1081000000</v>
      </c>
      <c r="M103" s="194">
        <f>L103/P103</f>
        <v>6.207370160464194</v>
      </c>
      <c r="N103" s="190">
        <f>J103/(M103*P103)</f>
        <v>-9.2506938020351523E-2</v>
      </c>
      <c r="O103" s="190">
        <f>(I103*0.64)/(K103+L103)</f>
        <v>-2.6021014161717679E-2</v>
      </c>
      <c r="P103" s="188">
        <v>174147823</v>
      </c>
      <c r="Q103" s="211">
        <f>P103*E103</f>
        <v>1107580154.28</v>
      </c>
      <c r="R103" s="195">
        <f>Q103/L103</f>
        <v>1.0245884868455133</v>
      </c>
      <c r="S103" s="197" t="s">
        <v>131</v>
      </c>
      <c r="T103" s="180">
        <v>13000000</v>
      </c>
      <c r="U103" s="189">
        <f>IFERROR(IF(Tableau3[[#This Row],[Dettes]]=0,"",(Tableau3[[#This Row],[Dettes]]/Tableau3[[#This Row],[EBE]])),"")</f>
        <v>-17.3125</v>
      </c>
      <c r="V103" s="190" t="str">
        <f>IFERROR(Tableau3[[#This Row],[Fonds propres]]/Tableau3[[#This Row],[Total Bilan]],"")</f>
        <v/>
      </c>
      <c r="W103" s="180"/>
      <c r="Y103" s="180"/>
      <c r="Z103" s="192" t="str">
        <f>IFERROR(Tableau3[[#This Row],[Chiffre d''affaires]]/Tableau3[[#This Row],[Salariés]],"")</f>
        <v/>
      </c>
      <c r="AA103" s="177"/>
      <c r="AC103" s="177" t="s">
        <v>136</v>
      </c>
    </row>
    <row r="104" spans="1:29" ht="20.25" customHeight="1">
      <c r="A104" s="217"/>
      <c r="E104" s="187"/>
      <c r="G104" s="202">
        <f>(G103/G105)-1</f>
        <v>-6.7305268464834866E-2</v>
      </c>
      <c r="H104" s="203">
        <f>(H103/H105)-1</f>
        <v>-0.2808988764044944</v>
      </c>
      <c r="I104" s="203" t="e">
        <f>(I103/I105)-1</f>
        <v>#DIV/0!</v>
      </c>
      <c r="J104" s="203">
        <f>(J103/J105)-1</f>
        <v>-0.79296066252587993</v>
      </c>
      <c r="K104" s="178"/>
      <c r="L104" s="178"/>
      <c r="M104" s="178"/>
      <c r="N104" s="178"/>
      <c r="O104" s="178"/>
      <c r="P104" s="178"/>
      <c r="Q104" s="178"/>
      <c r="R104" s="195"/>
      <c r="S104" s="197"/>
      <c r="T104" s="180"/>
      <c r="U104" s="189" t="str">
        <f>IFERROR(IF(Tableau3[[#This Row],[Dettes]]=0,"",(Tableau3[[#This Row],[Dettes]]/Tableau3[[#This Row],[EBE]])),"")</f>
        <v/>
      </c>
      <c r="V104" s="190" t="str">
        <f>IFERROR(Tableau3[[#This Row],[Fonds propres]]/Tableau3[[#This Row],[Total Bilan]],"")</f>
        <v/>
      </c>
      <c r="W104" s="180"/>
      <c r="X104" s="191"/>
      <c r="Y104" s="180"/>
      <c r="Z104" s="192" t="str">
        <f>IFERROR(Tableau3[[#This Row],[Chiffre d''affaires]]/Tableau3[[#This Row],[Salariés]],"")</f>
        <v/>
      </c>
      <c r="AA104" s="197"/>
      <c r="AB104" s="197"/>
      <c r="AC104" s="177" t="s">
        <v>135</v>
      </c>
    </row>
    <row r="105" spans="1:29" ht="20.25" customHeight="1">
      <c r="A105" s="217"/>
      <c r="E105" s="187">
        <v>5.5</v>
      </c>
      <c r="F105" s="178">
        <v>2020</v>
      </c>
      <c r="G105" s="188">
        <v>3967000000</v>
      </c>
      <c r="H105" s="211">
        <v>-89000000</v>
      </c>
      <c r="I105" s="211">
        <v>0</v>
      </c>
      <c r="J105" s="211">
        <v>-483000000</v>
      </c>
      <c r="K105" s="211">
        <v>995000000</v>
      </c>
      <c r="L105" s="211">
        <v>1132000000</v>
      </c>
      <c r="M105" s="194">
        <f>L105/P105</f>
        <v>6.5010668066854027</v>
      </c>
      <c r="N105" s="190">
        <f>J105/(M105*P105)</f>
        <v>-0.42667844522968196</v>
      </c>
      <c r="O105" s="190">
        <f>(I105*0.64)/(K105+L105)</f>
        <v>0</v>
      </c>
      <c r="P105" s="188">
        <v>174125268</v>
      </c>
      <c r="Q105" s="211">
        <f>P105*E105</f>
        <v>957688974</v>
      </c>
      <c r="R105" s="195">
        <f>Q105/L105</f>
        <v>0.84601499469964669</v>
      </c>
      <c r="S105" s="197" t="s">
        <v>131</v>
      </c>
      <c r="T105" s="180"/>
      <c r="U105" s="189">
        <f>IFERROR(IF(Tableau3[[#This Row],[Dettes]]=0,"",(Tableau3[[#This Row],[Dettes]]/Tableau3[[#This Row],[EBE]])),"")</f>
        <v>-11.179775280898877</v>
      </c>
      <c r="V105" s="190" t="str">
        <f>IFERROR(Tableau3[[#This Row],[Fonds propres]]/Tableau3[[#This Row],[Total Bilan]],"")</f>
        <v/>
      </c>
      <c r="W105" s="180"/>
      <c r="X105" s="191"/>
      <c r="Y105" s="180"/>
      <c r="Z105" s="192" t="str">
        <f>IFERROR(Tableau3[[#This Row],[Chiffre d''affaires]]/Tableau3[[#This Row],[Salariés]],"")</f>
        <v/>
      </c>
      <c r="AA105" s="197"/>
      <c r="AB105" s="197"/>
      <c r="AC105" s="177" t="s">
        <v>137</v>
      </c>
    </row>
    <row r="106" spans="1:29" ht="20.25" customHeight="1">
      <c r="A106" s="217"/>
      <c r="E106" s="187"/>
      <c r="G106" s="202">
        <f>(G105/G107)-1</f>
        <v>-0.19419053422709731</v>
      </c>
      <c r="H106" s="203">
        <f>(H105/H107)-1</f>
        <v>-1.2937293729372938</v>
      </c>
      <c r="I106" s="203">
        <f>(I105/I107)-1</f>
        <v>-1</v>
      </c>
      <c r="J106" s="203">
        <f>(J105/J107)-1</f>
        <v>-2.7888888888888888</v>
      </c>
      <c r="K106" s="178"/>
      <c r="L106" s="178"/>
      <c r="M106" s="178"/>
      <c r="N106" s="178"/>
      <c r="O106" s="178"/>
      <c r="P106" s="178"/>
      <c r="Q106" s="178"/>
      <c r="R106" s="195"/>
      <c r="S106" s="197"/>
      <c r="T106" s="180"/>
      <c r="U106" s="189" t="str">
        <f>IFERROR(IF(Tableau3[[#This Row],[Dettes]]=0,"",(Tableau3[[#This Row],[Dettes]]/Tableau3[[#This Row],[EBE]])),"")</f>
        <v/>
      </c>
      <c r="V106" s="190" t="str">
        <f>IFERROR(Tableau3[[#This Row],[Fonds propres]]/Tableau3[[#This Row],[Total Bilan]],"")</f>
        <v/>
      </c>
      <c r="W106" s="180"/>
      <c r="X106" s="191"/>
      <c r="Y106" s="180"/>
      <c r="Z106" s="192" t="str">
        <f>IFERROR(Tableau3[[#This Row],[Chiffre d''affaires]]/Tableau3[[#This Row],[Salariés]],"")</f>
        <v/>
      </c>
      <c r="AA106" s="197"/>
      <c r="AB106" s="197"/>
      <c r="AC106" s="177" t="s">
        <v>138</v>
      </c>
    </row>
    <row r="107" spans="1:29" ht="20.25" customHeight="1">
      <c r="A107" s="217"/>
      <c r="E107" s="187">
        <v>12.8</v>
      </c>
      <c r="F107" s="178">
        <v>2019</v>
      </c>
      <c r="G107" s="188">
        <v>4923000000</v>
      </c>
      <c r="H107" s="211">
        <v>303000000</v>
      </c>
      <c r="I107" s="211">
        <v>133000000</v>
      </c>
      <c r="J107" s="211">
        <v>270000000</v>
      </c>
      <c r="K107" s="211">
        <v>782000000</v>
      </c>
      <c r="L107" s="211">
        <v>1668000000</v>
      </c>
      <c r="M107" s="194">
        <f>L107/P107</f>
        <v>9.5834202142002436</v>
      </c>
      <c r="N107" s="190" t="s">
        <v>131</v>
      </c>
      <c r="O107" s="190">
        <f>(I107*0.64)/(K107+L107)</f>
        <v>3.4742857142857145E-2</v>
      </c>
      <c r="P107" s="188">
        <v>174050596</v>
      </c>
      <c r="Q107" s="211">
        <f>P107*E107</f>
        <v>2227847628.8000002</v>
      </c>
      <c r="R107" s="195">
        <f>Q107/L107</f>
        <v>1.3356400652278178</v>
      </c>
      <c r="S107" s="197">
        <f>(Q107+K107)/H107</f>
        <v>9.9334905240924094</v>
      </c>
      <c r="T107" s="180"/>
      <c r="U107" s="189">
        <f>IFERROR(IF(Tableau3[[#This Row],[Dettes]]=0,"",(Tableau3[[#This Row],[Dettes]]/Tableau3[[#This Row],[EBE]])),"")</f>
        <v>2.5808580858085808</v>
      </c>
      <c r="V107" s="190" t="str">
        <f>IFERROR(Tableau3[[#This Row],[Fonds propres]]/Tableau3[[#This Row],[Total Bilan]],"")</f>
        <v/>
      </c>
      <c r="W107" s="180"/>
      <c r="X107" s="191"/>
      <c r="Y107" s="180"/>
      <c r="Z107" s="192" t="str">
        <f>IFERROR(Tableau3[[#This Row],[Chiffre d''affaires]]/Tableau3[[#This Row],[Salariés]],"")</f>
        <v/>
      </c>
      <c r="AA107" s="197"/>
      <c r="AB107" s="197"/>
      <c r="AC107" s="177" t="s">
        <v>139</v>
      </c>
    </row>
    <row r="108" spans="1:29" ht="20.25" customHeight="1">
      <c r="A108" s="217"/>
      <c r="E108" s="187"/>
      <c r="G108" s="202">
        <f>(G107/G109)-1</f>
        <v>-0.26076796643168798</v>
      </c>
      <c r="H108" s="203">
        <f>(H107/H109)-1</f>
        <v>-0.39335823367540501</v>
      </c>
      <c r="I108" s="203">
        <f>(I107/I109)-1</f>
        <v>-0.43162393162393164</v>
      </c>
      <c r="J108" s="203">
        <f>(J107/J109)-1</f>
        <v>6.9411764705882355</v>
      </c>
      <c r="K108" s="178"/>
      <c r="L108" s="178"/>
      <c r="M108" s="178"/>
      <c r="N108" s="178"/>
      <c r="O108" s="178"/>
      <c r="P108" s="178"/>
      <c r="Q108" s="211"/>
      <c r="R108" s="195"/>
      <c r="S108" s="197"/>
      <c r="T108" s="180"/>
      <c r="U108" s="189" t="str">
        <f>IFERROR(IF(Tableau3[[#This Row],[Dettes]]=0,"",(Tableau3[[#This Row],[Dettes]]/Tableau3[[#This Row],[EBE]])),"")</f>
        <v/>
      </c>
      <c r="V108" s="190" t="str">
        <f>IFERROR(Tableau3[[#This Row],[Fonds propres]]/Tableau3[[#This Row],[Total Bilan]],"")</f>
        <v/>
      </c>
      <c r="W108" s="180"/>
      <c r="X108" s="191"/>
      <c r="Y108" s="180"/>
      <c r="Z108" s="192" t="str">
        <f>IFERROR(Tableau3[[#This Row],[Chiffre d''affaires]]/Tableau3[[#This Row],[Salariés]],"")</f>
        <v/>
      </c>
      <c r="AA108" s="197"/>
      <c r="AB108" s="197"/>
      <c r="AC108" s="216" t="s">
        <v>140</v>
      </c>
    </row>
    <row r="109" spans="1:29" ht="20.25" customHeight="1">
      <c r="A109" s="217"/>
      <c r="E109" s="187">
        <v>11.96</v>
      </c>
      <c r="F109" s="178">
        <v>2018</v>
      </c>
      <c r="G109" s="188">
        <f>G111*1.037</f>
        <v>6659613999.999999</v>
      </c>
      <c r="H109" s="211">
        <f>G109*0.075</f>
        <v>499471049.99999988</v>
      </c>
      <c r="I109" s="211">
        <v>234000000</v>
      </c>
      <c r="J109" s="211">
        <v>34000000</v>
      </c>
      <c r="K109" s="211">
        <v>1830000000</v>
      </c>
      <c r="L109" s="211">
        <v>1458000000</v>
      </c>
      <c r="M109" s="194">
        <f>L109/P109</f>
        <v>8.2864875872962713</v>
      </c>
      <c r="N109" s="190">
        <f>J109/(M109*P109)</f>
        <v>2.3319615912208505E-2</v>
      </c>
      <c r="O109" s="190">
        <f>(I109*0.64)/(K109+L109)</f>
        <v>4.5547445255474453E-2</v>
      </c>
      <c r="P109" s="188">
        <v>175949096</v>
      </c>
      <c r="Q109" s="211">
        <f>P109*E109</f>
        <v>2104351188.1600001</v>
      </c>
      <c r="R109" s="195">
        <f>Q109/L109</f>
        <v>1.4433135721262003</v>
      </c>
      <c r="S109" s="197">
        <f>(Q109+K109)/H109</f>
        <v>7.877035492167165</v>
      </c>
      <c r="T109" s="180"/>
      <c r="U109" s="189">
        <f>IFERROR(IF(Tableau3[[#This Row],[Dettes]]=0,"",(Tableau3[[#This Row],[Dettes]]/Tableau3[[#This Row],[EBE]])),"")</f>
        <v>3.6638760144356723</v>
      </c>
      <c r="V109" s="190" t="str">
        <f>IFERROR(Tableau3[[#This Row],[Fonds propres]]/Tableau3[[#This Row],[Total Bilan]],"")</f>
        <v/>
      </c>
      <c r="W109" s="180"/>
      <c r="X109" s="191"/>
      <c r="Y109" s="180"/>
      <c r="Z109" s="192" t="str">
        <f>IFERROR(Tableau3[[#This Row],[Chiffre d''affaires]]/Tableau3[[#This Row],[Salariés]],"")</f>
        <v/>
      </c>
      <c r="AA109" s="197"/>
      <c r="AB109" s="197"/>
      <c r="AC109" s="177" t="s">
        <v>141</v>
      </c>
    </row>
    <row r="110" spans="1:29" ht="20.25" customHeight="1">
      <c r="A110" s="217"/>
      <c r="E110" s="187"/>
      <c r="G110" s="202">
        <f>(G109/G111)-1</f>
        <v>3.6999999999999922E-2</v>
      </c>
      <c r="H110" s="203">
        <f>(H109/H111)-1</f>
        <v>-5.9376553672316645E-2</v>
      </c>
      <c r="I110" s="203">
        <f>(I109/I111)-1</f>
        <v>-0.24516129032258061</v>
      </c>
      <c r="J110" s="203">
        <f>(J109/J111)-1</f>
        <v>-0.70175438596491224</v>
      </c>
      <c r="K110" s="178"/>
      <c r="L110" s="178"/>
      <c r="M110" s="178"/>
      <c r="N110" s="178"/>
      <c r="O110" s="178"/>
      <c r="P110" s="178"/>
      <c r="Q110" s="178"/>
      <c r="R110" s="195"/>
      <c r="S110" s="197"/>
      <c r="T110" s="180"/>
      <c r="U110" s="189" t="str">
        <f>IFERROR(IF(Tableau3[[#This Row],[Dettes]]=0,"",(Tableau3[[#This Row],[Dettes]]/Tableau3[[#This Row],[EBE]])),"")</f>
        <v/>
      </c>
      <c r="V110" s="190" t="str">
        <f>IFERROR(Tableau3[[#This Row],[Fonds propres]]/Tableau3[[#This Row],[Total Bilan]],"")</f>
        <v/>
      </c>
      <c r="W110" s="180"/>
      <c r="X110" s="191"/>
      <c r="Y110" s="180"/>
      <c r="Z110" s="192" t="str">
        <f>IFERROR(Tableau3[[#This Row],[Chiffre d''affaires]]/Tableau3[[#This Row],[Salariés]],"")</f>
        <v/>
      </c>
      <c r="AA110" s="197"/>
      <c r="AB110" s="197"/>
      <c r="AC110" s="177" t="s">
        <v>142</v>
      </c>
    </row>
    <row r="111" spans="1:29" ht="20.25" customHeight="1">
      <c r="A111" s="217"/>
      <c r="E111" s="187">
        <v>16</v>
      </c>
      <c r="F111" s="178">
        <v>2017</v>
      </c>
      <c r="G111" s="188">
        <v>6422000000</v>
      </c>
      <c r="H111" s="188">
        <v>531000000</v>
      </c>
      <c r="I111" s="188">
        <v>310000000</v>
      </c>
      <c r="J111" s="188">
        <v>114000000</v>
      </c>
      <c r="K111" s="188">
        <v>1628000000</v>
      </c>
      <c r="L111" s="188">
        <v>1618000000</v>
      </c>
      <c r="M111" s="194">
        <f>L111/P111</f>
        <v>9.3848996407949965</v>
      </c>
      <c r="N111" s="190">
        <f>J111/(M111*P111)</f>
        <v>7.0457354758961685E-2</v>
      </c>
      <c r="O111" s="190">
        <f>(I111*0.64)/(K111+L111)</f>
        <v>6.1121380160197164E-2</v>
      </c>
      <c r="P111" s="188">
        <v>172404614</v>
      </c>
      <c r="Q111" s="211">
        <f>P111*E111</f>
        <v>2758473824</v>
      </c>
      <c r="R111" s="195">
        <f>Q111/L111</f>
        <v>1.704866393077874</v>
      </c>
      <c r="S111" s="197">
        <f>(Q111+K111)/H111</f>
        <v>8.260779329566855</v>
      </c>
      <c r="T111" s="180"/>
      <c r="U111" s="189">
        <f>IFERROR(IF(Tableau3[[#This Row],[Dettes]]=0,"",(Tableau3[[#This Row],[Dettes]]/Tableau3[[#This Row],[EBE]])),"")</f>
        <v>3.0659133709981168</v>
      </c>
      <c r="V111" s="190" t="str">
        <f>IFERROR(Tableau3[[#This Row],[Fonds propres]]/Tableau3[[#This Row],[Total Bilan]],"")</f>
        <v/>
      </c>
      <c r="W111" s="180"/>
      <c r="X111" s="191"/>
      <c r="Y111" s="180"/>
      <c r="Z111" s="192" t="str">
        <f>IFERROR(Tableau3[[#This Row],[Chiffre d''affaires]]/Tableau3[[#This Row],[Salariés]],"")</f>
        <v/>
      </c>
      <c r="AA111" s="197"/>
      <c r="AB111" s="197"/>
      <c r="AC111" s="177" t="s">
        <v>143</v>
      </c>
    </row>
    <row r="112" spans="1:29" ht="20.25" customHeight="1">
      <c r="A112" s="217"/>
      <c r="E112" s="187"/>
      <c r="G112" s="202">
        <f>(G111/G113)-1</f>
        <v>8.921302578018997E-2</v>
      </c>
      <c r="H112" s="203">
        <f>(H111/H113)-1</f>
        <v>5.9880239520958112E-2</v>
      </c>
      <c r="I112" s="203">
        <f>(I111/I113)-1</f>
        <v>-6.3444108761329332E-2</v>
      </c>
      <c r="J112" s="203">
        <f>(J111/J113)-1</f>
        <v>-0.15555555555555556</v>
      </c>
      <c r="K112" s="178"/>
      <c r="L112" s="178"/>
      <c r="M112" s="178"/>
      <c r="N112" s="178"/>
      <c r="O112" s="178"/>
      <c r="P112" s="178"/>
      <c r="Q112" s="178"/>
      <c r="R112" s="195"/>
      <c r="S112" s="197"/>
      <c r="T112" s="180"/>
      <c r="U112" s="189" t="str">
        <f>IFERROR(IF(Tableau3[[#This Row],[Dettes]]=0,"",(Tableau3[[#This Row],[Dettes]]/Tableau3[[#This Row],[EBE]])),"")</f>
        <v/>
      </c>
      <c r="V112" s="190" t="str">
        <f>IFERROR(Tableau3[[#This Row],[Fonds propres]]/Tableau3[[#This Row],[Total Bilan]],"")</f>
        <v/>
      </c>
      <c r="W112" s="180"/>
      <c r="X112" s="191"/>
      <c r="Y112" s="180"/>
      <c r="Z112" s="192" t="str">
        <f>IFERROR(Tableau3[[#This Row],[Chiffre d''affaires]]/Tableau3[[#This Row],[Salariés]],"")</f>
        <v/>
      </c>
      <c r="AA112" s="197"/>
      <c r="AB112" s="197"/>
      <c r="AC112" s="177" t="s">
        <v>144</v>
      </c>
    </row>
    <row r="113" spans="1:29" ht="20.25" customHeight="1">
      <c r="A113" s="217"/>
      <c r="E113" s="187">
        <v>21.5</v>
      </c>
      <c r="F113" s="178">
        <v>2016</v>
      </c>
      <c r="G113" s="188">
        <v>5896000000</v>
      </c>
      <c r="H113" s="188">
        <v>501000000</v>
      </c>
      <c r="I113" s="188">
        <v>331000000</v>
      </c>
      <c r="J113" s="188">
        <v>135000000</v>
      </c>
      <c r="K113" s="188">
        <v>1706000000</v>
      </c>
      <c r="L113" s="188">
        <v>1557000000</v>
      </c>
      <c r="M113" s="194">
        <f>L113/P113</f>
        <v>9.0310808039047021</v>
      </c>
      <c r="N113" s="190">
        <f>J113/(M113*P113)</f>
        <v>8.6705202312138741E-2</v>
      </c>
      <c r="O113" s="190">
        <f>(I113*0.64)/(K113+L113)</f>
        <v>6.4921851057309229E-2</v>
      </c>
      <c r="P113" s="188">
        <v>172404614</v>
      </c>
      <c r="Q113" s="211">
        <f>P113*E113</f>
        <v>3706699201</v>
      </c>
      <c r="R113" s="195">
        <f>Q113/L113</f>
        <v>2.3806674380218369</v>
      </c>
      <c r="S113" s="197">
        <f>(Q113+K113)/H113</f>
        <v>10.803790820359282</v>
      </c>
      <c r="T113" s="180"/>
      <c r="U113" s="189">
        <f>IFERROR(IF(Tableau3[[#This Row],[Dettes]]=0,"",(Tableau3[[#This Row],[Dettes]]/Tableau3[[#This Row],[EBE]])),"")</f>
        <v>3.4051896207584829</v>
      </c>
      <c r="V113" s="190" t="str">
        <f>IFERROR(Tableau3[[#This Row],[Fonds propres]]/Tableau3[[#This Row],[Total Bilan]],"")</f>
        <v/>
      </c>
      <c r="W113" s="180"/>
      <c r="X113" s="191"/>
      <c r="Y113" s="180"/>
      <c r="Z113" s="192" t="str">
        <f>IFERROR(Tableau3[[#This Row],[Chiffre d''affaires]]/Tableau3[[#This Row],[Salariés]],"")</f>
        <v/>
      </c>
      <c r="AA113" s="197"/>
      <c r="AB113" s="197"/>
      <c r="AC113" s="177" t="s">
        <v>145</v>
      </c>
    </row>
    <row r="114" spans="1:29" ht="20.25" customHeight="1">
      <c r="A114" s="217"/>
      <c r="E114" s="187"/>
      <c r="G114" s="202">
        <f>(G113/G115)-1</f>
        <v>3.9125837151920972E-2</v>
      </c>
      <c r="H114" s="203">
        <f>(H113/H115)-1</f>
        <v>5.4736842105263195E-2</v>
      </c>
      <c r="I114" s="203">
        <f>(I113/I115)-1</f>
        <v>7.1197411003236288E-2</v>
      </c>
      <c r="J114" s="203">
        <f>(J113/J115)-1</f>
        <v>0.26168224299065423</v>
      </c>
      <c r="K114" s="188"/>
      <c r="L114" s="188"/>
      <c r="M114" s="194"/>
      <c r="N114" s="190"/>
      <c r="O114" s="190"/>
      <c r="P114" s="188"/>
      <c r="Q114" s="211"/>
      <c r="R114" s="195"/>
      <c r="S114" s="197"/>
      <c r="T114" s="180"/>
      <c r="U114" s="189" t="str">
        <f>IFERROR(IF(Tableau3[[#This Row],[Dettes]]=0,"",(Tableau3[[#This Row],[Dettes]]/Tableau3[[#This Row],[EBE]])),"")</f>
        <v/>
      </c>
      <c r="V114" s="190" t="str">
        <f>IFERROR(Tableau3[[#This Row],[Fonds propres]]/Tableau3[[#This Row],[Total Bilan]],"")</f>
        <v/>
      </c>
      <c r="W114" s="180"/>
      <c r="Y114" s="180"/>
      <c r="Z114" s="192" t="str">
        <f>IFERROR(Tableau3[[#This Row],[Chiffre d''affaires]]/Tableau3[[#This Row],[Salariés]],"")</f>
        <v/>
      </c>
      <c r="AA114" s="177"/>
      <c r="AC114" s="177" t="s">
        <v>146</v>
      </c>
    </row>
    <row r="115" spans="1:29" ht="20.25" customHeight="1">
      <c r="A115" s="217"/>
      <c r="E115" s="187">
        <v>18.8</v>
      </c>
      <c r="F115" s="178">
        <v>2015</v>
      </c>
      <c r="G115" s="188">
        <v>5674000000</v>
      </c>
      <c r="H115" s="188">
        <v>475000000</v>
      </c>
      <c r="I115" s="188">
        <v>309000000</v>
      </c>
      <c r="J115" s="188">
        <v>107000000</v>
      </c>
      <c r="K115" s="188">
        <v>1452000000</v>
      </c>
      <c r="L115" s="188">
        <v>1486000000</v>
      </c>
      <c r="M115" s="194">
        <f>L115/P113</f>
        <v>8.6192588789996076</v>
      </c>
      <c r="N115" s="190">
        <f>J115/(M115*P113)</f>
        <v>7.2005383580080753E-2</v>
      </c>
      <c r="O115" s="190">
        <f>(I115*0.64)/(K115+L115)</f>
        <v>6.7311095983662361E-2</v>
      </c>
      <c r="P115" s="188">
        <v>164212685</v>
      </c>
      <c r="Q115" s="211">
        <f>P115*E115</f>
        <v>3087198478</v>
      </c>
      <c r="R115" s="195">
        <f>Q115/L115</f>
        <v>2.0775225289367429</v>
      </c>
      <c r="S115" s="197">
        <f>(Q115+K115)/H115</f>
        <v>9.5562073221052639</v>
      </c>
      <c r="T115" s="180"/>
      <c r="U115" s="189">
        <f>IFERROR(IF(Tableau3[[#This Row],[Dettes]]=0,"",(Tableau3[[#This Row],[Dettes]]/Tableau3[[#This Row],[EBE]])),"")</f>
        <v>3.0568421052631578</v>
      </c>
      <c r="V115" s="190" t="str">
        <f>IFERROR(Tableau3[[#This Row],[Fonds propres]]/Tableau3[[#This Row],[Total Bilan]],"")</f>
        <v/>
      </c>
      <c r="W115" s="180"/>
      <c r="Y115" s="180"/>
      <c r="Z115" s="192" t="str">
        <f>IFERROR(Tableau3[[#This Row],[Chiffre d''affaires]]/Tableau3[[#This Row],[Salariés]],"")</f>
        <v/>
      </c>
      <c r="AA115" s="177"/>
      <c r="AC115" s="177" t="s">
        <v>147</v>
      </c>
    </row>
    <row r="116" spans="1:29" ht="20.25" customHeight="1">
      <c r="A116" s="217"/>
      <c r="G116" s="188"/>
      <c r="H116" s="178"/>
      <c r="I116" s="178"/>
      <c r="J116" s="188"/>
      <c r="K116" s="178"/>
      <c r="L116" s="178"/>
      <c r="M116" s="178"/>
      <c r="N116" s="178"/>
      <c r="O116" s="178"/>
      <c r="P116" s="178"/>
      <c r="Q116" s="178"/>
      <c r="R116" s="195"/>
      <c r="S116" s="178"/>
      <c r="T116" s="180"/>
      <c r="U116" s="189" t="str">
        <f>IFERROR(IF(Tableau3[[#This Row],[Dettes]]=0,"",(Tableau3[[#This Row],[Dettes]]/Tableau3[[#This Row],[EBE]])),"")</f>
        <v/>
      </c>
      <c r="V116" s="190" t="str">
        <f>IFERROR(Tableau3[[#This Row],[Fonds propres]]/Tableau3[[#This Row],[Total Bilan]],"")</f>
        <v/>
      </c>
      <c r="W116" s="180"/>
      <c r="Y116" s="180"/>
      <c r="Z116" s="192" t="str">
        <f>IFERROR(Tableau3[[#This Row],[Chiffre d''affaires]]/Tableau3[[#This Row],[Salariés]],"")</f>
        <v/>
      </c>
      <c r="AA116" s="177"/>
      <c r="AC116" s="177" t="s">
        <v>148</v>
      </c>
    </row>
    <row r="117" spans="1:29" ht="20.25" customHeight="1">
      <c r="A117" s="217"/>
      <c r="F117" s="217" t="s">
        <v>149</v>
      </c>
      <c r="G117" s="188"/>
      <c r="H117" s="178"/>
      <c r="I117" s="178"/>
      <c r="J117" s="188"/>
      <c r="K117" s="178"/>
      <c r="L117" s="178"/>
      <c r="M117" s="178"/>
      <c r="N117" s="178"/>
      <c r="O117" s="178"/>
      <c r="P117" s="178"/>
      <c r="Q117" s="178"/>
      <c r="R117" s="195"/>
      <c r="S117" s="178"/>
      <c r="T117" s="180"/>
      <c r="U117" s="189" t="str">
        <f>IFERROR(IF(Tableau3[[#This Row],[Dettes]]=0,"",(Tableau3[[#This Row],[Dettes]]/Tableau3[[#This Row],[EBE]])),"")</f>
        <v/>
      </c>
      <c r="V117" s="190" t="str">
        <f>IFERROR(Tableau3[[#This Row],[Fonds propres]]/Tableau3[[#This Row],[Total Bilan]],"")</f>
        <v/>
      </c>
      <c r="W117" s="180"/>
      <c r="Y117" s="180"/>
      <c r="Z117" s="192" t="str">
        <f>IFERROR(Tableau3[[#This Row],[Chiffre d''affaires]]/Tableau3[[#This Row],[Salariés]],"")</f>
        <v/>
      </c>
      <c r="AA117" s="177"/>
      <c r="AC117" s="177" t="s">
        <v>150</v>
      </c>
    </row>
    <row r="118" spans="1:29" ht="20.25" customHeight="1">
      <c r="A118" s="217"/>
      <c r="G118" s="188"/>
      <c r="H118" s="178"/>
      <c r="I118" s="178"/>
      <c r="J118" s="188"/>
      <c r="K118" s="178"/>
      <c r="L118" s="178"/>
      <c r="M118" s="178"/>
      <c r="N118" s="178"/>
      <c r="O118" s="178"/>
      <c r="P118" s="178"/>
      <c r="Q118" s="178"/>
      <c r="R118" s="195"/>
      <c r="S118" s="178"/>
      <c r="T118" s="180"/>
      <c r="U118" s="189" t="str">
        <f>IFERROR(IF(Tableau3[[#This Row],[Dettes]]=0,"",(Tableau3[[#This Row],[Dettes]]/Tableau3[[#This Row],[EBE]])),"")</f>
        <v/>
      </c>
      <c r="V118" s="190" t="str">
        <f>IFERROR(Tableau3[[#This Row],[Fonds propres]]/Tableau3[[#This Row],[Total Bilan]],"")</f>
        <v/>
      </c>
      <c r="W118" s="180"/>
      <c r="Y118" s="180"/>
      <c r="Z118" s="192" t="str">
        <f>IFERROR(Tableau3[[#This Row],[Chiffre d''affaires]]/Tableau3[[#This Row],[Salariés]],"")</f>
        <v/>
      </c>
      <c r="AA118" s="177"/>
      <c r="AC118" s="177" t="s">
        <v>151</v>
      </c>
    </row>
    <row r="119" spans="1:29" ht="20.25" customHeight="1">
      <c r="A119" s="217"/>
      <c r="G119" s="188"/>
      <c r="H119" s="178"/>
      <c r="I119" s="178"/>
      <c r="J119" s="188"/>
      <c r="K119" s="178"/>
      <c r="L119" s="178"/>
      <c r="M119" s="178"/>
      <c r="N119" s="178"/>
      <c r="O119" s="178"/>
      <c r="P119" s="178"/>
      <c r="Q119" s="178"/>
      <c r="R119" s="195"/>
      <c r="S119" s="178"/>
      <c r="T119" s="180"/>
      <c r="U119" s="189" t="str">
        <f>IFERROR(IF(Tableau3[[#This Row],[Dettes]]=0,"",(Tableau3[[#This Row],[Dettes]]/Tableau3[[#This Row],[EBE]])),"")</f>
        <v/>
      </c>
      <c r="V119" s="190" t="str">
        <f>IFERROR(Tableau3[[#This Row],[Fonds propres]]/Tableau3[[#This Row],[Total Bilan]],"")</f>
        <v/>
      </c>
      <c r="W119" s="180"/>
      <c r="Y119" s="180"/>
      <c r="Z119" s="192" t="str">
        <f>IFERROR(Tableau3[[#This Row],[Chiffre d''affaires]]/Tableau3[[#This Row],[Salariés]],"")</f>
        <v/>
      </c>
      <c r="AA119" s="177"/>
      <c r="AC119" s="177" t="s">
        <v>152</v>
      </c>
    </row>
    <row r="120" spans="1:29" ht="20.25" customHeight="1">
      <c r="A120" s="217"/>
      <c r="G120" s="188"/>
      <c r="H120" s="178"/>
      <c r="I120" s="178"/>
      <c r="J120" s="188"/>
      <c r="K120" s="178"/>
      <c r="L120" s="178"/>
      <c r="M120" s="178"/>
      <c r="N120" s="178"/>
      <c r="O120" s="178"/>
      <c r="P120" s="178"/>
      <c r="Q120" s="178"/>
      <c r="R120" s="195"/>
      <c r="S120" s="178"/>
      <c r="T120" s="180"/>
      <c r="U120" s="189" t="str">
        <f>IFERROR(IF(Tableau3[[#This Row],[Dettes]]=0,"",(Tableau3[[#This Row],[Dettes]]/Tableau3[[#This Row],[EBE]])),"")</f>
        <v/>
      </c>
      <c r="V120" s="190" t="str">
        <f>IFERROR(Tableau3[[#This Row],[Fonds propres]]/Tableau3[[#This Row],[Total Bilan]],"")</f>
        <v/>
      </c>
      <c r="W120" s="180"/>
      <c r="Y120" s="180"/>
      <c r="Z120" s="192" t="str">
        <f>IFERROR(Tableau3[[#This Row],[Chiffre d''affaires]]/Tableau3[[#This Row],[Salariés]],"")</f>
        <v/>
      </c>
      <c r="AA120" s="177"/>
      <c r="AC120" s="177" t="s">
        <v>153</v>
      </c>
    </row>
    <row r="121" spans="1:29" ht="20.25" customHeight="1">
      <c r="A121" s="217"/>
      <c r="G121" s="188"/>
      <c r="H121" s="178"/>
      <c r="I121" s="178"/>
      <c r="J121" s="188"/>
      <c r="K121" s="178"/>
      <c r="L121" s="178"/>
      <c r="M121" s="178"/>
      <c r="N121" s="178"/>
      <c r="O121" s="178"/>
      <c r="P121" s="178"/>
      <c r="Q121" s="178"/>
      <c r="R121" s="195"/>
      <c r="S121" s="178"/>
      <c r="T121" s="180"/>
      <c r="U121" s="189" t="str">
        <f>IFERROR(IF(Tableau3[[#This Row],[Dettes]]=0,"",(Tableau3[[#This Row],[Dettes]]/Tableau3[[#This Row],[EBE]])),"")</f>
        <v/>
      </c>
      <c r="V121" s="190" t="str">
        <f>IFERROR(Tableau3[[#This Row],[Fonds propres]]/Tableau3[[#This Row],[Total Bilan]],"")</f>
        <v/>
      </c>
      <c r="W121" s="180"/>
      <c r="Y121" s="180"/>
      <c r="Z121" s="192" t="str">
        <f>IFERROR(Tableau3[[#This Row],[Chiffre d''affaires]]/Tableau3[[#This Row],[Salariés]],"")</f>
        <v/>
      </c>
      <c r="AA121" s="177"/>
      <c r="AC121" s="177" t="s">
        <v>154</v>
      </c>
    </row>
    <row r="122" spans="1:29" ht="20.25" customHeight="1">
      <c r="A122" s="217"/>
      <c r="G122" s="188"/>
      <c r="H122" s="178"/>
      <c r="I122" s="178"/>
      <c r="J122" s="188"/>
      <c r="K122" s="178"/>
      <c r="L122" s="178"/>
      <c r="M122" s="178"/>
      <c r="N122" s="178"/>
      <c r="O122" s="178"/>
      <c r="P122" s="178"/>
      <c r="Q122" s="178"/>
      <c r="R122" s="195"/>
      <c r="S122" s="178"/>
      <c r="T122" s="180"/>
      <c r="U122" s="189" t="str">
        <f>IFERROR(IF(Tableau3[[#This Row],[Dettes]]=0,"",(Tableau3[[#This Row],[Dettes]]/Tableau3[[#This Row],[EBE]])),"")</f>
        <v/>
      </c>
      <c r="V122" s="190" t="str">
        <f>IFERROR(Tableau3[[#This Row],[Fonds propres]]/Tableau3[[#This Row],[Total Bilan]],"")</f>
        <v/>
      </c>
      <c r="W122" s="180"/>
      <c r="Y122" s="180"/>
      <c r="Z122" s="192" t="str">
        <f>IFERROR(Tableau3[[#This Row],[Chiffre d''affaires]]/Tableau3[[#This Row],[Salariés]],"")</f>
        <v/>
      </c>
      <c r="AA122" s="177"/>
      <c r="AC122" s="177" t="s">
        <v>155</v>
      </c>
    </row>
    <row r="123" spans="1:29" ht="20.25" customHeight="1">
      <c r="A123" s="217"/>
      <c r="G123" s="188"/>
      <c r="H123" s="178"/>
      <c r="I123" s="178"/>
      <c r="J123" s="188"/>
      <c r="K123" s="178"/>
      <c r="L123" s="178"/>
      <c r="M123" s="178"/>
      <c r="N123" s="178"/>
      <c r="O123" s="178"/>
      <c r="P123" s="178"/>
      <c r="Q123" s="178"/>
      <c r="R123" s="195"/>
      <c r="S123" s="178"/>
      <c r="T123" s="180"/>
      <c r="U123" s="189" t="str">
        <f>IFERROR(IF(Tableau3[[#This Row],[Dettes]]=0,"",(Tableau3[[#This Row],[Dettes]]/Tableau3[[#This Row],[EBE]])),"")</f>
        <v/>
      </c>
      <c r="V123" s="190" t="str">
        <f>IFERROR(Tableau3[[#This Row],[Fonds propres]]/Tableau3[[#This Row],[Total Bilan]],"")</f>
        <v/>
      </c>
      <c r="W123" s="180"/>
      <c r="Y123" s="180"/>
      <c r="Z123" s="192" t="str">
        <f>IFERROR(Tableau3[[#This Row],[Chiffre d''affaires]]/Tableau3[[#This Row],[Salariés]],"")</f>
        <v/>
      </c>
      <c r="AA123" s="177"/>
      <c r="AC123" s="177" t="s">
        <v>156</v>
      </c>
    </row>
    <row r="124" spans="1:29" ht="20.25" customHeight="1">
      <c r="A124" s="217"/>
      <c r="G124" s="188"/>
      <c r="H124" s="178"/>
      <c r="I124" s="178"/>
      <c r="J124" s="188"/>
      <c r="K124" s="178"/>
      <c r="L124" s="178"/>
      <c r="M124" s="178"/>
      <c r="N124" s="178"/>
      <c r="O124" s="178"/>
      <c r="P124" s="178"/>
      <c r="Q124" s="178"/>
      <c r="R124" s="195"/>
      <c r="S124" s="178"/>
      <c r="T124" s="180"/>
      <c r="U124" s="189" t="str">
        <f>IFERROR(IF(Tableau3[[#This Row],[Dettes]]=0,"",(Tableau3[[#This Row],[Dettes]]/Tableau3[[#This Row],[EBE]])),"")</f>
        <v/>
      </c>
      <c r="V124" s="190" t="str">
        <f>IFERROR(Tableau3[[#This Row],[Fonds propres]]/Tableau3[[#This Row],[Total Bilan]],"")</f>
        <v/>
      </c>
      <c r="W124" s="180"/>
      <c r="Y124" s="180"/>
      <c r="Z124" s="192" t="str">
        <f>IFERROR(Tableau3[[#This Row],[Chiffre d''affaires]]/Tableau3[[#This Row],[Salariés]],"")</f>
        <v/>
      </c>
      <c r="AA124" s="177"/>
    </row>
    <row r="125" spans="1:29" ht="20.25" customHeight="1">
      <c r="A125" s="217"/>
      <c r="G125" s="188"/>
      <c r="H125" s="178"/>
      <c r="I125" s="178"/>
      <c r="J125" s="188"/>
      <c r="K125" s="178"/>
      <c r="L125" s="178"/>
      <c r="M125" s="178"/>
      <c r="N125" s="178"/>
      <c r="O125" s="178"/>
      <c r="P125" s="178"/>
      <c r="Q125" s="178"/>
      <c r="R125" s="195"/>
      <c r="S125" s="178"/>
      <c r="T125" s="180"/>
      <c r="U125" s="189" t="str">
        <f>IFERROR(IF(Tableau3[[#This Row],[Dettes]]=0,"",(Tableau3[[#This Row],[Dettes]]/Tableau3[[#This Row],[EBE]])),"")</f>
        <v/>
      </c>
      <c r="V125" s="190" t="str">
        <f>IFERROR(Tableau3[[#This Row],[Fonds propres]]/Tableau3[[#This Row],[Total Bilan]],"")</f>
        <v/>
      </c>
      <c r="W125" s="180"/>
      <c r="Y125" s="180"/>
      <c r="Z125" s="192" t="str">
        <f>IFERROR(Tableau3[[#This Row],[Chiffre d''affaires]]/Tableau3[[#This Row],[Salariés]],"")</f>
        <v/>
      </c>
      <c r="AA125" s="177"/>
    </row>
    <row r="126" spans="1:29" ht="20.25" customHeight="1">
      <c r="A126" s="217"/>
      <c r="G126" s="188"/>
      <c r="H126" s="178"/>
      <c r="I126" s="178"/>
      <c r="J126" s="188"/>
      <c r="K126" s="178"/>
      <c r="L126" s="178"/>
      <c r="M126" s="178"/>
      <c r="N126" s="178"/>
      <c r="O126" s="178"/>
      <c r="P126" s="178"/>
      <c r="Q126" s="178"/>
      <c r="R126" s="195"/>
      <c r="S126" s="178"/>
      <c r="T126" s="180"/>
      <c r="U126" s="189" t="str">
        <f>IFERROR(IF(Tableau3[[#This Row],[Dettes]]=0,"",(Tableau3[[#This Row],[Dettes]]/Tableau3[[#This Row],[EBE]])),"")</f>
        <v/>
      </c>
      <c r="V126" s="190" t="str">
        <f>IFERROR(Tableau3[[#This Row],[Fonds propres]]/Tableau3[[#This Row],[Total Bilan]],"")</f>
        <v/>
      </c>
      <c r="W126" s="180"/>
      <c r="Y126" s="180"/>
      <c r="Z126" s="192" t="str">
        <f>IFERROR(Tableau3[[#This Row],[Chiffre d''affaires]]/Tableau3[[#This Row],[Salariés]],"")</f>
        <v/>
      </c>
      <c r="AA126" s="177"/>
    </row>
    <row r="127" spans="1:29" ht="20.25" customHeight="1">
      <c r="A127" s="217" t="s">
        <v>157</v>
      </c>
      <c r="B127" s="216" t="s">
        <v>130</v>
      </c>
      <c r="C127" s="178" t="s">
        <v>84</v>
      </c>
      <c r="D127" s="178" t="s">
        <v>85</v>
      </c>
      <c r="E127" s="187">
        <v>77.06</v>
      </c>
      <c r="F127" s="178">
        <v>2021</v>
      </c>
      <c r="G127" s="188"/>
      <c r="H127" s="178"/>
      <c r="I127" s="178"/>
      <c r="J127" s="188"/>
      <c r="K127" s="178"/>
      <c r="L127" s="178"/>
      <c r="M127" s="178"/>
      <c r="N127" s="178"/>
      <c r="O127" s="178"/>
      <c r="P127" s="178"/>
      <c r="Q127" s="178"/>
      <c r="R127" s="195"/>
      <c r="S127" s="178"/>
      <c r="T127" s="180"/>
      <c r="U127" s="189" t="str">
        <f>IFERROR(IF(Tableau3[[#This Row],[Dettes]]=0,"",(Tableau3[[#This Row],[Dettes]]/Tableau3[[#This Row],[EBE]])),"")</f>
        <v/>
      </c>
      <c r="V127" s="190" t="str">
        <f>IFERROR(Tableau3[[#This Row],[Fonds propres]]/Tableau3[[#This Row],[Total Bilan]],"")</f>
        <v/>
      </c>
      <c r="W127" s="180"/>
      <c r="Y127" s="180"/>
      <c r="Z127" s="192" t="str">
        <f>IFERROR(Tableau3[[#This Row],[Chiffre d''affaires]]/Tableau3[[#This Row],[Salariés]],"")</f>
        <v/>
      </c>
      <c r="AA127" s="177"/>
      <c r="AC127" s="177" t="s">
        <v>158</v>
      </c>
    </row>
    <row r="128" spans="1:29" ht="20.25" customHeight="1">
      <c r="A128" s="217"/>
      <c r="G128" s="188"/>
      <c r="H128" s="178"/>
      <c r="I128" s="178"/>
      <c r="J128" s="188"/>
      <c r="K128" s="178"/>
      <c r="L128" s="178"/>
      <c r="M128" s="178"/>
      <c r="N128" s="178"/>
      <c r="O128" s="178"/>
      <c r="P128" s="178"/>
      <c r="Q128" s="178"/>
      <c r="R128" s="195"/>
      <c r="S128" s="178"/>
      <c r="T128" s="180"/>
      <c r="U128" s="189" t="str">
        <f>IFERROR(IF(Tableau3[[#This Row],[Dettes]]=0,"",(Tableau3[[#This Row],[Dettes]]/Tableau3[[#This Row],[EBE]])),"")</f>
        <v/>
      </c>
      <c r="V128" s="190" t="str">
        <f>IFERROR(Tableau3[[#This Row],[Fonds propres]]/Tableau3[[#This Row],[Total Bilan]],"")</f>
        <v/>
      </c>
      <c r="W128" s="180"/>
      <c r="Y128" s="180"/>
      <c r="Z128" s="192" t="str">
        <f>IFERROR(Tableau3[[#This Row],[Chiffre d''affaires]]/Tableau3[[#This Row],[Salariés]],"")</f>
        <v/>
      </c>
      <c r="AA128" s="177"/>
      <c r="AC128" s="177" t="s">
        <v>160</v>
      </c>
    </row>
    <row r="129" spans="1:29" ht="20.25" customHeight="1">
      <c r="A129" s="217"/>
      <c r="E129" s="187">
        <v>69.22</v>
      </c>
      <c r="F129" s="178">
        <v>2017</v>
      </c>
      <c r="G129" s="188">
        <v>20698000000</v>
      </c>
      <c r="H129" s="188">
        <v>1189000000</v>
      </c>
      <c r="I129" s="188">
        <v>1340000000</v>
      </c>
      <c r="J129" s="188">
        <v>723000000</v>
      </c>
      <c r="K129" s="188">
        <v>611000000</v>
      </c>
      <c r="L129" s="188">
        <v>3536000000</v>
      </c>
      <c r="M129" s="194">
        <f>L129/P129</f>
        <v>22.503369379984761</v>
      </c>
      <c r="N129" s="190">
        <f>J129/(M129*P129)</f>
        <v>0.2044683257918552</v>
      </c>
      <c r="O129" s="190">
        <f>(I129*0.64)/(K129+L129)</f>
        <v>0.20680009645526887</v>
      </c>
      <c r="P129" s="188">
        <v>157132025</v>
      </c>
      <c r="Q129" s="211">
        <f>P129*E129</f>
        <v>10876678770.5</v>
      </c>
      <c r="R129" s="195">
        <f>Q129/L129</f>
        <v>3.0759838151866514</v>
      </c>
      <c r="S129" s="197">
        <f>(Q129+K129)/H129</f>
        <v>9.6616305891505458</v>
      </c>
      <c r="T129" s="180"/>
      <c r="U129" s="189">
        <f>IFERROR(IF(Tableau3[[#This Row],[Dettes]]=0,"",(Tableau3[[#This Row],[Dettes]]/Tableau3[[#This Row],[EBE]])),"")</f>
        <v>0.5138772077375946</v>
      </c>
      <c r="V129" s="190" t="str">
        <f>IFERROR(Tableau3[[#This Row],[Fonds propres]]/Tableau3[[#This Row],[Total Bilan]],"")</f>
        <v/>
      </c>
      <c r="W129" s="180"/>
      <c r="X129" s="191"/>
      <c r="Y129" s="180"/>
      <c r="Z129" s="192" t="str">
        <f>IFERROR(Tableau3[[#This Row],[Chiffre d''affaires]]/Tableau3[[#This Row],[Salariés]],"")</f>
        <v/>
      </c>
      <c r="AA129" s="197"/>
      <c r="AB129" s="197"/>
      <c r="AC129" s="177" t="s">
        <v>161</v>
      </c>
    </row>
    <row r="130" spans="1:29" ht="20.25" customHeight="1">
      <c r="A130" s="217"/>
      <c r="E130" s="187"/>
      <c r="G130" s="202">
        <f>(G129/G131)-1</f>
        <v>2.237589528278594E-2</v>
      </c>
      <c r="H130" s="203">
        <f>(H129/H131)-1</f>
        <v>8.5844748858447506E-2</v>
      </c>
      <c r="I130" s="203">
        <f>(I129/I131)-1</f>
        <v>0.11388196176226106</v>
      </c>
      <c r="J130" s="203">
        <f>(J129/J131)-1</f>
        <v>0.13500784929356358</v>
      </c>
      <c r="K130" s="188"/>
      <c r="L130" s="188"/>
      <c r="M130" s="194"/>
      <c r="N130" s="190"/>
      <c r="O130" s="190"/>
      <c r="P130" s="188"/>
      <c r="Q130" s="178"/>
      <c r="R130" s="195"/>
      <c r="S130" s="178"/>
      <c r="T130" s="180"/>
      <c r="U130" s="189" t="str">
        <f>IFERROR(IF(Tableau3[[#This Row],[Dettes]]=0,"",(Tableau3[[#This Row],[Dettes]]/Tableau3[[#This Row],[EBE]])),"")</f>
        <v/>
      </c>
      <c r="V130" s="190" t="str">
        <f>IFERROR(Tableau3[[#This Row],[Fonds propres]]/Tableau3[[#This Row],[Total Bilan]],"")</f>
        <v/>
      </c>
      <c r="W130" s="180"/>
      <c r="Y130" s="180"/>
      <c r="Z130" s="192" t="str">
        <f>IFERROR(Tableau3[[#This Row],[Chiffre d''affaires]]/Tableau3[[#This Row],[Salariés]],"")</f>
        <v/>
      </c>
      <c r="AA130" s="177"/>
      <c r="AC130" s="177" t="s">
        <v>162</v>
      </c>
    </row>
    <row r="131" spans="1:29" ht="20.25" customHeight="1">
      <c r="A131" s="217"/>
      <c r="E131" s="187">
        <v>104.86</v>
      </c>
      <c r="F131" s="178">
        <v>2016</v>
      </c>
      <c r="G131" s="188">
        <v>20245000000</v>
      </c>
      <c r="H131" s="188">
        <v>1095000000</v>
      </c>
      <c r="I131" s="188">
        <v>1203000000</v>
      </c>
      <c r="J131" s="188">
        <v>637000000</v>
      </c>
      <c r="K131" s="188">
        <v>407000000</v>
      </c>
      <c r="L131" s="188">
        <v>3668000000</v>
      </c>
      <c r="M131" s="194">
        <f>L131/P131</f>
        <v>23.858285582234434</v>
      </c>
      <c r="N131" s="190">
        <f>J131/(M131*P131)</f>
        <v>0.17366412213740459</v>
      </c>
      <c r="O131" s="190">
        <f>(I131*0.64)/(K131+L131)</f>
        <v>0.18893742331288343</v>
      </c>
      <c r="P131" s="188">
        <v>153741139</v>
      </c>
      <c r="Q131" s="211">
        <f>P131*E131</f>
        <v>16121295835.539999</v>
      </c>
      <c r="R131" s="195">
        <f>Q131/L131</f>
        <v>4.3951188210305343</v>
      </c>
      <c r="S131" s="197">
        <f>(Q131+K131)/H131</f>
        <v>15.094334096383561</v>
      </c>
      <c r="T131" s="180"/>
      <c r="U131" s="189">
        <f>IFERROR(IF(Tableau3[[#This Row],[Dettes]]=0,"",(Tableau3[[#This Row],[Dettes]]/Tableau3[[#This Row],[EBE]])),"")</f>
        <v>0.37168949771689497</v>
      </c>
      <c r="V131" s="190" t="str">
        <f>IFERROR(Tableau3[[#This Row],[Fonds propres]]/Tableau3[[#This Row],[Total Bilan]],"")</f>
        <v/>
      </c>
      <c r="W131" s="180"/>
      <c r="X131" s="191"/>
      <c r="Y131" s="180"/>
      <c r="Z131" s="192" t="str">
        <f>IFERROR(Tableau3[[#This Row],[Chiffre d''affaires]]/Tableau3[[#This Row],[Salariés]],"")</f>
        <v/>
      </c>
      <c r="AA131" s="197"/>
      <c r="AB131" s="197"/>
    </row>
    <row r="132" spans="1:29" ht="20.25" customHeight="1">
      <c r="A132" s="217"/>
      <c r="E132" s="187"/>
      <c r="G132" s="202">
        <f>(G131/G133)-1</f>
        <v>2.1700731768862003E-2</v>
      </c>
      <c r="H132" s="203">
        <f>(H131/H133)-1</f>
        <v>5.5096418732782926E-3</v>
      </c>
      <c r="I132" s="203">
        <f>(I131/I133)-1</f>
        <v>5.2493438320210029E-2</v>
      </c>
      <c r="J132" s="203">
        <f>(J131/J133)-1</f>
        <v>-8.9999999999999969E-2</v>
      </c>
      <c r="K132" s="188"/>
      <c r="L132" s="188"/>
      <c r="M132" s="178"/>
      <c r="N132" s="178"/>
      <c r="O132" s="178"/>
      <c r="P132" s="188"/>
      <c r="Q132" s="178"/>
      <c r="R132" s="195"/>
      <c r="S132" s="178"/>
      <c r="T132" s="180"/>
      <c r="U132" s="189" t="str">
        <f>IFERROR(IF(Tableau3[[#This Row],[Dettes]]=0,"",(Tableau3[[#This Row],[Dettes]]/Tableau3[[#This Row],[EBE]])),"")</f>
        <v/>
      </c>
      <c r="V132" s="190" t="str">
        <f>IFERROR(Tableau3[[#This Row],[Fonds propres]]/Tableau3[[#This Row],[Total Bilan]],"")</f>
        <v/>
      </c>
      <c r="W132" s="180"/>
      <c r="Y132" s="180"/>
      <c r="Z132" s="192" t="str">
        <f>IFERROR(Tableau3[[#This Row],[Chiffre d''affaires]]/Tableau3[[#This Row],[Salariés]],"")</f>
        <v/>
      </c>
      <c r="AA132" s="177"/>
    </row>
    <row r="133" spans="1:29" ht="20.25" customHeight="1">
      <c r="A133" s="217"/>
      <c r="E133" s="187">
        <v>76.19</v>
      </c>
      <c r="F133" s="178">
        <v>2015</v>
      </c>
      <c r="G133" s="188">
        <v>19815000000</v>
      </c>
      <c r="H133" s="188">
        <v>1089000000</v>
      </c>
      <c r="I133" s="188">
        <v>1143000000</v>
      </c>
      <c r="J133" s="188">
        <v>700000000</v>
      </c>
      <c r="K133" s="188">
        <v>339000000</v>
      </c>
      <c r="L133" s="188">
        <v>3710000000</v>
      </c>
      <c r="M133" s="194">
        <f>L133/P133</f>
        <v>23.610718438841477</v>
      </c>
      <c r="N133" s="190">
        <f>J133/(M133*P133)</f>
        <v>0.18867924528301888</v>
      </c>
      <c r="O133" s="190">
        <f>(I133*0.64)/(K133+L133)</f>
        <v>0.18066683131637443</v>
      </c>
      <c r="P133" s="188">
        <v>157132025</v>
      </c>
      <c r="Q133" s="211">
        <f>P133*E133</f>
        <v>11971888984.75</v>
      </c>
      <c r="R133" s="195">
        <f>Q133/L133</f>
        <v>3.2269242546495955</v>
      </c>
      <c r="S133" s="197">
        <f>(Q133+K133)/H133</f>
        <v>11.304764907943067</v>
      </c>
      <c r="T133" s="180"/>
      <c r="U133" s="189">
        <f>IFERROR(IF(Tableau3[[#This Row],[Dettes]]=0,"",(Tableau3[[#This Row],[Dettes]]/Tableau3[[#This Row],[EBE]])),"")</f>
        <v>0.31129476584022037</v>
      </c>
      <c r="V133" s="190" t="str">
        <f>IFERROR(Tableau3[[#This Row],[Fonds propres]]/Tableau3[[#This Row],[Total Bilan]],"")</f>
        <v/>
      </c>
      <c r="W133" s="180"/>
      <c r="X133" s="191"/>
      <c r="Y133" s="180"/>
      <c r="Z133" s="192" t="str">
        <f>IFERROR(Tableau3[[#This Row],[Chiffre d''affaires]]/Tableau3[[#This Row],[Salariés]],"")</f>
        <v/>
      </c>
      <c r="AA133" s="197"/>
      <c r="AB133" s="197"/>
    </row>
    <row r="134" spans="1:29" ht="20.25" customHeight="1">
      <c r="A134" s="217"/>
      <c r="E134" s="187"/>
      <c r="G134" s="202">
        <f>(G133/G135)-1</f>
        <v>9.9855683836589604E-2</v>
      </c>
      <c r="H134" s="203">
        <f>(H133/H135)-1</f>
        <v>0.15974440894568698</v>
      </c>
      <c r="I134" s="203">
        <f>(I133/I135)-1</f>
        <v>0.18322981366459623</v>
      </c>
      <c r="J134" s="203">
        <f>(J133/J135)-1</f>
        <v>0.4285714285714286</v>
      </c>
      <c r="K134" s="188"/>
      <c r="L134" s="188"/>
      <c r="M134" s="178"/>
      <c r="N134" s="178"/>
      <c r="O134" s="178"/>
      <c r="P134" s="188"/>
      <c r="Q134" s="178"/>
      <c r="R134" s="195"/>
      <c r="S134" s="178"/>
      <c r="T134" s="180"/>
      <c r="U134" s="189" t="str">
        <f>IFERROR(IF(Tableau3[[#This Row],[Dettes]]=0,"",(Tableau3[[#This Row],[Dettes]]/Tableau3[[#This Row],[EBE]])),"")</f>
        <v/>
      </c>
      <c r="V134" s="190" t="str">
        <f>IFERROR(Tableau3[[#This Row],[Fonds propres]]/Tableau3[[#This Row],[Total Bilan]],"")</f>
        <v/>
      </c>
      <c r="W134" s="180"/>
      <c r="Y134" s="180"/>
      <c r="Z134" s="192" t="str">
        <f>IFERROR(Tableau3[[#This Row],[Chiffre d''affaires]]/Tableau3[[#This Row],[Salariés]],"")</f>
        <v/>
      </c>
      <c r="AA134" s="177"/>
    </row>
    <row r="135" spans="1:29" ht="20.25" customHeight="1">
      <c r="A135" s="217"/>
      <c r="E135" s="187">
        <v>74.97</v>
      </c>
      <c r="F135" s="178">
        <v>2014</v>
      </c>
      <c r="G135" s="188">
        <v>18016000000</v>
      </c>
      <c r="H135" s="188">
        <v>939000000</v>
      </c>
      <c r="I135" s="188">
        <v>966000000</v>
      </c>
      <c r="J135" s="188">
        <v>490000000</v>
      </c>
      <c r="K135" s="188">
        <v>371000000</v>
      </c>
      <c r="L135" s="188">
        <v>3189000000</v>
      </c>
      <c r="M135" s="194">
        <f>L135/P135</f>
        <v>20.295035337322229</v>
      </c>
      <c r="N135" s="190">
        <f>J135/(M135*P135)</f>
        <v>0.15365318281592977</v>
      </c>
      <c r="O135" s="190">
        <f>(I135*0.64)/(K135+L135)</f>
        <v>0.1736629213483146</v>
      </c>
      <c r="P135" s="188">
        <v>157132025</v>
      </c>
      <c r="Q135" s="211">
        <f>P135*E135</f>
        <v>11780187914.25</v>
      </c>
      <c r="R135" s="195">
        <f>Q135/L135</f>
        <v>3.6940068718250236</v>
      </c>
      <c r="S135" s="197">
        <f>(Q135+K135)/H135</f>
        <v>12.940562208998935</v>
      </c>
      <c r="T135" s="180"/>
      <c r="U135" s="189">
        <f>IFERROR(IF(Tableau3[[#This Row],[Dettes]]=0,"",(Tableau3[[#This Row],[Dettes]]/Tableau3[[#This Row],[EBE]])),"")</f>
        <v>0.39510117145899892</v>
      </c>
      <c r="V135" s="190" t="str">
        <f>IFERROR(Tableau3[[#This Row],[Fonds propres]]/Tableau3[[#This Row],[Total Bilan]],"")</f>
        <v/>
      </c>
      <c r="W135" s="180"/>
      <c r="X135" s="191"/>
      <c r="Y135" s="180"/>
      <c r="Z135" s="192" t="str">
        <f>IFERROR(Tableau3[[#This Row],[Chiffre d''affaires]]/Tableau3[[#This Row],[Salariés]],"")</f>
        <v/>
      </c>
      <c r="AA135" s="197"/>
      <c r="AB135" s="197"/>
    </row>
    <row r="136" spans="1:29" ht="20.25" customHeight="1">
      <c r="A136" s="217"/>
      <c r="E136" s="187"/>
      <c r="G136" s="202">
        <f>(G135/G137)-1</f>
        <v>-2.0709898352992306E-2</v>
      </c>
      <c r="H136" s="203">
        <f>(H135/H137)-1</f>
        <v>-1.4690451206715638E-2</v>
      </c>
      <c r="I136" s="203">
        <f>(I135/I137)-1</f>
        <v>0.18673218673218672</v>
      </c>
      <c r="J136" s="203">
        <f>(J135/J137)-1</f>
        <v>0.11617312072892938</v>
      </c>
      <c r="K136" s="188"/>
      <c r="L136" s="188"/>
      <c r="M136" s="178"/>
      <c r="N136" s="178"/>
      <c r="O136" s="178"/>
      <c r="P136" s="188"/>
      <c r="Q136" s="178"/>
      <c r="R136" s="195"/>
      <c r="S136" s="178"/>
      <c r="T136" s="180"/>
      <c r="U136" s="189" t="str">
        <f>IFERROR(IF(Tableau3[[#This Row],[Dettes]]=0,"",(Tableau3[[#This Row],[Dettes]]/Tableau3[[#This Row],[EBE]])),"")</f>
        <v/>
      </c>
      <c r="V136" s="190" t="str">
        <f>IFERROR(Tableau3[[#This Row],[Fonds propres]]/Tableau3[[#This Row],[Total Bilan]],"")</f>
        <v/>
      </c>
      <c r="W136" s="180"/>
      <c r="Y136" s="180"/>
      <c r="Z136" s="192" t="str">
        <f>IFERROR(Tableau3[[#This Row],[Chiffre d''affaires]]/Tableau3[[#This Row],[Salariés]],"")</f>
        <v/>
      </c>
      <c r="AA136" s="177"/>
    </row>
    <row r="137" spans="1:29" ht="20.25" customHeight="1">
      <c r="A137" s="217"/>
      <c r="E137" s="187">
        <v>67.3</v>
      </c>
      <c r="F137" s="178">
        <v>2013</v>
      </c>
      <c r="G137" s="188">
        <v>18397000000</v>
      </c>
      <c r="H137" s="188">
        <v>953000000</v>
      </c>
      <c r="I137" s="188">
        <v>814000000</v>
      </c>
      <c r="J137" s="188">
        <v>439000000</v>
      </c>
      <c r="K137" s="188">
        <v>478000000</v>
      </c>
      <c r="L137" s="188">
        <v>2990000000</v>
      </c>
      <c r="M137" s="194">
        <f>L137/P137</f>
        <v>19.028584402192998</v>
      </c>
      <c r="N137" s="190">
        <f>J137/(M137*P137)</f>
        <v>0.14682274247491639</v>
      </c>
      <c r="O137" s="190">
        <f>(I137*0.64)/(K137+L137)</f>
        <v>0.15021914648212226</v>
      </c>
      <c r="P137" s="188">
        <v>157132025</v>
      </c>
      <c r="Q137" s="211">
        <f>P137*E137</f>
        <v>10574985282.5</v>
      </c>
      <c r="R137" s="195">
        <f>Q137/L137</f>
        <v>3.5367843754180601</v>
      </c>
      <c r="S137" s="197">
        <f>(Q137+K137)/H137</f>
        <v>11.598095784365162</v>
      </c>
      <c r="T137" s="180"/>
      <c r="U137" s="189">
        <f>IFERROR(IF(Tableau3[[#This Row],[Dettes]]=0,"",(Tableau3[[#This Row],[Dettes]]/Tableau3[[#This Row],[EBE]])),"")</f>
        <v>0.50157397691500527</v>
      </c>
      <c r="V137" s="190" t="str">
        <f>IFERROR(Tableau3[[#This Row],[Fonds propres]]/Tableau3[[#This Row],[Total Bilan]],"")</f>
        <v/>
      </c>
      <c r="W137" s="180"/>
      <c r="X137" s="191"/>
      <c r="Y137" s="180"/>
      <c r="Z137" s="192" t="str">
        <f>IFERROR(Tableau3[[#This Row],[Chiffre d''affaires]]/Tableau3[[#This Row],[Salariés]],"")</f>
        <v/>
      </c>
      <c r="AA137" s="197"/>
      <c r="AB137" s="197"/>
    </row>
    <row r="138" spans="1:29" ht="20.25" customHeight="1">
      <c r="A138" s="217"/>
      <c r="E138" s="187"/>
      <c r="G138" s="202">
        <f>(G137/G139)-1</f>
        <v>8.8286905023031714E-3</v>
      </c>
      <c r="H138" s="203">
        <f>(H137/H139)-1</f>
        <v>-5.2192066805845094E-3</v>
      </c>
      <c r="I138" s="203">
        <f>(I137/I139)-1</f>
        <v>-0.17276422764227639</v>
      </c>
      <c r="J138" s="203">
        <f>(J137/J139)-1</f>
        <v>-0.16380952380952385</v>
      </c>
      <c r="K138" s="188"/>
      <c r="L138" s="188"/>
      <c r="M138" s="178"/>
      <c r="N138" s="178"/>
      <c r="O138" s="178"/>
      <c r="P138" s="188"/>
      <c r="Q138" s="178"/>
      <c r="R138" s="195"/>
      <c r="S138" s="178"/>
      <c r="T138" s="180"/>
      <c r="U138" s="189" t="str">
        <f>IFERROR(IF(Tableau3[[#This Row],[Dettes]]=0,"",(Tableau3[[#This Row],[Dettes]]/Tableau3[[#This Row],[EBE]])),"")</f>
        <v/>
      </c>
      <c r="V138" s="190" t="str">
        <f>IFERROR(Tableau3[[#This Row],[Fonds propres]]/Tableau3[[#This Row],[Total Bilan]],"")</f>
        <v/>
      </c>
      <c r="W138" s="180"/>
      <c r="Y138" s="180"/>
      <c r="Z138" s="192" t="str">
        <f>IFERROR(Tableau3[[#This Row],[Chiffre d''affaires]]/Tableau3[[#This Row],[Salariés]],"")</f>
        <v/>
      </c>
      <c r="AA138" s="177"/>
    </row>
    <row r="139" spans="1:29" ht="20.25" customHeight="1">
      <c r="A139" s="217"/>
      <c r="E139" s="187">
        <v>62.87</v>
      </c>
      <c r="F139" s="178">
        <v>2012</v>
      </c>
      <c r="G139" s="188">
        <v>18236000000</v>
      </c>
      <c r="H139" s="188">
        <v>958000000</v>
      </c>
      <c r="I139" s="188">
        <v>984000000</v>
      </c>
      <c r="J139" s="188">
        <v>525000000</v>
      </c>
      <c r="K139" s="188">
        <v>639000000</v>
      </c>
      <c r="L139" s="188">
        <v>3069000000</v>
      </c>
      <c r="M139" s="194">
        <f>L139/P139</f>
        <v>19.531346331214149</v>
      </c>
      <c r="N139" s="190">
        <f>J139/(M139*P139)</f>
        <v>0.17106549364613879</v>
      </c>
      <c r="O139" s="190">
        <f>(I139*0.64)/(K139+L139)</f>
        <v>0.16983818770226536</v>
      </c>
      <c r="P139" s="188">
        <v>157132025</v>
      </c>
      <c r="Q139" s="211">
        <f>P139*E139</f>
        <v>9878890411.75</v>
      </c>
      <c r="R139" s="195">
        <f>Q139/L139</f>
        <v>3.2189281237373737</v>
      </c>
      <c r="S139" s="197">
        <f>(Q139+K139)/H139</f>
        <v>10.979008780532359</v>
      </c>
      <c r="T139" s="180"/>
      <c r="U139" s="189">
        <f>IFERROR(IF(Tableau3[[#This Row],[Dettes]]=0,"",(Tableau3[[#This Row],[Dettes]]/Tableau3[[#This Row],[EBE]])),"")</f>
        <v>0.66701461377870563</v>
      </c>
      <c r="V139" s="190" t="str">
        <f>IFERROR(Tableau3[[#This Row],[Fonds propres]]/Tableau3[[#This Row],[Total Bilan]],"")</f>
        <v/>
      </c>
      <c r="W139" s="180"/>
      <c r="X139" s="191"/>
      <c r="Y139" s="180"/>
      <c r="Z139" s="192" t="str">
        <f>IFERROR(Tableau3[[#This Row],[Chiffre d''affaires]]/Tableau3[[#This Row],[Salariés]],"")</f>
        <v/>
      </c>
      <c r="AA139" s="197"/>
      <c r="AB139" s="197"/>
    </row>
    <row r="140" spans="1:29" ht="20.25" customHeight="1">
      <c r="A140" s="217"/>
      <c r="E140" s="187"/>
      <c r="G140" s="188"/>
      <c r="H140" s="188"/>
      <c r="I140" s="188"/>
      <c r="J140" s="188"/>
      <c r="K140" s="188"/>
      <c r="L140" s="188"/>
      <c r="M140" s="178"/>
      <c r="N140" s="178"/>
      <c r="O140" s="178"/>
      <c r="P140" s="178"/>
      <c r="Q140" s="178"/>
      <c r="R140" s="195"/>
      <c r="S140" s="178"/>
      <c r="T140" s="180"/>
      <c r="U140" s="189" t="str">
        <f>IFERROR(IF(Tableau3[[#This Row],[Dettes]]=0,"",(Tableau3[[#This Row],[Dettes]]/Tableau3[[#This Row],[EBE]])),"")</f>
        <v/>
      </c>
      <c r="V140" s="190" t="str">
        <f>IFERROR(Tableau3[[#This Row],[Fonds propres]]/Tableau3[[#This Row],[Total Bilan]],"")</f>
        <v/>
      </c>
      <c r="W140" s="180"/>
      <c r="Y140" s="180"/>
      <c r="Z140" s="192" t="str">
        <f>IFERROR(Tableau3[[#This Row],[Chiffre d''affaires]]/Tableau3[[#This Row],[Salariés]],"")</f>
        <v/>
      </c>
      <c r="AA140" s="177"/>
    </row>
    <row r="141" spans="1:29" ht="20.25" customHeight="1">
      <c r="A141" s="217"/>
      <c r="E141" s="187"/>
      <c r="G141" s="188"/>
      <c r="H141" s="188"/>
      <c r="I141" s="188"/>
      <c r="J141" s="188"/>
      <c r="K141" s="188"/>
      <c r="L141" s="188"/>
      <c r="M141" s="178"/>
      <c r="N141" s="178"/>
      <c r="O141" s="178"/>
      <c r="P141" s="178"/>
      <c r="Q141" s="178"/>
      <c r="R141" s="195"/>
      <c r="S141" s="178"/>
      <c r="T141" s="180"/>
      <c r="U141" s="189" t="str">
        <f>IFERROR(IF(Tableau3[[#This Row],[Dettes]]=0,"",(Tableau3[[#This Row],[Dettes]]/Tableau3[[#This Row],[EBE]])),"")</f>
        <v/>
      </c>
      <c r="V141" s="190" t="str">
        <f>IFERROR(Tableau3[[#This Row],[Fonds propres]]/Tableau3[[#This Row],[Total Bilan]],"")</f>
        <v/>
      </c>
      <c r="W141" s="180"/>
      <c r="Y141" s="180"/>
      <c r="Z141" s="192" t="str">
        <f>IFERROR(Tableau3[[#This Row],[Chiffre d''affaires]]/Tableau3[[#This Row],[Salariés]],"")</f>
        <v/>
      </c>
      <c r="AA141" s="177"/>
    </row>
    <row r="142" spans="1:29" ht="20.25" customHeight="1">
      <c r="A142" s="217"/>
      <c r="E142" s="187"/>
      <c r="G142" s="188"/>
      <c r="H142" s="188"/>
      <c r="I142" s="188"/>
      <c r="J142" s="188"/>
      <c r="K142" s="188"/>
      <c r="L142" s="188"/>
      <c r="M142" s="178"/>
      <c r="N142" s="178"/>
      <c r="O142" s="178"/>
      <c r="P142" s="178"/>
      <c r="Q142" s="178"/>
      <c r="R142" s="195"/>
      <c r="S142" s="178"/>
      <c r="T142" s="180"/>
      <c r="U142" s="189" t="str">
        <f>IFERROR(IF(Tableau3[[#This Row],[Dettes]]=0,"",(Tableau3[[#This Row],[Dettes]]/Tableau3[[#This Row],[EBE]])),"")</f>
        <v/>
      </c>
      <c r="V142" s="190" t="str">
        <f>IFERROR(Tableau3[[#This Row],[Fonds propres]]/Tableau3[[#This Row],[Total Bilan]],"")</f>
        <v/>
      </c>
      <c r="W142" s="180"/>
      <c r="Y142" s="180"/>
      <c r="Z142" s="192" t="str">
        <f>IFERROR(Tableau3[[#This Row],[Chiffre d''affaires]]/Tableau3[[#This Row],[Salariés]],"")</f>
        <v/>
      </c>
      <c r="AA142" s="177"/>
    </row>
    <row r="143" spans="1:29" ht="20.25" customHeight="1">
      <c r="A143" s="217" t="s">
        <v>163</v>
      </c>
      <c r="B143" s="216" t="s">
        <v>164</v>
      </c>
      <c r="C143" s="178" t="s">
        <v>84</v>
      </c>
      <c r="D143" s="178" t="s">
        <v>85</v>
      </c>
      <c r="E143" s="187">
        <v>100</v>
      </c>
      <c r="F143" s="178">
        <v>2025</v>
      </c>
      <c r="G143" s="188">
        <v>48500000000</v>
      </c>
      <c r="H143" s="188">
        <v>7500000000</v>
      </c>
      <c r="I143" s="188">
        <v>4850000000</v>
      </c>
      <c r="J143" s="188">
        <v>3132000000</v>
      </c>
      <c r="K143" s="188">
        <v>9000000000</v>
      </c>
      <c r="L143" s="188">
        <v>27000000000</v>
      </c>
      <c r="M143" s="194">
        <f>L143/P143</f>
        <v>54.325955734406442</v>
      </c>
      <c r="N143" s="190">
        <f>J143/L145</f>
        <v>0.12211478477854024</v>
      </c>
      <c r="O143" s="190">
        <f>(I143*0.72)/(L145+K145)</f>
        <v>9.8571670524473548E-2</v>
      </c>
      <c r="P143" s="188">
        <v>497000000</v>
      </c>
      <c r="Q143" s="188">
        <f>P143*E143</f>
        <v>49700000000</v>
      </c>
      <c r="R143" s="195">
        <f>Q143/L143</f>
        <v>1.8407407407407408</v>
      </c>
      <c r="S143" s="197">
        <f>(Q143+K143)/H143</f>
        <v>7.8266666666666671</v>
      </c>
      <c r="T143" s="180">
        <v>4000000000</v>
      </c>
      <c r="U143" s="189">
        <f>IFERROR(IF(Tableau3[[#This Row],[Dettes]]=0,"",(Tableau3[[#This Row],[Dettes]]/Tableau3[[#This Row],[EBE]])),"")</f>
        <v>1.2</v>
      </c>
      <c r="V143" s="190" t="str">
        <f>IFERROR(Tableau3[[#This Row],[Fonds propres]]/Tableau3[[#This Row],[Total Bilan]],"")</f>
        <v/>
      </c>
      <c r="W143" s="180"/>
      <c r="X143" s="191" t="s">
        <v>165</v>
      </c>
      <c r="Y143" s="180"/>
      <c r="Z143" s="192" t="str">
        <f>IFERROR(Tableau3[[#This Row],[Chiffre d''affaires]]/Tableau3[[#This Row],[Salariés]],"")</f>
        <v/>
      </c>
      <c r="AA143" s="178" t="s">
        <v>101</v>
      </c>
      <c r="AC143" s="177" t="s">
        <v>166</v>
      </c>
    </row>
    <row r="144" spans="1:29" ht="20.25" customHeight="1">
      <c r="A144" s="217"/>
      <c r="E144" s="187"/>
      <c r="G144" s="202">
        <f>(G143/G145)-1</f>
        <v>4.1420626570183083E-2</v>
      </c>
      <c r="H144" s="203">
        <f>(H143/H145)-1</f>
        <v>4.0943789035392086E-2</v>
      </c>
      <c r="I144" s="203">
        <f>(I143/I145)-1</f>
        <v>0.10806488462417185</v>
      </c>
      <c r="J144" s="203">
        <f>(J143/J145)-1</f>
        <v>0.10126582278481022</v>
      </c>
      <c r="K144" s="188"/>
      <c r="L144" s="188"/>
      <c r="M144" s="178"/>
      <c r="N144" s="178"/>
      <c r="O144" s="178"/>
      <c r="P144" s="178"/>
      <c r="Q144" s="178"/>
      <c r="R144" s="195"/>
      <c r="S144" s="178"/>
      <c r="T144" s="180"/>
      <c r="U144" s="189" t="str">
        <f>IFERROR(IF(Tableau3[[#This Row],[Dettes]]=0,"",(Tableau3[[#This Row],[Dettes]]/Tableau3[[#This Row],[EBE]])),"")</f>
        <v/>
      </c>
      <c r="V144" s="190" t="str">
        <f>IFERROR(Tableau3[[#This Row],[Fonds propres]]/Tableau3[[#This Row],[Total Bilan]],"")</f>
        <v/>
      </c>
      <c r="W144" s="180"/>
      <c r="X144" s="206">
        <v>45041</v>
      </c>
      <c r="Y144" s="180"/>
      <c r="Z144" s="192" t="str">
        <f>IFERROR(Tableau3[[#This Row],[Chiffre d''affaires]]/Tableau3[[#This Row],[Salariés]],"")</f>
        <v/>
      </c>
      <c r="AA144" s="178" t="s">
        <v>168</v>
      </c>
      <c r="AC144" s="177" t="s">
        <v>5085</v>
      </c>
    </row>
    <row r="145" spans="1:29" ht="20.25" customHeight="1">
      <c r="A145" s="217"/>
      <c r="E145" s="187">
        <v>85.7</v>
      </c>
      <c r="F145" s="178">
        <v>2024</v>
      </c>
      <c r="G145" s="188">
        <v>46571000000</v>
      </c>
      <c r="H145" s="188">
        <v>7205000000</v>
      </c>
      <c r="I145" s="188">
        <v>4377000000</v>
      </c>
      <c r="J145" s="188">
        <v>2844000000</v>
      </c>
      <c r="K145" s="188">
        <v>9778000000</v>
      </c>
      <c r="L145" s="188">
        <v>25648000000</v>
      </c>
      <c r="M145" s="194">
        <f>L145/P145</f>
        <v>51.605633802816904</v>
      </c>
      <c r="N145" s="190">
        <f>J145/L147</f>
        <v>0.12220169294891076</v>
      </c>
      <c r="O145" s="190">
        <f>(I145*0.72)/(L147+K147)</f>
        <v>0.10276658188221482</v>
      </c>
      <c r="P145" s="188">
        <v>497000000</v>
      </c>
      <c r="Q145" s="188">
        <f>P145*E145</f>
        <v>42592900000</v>
      </c>
      <c r="R145" s="195">
        <f>Q145/L145</f>
        <v>1.6606713973799128</v>
      </c>
      <c r="S145" s="197">
        <f>(Q145+K145)/H145</f>
        <v>7.2686884108258152</v>
      </c>
      <c r="T145" s="180">
        <v>4031000000</v>
      </c>
      <c r="U145" s="189">
        <f>IFERROR(IF(Tableau3[[#This Row],[Dettes]]=0,"",(Tableau3[[#This Row],[Dettes]]/Tableau3[[#This Row],[EBE]])),"")</f>
        <v>1.3571131158917418</v>
      </c>
      <c r="V145" s="190">
        <f>IFERROR(Tableau3[[#This Row],[Fonds propres]]/Tableau3[[#This Row],[Total Bilan]],"")</f>
        <v>0.4155675815807382</v>
      </c>
      <c r="W145" s="180">
        <v>61718000000</v>
      </c>
      <c r="Y145" s="180"/>
      <c r="Z145" s="192" t="str">
        <f>IFERROR(Tableau3[[#This Row],[Chiffre d''affaires]]/Tableau3[[#This Row],[Salariés]],"")</f>
        <v/>
      </c>
      <c r="AA145" s="178" t="s">
        <v>169</v>
      </c>
      <c r="AC145" s="177" t="s">
        <v>5086</v>
      </c>
    </row>
    <row r="146" spans="1:29" ht="20.25" customHeight="1">
      <c r="A146" s="217"/>
      <c r="E146" s="187"/>
      <c r="G146" s="202">
        <f>(G145/G147)-1</f>
        <v>-2.86375771733689E-2</v>
      </c>
      <c r="H146" s="203">
        <f>(H145/H147)-1</f>
        <v>2.9138694472218285E-2</v>
      </c>
      <c r="I146" s="203">
        <f>(I145/I147)-1</f>
        <v>3.4507208697707403E-2</v>
      </c>
      <c r="J146" s="203">
        <f>(J145/J147)-1</f>
        <v>6.5567628325215344E-2</v>
      </c>
      <c r="K146" s="188"/>
      <c r="L146" s="188"/>
      <c r="M146" s="178"/>
      <c r="N146" s="178"/>
      <c r="O146" s="178"/>
      <c r="P146" s="178"/>
      <c r="Q146" s="178"/>
      <c r="R146" s="195"/>
      <c r="S146" s="178"/>
      <c r="T146" s="180"/>
      <c r="U146" s="189" t="str">
        <f>IFERROR(IF(Tableau3[[#This Row],[Dettes]]=0,"",(Tableau3[[#This Row],[Dettes]]/Tableau3[[#This Row],[EBE]])),"")</f>
        <v/>
      </c>
      <c r="V146" s="190" t="str">
        <f>IFERROR(Tableau3[[#This Row],[Fonds propres]]/Tableau3[[#This Row],[Total Bilan]],"")</f>
        <v/>
      </c>
      <c r="W146" s="180"/>
      <c r="Y146" s="180"/>
      <c r="Z146" s="192" t="str">
        <f>IFERROR(Tableau3[[#This Row],[Chiffre d''affaires]]/Tableau3[[#This Row],[Salariés]],"")</f>
        <v/>
      </c>
      <c r="AC146" s="177" t="s">
        <v>170</v>
      </c>
    </row>
    <row r="147" spans="1:29" ht="20.25" customHeight="1">
      <c r="A147" s="217"/>
      <c r="E147" s="187">
        <v>66.66</v>
      </c>
      <c r="F147" s="178">
        <v>2023</v>
      </c>
      <c r="G147" s="188">
        <v>47944000000</v>
      </c>
      <c r="H147" s="188">
        <v>7001000000</v>
      </c>
      <c r="I147" s="188">
        <v>4231000000</v>
      </c>
      <c r="J147" s="211">
        <v>2669000000</v>
      </c>
      <c r="K147" s="188">
        <v>7393000000</v>
      </c>
      <c r="L147" s="188">
        <v>23273000000</v>
      </c>
      <c r="M147" s="194">
        <f>L147/P147</f>
        <v>45.95429144050901</v>
      </c>
      <c r="N147" s="190">
        <f>J147/L149</f>
        <v>0.11752014442340716</v>
      </c>
      <c r="O147" s="190">
        <f>(I147*0.72)/(L149+K149)</f>
        <v>9.8449406974113696E-2</v>
      </c>
      <c r="P147" s="188">
        <v>506438012</v>
      </c>
      <c r="Q147" s="188">
        <f>P147*E147</f>
        <v>33759157879.919998</v>
      </c>
      <c r="R147" s="195">
        <f>Q147/L147</f>
        <v>1.4505718162643406</v>
      </c>
      <c r="S147" s="197">
        <f>(Q147+K147)/H147</f>
        <v>5.8780399771346952</v>
      </c>
      <c r="T147" s="180">
        <v>3910000000</v>
      </c>
      <c r="U147" s="189">
        <f>IFERROR(IF(Tableau3[[#This Row],[Dettes]]=0,"",(Tableau3[[#This Row],[Dettes]]/Tableau3[[#This Row],[EBE]])),"")</f>
        <v>1.055992001142694</v>
      </c>
      <c r="V147" s="190">
        <f>IFERROR(Tableau3[[#This Row],[Fonds propres]]/Tableau3[[#This Row],[Total Bilan]],"")</f>
        <v>0.40616764690483254</v>
      </c>
      <c r="W147" s="180">
        <v>57299000000</v>
      </c>
      <c r="Y147" s="180">
        <v>161678</v>
      </c>
      <c r="Z147" s="192">
        <f>IFERROR(Tableau3[[#This Row],[Chiffre d''affaires]]/Tableau3[[#This Row],[Salariés]],"")</f>
        <v>296540.03636858449</v>
      </c>
      <c r="AC147" s="177" t="s">
        <v>171</v>
      </c>
    </row>
    <row r="148" spans="1:29" ht="20.25" customHeight="1">
      <c r="A148" s="217"/>
      <c r="E148" s="187"/>
      <c r="G148" s="202">
        <f>(G147/G149)-1</f>
        <v>-6.3538879231204937E-2</v>
      </c>
      <c r="H148" s="203">
        <f>(H147/H149)-1</f>
        <v>-1.7127614769057997E-2</v>
      </c>
      <c r="I148" s="203">
        <f>(I147/I149)-1</f>
        <v>-7.6604103011785218E-2</v>
      </c>
      <c r="J148" s="203">
        <f>(J147/J149)-1</f>
        <v>-0.11122211122211123</v>
      </c>
      <c r="K148" s="188"/>
      <c r="L148" s="188"/>
      <c r="M148" s="178"/>
      <c r="N148" s="178"/>
      <c r="O148" s="178"/>
      <c r="P148" s="178"/>
      <c r="Q148" s="178"/>
      <c r="R148" s="195"/>
      <c r="S148" s="178"/>
      <c r="T148" s="180"/>
      <c r="U148" s="189" t="str">
        <f>IFERROR(IF(Tableau3[[#This Row],[Dettes]]=0,"",(Tableau3[[#This Row],[Dettes]]/Tableau3[[#This Row],[EBE]])),"")</f>
        <v/>
      </c>
      <c r="V148" s="190" t="str">
        <f>IFERROR(Tableau3[[#This Row],[Fonds propres]]/Tableau3[[#This Row],[Total Bilan]],"")</f>
        <v/>
      </c>
      <c r="W148" s="180"/>
      <c r="Y148" s="180"/>
      <c r="Z148" s="192" t="str">
        <f>IFERROR(Tableau3[[#This Row],[Chiffre d''affaires]]/Tableau3[[#This Row],[Salariés]],"")</f>
        <v/>
      </c>
      <c r="AC148" s="177" t="s">
        <v>4919</v>
      </c>
    </row>
    <row r="149" spans="1:29" ht="20.25" customHeight="1">
      <c r="A149" s="217"/>
      <c r="E149" s="187">
        <v>45.65</v>
      </c>
      <c r="F149" s="178">
        <v>2022</v>
      </c>
      <c r="G149" s="188">
        <v>51197000000</v>
      </c>
      <c r="H149" s="188">
        <v>7123000000</v>
      </c>
      <c r="I149" s="188">
        <v>4582000000</v>
      </c>
      <c r="J149" s="211">
        <v>3003000000</v>
      </c>
      <c r="K149" s="188">
        <v>8232000000</v>
      </c>
      <c r="L149" s="188">
        <v>22711000000</v>
      </c>
      <c r="M149" s="194">
        <f>L149/P149</f>
        <v>44.033271463139002</v>
      </c>
      <c r="N149" s="190">
        <f>J149/L151</f>
        <v>0.14496741491672702</v>
      </c>
      <c r="O149" s="190">
        <f>(I149*0.72)/(L151+K151)</f>
        <v>0.11781444182558388</v>
      </c>
      <c r="P149" s="188">
        <v>515769082</v>
      </c>
      <c r="Q149" s="188">
        <f>P149*E149</f>
        <v>23544858593.299999</v>
      </c>
      <c r="R149" s="195">
        <f>Q149/L149</f>
        <v>1.0367160668090352</v>
      </c>
      <c r="S149" s="197">
        <f>(Q149+K149)/H149</f>
        <v>4.4611622340727219</v>
      </c>
      <c r="T149" s="180">
        <v>3791000000</v>
      </c>
      <c r="U149" s="189">
        <f>IFERROR(IF(Tableau3[[#This Row],[Dettes]]=0,"",(Tableau3[[#This Row],[Dettes]]/Tableau3[[#This Row],[EBE]])),"")</f>
        <v>1.155692826056437</v>
      </c>
      <c r="V149" s="190">
        <f>IFERROR(Tableau3[[#This Row],[Fonds propres]]/Tableau3[[#This Row],[Total Bilan]],"")</f>
        <v>0.41011611318778557</v>
      </c>
      <c r="W149" s="180">
        <v>55377000000</v>
      </c>
      <c r="Y149" s="180">
        <v>169432</v>
      </c>
      <c r="Z149" s="192">
        <f>IFERROR(Tableau3[[#This Row],[Chiffre d''affaires]]/Tableau3[[#This Row],[Salariés]],"")</f>
        <v>302168.42154964822</v>
      </c>
      <c r="AA149" s="177"/>
      <c r="AC149" s="177" t="s">
        <v>4922</v>
      </c>
    </row>
    <row r="150" spans="1:29" ht="20.25" customHeight="1">
      <c r="A150" s="217"/>
      <c r="E150" s="187"/>
      <c r="G150" s="202">
        <f>(G149/G151)-1</f>
        <v>0.15935235507246381</v>
      </c>
      <c r="H150" s="203">
        <f>(H149/H151)-1</f>
        <v>0.14850048371493063</v>
      </c>
      <c r="I150" s="203">
        <f>(I149/I151)-1</f>
        <v>0.16412601626016254</v>
      </c>
      <c r="J150" s="203">
        <f>(J149/J151)-1</f>
        <v>0.14881407804131608</v>
      </c>
      <c r="K150" s="188"/>
      <c r="L150" s="188"/>
      <c r="M150" s="178"/>
      <c r="N150" s="178"/>
      <c r="O150" s="178"/>
      <c r="P150" s="178"/>
      <c r="Q150" s="178"/>
      <c r="R150" s="195"/>
      <c r="S150" s="178"/>
      <c r="T150" s="180"/>
      <c r="U150" s="189" t="str">
        <f>IFERROR(IF(Tableau3[[#This Row],[Dettes]]=0,"",(Tableau3[[#This Row],[Dettes]]/Tableau3[[#This Row],[EBE]])),"")</f>
        <v/>
      </c>
      <c r="V150" s="190" t="str">
        <f>IFERROR(Tableau3[[#This Row],[Fonds propres]]/Tableau3[[#This Row],[Total Bilan]],"")</f>
        <v/>
      </c>
      <c r="W150" s="180"/>
      <c r="Y150" s="180"/>
      <c r="Z150" s="192" t="str">
        <f>IFERROR(Tableau3[[#This Row],[Chiffre d''affaires]]/Tableau3[[#This Row],[Salariés]],"")</f>
        <v/>
      </c>
      <c r="AA150" s="177"/>
      <c r="AC150" s="177" t="s">
        <v>172</v>
      </c>
    </row>
    <row r="151" spans="1:29" ht="20.25" customHeight="1">
      <c r="A151" s="217"/>
      <c r="E151" s="187">
        <v>61.87</v>
      </c>
      <c r="F151" s="178">
        <v>2021</v>
      </c>
      <c r="G151" s="188">
        <v>44160000000</v>
      </c>
      <c r="H151" s="188">
        <v>6202000000</v>
      </c>
      <c r="I151" s="188">
        <v>3936000000</v>
      </c>
      <c r="J151" s="211">
        <v>2614000000</v>
      </c>
      <c r="K151" s="211">
        <v>7287000000</v>
      </c>
      <c r="L151" s="211">
        <v>20715000000</v>
      </c>
      <c r="M151" s="194">
        <f>L151/P151</f>
        <v>39.531115362643497</v>
      </c>
      <c r="N151" s="190">
        <f>J151/L153</f>
        <v>0.14609881511289963</v>
      </c>
      <c r="O151" s="190">
        <f>(I151*0.72)/(L153+K153)</f>
        <v>0.11302676185538228</v>
      </c>
      <c r="P151" s="188">
        <v>524017595</v>
      </c>
      <c r="Q151" s="188">
        <f>P151*E151</f>
        <v>32420968602.649998</v>
      </c>
      <c r="R151" s="195">
        <f>Q151/L151</f>
        <v>1.5650962395679457</v>
      </c>
      <c r="S151" s="197">
        <f>(Q151+K151)/H151</f>
        <v>6.402445759859722</v>
      </c>
      <c r="T151" s="180">
        <v>2904000000</v>
      </c>
      <c r="U151" s="189">
        <f>IFERROR(IF(Tableau3[[#This Row],[Dettes]]=0,"",(Tableau3[[#This Row],[Dettes]]/Tableau3[[#This Row],[EBE]])),"")</f>
        <v>1.1749435665914221</v>
      </c>
      <c r="V151" s="190">
        <f>IFERROR(Tableau3[[#This Row],[Fonds propres]]/Tableau3[[#This Row],[Total Bilan]],"")</f>
        <v>0.40160915083365645</v>
      </c>
      <c r="W151" s="180">
        <v>51580000000</v>
      </c>
      <c r="Y151" s="180">
        <v>166464</v>
      </c>
      <c r="Z151" s="192">
        <f>IFERROR(Tableau3[[#This Row],[Chiffre d''affaires]]/Tableau3[[#This Row],[Salariés]],"")</f>
        <v>265282.583621684</v>
      </c>
      <c r="AA151" s="197"/>
      <c r="AB151" s="197"/>
      <c r="AC151" s="177" t="s">
        <v>173</v>
      </c>
    </row>
    <row r="152" spans="1:29" ht="20.25" customHeight="1">
      <c r="A152" s="217"/>
      <c r="E152" s="187"/>
      <c r="G152" s="202">
        <f>(G151/G153)-1</f>
        <v>0.15820394460763754</v>
      </c>
      <c r="H152" s="203">
        <f>(H151/H153)-1</f>
        <v>0.4047565118912797</v>
      </c>
      <c r="I152" s="203">
        <f>(I151/I153)-1</f>
        <v>1.7486033519553073</v>
      </c>
      <c r="J152" s="203">
        <f>(J151/J153)-1</f>
        <v>4.7324561403508776</v>
      </c>
      <c r="K152" s="188"/>
      <c r="L152" s="188"/>
      <c r="M152" s="178"/>
      <c r="N152" s="178"/>
      <c r="O152" s="178"/>
      <c r="P152" s="178"/>
      <c r="Q152" s="178"/>
      <c r="R152" s="195"/>
      <c r="S152" s="178"/>
      <c r="T152" s="180"/>
      <c r="U152" s="189" t="str">
        <f>IFERROR(IF(Tableau3[[#This Row],[Dettes]]=0,"",(Tableau3[[#This Row],[Dettes]]/Tableau3[[#This Row],[EBE]])),"")</f>
        <v/>
      </c>
      <c r="V152" s="190" t="str">
        <f>IFERROR(Tableau3[[#This Row],[Fonds propres]]/Tableau3[[#This Row],[Total Bilan]],"")</f>
        <v/>
      </c>
      <c r="W152" s="180"/>
      <c r="Y152" s="180"/>
      <c r="Z152" s="192" t="str">
        <f>IFERROR(Tableau3[[#This Row],[Chiffre d''affaires]]/Tableau3[[#This Row],[Salariés]],"")</f>
        <v/>
      </c>
      <c r="AA152" s="177"/>
      <c r="AC152" s="177" t="s">
        <v>174</v>
      </c>
    </row>
    <row r="153" spans="1:29" ht="20.25" customHeight="1">
      <c r="A153" s="217"/>
      <c r="E153" s="187">
        <v>37.5</v>
      </c>
      <c r="F153" s="178">
        <v>2020</v>
      </c>
      <c r="G153" s="188">
        <v>38128000000</v>
      </c>
      <c r="H153" s="188">
        <v>4415000000</v>
      </c>
      <c r="I153" s="188">
        <v>1432000000</v>
      </c>
      <c r="J153" s="211">
        <v>456000000</v>
      </c>
      <c r="K153" s="211">
        <v>7181000000</v>
      </c>
      <c r="L153" s="211">
        <v>17892000000</v>
      </c>
      <c r="M153" s="194">
        <f>L153/P153</f>
        <v>33.588411966333197</v>
      </c>
      <c r="N153" s="190">
        <f>J153/L155</f>
        <v>2.3485784919653894E-2</v>
      </c>
      <c r="O153" s="190">
        <f>(I153*0.72)/(L155+K155)</f>
        <v>3.4474872103520918E-2</v>
      </c>
      <c r="P153" s="188">
        <v>532683713</v>
      </c>
      <c r="Q153" s="188">
        <f>P153*E153</f>
        <v>19975639237.5</v>
      </c>
      <c r="R153" s="195">
        <f>Q153/L153</f>
        <v>1.11645647426224</v>
      </c>
      <c r="S153" s="197">
        <f>(Q153+K153)/H153</f>
        <v>6.1509941647791617</v>
      </c>
      <c r="T153" s="180">
        <v>3044000000</v>
      </c>
      <c r="U153" s="189">
        <f>IFERROR(IF(Tableau3[[#This Row],[Dettes]]=0,"",(Tableau3[[#This Row],[Dettes]]/Tableau3[[#This Row],[EBE]])),"")</f>
        <v>1.6265005662514156</v>
      </c>
      <c r="V153" s="190">
        <f>IFERROR(Tableau3[[#This Row],[Fonds propres]]/Tableau3[[#This Row],[Total Bilan]],"")</f>
        <v>0.36792103639728563</v>
      </c>
      <c r="W153" s="180">
        <v>48630000000</v>
      </c>
      <c r="X153" s="191"/>
      <c r="Y153" s="180"/>
      <c r="Z153" s="192" t="str">
        <f>IFERROR(Tableau3[[#This Row],[Chiffre d''affaires]]/Tableau3[[#This Row],[Salariés]],"")</f>
        <v/>
      </c>
      <c r="AA153" s="218"/>
      <c r="AB153" s="197"/>
      <c r="AC153" s="177" t="s">
        <v>175</v>
      </c>
    </row>
    <row r="154" spans="1:29" ht="20.25" customHeight="1">
      <c r="A154" s="217"/>
      <c r="E154" s="187"/>
      <c r="G154" s="202">
        <f>(G153/G155)-1</f>
        <v>-0.1044088976581401</v>
      </c>
      <c r="H154" s="203">
        <f>(H153/H155)-1</f>
        <v>-9.3429158110882926E-2</v>
      </c>
      <c r="I154" s="203">
        <f>(I153/I155)-1</f>
        <v>-0.57758112094395275</v>
      </c>
      <c r="J154" s="203">
        <f>(J153/J155)-1</f>
        <v>-0.67567567567567566</v>
      </c>
      <c r="K154" s="178"/>
      <c r="L154" s="178"/>
      <c r="M154" s="178"/>
      <c r="N154" s="178"/>
      <c r="O154" s="178"/>
      <c r="P154" s="178"/>
      <c r="Q154" s="178"/>
      <c r="R154" s="195"/>
      <c r="S154" s="178"/>
      <c r="T154" s="180"/>
      <c r="U154" s="189" t="str">
        <f>IFERROR(IF(Tableau3[[#This Row],[Dettes]]=0,"",(Tableau3[[#This Row],[Dettes]]/Tableau3[[#This Row],[EBE]])),"")</f>
        <v/>
      </c>
      <c r="V154" s="190" t="str">
        <f>IFERROR(Tableau3[[#This Row],[Fonds propres]]/Tableau3[[#This Row],[Total Bilan]],"")</f>
        <v/>
      </c>
      <c r="W154" s="180"/>
      <c r="Y154" s="180"/>
      <c r="Z154" s="192" t="str">
        <f>IFERROR(Tableau3[[#This Row],[Chiffre d''affaires]]/Tableau3[[#This Row],[Salariés]],"")</f>
        <v/>
      </c>
      <c r="AA154" s="177"/>
      <c r="AC154" s="177" t="s">
        <v>176</v>
      </c>
    </row>
    <row r="155" spans="1:29" ht="20.25" customHeight="1">
      <c r="A155" s="217"/>
      <c r="E155" s="187">
        <v>37</v>
      </c>
      <c r="F155" s="178">
        <v>2019</v>
      </c>
      <c r="G155" s="188">
        <v>42573000000</v>
      </c>
      <c r="H155" s="211">
        <v>4870000000</v>
      </c>
      <c r="I155" s="211">
        <v>3390000000</v>
      </c>
      <c r="J155" s="188">
        <v>1406000000</v>
      </c>
      <c r="K155" s="188">
        <v>10491000000</v>
      </c>
      <c r="L155" s="188">
        <v>19416000000</v>
      </c>
      <c r="M155" s="194">
        <f>L155/P155</f>
        <v>35.646392348351334</v>
      </c>
      <c r="N155" s="190">
        <f>J155/L157</f>
        <v>7.9475439489005706E-2</v>
      </c>
      <c r="O155" s="190">
        <f>(I155*0.72)/(L157+K157)</f>
        <v>8.447136182730576E-2</v>
      </c>
      <c r="P155" s="188">
        <v>544683451</v>
      </c>
      <c r="Q155" s="188">
        <f>P155*E155</f>
        <v>20153287687</v>
      </c>
      <c r="R155" s="195">
        <f>Q155/L155</f>
        <v>1.0379732018438401</v>
      </c>
      <c r="S155" s="197">
        <f>(Q155+K155)/H155</f>
        <v>6.292461537371663</v>
      </c>
      <c r="T155" s="180">
        <v>1857000000</v>
      </c>
      <c r="U155" s="189">
        <f>IFERROR(IF(Tableau3[[#This Row],[Dettes]]=0,"",(Tableau3[[#This Row],[Dettes]]/Tableau3[[#This Row],[EBE]])),"")</f>
        <v>2.1542094455852157</v>
      </c>
      <c r="V155" s="190">
        <f>IFERROR(Tableau3[[#This Row],[Fonds propres]]/Tableau3[[#This Row],[Total Bilan]],"")</f>
        <v>0.38847539015606242</v>
      </c>
      <c r="W155" s="180">
        <v>49980000000</v>
      </c>
      <c r="X155" s="191"/>
      <c r="Y155" s="180"/>
      <c r="Z155" s="192" t="str">
        <f>IFERROR(Tableau3[[#This Row],[Chiffre d''affaires]]/Tableau3[[#This Row],[Salariés]],"")</f>
        <v/>
      </c>
      <c r="AA155" s="218"/>
      <c r="AB155" s="197"/>
      <c r="AC155" s="177" t="s">
        <v>177</v>
      </c>
    </row>
    <row r="156" spans="1:29" ht="20.25" customHeight="1">
      <c r="A156" s="217"/>
      <c r="E156" s="187"/>
      <c r="G156" s="202">
        <f>(G155/G157)-1</f>
        <v>1.9126729544692855E-2</v>
      </c>
      <c r="H156" s="203">
        <f>(H155/H157)-1</f>
        <v>-4.715319898258663E-2</v>
      </c>
      <c r="I156" s="203">
        <f>(I155/I157)-1</f>
        <v>5.7062675397567819E-2</v>
      </c>
      <c r="J156" s="203">
        <f>(J155/J157)-1</f>
        <v>2.3476190476190477</v>
      </c>
      <c r="K156" s="178"/>
      <c r="L156" s="178"/>
      <c r="M156" s="178"/>
      <c r="N156" s="178"/>
      <c r="O156" s="178"/>
      <c r="P156" s="178"/>
      <c r="Q156" s="178"/>
      <c r="R156" s="195"/>
      <c r="S156" s="178"/>
      <c r="T156" s="180"/>
      <c r="U156" s="189" t="str">
        <f>IFERROR(IF(Tableau3[[#This Row],[Dettes]]=0,"",(Tableau3[[#This Row],[Dettes]]/Tableau3[[#This Row],[EBE]])),"")</f>
        <v/>
      </c>
      <c r="V156" s="190" t="str">
        <f>IFERROR(Tableau3[[#This Row],[Fonds propres]]/Tableau3[[#This Row],[Total Bilan]],"")</f>
        <v/>
      </c>
      <c r="W156" s="180"/>
      <c r="Y156" s="180"/>
      <c r="Z156" s="192" t="str">
        <f>IFERROR(Tableau3[[#This Row],[Chiffre d''affaires]]/Tableau3[[#This Row],[Salariés]],"")</f>
        <v/>
      </c>
      <c r="AA156" s="177"/>
      <c r="AC156" s="177" t="s">
        <v>178</v>
      </c>
    </row>
    <row r="157" spans="1:29" ht="20.25" customHeight="1">
      <c r="A157" s="217"/>
      <c r="E157" s="187">
        <v>28.5</v>
      </c>
      <c r="F157" s="178">
        <v>2018</v>
      </c>
      <c r="G157" s="188">
        <v>41774000000</v>
      </c>
      <c r="H157" s="211">
        <f>787000000+4324000000</f>
        <v>5111000000</v>
      </c>
      <c r="I157" s="211">
        <v>3207000000</v>
      </c>
      <c r="J157" s="211">
        <v>420000000</v>
      </c>
      <c r="K157" s="211">
        <f>3011000000+8193000000</f>
        <v>11204000000</v>
      </c>
      <c r="L157" s="188">
        <v>17691000000</v>
      </c>
      <c r="M157" s="194">
        <f>L157/P157</f>
        <v>32.366420356457489</v>
      </c>
      <c r="N157" s="190">
        <f>J157/L159</f>
        <v>2.3224950232249502E-2</v>
      </c>
      <c r="O157" s="190">
        <f>(I157*0.72)/(L159+K159)</f>
        <v>9.6053912392362412E-2</v>
      </c>
      <c r="P157" s="188">
        <v>546585004</v>
      </c>
      <c r="Q157" s="188">
        <f>P157*E157</f>
        <v>15577672614</v>
      </c>
      <c r="R157" s="195">
        <f>Q157/L157</f>
        <v>0.88054223130405296</v>
      </c>
      <c r="S157" s="197">
        <f>(Q157+K157)/H157</f>
        <v>5.2400063811387207</v>
      </c>
      <c r="T157" s="180"/>
      <c r="U157" s="189">
        <f>IFERROR(IF(Tableau3[[#This Row],[Dettes]]=0,"",(Tableau3[[#This Row],[Dettes]]/Tableau3[[#This Row],[EBE]])),"")</f>
        <v>2.192134611621992</v>
      </c>
      <c r="V157" s="190">
        <f>IFERROR(Tableau3[[#This Row],[Fonds propres]]/Tableau3[[#This Row],[Total Bilan]],"")</f>
        <v>0.37672487223168655</v>
      </c>
      <c r="W157" s="180">
        <v>46960000000</v>
      </c>
      <c r="X157" s="191"/>
      <c r="Y157" s="180"/>
      <c r="Z157" s="192" t="str">
        <f>IFERROR(Tableau3[[#This Row],[Chiffre d''affaires]]/Tableau3[[#This Row],[Salariés]],"")</f>
        <v/>
      </c>
      <c r="AA157" s="218"/>
      <c r="AB157" s="197"/>
      <c r="AC157" s="177" t="s">
        <v>179</v>
      </c>
    </row>
    <row r="158" spans="1:29" ht="20.25" customHeight="1">
      <c r="A158" s="217"/>
      <c r="E158" s="187"/>
      <c r="G158" s="202">
        <f>(G157/G159)-1</f>
        <v>2.3621661357510426E-2</v>
      </c>
      <c r="H158" s="203">
        <f>(H157/H159)-1</f>
        <v>0.20713273500236173</v>
      </c>
      <c r="I158" s="203">
        <f>(I157/I159)-1</f>
        <v>5.9114927344781965E-2</v>
      </c>
      <c r="J158" s="203">
        <f>(J157/J159)-1</f>
        <v>-0.73180076628352486</v>
      </c>
      <c r="K158" s="178"/>
      <c r="L158" s="178"/>
      <c r="M158" s="178"/>
      <c r="N158" s="178"/>
      <c r="O158" s="178"/>
      <c r="P158" s="178"/>
      <c r="Q158" s="178"/>
      <c r="R158" s="195"/>
      <c r="S158" s="178"/>
      <c r="T158" s="180"/>
      <c r="U158" s="189" t="str">
        <f>IFERROR(IF(Tableau3[[#This Row],[Dettes]]=0,"",(Tableau3[[#This Row],[Dettes]]/Tableau3[[#This Row],[EBE]])),"")</f>
        <v/>
      </c>
      <c r="V158" s="190" t="str">
        <f>IFERROR(Tableau3[[#This Row],[Fonds propres]]/Tableau3[[#This Row],[Total Bilan]],"")</f>
        <v/>
      </c>
      <c r="W158" s="180"/>
      <c r="X158" s="192"/>
      <c r="Y158" s="180"/>
      <c r="Z158" s="192" t="str">
        <f>IFERROR(Tableau3[[#This Row],[Chiffre d''affaires]]/Tableau3[[#This Row],[Salariés]],"")</f>
        <v/>
      </c>
      <c r="AA158" s="188"/>
      <c r="AB158" s="188"/>
      <c r="AC158" s="177" t="s">
        <v>180</v>
      </c>
    </row>
    <row r="159" spans="1:29" ht="20.25" customHeight="1">
      <c r="A159" s="217"/>
      <c r="E159" s="187">
        <v>50</v>
      </c>
      <c r="F159" s="178">
        <v>2017</v>
      </c>
      <c r="G159" s="188">
        <v>40810000000</v>
      </c>
      <c r="H159" s="188">
        <v>4234000000</v>
      </c>
      <c r="I159" s="188">
        <v>3028000000</v>
      </c>
      <c r="J159" s="188">
        <v>1566000000</v>
      </c>
      <c r="K159" s="188">
        <v>5955000000</v>
      </c>
      <c r="L159" s="188">
        <v>18084000000</v>
      </c>
      <c r="M159" s="194">
        <f>L159/P159</f>
        <v>32.668717091729931</v>
      </c>
      <c r="N159" s="190">
        <f>J159/L161</f>
        <v>8.3453237410071948E-2</v>
      </c>
      <c r="O159" s="190">
        <f>(I159*0.72)/(L161+K161)</f>
        <v>8.9317874554467616E-2</v>
      </c>
      <c r="P159" s="188">
        <v>553557091</v>
      </c>
      <c r="Q159" s="188">
        <f>P159*E159</f>
        <v>27677854550</v>
      </c>
      <c r="R159" s="195">
        <f>Q159/L159</f>
        <v>1.5305161772837867</v>
      </c>
      <c r="S159" s="197">
        <f>(Q159+K159)/H159</f>
        <v>7.9435178436466698</v>
      </c>
      <c r="T159" s="180"/>
      <c r="U159" s="189">
        <f>IFERROR(IF(Tableau3[[#This Row],[Dettes]]=0,"",(Tableau3[[#This Row],[Dettes]]/Tableau3[[#This Row],[EBE]])),"")</f>
        <v>1.406471421823335</v>
      </c>
      <c r="V159" s="190" t="str">
        <f>IFERROR(Tableau3[[#This Row],[Fonds propres]]/Tableau3[[#This Row],[Total Bilan]],"")</f>
        <v/>
      </c>
      <c r="W159" s="180"/>
      <c r="X159" s="191"/>
      <c r="Y159" s="180"/>
      <c r="Z159" s="192" t="str">
        <f>IFERROR(Tableau3[[#This Row],[Chiffre d''affaires]]/Tableau3[[#This Row],[Salariés]],"")</f>
        <v/>
      </c>
      <c r="AA159" s="218"/>
      <c r="AB159" s="197"/>
      <c r="AC159" s="177" t="s">
        <v>181</v>
      </c>
    </row>
    <row r="160" spans="1:29" ht="20.25" customHeight="1">
      <c r="A160" s="217"/>
      <c r="E160" s="187"/>
      <c r="G160" s="202">
        <f>(G159/G161)-1</f>
        <v>4.3920906556160988E-2</v>
      </c>
      <c r="H160" s="203">
        <f>(H159/H161)-1</f>
        <v>5.902951475737872E-2</v>
      </c>
      <c r="I160" s="203">
        <f>(I159/I161)-1</f>
        <v>7.4520936834634455E-2</v>
      </c>
      <c r="J160" s="203">
        <f>(J159/J161)-1</f>
        <v>0.19450800915331801</v>
      </c>
      <c r="K160" s="188"/>
      <c r="L160" s="188"/>
      <c r="M160" s="188"/>
      <c r="N160" s="188"/>
      <c r="O160" s="188"/>
      <c r="P160" s="188"/>
      <c r="Q160" s="188"/>
      <c r="R160" s="195"/>
      <c r="S160" s="188"/>
      <c r="T160" s="180"/>
      <c r="U160" s="189" t="str">
        <f>IFERROR(IF(Tableau3[[#This Row],[Dettes]]=0,"",(Tableau3[[#This Row],[Dettes]]/Tableau3[[#This Row],[EBE]])),"")</f>
        <v/>
      </c>
      <c r="V160" s="190" t="str">
        <f>IFERROR(Tableau3[[#This Row],[Fonds propres]]/Tableau3[[#This Row],[Total Bilan]],"")</f>
        <v/>
      </c>
      <c r="W160" s="180"/>
      <c r="X160" s="192"/>
      <c r="Y160" s="180"/>
      <c r="Z160" s="192" t="str">
        <f>IFERROR(Tableau3[[#This Row],[Chiffre d''affaires]]/Tableau3[[#This Row],[Salariés]],"")</f>
        <v/>
      </c>
      <c r="AA160" s="188"/>
      <c r="AB160" s="188"/>
      <c r="AC160" s="177" t="s">
        <v>182</v>
      </c>
    </row>
    <row r="161" spans="1:29" ht="20.25" customHeight="1">
      <c r="A161" s="217"/>
      <c r="E161" s="187">
        <v>46</v>
      </c>
      <c r="F161" s="178">
        <v>2016</v>
      </c>
      <c r="G161" s="188">
        <v>39093000000</v>
      </c>
      <c r="H161" s="188">
        <v>3998000000</v>
      </c>
      <c r="I161" s="188">
        <v>2818000000</v>
      </c>
      <c r="J161" s="188">
        <v>1311000000</v>
      </c>
      <c r="K161" s="188">
        <v>5644000000</v>
      </c>
      <c r="L161" s="188">
        <v>18765000000</v>
      </c>
      <c r="M161" s="194">
        <f>L161/P161</f>
        <v>33.793739918313477</v>
      </c>
      <c r="N161" s="190">
        <f>J161/L163</f>
        <v>6.9160160371386364E-2</v>
      </c>
      <c r="O161" s="190">
        <f>(I161*0.72)/(L163+K163)</f>
        <v>8.5419104955163555E-2</v>
      </c>
      <c r="P161" s="188">
        <v>555280358</v>
      </c>
      <c r="Q161" s="188">
        <f>P161*E161</f>
        <v>25542896468</v>
      </c>
      <c r="R161" s="195">
        <f>Q161/L161</f>
        <v>1.361198852544631</v>
      </c>
      <c r="S161" s="197">
        <f>(Q161+K161)/H161</f>
        <v>7.800624429214607</v>
      </c>
      <c r="T161" s="180"/>
      <c r="U161" s="189">
        <f>IFERROR(IF(Tableau3[[#This Row],[Dettes]]=0,"",(Tableau3[[#This Row],[Dettes]]/Tableau3[[#This Row],[EBE]])),"")</f>
        <v>1.4117058529264632</v>
      </c>
      <c r="V161" s="190" t="str">
        <f>IFERROR(Tableau3[[#This Row],[Fonds propres]]/Tableau3[[#This Row],[Total Bilan]],"")</f>
        <v/>
      </c>
      <c r="W161" s="180"/>
      <c r="X161" s="191"/>
      <c r="Y161" s="180"/>
      <c r="Z161" s="192" t="str">
        <f>IFERROR(Tableau3[[#This Row],[Chiffre d''affaires]]/Tableau3[[#This Row],[Salariés]],"")</f>
        <v/>
      </c>
      <c r="AA161" s="218"/>
      <c r="AB161" s="197"/>
      <c r="AC161" s="177" t="s">
        <v>5087</v>
      </c>
    </row>
    <row r="162" spans="1:29" ht="20.25" customHeight="1">
      <c r="A162" s="217"/>
      <c r="E162" s="187"/>
      <c r="G162" s="202">
        <f>(G161/G163)-1</f>
        <v>-1.3376069454609674E-2</v>
      </c>
      <c r="H162" s="203">
        <f>(H161/H163)-1</f>
        <v>4.0062434963579641E-2</v>
      </c>
      <c r="I162" s="203">
        <f>(I161/I163)-1</f>
        <v>6.9044006069802766E-2</v>
      </c>
      <c r="J162" s="203">
        <f>(J161/J163)-1</f>
        <v>1.2355212355212419E-2</v>
      </c>
      <c r="K162" s="188"/>
      <c r="L162" s="188"/>
      <c r="M162" s="188"/>
      <c r="N162" s="188"/>
      <c r="O162" s="188"/>
      <c r="P162" s="188"/>
      <c r="Q162" s="188"/>
      <c r="R162" s="195"/>
      <c r="S162" s="188"/>
      <c r="T162" s="180"/>
      <c r="U162" s="189" t="str">
        <f>IFERROR(IF(Tableau3[[#This Row],[Dettes]]=0,"",(Tableau3[[#This Row],[Dettes]]/Tableau3[[#This Row],[EBE]])),"")</f>
        <v/>
      </c>
      <c r="V162" s="190" t="str">
        <f>IFERROR(Tableau3[[#This Row],[Fonds propres]]/Tableau3[[#This Row],[Total Bilan]],"")</f>
        <v/>
      </c>
      <c r="W162" s="180"/>
      <c r="X162" s="191"/>
      <c r="Y162" s="180"/>
      <c r="Z162" s="192" t="str">
        <f>IFERROR(Tableau3[[#This Row],[Chiffre d''affaires]]/Tableau3[[#This Row],[Salariés]],"")</f>
        <v/>
      </c>
      <c r="AA162" s="197"/>
      <c r="AB162" s="197"/>
      <c r="AC162" s="177" t="s">
        <v>183</v>
      </c>
    </row>
    <row r="163" spans="1:29" ht="20.25" customHeight="1">
      <c r="A163" s="217"/>
      <c r="E163" s="187">
        <v>40.19</v>
      </c>
      <c r="F163" s="178">
        <v>2015</v>
      </c>
      <c r="G163" s="188">
        <v>39623000000</v>
      </c>
      <c r="H163" s="188">
        <v>3844000000</v>
      </c>
      <c r="I163" s="188">
        <v>2636000000</v>
      </c>
      <c r="J163" s="188">
        <v>1295000000</v>
      </c>
      <c r="K163" s="188">
        <v>4797000000</v>
      </c>
      <c r="L163" s="188">
        <v>18956000000</v>
      </c>
      <c r="M163" s="194">
        <f>L163/P163</f>
        <v>33.793068395261152</v>
      </c>
      <c r="N163" s="190">
        <f>J163/L163</f>
        <v>6.8316100443131467E-2</v>
      </c>
      <c r="O163" s="190">
        <f>(I163*0.72)/(L163+K163)</f>
        <v>7.990232812697344E-2</v>
      </c>
      <c r="P163" s="188">
        <v>560943439</v>
      </c>
      <c r="Q163" s="188">
        <f>P163*E163</f>
        <v>22544316813.41</v>
      </c>
      <c r="R163" s="195">
        <f>Q163/L163</f>
        <v>1.1892971520051698</v>
      </c>
      <c r="S163" s="197">
        <f>(Q163+K163)/H163</f>
        <v>7.1127254977653482</v>
      </c>
      <c r="T163" s="180"/>
      <c r="U163" s="189">
        <f>IFERROR(IF(Tableau3[[#This Row],[Dettes]]=0,"",(Tableau3[[#This Row],[Dettes]]/Tableau3[[#This Row],[EBE]])),"")</f>
        <v>1.2479188345473464</v>
      </c>
      <c r="V163" s="190" t="str">
        <f>IFERROR(Tableau3[[#This Row],[Fonds propres]]/Tableau3[[#This Row],[Total Bilan]],"")</f>
        <v/>
      </c>
      <c r="W163" s="180"/>
      <c r="X163" s="191"/>
      <c r="Y163" s="180"/>
      <c r="Z163" s="192" t="str">
        <f>IFERROR(Tableau3[[#This Row],[Chiffre d''affaires]]/Tableau3[[#This Row],[Salariés]],"")</f>
        <v/>
      </c>
      <c r="AA163" s="218"/>
      <c r="AB163" s="197"/>
      <c r="AC163" s="177" t="s">
        <v>184</v>
      </c>
    </row>
    <row r="164" spans="1:29" ht="20.25" customHeight="1">
      <c r="A164" s="217"/>
      <c r="E164" s="187"/>
      <c r="G164" s="188"/>
      <c r="H164" s="188"/>
      <c r="I164" s="188"/>
      <c r="J164" s="188"/>
      <c r="K164" s="188"/>
      <c r="L164" s="188"/>
      <c r="M164" s="194"/>
      <c r="N164" s="190"/>
      <c r="O164" s="190"/>
      <c r="P164" s="188"/>
      <c r="Q164" s="188"/>
      <c r="R164" s="195"/>
      <c r="S164" s="197"/>
      <c r="T164" s="180"/>
      <c r="U164" s="189" t="str">
        <f>IFERROR(IF(Tableau3[[#This Row],[Dettes]]=0,"",(Tableau3[[#This Row],[Dettes]]/Tableau3[[#This Row],[EBE]])),"")</f>
        <v/>
      </c>
      <c r="V164" s="190" t="str">
        <f>IFERROR(Tableau3[[#This Row],[Fonds propres]]/Tableau3[[#This Row],[Total Bilan]],"")</f>
        <v/>
      </c>
      <c r="W164" s="180"/>
      <c r="X164" s="191"/>
      <c r="Y164" s="180"/>
      <c r="Z164" s="192" t="str">
        <f>IFERROR(Tableau3[[#This Row],[Chiffre d''affaires]]/Tableau3[[#This Row],[Salariés]],"")</f>
        <v/>
      </c>
      <c r="AA164" s="197"/>
      <c r="AB164" s="197"/>
      <c r="AC164" s="177" t="s">
        <v>4920</v>
      </c>
    </row>
    <row r="165" spans="1:29" ht="20.25" customHeight="1">
      <c r="A165" s="217"/>
      <c r="E165" s="187">
        <v>51.65</v>
      </c>
      <c r="F165" s="178">
        <v>2007</v>
      </c>
      <c r="G165" s="188">
        <v>43421000000</v>
      </c>
      <c r="H165" s="188">
        <v>4108000000</v>
      </c>
      <c r="I165" s="188">
        <v>3156000000</v>
      </c>
      <c r="J165" s="188">
        <v>1487000000</v>
      </c>
      <c r="K165" s="188">
        <v>9928000000</v>
      </c>
      <c r="L165" s="188">
        <v>15300000000</v>
      </c>
      <c r="M165" s="194">
        <f>L165/P165</f>
        <v>40.885461298848476</v>
      </c>
      <c r="N165" s="190">
        <f>J165/L167</f>
        <v>0.10497705612424992</v>
      </c>
      <c r="O165" s="190">
        <f>(I165*0.72)/(K167+L167)</f>
        <v>8.8197484862598971E-2</v>
      </c>
      <c r="P165" s="188">
        <v>374216152</v>
      </c>
      <c r="Q165" s="188">
        <f>P165*E165</f>
        <v>19328264250.799999</v>
      </c>
      <c r="R165" s="195">
        <f>Q165/L165</f>
        <v>1.2632852451503267</v>
      </c>
      <c r="S165" s="197">
        <f>(Q165+K165)/H165</f>
        <v>7.1217780552093473</v>
      </c>
      <c r="T165" s="180"/>
      <c r="U165" s="189">
        <f>IFERROR(IF(Tableau3[[#This Row],[Dettes]]=0,"",(Tableau3[[#This Row],[Dettes]]/Tableau3[[#This Row],[EBE]])),"")</f>
        <v>2.4167478091528722</v>
      </c>
      <c r="V165" s="190" t="str">
        <f>IFERROR(Tableau3[[#This Row],[Fonds propres]]/Tableau3[[#This Row],[Total Bilan]],"")</f>
        <v/>
      </c>
      <c r="W165" s="180"/>
      <c r="X165" s="191"/>
      <c r="Y165" s="180"/>
      <c r="Z165" s="192" t="str">
        <f>IFERROR(Tableau3[[#This Row],[Chiffre d''affaires]]/Tableau3[[#This Row],[Salariés]],"")</f>
        <v/>
      </c>
      <c r="AA165" s="218"/>
      <c r="AB165" s="197"/>
      <c r="AC165" s="177" t="s">
        <v>185</v>
      </c>
    </row>
    <row r="166" spans="1:29" ht="20.25" customHeight="1">
      <c r="A166" s="217"/>
      <c r="E166" s="187"/>
      <c r="G166" s="202">
        <f>(G165/G167)-1</f>
        <v>4.3874411001057823E-2</v>
      </c>
      <c r="H166" s="203">
        <f>(H165/H167)-1</f>
        <v>0.10608508346795897</v>
      </c>
      <c r="I166" s="203">
        <f>(H165/H167)-1</f>
        <v>0.10608508346795897</v>
      </c>
      <c r="J166" s="203">
        <f>(J165/J167)-1</f>
        <v>-9.1631032376298105E-2</v>
      </c>
      <c r="K166" s="188"/>
      <c r="L166" s="188"/>
      <c r="M166" s="194"/>
      <c r="N166" s="190"/>
      <c r="O166" s="190"/>
      <c r="P166" s="188"/>
      <c r="Q166" s="188"/>
      <c r="R166" s="195"/>
      <c r="S166" s="197"/>
      <c r="T166" s="180"/>
      <c r="U166" s="189" t="str">
        <f>IFERROR(IF(Tableau3[[#This Row],[Dettes]]=0,"",(Tableau3[[#This Row],[Dettes]]/Tableau3[[#This Row],[EBE]])),"")</f>
        <v/>
      </c>
      <c r="V166" s="190" t="str">
        <f>IFERROR(Tableau3[[#This Row],[Fonds propres]]/Tableau3[[#This Row],[Total Bilan]],"")</f>
        <v/>
      </c>
      <c r="W166" s="180"/>
      <c r="Y166" s="180"/>
      <c r="Z166" s="192" t="str">
        <f>IFERROR(Tableau3[[#This Row],[Chiffre d''affaires]]/Tableau3[[#This Row],[Salariés]],"")</f>
        <v/>
      </c>
      <c r="AA166" s="177"/>
      <c r="AC166" s="177" t="s">
        <v>186</v>
      </c>
    </row>
    <row r="167" spans="1:29" ht="20.25" customHeight="1">
      <c r="A167" s="217"/>
      <c r="E167" s="187">
        <v>73.17</v>
      </c>
      <c r="F167" s="178">
        <v>2006</v>
      </c>
      <c r="G167" s="188">
        <v>41596000000</v>
      </c>
      <c r="H167" s="188">
        <v>3714000000</v>
      </c>
      <c r="I167" s="188">
        <v>3322000000</v>
      </c>
      <c r="J167" s="188">
        <v>1637000000</v>
      </c>
      <c r="K167" s="188">
        <v>11599000000</v>
      </c>
      <c r="L167" s="188">
        <v>14165000000</v>
      </c>
      <c r="M167" s="194">
        <f>L167/P167</f>
        <v>38.447995901674354</v>
      </c>
      <c r="N167" s="190">
        <f>J167/L167</f>
        <v>0.11556653723967526</v>
      </c>
      <c r="O167" s="190">
        <f>(I167*0.72)/(L167+K167)</f>
        <v>9.2836516068933395E-2</v>
      </c>
      <c r="P167" s="188">
        <v>368419723</v>
      </c>
      <c r="Q167" s="188">
        <f>P167*E167</f>
        <v>26957271131.91</v>
      </c>
      <c r="R167" s="195">
        <f>Q167/L167</f>
        <v>1.9030900904984116</v>
      </c>
      <c r="S167" s="197">
        <f>(Q167+K167)/H167</f>
        <v>10.381333099598816</v>
      </c>
      <c r="T167" s="180"/>
      <c r="U167" s="189">
        <f>IFERROR(IF(Tableau3[[#This Row],[Dettes]]=0,"",(Tableau3[[#This Row],[Dettes]]/Tableau3[[#This Row],[EBE]])),"")</f>
        <v>3.1230479267635971</v>
      </c>
      <c r="V167" s="190" t="str">
        <f>IFERROR(Tableau3[[#This Row],[Fonds propres]]/Tableau3[[#This Row],[Total Bilan]],"")</f>
        <v/>
      </c>
      <c r="W167" s="180"/>
      <c r="X167" s="191"/>
      <c r="Y167" s="180"/>
      <c r="Z167" s="192" t="str">
        <f>IFERROR(Tableau3[[#This Row],[Chiffre d''affaires]]/Tableau3[[#This Row],[Salariés]],"")</f>
        <v/>
      </c>
      <c r="AA167" s="218"/>
      <c r="AB167" s="197"/>
      <c r="AC167" s="177" t="s">
        <v>4921</v>
      </c>
    </row>
    <row r="168" spans="1:29" ht="20.25" customHeight="1">
      <c r="A168" s="217"/>
      <c r="E168" s="187"/>
      <c r="G168" s="188"/>
      <c r="H168" s="188"/>
      <c r="I168" s="188"/>
      <c r="J168" s="188"/>
      <c r="K168" s="188"/>
      <c r="L168" s="188"/>
      <c r="M168" s="194"/>
      <c r="N168" s="190"/>
      <c r="O168" s="190"/>
      <c r="P168" s="188"/>
      <c r="Q168" s="188"/>
      <c r="R168" s="195"/>
      <c r="S168" s="197"/>
      <c r="T168" s="180"/>
      <c r="U168" s="189" t="str">
        <f>IFERROR(IF(Tableau3[[#This Row],[Dettes]]=0,"",(Tableau3[[#This Row],[Dettes]]/Tableau3[[#This Row],[EBE]])),"")</f>
        <v/>
      </c>
      <c r="V168" s="190" t="str">
        <f>IFERROR(Tableau3[[#This Row],[Fonds propres]]/Tableau3[[#This Row],[Total Bilan]],"")</f>
        <v/>
      </c>
      <c r="W168" s="180"/>
      <c r="X168" s="191"/>
      <c r="Y168" s="180"/>
      <c r="Z168" s="192" t="str">
        <f>IFERROR(Tableau3[[#This Row],[Chiffre d''affaires]]/Tableau3[[#This Row],[Salariés]],"")</f>
        <v/>
      </c>
      <c r="AA168" s="197"/>
      <c r="AB168" s="197"/>
      <c r="AC168" s="177" t="s">
        <v>187</v>
      </c>
    </row>
    <row r="169" spans="1:29" ht="20.25" customHeight="1">
      <c r="A169" s="217"/>
      <c r="E169" s="187"/>
      <c r="G169" s="188"/>
      <c r="H169" s="188"/>
      <c r="I169" s="188"/>
      <c r="J169" s="188"/>
      <c r="K169" s="188"/>
      <c r="L169" s="188"/>
      <c r="M169" s="194"/>
      <c r="N169" s="190"/>
      <c r="O169" s="190"/>
      <c r="P169" s="188"/>
      <c r="Q169" s="188"/>
      <c r="R169" s="195"/>
      <c r="S169" s="197"/>
      <c r="T169" s="180"/>
      <c r="U169" s="189" t="str">
        <f>IFERROR(IF(Tableau3[[#This Row],[Dettes]]=0,"",(Tableau3[[#This Row],[Dettes]]/Tableau3[[#This Row],[EBE]])),"")</f>
        <v/>
      </c>
      <c r="V169" s="190" t="str">
        <f>IFERROR(Tableau3[[#This Row],[Fonds propres]]/Tableau3[[#This Row],[Total Bilan]],"")</f>
        <v/>
      </c>
      <c r="W169" s="180"/>
      <c r="X169" s="191"/>
      <c r="Y169" s="180"/>
      <c r="Z169" s="192" t="str">
        <f>IFERROR(Tableau3[[#This Row],[Chiffre d''affaires]]/Tableau3[[#This Row],[Salariés]],"")</f>
        <v/>
      </c>
      <c r="AA169" s="197"/>
      <c r="AB169" s="197"/>
      <c r="AC169" s="177" t="s">
        <v>188</v>
      </c>
    </row>
    <row r="170" spans="1:29" ht="20.25" customHeight="1">
      <c r="A170" s="217"/>
      <c r="E170" s="187"/>
      <c r="G170" s="188"/>
      <c r="H170" s="188"/>
      <c r="I170" s="188"/>
      <c r="J170" s="188"/>
      <c r="K170" s="188"/>
      <c r="L170" s="188"/>
      <c r="M170" s="194"/>
      <c r="N170" s="190"/>
      <c r="O170" s="190"/>
      <c r="P170" s="188"/>
      <c r="Q170" s="188"/>
      <c r="R170" s="195"/>
      <c r="S170" s="197"/>
      <c r="T170" s="180"/>
      <c r="U170" s="189" t="str">
        <f>IFERROR(IF(Tableau3[[#This Row],[Dettes]]=0,"",(Tableau3[[#This Row],[Dettes]]/Tableau3[[#This Row],[EBE]])),"")</f>
        <v/>
      </c>
      <c r="V170" s="190" t="str">
        <f>IFERROR(Tableau3[[#This Row],[Fonds propres]]/Tableau3[[#This Row],[Total Bilan]],"")</f>
        <v/>
      </c>
      <c r="W170" s="180"/>
      <c r="X170" s="191"/>
      <c r="Y170" s="180"/>
      <c r="Z170" s="192" t="str">
        <f>IFERROR(Tableau3[[#This Row],[Chiffre d''affaires]]/Tableau3[[#This Row],[Salariés]],"")</f>
        <v/>
      </c>
      <c r="AA170" s="197"/>
      <c r="AC170" s="177" t="s">
        <v>189</v>
      </c>
    </row>
    <row r="171" spans="1:29" ht="20.25" customHeight="1">
      <c r="A171" s="217"/>
      <c r="E171" s="187"/>
      <c r="G171" s="188"/>
      <c r="H171" s="188"/>
      <c r="I171" s="188"/>
      <c r="J171" s="188"/>
      <c r="K171" s="188"/>
      <c r="L171" s="188"/>
      <c r="M171" s="194"/>
      <c r="N171" s="190"/>
      <c r="O171" s="190"/>
      <c r="P171" s="188"/>
      <c r="Q171" s="188"/>
      <c r="R171" s="195"/>
      <c r="S171" s="197"/>
      <c r="T171" s="180"/>
      <c r="U171" s="189" t="str">
        <f>IFERROR(IF(Tableau3[[#This Row],[Dettes]]=0,"",(Tableau3[[#This Row],[Dettes]]/Tableau3[[#This Row],[EBE]])),"")</f>
        <v/>
      </c>
      <c r="V171" s="190" t="str">
        <f>IFERROR(Tableau3[[#This Row],[Fonds propres]]/Tableau3[[#This Row],[Total Bilan]],"")</f>
        <v/>
      </c>
      <c r="W171" s="180"/>
      <c r="X171" s="191"/>
      <c r="Y171" s="180"/>
      <c r="Z171" s="192" t="str">
        <f>IFERROR(Tableau3[[#This Row],[Chiffre d''affaires]]/Tableau3[[#This Row],[Salariés]],"")</f>
        <v/>
      </c>
      <c r="AA171" s="197"/>
      <c r="AB171" s="197"/>
      <c r="AC171" s="177" t="s">
        <v>190</v>
      </c>
    </row>
    <row r="172" spans="1:29" ht="20.25" customHeight="1">
      <c r="A172" s="217"/>
      <c r="E172" s="187"/>
      <c r="G172" s="188"/>
      <c r="H172" s="188"/>
      <c r="I172" s="188"/>
      <c r="J172" s="188"/>
      <c r="K172" s="188"/>
      <c r="L172" s="188"/>
      <c r="M172" s="194"/>
      <c r="N172" s="190"/>
      <c r="O172" s="190"/>
      <c r="P172" s="188"/>
      <c r="Q172" s="188"/>
      <c r="R172" s="195"/>
      <c r="S172" s="197"/>
      <c r="T172" s="180"/>
      <c r="U172" s="189" t="str">
        <f>IFERROR(IF(Tableau3[[#This Row],[Dettes]]=0,"",(Tableau3[[#This Row],[Dettes]]/Tableau3[[#This Row],[EBE]])),"")</f>
        <v/>
      </c>
      <c r="V172" s="190" t="str">
        <f>IFERROR(Tableau3[[#This Row],[Fonds propres]]/Tableau3[[#This Row],[Total Bilan]],"")</f>
        <v/>
      </c>
      <c r="W172" s="180"/>
      <c r="X172" s="191"/>
      <c r="Y172" s="180"/>
      <c r="Z172" s="192" t="str">
        <f>IFERROR(Tableau3[[#This Row],[Chiffre d''affaires]]/Tableau3[[#This Row],[Salariés]],"")</f>
        <v/>
      </c>
      <c r="AA172" s="197"/>
      <c r="AB172" s="197"/>
      <c r="AC172" s="177" t="s">
        <v>191</v>
      </c>
    </row>
    <row r="173" spans="1:29" ht="20.25" customHeight="1">
      <c r="A173" s="217"/>
      <c r="E173" s="187"/>
      <c r="G173" s="188"/>
      <c r="H173" s="188"/>
      <c r="I173" s="188"/>
      <c r="J173" s="188"/>
      <c r="K173" s="188"/>
      <c r="L173" s="188"/>
      <c r="M173" s="194"/>
      <c r="N173" s="190"/>
      <c r="O173" s="190"/>
      <c r="P173" s="188"/>
      <c r="Q173" s="188"/>
      <c r="R173" s="195"/>
      <c r="S173" s="197"/>
      <c r="T173" s="180"/>
      <c r="U173" s="189" t="str">
        <f>IFERROR(IF(Tableau3[[#This Row],[Dettes]]=0,"",(Tableau3[[#This Row],[Dettes]]/Tableau3[[#This Row],[EBE]])),"")</f>
        <v/>
      </c>
      <c r="V173" s="190" t="str">
        <f>IFERROR(Tableau3[[#This Row],[Fonds propres]]/Tableau3[[#This Row],[Total Bilan]],"")</f>
        <v/>
      </c>
      <c r="W173" s="180"/>
      <c r="X173" s="191"/>
      <c r="Y173" s="180"/>
      <c r="Z173" s="192" t="str">
        <f>IFERROR(Tableau3[[#This Row],[Chiffre d''affaires]]/Tableau3[[#This Row],[Salariés]],"")</f>
        <v/>
      </c>
      <c r="AA173" s="197"/>
      <c r="AB173" s="197"/>
      <c r="AC173" s="177" t="s">
        <v>192</v>
      </c>
    </row>
    <row r="174" spans="1:29" ht="20.25" customHeight="1">
      <c r="A174" s="217"/>
      <c r="E174" s="187"/>
      <c r="G174" s="188"/>
      <c r="H174" s="188"/>
      <c r="I174" s="188"/>
      <c r="J174" s="188"/>
      <c r="K174" s="188"/>
      <c r="L174" s="188"/>
      <c r="M174" s="194"/>
      <c r="N174" s="190"/>
      <c r="O174" s="190"/>
      <c r="P174" s="188"/>
      <c r="Q174" s="188"/>
      <c r="R174" s="195"/>
      <c r="S174" s="197"/>
      <c r="T174" s="180"/>
      <c r="U174" s="189" t="str">
        <f>IFERROR(IF(Tableau3[[#This Row],[Dettes]]=0,"",(Tableau3[[#This Row],[Dettes]]/Tableau3[[#This Row],[EBE]])),"")</f>
        <v/>
      </c>
      <c r="V174" s="190" t="str">
        <f>IFERROR(Tableau3[[#This Row],[Fonds propres]]/Tableau3[[#This Row],[Total Bilan]],"")</f>
        <v/>
      </c>
      <c r="W174" s="180"/>
      <c r="X174" s="191"/>
      <c r="Y174" s="180"/>
      <c r="Z174" s="192" t="str">
        <f>IFERROR(Tableau3[[#This Row],[Chiffre d''affaires]]/Tableau3[[#This Row],[Salariés]],"")</f>
        <v/>
      </c>
      <c r="AA174" s="197"/>
      <c r="AB174" s="197"/>
      <c r="AC174" s="177" t="s">
        <v>193</v>
      </c>
    </row>
    <row r="175" spans="1:29" ht="20.25" customHeight="1">
      <c r="A175" s="217"/>
      <c r="E175" s="187"/>
      <c r="G175" s="188"/>
      <c r="H175" s="188"/>
      <c r="I175" s="188"/>
      <c r="J175" s="188"/>
      <c r="K175" s="188"/>
      <c r="L175" s="188"/>
      <c r="M175" s="194"/>
      <c r="N175" s="190"/>
      <c r="O175" s="190"/>
      <c r="P175" s="188"/>
      <c r="Q175" s="188"/>
      <c r="R175" s="195"/>
      <c r="S175" s="197"/>
      <c r="T175" s="180"/>
      <c r="U175" s="189" t="str">
        <f>IFERROR(IF(Tableau3[[#This Row],[Dettes]]=0,"",(Tableau3[[#This Row],[Dettes]]/Tableau3[[#This Row],[EBE]])),"")</f>
        <v/>
      </c>
      <c r="V175" s="190" t="str">
        <f>IFERROR(Tableau3[[#This Row],[Fonds propres]]/Tableau3[[#This Row],[Total Bilan]],"")</f>
        <v/>
      </c>
      <c r="W175" s="180"/>
      <c r="X175" s="191"/>
      <c r="Y175" s="180"/>
      <c r="Z175" s="192" t="str">
        <f>IFERROR(Tableau3[[#This Row],[Chiffre d''affaires]]/Tableau3[[#This Row],[Salariés]],"")</f>
        <v/>
      </c>
      <c r="AA175" s="197"/>
      <c r="AB175" s="197"/>
    </row>
    <row r="176" spans="1:29" ht="20.25" customHeight="1">
      <c r="A176" s="217"/>
      <c r="E176" s="187"/>
      <c r="G176" s="188"/>
      <c r="H176" s="188"/>
      <c r="I176" s="188"/>
      <c r="J176" s="188"/>
      <c r="K176" s="188"/>
      <c r="L176" s="188"/>
      <c r="M176" s="194"/>
      <c r="N176" s="190"/>
      <c r="O176" s="190"/>
      <c r="P176" s="188"/>
      <c r="Q176" s="188"/>
      <c r="R176" s="195"/>
      <c r="S176" s="197"/>
      <c r="T176" s="180"/>
      <c r="U176" s="189" t="str">
        <f>IFERROR(IF(Tableau3[[#This Row],[Dettes]]=0,"",(Tableau3[[#This Row],[Dettes]]/Tableau3[[#This Row],[EBE]])),"")</f>
        <v/>
      </c>
      <c r="V176" s="190" t="str">
        <f>IFERROR(Tableau3[[#This Row],[Fonds propres]]/Tableau3[[#This Row],[Total Bilan]],"")</f>
        <v/>
      </c>
      <c r="W176" s="180"/>
      <c r="X176" s="191"/>
      <c r="Y176" s="180"/>
      <c r="Z176" s="192" t="str">
        <f>IFERROR(Tableau3[[#This Row],[Chiffre d''affaires]]/Tableau3[[#This Row],[Salariés]],"")</f>
        <v/>
      </c>
      <c r="AA176" s="197"/>
      <c r="AB176" s="197"/>
    </row>
    <row r="177" spans="1:29" ht="20.25" customHeight="1">
      <c r="A177" s="217" t="s">
        <v>4617</v>
      </c>
      <c r="B177" s="216" t="s">
        <v>164</v>
      </c>
      <c r="C177" s="178" t="s">
        <v>99</v>
      </c>
      <c r="D177" s="178" t="s">
        <v>100</v>
      </c>
      <c r="E177" s="187"/>
      <c r="F177" s="178">
        <v>2025</v>
      </c>
      <c r="G177" s="188"/>
      <c r="H177" s="188"/>
      <c r="I177" s="188"/>
      <c r="J177" s="188"/>
      <c r="K177" s="188"/>
      <c r="L177" s="188"/>
      <c r="M177" s="194"/>
      <c r="N177" s="190"/>
      <c r="O177" s="190"/>
      <c r="P177" s="188"/>
      <c r="Q177" s="188"/>
      <c r="R177" s="195"/>
      <c r="S177" s="197"/>
      <c r="T177" s="180"/>
      <c r="U177" s="189" t="str">
        <f>IFERROR(IF(Tableau3[[#This Row],[Dettes]]=0,"",(Tableau3[[#This Row],[Dettes]]/Tableau3[[#This Row],[EBE]])),"")</f>
        <v/>
      </c>
      <c r="V177" s="190" t="str">
        <f>IFERROR(Tableau3[[#This Row],[Fonds propres]]/Tableau3[[#This Row],[Total Bilan]],"")</f>
        <v/>
      </c>
      <c r="W177" s="180"/>
      <c r="X177" s="191"/>
      <c r="Y177" s="180"/>
      <c r="Z177" s="192" t="str">
        <f>IFERROR(Tableau3[[#This Row],[Chiffre d''affaires]]/Tableau3[[#This Row],[Salariés]],"")</f>
        <v/>
      </c>
      <c r="AA177" s="197"/>
      <c r="AB177" s="197"/>
      <c r="AC177" s="6" t="s">
        <v>5082</v>
      </c>
    </row>
    <row r="178" spans="1:29" ht="20.25" customHeight="1">
      <c r="A178" s="217"/>
      <c r="E178" s="187"/>
      <c r="G178" s="188"/>
      <c r="H178" s="188"/>
      <c r="I178" s="188"/>
      <c r="J178" s="188"/>
      <c r="K178" s="188"/>
      <c r="L178" s="188"/>
      <c r="M178" s="194"/>
      <c r="N178" s="190"/>
      <c r="O178" s="190"/>
      <c r="P178" s="188"/>
      <c r="Q178" s="188"/>
      <c r="R178" s="195"/>
      <c r="S178" s="197"/>
      <c r="T178" s="180"/>
      <c r="U178" s="189" t="str">
        <f>IFERROR(IF(Tableau3[[#This Row],[Dettes]]=0,"",(Tableau3[[#This Row],[Dettes]]/Tableau3[[#This Row],[EBE]])),"")</f>
        <v/>
      </c>
      <c r="V178" s="190" t="str">
        <f>IFERROR(Tableau3[[#This Row],[Fonds propres]]/Tableau3[[#This Row],[Total Bilan]],"")</f>
        <v/>
      </c>
      <c r="W178" s="180"/>
      <c r="X178" s="191"/>
      <c r="Y178" s="180"/>
      <c r="Z178" s="192" t="str">
        <f>IFERROR(Tableau3[[#This Row],[Chiffre d''affaires]]/Tableau3[[#This Row],[Salariés]],"")</f>
        <v/>
      </c>
      <c r="AA178" s="197"/>
      <c r="AB178" s="197"/>
      <c r="AC178" s="6" t="s">
        <v>4637</v>
      </c>
    </row>
    <row r="179" spans="1:29" ht="20.25" customHeight="1">
      <c r="A179" s="217"/>
      <c r="E179" s="187">
        <v>215.8</v>
      </c>
      <c r="F179" s="178">
        <v>2024</v>
      </c>
      <c r="G179" s="188">
        <v>11760000000</v>
      </c>
      <c r="H179" s="188">
        <v>2269500000</v>
      </c>
      <c r="I179" s="188">
        <v>1720000000</v>
      </c>
      <c r="J179" s="188">
        <v>1250000000</v>
      </c>
      <c r="K179" s="188"/>
      <c r="L179" s="188">
        <v>7050000000</v>
      </c>
      <c r="M179" s="194">
        <f t="shared" ref="M179" si="24">L179/P179</f>
        <v>43.919760777473215</v>
      </c>
      <c r="N179" s="190">
        <f t="shared" ref="N179" si="25">J179/L181</f>
        <v>0.21114864864864866</v>
      </c>
      <c r="O179" s="190">
        <f t="shared" ref="O179" si="26">(I179*0.72)/(K181+L181)</f>
        <v>0.20918918918918919</v>
      </c>
      <c r="P179" s="188">
        <v>160520000</v>
      </c>
      <c r="Q179" s="188">
        <f>P179*E179</f>
        <v>34640216000</v>
      </c>
      <c r="R179" s="195">
        <f>Q179/L179</f>
        <v>4.9135058156028366</v>
      </c>
      <c r="S179" s="197">
        <f t="shared" ref="S179" si="27">(Q179+K179)/H179</f>
        <v>15.2633690240141</v>
      </c>
      <c r="T179" s="180"/>
      <c r="U179" s="189" t="str">
        <f>IFERROR(IF(Tableau3[[#This Row],[Dettes]]=0,"",(Tableau3[[#This Row],[Dettes]]/Tableau3[[#This Row],[EBE]])),"")</f>
        <v/>
      </c>
      <c r="V179" s="190">
        <f>IFERROR(Tableau3[[#This Row],[Fonds propres]]/Tableau3[[#This Row],[Total Bilan]],"")</f>
        <v>0.43464858199753392</v>
      </c>
      <c r="W179" s="180">
        <v>16220000000</v>
      </c>
      <c r="X179" s="191"/>
      <c r="Y179" s="180">
        <v>34480</v>
      </c>
      <c r="Z179" s="192">
        <f>IFERROR(Tableau3[[#This Row],[Chiffre d''affaires]]/Tableau3[[#This Row],[Salariés]],"")</f>
        <v>341067.28538283065</v>
      </c>
      <c r="AA179" s="197"/>
      <c r="AB179" s="197"/>
      <c r="AC179" s="6" t="s">
        <v>4638</v>
      </c>
    </row>
    <row r="180" spans="1:29" ht="20.25" customHeight="1">
      <c r="A180" s="217"/>
      <c r="E180" s="187"/>
      <c r="G180" s="202">
        <f>(G179/G181)-1</f>
        <v>4.6356437405463025E-2</v>
      </c>
      <c r="H180" s="203">
        <f>(H179/H181)-1</f>
        <v>0.13588588588588579</v>
      </c>
      <c r="I180" s="203">
        <f>(H179/H181)-1</f>
        <v>0.13588588588588579</v>
      </c>
      <c r="J180" s="203">
        <f>(J179/J181)-1</f>
        <v>0.17702448210922794</v>
      </c>
      <c r="K180" s="188"/>
      <c r="L180" s="188"/>
      <c r="M180" s="194"/>
      <c r="N180" s="190"/>
      <c r="O180" s="190"/>
      <c r="P180" s="188"/>
      <c r="Q180" s="188"/>
      <c r="R180" s="195"/>
      <c r="S180" s="197"/>
      <c r="T180" s="180"/>
      <c r="U180" s="189" t="str">
        <f>IFERROR(IF(Tableau3[[#This Row],[Dettes]]=0,"",(Tableau3[[#This Row],[Dettes]]/Tableau3[[#This Row],[EBE]])),"")</f>
        <v/>
      </c>
      <c r="V180" s="190" t="str">
        <f>IFERROR(Tableau3[[#This Row],[Fonds propres]]/Tableau3[[#This Row],[Total Bilan]],"")</f>
        <v/>
      </c>
      <c r="W180" s="180"/>
      <c r="X180" s="191"/>
      <c r="Y180" s="180"/>
      <c r="Z180" s="192" t="str">
        <f>IFERROR(Tableau3[[#This Row],[Chiffre d''affaires]]/Tableau3[[#This Row],[Salariés]],"")</f>
        <v/>
      </c>
      <c r="AA180" s="197"/>
      <c r="AB180" s="197"/>
      <c r="AC180" s="6" t="s">
        <v>5083</v>
      </c>
    </row>
    <row r="181" spans="1:29" ht="20.25" customHeight="1">
      <c r="A181" s="217"/>
      <c r="E181" s="187">
        <v>273.7</v>
      </c>
      <c r="F181" s="178">
        <v>2023</v>
      </c>
      <c r="G181" s="188">
        <v>11239000000</v>
      </c>
      <c r="H181" s="188">
        <v>1998000000</v>
      </c>
      <c r="I181" s="188">
        <v>1559000000</v>
      </c>
      <c r="J181" s="188">
        <v>1062000000</v>
      </c>
      <c r="K181" s="188"/>
      <c r="L181" s="188">
        <v>5920000000</v>
      </c>
      <c r="M181" s="194">
        <f t="shared" ref="M181" si="28">L181/P181</f>
        <v>36.889494521888253</v>
      </c>
      <c r="N181" s="190">
        <f t="shared" ref="N181" si="29">J181/L183</f>
        <v>0.21385420861860652</v>
      </c>
      <c r="O181" s="190">
        <f t="shared" ref="O181" si="30">(I181*0.72)/(K183+L183)</f>
        <v>0.22603302456705598</v>
      </c>
      <c r="P181" s="188">
        <v>160479293</v>
      </c>
      <c r="Q181" s="188">
        <f>P181*E181</f>
        <v>43923182494.099998</v>
      </c>
      <c r="R181" s="195">
        <f>Q181/L181</f>
        <v>7.4194565023817569</v>
      </c>
      <c r="S181" s="197">
        <f t="shared" ref="S181" si="31">(Q181+K181)/H181</f>
        <v>21.983574821871873</v>
      </c>
      <c r="T181" s="180"/>
      <c r="U181" s="189" t="str">
        <f>IFERROR(IF(Tableau3[[#This Row],[Dettes]]=0,"",(Tableau3[[#This Row],[Dettes]]/Tableau3[[#This Row],[EBE]])),"")</f>
        <v/>
      </c>
      <c r="V181" s="190">
        <f>IFERROR(Tableau3[[#This Row],[Fonds propres]]/Tableau3[[#This Row],[Total Bilan]],"")</f>
        <v>0.39332934688725002</v>
      </c>
      <c r="W181" s="180">
        <v>15051000000</v>
      </c>
      <c r="X181" s="191"/>
      <c r="Y181" s="180">
        <v>33547</v>
      </c>
      <c r="Z181" s="192">
        <f>IFERROR(Tableau3[[#This Row],[Chiffre d''affaires]]/Tableau3[[#This Row],[Salariés]],"")</f>
        <v>335022.50573821802</v>
      </c>
      <c r="AA181" s="197"/>
      <c r="AB181" s="197"/>
      <c r="AC181" s="6" t="s">
        <v>3152</v>
      </c>
    </row>
    <row r="182" spans="1:29" ht="20.25" customHeight="1">
      <c r="A182" s="217"/>
      <c r="E182" s="187"/>
      <c r="G182" s="202">
        <f>(G181/G183)-1</f>
        <v>7.1401334604385136E-2</v>
      </c>
      <c r="H182" s="203">
        <f>(H181/H183)-1</f>
        <v>2.8836251287332582E-2</v>
      </c>
      <c r="I182" s="203">
        <f>(H181/H183)-1</f>
        <v>2.8836251287332582E-2</v>
      </c>
      <c r="J182" s="203">
        <f>(J181/J183)-1</f>
        <v>-8.68443680137575E-2</v>
      </c>
      <c r="K182" s="188"/>
      <c r="L182" s="188"/>
      <c r="M182" s="194"/>
      <c r="N182" s="190"/>
      <c r="O182" s="190"/>
      <c r="P182" s="188"/>
      <c r="Q182" s="188"/>
      <c r="R182" s="195"/>
      <c r="S182" s="188"/>
      <c r="T182" s="180"/>
      <c r="U182" s="189" t="str">
        <f>IFERROR(IF(Tableau3[[#This Row],[Dettes]]=0,"",(Tableau3[[#This Row],[Dettes]]/Tableau3[[#This Row],[EBE]])),"")</f>
        <v/>
      </c>
      <c r="V182" s="190" t="str">
        <f>IFERROR(Tableau3[[#This Row],[Fonds propres]]/Tableau3[[#This Row],[Total Bilan]],"")</f>
        <v/>
      </c>
      <c r="W182" s="180"/>
      <c r="X182" s="191"/>
      <c r="Y182" s="180"/>
      <c r="Z182" s="192" t="str">
        <f>IFERROR(Tableau3[[#This Row],[Chiffre d''affaires]]/Tableau3[[#This Row],[Salariés]],"")</f>
        <v/>
      </c>
      <c r="AA182" s="197"/>
      <c r="AB182" s="197"/>
      <c r="AC182" s="216" t="s">
        <v>3034</v>
      </c>
    </row>
    <row r="183" spans="1:29" ht="20.25" customHeight="1">
      <c r="A183" s="217"/>
      <c r="E183" s="187">
        <v>221.7</v>
      </c>
      <c r="F183" s="178">
        <v>2022</v>
      </c>
      <c r="G183" s="188">
        <v>10490000000</v>
      </c>
      <c r="H183" s="188">
        <v>1942000000</v>
      </c>
      <c r="I183" s="188">
        <v>1580000000</v>
      </c>
      <c r="J183" s="188">
        <v>1163000000</v>
      </c>
      <c r="K183" s="188"/>
      <c r="L183" s="188">
        <v>4966000000</v>
      </c>
      <c r="M183" s="194">
        <f t="shared" ref="M183" si="32">L183/P183</f>
        <v>30.943516803588302</v>
      </c>
      <c r="N183" s="190">
        <f t="shared" ref="N183" si="33">J183/L185</f>
        <v>0.26467910787437415</v>
      </c>
      <c r="O183" s="190">
        <f t="shared" ref="O183" si="34">(I183*0.72)/(K185+L185)</f>
        <v>0.2588984979517524</v>
      </c>
      <c r="P183" s="188">
        <v>160485960</v>
      </c>
      <c r="Q183" s="188">
        <f t="shared" ref="Q183" si="35">P183*E183</f>
        <v>35579737332</v>
      </c>
      <c r="R183" s="195">
        <f t="shared" ref="R183" si="36">Q183/L183</f>
        <v>7.1646672033830043</v>
      </c>
      <c r="S183" s="197">
        <f t="shared" ref="S183" si="37">(Q183+K183)/H183</f>
        <v>18.321182972193615</v>
      </c>
      <c r="T183" s="180"/>
      <c r="U183" s="189" t="str">
        <f>IFERROR(IF(Tableau3[[#This Row],[Dettes]]=0,"",(Tableau3[[#This Row],[Dettes]]/Tableau3[[#This Row],[EBE]])),"")</f>
        <v/>
      </c>
      <c r="V183" s="190">
        <f>IFERROR(Tableau3[[#This Row],[Fonds propres]]/Tableau3[[#This Row],[Total Bilan]],"")</f>
        <v>0.43873133669052039</v>
      </c>
      <c r="W183" s="180">
        <v>11319000000</v>
      </c>
      <c r="X183" s="191"/>
      <c r="Y183" s="180">
        <v>27708</v>
      </c>
      <c r="Z183" s="192">
        <f>IFERROR(Tableau3[[#This Row],[Chiffre d''affaires]]/Tableau3[[#This Row],[Salariés]],"")</f>
        <v>378591.02064385737</v>
      </c>
      <c r="AA183" s="197"/>
      <c r="AB183" s="197"/>
      <c r="AC183" s="177" t="s">
        <v>3035</v>
      </c>
    </row>
    <row r="184" spans="1:29" ht="20.25" customHeight="1">
      <c r="A184" s="217"/>
      <c r="E184" s="187"/>
      <c r="G184" s="202">
        <f>(G183/G185)-1</f>
        <v>0.13380890618244701</v>
      </c>
      <c r="H184" s="203">
        <f>(H183/H185)-1</f>
        <v>0.10403638430926665</v>
      </c>
      <c r="I184" s="203">
        <f>(H183/H185)-1</f>
        <v>0.10403638430926665</v>
      </c>
      <c r="J184" s="203">
        <f>(J183/J185)-1</f>
        <v>0.10973282442748089</v>
      </c>
      <c r="K184" s="188"/>
      <c r="L184" s="188"/>
      <c r="M184" s="194"/>
      <c r="N184" s="190"/>
      <c r="O184" s="190"/>
      <c r="P184" s="188"/>
      <c r="Q184" s="188"/>
      <c r="R184" s="195"/>
      <c r="S184" s="188"/>
      <c r="T184" s="180"/>
      <c r="U184" s="189" t="str">
        <f>IFERROR(IF(Tableau3[[#This Row],[Dettes]]=0,"",(Tableau3[[#This Row],[Dettes]]/Tableau3[[#This Row],[EBE]])),"")</f>
        <v/>
      </c>
      <c r="V184" s="190" t="str">
        <f>IFERROR(Tableau3[[#This Row],[Fonds propres]]/Tableau3[[#This Row],[Total Bilan]],"")</f>
        <v/>
      </c>
      <c r="W184" s="180"/>
      <c r="X184" s="191"/>
      <c r="Y184" s="180"/>
      <c r="Z184" s="192" t="str">
        <f>IFERROR(Tableau3[[#This Row],[Chiffre d''affaires]]/Tableau3[[#This Row],[Salariés]],"")</f>
        <v/>
      </c>
      <c r="AA184" s="197"/>
      <c r="AB184" s="197"/>
      <c r="AC184" s="177" t="s">
        <v>3153</v>
      </c>
    </row>
    <row r="185" spans="1:29" ht="20.25" customHeight="1">
      <c r="A185" s="217"/>
      <c r="E185" s="187">
        <v>380.2</v>
      </c>
      <c r="F185" s="178">
        <v>2021</v>
      </c>
      <c r="G185" s="188">
        <v>9252000000</v>
      </c>
      <c r="H185" s="188">
        <v>1759000000</v>
      </c>
      <c r="I185" s="188">
        <v>1391000000</v>
      </c>
      <c r="J185" s="188">
        <v>1048000000</v>
      </c>
      <c r="K185" s="188"/>
      <c r="L185" s="188">
        <v>4394000000</v>
      </c>
      <c r="M185" s="194">
        <f t="shared" ref="M185" si="38">L185/P185</f>
        <v>27.413628354051813</v>
      </c>
      <c r="N185" s="190">
        <f t="shared" ref="N185" si="39">J185/L187</f>
        <v>0.31892878880097381</v>
      </c>
      <c r="O185" s="190">
        <f t="shared" ref="O185" si="40">(I185*0.72)/(K187+L187)</f>
        <v>0.30478393183201463</v>
      </c>
      <c r="P185" s="188">
        <v>160285240</v>
      </c>
      <c r="Q185" s="188">
        <f t="shared" ref="Q185" si="41">P185*E185</f>
        <v>60940448248</v>
      </c>
      <c r="R185" s="195">
        <f t="shared" ref="R185" si="42">Q185/L185</f>
        <v>13.869014166590805</v>
      </c>
      <c r="S185" s="197">
        <f t="shared" ref="S185" si="43">(Q185+K185)/H185</f>
        <v>34.644939310972141</v>
      </c>
      <c r="T185" s="180"/>
      <c r="U185" s="189" t="str">
        <f>IFERROR(IF(Tableau3[[#This Row],[Dettes]]=0,"",(Tableau3[[#This Row],[Dettes]]/Tableau3[[#This Row],[EBE]])),"")</f>
        <v/>
      </c>
      <c r="V185" s="190">
        <f>IFERROR(Tableau3[[#This Row],[Fonds propres]]/Tableau3[[#This Row],[Total Bilan]],"")</f>
        <v>0.41038572896236108</v>
      </c>
      <c r="W185" s="180">
        <v>10707000000</v>
      </c>
      <c r="X185" s="191"/>
      <c r="Y185" s="180">
        <v>27059</v>
      </c>
      <c r="Z185" s="192">
        <f>IFERROR(Tableau3[[#This Row],[Chiffre d''affaires]]/Tableau3[[#This Row],[Salariés]],"")</f>
        <v>341919.50922059204</v>
      </c>
      <c r="AA185" s="197"/>
      <c r="AB185" s="197"/>
      <c r="AC185" s="177" t="s">
        <v>4639</v>
      </c>
    </row>
    <row r="186" spans="1:29" ht="20.25" customHeight="1">
      <c r="A186" s="217"/>
      <c r="E186" s="187"/>
      <c r="G186" s="202">
        <f>(G185/G187)-1</f>
        <v>0.17440974866717451</v>
      </c>
      <c r="H186" s="203">
        <f>(H185/H187)-1</f>
        <v>0.18451178451178452</v>
      </c>
      <c r="I186" s="203">
        <f>(H185/H187)-1</f>
        <v>0.18451178451178452</v>
      </c>
      <c r="J186" s="203">
        <f>(J185/J187)-1</f>
        <v>0.27107337780473006</v>
      </c>
      <c r="K186" s="188"/>
      <c r="L186" s="188"/>
      <c r="M186" s="194"/>
      <c r="N186" s="190"/>
      <c r="O186" s="190"/>
      <c r="P186" s="188"/>
      <c r="Q186" s="188"/>
      <c r="R186" s="195"/>
      <c r="S186" s="188"/>
      <c r="T186" s="180"/>
      <c r="U186" s="189" t="str">
        <f>IFERROR(IF(Tableau3[[#This Row],[Dettes]]=0,"",(Tableau3[[#This Row],[Dettes]]/Tableau3[[#This Row],[EBE]])),"")</f>
        <v/>
      </c>
      <c r="V186" s="190" t="str">
        <f>IFERROR(Tableau3[[#This Row],[Fonds propres]]/Tableau3[[#This Row],[Total Bilan]],"")</f>
        <v/>
      </c>
      <c r="W186" s="180"/>
      <c r="X186" s="191"/>
      <c r="Y186" s="180"/>
      <c r="Z186" s="192" t="str">
        <f>IFERROR(Tableau3[[#This Row],[Chiffre d''affaires]]/Tableau3[[#This Row],[Salariés]],"")</f>
        <v/>
      </c>
      <c r="AA186" s="197"/>
      <c r="AB186" s="197"/>
      <c r="AC186" s="177" t="s">
        <v>3037</v>
      </c>
    </row>
    <row r="187" spans="1:29" ht="20.25" customHeight="1">
      <c r="A187" s="217"/>
      <c r="E187" s="187">
        <v>241.8</v>
      </c>
      <c r="F187" s="178">
        <v>2020</v>
      </c>
      <c r="G187" s="188">
        <v>7878000000</v>
      </c>
      <c r="H187" s="188">
        <v>1485000000</v>
      </c>
      <c r="I187" s="188">
        <v>1131000000</v>
      </c>
      <c r="J187" s="188">
        <v>824500000</v>
      </c>
      <c r="K187" s="188"/>
      <c r="L187" s="188">
        <v>3286000000</v>
      </c>
      <c r="M187" s="194">
        <f t="shared" ref="M187" si="44">L187/P187</f>
        <v>20.532682519363895</v>
      </c>
      <c r="N187" s="190">
        <f t="shared" ref="N187" si="45">J187/L189</f>
        <v>0.26392445582586427</v>
      </c>
      <c r="O187" s="190">
        <f t="shared" ref="O187" si="46">(I187*0.72)/(K189+L189)</f>
        <v>0.26066581306017927</v>
      </c>
      <c r="P187" s="188">
        <v>160037540</v>
      </c>
      <c r="Q187" s="188">
        <f t="shared" ref="Q187" si="47">P187*E187</f>
        <v>38697077172</v>
      </c>
      <c r="R187" s="195">
        <f t="shared" ref="R187" si="48">Q187/L187</f>
        <v>11.776347283018868</v>
      </c>
      <c r="S187" s="197">
        <f t="shared" ref="S187" si="49">(Q187+K187)/H187</f>
        <v>26.058637826262625</v>
      </c>
      <c r="T187" s="180"/>
      <c r="U187" s="189" t="str">
        <f>IFERROR(IF(Tableau3[[#This Row],[Dettes]]=0,"",(Tableau3[[#This Row],[Dettes]]/Tableau3[[#This Row],[EBE]])),"")</f>
        <v/>
      </c>
      <c r="V187" s="190">
        <f>IFERROR(Tableau3[[#This Row],[Fonds propres]]/Tableau3[[#This Row],[Total Bilan]],"")</f>
        <v>0.33551153767612824</v>
      </c>
      <c r="W187" s="180">
        <v>9794000000</v>
      </c>
      <c r="X187" s="191"/>
      <c r="Y187" s="180">
        <v>24848</v>
      </c>
      <c r="Z187" s="192">
        <f>IFERROR(Tableau3[[#This Row],[Chiffre d''affaires]]/Tableau3[[#This Row],[Salariés]],"")</f>
        <v>317047.64971023827</v>
      </c>
      <c r="AA187" s="197"/>
      <c r="AB187" s="197"/>
      <c r="AC187" s="177" t="s">
        <v>457</v>
      </c>
    </row>
    <row r="188" spans="1:29" ht="20.25" customHeight="1">
      <c r="A188" s="217"/>
      <c r="E188" s="187"/>
      <c r="G188" s="202">
        <f>(G187/G189)-1</f>
        <v>-2.8486866444691117E-2</v>
      </c>
      <c r="H188" s="203">
        <f>(H187/H189)-1</f>
        <v>9.3519882179675884E-2</v>
      </c>
      <c r="I188" s="203">
        <f>(H187/H189)-1</f>
        <v>9.3519882179675884E-2</v>
      </c>
      <c r="J188" s="203">
        <f>(J187/J189)-1</f>
        <v>9.6555393004388979E-2</v>
      </c>
      <c r="K188" s="188"/>
      <c r="L188" s="188"/>
      <c r="M188" s="194"/>
      <c r="N188" s="190"/>
      <c r="O188" s="190"/>
      <c r="P188" s="188"/>
      <c r="Q188" s="188"/>
      <c r="R188" s="195"/>
      <c r="S188" s="188"/>
      <c r="T188" s="180"/>
      <c r="U188" s="189" t="str">
        <f>IFERROR(IF(Tableau3[[#This Row],[Dettes]]=0,"",(Tableau3[[#This Row],[Dettes]]/Tableau3[[#This Row],[EBE]])),"")</f>
        <v/>
      </c>
      <c r="V188" s="190" t="str">
        <f>IFERROR(Tableau3[[#This Row],[Fonds propres]]/Tableau3[[#This Row],[Total Bilan]],"")</f>
        <v/>
      </c>
      <c r="W188" s="180"/>
      <c r="X188" s="191"/>
      <c r="Y188" s="180"/>
      <c r="Z188" s="192" t="str">
        <f>IFERROR(Tableau3[[#This Row],[Chiffre d''affaires]]/Tableau3[[#This Row],[Salariés]],"")</f>
        <v/>
      </c>
      <c r="AA188" s="197"/>
      <c r="AB188" s="197"/>
      <c r="AC188" s="177" t="s">
        <v>3154</v>
      </c>
    </row>
    <row r="189" spans="1:29" ht="20.25" customHeight="1">
      <c r="A189" s="217"/>
      <c r="E189" s="187">
        <v>181.8</v>
      </c>
      <c r="F189" s="178">
        <v>2019</v>
      </c>
      <c r="G189" s="188">
        <v>8109000000</v>
      </c>
      <c r="H189" s="188">
        <v>1358000000</v>
      </c>
      <c r="I189" s="188">
        <v>1055000000</v>
      </c>
      <c r="J189" s="188">
        <v>751900000</v>
      </c>
      <c r="K189" s="188"/>
      <c r="L189" s="188">
        <v>3124000000</v>
      </c>
      <c r="M189" s="194">
        <f>L189/P189</f>
        <v>19.68314087382069</v>
      </c>
      <c r="N189" s="190">
        <f>J189/L191</f>
        <v>0.45680437424058323</v>
      </c>
      <c r="O189" s="190">
        <f t="shared" ref="O189" si="50">(I189*0.72)/(K191+L191)</f>
        <v>0.4614823815309842</v>
      </c>
      <c r="P189" s="188">
        <v>158714507</v>
      </c>
      <c r="Q189" s="188">
        <f t="shared" ref="Q189" si="51">P189*E189</f>
        <v>28854297372.600002</v>
      </c>
      <c r="R189" s="195">
        <f t="shared" ref="R189" si="52">Q189/L189</f>
        <v>9.2363307850832275</v>
      </c>
      <c r="S189" s="197">
        <f t="shared" ref="S189" si="53">(Q189+K189)/H189</f>
        <v>21.247641658762888</v>
      </c>
      <c r="T189" s="180"/>
      <c r="U189" s="189" t="str">
        <f>IFERROR(IF(Tableau3[[#This Row],[Dettes]]=0,"",(Tableau3[[#This Row],[Dettes]]/Tableau3[[#This Row],[EBE]])),"")</f>
        <v/>
      </c>
      <c r="V189" s="190">
        <f>IFERROR(Tableau3[[#This Row],[Fonds propres]]/Tableau3[[#This Row],[Total Bilan]],"")</f>
        <v>0.31365461847389559</v>
      </c>
      <c r="W189" s="180">
        <v>9960000000</v>
      </c>
      <c r="X189" s="191"/>
      <c r="Y189" s="180">
        <v>25141</v>
      </c>
      <c r="Z189" s="192">
        <f>IFERROR(Tableau3[[#This Row],[Chiffre d''affaires]]/Tableau3[[#This Row],[Salariés]],"")</f>
        <v>322540.86949604232</v>
      </c>
      <c r="AA189" s="197"/>
      <c r="AB189" s="197"/>
      <c r="AC189" s="216" t="s">
        <v>3155</v>
      </c>
    </row>
    <row r="190" spans="1:29" ht="20.25" customHeight="1">
      <c r="A190" s="217"/>
      <c r="E190" s="187"/>
      <c r="G190" s="202">
        <f>(G189/G191)-1</f>
        <v>0.14453069865913903</v>
      </c>
      <c r="H190" s="203">
        <f>(H189/H191)-1</f>
        <v>0.20926090828138921</v>
      </c>
      <c r="I190" s="203">
        <f>(H189/H191)-1</f>
        <v>0.20926090828138921</v>
      </c>
      <c r="J190" s="203">
        <f>(J189/J191)-1</f>
        <v>0.10103968370185967</v>
      </c>
      <c r="K190" s="188"/>
      <c r="L190" s="188"/>
      <c r="M190" s="194"/>
      <c r="N190" s="190"/>
      <c r="O190" s="190"/>
      <c r="P190" s="188"/>
      <c r="Q190" s="188"/>
      <c r="R190" s="195"/>
      <c r="S190" s="188"/>
      <c r="T190" s="180"/>
      <c r="U190" s="189" t="str">
        <f>IFERROR(IF(Tableau3[[#This Row],[Dettes]]=0,"",(Tableau3[[#This Row],[Dettes]]/Tableau3[[#This Row],[EBE]])),"")</f>
        <v/>
      </c>
      <c r="V190" s="190" t="str">
        <f>IFERROR(Tableau3[[#This Row],[Fonds propres]]/Tableau3[[#This Row],[Total Bilan]],"")</f>
        <v/>
      </c>
      <c r="W190" s="180"/>
      <c r="X190" s="191"/>
      <c r="Y190" s="180"/>
      <c r="Z190" s="192" t="str">
        <f>IFERROR(Tableau3[[#This Row],[Chiffre d''affaires]]/Tableau3[[#This Row],[Salariés]],"")</f>
        <v/>
      </c>
      <c r="AA190" s="197"/>
      <c r="AB190" s="197"/>
      <c r="AC190" s="216" t="s">
        <v>3156</v>
      </c>
    </row>
    <row r="191" spans="1:29" ht="20.25" customHeight="1">
      <c r="A191" s="217"/>
      <c r="E191" s="187">
        <v>124.6</v>
      </c>
      <c r="F191" s="178">
        <v>2018</v>
      </c>
      <c r="G191" s="188">
        <v>7085000000</v>
      </c>
      <c r="H191" s="188">
        <v>1123000000</v>
      </c>
      <c r="I191" s="188">
        <v>945900000</v>
      </c>
      <c r="J191" s="188">
        <v>682900000</v>
      </c>
      <c r="K191" s="188"/>
      <c r="L191" s="188">
        <v>1646000000</v>
      </c>
      <c r="M191" s="194">
        <f>L191/P191</f>
        <v>10.938795181427494</v>
      </c>
      <c r="N191" s="190"/>
      <c r="O191" s="190"/>
      <c r="P191" s="188">
        <v>150473610</v>
      </c>
      <c r="Q191" s="188">
        <f t="shared" ref="Q191" si="54">P191*E191</f>
        <v>18749011806</v>
      </c>
      <c r="R191" s="195">
        <f t="shared" ref="R191" si="55">Q191/L191</f>
        <v>11.390651157958688</v>
      </c>
      <c r="S191" s="197">
        <f t="shared" ref="S191" si="56">(Q191+K191)/H191</f>
        <v>16.695469105966161</v>
      </c>
      <c r="T191" s="180"/>
      <c r="U191" s="189" t="str">
        <f>IFERROR(IF(Tableau3[[#This Row],[Dettes]]=0,"",(Tableau3[[#This Row],[Dettes]]/Tableau3[[#This Row],[EBE]])),"")</f>
        <v/>
      </c>
      <c r="V191" s="190">
        <f>IFERROR(Tableau3[[#This Row],[Fonds propres]]/Tableau3[[#This Row],[Total Bilan]],"")</f>
        <v>0.25791287997492951</v>
      </c>
      <c r="W191" s="180">
        <v>6382000000</v>
      </c>
      <c r="X191" s="191"/>
      <c r="Y191" s="180">
        <v>20060</v>
      </c>
      <c r="Z191" s="192">
        <f>IFERROR(Tableau3[[#This Row],[Chiffre d''affaires]]/Tableau3[[#This Row],[Salariés]],"")</f>
        <v>353190.42871385842</v>
      </c>
      <c r="AA191" s="197"/>
      <c r="AB191" s="197"/>
      <c r="AC191" s="177" t="s">
        <v>3053</v>
      </c>
    </row>
    <row r="192" spans="1:29" ht="20.25" customHeight="1">
      <c r="A192" s="217"/>
      <c r="E192" s="187"/>
      <c r="G192" s="188"/>
      <c r="H192" s="188"/>
      <c r="I192" s="188"/>
      <c r="J192" s="188"/>
      <c r="K192" s="188"/>
      <c r="L192" s="188"/>
      <c r="M192" s="194"/>
      <c r="N192" s="190"/>
      <c r="O192" s="190"/>
      <c r="P192" s="188"/>
      <c r="Q192" s="188"/>
      <c r="R192" s="195"/>
      <c r="S192" s="188"/>
      <c r="T192" s="180"/>
      <c r="U192" s="189" t="str">
        <f>IFERROR(IF(Tableau3[[#This Row],[Dettes]]=0,"",(Tableau3[[#This Row],[Dettes]]/Tableau3[[#This Row],[EBE]])),"")</f>
        <v/>
      </c>
      <c r="V192" s="190" t="str">
        <f>IFERROR(Tableau3[[#This Row],[Fonds propres]]/Tableau3[[#This Row],[Total Bilan]],"")</f>
        <v/>
      </c>
      <c r="W192" s="180"/>
      <c r="X192" s="191"/>
      <c r="Y192" s="180"/>
      <c r="Z192" s="192" t="str">
        <f>IFERROR(Tableau3[[#This Row],[Chiffre d''affaires]]/Tableau3[[#This Row],[Salariés]],"")</f>
        <v/>
      </c>
      <c r="AA192" s="197"/>
      <c r="AB192" s="197"/>
      <c r="AC192" s="177" t="s">
        <v>3040</v>
      </c>
    </row>
    <row r="193" spans="1:29" ht="20.25" customHeight="1">
      <c r="A193" s="217"/>
      <c r="E193" s="187"/>
      <c r="G193" s="188"/>
      <c r="H193" s="188"/>
      <c r="I193" s="188"/>
      <c r="J193" s="188"/>
      <c r="K193" s="188"/>
      <c r="L193" s="188"/>
      <c r="M193" s="194"/>
      <c r="N193" s="190"/>
      <c r="O193" s="190"/>
      <c r="P193" s="188"/>
      <c r="Q193" s="188"/>
      <c r="R193" s="195"/>
      <c r="S193" s="197"/>
      <c r="T193" s="180"/>
      <c r="U193" s="189" t="str">
        <f>IFERROR(IF(Tableau3[[#This Row],[Dettes]]=0,"",(Tableau3[[#This Row],[Dettes]]/Tableau3[[#This Row],[EBE]])),"")</f>
        <v/>
      </c>
      <c r="V193" s="190" t="str">
        <f>IFERROR(Tableau3[[#This Row],[Fonds propres]]/Tableau3[[#This Row],[Total Bilan]],"")</f>
        <v/>
      </c>
      <c r="W193" s="180"/>
      <c r="X193" s="191"/>
      <c r="Y193" s="180"/>
      <c r="Z193" s="192" t="str">
        <f>IFERROR(Tableau3[[#This Row],[Chiffre d''affaires]]/Tableau3[[#This Row],[Salariés]],"")</f>
        <v/>
      </c>
      <c r="AA193" s="197"/>
      <c r="AB193" s="197"/>
      <c r="AC193" s="216">
        <v>2019</v>
      </c>
    </row>
    <row r="194" spans="1:29" ht="20.25" customHeight="1">
      <c r="A194" s="217"/>
      <c r="E194" s="187"/>
      <c r="G194" s="188"/>
      <c r="H194" s="188"/>
      <c r="I194" s="188"/>
      <c r="J194" s="188"/>
      <c r="K194" s="188"/>
      <c r="L194" s="188"/>
      <c r="M194" s="194"/>
      <c r="N194" s="190"/>
      <c r="O194" s="190"/>
      <c r="P194" s="188"/>
      <c r="Q194" s="188"/>
      <c r="R194" s="195"/>
      <c r="S194" s="197"/>
      <c r="T194" s="180"/>
      <c r="U194" s="189" t="str">
        <f>IFERROR(IF(Tableau3[[#This Row],[Dettes]]=0,"",(Tableau3[[#This Row],[Dettes]]/Tableau3[[#This Row],[EBE]])),"")</f>
        <v/>
      </c>
      <c r="V194" s="190" t="str">
        <f>IFERROR(Tableau3[[#This Row],[Fonds propres]]/Tableau3[[#This Row],[Total Bilan]],"")</f>
        <v/>
      </c>
      <c r="W194" s="180"/>
      <c r="X194" s="191"/>
      <c r="Y194" s="180"/>
      <c r="Z194" s="192" t="str">
        <f>IFERROR(Tableau3[[#This Row],[Chiffre d''affaires]]/Tableau3[[#This Row],[Salariés]],"")</f>
        <v/>
      </c>
      <c r="AA194" s="197"/>
      <c r="AB194" s="197"/>
      <c r="AC194" s="216">
        <v>2020</v>
      </c>
    </row>
    <row r="195" spans="1:29" ht="20.25" customHeight="1">
      <c r="A195" s="217"/>
      <c r="E195" s="187"/>
      <c r="G195" s="188"/>
      <c r="H195" s="188"/>
      <c r="I195" s="188"/>
      <c r="J195" s="188"/>
      <c r="K195" s="188"/>
      <c r="L195" s="188"/>
      <c r="M195" s="194"/>
      <c r="N195" s="190"/>
      <c r="O195" s="190"/>
      <c r="P195" s="188"/>
      <c r="Q195" s="188"/>
      <c r="R195" s="195"/>
      <c r="S195" s="197"/>
      <c r="T195" s="180"/>
      <c r="U195" s="189" t="str">
        <f>IFERROR(IF(Tableau3[[#This Row],[Dettes]]=0,"",(Tableau3[[#This Row],[Dettes]]/Tableau3[[#This Row],[EBE]])),"")</f>
        <v/>
      </c>
      <c r="V195" s="190" t="str">
        <f>IFERROR(Tableau3[[#This Row],[Fonds propres]]/Tableau3[[#This Row],[Total Bilan]],"")</f>
        <v/>
      </c>
      <c r="W195" s="180"/>
      <c r="X195" s="191"/>
      <c r="Y195" s="180"/>
      <c r="Z195" s="192" t="str">
        <f>IFERROR(Tableau3[[#This Row],[Chiffre d''affaires]]/Tableau3[[#This Row],[Salariés]],"")</f>
        <v/>
      </c>
      <c r="AA195" s="197"/>
      <c r="AB195" s="197"/>
      <c r="AC195" s="216">
        <v>2021</v>
      </c>
    </row>
    <row r="196" spans="1:29" ht="20.25" customHeight="1">
      <c r="A196" s="217"/>
      <c r="E196" s="187"/>
      <c r="G196" s="188"/>
      <c r="H196" s="188"/>
      <c r="I196" s="188"/>
      <c r="J196" s="188"/>
      <c r="K196" s="188"/>
      <c r="L196" s="188"/>
      <c r="M196" s="194"/>
      <c r="N196" s="190"/>
      <c r="O196" s="190"/>
      <c r="P196" s="188"/>
      <c r="Q196" s="188"/>
      <c r="R196" s="195"/>
      <c r="S196" s="197"/>
      <c r="T196" s="180"/>
      <c r="U196" s="189" t="str">
        <f>IFERROR(IF(Tableau3[[#This Row],[Dettes]]=0,"",(Tableau3[[#This Row],[Dettes]]/Tableau3[[#This Row],[EBE]])),"")</f>
        <v/>
      </c>
      <c r="V196" s="190" t="str">
        <f>IFERROR(Tableau3[[#This Row],[Fonds propres]]/Tableau3[[#This Row],[Total Bilan]],"")</f>
        <v/>
      </c>
      <c r="W196" s="180"/>
      <c r="X196" s="191"/>
      <c r="Y196" s="180"/>
      <c r="Z196" s="192" t="str">
        <f>IFERROR(Tableau3[[#This Row],[Chiffre d''affaires]]/Tableau3[[#This Row],[Salariés]],"")</f>
        <v/>
      </c>
      <c r="AA196" s="197"/>
      <c r="AB196" s="197"/>
      <c r="AC196" s="216">
        <v>2022</v>
      </c>
    </row>
    <row r="197" spans="1:29" ht="20.25" customHeight="1">
      <c r="A197" s="217"/>
      <c r="E197" s="187"/>
      <c r="G197" s="188"/>
      <c r="H197" s="188"/>
      <c r="I197" s="188"/>
      <c r="J197" s="188"/>
      <c r="K197" s="188"/>
      <c r="L197" s="188"/>
      <c r="M197" s="194"/>
      <c r="N197" s="190"/>
      <c r="O197" s="190"/>
      <c r="P197" s="188"/>
      <c r="Q197" s="188"/>
      <c r="R197" s="195"/>
      <c r="S197" s="197"/>
      <c r="T197" s="180"/>
      <c r="U197" s="189" t="str">
        <f>IFERROR(IF(Tableau3[[#This Row],[Dettes]]=0,"",(Tableau3[[#This Row],[Dettes]]/Tableau3[[#This Row],[EBE]])),"")</f>
        <v/>
      </c>
      <c r="V197" s="190" t="str">
        <f>IFERROR(Tableau3[[#This Row],[Fonds propres]]/Tableau3[[#This Row],[Total Bilan]],"")</f>
        <v/>
      </c>
      <c r="W197" s="180"/>
      <c r="X197" s="191"/>
      <c r="Y197" s="180"/>
      <c r="Z197" s="192" t="str">
        <f>IFERROR(Tableau3[[#This Row],[Chiffre d''affaires]]/Tableau3[[#This Row],[Salariés]],"")</f>
        <v/>
      </c>
      <c r="AA197" s="197"/>
      <c r="AB197" s="197"/>
      <c r="AC197" s="216" t="s">
        <v>4641</v>
      </c>
    </row>
    <row r="198" spans="1:29" ht="20.25" customHeight="1">
      <c r="A198" s="217"/>
      <c r="E198" s="187"/>
      <c r="G198" s="188"/>
      <c r="H198" s="188"/>
      <c r="I198" s="188"/>
      <c r="J198" s="188"/>
      <c r="K198" s="188"/>
      <c r="L198" s="188"/>
      <c r="M198" s="194"/>
      <c r="N198" s="190"/>
      <c r="O198" s="190"/>
      <c r="P198" s="188"/>
      <c r="Q198" s="188"/>
      <c r="R198" s="195"/>
      <c r="S198" s="197"/>
      <c r="T198" s="180"/>
      <c r="U198" s="189" t="str">
        <f>IFERROR(IF(Tableau3[[#This Row],[Dettes]]=0,"",(Tableau3[[#This Row],[Dettes]]/Tableau3[[#This Row],[EBE]])),"")</f>
        <v/>
      </c>
      <c r="V198" s="190" t="str">
        <f>IFERROR(Tableau3[[#This Row],[Fonds propres]]/Tableau3[[#This Row],[Total Bilan]],"")</f>
        <v/>
      </c>
      <c r="W198" s="180"/>
      <c r="X198" s="191"/>
      <c r="Y198" s="180"/>
      <c r="Z198" s="192" t="str">
        <f>IFERROR(Tableau3[[#This Row],[Chiffre d''affaires]]/Tableau3[[#This Row],[Salariés]],"")</f>
        <v/>
      </c>
      <c r="AA198" s="197"/>
      <c r="AB198" s="197"/>
      <c r="AC198" s="216">
        <v>2024</v>
      </c>
    </row>
    <row r="199" spans="1:29" ht="20.25" customHeight="1">
      <c r="A199" s="217"/>
      <c r="E199" s="187"/>
      <c r="G199" s="188"/>
      <c r="H199" s="188"/>
      <c r="I199" s="188"/>
      <c r="J199" s="188"/>
      <c r="K199" s="188"/>
      <c r="L199" s="188"/>
      <c r="M199" s="194"/>
      <c r="N199" s="190"/>
      <c r="O199" s="190"/>
      <c r="P199" s="188"/>
      <c r="Q199" s="188"/>
      <c r="R199" s="195"/>
      <c r="S199" s="197"/>
      <c r="T199" s="180"/>
      <c r="U199" s="189" t="str">
        <f>IFERROR(IF(Tableau3[[#This Row],[Dettes]]=0,"",(Tableau3[[#This Row],[Dettes]]/Tableau3[[#This Row],[EBE]])),"")</f>
        <v/>
      </c>
      <c r="V199" s="190" t="str">
        <f>IFERROR(Tableau3[[#This Row],[Fonds propres]]/Tableau3[[#This Row],[Total Bilan]],"")</f>
        <v/>
      </c>
      <c r="W199" s="180"/>
      <c r="X199" s="191"/>
      <c r="Y199" s="180"/>
      <c r="Z199" s="192" t="str">
        <f>IFERROR(Tableau3[[#This Row],[Chiffre d''affaires]]/Tableau3[[#This Row],[Salariés]],"")</f>
        <v/>
      </c>
      <c r="AA199" s="197"/>
      <c r="AB199" s="197"/>
      <c r="AC199" s="177" t="s">
        <v>3157</v>
      </c>
    </row>
    <row r="200" spans="1:29" ht="20.25" customHeight="1">
      <c r="A200" s="217"/>
      <c r="E200" s="187"/>
      <c r="G200" s="188"/>
      <c r="H200" s="188"/>
      <c r="I200" s="188"/>
      <c r="J200" s="188"/>
      <c r="K200" s="188"/>
      <c r="L200" s="188"/>
      <c r="M200" s="194"/>
      <c r="N200" s="190"/>
      <c r="O200" s="190"/>
      <c r="P200" s="188"/>
      <c r="Q200" s="188"/>
      <c r="R200" s="195"/>
      <c r="S200" s="197"/>
      <c r="T200" s="180"/>
      <c r="U200" s="189" t="str">
        <f>IFERROR(IF(Tableau3[[#This Row],[Dettes]]=0,"",(Tableau3[[#This Row],[Dettes]]/Tableau3[[#This Row],[EBE]])),"")</f>
        <v/>
      </c>
      <c r="V200" s="190" t="str">
        <f>IFERROR(Tableau3[[#This Row],[Fonds propres]]/Tableau3[[#This Row],[Total Bilan]],"")</f>
        <v/>
      </c>
      <c r="W200" s="180"/>
      <c r="X200" s="191"/>
      <c r="Y200" s="180"/>
      <c r="Z200" s="192" t="str">
        <f>IFERROR(Tableau3[[#This Row],[Chiffre d''affaires]]/Tableau3[[#This Row],[Salariés]],"")</f>
        <v/>
      </c>
      <c r="AA200" s="197"/>
      <c r="AB200" s="197"/>
      <c r="AC200" s="177" t="s">
        <v>3044</v>
      </c>
    </row>
    <row r="201" spans="1:29" ht="20.25" customHeight="1">
      <c r="A201" s="217"/>
      <c r="E201" s="187"/>
      <c r="G201" s="188"/>
      <c r="H201" s="188"/>
      <c r="I201" s="188"/>
      <c r="J201" s="188"/>
      <c r="K201" s="188"/>
      <c r="L201" s="188"/>
      <c r="M201" s="194"/>
      <c r="N201" s="190"/>
      <c r="O201" s="190"/>
      <c r="P201" s="188"/>
      <c r="Q201" s="188"/>
      <c r="R201" s="195"/>
      <c r="S201" s="197"/>
      <c r="T201" s="180"/>
      <c r="U201" s="189" t="str">
        <f>IFERROR(IF(Tableau3[[#This Row],[Dettes]]=0,"",(Tableau3[[#This Row],[Dettes]]/Tableau3[[#This Row],[EBE]])),"")</f>
        <v/>
      </c>
      <c r="V201" s="190" t="str">
        <f>IFERROR(Tableau3[[#This Row],[Fonds propres]]/Tableau3[[#This Row],[Total Bilan]],"")</f>
        <v/>
      </c>
      <c r="W201" s="180"/>
      <c r="X201" s="191"/>
      <c r="Y201" s="180"/>
      <c r="Z201" s="192" t="str">
        <f>IFERROR(Tableau3[[#This Row],[Chiffre d''affaires]]/Tableau3[[#This Row],[Salariés]],"")</f>
        <v/>
      </c>
      <c r="AA201" s="197"/>
      <c r="AB201" s="197"/>
      <c r="AC201" s="177" t="s">
        <v>572</v>
      </c>
    </row>
    <row r="202" spans="1:29" ht="20.25" customHeight="1">
      <c r="A202" s="217"/>
      <c r="E202" s="187"/>
      <c r="G202" s="188"/>
      <c r="H202" s="188"/>
      <c r="I202" s="188"/>
      <c r="J202" s="188"/>
      <c r="K202" s="188"/>
      <c r="L202" s="188"/>
      <c r="M202" s="194"/>
      <c r="N202" s="190"/>
      <c r="O202" s="190"/>
      <c r="P202" s="188"/>
      <c r="Q202" s="188"/>
      <c r="R202" s="195"/>
      <c r="S202" s="197"/>
      <c r="T202" s="180"/>
      <c r="U202" s="189" t="str">
        <f>IFERROR(IF(Tableau3[[#This Row],[Dettes]]=0,"",(Tableau3[[#This Row],[Dettes]]/Tableau3[[#This Row],[EBE]])),"")</f>
        <v/>
      </c>
      <c r="V202" s="190" t="str">
        <f>IFERROR(Tableau3[[#This Row],[Fonds propres]]/Tableau3[[#This Row],[Total Bilan]],"")</f>
        <v/>
      </c>
      <c r="W202" s="180"/>
      <c r="X202" s="191"/>
      <c r="Y202" s="180"/>
      <c r="Z202" s="192" t="str">
        <f>IFERROR(Tableau3[[#This Row],[Chiffre d''affaires]]/Tableau3[[#This Row],[Salariés]],"")</f>
        <v/>
      </c>
      <c r="AA202" s="197"/>
      <c r="AB202" s="197"/>
      <c r="AC202" s="177" t="s">
        <v>4642</v>
      </c>
    </row>
    <row r="203" spans="1:29" ht="20.25" customHeight="1">
      <c r="A203" s="217"/>
      <c r="E203" s="187"/>
      <c r="G203" s="188"/>
      <c r="H203" s="188"/>
      <c r="I203" s="188"/>
      <c r="J203" s="188"/>
      <c r="K203" s="188"/>
      <c r="L203" s="188"/>
      <c r="M203" s="194"/>
      <c r="N203" s="190"/>
      <c r="O203" s="190"/>
      <c r="P203" s="188"/>
      <c r="Q203" s="188"/>
      <c r="R203" s="195"/>
      <c r="S203" s="197"/>
      <c r="T203" s="180"/>
      <c r="U203" s="189" t="str">
        <f>IFERROR(IF(Tableau3[[#This Row],[Dettes]]=0,"",(Tableau3[[#This Row],[Dettes]]/Tableau3[[#This Row],[EBE]])),"")</f>
        <v/>
      </c>
      <c r="V203" s="190" t="str">
        <f>IFERROR(Tableau3[[#This Row],[Fonds propres]]/Tableau3[[#This Row],[Total Bilan]],"")</f>
        <v/>
      </c>
      <c r="W203" s="180"/>
      <c r="X203" s="191"/>
      <c r="Y203" s="180"/>
      <c r="Z203" s="192" t="str">
        <f>IFERROR(Tableau3[[#This Row],[Chiffre d''affaires]]/Tableau3[[#This Row],[Salariés]],"")</f>
        <v/>
      </c>
      <c r="AA203" s="197"/>
      <c r="AB203" s="197"/>
      <c r="AC203" s="177" t="s">
        <v>2926</v>
      </c>
    </row>
    <row r="204" spans="1:29" ht="20.25" customHeight="1">
      <c r="A204" s="217"/>
      <c r="E204" s="187"/>
      <c r="G204" s="188"/>
      <c r="H204" s="188"/>
      <c r="I204" s="188"/>
      <c r="J204" s="188"/>
      <c r="K204" s="188"/>
      <c r="L204" s="188"/>
      <c r="M204" s="194"/>
      <c r="N204" s="190"/>
      <c r="O204" s="190"/>
      <c r="P204" s="188"/>
      <c r="Q204" s="188"/>
      <c r="R204" s="195"/>
      <c r="S204" s="197"/>
      <c r="T204" s="180"/>
      <c r="U204" s="189" t="str">
        <f>IFERROR(IF(Tableau3[[#This Row],[Dettes]]=0,"",(Tableau3[[#This Row],[Dettes]]/Tableau3[[#This Row],[EBE]])),"")</f>
        <v/>
      </c>
      <c r="V204" s="190" t="str">
        <f>IFERROR(Tableau3[[#This Row],[Fonds propres]]/Tableau3[[#This Row],[Total Bilan]],"")</f>
        <v/>
      </c>
      <c r="W204" s="180"/>
      <c r="X204" s="191"/>
      <c r="Y204" s="180"/>
      <c r="Z204" s="192" t="str">
        <f>IFERROR(Tableau3[[#This Row],[Chiffre d''affaires]]/Tableau3[[#This Row],[Salariés]],"")</f>
        <v/>
      </c>
      <c r="AA204" s="197"/>
      <c r="AB204" s="197"/>
      <c r="AC204" s="177" t="s">
        <v>4640</v>
      </c>
    </row>
    <row r="205" spans="1:29" ht="20.25" customHeight="1">
      <c r="A205" s="217"/>
      <c r="E205" s="187"/>
      <c r="G205" s="188"/>
      <c r="H205" s="188"/>
      <c r="I205" s="188"/>
      <c r="J205" s="188"/>
      <c r="K205" s="188"/>
      <c r="L205" s="188"/>
      <c r="M205" s="194"/>
      <c r="N205" s="190"/>
      <c r="O205" s="190"/>
      <c r="P205" s="188"/>
      <c r="Q205" s="188"/>
      <c r="R205" s="195"/>
      <c r="S205" s="197"/>
      <c r="T205" s="180"/>
      <c r="U205" s="189" t="str">
        <f>IFERROR(IF(Tableau3[[#This Row],[Dettes]]=0,"",(Tableau3[[#This Row],[Dettes]]/Tableau3[[#This Row],[EBE]])),"")</f>
        <v/>
      </c>
      <c r="V205" s="190" t="str">
        <f>IFERROR(Tableau3[[#This Row],[Fonds propres]]/Tableau3[[#This Row],[Total Bilan]],"")</f>
        <v/>
      </c>
      <c r="W205" s="180"/>
      <c r="X205" s="191"/>
      <c r="Y205" s="180"/>
      <c r="Z205" s="192" t="str">
        <f>IFERROR(Tableau3[[#This Row],[Chiffre d''affaires]]/Tableau3[[#This Row],[Salariés]],"")</f>
        <v/>
      </c>
      <c r="AA205" s="197"/>
      <c r="AB205" s="197"/>
    </row>
    <row r="206" spans="1:29" ht="20.25" customHeight="1">
      <c r="A206" s="217"/>
      <c r="E206" s="187"/>
      <c r="G206" s="188"/>
      <c r="H206" s="188"/>
      <c r="I206" s="188"/>
      <c r="J206" s="188"/>
      <c r="K206" s="188"/>
      <c r="L206" s="188"/>
      <c r="M206" s="194"/>
      <c r="N206" s="190"/>
      <c r="O206" s="190"/>
      <c r="P206" s="188"/>
      <c r="Q206" s="188"/>
      <c r="R206" s="195"/>
      <c r="S206" s="197"/>
      <c r="T206" s="180"/>
      <c r="U206" s="189" t="str">
        <f>IFERROR(IF(Tableau3[[#This Row],[Dettes]]=0,"",(Tableau3[[#This Row],[Dettes]]/Tableau3[[#This Row],[EBE]])),"")</f>
        <v/>
      </c>
      <c r="V206" s="190" t="str">
        <f>IFERROR(Tableau3[[#This Row],[Fonds propres]]/Tableau3[[#This Row],[Total Bilan]],"")</f>
        <v/>
      </c>
      <c r="W206" s="180"/>
      <c r="X206" s="191"/>
      <c r="Y206" s="180"/>
      <c r="Z206" s="192" t="str">
        <f>IFERROR(Tableau3[[#This Row],[Chiffre d''affaires]]/Tableau3[[#This Row],[Salariés]],"")</f>
        <v/>
      </c>
      <c r="AA206" s="197"/>
      <c r="AB206" s="197"/>
    </row>
    <row r="207" spans="1:29" ht="20.25" customHeight="1">
      <c r="A207" s="217"/>
      <c r="E207" s="187"/>
      <c r="G207" s="188"/>
      <c r="H207" s="188"/>
      <c r="I207" s="188"/>
      <c r="J207" s="188"/>
      <c r="K207" s="188"/>
      <c r="L207" s="188"/>
      <c r="M207" s="194"/>
      <c r="N207" s="190"/>
      <c r="O207" s="190"/>
      <c r="P207" s="188"/>
      <c r="Q207" s="188"/>
      <c r="R207" s="195"/>
      <c r="S207" s="197"/>
      <c r="T207" s="180"/>
      <c r="U207" s="189" t="str">
        <f>IFERROR(IF(Tableau3[[#This Row],[Dettes]]=0,"",(Tableau3[[#This Row],[Dettes]]/Tableau3[[#This Row],[EBE]])),"")</f>
        <v/>
      </c>
      <c r="V207" s="190" t="str">
        <f>IFERROR(Tableau3[[#This Row],[Fonds propres]]/Tableau3[[#This Row],[Total Bilan]],"")</f>
        <v/>
      </c>
      <c r="W207" s="180"/>
      <c r="X207" s="191"/>
      <c r="Y207" s="180"/>
      <c r="Z207" s="192" t="str">
        <f>IFERROR(Tableau3[[#This Row],[Chiffre d''affaires]]/Tableau3[[#This Row],[Salariés]],"")</f>
        <v/>
      </c>
      <c r="AA207" s="197"/>
      <c r="AB207" s="197"/>
    </row>
    <row r="208" spans="1:29" ht="20.25" customHeight="1">
      <c r="A208" s="217"/>
      <c r="E208" s="187"/>
      <c r="G208" s="188"/>
      <c r="H208" s="188"/>
      <c r="I208" s="188"/>
      <c r="J208" s="188"/>
      <c r="K208" s="188"/>
      <c r="L208" s="188"/>
      <c r="M208" s="194"/>
      <c r="N208" s="190"/>
      <c r="O208" s="190"/>
      <c r="P208" s="188"/>
      <c r="Q208" s="188"/>
      <c r="R208" s="195"/>
      <c r="S208" s="197"/>
      <c r="T208" s="180"/>
      <c r="U208" s="189" t="str">
        <f>IFERROR(IF(Tableau3[[#This Row],[Dettes]]=0,"",(Tableau3[[#This Row],[Dettes]]/Tableau3[[#This Row],[EBE]])),"")</f>
        <v/>
      </c>
      <c r="V208" s="190" t="str">
        <f>IFERROR(Tableau3[[#This Row],[Fonds propres]]/Tableau3[[#This Row],[Total Bilan]],"")</f>
        <v/>
      </c>
      <c r="W208" s="180"/>
      <c r="X208" s="191"/>
      <c r="Y208" s="180"/>
      <c r="Z208" s="192" t="str">
        <f>IFERROR(Tableau3[[#This Row],[Chiffre d''affaires]]/Tableau3[[#This Row],[Salariés]],"")</f>
        <v/>
      </c>
      <c r="AA208" s="197"/>
      <c r="AB208" s="197"/>
    </row>
    <row r="209" spans="1:29" ht="20.25" customHeight="1">
      <c r="A209" s="217"/>
      <c r="E209" s="187"/>
      <c r="G209" s="188"/>
      <c r="H209" s="188"/>
      <c r="I209" s="188"/>
      <c r="J209" s="188"/>
      <c r="K209" s="188"/>
      <c r="L209" s="188"/>
      <c r="M209" s="194"/>
      <c r="N209" s="190"/>
      <c r="O209" s="190"/>
      <c r="P209" s="188"/>
      <c r="Q209" s="188"/>
      <c r="R209" s="195"/>
      <c r="S209" s="197"/>
      <c r="T209" s="180"/>
      <c r="U209" s="189" t="str">
        <f>IFERROR(IF(Tableau3[[#This Row],[Dettes]]=0,"",(Tableau3[[#This Row],[Dettes]]/Tableau3[[#This Row],[EBE]])),"")</f>
        <v/>
      </c>
      <c r="V209" s="190" t="str">
        <f>IFERROR(Tableau3[[#This Row],[Fonds propres]]/Tableau3[[#This Row],[Total Bilan]],"")</f>
        <v/>
      </c>
      <c r="W209" s="180"/>
      <c r="X209" s="191"/>
      <c r="Y209" s="180"/>
      <c r="Z209" s="192" t="str">
        <f>IFERROR(Tableau3[[#This Row],[Chiffre d''affaires]]/Tableau3[[#This Row],[Salariés]],"")</f>
        <v/>
      </c>
      <c r="AA209" s="197"/>
      <c r="AB209" s="197"/>
    </row>
    <row r="210" spans="1:29" ht="20.25" customHeight="1">
      <c r="A210" s="217"/>
      <c r="E210" s="187"/>
      <c r="G210" s="188"/>
      <c r="H210" s="188"/>
      <c r="I210" s="188"/>
      <c r="J210" s="188"/>
      <c r="K210" s="188"/>
      <c r="L210" s="188"/>
      <c r="M210" s="194"/>
      <c r="N210" s="190"/>
      <c r="O210" s="190"/>
      <c r="P210" s="188"/>
      <c r="Q210" s="188"/>
      <c r="R210" s="195"/>
      <c r="S210" s="197"/>
      <c r="T210" s="180"/>
      <c r="U210" s="189" t="str">
        <f>IFERROR(IF(Tableau3[[#This Row],[Dettes]]=0,"",(Tableau3[[#This Row],[Dettes]]/Tableau3[[#This Row],[EBE]])),"")</f>
        <v/>
      </c>
      <c r="V210" s="190" t="str">
        <f>IFERROR(Tableau3[[#This Row],[Fonds propres]]/Tableau3[[#This Row],[Total Bilan]],"")</f>
        <v/>
      </c>
      <c r="W210" s="180"/>
      <c r="X210" s="191"/>
      <c r="Y210" s="180"/>
      <c r="Z210" s="192" t="str">
        <f>IFERROR(Tableau3[[#This Row],[Chiffre d''affaires]]/Tableau3[[#This Row],[Salariés]],"")</f>
        <v/>
      </c>
      <c r="AA210" s="197"/>
      <c r="AB210" s="197"/>
    </row>
    <row r="211" spans="1:29" ht="20.25" customHeight="1">
      <c r="A211" s="217"/>
      <c r="E211" s="187"/>
      <c r="G211" s="188"/>
      <c r="H211" s="188"/>
      <c r="I211" s="188"/>
      <c r="J211" s="188"/>
      <c r="K211" s="188"/>
      <c r="L211" s="188"/>
      <c r="M211" s="194"/>
      <c r="N211" s="190"/>
      <c r="O211" s="190"/>
      <c r="P211" s="188"/>
      <c r="Q211" s="188"/>
      <c r="R211" s="195"/>
      <c r="S211" s="197"/>
      <c r="T211" s="180"/>
      <c r="U211" s="189" t="str">
        <f>IFERROR(IF(Tableau3[[#This Row],[Dettes]]=0,"",(Tableau3[[#This Row],[Dettes]]/Tableau3[[#This Row],[EBE]])),"")</f>
        <v/>
      </c>
      <c r="V211" s="190" t="str">
        <f>IFERROR(Tableau3[[#This Row],[Fonds propres]]/Tableau3[[#This Row],[Total Bilan]],"")</f>
        <v/>
      </c>
      <c r="W211" s="180"/>
      <c r="X211" s="191"/>
      <c r="Y211" s="180"/>
      <c r="Z211" s="192" t="str">
        <f>IFERROR(Tableau3[[#This Row],[Chiffre d''affaires]]/Tableau3[[#This Row],[Salariés]],"")</f>
        <v/>
      </c>
      <c r="AA211" s="197"/>
      <c r="AB211" s="197"/>
    </row>
    <row r="212" spans="1:29" ht="20.25" customHeight="1">
      <c r="A212" s="217" t="s">
        <v>194</v>
      </c>
      <c r="B212" s="216" t="s">
        <v>195</v>
      </c>
      <c r="C212" s="178" t="s">
        <v>196</v>
      </c>
      <c r="D212" s="178" t="s">
        <v>85</v>
      </c>
      <c r="E212" s="187">
        <v>26.82</v>
      </c>
      <c r="F212" s="178">
        <v>2025</v>
      </c>
      <c r="G212" s="188">
        <f>G214*1.01</f>
        <v>3490661000</v>
      </c>
      <c r="H212" s="188">
        <v>850000000</v>
      </c>
      <c r="I212" s="188">
        <v>500000000</v>
      </c>
      <c r="J212" s="188">
        <v>300000000</v>
      </c>
      <c r="K212" s="188">
        <v>1700000000</v>
      </c>
      <c r="L212" s="188">
        <v>1100000000</v>
      </c>
      <c r="M212" s="194">
        <f>L212/P212</f>
        <v>8.995071951703201</v>
      </c>
      <c r="N212" s="190">
        <f>J212/L214</f>
        <v>0.30096308186195825</v>
      </c>
      <c r="O212" s="190">
        <f>(I212*0.74)/(L214+K214)</f>
        <v>0.13240767248783281</v>
      </c>
      <c r="P212" s="188">
        <v>122289183</v>
      </c>
      <c r="Q212" s="188">
        <f>P212*E212</f>
        <v>3279795888.0599999</v>
      </c>
      <c r="R212" s="195">
        <f>Q212/L212</f>
        <v>2.981632625509091</v>
      </c>
      <c r="S212" s="197">
        <f>(Q212+K212)/H212</f>
        <v>5.8585833977176467</v>
      </c>
      <c r="T212" s="180">
        <v>200000000</v>
      </c>
      <c r="U212" s="189">
        <f>IFERROR(IF(Tableau3[[#This Row],[Dettes]]=0,"",(Tableau3[[#This Row],[Dettes]]/Tableau3[[#This Row],[EBE]])),"")</f>
        <v>2</v>
      </c>
      <c r="V212" s="190">
        <f>IFERROR(Tableau3[[#This Row],[Fonds propres]]/Tableau3[[#This Row],[Total Bilan]],"")</f>
        <v>0.23528908472546042</v>
      </c>
      <c r="W212" s="180">
        <f>W214</f>
        <v>4675100000</v>
      </c>
      <c r="X212" s="191" t="s">
        <v>197</v>
      </c>
      <c r="Y212" s="180">
        <v>11000</v>
      </c>
      <c r="Z212" s="192">
        <f>IFERROR(Tableau3[[#This Row],[Chiffre d''affaires]]/Tableau3[[#This Row],[Salariés]],"")</f>
        <v>317332.81818181818</v>
      </c>
      <c r="AA212" s="197"/>
      <c r="AB212" s="197"/>
      <c r="AC212" s="177" t="s">
        <v>198</v>
      </c>
    </row>
    <row r="213" spans="1:29" ht="20.25" customHeight="1">
      <c r="A213" s="217"/>
      <c r="E213" s="187"/>
      <c r="G213" s="202">
        <f>(G212/G214)-1</f>
        <v>1.0000000000000009E-2</v>
      </c>
      <c r="H213" s="203">
        <f>(H212/H214)-1</f>
        <v>8.9020771513352859E-3</v>
      </c>
      <c r="I213" s="203">
        <f>(I212/I214)-1</f>
        <v>8.8850174216027922E-2</v>
      </c>
      <c r="J213" s="203">
        <f>(J212/J214)-1</f>
        <v>0.25733445096395635</v>
      </c>
      <c r="K213" s="188"/>
      <c r="L213" s="188"/>
      <c r="M213" s="194"/>
      <c r="N213" s="190"/>
      <c r="O213" s="190"/>
      <c r="P213" s="188"/>
      <c r="Q213" s="188"/>
      <c r="R213" s="195"/>
      <c r="S213" s="197"/>
      <c r="T213" s="180"/>
      <c r="U213" s="189" t="str">
        <f>IFERROR(IF(Tableau3[[#This Row],[Dettes]]=0,"",(Tableau3[[#This Row],[Dettes]]/Tableau3[[#This Row],[EBE]])),"")</f>
        <v/>
      </c>
      <c r="V213" s="190" t="str">
        <f>IFERROR(Tableau3[[#This Row],[Fonds propres]]/Tableau3[[#This Row],[Total Bilan]],"")</f>
        <v/>
      </c>
      <c r="W213" s="180"/>
      <c r="X213" s="191" t="s">
        <v>200</v>
      </c>
      <c r="Y213" s="180"/>
      <c r="Z213" s="192" t="str">
        <f>IFERROR(Tableau3[[#This Row],[Chiffre d''affaires]]/Tableau3[[#This Row],[Salariés]],"")</f>
        <v/>
      </c>
      <c r="AA213" s="197"/>
      <c r="AB213" s="197"/>
      <c r="AC213" s="177" t="s">
        <v>201</v>
      </c>
    </row>
    <row r="214" spans="1:29" ht="20.25" customHeight="1">
      <c r="A214" s="217"/>
      <c r="E214" s="187">
        <v>24.28</v>
      </c>
      <c r="F214" s="178">
        <v>2024</v>
      </c>
      <c r="G214" s="188">
        <v>3456100000</v>
      </c>
      <c r="H214" s="188">
        <v>842500000</v>
      </c>
      <c r="I214" s="188">
        <v>459200000</v>
      </c>
      <c r="J214" s="188">
        <v>238600000</v>
      </c>
      <c r="K214" s="188">
        <v>1797600000</v>
      </c>
      <c r="L214" s="188">
        <v>996800000</v>
      </c>
      <c r="M214" s="194">
        <f>L214/P214</f>
        <v>8.1511706558706827</v>
      </c>
      <c r="N214" s="190">
        <f>J214/L216</f>
        <v>0.26280427359841391</v>
      </c>
      <c r="O214" s="190">
        <f>(I214*0.74)/(L216+K216)</f>
        <v>0.14953705333568035</v>
      </c>
      <c r="P214" s="188">
        <v>122289183</v>
      </c>
      <c r="Q214" s="188">
        <f>P214*E214</f>
        <v>2969181363.2400002</v>
      </c>
      <c r="R214" s="195">
        <f>Q214/L214</f>
        <v>2.9787132456260035</v>
      </c>
      <c r="S214" s="197">
        <f>(Q214+K214)/H214</f>
        <v>5.6579007278813052</v>
      </c>
      <c r="T214" s="180">
        <v>82600000</v>
      </c>
      <c r="U214" s="189">
        <f>IFERROR(IF(Tableau3[[#This Row],[Dettes]]=0,"",(Tableau3[[#This Row],[Dettes]]/Tableau3[[#This Row],[EBE]])),"")</f>
        <v>2.1336498516320477</v>
      </c>
      <c r="V214" s="190">
        <f>IFERROR(Tableau3[[#This Row],[Fonds propres]]/Tableau3[[#This Row],[Total Bilan]],"")</f>
        <v>0.2132146905948536</v>
      </c>
      <c r="W214" s="180">
        <v>4675100000</v>
      </c>
      <c r="Y214" s="180">
        <v>11000</v>
      </c>
      <c r="Z214" s="192">
        <f>IFERROR(Tableau3[[#This Row],[Chiffre d''affaires]]/Tableau3[[#This Row],[Salariés]],"")</f>
        <v>314190.90909090912</v>
      </c>
      <c r="AA214" s="197"/>
      <c r="AB214" s="197"/>
      <c r="AC214" s="177" t="s">
        <v>202</v>
      </c>
    </row>
    <row r="215" spans="1:29" ht="20.25" customHeight="1">
      <c r="A215" s="217"/>
      <c r="E215" s="187"/>
      <c r="G215" s="202">
        <f>(G214/G216)-1</f>
        <v>-0.11468312925867108</v>
      </c>
      <c r="H215" s="203">
        <f>(H214/H216)-1</f>
        <v>-0.23962093862815881</v>
      </c>
      <c r="I215" s="203">
        <f>(I214/I216)-1</f>
        <v>-0.39682122684881127</v>
      </c>
      <c r="J215" s="203">
        <f>(J214/J216)-1</f>
        <v>-0.49800126236061437</v>
      </c>
      <c r="K215" s="188"/>
      <c r="L215" s="188"/>
      <c r="M215" s="194"/>
      <c r="N215" s="190"/>
      <c r="O215" s="190"/>
      <c r="P215" s="188"/>
      <c r="Q215" s="188"/>
      <c r="R215" s="195"/>
      <c r="S215" s="197"/>
      <c r="T215" s="180"/>
      <c r="U215" s="189" t="str">
        <f>IFERROR(IF(Tableau3[[#This Row],[Dettes]]=0,"",(Tableau3[[#This Row],[Dettes]]/Tableau3[[#This Row],[EBE]])),"")</f>
        <v/>
      </c>
      <c r="V215" s="190" t="str">
        <f>IFERROR(Tableau3[[#This Row],[Fonds propres]]/Tableau3[[#This Row],[Total Bilan]],"")</f>
        <v/>
      </c>
      <c r="W215" s="180"/>
      <c r="Y215" s="180"/>
      <c r="Z215" s="192" t="str">
        <f>IFERROR(Tableau3[[#This Row],[Chiffre d''affaires]]/Tableau3[[#This Row],[Salariés]],"")</f>
        <v/>
      </c>
      <c r="AA215" s="197"/>
      <c r="AB215" s="197"/>
      <c r="AC215" s="177" t="s">
        <v>203</v>
      </c>
    </row>
    <row r="216" spans="1:29" ht="20.25" customHeight="1">
      <c r="A216" s="217"/>
      <c r="E216" s="187">
        <v>34.86</v>
      </c>
      <c r="F216" s="178">
        <v>2023</v>
      </c>
      <c r="G216" s="188">
        <v>3903800000</v>
      </c>
      <c r="H216" s="188">
        <v>1108000000</v>
      </c>
      <c r="I216" s="188">
        <v>761300000</v>
      </c>
      <c r="J216" s="188">
        <v>475300000</v>
      </c>
      <c r="K216" s="188">
        <v>1364500000</v>
      </c>
      <c r="L216" s="188">
        <v>907900000</v>
      </c>
      <c r="M216" s="194">
        <f>L216/P216</f>
        <v>7.4242052954103066</v>
      </c>
      <c r="N216" s="190">
        <f>J216/L218</f>
        <v>0.47368945585010963</v>
      </c>
      <c r="O216" s="190">
        <f>(I216*0.74)/(L218+K218)</f>
        <v>0.2338280828456398</v>
      </c>
      <c r="P216" s="188">
        <v>122289183</v>
      </c>
      <c r="Q216" s="188">
        <f>P216*E216</f>
        <v>4263000919.3800001</v>
      </c>
      <c r="R216" s="195">
        <f>Q216/L216</f>
        <v>4.6954520535080961</v>
      </c>
      <c r="S216" s="197">
        <f>(Q216+K216)/H216</f>
        <v>5.0789719488989169</v>
      </c>
      <c r="T216" s="180">
        <v>365300000</v>
      </c>
      <c r="U216" s="189">
        <f>IFERROR(IF(Tableau3[[#This Row],[Dettes]]=0,"",(Tableau3[[#This Row],[Dettes]]/Tableau3[[#This Row],[EBE]])),"")</f>
        <v>1.2314981949458483</v>
      </c>
      <c r="V216" s="190">
        <f>IFERROR(Tableau3[[#This Row],[Fonds propres]]/Tableau3[[#This Row],[Total Bilan]],"")</f>
        <v>0.20355133062798467</v>
      </c>
      <c r="W216" s="180">
        <v>4460300000</v>
      </c>
      <c r="X216" s="191"/>
      <c r="Y216" s="180">
        <v>10876</v>
      </c>
      <c r="Z216" s="192">
        <f>IFERROR(Tableau3[[#This Row],[Chiffre d''affaires]]/Tableau3[[#This Row],[Salariés]],"")</f>
        <v>358937.10923133505</v>
      </c>
      <c r="AA216" s="197"/>
      <c r="AB216" s="197"/>
      <c r="AC216" s="177" t="s">
        <v>204</v>
      </c>
    </row>
    <row r="217" spans="1:29" ht="20.25" customHeight="1">
      <c r="A217" s="217"/>
      <c r="E217" s="187"/>
      <c r="G217" s="202">
        <f>(G216/G218)-1</f>
        <v>0.16479188423094127</v>
      </c>
      <c r="H217" s="203">
        <f>(H216/H218)-1</f>
        <v>0.28018486424032352</v>
      </c>
      <c r="I217" s="203">
        <f>(I216/I218)-1</f>
        <v>0.36360379724162639</v>
      </c>
      <c r="J217" s="203">
        <f>(J216/J218)-1</f>
        <v>0.33661417322834652</v>
      </c>
      <c r="K217" s="188"/>
      <c r="L217" s="188"/>
      <c r="M217" s="194"/>
      <c r="N217" s="190"/>
      <c r="O217" s="190"/>
      <c r="P217" s="188"/>
      <c r="Q217" s="188"/>
      <c r="R217" s="195"/>
      <c r="S217" s="197"/>
      <c r="T217" s="180"/>
      <c r="U217" s="189" t="str">
        <f>IFERROR(IF(Tableau3[[#This Row],[Dettes]]=0,"",(Tableau3[[#This Row],[Dettes]]/Tableau3[[#This Row],[EBE]])),"")</f>
        <v/>
      </c>
      <c r="V217" s="190" t="str">
        <f>IFERROR(Tableau3[[#This Row],[Fonds propres]]/Tableau3[[#This Row],[Total Bilan]],"")</f>
        <v/>
      </c>
      <c r="W217" s="180"/>
      <c r="X217" s="191"/>
      <c r="Y217" s="180"/>
      <c r="Z217" s="192" t="str">
        <f>IFERROR(Tableau3[[#This Row],[Chiffre d''affaires]]/Tableau3[[#This Row],[Salariés]],"")</f>
        <v/>
      </c>
      <c r="AA217" s="197"/>
      <c r="AB217" s="197"/>
      <c r="AC217" s="177" t="s">
        <v>205</v>
      </c>
    </row>
    <row r="218" spans="1:29" ht="20.25" customHeight="1">
      <c r="A218" s="217"/>
      <c r="E218" s="187">
        <v>31.94</v>
      </c>
      <c r="F218" s="178">
        <v>2022</v>
      </c>
      <c r="G218" s="188">
        <v>3351500000</v>
      </c>
      <c r="H218" s="188">
        <v>865500000</v>
      </c>
      <c r="I218" s="188">
        <v>558300000</v>
      </c>
      <c r="J218" s="188">
        <v>355600000</v>
      </c>
      <c r="K218" s="188">
        <v>1405900000</v>
      </c>
      <c r="L218" s="188">
        <v>1003400000</v>
      </c>
      <c r="M218" s="194">
        <f>L218/P218</f>
        <v>8.2051410875809019</v>
      </c>
      <c r="N218" s="190">
        <f>J218/L220</f>
        <v>0.47642015005359056</v>
      </c>
      <c r="O218" s="190">
        <f>(I218*0.74)/(L220+K220)</f>
        <v>0.20509432088959492</v>
      </c>
      <c r="P218" s="188">
        <v>122289183</v>
      </c>
      <c r="Q218" s="188">
        <f>P218*E218</f>
        <v>3905916505.02</v>
      </c>
      <c r="R218" s="195">
        <f>Q218/L218</f>
        <v>3.8926813882997808</v>
      </c>
      <c r="S218" s="197">
        <f>(Q218+K218)/H218</f>
        <v>6.1372807683651072</v>
      </c>
      <c r="T218" s="180">
        <v>363800000</v>
      </c>
      <c r="U218" s="189">
        <f>IFERROR(IF(Tableau3[[#This Row],[Dettes]]=0,"",(Tableau3[[#This Row],[Dettes]]/Tableau3[[#This Row],[EBE]])),"")</f>
        <v>1.6243789716926631</v>
      </c>
      <c r="V218" s="190">
        <f>IFERROR(Tableau3[[#This Row],[Fonds propres]]/Tableau3[[#This Row],[Total Bilan]],"")</f>
        <v>0.22336991607488701</v>
      </c>
      <c r="W218" s="180">
        <v>4492100000</v>
      </c>
      <c r="Y218" s="180">
        <v>10324</v>
      </c>
      <c r="Z218" s="192">
        <f>IFERROR(Tableau3[[#This Row],[Chiffre d''affaires]]/Tableau3[[#This Row],[Salariés]],"")</f>
        <v>324631.92561022862</v>
      </c>
      <c r="AA218" s="197"/>
      <c r="AB218" s="197"/>
      <c r="AC218" s="177" t="s">
        <v>4594</v>
      </c>
    </row>
    <row r="219" spans="1:29" ht="20.25" customHeight="1">
      <c r="A219" s="217"/>
      <c r="E219" s="187"/>
      <c r="G219" s="202">
        <f>(G218/G220)-1</f>
        <v>0.25336574420344049</v>
      </c>
      <c r="H219" s="203">
        <f>(H218/H220)-1</f>
        <v>0.27654867256637172</v>
      </c>
      <c r="I219" s="203">
        <f>(I218/I220)-1</f>
        <v>0.42061068702290072</v>
      </c>
      <c r="J219" s="203">
        <f>(J218/J220)-1</f>
        <v>0.46337448559670791</v>
      </c>
      <c r="K219" s="188"/>
      <c r="L219" s="188"/>
      <c r="M219" s="194"/>
      <c r="N219" s="190"/>
      <c r="O219" s="190"/>
      <c r="P219" s="188"/>
      <c r="Q219" s="188"/>
      <c r="R219" s="195"/>
      <c r="S219" s="197"/>
      <c r="T219" s="180"/>
      <c r="U219" s="189" t="str">
        <f>IFERROR(IF(Tableau3[[#This Row],[Dettes]]=0,"",(Tableau3[[#This Row],[Dettes]]/Tableau3[[#This Row],[EBE]])),"")</f>
        <v/>
      </c>
      <c r="V219" s="190" t="str">
        <f>IFERROR(Tableau3[[#This Row],[Fonds propres]]/Tableau3[[#This Row],[Total Bilan]],"")</f>
        <v/>
      </c>
      <c r="W219" s="180"/>
      <c r="X219" s="191"/>
      <c r="Y219" s="180"/>
      <c r="Z219" s="192" t="str">
        <f>IFERROR(Tableau3[[#This Row],[Chiffre d''affaires]]/Tableau3[[#This Row],[Salariés]],"")</f>
        <v/>
      </c>
      <c r="AA219" s="197"/>
      <c r="AB219" s="197"/>
      <c r="AC219" s="177" t="s">
        <v>4595</v>
      </c>
    </row>
    <row r="220" spans="1:29" ht="20.25" customHeight="1">
      <c r="A220" s="217"/>
      <c r="E220" s="187">
        <v>30.96</v>
      </c>
      <c r="F220" s="178">
        <v>2021</v>
      </c>
      <c r="G220" s="188">
        <v>2674000000</v>
      </c>
      <c r="H220" s="188">
        <v>678000000</v>
      </c>
      <c r="I220" s="188">
        <v>393000000</v>
      </c>
      <c r="J220" s="188">
        <v>243000000</v>
      </c>
      <c r="K220" s="188">
        <v>1268000000</v>
      </c>
      <c r="L220" s="188">
        <v>746400000</v>
      </c>
      <c r="M220" s="194">
        <f>L220/P220</f>
        <v>6.1035651861375184</v>
      </c>
      <c r="N220" s="190">
        <f>J220/L222</f>
        <v>0.45142114062790267</v>
      </c>
      <c r="O220" s="190">
        <f>(I220*0.74)/(L222+K222)</f>
        <v>0.16002861387773071</v>
      </c>
      <c r="P220" s="188">
        <v>122289183</v>
      </c>
      <c r="Q220" s="188">
        <f>P220*E220</f>
        <v>3786073105.6800003</v>
      </c>
      <c r="R220" s="195">
        <f>Q220/L220</f>
        <v>5.0724452112540197</v>
      </c>
      <c r="S220" s="197">
        <f>(Q220+K220)/H220</f>
        <v>7.4543851116224191</v>
      </c>
      <c r="T220" s="180">
        <v>421800000</v>
      </c>
      <c r="U220" s="189">
        <f>IFERROR(IF(Tableau3[[#This Row],[Dettes]]=0,"",(Tableau3[[#This Row],[Dettes]]/Tableau3[[#This Row],[EBE]])),"")</f>
        <v>1.8702064896755162</v>
      </c>
      <c r="V220" s="190">
        <f>IFERROR(Tableau3[[#This Row],[Fonds propres]]/Tableau3[[#This Row],[Total Bilan]],"")</f>
        <v>0.19555136367208992</v>
      </c>
      <c r="W220" s="180">
        <v>3816900000</v>
      </c>
      <c r="X220" s="191"/>
      <c r="Y220" s="180">
        <v>10000</v>
      </c>
      <c r="Z220" s="192">
        <f>IFERROR(Tableau3[[#This Row],[Chiffre d''affaires]]/Tableau3[[#This Row],[Salariés]],"")</f>
        <v>267400</v>
      </c>
      <c r="AA220" s="197"/>
      <c r="AB220" s="197"/>
      <c r="AC220" s="177" t="s">
        <v>4670</v>
      </c>
    </row>
    <row r="221" spans="1:29" ht="20.25" customHeight="1">
      <c r="A221" s="217"/>
      <c r="E221" s="187"/>
      <c r="G221" s="202">
        <f>(G220/G222)-1</f>
        <v>5.4416403785489065E-2</v>
      </c>
      <c r="H221" s="203">
        <f>(H220/H222)-1</f>
        <v>8.3067092651757157E-2</v>
      </c>
      <c r="I221" s="203">
        <f>(I220/I222)-1</f>
        <v>0.12607449856733521</v>
      </c>
      <c r="J221" s="203">
        <f>(J220/J222)-1</f>
        <v>0.20297029702970293</v>
      </c>
      <c r="K221" s="188"/>
      <c r="L221" s="188"/>
      <c r="M221" s="194"/>
      <c r="N221" s="190"/>
      <c r="O221" s="190"/>
      <c r="P221" s="188"/>
      <c r="Q221" s="188"/>
      <c r="R221" s="195"/>
      <c r="S221" s="197"/>
      <c r="T221" s="180"/>
      <c r="U221" s="189" t="str">
        <f>IFERROR(IF(Tableau3[[#This Row],[Dettes]]=0,"",(Tableau3[[#This Row],[Dettes]]/Tableau3[[#This Row],[EBE]])),"")</f>
        <v/>
      </c>
      <c r="V221" s="190" t="str">
        <f>IFERROR(Tableau3[[#This Row],[Fonds propres]]/Tableau3[[#This Row],[Total Bilan]],"")</f>
        <v/>
      </c>
      <c r="W221" s="180"/>
      <c r="X221" s="191"/>
      <c r="Y221" s="180"/>
      <c r="Z221" s="192" t="str">
        <f>IFERROR(Tableau3[[#This Row],[Chiffre d''affaires]]/Tableau3[[#This Row],[Salariés]],"")</f>
        <v/>
      </c>
      <c r="AA221" s="197"/>
      <c r="AB221" s="197"/>
      <c r="AC221" s="177" t="s">
        <v>206</v>
      </c>
    </row>
    <row r="222" spans="1:29" ht="20.25" customHeight="1">
      <c r="A222" s="217"/>
      <c r="E222" s="187">
        <v>28.65</v>
      </c>
      <c r="F222" s="178">
        <v>2020</v>
      </c>
      <c r="G222" s="188">
        <v>2536000000</v>
      </c>
      <c r="H222" s="188">
        <v>626000000</v>
      </c>
      <c r="I222" s="188">
        <v>349000000</v>
      </c>
      <c r="J222" s="188">
        <v>202000000</v>
      </c>
      <c r="K222" s="188">
        <v>1279000000</v>
      </c>
      <c r="L222" s="188">
        <v>538300000</v>
      </c>
      <c r="M222" s="194">
        <f>L222/P222</f>
        <v>4.4570859092089696</v>
      </c>
      <c r="N222" s="190">
        <f>J222/L224</f>
        <v>1.1542857142857144</v>
      </c>
      <c r="O222" s="190">
        <f>(I222*0.74)/(L224+K224)</f>
        <v>0.13847721179624664</v>
      </c>
      <c r="P222" s="188">
        <v>120773979</v>
      </c>
      <c r="Q222" s="188">
        <f>P222*E222</f>
        <v>3460174498.3499999</v>
      </c>
      <c r="R222" s="195">
        <f>Q222/L222</f>
        <v>6.427966744101802</v>
      </c>
      <c r="S222" s="197">
        <f>(Q222+K222)/H222</f>
        <v>7.5705662912939307</v>
      </c>
      <c r="T222" s="180">
        <v>375200000</v>
      </c>
      <c r="U222" s="189">
        <f>IFERROR(IF(Tableau3[[#This Row],[Dettes]]=0,"",(Tableau3[[#This Row],[Dettes]]/Tableau3[[#This Row],[EBE]])),"")</f>
        <v>2.0431309904153356</v>
      </c>
      <c r="V222" s="190">
        <f>IFERROR(Tableau3[[#This Row],[Fonds propres]]/Tableau3[[#This Row],[Total Bilan]],"")</f>
        <v>0.16137058576653276</v>
      </c>
      <c r="W222" s="180">
        <v>3335800000</v>
      </c>
      <c r="X222" s="191"/>
      <c r="Y222" s="180"/>
      <c r="Z222" s="192" t="str">
        <f>IFERROR(Tableau3[[#This Row],[Chiffre d''affaires]]/Tableau3[[#This Row],[Salariés]],"")</f>
        <v/>
      </c>
      <c r="AA222" s="197"/>
      <c r="AB222" s="197"/>
      <c r="AC222" s="177" t="s">
        <v>4833</v>
      </c>
    </row>
    <row r="223" spans="1:29" ht="20.25" customHeight="1">
      <c r="A223" s="217"/>
      <c r="E223" s="187"/>
      <c r="G223" s="202">
        <f>(G222/G224)-1</f>
        <v>-4.5899172310007508E-2</v>
      </c>
      <c r="H223" s="203">
        <f>(H222/H224)-1</f>
        <v>1.788617886178856E-2</v>
      </c>
      <c r="I223" s="203">
        <f>(I222/I224)-1</f>
        <v>9.0624999999999956E-2</v>
      </c>
      <c r="J223" s="203">
        <f>(J222/J224)-1</f>
        <v>0.34666666666666668</v>
      </c>
      <c r="K223" s="188"/>
      <c r="L223" s="188"/>
      <c r="M223" s="194"/>
      <c r="N223" s="190"/>
      <c r="O223" s="190"/>
      <c r="P223" s="188"/>
      <c r="Q223" s="188"/>
      <c r="R223" s="195"/>
      <c r="S223" s="197"/>
      <c r="T223" s="180"/>
      <c r="U223" s="189" t="str">
        <f>IFERROR(IF(Tableau3[[#This Row],[Dettes]]=0,"",(Tableau3[[#This Row],[Dettes]]/Tableau3[[#This Row],[EBE]])),"")</f>
        <v/>
      </c>
      <c r="V223" s="190" t="str">
        <f>IFERROR(Tableau3[[#This Row],[Fonds propres]]/Tableau3[[#This Row],[Total Bilan]],"")</f>
        <v/>
      </c>
      <c r="W223" s="180"/>
      <c r="X223" s="191"/>
      <c r="Y223" s="180"/>
      <c r="Z223" s="192" t="str">
        <f>IFERROR(Tableau3[[#This Row],[Chiffre d''affaires]]/Tableau3[[#This Row],[Salariés]],"")</f>
        <v/>
      </c>
      <c r="AA223" s="197"/>
      <c r="AB223" s="197"/>
      <c r="AC223" s="177" t="s">
        <v>4831</v>
      </c>
    </row>
    <row r="224" spans="1:29" ht="20.25" customHeight="1">
      <c r="A224" s="217"/>
      <c r="E224" s="187">
        <v>29.05</v>
      </c>
      <c r="F224" s="178">
        <v>2019</v>
      </c>
      <c r="G224" s="188">
        <f>2*1329000000</f>
        <v>2658000000</v>
      </c>
      <c r="H224" s="188">
        <v>615000000</v>
      </c>
      <c r="I224" s="188">
        <v>320000000</v>
      </c>
      <c r="J224" s="188">
        <v>150000000</v>
      </c>
      <c r="K224" s="188">
        <v>1690000000</v>
      </c>
      <c r="L224" s="188">
        <v>175000000</v>
      </c>
      <c r="M224" s="194">
        <f>L224/P224</f>
        <v>1.4781161691533169</v>
      </c>
      <c r="N224" s="190">
        <f>J224/L226</f>
        <v>6.4935064935064934</v>
      </c>
      <c r="O224" s="190">
        <f>(I224*0.74)/(L226+K226)</f>
        <v>0.13671266093181686</v>
      </c>
      <c r="P224" s="188">
        <v>118393942</v>
      </c>
      <c r="Q224" s="188">
        <f>P224*E224</f>
        <v>3439344015.0999999</v>
      </c>
      <c r="R224" s="195">
        <f>Q224/L224</f>
        <v>19.653394372000001</v>
      </c>
      <c r="S224" s="197">
        <f>(Q224+K224)/H224</f>
        <v>8.3403967725203252</v>
      </c>
      <c r="T224" s="180">
        <v>362700000</v>
      </c>
      <c r="U224" s="189">
        <f>IFERROR(IF(Tableau3[[#This Row],[Dettes]]=0,"",(Tableau3[[#This Row],[Dettes]]/Tableau3[[#This Row],[EBE]])),"")</f>
        <v>2.7479674796747968</v>
      </c>
      <c r="V224" s="190" t="str">
        <f>IFERROR(Tableau3[[#This Row],[Fonds propres]]/Tableau3[[#This Row],[Total Bilan]],"")</f>
        <v/>
      </c>
      <c r="W224" s="180"/>
      <c r="X224" s="191"/>
      <c r="Y224" s="180"/>
      <c r="Z224" s="192" t="str">
        <f>IFERROR(Tableau3[[#This Row],[Chiffre d''affaires]]/Tableau3[[#This Row],[Salariés]],"")</f>
        <v/>
      </c>
      <c r="AA224" s="197"/>
      <c r="AB224" s="197"/>
      <c r="AC224" s="177" t="s">
        <v>4830</v>
      </c>
    </row>
    <row r="225" spans="1:29" ht="20.25" customHeight="1">
      <c r="A225" s="217"/>
      <c r="E225" s="187"/>
      <c r="G225" s="202">
        <f>(G224/G226)-1</f>
        <v>0.1002566437619008</v>
      </c>
      <c r="H225" s="203">
        <f>(H224/H226)-1</f>
        <v>0.13051470588235303</v>
      </c>
      <c r="I225" s="203">
        <f>(I224/I226)-1</f>
        <v>0.44665461121157324</v>
      </c>
      <c r="J225" s="203">
        <f>(J224/J226)-1</f>
        <v>2.0927835051546393</v>
      </c>
      <c r="K225" s="188"/>
      <c r="L225" s="188"/>
      <c r="M225" s="194"/>
      <c r="N225" s="190"/>
      <c r="O225" s="190"/>
      <c r="P225" s="188"/>
      <c r="Q225" s="188"/>
      <c r="R225" s="195"/>
      <c r="S225" s="197"/>
      <c r="T225" s="180"/>
      <c r="U225" s="189" t="str">
        <f>IFERROR(IF(Tableau3[[#This Row],[Dettes]]=0,"",(Tableau3[[#This Row],[Dettes]]/Tableau3[[#This Row],[EBE]])),"")</f>
        <v/>
      </c>
      <c r="V225" s="190" t="str">
        <f>IFERROR(Tableau3[[#This Row],[Fonds propres]]/Tableau3[[#This Row],[Total Bilan]],"")</f>
        <v/>
      </c>
      <c r="W225" s="180"/>
      <c r="X225" s="191"/>
      <c r="Y225" s="180"/>
      <c r="Z225" s="192" t="str">
        <f>IFERROR(Tableau3[[#This Row],[Chiffre d''affaires]]/Tableau3[[#This Row],[Salariés]],"")</f>
        <v/>
      </c>
      <c r="AA225" s="197"/>
      <c r="AB225" s="197"/>
      <c r="AC225" s="177" t="s">
        <v>4593</v>
      </c>
    </row>
    <row r="226" spans="1:29" ht="20.25" customHeight="1">
      <c r="A226" s="217"/>
      <c r="E226" s="187"/>
      <c r="F226" s="178">
        <v>2018</v>
      </c>
      <c r="G226" s="188">
        <v>2415800000</v>
      </c>
      <c r="H226" s="188">
        <v>544000000</v>
      </c>
      <c r="I226" s="188">
        <v>221200000</v>
      </c>
      <c r="J226" s="188">
        <v>48500000</v>
      </c>
      <c r="K226" s="188">
        <v>1709000000</v>
      </c>
      <c r="L226" s="188">
        <v>23100000</v>
      </c>
      <c r="M226" s="194"/>
      <c r="N226" s="190">
        <f>J226/L228</f>
        <v>11.279069767441861</v>
      </c>
      <c r="O226" s="190">
        <f>(I226*0.74)/(L228+K228)</f>
        <v>8.8322451842659036E-2</v>
      </c>
      <c r="P226" s="188"/>
      <c r="Q226" s="188"/>
      <c r="R226" s="195"/>
      <c r="S226" s="197"/>
      <c r="T226" s="180">
        <v>318500000</v>
      </c>
      <c r="U226" s="189">
        <f>IFERROR(IF(Tableau3[[#This Row],[Dettes]]=0,"",(Tableau3[[#This Row],[Dettes]]/Tableau3[[#This Row],[EBE]])),"")</f>
        <v>3.1415441176470589</v>
      </c>
      <c r="V226" s="190" t="str">
        <f>IFERROR(Tableau3[[#This Row],[Fonds propres]]/Tableau3[[#This Row],[Total Bilan]],"")</f>
        <v/>
      </c>
      <c r="W226" s="180"/>
      <c r="X226" s="191"/>
      <c r="Y226" s="180"/>
      <c r="Z226" s="192" t="str">
        <f>IFERROR(Tableau3[[#This Row],[Chiffre d''affaires]]/Tableau3[[#This Row],[Salariés]],"")</f>
        <v/>
      </c>
      <c r="AA226" s="197"/>
      <c r="AB226" s="197"/>
      <c r="AC226" s="177" t="s">
        <v>207</v>
      </c>
    </row>
    <row r="227" spans="1:29" ht="20.25" customHeight="1">
      <c r="A227" s="217"/>
      <c r="E227" s="187"/>
      <c r="G227" s="202">
        <f>(G226/G228)-1</f>
        <v>8.1375453824645838E-3</v>
      </c>
      <c r="H227" s="203">
        <f>(H226/H228)-1</f>
        <v>7.9365079365079305E-2</v>
      </c>
      <c r="I227" s="203">
        <f>(I226/I228)-1</f>
        <v>0.39558359621451111</v>
      </c>
      <c r="J227" s="203">
        <f>(J226/J228)-1</f>
        <v>2.7596899224806202</v>
      </c>
      <c r="K227" s="188"/>
      <c r="L227" s="188"/>
      <c r="M227" s="194"/>
      <c r="N227" s="190"/>
      <c r="O227" s="190"/>
      <c r="P227" s="188"/>
      <c r="Q227" s="188"/>
      <c r="R227" s="195"/>
      <c r="S227" s="197"/>
      <c r="T227" s="180"/>
      <c r="U227" s="189" t="str">
        <f>IFERROR(IF(Tableau3[[#This Row],[Dettes]]=0,"",(Tableau3[[#This Row],[Dettes]]/Tableau3[[#This Row],[EBE]])),"")</f>
        <v/>
      </c>
      <c r="V227" s="190" t="str">
        <f>IFERROR(Tableau3[[#This Row],[Fonds propres]]/Tableau3[[#This Row],[Total Bilan]],"")</f>
        <v/>
      </c>
      <c r="W227" s="180"/>
      <c r="X227" s="191"/>
      <c r="Y227" s="180"/>
      <c r="Z227" s="192" t="str">
        <f>IFERROR(Tableau3[[#This Row],[Chiffre d''affaires]]/Tableau3[[#This Row],[Salariés]],"")</f>
        <v/>
      </c>
      <c r="AA227" s="197"/>
      <c r="AB227" s="197"/>
      <c r="AC227" s="177" t="s">
        <v>208</v>
      </c>
    </row>
    <row r="228" spans="1:29" ht="20.25" customHeight="1">
      <c r="A228" s="217"/>
      <c r="E228" s="187"/>
      <c r="F228" s="178">
        <v>2017</v>
      </c>
      <c r="G228" s="188">
        <v>2396300000</v>
      </c>
      <c r="H228" s="188">
        <v>504000000</v>
      </c>
      <c r="I228" s="188">
        <v>158500000</v>
      </c>
      <c r="J228" s="188">
        <v>12900000</v>
      </c>
      <c r="K228" s="188">
        <v>1849000000</v>
      </c>
      <c r="L228" s="188">
        <v>4300000</v>
      </c>
      <c r="M228" s="194"/>
      <c r="N228" s="190">
        <f>J228/L230</f>
        <v>0.31695331695331697</v>
      </c>
      <c r="O228" s="190">
        <f>(I228*0.74)/(L230+K230)</f>
        <v>5.8859838410197221E-2</v>
      </c>
      <c r="P228" s="188"/>
      <c r="Q228" s="188"/>
      <c r="R228" s="195"/>
      <c r="S228" s="197"/>
      <c r="T228" s="180"/>
      <c r="U228" s="189">
        <f>IFERROR(IF(Tableau3[[#This Row],[Dettes]]=0,"",(Tableau3[[#This Row],[Dettes]]/Tableau3[[#This Row],[EBE]])),"")</f>
        <v>3.6686507936507935</v>
      </c>
      <c r="V228" s="190" t="str">
        <f>IFERROR(Tableau3[[#This Row],[Fonds propres]]/Tableau3[[#This Row],[Total Bilan]],"")</f>
        <v/>
      </c>
      <c r="W228" s="180"/>
      <c r="X228" s="191"/>
      <c r="Y228" s="180"/>
      <c r="Z228" s="192" t="str">
        <f>IFERROR(Tableau3[[#This Row],[Chiffre d''affaires]]/Tableau3[[#This Row],[Salariés]],"")</f>
        <v/>
      </c>
      <c r="AA228" s="197"/>
      <c r="AB228" s="197"/>
      <c r="AC228" s="177" t="s">
        <v>209</v>
      </c>
    </row>
    <row r="229" spans="1:29" ht="20.25" customHeight="1">
      <c r="A229" s="217"/>
      <c r="E229" s="187"/>
      <c r="G229" s="202">
        <f>(G228/G230)-1</f>
        <v>4.6510612280548536E-2</v>
      </c>
      <c r="H229" s="203">
        <f>(H228/H230)-1</f>
        <v>7.922912205567445E-2</v>
      </c>
      <c r="I229" s="203">
        <f>(I228/I230)-1</f>
        <v>0.4151785714285714</v>
      </c>
      <c r="J229" s="203">
        <f>(J228/J230)-1</f>
        <v>-1.4777777777777779</v>
      </c>
      <c r="K229" s="188"/>
      <c r="L229" s="188"/>
      <c r="M229" s="194"/>
      <c r="N229" s="190"/>
      <c r="O229" s="190"/>
      <c r="P229" s="188"/>
      <c r="Q229" s="188"/>
      <c r="R229" s="195"/>
      <c r="S229" s="197"/>
      <c r="T229" s="180"/>
      <c r="U229" s="189" t="str">
        <f>IFERROR(IF(Tableau3[[#This Row],[Dettes]]=0,"",(Tableau3[[#This Row],[Dettes]]/Tableau3[[#This Row],[EBE]])),"")</f>
        <v/>
      </c>
      <c r="V229" s="190" t="str">
        <f>IFERROR(Tableau3[[#This Row],[Fonds propres]]/Tableau3[[#This Row],[Total Bilan]],"")</f>
        <v/>
      </c>
      <c r="W229" s="180"/>
      <c r="X229" s="191"/>
      <c r="Y229" s="180"/>
      <c r="Z229" s="192" t="str">
        <f>IFERROR(Tableau3[[#This Row],[Chiffre d''affaires]]/Tableau3[[#This Row],[Salariés]],"")</f>
        <v/>
      </c>
      <c r="AA229" s="197"/>
      <c r="AB229" s="197"/>
      <c r="AC229" s="177" t="s">
        <v>210</v>
      </c>
    </row>
    <row r="230" spans="1:29" ht="20.25" customHeight="1">
      <c r="A230" s="217"/>
      <c r="E230" s="187"/>
      <c r="F230" s="178">
        <v>2016</v>
      </c>
      <c r="G230" s="188">
        <v>2289800000</v>
      </c>
      <c r="H230" s="188">
        <v>467000000</v>
      </c>
      <c r="I230" s="188">
        <v>112000000</v>
      </c>
      <c r="J230" s="188">
        <v>-27000000</v>
      </c>
      <c r="K230" s="188">
        <v>1952000000</v>
      </c>
      <c r="L230" s="188">
        <v>40700000</v>
      </c>
      <c r="M230" s="194"/>
      <c r="N230" s="190">
        <f>J230/L230</f>
        <v>-0.66339066339066344</v>
      </c>
      <c r="O230" s="190">
        <f>(I230*0.72)/(L230+K230)</f>
        <v>4.0467707131028256E-2</v>
      </c>
      <c r="P230" s="188"/>
      <c r="Q230" s="188"/>
      <c r="R230" s="195"/>
      <c r="S230" s="197"/>
      <c r="T230" s="180"/>
      <c r="U230" s="189">
        <f>IFERROR(IF(Tableau3[[#This Row],[Dettes]]=0,"",(Tableau3[[#This Row],[Dettes]]/Tableau3[[#This Row],[EBE]])),"")</f>
        <v>4.179871520342612</v>
      </c>
      <c r="V230" s="190" t="str">
        <f>IFERROR(Tableau3[[#This Row],[Fonds propres]]/Tableau3[[#This Row],[Total Bilan]],"")</f>
        <v/>
      </c>
      <c r="W230" s="180"/>
      <c r="X230" s="191"/>
      <c r="Y230" s="180"/>
      <c r="Z230" s="192" t="str">
        <f>IFERROR(Tableau3[[#This Row],[Chiffre d''affaires]]/Tableau3[[#This Row],[Salariés]],"")</f>
        <v/>
      </c>
      <c r="AA230" s="197"/>
      <c r="AB230" s="197"/>
      <c r="AC230" s="177" t="s">
        <v>4469</v>
      </c>
    </row>
    <row r="231" spans="1:29" ht="20.25" customHeight="1">
      <c r="A231" s="217"/>
      <c r="G231" s="188"/>
      <c r="H231" s="188"/>
      <c r="I231" s="188"/>
      <c r="J231" s="188"/>
      <c r="K231" s="188"/>
      <c r="L231" s="188"/>
      <c r="M231" s="194"/>
      <c r="N231" s="190"/>
      <c r="O231" s="190"/>
      <c r="P231" s="188"/>
      <c r="Q231" s="188"/>
      <c r="R231" s="195"/>
      <c r="S231" s="197"/>
      <c r="T231" s="180"/>
      <c r="U231" s="189" t="str">
        <f>IFERROR(IF(Tableau3[[#This Row],[Dettes]]=0,"",(Tableau3[[#This Row],[Dettes]]/Tableau3[[#This Row],[EBE]])),"")</f>
        <v/>
      </c>
      <c r="V231" s="190" t="str">
        <f>IFERROR(Tableau3[[#This Row],[Fonds propres]]/Tableau3[[#This Row],[Total Bilan]],"")</f>
        <v/>
      </c>
      <c r="W231" s="180"/>
      <c r="X231" s="191"/>
      <c r="Y231" s="180"/>
      <c r="Z231" s="192" t="str">
        <f>IFERROR(Tableau3[[#This Row],[Chiffre d''affaires]]/Tableau3[[#This Row],[Salariés]],"")</f>
        <v/>
      </c>
      <c r="AA231" s="197"/>
      <c r="AB231" s="197"/>
      <c r="AC231" s="177" t="s">
        <v>211</v>
      </c>
    </row>
    <row r="232" spans="1:29" ht="20.25" customHeight="1">
      <c r="A232" s="217"/>
      <c r="F232" s="220" t="s">
        <v>212</v>
      </c>
      <c r="G232" s="188"/>
      <c r="H232" s="188"/>
      <c r="I232" s="188"/>
      <c r="J232" s="188"/>
      <c r="K232" s="188"/>
      <c r="L232" s="188"/>
      <c r="M232" s="194"/>
      <c r="N232" s="190"/>
      <c r="O232" s="190"/>
      <c r="P232" s="188"/>
      <c r="Q232" s="188"/>
      <c r="R232" s="195"/>
      <c r="S232" s="197"/>
      <c r="T232" s="180"/>
      <c r="U232" s="189" t="str">
        <f>IFERROR(IF(Tableau3[[#This Row],[Dettes]]=0,"",(Tableau3[[#This Row],[Dettes]]/Tableau3[[#This Row],[EBE]])),"")</f>
        <v/>
      </c>
      <c r="V232" s="190" t="str">
        <f>IFERROR(Tableau3[[#This Row],[Fonds propres]]/Tableau3[[#This Row],[Total Bilan]],"")</f>
        <v/>
      </c>
      <c r="W232" s="180"/>
      <c r="X232" s="191"/>
      <c r="Y232" s="180"/>
      <c r="Z232" s="192" t="str">
        <f>IFERROR(Tableau3[[#This Row],[Chiffre d''affaires]]/Tableau3[[#This Row],[Salariés]],"")</f>
        <v/>
      </c>
      <c r="AA232" s="197"/>
      <c r="AB232" s="197"/>
      <c r="AC232" s="177" t="s">
        <v>213</v>
      </c>
    </row>
    <row r="233" spans="1:29" ht="20.25" customHeight="1">
      <c r="A233" s="217"/>
      <c r="G233" s="188"/>
      <c r="H233" s="188"/>
      <c r="I233" s="188"/>
      <c r="J233" s="188"/>
      <c r="K233" s="188"/>
      <c r="L233" s="188"/>
      <c r="M233" s="194"/>
      <c r="N233" s="190"/>
      <c r="O233" s="190"/>
      <c r="P233" s="188"/>
      <c r="Q233" s="188"/>
      <c r="R233" s="195"/>
      <c r="S233" s="197"/>
      <c r="T233" s="180"/>
      <c r="U233" s="189" t="str">
        <f>IFERROR(IF(Tableau3[[#This Row],[Dettes]]=0,"",(Tableau3[[#This Row],[Dettes]]/Tableau3[[#This Row],[EBE]])),"")</f>
        <v/>
      </c>
      <c r="V233" s="190" t="str">
        <f>IFERROR(Tableau3[[#This Row],[Fonds propres]]/Tableau3[[#This Row],[Total Bilan]],"")</f>
        <v/>
      </c>
      <c r="W233" s="180"/>
      <c r="X233" s="191"/>
      <c r="Y233" s="180"/>
      <c r="Z233" s="192" t="str">
        <f>IFERROR(Tableau3[[#This Row],[Chiffre d''affaires]]/Tableau3[[#This Row],[Salariés]],"")</f>
        <v/>
      </c>
      <c r="AA233" s="197"/>
      <c r="AB233" s="197"/>
      <c r="AC233" s="177" t="s">
        <v>214</v>
      </c>
    </row>
    <row r="234" spans="1:29" ht="20.25" customHeight="1">
      <c r="A234" s="217"/>
      <c r="G234" s="188"/>
      <c r="H234" s="188"/>
      <c r="I234" s="188"/>
      <c r="J234" s="188"/>
      <c r="K234" s="188"/>
      <c r="L234" s="188"/>
      <c r="M234" s="194"/>
      <c r="N234" s="190"/>
      <c r="O234" s="190"/>
      <c r="P234" s="188"/>
      <c r="Q234" s="188"/>
      <c r="R234" s="195"/>
      <c r="S234" s="197"/>
      <c r="T234" s="180"/>
      <c r="U234" s="189" t="str">
        <f>IFERROR(IF(Tableau3[[#This Row],[Dettes]]=0,"",(Tableau3[[#This Row],[Dettes]]/Tableau3[[#This Row],[EBE]])),"")</f>
        <v/>
      </c>
      <c r="V234" s="190" t="str">
        <f>IFERROR(Tableau3[[#This Row],[Fonds propres]]/Tableau3[[#This Row],[Total Bilan]],"")</f>
        <v/>
      </c>
      <c r="W234" s="180"/>
      <c r="X234" s="191"/>
      <c r="Y234" s="180"/>
      <c r="Z234" s="192" t="str">
        <f>IFERROR(Tableau3[[#This Row],[Chiffre d''affaires]]/Tableau3[[#This Row],[Salariés]],"")</f>
        <v/>
      </c>
      <c r="AA234" s="197"/>
      <c r="AB234" s="197"/>
      <c r="AC234" s="177" t="s">
        <v>215</v>
      </c>
    </row>
    <row r="235" spans="1:29" ht="20.25" customHeight="1">
      <c r="A235" s="217"/>
      <c r="G235" s="188"/>
      <c r="H235" s="188"/>
      <c r="I235" s="188"/>
      <c r="J235" s="188"/>
      <c r="K235" s="188"/>
      <c r="L235" s="188"/>
      <c r="M235" s="194"/>
      <c r="N235" s="190"/>
      <c r="O235" s="190"/>
      <c r="P235" s="188"/>
      <c r="Q235" s="188"/>
      <c r="R235" s="195"/>
      <c r="S235" s="197"/>
      <c r="T235" s="180"/>
      <c r="U235" s="189" t="str">
        <f>IFERROR(IF(Tableau3[[#This Row],[Dettes]]=0,"",(Tableau3[[#This Row],[Dettes]]/Tableau3[[#This Row],[EBE]])),"")</f>
        <v/>
      </c>
      <c r="V235" s="190" t="str">
        <f>IFERROR(Tableau3[[#This Row],[Fonds propres]]/Tableau3[[#This Row],[Total Bilan]],"")</f>
        <v/>
      </c>
      <c r="W235" s="180"/>
      <c r="X235" s="191"/>
      <c r="Y235" s="180"/>
      <c r="Z235" s="192" t="str">
        <f>IFERROR(Tableau3[[#This Row],[Chiffre d''affaires]]/Tableau3[[#This Row],[Salariés]],"")</f>
        <v/>
      </c>
      <c r="AA235" s="197"/>
      <c r="AB235" s="197"/>
      <c r="AC235" s="177" t="s">
        <v>216</v>
      </c>
    </row>
    <row r="236" spans="1:29" ht="20.25" customHeight="1">
      <c r="A236" s="217"/>
      <c r="G236" s="188"/>
      <c r="H236" s="188"/>
      <c r="I236" s="188"/>
      <c r="J236" s="188"/>
      <c r="K236" s="188"/>
      <c r="L236" s="188"/>
      <c r="M236" s="194"/>
      <c r="N236" s="190"/>
      <c r="O236" s="190"/>
      <c r="P236" s="188"/>
      <c r="Q236" s="188"/>
      <c r="R236" s="195"/>
      <c r="S236" s="197"/>
      <c r="T236" s="180"/>
      <c r="U236" s="189" t="str">
        <f>IFERROR(IF(Tableau3[[#This Row],[Dettes]]=0,"",(Tableau3[[#This Row],[Dettes]]/Tableau3[[#This Row],[EBE]])),"")</f>
        <v/>
      </c>
      <c r="V236" s="190" t="str">
        <f>IFERROR(Tableau3[[#This Row],[Fonds propres]]/Tableau3[[#This Row],[Total Bilan]],"")</f>
        <v/>
      </c>
      <c r="W236" s="180"/>
      <c r="X236" s="191"/>
      <c r="Y236" s="180"/>
      <c r="Z236" s="192" t="str">
        <f>IFERROR(Tableau3[[#This Row],[Chiffre d''affaires]]/Tableau3[[#This Row],[Salariés]],"")</f>
        <v/>
      </c>
      <c r="AA236" s="197"/>
      <c r="AB236" s="197"/>
      <c r="AC236" s="177" t="s">
        <v>217</v>
      </c>
    </row>
    <row r="237" spans="1:29" ht="20.25" customHeight="1">
      <c r="A237" s="217"/>
      <c r="G237" s="188"/>
      <c r="H237" s="188"/>
      <c r="I237" s="188"/>
      <c r="J237" s="188"/>
      <c r="K237" s="188"/>
      <c r="L237" s="188"/>
      <c r="M237" s="194"/>
      <c r="N237" s="190"/>
      <c r="O237" s="190"/>
      <c r="P237" s="188"/>
      <c r="Q237" s="188"/>
      <c r="R237" s="195"/>
      <c r="S237" s="197"/>
      <c r="T237" s="180"/>
      <c r="U237" s="189" t="str">
        <f>IFERROR(IF(Tableau3[[#This Row],[Dettes]]=0,"",(Tableau3[[#This Row],[Dettes]]/Tableau3[[#This Row],[EBE]])),"")</f>
        <v/>
      </c>
      <c r="V237" s="190" t="str">
        <f>IFERROR(Tableau3[[#This Row],[Fonds propres]]/Tableau3[[#This Row],[Total Bilan]],"")</f>
        <v/>
      </c>
      <c r="W237" s="180"/>
      <c r="X237" s="191"/>
      <c r="Y237" s="180"/>
      <c r="Z237" s="192" t="str">
        <f>IFERROR(Tableau3[[#This Row],[Chiffre d''affaires]]/Tableau3[[#This Row],[Salariés]],"")</f>
        <v/>
      </c>
      <c r="AA237" s="197"/>
      <c r="AB237" s="197"/>
      <c r="AC237" s="177" t="s">
        <v>4832</v>
      </c>
    </row>
    <row r="238" spans="1:29" ht="20.25" customHeight="1">
      <c r="A238" s="217"/>
      <c r="G238" s="188"/>
      <c r="H238" s="188"/>
      <c r="I238" s="188"/>
      <c r="J238" s="188"/>
      <c r="K238" s="188"/>
      <c r="L238" s="188"/>
      <c r="M238" s="194"/>
      <c r="N238" s="190"/>
      <c r="O238" s="190"/>
      <c r="P238" s="188"/>
      <c r="Q238" s="188"/>
      <c r="R238" s="195"/>
      <c r="S238" s="197"/>
      <c r="T238" s="180"/>
      <c r="U238" s="189" t="str">
        <f>IFERROR(IF(Tableau3[[#This Row],[Dettes]]=0,"",(Tableau3[[#This Row],[Dettes]]/Tableau3[[#This Row],[EBE]])),"")</f>
        <v/>
      </c>
      <c r="V238" s="190" t="str">
        <f>IFERROR(Tableau3[[#This Row],[Fonds propres]]/Tableau3[[#This Row],[Total Bilan]],"")</f>
        <v/>
      </c>
      <c r="W238" s="180"/>
      <c r="X238" s="191"/>
      <c r="Y238" s="180"/>
      <c r="Z238" s="192" t="str">
        <f>IFERROR(Tableau3[[#This Row],[Chiffre d''affaires]]/Tableau3[[#This Row],[Salariés]],"")</f>
        <v/>
      </c>
      <c r="AA238" s="197"/>
      <c r="AB238" s="197"/>
    </row>
    <row r="239" spans="1:29" ht="20.25" customHeight="1">
      <c r="A239" s="217"/>
      <c r="G239" s="188"/>
      <c r="H239" s="188"/>
      <c r="I239" s="188"/>
      <c r="J239" s="188"/>
      <c r="K239" s="188"/>
      <c r="L239" s="188"/>
      <c r="M239" s="194"/>
      <c r="N239" s="190"/>
      <c r="O239" s="190"/>
      <c r="P239" s="188"/>
      <c r="Q239" s="188"/>
      <c r="R239" s="195"/>
      <c r="S239" s="197"/>
      <c r="T239" s="180"/>
      <c r="U239" s="189" t="str">
        <f>IFERROR(IF(Tableau3[[#This Row],[Dettes]]=0,"",(Tableau3[[#This Row],[Dettes]]/Tableau3[[#This Row],[EBE]])),"")</f>
        <v/>
      </c>
      <c r="V239" s="190" t="str">
        <f>IFERROR(Tableau3[[#This Row],[Fonds propres]]/Tableau3[[#This Row],[Total Bilan]],"")</f>
        <v/>
      </c>
      <c r="W239" s="180"/>
      <c r="X239" s="191"/>
      <c r="Y239" s="180"/>
      <c r="Z239" s="192" t="str">
        <f>IFERROR(Tableau3[[#This Row],[Chiffre d''affaires]]/Tableau3[[#This Row],[Salariés]],"")</f>
        <v/>
      </c>
      <c r="AA239" s="197"/>
      <c r="AB239" s="221" t="s">
        <v>218</v>
      </c>
    </row>
    <row r="240" spans="1:29" ht="20.25" customHeight="1">
      <c r="A240" s="217" t="s">
        <v>219</v>
      </c>
      <c r="B240" s="216" t="s">
        <v>220</v>
      </c>
      <c r="C240" s="178" t="s">
        <v>84</v>
      </c>
      <c r="D240" s="178" t="s">
        <v>85</v>
      </c>
      <c r="E240" s="187">
        <v>98</v>
      </c>
      <c r="F240" s="178">
        <v>2025</v>
      </c>
      <c r="G240" s="188">
        <f>G242*0.97</f>
        <v>11250060000</v>
      </c>
      <c r="H240" s="188"/>
      <c r="I240" s="188">
        <v>3000000000</v>
      </c>
      <c r="J240" s="188">
        <v>1750000000</v>
      </c>
      <c r="K240" s="188">
        <v>12000000000</v>
      </c>
      <c r="L240" s="188">
        <v>15749000000</v>
      </c>
      <c r="M240" s="194">
        <f>L240/P240</f>
        <v>62.429390848657583</v>
      </c>
      <c r="N240" s="190">
        <f>J240/L242</f>
        <v>0.11111816623277669</v>
      </c>
      <c r="O240" s="190">
        <f>(I240*0.75)/(L242+K242)</f>
        <v>8.4269662921348312E-2</v>
      </c>
      <c r="P240" s="188">
        <v>252269000</v>
      </c>
      <c r="Q240" s="188">
        <f>P240*E240</f>
        <v>24722362000</v>
      </c>
      <c r="R240" s="195">
        <f>Q240/L240</f>
        <v>1.5697734459330752</v>
      </c>
      <c r="S240" s="197" t="e">
        <f>(Q240+K240)/H240</f>
        <v>#DIV/0!</v>
      </c>
      <c r="T240" s="180"/>
      <c r="U240" s="189" t="str">
        <f>IFERROR(IF(Tableau3[[#This Row],[Dettes]]=0,"",(Tableau3[[#This Row],[Dettes]]/Tableau3[[#This Row],[EBE]])),"")</f>
        <v/>
      </c>
      <c r="V240" s="190">
        <f>IFERROR(Tableau3[[#This Row],[Fonds propres]]/Tableau3[[#This Row],[Total Bilan]],"")</f>
        <v>0.40191399770320274</v>
      </c>
      <c r="W240" s="180">
        <v>39185000000</v>
      </c>
      <c r="X240" s="191" t="s">
        <v>224</v>
      </c>
      <c r="Y240" s="180"/>
      <c r="Z240" s="192" t="str">
        <f>IFERROR(Tableau3[[#This Row],[Chiffre d''affaires]]/Tableau3[[#This Row],[Salariés]],"")</f>
        <v/>
      </c>
      <c r="AA240" s="197"/>
      <c r="AB240" s="188">
        <v>8423000000</v>
      </c>
      <c r="AC240" s="177" t="s">
        <v>221</v>
      </c>
    </row>
    <row r="241" spans="1:29" ht="20.25" customHeight="1">
      <c r="A241" s="217"/>
      <c r="G241" s="202">
        <f>(G240/G242)-1</f>
        <v>-3.0000000000000027E-2</v>
      </c>
      <c r="H241" s="188"/>
      <c r="I241" s="203">
        <f>(I240/I242)-1</f>
        <v>-3.7227214377406947E-2</v>
      </c>
      <c r="J241" s="203">
        <f>(J240/J242)-1</f>
        <v>0.18563685636856375</v>
      </c>
      <c r="K241" s="188"/>
      <c r="L241" s="188"/>
      <c r="M241" s="194"/>
      <c r="N241" s="190"/>
      <c r="O241" s="190"/>
      <c r="P241" s="188"/>
      <c r="Q241" s="188"/>
      <c r="R241" s="195"/>
      <c r="S241" s="197"/>
      <c r="T241" s="180"/>
      <c r="U241" s="189" t="str">
        <f>IFERROR(IF(Tableau3[[#This Row],[Dettes]]=0,"",(Tableau3[[#This Row],[Dettes]]/Tableau3[[#This Row],[EBE]])),"")</f>
        <v/>
      </c>
      <c r="V241" s="190" t="str">
        <f>IFERROR(Tableau3[[#This Row],[Fonds propres]]/Tableau3[[#This Row],[Total Bilan]],"")</f>
        <v/>
      </c>
      <c r="W241" s="180"/>
      <c r="X241" s="191"/>
      <c r="Y241" s="180"/>
      <c r="Z241" s="192" t="str">
        <f>IFERROR(Tableau3[[#This Row],[Chiffre d''affaires]]/Tableau3[[#This Row],[Salariés]],"")</f>
        <v/>
      </c>
      <c r="AA241" s="197"/>
      <c r="AB241" s="221"/>
      <c r="AC241" s="177" t="s">
        <v>223</v>
      </c>
    </row>
    <row r="242" spans="1:29" ht="20.25" customHeight="1">
      <c r="A242" s="217"/>
      <c r="E242" s="187">
        <v>109</v>
      </c>
      <c r="F242" s="178">
        <v>2024</v>
      </c>
      <c r="G242" s="188">
        <v>11598000000</v>
      </c>
      <c r="H242" s="188">
        <v>3532000000</v>
      </c>
      <c r="I242" s="188">
        <v>3116000000</v>
      </c>
      <c r="J242" s="188">
        <v>1476000000</v>
      </c>
      <c r="K242" s="188">
        <v>10951000000</v>
      </c>
      <c r="L242" s="188">
        <v>15749000000</v>
      </c>
      <c r="M242" s="194">
        <f>L242/P242</f>
        <v>61.608157231402878</v>
      </c>
      <c r="N242" s="190">
        <f>J242/L244</f>
        <v>9.3911051727428904E-2</v>
      </c>
      <c r="O242" s="190">
        <f>(I242*0.75)/(L244+K244)</f>
        <v>8.9919199692189297E-2</v>
      </c>
      <c r="P242" s="188">
        <v>255631733</v>
      </c>
      <c r="Q242" s="188">
        <f>P242*E242</f>
        <v>27863858897</v>
      </c>
      <c r="R242" s="195">
        <f>Q242/L242</f>
        <v>1.769246231316274</v>
      </c>
      <c r="S242" s="197">
        <f>(Q242+K242)/H242</f>
        <v>10.989484398924123</v>
      </c>
      <c r="T242" s="180">
        <v>963000000</v>
      </c>
      <c r="U242" s="189">
        <f>IFERROR(IF(Tableau3[[#This Row],[Dettes]]=0,"",(Tableau3[[#This Row],[Dettes]]/Tableau3[[#This Row],[EBE]])),"")</f>
        <v>3.1005096262740657</v>
      </c>
      <c r="V242" s="190">
        <f>IFERROR(Tableau3[[#This Row],[Fonds propres]]/Tableau3[[#This Row],[Total Bilan]],"")</f>
        <v>0.40191399770320274</v>
      </c>
      <c r="W242" s="180">
        <v>39185000000</v>
      </c>
      <c r="Y242" s="180"/>
      <c r="Z242" s="192" t="str">
        <f>IFERROR(Tableau3[[#This Row],[Chiffre d''affaires]]/Tableau3[[#This Row],[Salariés]],"")</f>
        <v/>
      </c>
      <c r="AA242" s="197"/>
      <c r="AB242" s="188">
        <v>8255000000</v>
      </c>
      <c r="AC242" s="177" t="s">
        <v>225</v>
      </c>
    </row>
    <row r="243" spans="1:29" ht="20.25" customHeight="1">
      <c r="A243" s="217"/>
      <c r="G243" s="202">
        <f>(G242/G244)-1</f>
        <v>-4.4409656422509713E-2</v>
      </c>
      <c r="H243" s="203"/>
      <c r="I243" s="203">
        <f>(I242/I244)-1</f>
        <v>-6.144578313253013E-2</v>
      </c>
      <c r="J243" s="203">
        <f>(J242/J244)-1</f>
        <v>-0.34748010610079572</v>
      </c>
      <c r="K243" s="188"/>
      <c r="L243" s="188"/>
      <c r="M243" s="194"/>
      <c r="N243" s="190"/>
      <c r="O243" s="190"/>
      <c r="P243" s="188"/>
      <c r="Q243" s="188"/>
      <c r="R243" s="195"/>
      <c r="S243" s="197"/>
      <c r="T243" s="180"/>
      <c r="U243" s="189" t="str">
        <f>IFERROR(IF(Tableau3[[#This Row],[Dettes]]=0,"",(Tableau3[[#This Row],[Dettes]]/Tableau3[[#This Row],[EBE]])),"")</f>
        <v/>
      </c>
      <c r="V243" s="190" t="str">
        <f>IFERROR(Tableau3[[#This Row],[Fonds propres]]/Tableau3[[#This Row],[Total Bilan]],"")</f>
        <v/>
      </c>
      <c r="W243" s="180"/>
      <c r="X243" s="191"/>
      <c r="Y243" s="180"/>
      <c r="Z243" s="192" t="str">
        <f>IFERROR(Tableau3[[#This Row],[Chiffre d''affaires]]/Tableau3[[#This Row],[Salariés]],"")</f>
        <v/>
      </c>
      <c r="AA243" s="197"/>
      <c r="AC243" s="177" t="s">
        <v>226</v>
      </c>
    </row>
    <row r="244" spans="1:29" ht="20.25" customHeight="1">
      <c r="A244" s="217"/>
      <c r="E244" s="178">
        <v>202.4</v>
      </c>
      <c r="F244" s="178">
        <v>2023</v>
      </c>
      <c r="G244" s="188">
        <v>12137000000</v>
      </c>
      <c r="H244" s="188"/>
      <c r="I244" s="188">
        <v>3320000000</v>
      </c>
      <c r="J244" s="188">
        <v>2262000000</v>
      </c>
      <c r="K244" s="188">
        <v>10273000000</v>
      </c>
      <c r="L244" s="188">
        <v>15717000000</v>
      </c>
      <c r="M244" s="194">
        <f>L244/P242</f>
        <v>61.4829771544834</v>
      </c>
      <c r="N244" s="190">
        <f>J244/L246</f>
        <v>0.14187155042649272</v>
      </c>
      <c r="O244" s="190">
        <f>(I244*0.75)/(L246+K246)</f>
        <v>0.10121539774805902</v>
      </c>
      <c r="P244" s="188">
        <v>257947355</v>
      </c>
      <c r="Q244" s="188">
        <f>P244*E244</f>
        <v>52208544652</v>
      </c>
      <c r="R244" s="195">
        <f>Q244/L244</f>
        <v>3.3217881689889928</v>
      </c>
      <c r="S244" s="197"/>
      <c r="T244" s="180">
        <v>1431000000</v>
      </c>
      <c r="U244" s="189" t="str">
        <f>IFERROR(IF(Tableau3[[#This Row],[Dettes]]=0,"",(Tableau3[[#This Row],[Dettes]]/Tableau3[[#This Row],[EBE]])),"")</f>
        <v/>
      </c>
      <c r="V244" s="190">
        <f>IFERROR(Tableau3[[#This Row],[Fonds propres]]/Tableau3[[#This Row],[Total Bilan]],"")</f>
        <v>0.41716211912092577</v>
      </c>
      <c r="W244" s="180">
        <v>37676000000</v>
      </c>
      <c r="X244" s="191"/>
      <c r="Y244" s="180">
        <v>20617</v>
      </c>
      <c r="Z244" s="192">
        <f>IFERROR(Tableau3[[#This Row],[Chiffre d''affaires]]/Tableau3[[#This Row],[Salariés]],"")</f>
        <v>588688.94601542421</v>
      </c>
      <c r="AA244" s="197"/>
      <c r="AB244" s="188">
        <v>8104000000</v>
      </c>
      <c r="AC244" s="177" t="s">
        <v>227</v>
      </c>
    </row>
    <row r="245" spans="1:29" ht="20.25" customHeight="1">
      <c r="A245" s="217"/>
      <c r="G245" s="202">
        <f>(G244/G246)-1</f>
        <v>0.13419306606859172</v>
      </c>
      <c r="H245" s="203"/>
      <c r="I245" s="203">
        <f>(I244/I246)-1</f>
        <v>9.9701888042398101E-2</v>
      </c>
      <c r="J245" s="203">
        <f>(J244/J246)-1</f>
        <v>0.13326653306613223</v>
      </c>
      <c r="K245" s="188"/>
      <c r="L245" s="188"/>
      <c r="M245" s="194"/>
      <c r="N245" s="190"/>
      <c r="O245" s="190"/>
      <c r="P245" s="188"/>
      <c r="Q245" s="188"/>
      <c r="R245" s="195"/>
      <c r="S245" s="197"/>
      <c r="T245" s="180"/>
      <c r="U245" s="189" t="str">
        <f>IFERROR(IF(Tableau3[[#This Row],[Dettes]]=0,"",(Tableau3[[#This Row],[Dettes]]/Tableau3[[#This Row],[EBE]])),"")</f>
        <v/>
      </c>
      <c r="V245" s="190" t="str">
        <f>IFERROR(Tableau3[[#This Row],[Fonds propres]]/Tableau3[[#This Row],[Total Bilan]],"")</f>
        <v/>
      </c>
      <c r="W245" s="180"/>
      <c r="X245" s="191"/>
      <c r="Y245" s="180"/>
      <c r="Z245" s="192" t="str">
        <f>IFERROR(Tableau3[[#This Row],[Chiffre d''affaires]]/Tableau3[[#This Row],[Salariés]],"")</f>
        <v/>
      </c>
      <c r="AA245" s="197"/>
      <c r="AB245" s="197"/>
      <c r="AC245" s="177" t="s">
        <v>228</v>
      </c>
    </row>
    <row r="246" spans="1:29" ht="20.25" customHeight="1">
      <c r="A246" s="217"/>
      <c r="E246" s="178">
        <v>175.3</v>
      </c>
      <c r="F246" s="178">
        <v>2022</v>
      </c>
      <c r="G246" s="188">
        <v>10701000000</v>
      </c>
      <c r="H246" s="188"/>
      <c r="I246" s="188">
        <v>3019000000</v>
      </c>
      <c r="J246" s="188">
        <v>1996000000</v>
      </c>
      <c r="K246" s="188">
        <v>8657000000</v>
      </c>
      <c r="L246" s="188">
        <v>15944000000</v>
      </c>
      <c r="M246" s="194">
        <f>L246/P244</f>
        <v>61.811062183599439</v>
      </c>
      <c r="N246" s="190">
        <f>J246/L248</f>
        <v>0.13460111942814754</v>
      </c>
      <c r="O246" s="190">
        <f>(I246*0.75)/(L248+K248)</f>
        <v>0.10162245859701091</v>
      </c>
      <c r="P246" s="188">
        <v>261876560</v>
      </c>
      <c r="Q246" s="188">
        <f>P246*E246</f>
        <v>45906960968</v>
      </c>
      <c r="R246" s="195">
        <f>Q246/L246</f>
        <v>2.87926247917712</v>
      </c>
      <c r="S246" s="197"/>
      <c r="T246" s="180">
        <v>1813000000</v>
      </c>
      <c r="U246" s="189" t="str">
        <f>IFERROR(IF(Tableau3[[#This Row],[Dettes]]=0,"",(Tableau3[[#This Row],[Dettes]]/Tableau3[[#This Row],[EBE]])),"")</f>
        <v/>
      </c>
      <c r="V246" s="190">
        <f>IFERROR(Tableau3[[#This Row],[Fonds propres]]/Tableau3[[#This Row],[Total Bilan]],"")</f>
        <v>0.44274130845273796</v>
      </c>
      <c r="W246" s="180">
        <v>36012000000</v>
      </c>
      <c r="X246" s="191"/>
      <c r="Y246" s="180">
        <v>19480</v>
      </c>
      <c r="Z246" s="192">
        <f>IFERROR(Tableau3[[#This Row],[Chiffre d''affaires]]/Tableau3[[#This Row],[Salariés]],"")</f>
        <v>549332.64887063659</v>
      </c>
      <c r="AA246" s="197"/>
      <c r="AB246" s="197"/>
      <c r="AC246" s="177" t="s">
        <v>229</v>
      </c>
    </row>
    <row r="247" spans="1:29" ht="20.25" customHeight="1">
      <c r="A247" s="217"/>
      <c r="G247" s="202">
        <f>(G246/G248)-1</f>
        <v>0.21271532184950126</v>
      </c>
      <c r="H247" s="203"/>
      <c r="I247" s="203">
        <f>(I246/I248)-1</f>
        <v>0.27869546802202461</v>
      </c>
      <c r="J247" s="203">
        <f>(J246/J248)-1</f>
        <v>0.52950191570881233</v>
      </c>
      <c r="K247" s="188"/>
      <c r="L247" s="188"/>
      <c r="M247" s="194"/>
      <c r="N247" s="190"/>
      <c r="O247" s="190"/>
      <c r="P247" s="178"/>
      <c r="Q247" s="188"/>
      <c r="R247" s="195"/>
      <c r="S247" s="197"/>
      <c r="T247" s="180"/>
      <c r="U247" s="189" t="str">
        <f>IFERROR(IF(Tableau3[[#This Row],[Dettes]]=0,"",(Tableau3[[#This Row],[Dettes]]/Tableau3[[#This Row],[EBE]])),"")</f>
        <v/>
      </c>
      <c r="V247" s="190" t="str">
        <f>IFERROR(Tableau3[[#This Row],[Fonds propres]]/Tableau3[[#This Row],[Total Bilan]],"")</f>
        <v/>
      </c>
      <c r="W247" s="180"/>
      <c r="X247" s="191"/>
      <c r="Y247" s="180"/>
      <c r="Z247" s="192" t="str">
        <f>IFERROR(Tableau3[[#This Row],[Chiffre d''affaires]]/Tableau3[[#This Row],[Salariés]],"")</f>
        <v/>
      </c>
      <c r="AA247" s="197"/>
      <c r="AB247" s="197"/>
      <c r="AC247" s="177" t="s">
        <v>4475</v>
      </c>
    </row>
    <row r="248" spans="1:29" ht="20.25" customHeight="1">
      <c r="A248" s="217"/>
      <c r="E248" s="178">
        <v>187.5</v>
      </c>
      <c r="F248" s="178">
        <v>2021</v>
      </c>
      <c r="G248" s="188">
        <v>8824000000</v>
      </c>
      <c r="H248" s="188"/>
      <c r="I248" s="188">
        <v>2361000000</v>
      </c>
      <c r="J248" s="188">
        <v>1305000000</v>
      </c>
      <c r="K248" s="188">
        <v>7452000000</v>
      </c>
      <c r="L248" s="188">
        <v>14829000000</v>
      </c>
      <c r="M248" s="194">
        <f>L248/P246</f>
        <v>56.625915660416496</v>
      </c>
      <c r="N248" s="190">
        <f>J248/L250</f>
        <v>9.3427835051546393E-2</v>
      </c>
      <c r="O248" s="190">
        <f>(I248*0.75)/(L250+K250)</f>
        <v>7.9079581993569126E-2</v>
      </c>
      <c r="P248" s="188">
        <v>261876560</v>
      </c>
      <c r="Q248" s="188">
        <f>P248*E248</f>
        <v>49101855000</v>
      </c>
      <c r="R248" s="195">
        <f>Q248/L248</f>
        <v>3.3112047339672266</v>
      </c>
      <c r="S248" s="197"/>
      <c r="T248" s="180">
        <v>1628000000</v>
      </c>
      <c r="U248" s="189" t="str">
        <f>IFERROR(IF(Tableau3[[#This Row],[Dettes]]=0,"",(Tableau3[[#This Row],[Dettes]]/Tableau3[[#This Row],[EBE]])),"")</f>
        <v/>
      </c>
      <c r="V248" s="190">
        <f>IFERROR(Tableau3[[#This Row],[Fonds propres]]/Tableau3[[#This Row],[Total Bilan]],"")</f>
        <v>0.46128721187047</v>
      </c>
      <c r="W248" s="180">
        <v>32147000000</v>
      </c>
      <c r="X248" s="191"/>
      <c r="Y248" s="180"/>
      <c r="Z248" s="192" t="str">
        <f>IFERROR(Tableau3[[#This Row],[Chiffre d''affaires]]/Tableau3[[#This Row],[Salariés]],"")</f>
        <v/>
      </c>
      <c r="AA248" s="197"/>
      <c r="AB248" s="197"/>
      <c r="AC248" s="177" t="s">
        <v>4738</v>
      </c>
    </row>
    <row r="249" spans="1:29" ht="20.25" customHeight="1">
      <c r="A249" s="217"/>
      <c r="G249" s="202">
        <f>(G248/G250)-1</f>
        <v>4.450757575757569E-2</v>
      </c>
      <c r="H249" s="203"/>
      <c r="I249" s="203">
        <f>(I248/I250)-1</f>
        <v>1.4141104294478528</v>
      </c>
      <c r="J249" s="203">
        <f>(J248/J250)-1</f>
        <v>2.9665653495440729</v>
      </c>
      <c r="K249" s="188"/>
      <c r="L249" s="188"/>
      <c r="M249" s="194"/>
      <c r="N249" s="190"/>
      <c r="O249" s="190"/>
      <c r="P249" s="188"/>
      <c r="Q249" s="188"/>
      <c r="R249" s="195"/>
      <c r="S249" s="197"/>
      <c r="T249" s="180"/>
      <c r="U249" s="189" t="str">
        <f>IFERROR(IF(Tableau3[[#This Row],[Dettes]]=0,"",(Tableau3[[#This Row],[Dettes]]/Tableau3[[#This Row],[EBE]])),"")</f>
        <v/>
      </c>
      <c r="V249" s="190" t="str">
        <f>IFERROR(Tableau3[[#This Row],[Fonds propres]]/Tableau3[[#This Row],[Total Bilan]],"")</f>
        <v/>
      </c>
      <c r="W249" s="180"/>
      <c r="X249" s="191"/>
      <c r="Y249" s="180"/>
      <c r="Z249" s="192" t="str">
        <f>IFERROR(Tableau3[[#This Row],[Chiffre d''affaires]]/Tableau3[[#This Row],[Salariés]],"")</f>
        <v/>
      </c>
      <c r="AA249" s="197"/>
      <c r="AB249" s="197"/>
      <c r="AC249" s="177" t="s">
        <v>4737</v>
      </c>
    </row>
    <row r="250" spans="1:29" ht="20.25" customHeight="1">
      <c r="A250" s="217"/>
      <c r="E250" s="178">
        <v>140.5</v>
      </c>
      <c r="F250" s="178">
        <v>2020</v>
      </c>
      <c r="G250" s="188">
        <v>8448000000</v>
      </c>
      <c r="H250" s="188"/>
      <c r="I250" s="188">
        <v>978000000</v>
      </c>
      <c r="J250" s="188">
        <v>329000000</v>
      </c>
      <c r="K250" s="188">
        <v>8424000000</v>
      </c>
      <c r="L250" s="188">
        <v>13968000000</v>
      </c>
      <c r="M250" s="194">
        <f>L250/P248</f>
        <v>53.338107083734414</v>
      </c>
      <c r="N250" s="190">
        <f>J250/L252</f>
        <v>2.0579220616751111E-2</v>
      </c>
      <c r="O250" s="190">
        <f>(I250*0.75)/(L252+K252)</f>
        <v>3.1214516626932524E-2</v>
      </c>
      <c r="P250" s="188">
        <v>265421592</v>
      </c>
      <c r="Q250" s="188">
        <f>P250*E250</f>
        <v>37291733676</v>
      </c>
      <c r="R250" s="195">
        <f>Q250/L250</f>
        <v>2.669797657216495</v>
      </c>
      <c r="S250" s="197"/>
      <c r="T250" s="180"/>
      <c r="U250" s="189" t="str">
        <f>IFERROR(IF(Tableau3[[#This Row],[Dettes]]=0,"",(Tableau3[[#This Row],[Dettes]]/Tableau3[[#This Row],[EBE]])),"")</f>
        <v/>
      </c>
      <c r="V250" s="190">
        <f>IFERROR(Tableau3[[#This Row],[Fonds propres]]/Tableau3[[#This Row],[Total Bilan]],"")</f>
        <v>0.44307692307692309</v>
      </c>
      <c r="W250" s="180">
        <v>31525000000</v>
      </c>
      <c r="X250" s="191"/>
      <c r="Y250" s="180"/>
      <c r="Z250" s="192" t="str">
        <f>IFERROR(Tableau3[[#This Row],[Chiffre d''affaires]]/Tableau3[[#This Row],[Salariés]],"")</f>
        <v/>
      </c>
      <c r="AA250" s="197"/>
      <c r="AB250" s="197"/>
      <c r="AC250" s="177" t="s">
        <v>4736</v>
      </c>
    </row>
    <row r="251" spans="1:29" ht="20.25" customHeight="1">
      <c r="A251" s="217"/>
      <c r="G251" s="202">
        <f>(G250/G252)-1</f>
        <v>-7.9939011108690949E-2</v>
      </c>
      <c r="H251" s="203"/>
      <c r="I251" s="203">
        <f>(I250/I252)-1</f>
        <v>-0.58821052631578952</v>
      </c>
      <c r="J251" s="203">
        <f>(J250/J252)-1</f>
        <v>-0.77800269905533059</v>
      </c>
      <c r="K251" s="188"/>
      <c r="L251" s="188"/>
      <c r="M251" s="194"/>
      <c r="N251" s="190"/>
      <c r="O251" s="190"/>
      <c r="P251" s="188"/>
      <c r="Q251" s="188"/>
      <c r="R251" s="195"/>
      <c r="S251" s="197"/>
      <c r="T251" s="180"/>
      <c r="U251" s="189" t="str">
        <f>IFERROR(IF(Tableau3[[#This Row],[Dettes]]=0,"",(Tableau3[[#This Row],[Dettes]]/Tableau3[[#This Row],[EBE]])),"")</f>
        <v/>
      </c>
      <c r="V251" s="190" t="str">
        <f>IFERROR(Tableau3[[#This Row],[Fonds propres]]/Tableau3[[#This Row],[Total Bilan]],"")</f>
        <v/>
      </c>
      <c r="W251" s="180"/>
      <c r="X251" s="191"/>
      <c r="Y251" s="177"/>
      <c r="Z251" s="192" t="str">
        <f>IFERROR(Tableau3[[#This Row],[Chiffre d''affaires]]/Tableau3[[#This Row],[Salariés]],"")</f>
        <v/>
      </c>
      <c r="AA251" s="197"/>
      <c r="AB251" s="197"/>
      <c r="AC251" s="177" t="s">
        <v>4481</v>
      </c>
    </row>
    <row r="252" spans="1:29" ht="20.25" customHeight="1">
      <c r="A252" s="217"/>
      <c r="E252" s="187">
        <v>162.05000000000001</v>
      </c>
      <c r="F252" s="178">
        <v>2019</v>
      </c>
      <c r="G252" s="188">
        <v>9182000000</v>
      </c>
      <c r="H252" s="188"/>
      <c r="I252" s="188">
        <v>2375000000</v>
      </c>
      <c r="J252" s="188">
        <v>1482000000</v>
      </c>
      <c r="K252" s="188">
        <v>7511682000</v>
      </c>
      <c r="L252" s="188">
        <v>15987000000</v>
      </c>
      <c r="M252" s="194">
        <f>L252/P250</f>
        <v>60.232477243222924</v>
      </c>
      <c r="N252" s="190">
        <f>J252/L254</f>
        <v>0.10015543691288775</v>
      </c>
      <c r="O252" s="190">
        <f>(I252*0.75)/(L254+K254)</f>
        <v>7.8265741025528357E-2</v>
      </c>
      <c r="P252" s="188">
        <v>265421592</v>
      </c>
      <c r="Q252" s="188">
        <f>P252*E252</f>
        <v>43011568983.600006</v>
      </c>
      <c r="R252" s="195">
        <f>Q252/L252</f>
        <v>2.6904090188027778</v>
      </c>
      <c r="S252" s="197"/>
      <c r="T252" s="180"/>
      <c r="U252" s="189" t="str">
        <f>IFERROR(IF(Tableau3[[#This Row],[Dettes]]=0,"",(Tableau3[[#This Row],[Dettes]]/Tableau3[[#This Row],[EBE]])),"")</f>
        <v/>
      </c>
      <c r="V252" s="190">
        <f>IFERROR(Tableau3[[#This Row],[Fonds propres]]/Tableau3[[#This Row],[Total Bilan]],"")</f>
        <v>0.51496215171525206</v>
      </c>
      <c r="W252" s="180">
        <v>31045000000</v>
      </c>
      <c r="X252" s="191"/>
      <c r="Y252" s="180"/>
      <c r="Z252" s="192" t="str">
        <f>IFERROR(Tableau3[[#This Row],[Chiffre d''affaires]]/Tableau3[[#This Row],[Salariés]],"")</f>
        <v/>
      </c>
      <c r="AA252" s="197"/>
      <c r="AB252" s="197"/>
      <c r="AC252" s="177" t="s">
        <v>230</v>
      </c>
    </row>
    <row r="253" spans="1:29" ht="20.25" customHeight="1">
      <c r="A253" s="217"/>
      <c r="G253" s="202">
        <f>(G252/G254)-1</f>
        <v>5.274019720247658E-2</v>
      </c>
      <c r="H253" s="203"/>
      <c r="I253" s="203">
        <f>(I252/I254)-1</f>
        <v>3.4407665505226559E-2</v>
      </c>
      <c r="J253" s="203">
        <f>(J252/J254)-1</f>
        <v>-6.0240963855421659E-2</v>
      </c>
      <c r="K253" s="188"/>
      <c r="L253" s="188"/>
      <c r="M253" s="194"/>
      <c r="N253" s="190"/>
      <c r="O253" s="190"/>
      <c r="P253" s="188"/>
      <c r="Q253" s="188"/>
      <c r="R253" s="195"/>
      <c r="S253" s="197"/>
      <c r="T253" s="180"/>
      <c r="U253" s="189" t="str">
        <f>IFERROR(IF(Tableau3[[#This Row],[Dettes]]=0,"",(Tableau3[[#This Row],[Dettes]]/Tableau3[[#This Row],[EBE]])),"")</f>
        <v/>
      </c>
      <c r="V253" s="190" t="str">
        <f>IFERROR(Tableau3[[#This Row],[Fonds propres]]/Tableau3[[#This Row],[Total Bilan]],"")</f>
        <v/>
      </c>
      <c r="W253" s="180"/>
      <c r="X253" s="191"/>
      <c r="Y253" s="180"/>
      <c r="Z253" s="192" t="str">
        <f>IFERROR(Tableau3[[#This Row],[Chiffre d''affaires]]/Tableau3[[#This Row],[Salariés]],"")</f>
        <v/>
      </c>
      <c r="AA253" s="197"/>
      <c r="AB253" s="197"/>
      <c r="AC253" s="177" t="s">
        <v>231</v>
      </c>
    </row>
    <row r="254" spans="1:29" ht="20.25" customHeight="1">
      <c r="A254" s="217"/>
      <c r="E254" s="178">
        <v>139.9</v>
      </c>
      <c r="F254" s="178">
        <v>2018</v>
      </c>
      <c r="G254" s="188">
        <v>8722000000</v>
      </c>
      <c r="H254" s="188"/>
      <c r="I254" s="188">
        <v>2296000000</v>
      </c>
      <c r="J254" s="188">
        <v>1577000000</v>
      </c>
      <c r="K254" s="188">
        <v>7962000000</v>
      </c>
      <c r="L254" s="188">
        <v>14797000000</v>
      </c>
      <c r="M254" s="194">
        <f>L254/P252</f>
        <v>55.749043958714559</v>
      </c>
      <c r="N254" s="190"/>
      <c r="O254" s="190">
        <f>(I254*0.75)/(L256+K256)</f>
        <v>0.21933511654566298</v>
      </c>
      <c r="P254" s="188">
        <v>265421592</v>
      </c>
      <c r="Q254" s="188">
        <f>P254*E254</f>
        <v>37132480720.800003</v>
      </c>
      <c r="R254" s="195">
        <f>Q254/L254</f>
        <v>2.5094600743934583</v>
      </c>
      <c r="S254" s="197"/>
      <c r="T254" s="180"/>
      <c r="U254" s="189" t="str">
        <f>IFERROR(IF(Tableau3[[#This Row],[Dettes]]=0,"",(Tableau3[[#This Row],[Dettes]]/Tableau3[[#This Row],[EBE]])),"")</f>
        <v/>
      </c>
      <c r="V254" s="190">
        <f>IFERROR(Tableau3[[#This Row],[Fonds propres]]/Tableau3[[#This Row],[Total Bilan]],"")</f>
        <v>0.50060897219027001</v>
      </c>
      <c r="W254" s="180">
        <v>29558000000</v>
      </c>
      <c r="X254" s="191"/>
      <c r="Y254" s="180"/>
      <c r="Z254" s="192" t="str">
        <f>IFERROR(Tableau3[[#This Row],[Chiffre d''affaires]]/Tableau3[[#This Row],[Salariés]],"")</f>
        <v/>
      </c>
      <c r="AA254" s="197"/>
      <c r="AB254" s="197"/>
      <c r="AC254" s="177" t="s">
        <v>232</v>
      </c>
    </row>
    <row r="255" spans="1:29" ht="20.25" customHeight="1">
      <c r="A255" s="217"/>
      <c r="G255" s="188"/>
      <c r="H255" s="188"/>
      <c r="I255" s="188"/>
      <c r="J255" s="188"/>
      <c r="K255" s="188"/>
      <c r="L255" s="188"/>
      <c r="M255" s="194"/>
      <c r="N255" s="190"/>
      <c r="O255" s="190"/>
      <c r="P255" s="188"/>
      <c r="Q255" s="188"/>
      <c r="R255" s="195"/>
      <c r="S255" s="197"/>
      <c r="T255" s="180"/>
      <c r="U255" s="189" t="str">
        <f>IFERROR(IF(Tableau3[[#This Row],[Dettes]]=0,"",(Tableau3[[#This Row],[Dettes]]/Tableau3[[#This Row],[EBE]])),"")</f>
        <v/>
      </c>
      <c r="V255" s="190" t="str">
        <f>IFERROR(Tableau3[[#This Row],[Fonds propres]]/Tableau3[[#This Row],[Total Bilan]],"")</f>
        <v/>
      </c>
      <c r="W255" s="180"/>
      <c r="X255" s="191"/>
      <c r="Y255" s="180"/>
      <c r="Z255" s="192" t="str">
        <f>IFERROR(Tableau3[[#This Row],[Chiffre d''affaires]]/Tableau3[[#This Row],[Salariés]],"")</f>
        <v/>
      </c>
      <c r="AA255" s="197"/>
      <c r="AB255" s="197"/>
      <c r="AC255" s="216" t="s">
        <v>4507</v>
      </c>
    </row>
    <row r="256" spans="1:29" ht="20.25" customHeight="1">
      <c r="A256" s="217"/>
      <c r="E256" s="178">
        <v>117.2</v>
      </c>
      <c r="F256" s="178">
        <v>2017</v>
      </c>
      <c r="G256" s="188"/>
      <c r="H256" s="188"/>
      <c r="I256" s="188"/>
      <c r="J256" s="188"/>
      <c r="K256" s="188">
        <v>7851000000</v>
      </c>
      <c r="L256" s="188"/>
      <c r="M256" s="194"/>
      <c r="N256" s="190"/>
      <c r="O256" s="190"/>
      <c r="P256" s="188"/>
      <c r="Q256" s="188"/>
      <c r="R256" s="195"/>
      <c r="S256" s="197"/>
      <c r="T256" s="180"/>
      <c r="U256" s="189" t="str">
        <f>IFERROR(IF(Tableau3[[#This Row],[Dettes]]=0,"",(Tableau3[[#This Row],[Dettes]]/Tableau3[[#This Row],[EBE]])),"")</f>
        <v/>
      </c>
      <c r="V256" s="190" t="str">
        <f>IFERROR(Tableau3[[#This Row],[Fonds propres]]/Tableau3[[#This Row],[Total Bilan]],"")</f>
        <v/>
      </c>
      <c r="W256" s="180"/>
      <c r="X256" s="191"/>
      <c r="Y256" s="180"/>
      <c r="Z256" s="192" t="str">
        <f>IFERROR(Tableau3[[#This Row],[Chiffre d''affaires]]/Tableau3[[#This Row],[Salariés]],"")</f>
        <v/>
      </c>
      <c r="AA256" s="197"/>
      <c r="AB256" s="197"/>
      <c r="AC256" s="216" t="s">
        <v>233</v>
      </c>
    </row>
    <row r="257" spans="1:29" ht="20.25" customHeight="1">
      <c r="A257" s="217"/>
      <c r="G257" s="188"/>
      <c r="H257" s="188"/>
      <c r="I257" s="188"/>
      <c r="J257" s="188"/>
      <c r="K257" s="188"/>
      <c r="L257" s="188"/>
      <c r="M257" s="194"/>
      <c r="N257" s="190"/>
      <c r="O257" s="190"/>
      <c r="P257" s="188"/>
      <c r="Q257" s="188"/>
      <c r="R257" s="195"/>
      <c r="S257" s="197"/>
      <c r="T257" s="180"/>
      <c r="U257" s="189" t="str">
        <f>IFERROR(IF(Tableau3[[#This Row],[Dettes]]=0,"",(Tableau3[[#This Row],[Dettes]]/Tableau3[[#This Row],[EBE]])),"")</f>
        <v/>
      </c>
      <c r="V257" s="190" t="str">
        <f>IFERROR(Tableau3[[#This Row],[Fonds propres]]/Tableau3[[#This Row],[Total Bilan]],"")</f>
        <v/>
      </c>
      <c r="W257" s="180"/>
      <c r="X257" s="191"/>
      <c r="Y257" s="180"/>
      <c r="Z257" s="192" t="str">
        <f>IFERROR(Tableau3[[#This Row],[Chiffre d''affaires]]/Tableau3[[#This Row],[Salariés]],"")</f>
        <v/>
      </c>
      <c r="AA257" s="197"/>
      <c r="AB257" s="197"/>
      <c r="AC257" s="216" t="s">
        <v>234</v>
      </c>
    </row>
    <row r="258" spans="1:29" ht="20.25" customHeight="1">
      <c r="A258" s="217"/>
      <c r="E258" s="178">
        <v>100.1</v>
      </c>
      <c r="F258" s="178">
        <v>2016</v>
      </c>
      <c r="G258" s="188"/>
      <c r="H258" s="188"/>
      <c r="I258" s="188"/>
      <c r="J258" s="188"/>
      <c r="K258" s="188"/>
      <c r="L258" s="188"/>
      <c r="M258" s="194"/>
      <c r="N258" s="190"/>
      <c r="O258" s="190"/>
      <c r="P258" s="188"/>
      <c r="Q258" s="188"/>
      <c r="R258" s="195"/>
      <c r="S258" s="197"/>
      <c r="T258" s="180"/>
      <c r="U258" s="189" t="str">
        <f>IFERROR(IF(Tableau3[[#This Row],[Dettes]]=0,"",(Tableau3[[#This Row],[Dettes]]/Tableau3[[#This Row],[EBE]])),"")</f>
        <v/>
      </c>
      <c r="V258" s="190" t="str">
        <f>IFERROR(Tableau3[[#This Row],[Fonds propres]]/Tableau3[[#This Row],[Total Bilan]],"")</f>
        <v/>
      </c>
      <c r="W258" s="180"/>
      <c r="X258" s="191"/>
      <c r="Y258" s="180"/>
      <c r="Z258" s="192" t="str">
        <f>IFERROR(Tableau3[[#This Row],[Chiffre d''affaires]]/Tableau3[[#This Row],[Salariés]],"")</f>
        <v/>
      </c>
      <c r="AA258" s="197"/>
      <c r="AB258" s="197"/>
      <c r="AC258" s="177" t="s">
        <v>235</v>
      </c>
    </row>
    <row r="259" spans="1:29" ht="20.25" customHeight="1">
      <c r="A259" s="217"/>
      <c r="G259" s="188"/>
      <c r="H259" s="188"/>
      <c r="I259" s="188"/>
      <c r="J259" s="188"/>
      <c r="K259" s="188"/>
      <c r="L259" s="188"/>
      <c r="M259" s="194"/>
      <c r="N259" s="190"/>
      <c r="O259" s="190"/>
      <c r="P259" s="188"/>
      <c r="Q259" s="188"/>
      <c r="R259" s="195"/>
      <c r="S259" s="197"/>
      <c r="T259" s="180"/>
      <c r="U259" s="189" t="str">
        <f>IFERROR(IF(Tableau3[[#This Row],[Dettes]]=0,"",(Tableau3[[#This Row],[Dettes]]/Tableau3[[#This Row],[EBE]])),"")</f>
        <v/>
      </c>
      <c r="V259" s="190" t="str">
        <f>IFERROR(Tableau3[[#This Row],[Fonds propres]]/Tableau3[[#This Row],[Total Bilan]],"")</f>
        <v/>
      </c>
      <c r="W259" s="180"/>
      <c r="X259" s="191"/>
      <c r="Y259" s="180"/>
      <c r="Z259" s="192" t="str">
        <f>IFERROR(Tableau3[[#This Row],[Chiffre d''affaires]]/Tableau3[[#This Row],[Salariés]],"")</f>
        <v/>
      </c>
      <c r="AA259" s="197"/>
      <c r="AB259" s="197"/>
      <c r="AC259" s="177" t="s">
        <v>4739</v>
      </c>
    </row>
    <row r="260" spans="1:29" ht="20.25" customHeight="1">
      <c r="A260" s="217"/>
      <c r="E260" s="178">
        <v>103.6</v>
      </c>
      <c r="F260" s="178">
        <v>2015</v>
      </c>
      <c r="G260" s="188"/>
      <c r="H260" s="188"/>
      <c r="I260" s="188"/>
      <c r="J260" s="188"/>
      <c r="K260" s="188"/>
      <c r="L260" s="188"/>
      <c r="M260" s="194"/>
      <c r="N260" s="190"/>
      <c r="O260" s="190"/>
      <c r="P260" s="188"/>
      <c r="Q260" s="188"/>
      <c r="R260" s="195"/>
      <c r="S260" s="197"/>
      <c r="T260" s="180"/>
      <c r="U260" s="189" t="str">
        <f>IFERROR(IF(Tableau3[[#This Row],[Dettes]]=0,"",(Tableau3[[#This Row],[Dettes]]/Tableau3[[#This Row],[EBE]])),"")</f>
        <v/>
      </c>
      <c r="V260" s="190" t="str">
        <f>IFERROR(Tableau3[[#This Row],[Fonds propres]]/Tableau3[[#This Row],[Total Bilan]],"")</f>
        <v/>
      </c>
      <c r="W260" s="180"/>
      <c r="X260" s="191"/>
      <c r="Y260" s="180"/>
      <c r="Z260" s="192" t="str">
        <f>IFERROR(Tableau3[[#This Row],[Chiffre d''affaires]]/Tableau3[[#This Row],[Salariés]],"")</f>
        <v/>
      </c>
      <c r="AA260" s="197"/>
      <c r="AB260" s="197"/>
      <c r="AC260" s="177" t="s">
        <v>236</v>
      </c>
    </row>
    <row r="261" spans="1:29" ht="20.25" customHeight="1">
      <c r="A261" s="217"/>
      <c r="G261" s="188"/>
      <c r="H261" s="188"/>
      <c r="I261" s="188"/>
      <c r="J261" s="188"/>
      <c r="K261" s="188"/>
      <c r="L261" s="188"/>
      <c r="M261" s="194"/>
      <c r="N261" s="190"/>
      <c r="O261" s="190"/>
      <c r="P261" s="188"/>
      <c r="Q261" s="188"/>
      <c r="R261" s="195"/>
      <c r="S261" s="197"/>
      <c r="T261" s="180"/>
      <c r="U261" s="189" t="str">
        <f>IFERROR(IF(Tableau3[[#This Row],[Dettes]]=0,"",(Tableau3[[#This Row],[Dettes]]/Tableau3[[#This Row],[EBE]])),"")</f>
        <v/>
      </c>
      <c r="V261" s="190" t="str">
        <f>IFERROR(Tableau3[[#This Row],[Fonds propres]]/Tableau3[[#This Row],[Total Bilan]],"")</f>
        <v/>
      </c>
      <c r="W261" s="180"/>
      <c r="X261" s="191"/>
      <c r="Y261" s="180"/>
      <c r="Z261" s="192" t="str">
        <f>IFERROR(Tableau3[[#This Row],[Chiffre d''affaires]]/Tableau3[[#This Row],[Salariés]],"")</f>
        <v/>
      </c>
      <c r="AA261" s="197"/>
      <c r="AB261" s="197"/>
      <c r="AC261" s="177" t="s">
        <v>237</v>
      </c>
    </row>
    <row r="262" spans="1:29" ht="20.25" customHeight="1">
      <c r="A262" s="217"/>
      <c r="E262" s="178">
        <v>87.7</v>
      </c>
      <c r="F262" s="178">
        <v>2014</v>
      </c>
      <c r="G262" s="188">
        <v>7945000000</v>
      </c>
      <c r="H262" s="188"/>
      <c r="I262" s="188">
        <v>1817000000</v>
      </c>
      <c r="J262" s="188">
        <v>1016000000</v>
      </c>
      <c r="K262" s="188">
        <v>8403000000</v>
      </c>
      <c r="L262" s="188">
        <v>11621000000</v>
      </c>
      <c r="M262" s="194"/>
      <c r="N262" s="190"/>
      <c r="O262" s="190"/>
      <c r="P262" s="188">
        <v>265421592</v>
      </c>
      <c r="Q262" s="188">
        <f>P262*E262</f>
        <v>23277473618.400002</v>
      </c>
      <c r="R262" s="195">
        <f>Q262/L262</f>
        <v>2.0030525443937699</v>
      </c>
      <c r="S262" s="197"/>
      <c r="T262" s="180"/>
      <c r="U262" s="189" t="str">
        <f>IFERROR(IF(Tableau3[[#This Row],[Dettes]]=0,"",(Tableau3[[#This Row],[Dettes]]/Tableau3[[#This Row],[EBE]])),"")</f>
        <v/>
      </c>
      <c r="V262" s="190">
        <f>IFERROR(Tableau3[[#This Row],[Fonds propres]]/Tableau3[[#This Row],[Total Bilan]],"")</f>
        <v>0.42080677867902666</v>
      </c>
      <c r="W262" s="180">
        <v>27616000000</v>
      </c>
      <c r="X262" s="191"/>
      <c r="Y262" s="180">
        <v>10523</v>
      </c>
      <c r="Z262" s="192">
        <f>IFERROR(Tableau3[[#This Row],[Chiffre d''affaires]]/Tableau3[[#This Row],[Salariés]],"")</f>
        <v>755012.82904114795</v>
      </c>
      <c r="AA262" s="197"/>
      <c r="AB262" s="197"/>
      <c r="AC262" s="177" t="s">
        <v>238</v>
      </c>
    </row>
    <row r="263" spans="1:29" ht="20.25" customHeight="1">
      <c r="A263" s="217"/>
      <c r="G263" s="188"/>
      <c r="H263" s="188"/>
      <c r="I263" s="188"/>
      <c r="J263" s="188"/>
      <c r="K263" s="188"/>
      <c r="L263" s="188"/>
      <c r="M263" s="194"/>
      <c r="N263" s="190"/>
      <c r="O263" s="190"/>
      <c r="P263" s="188"/>
      <c r="Q263" s="188"/>
      <c r="R263" s="195"/>
      <c r="S263" s="197"/>
      <c r="T263" s="180"/>
      <c r="U263" s="189" t="str">
        <f>IFERROR(IF(Tableau3[[#This Row],[Dettes]]=0,"",(Tableau3[[#This Row],[Dettes]]/Tableau3[[#This Row],[EBE]])),"")</f>
        <v/>
      </c>
      <c r="V263" s="190" t="str">
        <f>IFERROR(Tableau3[[#This Row],[Fonds propres]]/Tableau3[[#This Row],[Total Bilan]],"")</f>
        <v/>
      </c>
      <c r="W263" s="180"/>
      <c r="X263" s="191"/>
      <c r="Y263" s="180"/>
      <c r="Z263" s="192" t="str">
        <f>IFERROR(Tableau3[[#This Row],[Chiffre d''affaires]]/Tableau3[[#This Row],[Salariés]],"")</f>
        <v/>
      </c>
      <c r="AA263" s="197"/>
      <c r="AB263" s="197"/>
      <c r="AC263" s="177" t="s">
        <v>239</v>
      </c>
    </row>
    <row r="264" spans="1:29" ht="20.25" customHeight="1">
      <c r="A264" s="217"/>
      <c r="E264" s="178">
        <v>85.2</v>
      </c>
      <c r="F264" s="178">
        <v>2013</v>
      </c>
      <c r="G264" s="188"/>
      <c r="H264" s="188"/>
      <c r="I264" s="188"/>
      <c r="J264" s="188"/>
      <c r="K264" s="188"/>
      <c r="L264" s="188"/>
      <c r="M264" s="194"/>
      <c r="N264" s="190"/>
      <c r="O264" s="190"/>
      <c r="P264" s="188"/>
      <c r="Q264" s="188"/>
      <c r="R264" s="195"/>
      <c r="S264" s="197"/>
      <c r="T264" s="180"/>
      <c r="U264" s="189" t="str">
        <f>IFERROR(IF(Tableau3[[#This Row],[Dettes]]=0,"",(Tableau3[[#This Row],[Dettes]]/Tableau3[[#This Row],[EBE]])),"")</f>
        <v/>
      </c>
      <c r="V264" s="190" t="str">
        <f>IFERROR(Tableau3[[#This Row],[Fonds propres]]/Tableau3[[#This Row],[Total Bilan]],"")</f>
        <v/>
      </c>
      <c r="W264" s="180"/>
      <c r="X264" s="191"/>
      <c r="Y264" s="180"/>
      <c r="Z264" s="192" t="str">
        <f>IFERROR(Tableau3[[#This Row],[Chiffre d''affaires]]/Tableau3[[#This Row],[Salariés]],"")</f>
        <v/>
      </c>
      <c r="AA264" s="197"/>
      <c r="AB264" s="197"/>
      <c r="AC264" s="177" t="s">
        <v>240</v>
      </c>
    </row>
    <row r="265" spans="1:29" ht="20.25" customHeight="1">
      <c r="A265" s="217"/>
      <c r="G265" s="188"/>
      <c r="H265" s="188"/>
      <c r="I265" s="188"/>
      <c r="J265" s="188"/>
      <c r="K265" s="188"/>
      <c r="L265" s="188"/>
      <c r="M265" s="194"/>
      <c r="N265" s="190"/>
      <c r="O265" s="190"/>
      <c r="P265" s="188"/>
      <c r="Q265" s="188"/>
      <c r="R265" s="195"/>
      <c r="S265" s="197"/>
      <c r="T265" s="180"/>
      <c r="U265" s="189" t="str">
        <f>IFERROR(IF(Tableau3[[#This Row],[Dettes]]=0,"",(Tableau3[[#This Row],[Dettes]]/Tableau3[[#This Row],[EBE]])),"")</f>
        <v/>
      </c>
      <c r="V265" s="190" t="str">
        <f>IFERROR(Tableau3[[#This Row],[Fonds propres]]/Tableau3[[#This Row],[Total Bilan]],"")</f>
        <v/>
      </c>
      <c r="W265" s="180"/>
      <c r="X265" s="191"/>
      <c r="Y265" s="180"/>
      <c r="Z265" s="192" t="str">
        <f>IFERROR(Tableau3[[#This Row],[Chiffre d''affaires]]/Tableau3[[#This Row],[Salariés]],"")</f>
        <v/>
      </c>
      <c r="AA265" s="197"/>
      <c r="AB265" s="197"/>
      <c r="AC265" s="177" t="s">
        <v>241</v>
      </c>
    </row>
    <row r="266" spans="1:29" ht="20.25" customHeight="1">
      <c r="A266" s="217"/>
      <c r="G266" s="188"/>
      <c r="H266" s="188"/>
      <c r="I266" s="188"/>
      <c r="J266" s="188"/>
      <c r="K266" s="188"/>
      <c r="L266" s="188"/>
      <c r="M266" s="194"/>
      <c r="N266" s="190"/>
      <c r="O266" s="190"/>
      <c r="P266" s="188"/>
      <c r="Q266" s="188"/>
      <c r="R266" s="195"/>
      <c r="S266" s="197"/>
      <c r="T266" s="180"/>
      <c r="U266" s="189" t="str">
        <f>IFERROR(IF(Tableau3[[#This Row],[Dettes]]=0,"",(Tableau3[[#This Row],[Dettes]]/Tableau3[[#This Row],[EBE]])),"")</f>
        <v/>
      </c>
      <c r="V266" s="190" t="str">
        <f>IFERROR(Tableau3[[#This Row],[Fonds propres]]/Tableau3[[#This Row],[Total Bilan]],"")</f>
        <v/>
      </c>
      <c r="W266" s="180"/>
      <c r="X266" s="191"/>
      <c r="Y266" s="180"/>
      <c r="Z266" s="192" t="str">
        <f>IFERROR(Tableau3[[#This Row],[Chiffre d''affaires]]/Tableau3[[#This Row],[Salariés]],"")</f>
        <v/>
      </c>
      <c r="AA266" s="197"/>
      <c r="AB266" s="197"/>
    </row>
    <row r="267" spans="1:29" ht="20.25" customHeight="1">
      <c r="A267" s="217"/>
      <c r="G267" s="188"/>
      <c r="H267" s="188"/>
      <c r="I267" s="188"/>
      <c r="J267" s="188"/>
      <c r="K267" s="188"/>
      <c r="L267" s="188"/>
      <c r="M267" s="194"/>
      <c r="N267" s="190"/>
      <c r="O267" s="190"/>
      <c r="P267" s="188"/>
      <c r="Q267" s="188"/>
      <c r="R267" s="195"/>
      <c r="S267" s="197"/>
      <c r="T267" s="180"/>
      <c r="U267" s="189" t="str">
        <f>IFERROR(IF(Tableau3[[#This Row],[Dettes]]=0,"",(Tableau3[[#This Row],[Dettes]]/Tableau3[[#This Row],[EBE]])),"")</f>
        <v/>
      </c>
      <c r="V267" s="190" t="str">
        <f>IFERROR(Tableau3[[#This Row],[Fonds propres]]/Tableau3[[#This Row],[Total Bilan]],"")</f>
        <v/>
      </c>
      <c r="W267" s="180"/>
      <c r="X267" s="191"/>
      <c r="Y267" s="180"/>
      <c r="Z267" s="192" t="str">
        <f>IFERROR(Tableau3[[#This Row],[Chiffre d''affaires]]/Tableau3[[#This Row],[Salariés]],"")</f>
        <v/>
      </c>
      <c r="AA267" s="197"/>
      <c r="AB267" s="197"/>
    </row>
    <row r="268" spans="1:29" ht="20.25" customHeight="1">
      <c r="A268" s="217"/>
      <c r="G268" s="188"/>
      <c r="H268" s="188"/>
      <c r="I268" s="188"/>
      <c r="J268" s="188"/>
      <c r="K268" s="188"/>
      <c r="L268" s="188"/>
      <c r="M268" s="194"/>
      <c r="N268" s="190"/>
      <c r="O268" s="190"/>
      <c r="P268" s="188"/>
      <c r="Q268" s="188"/>
      <c r="R268" s="195"/>
      <c r="S268" s="197"/>
      <c r="T268" s="180"/>
      <c r="U268" s="189" t="str">
        <f>IFERROR(IF(Tableau3[[#This Row],[Dettes]]=0,"",(Tableau3[[#This Row],[Dettes]]/Tableau3[[#This Row],[EBE]])),"")</f>
        <v/>
      </c>
      <c r="V268" s="190" t="str">
        <f>IFERROR(Tableau3[[#This Row],[Fonds propres]]/Tableau3[[#This Row],[Total Bilan]],"")</f>
        <v/>
      </c>
      <c r="W268" s="180"/>
      <c r="X268" s="191"/>
      <c r="Y268" s="180"/>
      <c r="Z268" s="192" t="str">
        <f>IFERROR(Tableau3[[#This Row],[Chiffre d''affaires]]/Tableau3[[#This Row],[Salariés]],"")</f>
        <v/>
      </c>
      <c r="AA268" s="197"/>
      <c r="AB268" s="197"/>
    </row>
    <row r="269" spans="1:29" ht="20.25" customHeight="1">
      <c r="A269" s="217" t="s">
        <v>4470</v>
      </c>
      <c r="E269" s="187">
        <v>50</v>
      </c>
      <c r="F269" s="178">
        <v>2025</v>
      </c>
      <c r="G269" s="188">
        <f>G271*0.82</f>
        <v>979162000</v>
      </c>
      <c r="H269" s="188"/>
      <c r="I269" s="188">
        <f>Tableau3[[#This Row],[Chiffre d''affaires]]*0.21</f>
        <v>205624020</v>
      </c>
      <c r="J269" s="188">
        <v>130000000</v>
      </c>
      <c r="K269" s="188"/>
      <c r="L269" s="188"/>
      <c r="M269" s="194"/>
      <c r="N269" s="190"/>
      <c r="O269" s="190"/>
      <c r="P269" s="188">
        <v>51252969</v>
      </c>
      <c r="Q269" s="188">
        <f>P269*E269</f>
        <v>2562648450</v>
      </c>
      <c r="R269" s="195"/>
      <c r="S269" s="197"/>
      <c r="T269" s="180"/>
      <c r="U269" s="189" t="str">
        <f>IFERROR(IF(Tableau3[[#This Row],[Dettes]]=0,"",(Tableau3[[#This Row],[Dettes]]/Tableau3[[#This Row],[EBE]])),"")</f>
        <v/>
      </c>
      <c r="V269" s="190" t="str">
        <f>IFERROR(Tableau3[[#This Row],[Fonds propres]]/Tableau3[[#This Row],[Total Bilan]],"")</f>
        <v/>
      </c>
      <c r="W269" s="180"/>
      <c r="X269" s="191"/>
      <c r="Y269" s="180">
        <v>1943</v>
      </c>
      <c r="Z269" s="192">
        <f>IFERROR(Tableau3[[#This Row],[Chiffre d''affaires]]/Tableau3[[#This Row],[Salariés]],"")</f>
        <v>503943.38651569735</v>
      </c>
      <c r="AA269" s="197"/>
      <c r="AB269" s="197"/>
      <c r="AC269" s="6" t="s">
        <v>4488</v>
      </c>
    </row>
    <row r="270" spans="1:29" ht="20.25" customHeight="1">
      <c r="A270" s="217"/>
      <c r="G270" s="202">
        <f>(G269/G271)-1</f>
        <v>-0.18000000000000005</v>
      </c>
      <c r="H270" s="203"/>
      <c r="I270" s="203">
        <f>(I269/I271)-1</f>
        <v>-0.29484218106995885</v>
      </c>
      <c r="J270" s="203">
        <f>(J269/J271)-1</f>
        <v>-0.29653679653679654</v>
      </c>
      <c r="K270" s="188"/>
      <c r="L270" s="188"/>
      <c r="M270" s="194"/>
      <c r="N270" s="190"/>
      <c r="O270" s="190"/>
      <c r="P270" s="188"/>
      <c r="Q270" s="188"/>
      <c r="R270" s="195"/>
      <c r="S270" s="197"/>
      <c r="T270" s="180"/>
      <c r="U270" s="189" t="str">
        <f>IFERROR(IF(Tableau3[[#This Row],[Dettes]]=0,"",(Tableau3[[#This Row],[Dettes]]/Tableau3[[#This Row],[EBE]])),"")</f>
        <v/>
      </c>
      <c r="V270" s="190" t="str">
        <f>IFERROR(Tableau3[[#This Row],[Fonds propres]]/Tableau3[[#This Row],[Total Bilan]],"")</f>
        <v/>
      </c>
      <c r="W270" s="180"/>
      <c r="X270" s="191"/>
      <c r="Y270" s="180"/>
      <c r="Z270" s="192" t="str">
        <f>IFERROR(Tableau3[[#This Row],[Chiffre d''affaires]]/Tableau3[[#This Row],[Salariés]],"")</f>
        <v/>
      </c>
      <c r="AA270" s="197"/>
      <c r="AB270" s="197"/>
      <c r="AC270" s="6" t="s">
        <v>4482</v>
      </c>
    </row>
    <row r="271" spans="1:29" ht="20.25" customHeight="1">
      <c r="A271" s="217"/>
      <c r="E271" s="178">
        <v>58.4</v>
      </c>
      <c r="F271" s="178">
        <v>2024</v>
      </c>
      <c r="G271" s="188">
        <v>1194100000</v>
      </c>
      <c r="H271" s="188">
        <v>386700000</v>
      </c>
      <c r="I271" s="188">
        <v>291600000</v>
      </c>
      <c r="J271" s="188">
        <v>184800000</v>
      </c>
      <c r="K271" s="188">
        <v>649700000</v>
      </c>
      <c r="L271" s="188">
        <v>1845300000</v>
      </c>
      <c r="M271" s="194">
        <f>L271/P271</f>
        <v>36.003767898792361</v>
      </c>
      <c r="N271" s="190">
        <f>J271/L273</f>
        <v>0.10533515731874145</v>
      </c>
      <c r="O271" s="190">
        <f>(I271*0.75)/(L273+K273)</f>
        <v>9.5460497599301614E-2</v>
      </c>
      <c r="P271" s="188">
        <v>51252969</v>
      </c>
      <c r="Q271" s="188">
        <f>P271*E271</f>
        <v>2993173389.5999999</v>
      </c>
      <c r="R271" s="195">
        <f>Q271/L271</f>
        <v>1.6220524519590309</v>
      </c>
      <c r="S271" s="197">
        <f>(Q271+K271)/H271</f>
        <v>9.420412178950091</v>
      </c>
      <c r="T271" s="180">
        <v>13800000</v>
      </c>
      <c r="U271" s="189">
        <f>IFERROR(IF(Tableau3[[#This Row],[Dettes]]=0,"",(Tableau3[[#This Row],[Dettes]]/Tableau3[[#This Row],[EBE]])),"")</f>
        <v>1.6801137832945436</v>
      </c>
      <c r="V271" s="190">
        <f>IFERROR(Tableau3[[#This Row],[Fonds propres]]/Tableau3[[#This Row],[Total Bilan]],"")</f>
        <v>0.54745305129498323</v>
      </c>
      <c r="W271" s="180">
        <v>3370700000</v>
      </c>
      <c r="X271" s="191"/>
      <c r="Y271" s="180">
        <v>1943</v>
      </c>
      <c r="Z271" s="192">
        <f>IFERROR(Tableau3[[#This Row],[Chiffre d''affaires]]/Tableau3[[#This Row],[Salariés]],"")</f>
        <v>614565.10550694796</v>
      </c>
      <c r="AA271" s="197"/>
      <c r="AB271" s="192">
        <v>1960000000</v>
      </c>
      <c r="AC271" s="6" t="s">
        <v>4577</v>
      </c>
    </row>
    <row r="272" spans="1:29" ht="20.25" customHeight="1">
      <c r="A272" s="217"/>
      <c r="G272" s="202">
        <f>(G271/G273)-1</f>
        <v>-0.22886664514045851</v>
      </c>
      <c r="H272" s="203"/>
      <c r="I272" s="203">
        <f>(I271/I273)-1</f>
        <v>-0.31629542790152398</v>
      </c>
      <c r="J272" s="203">
        <f>(J271/J273)-1</f>
        <v>-0.37100068073519399</v>
      </c>
      <c r="K272" s="188"/>
      <c r="L272" s="188"/>
      <c r="M272" s="194"/>
      <c r="N272" s="190"/>
      <c r="O272" s="190"/>
      <c r="P272" s="188"/>
      <c r="Q272" s="188"/>
      <c r="R272" s="195"/>
      <c r="S272" s="197"/>
      <c r="T272" s="180"/>
      <c r="U272" s="189" t="str">
        <f>IFERROR(IF(Tableau3[[#This Row],[Dettes]]=0,"",(Tableau3[[#This Row],[Dettes]]/Tableau3[[#This Row],[EBE]])),"")</f>
        <v/>
      </c>
      <c r="V272" s="190" t="str">
        <f>IFERROR(Tableau3[[#This Row],[Fonds propres]]/Tableau3[[#This Row],[Total Bilan]],"")</f>
        <v/>
      </c>
      <c r="W272" s="180"/>
      <c r="X272" s="191"/>
      <c r="Y272" s="180"/>
      <c r="Z272" s="192" t="str">
        <f>IFERROR(Tableau3[[#This Row],[Chiffre d''affaires]]/Tableau3[[#This Row],[Salariés]],"")</f>
        <v/>
      </c>
      <c r="AA272" s="197"/>
      <c r="AB272" s="197"/>
      <c r="AC272" s="6" t="s">
        <v>4487</v>
      </c>
    </row>
    <row r="273" spans="1:29" ht="20.25" customHeight="1">
      <c r="A273" s="217"/>
      <c r="E273" s="187">
        <v>156.85</v>
      </c>
      <c r="F273" s="178">
        <v>2023</v>
      </c>
      <c r="G273" s="188">
        <v>1548500000</v>
      </c>
      <c r="H273" s="188">
        <v>450700000</v>
      </c>
      <c r="I273" s="188">
        <v>426500000</v>
      </c>
      <c r="J273" s="188">
        <v>293800000</v>
      </c>
      <c r="K273" s="188">
        <v>536600000</v>
      </c>
      <c r="L273" s="188">
        <v>1754400000</v>
      </c>
      <c r="M273" s="194">
        <f>L273/P271</f>
        <v>34.230212107322018</v>
      </c>
      <c r="N273" s="190">
        <f>J273/L275</f>
        <v>0.17691334979225629</v>
      </c>
      <c r="O273" s="190">
        <f>(I273*0.75)/(L275+K275)</f>
        <v>0.15882571996027806</v>
      </c>
      <c r="P273" s="188">
        <v>50785696</v>
      </c>
      <c r="Q273" s="188">
        <f>P273*E273</f>
        <v>7965736417.5999994</v>
      </c>
      <c r="R273" s="195">
        <f t="shared" ref="R273:R279" si="57">Q273/L273</f>
        <v>4.5404334345645232</v>
      </c>
      <c r="S273" s="197"/>
      <c r="T273" s="180">
        <v>48600000</v>
      </c>
      <c r="U273" s="189">
        <f>IFERROR(IF(Tableau3[[#This Row],[Dettes]]=0,"",(Tableau3[[#This Row],[Dettes]]/Tableau3[[#This Row],[EBE]])),"")</f>
        <v>1.1905924118038607</v>
      </c>
      <c r="V273" s="190">
        <f>IFERROR(Tableau3[[#This Row],[Fonds propres]]/Tableau3[[#This Row],[Total Bilan]],"")</f>
        <v>0.55048635080012553</v>
      </c>
      <c r="W273" s="180">
        <v>3187000000</v>
      </c>
      <c r="X273" s="191"/>
      <c r="Y273" s="180">
        <v>2021</v>
      </c>
      <c r="Z273" s="192">
        <f>IFERROR(Tableau3[[#This Row],[Chiffre d''affaires]]/Tableau3[[#This Row],[Salariés]],"")</f>
        <v>766204.84908461163</v>
      </c>
      <c r="AA273" s="197"/>
      <c r="AB273" s="197"/>
      <c r="AC273" s="177" t="s">
        <v>4735</v>
      </c>
    </row>
    <row r="274" spans="1:29" ht="20.25" customHeight="1">
      <c r="A274" s="217"/>
      <c r="G274" s="202">
        <f>(G273/G275)-1</f>
        <v>0.17945007235890009</v>
      </c>
      <c r="H274" s="203"/>
      <c r="I274" s="203">
        <f>(I273/I275)-1</f>
        <v>0.33156415860131117</v>
      </c>
      <c r="J274" s="203">
        <f>(J273/J275)-1</f>
        <v>0.38258823529411767</v>
      </c>
      <c r="K274" s="188"/>
      <c r="L274" s="188"/>
      <c r="M274" s="194"/>
      <c r="N274" s="190"/>
      <c r="O274" s="190"/>
      <c r="P274" s="188"/>
      <c r="Q274" s="188"/>
      <c r="R274" s="195"/>
      <c r="S274" s="197"/>
      <c r="T274" s="180"/>
      <c r="U274" s="189" t="str">
        <f>IFERROR(IF(Tableau3[[#This Row],[Dettes]]=0,"",(Tableau3[[#This Row],[Dettes]]/Tableau3[[#This Row],[EBE]])),"")</f>
        <v/>
      </c>
      <c r="V274" s="190" t="str">
        <f>IFERROR(Tableau3[[#This Row],[Fonds propres]]/Tableau3[[#This Row],[Total Bilan]],"")</f>
        <v/>
      </c>
      <c r="W274" s="180"/>
      <c r="X274" s="191"/>
      <c r="Y274" s="180"/>
      <c r="Z274" s="192" t="str">
        <f>IFERROR(Tableau3[[#This Row],[Chiffre d''affaires]]/Tableau3[[#This Row],[Salariés]],"")</f>
        <v/>
      </c>
      <c r="AA274" s="197"/>
      <c r="AB274" s="197"/>
      <c r="AC274" s="10" t="s">
        <v>4483</v>
      </c>
    </row>
    <row r="275" spans="1:29" ht="20.25" customHeight="1">
      <c r="A275" s="217"/>
      <c r="E275" s="178">
        <v>189.5</v>
      </c>
      <c r="F275" s="178">
        <v>2022</v>
      </c>
      <c r="G275" s="188">
        <v>1312900000</v>
      </c>
      <c r="H275" s="188"/>
      <c r="I275" s="188">
        <v>320300000</v>
      </c>
      <c r="J275" s="188">
        <v>212500000</v>
      </c>
      <c r="K275" s="188">
        <v>353300000</v>
      </c>
      <c r="L275" s="188">
        <v>1660700000</v>
      </c>
      <c r="M275" s="194">
        <f>L275/P273</f>
        <v>32.70015242087063</v>
      </c>
      <c r="N275" s="190">
        <f>J275/L277</f>
        <v>0.13723843967966934</v>
      </c>
      <c r="O275" s="190">
        <f>(I275*0.75)/(L277+K277)</f>
        <v>0.12896601707199226</v>
      </c>
      <c r="P275" s="188">
        <v>51152502</v>
      </c>
      <c r="Q275" s="188">
        <f>P275*E275</f>
        <v>9693399129</v>
      </c>
      <c r="R275" s="195">
        <f t="shared" si="57"/>
        <v>5.8369357072318904</v>
      </c>
      <c r="S275" s="197"/>
      <c r="T275" s="180"/>
      <c r="U275" s="189" t="str">
        <f>IFERROR(IF(Tableau3[[#This Row],[Dettes]]=0,"",(Tableau3[[#This Row],[Dettes]]/Tableau3[[#This Row],[EBE]])),"")</f>
        <v/>
      </c>
      <c r="V275" s="190">
        <f>IFERROR(Tableau3[[#This Row],[Fonds propres]]/Tableau3[[#This Row],[Total Bilan]],"")</f>
        <v>0.55754381252937624</v>
      </c>
      <c r="W275" s="180">
        <v>2978600000</v>
      </c>
      <c r="X275" s="191"/>
      <c r="Y275" s="180">
        <v>1924</v>
      </c>
      <c r="Z275" s="192">
        <f>IFERROR(Tableau3[[#This Row],[Chiffre d''affaires]]/Tableau3[[#This Row],[Salariés]],"")</f>
        <v>682380.45738045743</v>
      </c>
      <c r="AA275" s="197"/>
      <c r="AB275" s="197"/>
      <c r="AC275" s="177" t="s">
        <v>4491</v>
      </c>
    </row>
    <row r="276" spans="1:29" ht="20.25" customHeight="1">
      <c r="A276" s="217"/>
      <c r="G276" s="202">
        <f>(G275/G277)-1</f>
        <v>0.29964363492377744</v>
      </c>
      <c r="H276" s="203"/>
      <c r="I276" s="203">
        <f>(I275/I277)-1</f>
        <v>0.35777871979652387</v>
      </c>
      <c r="J276" s="203">
        <f>(J275/J277)-1</f>
        <v>0.47058823529411775</v>
      </c>
      <c r="K276" s="188"/>
      <c r="L276" s="188"/>
      <c r="M276" s="194"/>
      <c r="N276" s="190"/>
      <c r="O276" s="190"/>
      <c r="P276" s="188"/>
      <c r="Q276" s="188"/>
      <c r="R276" s="195"/>
      <c r="S276" s="197"/>
      <c r="T276" s="180"/>
      <c r="U276" s="189" t="str">
        <f>IFERROR(IF(Tableau3[[#This Row],[Dettes]]=0,"",(Tableau3[[#This Row],[Dettes]]/Tableau3[[#This Row],[EBE]])),"")</f>
        <v/>
      </c>
      <c r="V276" s="190" t="str">
        <f>IFERROR(Tableau3[[#This Row],[Fonds propres]]/Tableau3[[#This Row],[Total Bilan]],"")</f>
        <v/>
      </c>
      <c r="W276" s="180"/>
      <c r="X276" s="191"/>
      <c r="Y276" s="180"/>
      <c r="Z276" s="192" t="str">
        <f>IFERROR(Tableau3[[#This Row],[Chiffre d''affaires]]/Tableau3[[#This Row],[Salariés]],"")</f>
        <v/>
      </c>
      <c r="AA276" s="197"/>
      <c r="AB276" s="197"/>
      <c r="AC276" s="6" t="s">
        <v>4494</v>
      </c>
    </row>
    <row r="277" spans="1:29" ht="20.25" customHeight="1">
      <c r="A277" s="217"/>
      <c r="E277" s="178">
        <v>166.2</v>
      </c>
      <c r="F277" s="178">
        <v>2021</v>
      </c>
      <c r="G277" s="188">
        <v>1010200000</v>
      </c>
      <c r="H277" s="188"/>
      <c r="I277" s="188">
        <v>235900000</v>
      </c>
      <c r="J277" s="188">
        <v>144500000</v>
      </c>
      <c r="K277" s="188">
        <v>314300000</v>
      </c>
      <c r="L277" s="188">
        <v>1548400000</v>
      </c>
      <c r="M277" s="194">
        <f>L277/P275</f>
        <v>30.270269086739884</v>
      </c>
      <c r="N277" s="190">
        <f>J277/L279</f>
        <v>0.1029642297278039</v>
      </c>
      <c r="O277" s="190">
        <f>(I277*0.75)/(L279+K279)</f>
        <v>9.5413363533408832E-2</v>
      </c>
      <c r="P277" s="188">
        <v>50503106</v>
      </c>
      <c r="Q277" s="188">
        <f>P277*E277</f>
        <v>8393616217.1999998</v>
      </c>
      <c r="R277" s="195">
        <f t="shared" si="57"/>
        <v>5.4208319666752773</v>
      </c>
      <c r="S277" s="197"/>
      <c r="T277" s="180"/>
      <c r="U277" s="189" t="str">
        <f>IFERROR(IF(Tableau3[[#This Row],[Dettes]]=0,"",(Tableau3[[#This Row],[Dettes]]/Tableau3[[#This Row],[EBE]])),"")</f>
        <v/>
      </c>
      <c r="V277" s="190">
        <f>IFERROR(Tableau3[[#This Row],[Fonds propres]]/Tableau3[[#This Row],[Total Bilan]],"")</f>
        <v>0.55695838279198595</v>
      </c>
      <c r="W277" s="180">
        <v>2780100000</v>
      </c>
      <c r="X277" s="191"/>
      <c r="Y277" s="180">
        <v>1832</v>
      </c>
      <c r="Z277" s="192">
        <f>IFERROR(Tableau3[[#This Row],[Chiffre d''affaires]]/Tableau3[[#This Row],[Salariés]],"")</f>
        <v>551419.21397379914</v>
      </c>
      <c r="AA277" s="197"/>
      <c r="AB277" s="197"/>
      <c r="AC277" s="6" t="s">
        <v>4471</v>
      </c>
    </row>
    <row r="278" spans="1:29" ht="20.25" customHeight="1">
      <c r="A278" s="217"/>
      <c r="G278" s="202">
        <f>(G277/G279)-1</f>
        <v>-1.4246682279469125E-2</v>
      </c>
      <c r="H278" s="203"/>
      <c r="I278" s="203">
        <f>(I277/I279)-1</f>
        <v>0.20664961636828649</v>
      </c>
      <c r="J278" s="203">
        <f>(J277/J279)-1</f>
        <v>0.2742504409171076</v>
      </c>
      <c r="K278" s="188"/>
      <c r="L278" s="188"/>
      <c r="M278" s="194"/>
      <c r="N278" s="190"/>
      <c r="O278" s="190"/>
      <c r="P278" s="188"/>
      <c r="Q278" s="188"/>
      <c r="R278" s="195"/>
      <c r="S278" s="197"/>
      <c r="T278" s="180"/>
      <c r="U278" s="189" t="str">
        <f>IFERROR(IF(Tableau3[[#This Row],[Dettes]]=0,"",(Tableau3[[#This Row],[Dettes]]/Tableau3[[#This Row],[EBE]])),"")</f>
        <v/>
      </c>
      <c r="V278" s="190" t="str">
        <f>IFERROR(Tableau3[[#This Row],[Fonds propres]]/Tableau3[[#This Row],[Total Bilan]],"")</f>
        <v/>
      </c>
      <c r="W278" s="180"/>
      <c r="X278" s="191"/>
      <c r="Y278" s="180"/>
      <c r="Z278" s="192" t="str">
        <f>IFERROR(Tableau3[[#This Row],[Chiffre d''affaires]]/Tableau3[[#This Row],[Salariés]],"")</f>
        <v/>
      </c>
      <c r="AA278" s="197"/>
      <c r="AB278" s="197"/>
      <c r="AC278" s="6" t="s">
        <v>4861</v>
      </c>
    </row>
    <row r="279" spans="1:29" ht="20.25" customHeight="1">
      <c r="A279" s="217"/>
      <c r="E279" s="178">
        <v>101.8</v>
      </c>
      <c r="F279" s="178">
        <v>2020</v>
      </c>
      <c r="G279" s="188">
        <v>1024800000</v>
      </c>
      <c r="H279" s="188"/>
      <c r="I279" s="188">
        <v>195500000</v>
      </c>
      <c r="J279" s="188">
        <v>113400000</v>
      </c>
      <c r="K279" s="188">
        <v>450900000</v>
      </c>
      <c r="L279" s="188">
        <v>1403400000</v>
      </c>
      <c r="M279" s="194">
        <f>L279/P277</f>
        <v>27.788389886356693</v>
      </c>
      <c r="N279" s="190">
        <f>J279/L281</f>
        <v>7.951756538812145E-2</v>
      </c>
      <c r="O279" s="190">
        <f>(I279*0.75)/(L281+K281)</f>
        <v>8.2862390505792596E-2</v>
      </c>
      <c r="P279" s="188">
        <v>50149787</v>
      </c>
      <c r="Q279" s="188">
        <f>P279*E279</f>
        <v>5105248316.5999994</v>
      </c>
      <c r="R279" s="195">
        <f t="shared" si="57"/>
        <v>3.6377713528573459</v>
      </c>
      <c r="S279" s="197"/>
      <c r="T279" s="180"/>
      <c r="U279" s="189" t="str">
        <f>IFERROR(IF(Tableau3[[#This Row],[Dettes]]=0,"",(Tableau3[[#This Row],[Dettes]]/Tableau3[[#This Row],[EBE]])),"")</f>
        <v/>
      </c>
      <c r="V279" s="190">
        <f>IFERROR(Tableau3[[#This Row],[Fonds propres]]/Tableau3[[#This Row],[Total Bilan]],"")</f>
        <v>0.50324523971743107</v>
      </c>
      <c r="W279" s="180">
        <v>2788700000</v>
      </c>
      <c r="X279" s="191"/>
      <c r="Y279" s="180">
        <v>1853</v>
      </c>
      <c r="Z279" s="192">
        <f>IFERROR(Tableau3[[#This Row],[Chiffre d''affaires]]/Tableau3[[#This Row],[Salariés]],"")</f>
        <v>553049.10955207772</v>
      </c>
      <c r="AA279" s="197"/>
      <c r="AB279" s="197"/>
      <c r="AC279" s="6" t="s">
        <v>4489</v>
      </c>
    </row>
    <row r="280" spans="1:29" ht="20.25" customHeight="1">
      <c r="A280" s="217"/>
      <c r="G280" s="202">
        <f>(G279/G281)-1</f>
        <v>-8.9794830802024994E-2</v>
      </c>
      <c r="H280" s="203"/>
      <c r="I280" s="203">
        <f>(I279/I281)-1</f>
        <v>-0.264484574868322</v>
      </c>
      <c r="J280" s="203">
        <f>(J279/J281)-1</f>
        <v>-0.28768844221105527</v>
      </c>
      <c r="K280" s="188"/>
      <c r="L280" s="188"/>
      <c r="M280" s="194"/>
      <c r="N280" s="190"/>
      <c r="O280" s="190"/>
      <c r="P280" s="188"/>
      <c r="Q280" s="188"/>
      <c r="R280" s="195"/>
      <c r="S280" s="197"/>
      <c r="T280" s="180"/>
      <c r="U280" s="189" t="str">
        <f>IFERROR(IF(Tableau3[[#This Row],[Dettes]]=0,"",(Tableau3[[#This Row],[Dettes]]/Tableau3[[#This Row],[EBE]])),"")</f>
        <v/>
      </c>
      <c r="V280" s="190" t="str">
        <f>IFERROR(Tableau3[[#This Row],[Fonds propres]]/Tableau3[[#This Row],[Total Bilan]],"")</f>
        <v/>
      </c>
      <c r="W280" s="180"/>
      <c r="X280" s="191"/>
      <c r="Y280" s="180"/>
      <c r="Z280" s="192" t="str">
        <f>IFERROR(Tableau3[[#This Row],[Chiffre d''affaires]]/Tableau3[[#This Row],[Salariés]],"")</f>
        <v/>
      </c>
      <c r="AA280" s="197"/>
      <c r="AB280" s="197"/>
      <c r="AC280" s="216" t="s">
        <v>4472</v>
      </c>
    </row>
    <row r="281" spans="1:29" ht="20.25" customHeight="1">
      <c r="A281" s="217"/>
      <c r="E281" s="178">
        <v>118.8</v>
      </c>
      <c r="F281" s="178">
        <v>2019</v>
      </c>
      <c r="G281" s="188">
        <v>1125900000</v>
      </c>
      <c r="H281" s="188"/>
      <c r="I281" s="188">
        <v>265800000</v>
      </c>
      <c r="J281" s="188">
        <v>159200000</v>
      </c>
      <c r="K281" s="188">
        <v>343400000</v>
      </c>
      <c r="L281" s="188">
        <v>1426100000</v>
      </c>
      <c r="M281" s="194">
        <f>L281/P279</f>
        <v>28.436810708687556</v>
      </c>
      <c r="N281" s="190">
        <f>J281/L283</f>
        <v>0.11306818181818182</v>
      </c>
      <c r="O281" s="190">
        <f>(I281*0.75)/(L283+K283)</f>
        <v>0.11790974152717809</v>
      </c>
      <c r="P281" s="188">
        <v>49810000</v>
      </c>
      <c r="Q281" s="188">
        <f>P281*E281</f>
        <v>5917428000</v>
      </c>
      <c r="R281" s="195">
        <f>Q281/L281</f>
        <v>4.1493780239814884</v>
      </c>
      <c r="S281" s="197"/>
      <c r="T281" s="180"/>
      <c r="U281" s="189" t="str">
        <f>IFERROR(IF(Tableau3[[#This Row],[Dettes]]=0,"",(Tableau3[[#This Row],[Dettes]]/Tableau3[[#This Row],[EBE]])),"")</f>
        <v/>
      </c>
      <c r="V281" s="190">
        <f>IFERROR(Tableau3[[#This Row],[Fonds propres]]/Tableau3[[#This Row],[Total Bilan]],"")</f>
        <v>0.54335898803627214</v>
      </c>
      <c r="W281" s="180">
        <v>2624600000</v>
      </c>
      <c r="X281" s="191"/>
      <c r="Y281" s="180">
        <v>1908</v>
      </c>
      <c r="Z281" s="192">
        <f>IFERROR(Tableau3[[#This Row],[Chiffre d''affaires]]/Tableau3[[#This Row],[Salariés]],"")</f>
        <v>590094.33962264156</v>
      </c>
      <c r="AA281" s="197"/>
      <c r="AB281" s="197"/>
      <c r="AC281" s="216" t="s">
        <v>4473</v>
      </c>
    </row>
    <row r="282" spans="1:29" ht="20.25" customHeight="1">
      <c r="A282" s="217"/>
      <c r="G282" s="202">
        <f>(G281/G283)-1</f>
        <v>-9.7604259094941082E-4</v>
      </c>
      <c r="H282" s="203"/>
      <c r="I282" s="203">
        <f>(I281/I283)-1</f>
        <v>0.12151898734177213</v>
      </c>
      <c r="J282" s="203">
        <f>(J281/J283)-1</f>
        <v>7.5675675675675569E-2</v>
      </c>
      <c r="K282" s="188"/>
      <c r="L282" s="188"/>
      <c r="M282" s="194"/>
      <c r="N282" s="190"/>
      <c r="O282" s="190"/>
      <c r="P282" s="188"/>
      <c r="Q282" s="188"/>
      <c r="R282" s="195"/>
      <c r="S282" s="197"/>
      <c r="T282" s="180"/>
      <c r="U282" s="189" t="str">
        <f>IFERROR(IF(Tableau3[[#This Row],[Dettes]]=0,"",(Tableau3[[#This Row],[Dettes]]/Tableau3[[#This Row],[EBE]])),"")</f>
        <v/>
      </c>
      <c r="V282" s="190" t="str">
        <f>IFERROR(Tableau3[[#This Row],[Fonds propres]]/Tableau3[[#This Row],[Total Bilan]],"")</f>
        <v/>
      </c>
      <c r="W282" s="180"/>
      <c r="X282" s="191"/>
      <c r="Y282" s="180"/>
      <c r="Z282" s="192" t="str">
        <f>IFERROR(Tableau3[[#This Row],[Chiffre d''affaires]]/Tableau3[[#This Row],[Salariés]],"")</f>
        <v/>
      </c>
      <c r="AA282" s="197"/>
      <c r="AB282" s="197"/>
      <c r="AC282" s="177" t="s">
        <v>4493</v>
      </c>
    </row>
    <row r="283" spans="1:29" ht="20.25" customHeight="1">
      <c r="A283" s="217"/>
      <c r="E283" s="187">
        <v>114.1</v>
      </c>
      <c r="F283" s="178">
        <v>2018</v>
      </c>
      <c r="G283" s="188">
        <v>1127000000</v>
      </c>
      <c r="H283" s="188"/>
      <c r="I283" s="188">
        <v>237000000</v>
      </c>
      <c r="J283" s="188">
        <v>148000000</v>
      </c>
      <c r="K283" s="188">
        <v>282700000</v>
      </c>
      <c r="L283" s="188">
        <v>1408000000</v>
      </c>
      <c r="M283" s="194">
        <f>L283/P281</f>
        <v>28.267416181489661</v>
      </c>
      <c r="N283" s="190">
        <f>J283/L285</f>
        <v>0.11349693251533742</v>
      </c>
      <c r="O283" s="190">
        <f>(I283*0.75)/(L285+K285)</f>
        <v>0.10491058254146256</v>
      </c>
      <c r="P283" s="188">
        <v>50000000</v>
      </c>
      <c r="Q283" s="188">
        <f>P283*E283</f>
        <v>5705000000</v>
      </c>
      <c r="R283" s="195">
        <f>Q283/L283</f>
        <v>4.0518465909090908</v>
      </c>
      <c r="S283" s="197"/>
      <c r="T283" s="180"/>
      <c r="U283" s="189" t="str">
        <f>IFERROR(IF(Tableau3[[#This Row],[Dettes]]=0,"",(Tableau3[[#This Row],[Dettes]]/Tableau3[[#This Row],[EBE]])),"")</f>
        <v/>
      </c>
      <c r="V283" s="190">
        <f>IFERROR(Tableau3[[#This Row],[Fonds propres]]/Tableau3[[#This Row],[Total Bilan]],"")</f>
        <v>0.55389457120377661</v>
      </c>
      <c r="W283" s="180">
        <v>2542000000</v>
      </c>
      <c r="X283" s="191"/>
      <c r="Y283" s="180">
        <v>1861</v>
      </c>
      <c r="Z283" s="192">
        <f>IFERROR(Tableau3[[#This Row],[Chiffre d''affaires]]/Tableau3[[#This Row],[Salariés]],"")</f>
        <v>605588.39333691564</v>
      </c>
      <c r="AA283" s="197"/>
      <c r="AB283" s="197"/>
      <c r="AC283" s="177" t="s">
        <v>4490</v>
      </c>
    </row>
    <row r="284" spans="1:29" ht="20.25" customHeight="1">
      <c r="A284" s="217"/>
      <c r="E284" s="187"/>
      <c r="G284" s="202">
        <f>(G283/G285)-1</f>
        <v>2.9223744292237397E-2</v>
      </c>
      <c r="H284" s="203"/>
      <c r="I284" s="203">
        <f>(I283/I285)-1</f>
        <v>4.8672566371681381E-2</v>
      </c>
      <c r="J284" s="203">
        <f>(J283/J285)-1</f>
        <v>-0.22105263157894739</v>
      </c>
      <c r="K284" s="188"/>
      <c r="L284" s="188"/>
      <c r="M284" s="194"/>
      <c r="N284" s="190"/>
      <c r="O284" s="190"/>
      <c r="P284" s="188"/>
      <c r="Q284" s="188"/>
      <c r="R284" s="195"/>
      <c r="S284" s="197"/>
      <c r="T284" s="180"/>
      <c r="U284" s="189" t="str">
        <f>IFERROR(IF(Tableau3[[#This Row],[Dettes]]=0,"",(Tableau3[[#This Row],[Dettes]]/Tableau3[[#This Row],[EBE]])),"")</f>
        <v/>
      </c>
      <c r="V284" s="190" t="str">
        <f>IFERROR(Tableau3[[#This Row],[Fonds propres]]/Tableau3[[#This Row],[Total Bilan]],"")</f>
        <v/>
      </c>
      <c r="W284" s="180"/>
      <c r="X284" s="191"/>
      <c r="Y284" s="180"/>
      <c r="Z284" s="192" t="str">
        <f>IFERROR(Tableau3[[#This Row],[Chiffre d''affaires]]/Tableau3[[#This Row],[Salariés]],"")</f>
        <v/>
      </c>
      <c r="AA284" s="197"/>
      <c r="AB284" s="197"/>
      <c r="AC284" s="177" t="s">
        <v>4477</v>
      </c>
    </row>
    <row r="285" spans="1:29" ht="20.25" customHeight="1">
      <c r="A285" s="217"/>
      <c r="E285" s="187">
        <v>92.62</v>
      </c>
      <c r="F285" s="178">
        <v>2017</v>
      </c>
      <c r="G285" s="188">
        <v>1095000000</v>
      </c>
      <c r="H285" s="188"/>
      <c r="I285" s="188">
        <v>226000000</v>
      </c>
      <c r="J285" s="188">
        <v>190000000</v>
      </c>
      <c r="K285" s="188">
        <v>390300000</v>
      </c>
      <c r="L285" s="188">
        <v>1304000000</v>
      </c>
      <c r="M285" s="194">
        <f>L285/P283</f>
        <v>26.08</v>
      </c>
      <c r="N285" s="190">
        <f>J285/L287</f>
        <v>0.17070979335130279</v>
      </c>
      <c r="O285" s="190">
        <f>(I285*0.75)/(L287+K287)</f>
        <v>0.10787932790224032</v>
      </c>
      <c r="P285" s="188">
        <v>49580000</v>
      </c>
      <c r="Q285" s="188">
        <f>P285*E285</f>
        <v>4592099600</v>
      </c>
      <c r="R285" s="195">
        <f>Q285/L285</f>
        <v>3.5215487730061348</v>
      </c>
      <c r="S285" s="197"/>
      <c r="T285" s="180"/>
      <c r="U285" s="189" t="str">
        <f>IFERROR(IF(Tableau3[[#This Row],[Dettes]]=0,"",(Tableau3[[#This Row],[Dettes]]/Tableau3[[#This Row],[EBE]])),"")</f>
        <v/>
      </c>
      <c r="V285" s="190">
        <f>IFERROR(Tableau3[[#This Row],[Fonds propres]]/Tableau3[[#This Row],[Total Bilan]],"")</f>
        <v>0.53398853398853396</v>
      </c>
      <c r="W285" s="180">
        <v>2442000000</v>
      </c>
      <c r="X285" s="191"/>
      <c r="Y285" s="180">
        <v>1810</v>
      </c>
      <c r="Z285" s="192">
        <f>IFERROR(Tableau3[[#This Row],[Chiffre d''affaires]]/Tableau3[[#This Row],[Salariés]],"")</f>
        <v>604972.3756906077</v>
      </c>
      <c r="AA285" s="197"/>
      <c r="AB285" s="197"/>
      <c r="AC285" s="249" t="s">
        <v>4486</v>
      </c>
    </row>
    <row r="286" spans="1:29" ht="20.25" customHeight="1">
      <c r="A286" s="217"/>
      <c r="E286" s="187"/>
      <c r="G286" s="202">
        <f>(G285/G287)-1</f>
        <v>4.186489058039955E-2</v>
      </c>
      <c r="H286" s="203"/>
      <c r="I286" s="203">
        <f>(I285/I287)-1</f>
        <v>0.26256983240223453</v>
      </c>
      <c r="J286" s="203">
        <f>(J285/J287)-1</f>
        <v>0.86274509803921573</v>
      </c>
      <c r="K286" s="188"/>
      <c r="L286" s="188"/>
      <c r="M286" s="194"/>
      <c r="N286" s="190"/>
      <c r="O286" s="190"/>
      <c r="P286" s="188"/>
      <c r="Q286" s="188"/>
      <c r="R286" s="195"/>
      <c r="S286" s="197"/>
      <c r="T286" s="180"/>
      <c r="U286" s="189" t="str">
        <f>IFERROR(IF(Tableau3[[#This Row],[Dettes]]=0,"",(Tableau3[[#This Row],[Dettes]]/Tableau3[[#This Row],[EBE]])),"")</f>
        <v/>
      </c>
      <c r="V286" s="190" t="str">
        <f>IFERROR(Tableau3[[#This Row],[Fonds propres]]/Tableau3[[#This Row],[Total Bilan]],"")</f>
        <v/>
      </c>
      <c r="W286" s="180"/>
      <c r="X286" s="191"/>
      <c r="Y286" s="180"/>
      <c r="Z286" s="192" t="str">
        <f>IFERROR(Tableau3[[#This Row],[Chiffre d''affaires]]/Tableau3[[#This Row],[Salariés]],"")</f>
        <v/>
      </c>
      <c r="AA286" s="197"/>
      <c r="AB286" s="197"/>
      <c r="AC286" s="216" t="s">
        <v>4474</v>
      </c>
    </row>
    <row r="287" spans="1:29" ht="20.25" customHeight="1">
      <c r="A287" s="217"/>
      <c r="E287" s="187">
        <v>72.48</v>
      </c>
      <c r="F287" s="178">
        <v>2016</v>
      </c>
      <c r="G287" s="188">
        <v>1051000000</v>
      </c>
      <c r="H287" s="188"/>
      <c r="I287" s="188">
        <v>179000000</v>
      </c>
      <c r="J287" s="188">
        <v>102000000</v>
      </c>
      <c r="K287" s="188">
        <v>458200000</v>
      </c>
      <c r="L287" s="188">
        <v>1113000000</v>
      </c>
      <c r="M287" s="194">
        <f>L287/P285</f>
        <v>22.448567970956031</v>
      </c>
      <c r="N287" s="190">
        <f>J287/L289</f>
        <v>9.4795539033457249E-2</v>
      </c>
      <c r="O287" s="190">
        <f>(I287*0.75)/(L289+K289)</f>
        <v>8.7028393621159078E-2</v>
      </c>
      <c r="P287" s="188">
        <v>48620000</v>
      </c>
      <c r="Q287" s="188">
        <f>P287*E287</f>
        <v>3523977600</v>
      </c>
      <c r="R287" s="195">
        <f>Q287/L287</f>
        <v>3.16619730458221</v>
      </c>
      <c r="S287" s="197"/>
      <c r="T287" s="180"/>
      <c r="U287" s="189" t="str">
        <f>IFERROR(IF(Tableau3[[#This Row],[Dettes]]=0,"",(Tableau3[[#This Row],[Dettes]]/Tableau3[[#This Row],[EBE]])),"")</f>
        <v/>
      </c>
      <c r="V287" s="190">
        <f>IFERROR(Tableau3[[#This Row],[Fonds propres]]/Tableau3[[#This Row],[Total Bilan]],"")</f>
        <v>0.48773006134969327</v>
      </c>
      <c r="W287" s="180">
        <v>2282000000</v>
      </c>
      <c r="X287" s="191"/>
      <c r="Y287" s="180">
        <v>1762</v>
      </c>
      <c r="Z287" s="192">
        <f>IFERROR(Tableau3[[#This Row],[Chiffre d''affaires]]/Tableau3[[#This Row],[Salariés]],"")</f>
        <v>596481.27128263342</v>
      </c>
      <c r="AA287" s="197"/>
      <c r="AB287" s="197"/>
      <c r="AC287" s="216" t="s">
        <v>4485</v>
      </c>
    </row>
    <row r="288" spans="1:29" ht="20.25" customHeight="1">
      <c r="A288" s="217"/>
      <c r="E288" s="187"/>
      <c r="G288" s="202">
        <f>(G287/G289)-1</f>
        <v>8.9119170984455875E-2</v>
      </c>
      <c r="H288" s="203"/>
      <c r="I288" s="203">
        <f>(I287/I289)-1</f>
        <v>0.14012738853503182</v>
      </c>
      <c r="J288" s="203">
        <f>(J287/J289)-1</f>
        <v>9.6774193548387011E-2</v>
      </c>
      <c r="K288" s="188"/>
      <c r="L288" s="188"/>
      <c r="M288" s="194"/>
      <c r="N288" s="190"/>
      <c r="O288" s="190"/>
      <c r="P288" s="188"/>
      <c r="Q288" s="188"/>
      <c r="R288" s="195"/>
      <c r="S288" s="197"/>
      <c r="T288" s="180"/>
      <c r="U288" s="189" t="str">
        <f>IFERROR(IF(Tableau3[[#This Row],[Dettes]]=0,"",(Tableau3[[#This Row],[Dettes]]/Tableau3[[#This Row],[EBE]])),"")</f>
        <v/>
      </c>
      <c r="V288" s="190" t="str">
        <f>IFERROR(Tableau3[[#This Row],[Fonds propres]]/Tableau3[[#This Row],[Total Bilan]],"")</f>
        <v/>
      </c>
      <c r="W288" s="180"/>
      <c r="X288" s="191"/>
      <c r="Y288" s="180"/>
      <c r="Z288" s="192" t="str">
        <f>IFERROR(Tableau3[[#This Row],[Chiffre d''affaires]]/Tableau3[[#This Row],[Salariés]],"")</f>
        <v/>
      </c>
      <c r="AA288" s="197"/>
      <c r="AB288" s="197"/>
      <c r="AC288" s="216" t="s">
        <v>4578</v>
      </c>
    </row>
    <row r="289" spans="1:29" ht="20.25" customHeight="1">
      <c r="A289" s="217"/>
      <c r="E289" s="187">
        <v>67.19</v>
      </c>
      <c r="F289" s="178">
        <v>2015</v>
      </c>
      <c r="G289" s="188">
        <v>965000000</v>
      </c>
      <c r="H289" s="188"/>
      <c r="I289" s="188">
        <v>157000000</v>
      </c>
      <c r="J289" s="188">
        <v>93000000</v>
      </c>
      <c r="K289" s="188">
        <v>466600000</v>
      </c>
      <c r="L289" s="188">
        <v>1076000000</v>
      </c>
      <c r="M289" s="194">
        <f>L289/P287</f>
        <v>22.130810366104484</v>
      </c>
      <c r="N289" s="190">
        <f>J289/L291</f>
        <v>9.1897233201581024E-2</v>
      </c>
      <c r="O289" s="190">
        <f>(I289*0.75)/(L291+K291)</f>
        <v>8.2591007925931118E-2</v>
      </c>
      <c r="P289" s="188">
        <v>48580000</v>
      </c>
      <c r="Q289" s="188">
        <f>P289*E289</f>
        <v>3264090200</v>
      </c>
      <c r="R289" s="195">
        <f>Q289/L289</f>
        <v>3.0335410780669143</v>
      </c>
      <c r="S289" s="197"/>
      <c r="T289" s="180"/>
      <c r="U289" s="189" t="str">
        <f>IFERROR(IF(Tableau3[[#This Row],[Dettes]]=0,"",(Tableau3[[#This Row],[Dettes]]/Tableau3[[#This Row],[EBE]])),"")</f>
        <v/>
      </c>
      <c r="V289" s="190">
        <f>IFERROR(Tableau3[[#This Row],[Fonds propres]]/Tableau3[[#This Row],[Total Bilan]],"")</f>
        <v>0.46002565198802908</v>
      </c>
      <c r="W289" s="180">
        <v>2339000000</v>
      </c>
      <c r="X289" s="191"/>
      <c r="Y289" s="180">
        <v>1808</v>
      </c>
      <c r="Z289" s="192">
        <f>IFERROR(Tableau3[[#This Row],[Chiffre d''affaires]]/Tableau3[[#This Row],[Salariés]],"")</f>
        <v>533738.93805309734</v>
      </c>
      <c r="AA289" s="197"/>
      <c r="AB289" s="197"/>
      <c r="AC289" s="216" t="s">
        <v>4484</v>
      </c>
    </row>
    <row r="290" spans="1:29" ht="20.25" customHeight="1">
      <c r="A290" s="217"/>
      <c r="E290" s="187"/>
      <c r="G290" s="202">
        <f>(G289/G291)-1</f>
        <v>-6.4922480620155043E-2</v>
      </c>
      <c r="H290" s="203"/>
      <c r="I290" s="203">
        <f>(I289/I291)-1</f>
        <v>5.3691275167785157E-2</v>
      </c>
      <c r="J290" s="203">
        <f>(J289/J291)-1</f>
        <v>0.5</v>
      </c>
      <c r="K290" s="188"/>
      <c r="L290" s="188"/>
      <c r="M290" s="194"/>
      <c r="N290" s="190"/>
      <c r="O290" s="190"/>
      <c r="P290" s="188"/>
      <c r="Q290" s="188"/>
      <c r="R290" s="195"/>
      <c r="S290" s="197"/>
      <c r="T290" s="180"/>
      <c r="U290" s="189" t="str">
        <f>IFERROR(IF(Tableau3[[#This Row],[Dettes]]=0,"",(Tableau3[[#This Row],[Dettes]]/Tableau3[[#This Row],[EBE]])),"")</f>
        <v/>
      </c>
      <c r="V290" s="190" t="str">
        <f>IFERROR(Tableau3[[#This Row],[Fonds propres]]/Tableau3[[#This Row],[Total Bilan]],"")</f>
        <v/>
      </c>
      <c r="W290" s="180"/>
      <c r="X290" s="191"/>
      <c r="Y290" s="180"/>
      <c r="Z290" s="192" t="str">
        <f>IFERROR(Tableau3[[#This Row],[Chiffre d''affaires]]/Tableau3[[#This Row],[Salariés]],"")</f>
        <v/>
      </c>
      <c r="AA290" s="197"/>
      <c r="AB290" s="197"/>
      <c r="AC290" s="216" t="s">
        <v>4492</v>
      </c>
    </row>
    <row r="291" spans="1:29" ht="20.25" customHeight="1">
      <c r="A291" s="217"/>
      <c r="E291" s="187">
        <v>63.39</v>
      </c>
      <c r="F291" s="178">
        <v>2014</v>
      </c>
      <c r="G291" s="188">
        <v>1032000000</v>
      </c>
      <c r="H291" s="188"/>
      <c r="I291" s="188">
        <v>149000000</v>
      </c>
      <c r="J291" s="188">
        <v>62000000</v>
      </c>
      <c r="K291" s="188">
        <v>413700000</v>
      </c>
      <c r="L291" s="188">
        <v>1012000000</v>
      </c>
      <c r="M291" s="194">
        <f>L291/P289</f>
        <v>20.83161794977357</v>
      </c>
      <c r="N291" s="190">
        <f>J291/L293</f>
        <v>5.6621004566210047E-2</v>
      </c>
      <c r="O291" s="190">
        <f>(I291*0.75)/(L293+K293)</f>
        <v>8.2138919514884237E-2</v>
      </c>
      <c r="P291" s="188">
        <v>48290000</v>
      </c>
      <c r="Q291" s="188">
        <f>P291*E291</f>
        <v>3061103100</v>
      </c>
      <c r="R291" s="195">
        <f>Q291/L291</f>
        <v>3.0248054347826088</v>
      </c>
      <c r="S291" s="197"/>
      <c r="T291" s="180"/>
      <c r="U291" s="189" t="str">
        <f>IFERROR(IF(Tableau3[[#This Row],[Dettes]]=0,"",(Tableau3[[#This Row],[Dettes]]/Tableau3[[#This Row],[EBE]])),"")</f>
        <v/>
      </c>
      <c r="V291" s="190">
        <f>IFERROR(Tableau3[[#This Row],[Fonds propres]]/Tableau3[[#This Row],[Total Bilan]],"")</f>
        <v>0.44424934152765583</v>
      </c>
      <c r="W291" s="180">
        <v>2278000000</v>
      </c>
      <c r="X291" s="191"/>
      <c r="Y291" s="180">
        <v>1726</v>
      </c>
      <c r="Z291" s="192">
        <f>IFERROR(Tableau3[[#This Row],[Chiffre d''affaires]]/Tableau3[[#This Row],[Salariés]],"")</f>
        <v>597914.25260718423</v>
      </c>
      <c r="AA291" s="197"/>
      <c r="AB291" s="197"/>
      <c r="AC291" s="216" t="s">
        <v>4859</v>
      </c>
    </row>
    <row r="292" spans="1:29" ht="20.25" customHeight="1">
      <c r="A292" s="217"/>
      <c r="E292" s="187"/>
      <c r="G292" s="202">
        <f>(G291/G293)-1</f>
        <v>-0.134953897736798</v>
      </c>
      <c r="H292" s="203"/>
      <c r="I292" s="203">
        <f>(I291/I293)-1</f>
        <v>-0.39430894308943087</v>
      </c>
      <c r="J292" s="203">
        <f>(J291/J293)-1</f>
        <v>-0.52307692307692299</v>
      </c>
      <c r="K292" s="188"/>
      <c r="L292" s="188"/>
      <c r="M292" s="194"/>
      <c r="N292" s="190"/>
      <c r="O292" s="190"/>
      <c r="P292" s="188"/>
      <c r="Q292" s="188"/>
      <c r="R292" s="195"/>
      <c r="S292" s="197"/>
      <c r="T292" s="180"/>
      <c r="U292" s="189" t="str">
        <f>IFERROR(IF(Tableau3[[#This Row],[Dettes]]=0,"",(Tableau3[[#This Row],[Dettes]]/Tableau3[[#This Row],[EBE]])),"")</f>
        <v/>
      </c>
      <c r="V292" s="190" t="str">
        <f>IFERROR(Tableau3[[#This Row],[Fonds propres]]/Tableau3[[#This Row],[Total Bilan]],"")</f>
        <v/>
      </c>
      <c r="W292" s="180"/>
      <c r="X292" s="191"/>
      <c r="Y292" s="180"/>
      <c r="Z292" s="192" t="str">
        <f>IFERROR(Tableau3[[#This Row],[Chiffre d''affaires]]/Tableau3[[#This Row],[Salariés]],"")</f>
        <v/>
      </c>
      <c r="AA292" s="197"/>
      <c r="AB292" s="197"/>
      <c r="AC292" s="177" t="s">
        <v>4860</v>
      </c>
    </row>
    <row r="293" spans="1:29" ht="20.25" customHeight="1">
      <c r="A293" s="217"/>
      <c r="E293" s="187">
        <v>88.41</v>
      </c>
      <c r="F293" s="178">
        <v>2013</v>
      </c>
      <c r="G293" s="188">
        <v>1193000000</v>
      </c>
      <c r="H293" s="188"/>
      <c r="I293" s="188">
        <v>246000000</v>
      </c>
      <c r="J293" s="188">
        <v>130000000</v>
      </c>
      <c r="K293" s="188">
        <v>265500000</v>
      </c>
      <c r="L293" s="188">
        <v>1095000000</v>
      </c>
      <c r="M293" s="194">
        <f>L293/P291</f>
        <v>22.675502174363221</v>
      </c>
      <c r="N293" s="190">
        <f>J293/L295</f>
        <v>0.13319672131147542</v>
      </c>
      <c r="O293" s="190">
        <f>(I293*0.75)/(L295+K295)</f>
        <v>0.15842349304482226</v>
      </c>
      <c r="P293" s="188">
        <v>49460000</v>
      </c>
      <c r="Q293" s="188">
        <f>P293*E293</f>
        <v>4372758600</v>
      </c>
      <c r="R293" s="195">
        <f>Q293/L293</f>
        <v>3.9933868493150686</v>
      </c>
      <c r="S293" s="197"/>
      <c r="T293" s="180"/>
      <c r="U293" s="189" t="str">
        <f>IFERROR(IF(Tableau3[[#This Row],[Dettes]]=0,"",(Tableau3[[#This Row],[Dettes]]/Tableau3[[#This Row],[EBE]])),"")</f>
        <v/>
      </c>
      <c r="V293" s="190">
        <f>IFERROR(Tableau3[[#This Row],[Fonds propres]]/Tableau3[[#This Row],[Total Bilan]],"")</f>
        <v>0.48301720335244819</v>
      </c>
      <c r="W293" s="180">
        <v>2267000000</v>
      </c>
      <c r="X293" s="191"/>
      <c r="Y293" s="180">
        <v>1704</v>
      </c>
      <c r="Z293" s="192">
        <f>IFERROR(Tableau3[[#This Row],[Chiffre d''affaires]]/Tableau3[[#This Row],[Salariés]],"")</f>
        <v>700117.37089201878</v>
      </c>
      <c r="AA293" s="197"/>
      <c r="AB293" s="197"/>
      <c r="AC293" s="177" t="s">
        <v>4478</v>
      </c>
    </row>
    <row r="294" spans="1:29" ht="20.25" customHeight="1">
      <c r="A294" s="217"/>
      <c r="E294" s="187"/>
      <c r="G294" s="202">
        <f>(G293/G295)-1</f>
        <v>0.16276803118908378</v>
      </c>
      <c r="H294" s="203"/>
      <c r="I294" s="203">
        <f>(I293/I295)-1</f>
        <v>0.17703349282296643</v>
      </c>
      <c r="J294" s="203">
        <f>(J293/J295)-1</f>
        <v>0.1711711711711712</v>
      </c>
      <c r="K294" s="188"/>
      <c r="L294" s="188"/>
      <c r="M294" s="194"/>
      <c r="N294" s="190"/>
      <c r="O294" s="190"/>
      <c r="P294" s="188"/>
      <c r="Q294" s="188"/>
      <c r="R294" s="195"/>
      <c r="S294" s="197"/>
      <c r="T294" s="180"/>
      <c r="U294" s="189" t="str">
        <f>IFERROR(IF(Tableau3[[#This Row],[Dettes]]=0,"",(Tableau3[[#This Row],[Dettes]]/Tableau3[[#This Row],[EBE]])),"")</f>
        <v/>
      </c>
      <c r="V294" s="190" t="str">
        <f>IFERROR(Tableau3[[#This Row],[Fonds propres]]/Tableau3[[#This Row],[Total Bilan]],"")</f>
        <v/>
      </c>
      <c r="W294" s="180"/>
      <c r="X294" s="191"/>
      <c r="Y294" s="180"/>
      <c r="Z294" s="192" t="str">
        <f>IFERROR(Tableau3[[#This Row],[Chiffre d''affaires]]/Tableau3[[#This Row],[Salariés]],"")</f>
        <v/>
      </c>
      <c r="AA294" s="197"/>
      <c r="AB294" s="197"/>
      <c r="AC294" s="177" t="s">
        <v>4759</v>
      </c>
    </row>
    <row r="295" spans="1:29" ht="20.25" customHeight="1">
      <c r="A295" s="217"/>
      <c r="E295" s="187">
        <v>84.19</v>
      </c>
      <c r="F295" s="178">
        <v>2012</v>
      </c>
      <c r="G295" s="188">
        <v>1026000000</v>
      </c>
      <c r="H295" s="188"/>
      <c r="I295" s="188">
        <v>209000000</v>
      </c>
      <c r="J295" s="188">
        <v>111000000</v>
      </c>
      <c r="K295" s="188">
        <v>188600000</v>
      </c>
      <c r="L295" s="188">
        <v>976000000</v>
      </c>
      <c r="M295" s="194">
        <f>L295/P293</f>
        <v>19.733117670845129</v>
      </c>
      <c r="N295" s="190">
        <f>J295/L297</f>
        <v>0.10432330827067669</v>
      </c>
      <c r="O295" s="190">
        <f>(I295*0.75)/(L297+K297)</f>
        <v>0.11253499892311006</v>
      </c>
      <c r="P295" s="188">
        <v>48200000</v>
      </c>
      <c r="Q295" s="188">
        <f>P295*E295</f>
        <v>4057958000</v>
      </c>
      <c r="R295" s="195">
        <f>Q295/L295</f>
        <v>4.1577438524590162</v>
      </c>
      <c r="S295" s="197"/>
      <c r="T295" s="180"/>
      <c r="U295" s="189" t="str">
        <f>IFERROR(IF(Tableau3[[#This Row],[Dettes]]=0,"",(Tableau3[[#This Row],[Dettes]]/Tableau3[[#This Row],[EBE]])),"")</f>
        <v/>
      </c>
      <c r="V295" s="190">
        <f>IFERROR(Tableau3[[#This Row],[Fonds propres]]/Tableau3[[#This Row],[Total Bilan]],"")</f>
        <v>0.49069884364002009</v>
      </c>
      <c r="W295" s="180">
        <v>1989000000</v>
      </c>
      <c r="X295" s="191"/>
      <c r="Y295" s="180">
        <v>1560</v>
      </c>
      <c r="Z295" s="192">
        <f>IFERROR(Tableau3[[#This Row],[Chiffre d''affaires]]/Tableau3[[#This Row],[Salariés]],"")</f>
        <v>657692.30769230775</v>
      </c>
      <c r="AA295" s="197"/>
      <c r="AB295" s="197"/>
      <c r="AC295" s="177" t="s">
        <v>1023</v>
      </c>
    </row>
    <row r="296" spans="1:29" ht="20.25" customHeight="1">
      <c r="A296" s="217"/>
      <c r="E296" s="187"/>
      <c r="G296" s="202">
        <f>(G295/G297)-1</f>
        <v>0.12995594713656389</v>
      </c>
      <c r="H296" s="203"/>
      <c r="I296" s="203">
        <f>(I295/I297)-1</f>
        <v>0.25903614457831314</v>
      </c>
      <c r="J296" s="203">
        <f>(J295/J297)-1</f>
        <v>0.56338028169014076</v>
      </c>
      <c r="K296" s="188"/>
      <c r="L296" s="188"/>
      <c r="M296" s="194"/>
      <c r="N296" s="190"/>
      <c r="O296" s="190"/>
      <c r="P296" s="188"/>
      <c r="Q296" s="188"/>
      <c r="R296" s="195"/>
      <c r="S296" s="197"/>
      <c r="T296" s="180"/>
      <c r="U296" s="189" t="str">
        <f>IFERROR(IF(Tableau3[[#This Row],[Dettes]]=0,"",(Tableau3[[#This Row],[Dettes]]/Tableau3[[#This Row],[EBE]])),"")</f>
        <v/>
      </c>
      <c r="V296" s="190" t="str">
        <f>IFERROR(Tableau3[[#This Row],[Fonds propres]]/Tableau3[[#This Row],[Total Bilan]],"")</f>
        <v/>
      </c>
      <c r="W296" s="180"/>
      <c r="X296" s="191"/>
      <c r="Y296" s="180"/>
      <c r="Z296" s="192" t="str">
        <f>IFERROR(Tableau3[[#This Row],[Chiffre d''affaires]]/Tableau3[[#This Row],[Salariés]],"")</f>
        <v/>
      </c>
      <c r="AA296" s="197"/>
      <c r="AB296" s="197"/>
      <c r="AC296" s="177" t="s">
        <v>599</v>
      </c>
    </row>
    <row r="297" spans="1:29" ht="20.25" customHeight="1">
      <c r="A297" s="217"/>
      <c r="E297" s="187">
        <v>55.64</v>
      </c>
      <c r="F297" s="178">
        <v>2011</v>
      </c>
      <c r="G297" s="188">
        <v>908000000</v>
      </c>
      <c r="H297" s="188"/>
      <c r="I297" s="188">
        <v>166000000</v>
      </c>
      <c r="J297" s="188">
        <v>71000000</v>
      </c>
      <c r="K297" s="188">
        <v>328900000</v>
      </c>
      <c r="L297" s="188">
        <v>1064000000</v>
      </c>
      <c r="M297" s="194">
        <f>L297/P295</f>
        <v>22.074688796680498</v>
      </c>
      <c r="N297" s="190">
        <f>J297/L297</f>
        <v>6.672932330827068E-2</v>
      </c>
      <c r="O297" s="190">
        <f>(I297*0.75)/(L297+K297)</f>
        <v>8.9381865173379274E-2</v>
      </c>
      <c r="P297" s="188">
        <v>49410000</v>
      </c>
      <c r="Q297" s="188">
        <f>P297*E297</f>
        <v>2749172400</v>
      </c>
      <c r="R297" s="195">
        <f>Q297/L297</f>
        <v>2.5838086466165415</v>
      </c>
      <c r="S297" s="197"/>
      <c r="T297" s="180"/>
      <c r="U297" s="189" t="str">
        <f>IFERROR(IF(Tableau3[[#This Row],[Dettes]]=0,"",(Tableau3[[#This Row],[Dettes]]/Tableau3[[#This Row],[EBE]])),"")</f>
        <v/>
      </c>
      <c r="V297" s="190">
        <f>IFERROR(Tableau3[[#This Row],[Fonds propres]]/Tableau3[[#This Row],[Total Bilan]],"")</f>
        <v>0.48562300319488816</v>
      </c>
      <c r="W297" s="180">
        <v>2191000000</v>
      </c>
      <c r="X297" s="191"/>
      <c r="Y297" s="180">
        <v>1621</v>
      </c>
      <c r="Z297" s="192">
        <f>IFERROR(Tableau3[[#This Row],[Chiffre d''affaires]]/Tableau3[[#This Row],[Salariés]],"")</f>
        <v>560148.05675508943</v>
      </c>
      <c r="AA297" s="197"/>
      <c r="AB297" s="197"/>
      <c r="AC297" s="177" t="s">
        <v>4476</v>
      </c>
    </row>
    <row r="298" spans="1:29" ht="20.25" customHeight="1">
      <c r="A298" s="217"/>
      <c r="E298" s="187"/>
      <c r="G298" s="188"/>
      <c r="H298" s="188"/>
      <c r="I298" s="188"/>
      <c r="J298" s="188"/>
      <c r="K298" s="188"/>
      <c r="L298" s="188"/>
      <c r="M298" s="194"/>
      <c r="N298" s="190"/>
      <c r="O298" s="190"/>
      <c r="P298" s="188"/>
      <c r="Q298" s="188"/>
      <c r="R298" s="195"/>
      <c r="S298" s="197"/>
      <c r="T298" s="180"/>
      <c r="U298" s="189" t="str">
        <f>IFERROR(IF(Tableau3[[#This Row],[Dettes]]=0,"",(Tableau3[[#This Row],[Dettes]]/Tableau3[[#This Row],[EBE]])),"")</f>
        <v/>
      </c>
      <c r="V298" s="190" t="str">
        <f>IFERROR(Tableau3[[#This Row],[Fonds propres]]/Tableau3[[#This Row],[Total Bilan]],"")</f>
        <v/>
      </c>
      <c r="W298" s="180"/>
      <c r="X298" s="191"/>
      <c r="Y298" s="180"/>
      <c r="Z298" s="192" t="str">
        <f>IFERROR(Tableau3[[#This Row],[Chiffre d''affaires]]/Tableau3[[#This Row],[Salariés]],"")</f>
        <v/>
      </c>
      <c r="AA298" s="197"/>
      <c r="AB298" s="197"/>
      <c r="AC298" s="177" t="s">
        <v>241</v>
      </c>
    </row>
    <row r="299" spans="1:29" ht="20.25" customHeight="1">
      <c r="A299" s="217"/>
      <c r="G299" s="188"/>
      <c r="H299" s="188"/>
      <c r="I299" s="188"/>
      <c r="J299" s="188"/>
      <c r="K299" s="188"/>
      <c r="L299" s="188"/>
      <c r="M299" s="194"/>
      <c r="N299" s="190"/>
      <c r="O299" s="190"/>
      <c r="P299" s="188"/>
      <c r="Q299" s="188"/>
      <c r="R299" s="195"/>
      <c r="S299" s="197"/>
      <c r="T299" s="180"/>
      <c r="U299" s="189" t="str">
        <f>IFERROR(IF(Tableau3[[#This Row],[Dettes]]=0,"",(Tableau3[[#This Row],[Dettes]]/Tableau3[[#This Row],[EBE]])),"")</f>
        <v/>
      </c>
      <c r="V299" s="190" t="str">
        <f>IFERROR(Tableau3[[#This Row],[Fonds propres]]/Tableau3[[#This Row],[Total Bilan]],"")</f>
        <v/>
      </c>
      <c r="W299" s="180"/>
      <c r="X299" s="191"/>
      <c r="Y299" s="180"/>
      <c r="Z299" s="192" t="str">
        <f>IFERROR(Tableau3[[#This Row],[Chiffre d''affaires]]/Tableau3[[#This Row],[Salariés]],"")</f>
        <v/>
      </c>
      <c r="AA299" s="197"/>
      <c r="AB299" s="197"/>
    </row>
    <row r="300" spans="1:29" ht="20.25" customHeight="1">
      <c r="A300" s="217"/>
      <c r="G300" s="188"/>
      <c r="H300" s="188"/>
      <c r="I300" s="188"/>
      <c r="J300" s="188"/>
      <c r="K300" s="188"/>
      <c r="L300" s="188"/>
      <c r="M300" s="194"/>
      <c r="N300" s="190"/>
      <c r="O300" s="190"/>
      <c r="P300" s="188"/>
      <c r="Q300" s="188"/>
      <c r="R300" s="195"/>
      <c r="S300" s="197"/>
      <c r="T300" s="180"/>
      <c r="U300" s="189" t="str">
        <f>IFERROR(IF(Tableau3[[#This Row],[Dettes]]=0,"",(Tableau3[[#This Row],[Dettes]]/Tableau3[[#This Row],[EBE]])),"")</f>
        <v/>
      </c>
      <c r="V300" s="190" t="str">
        <f>IFERROR(Tableau3[[#This Row],[Fonds propres]]/Tableau3[[#This Row],[Total Bilan]],"")</f>
        <v/>
      </c>
      <c r="W300" s="180"/>
      <c r="X300" s="191"/>
      <c r="Y300" s="180"/>
      <c r="Z300" s="192" t="str">
        <f>IFERROR(Tableau3[[#This Row],[Chiffre d''affaires]]/Tableau3[[#This Row],[Salariés]],"")</f>
        <v/>
      </c>
      <c r="AA300" s="197"/>
      <c r="AB300" s="197"/>
    </row>
    <row r="301" spans="1:29" ht="20.25" customHeight="1">
      <c r="A301" s="217" t="s">
        <v>242</v>
      </c>
      <c r="B301" s="216" t="s">
        <v>164</v>
      </c>
      <c r="C301" s="178" t="s">
        <v>99</v>
      </c>
      <c r="D301" s="178" t="s">
        <v>100</v>
      </c>
      <c r="E301" s="187">
        <v>44.65</v>
      </c>
      <c r="F301" s="178">
        <v>2019</v>
      </c>
      <c r="G301" s="188">
        <f>G303*1.02</f>
        <v>28015320000</v>
      </c>
      <c r="H301" s="211">
        <f>H303*1.03</f>
        <v>6196480000</v>
      </c>
      <c r="I301" s="188">
        <f>I303*1.04</f>
        <v>3444480000</v>
      </c>
      <c r="J301" s="188">
        <v>1650000000</v>
      </c>
      <c r="K301" s="188">
        <v>12818000000</v>
      </c>
      <c r="L301" s="188">
        <v>27500000000</v>
      </c>
      <c r="M301" s="194">
        <f>L301/P301</f>
        <v>46.110221602086504</v>
      </c>
      <c r="N301" s="190">
        <f>J301/L301</f>
        <v>0.06</v>
      </c>
      <c r="O301" s="190">
        <f>(I301*0.72)/(L301+K301)</f>
        <v>6.1511622600327394E-2</v>
      </c>
      <c r="P301" s="188">
        <v>596397047</v>
      </c>
      <c r="Q301" s="188">
        <f>P301*E301</f>
        <v>26629128148.549999</v>
      </c>
      <c r="R301" s="195">
        <f>Q301/L301</f>
        <v>0.96833193267454543</v>
      </c>
      <c r="S301" s="197">
        <f>(Q301+K301)/H301</f>
        <v>6.3660542999493268</v>
      </c>
      <c r="T301" s="180"/>
      <c r="U301" s="189">
        <f>IFERROR(IF(Tableau3[[#This Row],[Dettes]]=0,"",(Tableau3[[#This Row],[Dettes]]/Tableau3[[#This Row],[EBE]])),"")</f>
        <v>2.0685937822763893</v>
      </c>
      <c r="V301" s="190" t="str">
        <f>IFERROR(Tableau3[[#This Row],[Fonds propres]]/Tableau3[[#This Row],[Total Bilan]],"")</f>
        <v/>
      </c>
      <c r="W301" s="180"/>
      <c r="X301" s="191"/>
      <c r="Y301" s="180"/>
      <c r="Z301" s="192" t="str">
        <f>IFERROR(Tableau3[[#This Row],[Chiffre d''affaires]]/Tableau3[[#This Row],[Salariés]],"")</f>
        <v/>
      </c>
      <c r="AA301" s="197"/>
      <c r="AB301" s="197"/>
      <c r="AC301" s="177" t="s">
        <v>243</v>
      </c>
    </row>
    <row r="302" spans="1:29" ht="20.25" customHeight="1">
      <c r="A302" s="217"/>
      <c r="E302" s="187"/>
      <c r="G302" s="202">
        <f>(G301/G303)-1</f>
        <v>2.0000000000000018E-2</v>
      </c>
      <c r="H302" s="203">
        <f>(H301/H303)-1</f>
        <v>3.0000000000000027E-2</v>
      </c>
      <c r="I302" s="203">
        <f>(I301/I303)-1</f>
        <v>4.0000000000000036E-2</v>
      </c>
      <c r="J302" s="203">
        <f>(J301/J303)-1</f>
        <v>9.8535286284953338E-2</v>
      </c>
      <c r="K302" s="188"/>
      <c r="L302" s="188"/>
      <c r="M302" s="194"/>
      <c r="N302" s="190"/>
      <c r="O302" s="190"/>
      <c r="P302" s="188"/>
      <c r="Q302" s="188"/>
      <c r="R302" s="195"/>
      <c r="S302" s="197"/>
      <c r="T302" s="180"/>
      <c r="U302" s="189" t="str">
        <f>IFERROR(IF(Tableau3[[#This Row],[Dettes]]=0,"",(Tableau3[[#This Row],[Dettes]]/Tableau3[[#This Row],[EBE]])),"")</f>
        <v/>
      </c>
      <c r="V302" s="190" t="str">
        <f>IFERROR(Tableau3[[#This Row],[Fonds propres]]/Tableau3[[#This Row],[Total Bilan]],"")</f>
        <v/>
      </c>
      <c r="W302" s="180"/>
      <c r="X302" s="191"/>
      <c r="Y302" s="180"/>
      <c r="Z302" s="192" t="str">
        <f>IFERROR(Tableau3[[#This Row],[Chiffre d''affaires]]/Tableau3[[#This Row],[Salariés]],"")</f>
        <v/>
      </c>
      <c r="AA302" s="197"/>
      <c r="AB302" s="197"/>
      <c r="AC302" s="177" t="s">
        <v>245</v>
      </c>
    </row>
    <row r="303" spans="1:29" ht="20.25" customHeight="1">
      <c r="A303" s="217"/>
      <c r="E303" s="187">
        <v>40.68</v>
      </c>
      <c r="F303" s="178">
        <v>2018</v>
      </c>
      <c r="G303" s="188">
        <v>27466000000</v>
      </c>
      <c r="H303" s="211">
        <v>6016000000</v>
      </c>
      <c r="I303" s="188">
        <v>3312000000</v>
      </c>
      <c r="J303" s="188">
        <v>1502000000</v>
      </c>
      <c r="K303" s="188">
        <v>13518000000</v>
      </c>
      <c r="L303" s="188">
        <v>26925000000</v>
      </c>
      <c r="M303" s="194">
        <f>L303/P303</f>
        <v>45.146098786770153</v>
      </c>
      <c r="N303" s="190">
        <f>J303/L303</f>
        <v>5.5784586815227487E-2</v>
      </c>
      <c r="O303" s="190">
        <f>(I303*0.72)/(L303+K303)</f>
        <v>5.8962984941769901E-2</v>
      </c>
      <c r="P303" s="188">
        <v>596397047</v>
      </c>
      <c r="Q303" s="188">
        <f>P303*E303</f>
        <v>24261431871.959999</v>
      </c>
      <c r="R303" s="195">
        <f>Q303/L303</f>
        <v>0.90107453563454032</v>
      </c>
      <c r="S303" s="197">
        <f>(Q303+K303)/H303</f>
        <v>6.2798257765890959</v>
      </c>
      <c r="T303" s="180"/>
      <c r="U303" s="189">
        <f>IFERROR(IF(Tableau3[[#This Row],[Dettes]]=0,"",(Tableau3[[#This Row],[Dettes]]/Tableau3[[#This Row],[EBE]])),"")</f>
        <v>2.2470079787234041</v>
      </c>
      <c r="V303" s="190" t="str">
        <f>IFERROR(Tableau3[[#This Row],[Fonds propres]]/Tableau3[[#This Row],[Total Bilan]],"")</f>
        <v/>
      </c>
      <c r="W303" s="180"/>
      <c r="X303" s="191"/>
      <c r="Y303" s="180"/>
      <c r="Z303" s="192" t="str">
        <f>IFERROR(Tableau3[[#This Row],[Chiffre d''affaires]]/Tableau3[[#This Row],[Salariés]],"")</f>
        <v/>
      </c>
      <c r="AA303" s="197"/>
      <c r="AB303" s="197"/>
      <c r="AC303" s="177" t="s">
        <v>246</v>
      </c>
    </row>
    <row r="304" spans="1:29" ht="20.25" customHeight="1">
      <c r="A304" s="217"/>
      <c r="E304" s="187"/>
      <c r="G304" s="202">
        <f>(G303/G305)-1</f>
        <v>5.1169198974319707E-2</v>
      </c>
      <c r="H304" s="203">
        <f>(H303/H305)-1</f>
        <v>4.3405676126877513E-3</v>
      </c>
      <c r="I304" s="203">
        <f>(I303/I305)-1</f>
        <v>-1.1638316920322245E-2</v>
      </c>
      <c r="J304" s="203">
        <f>(J303/J305)-1</f>
        <v>5.9985885673959016E-2</v>
      </c>
      <c r="K304" s="188"/>
      <c r="L304" s="188"/>
      <c r="M304" s="194"/>
      <c r="N304" s="190"/>
      <c r="O304" s="190"/>
      <c r="P304" s="188"/>
      <c r="Q304" s="188"/>
      <c r="R304" s="195"/>
      <c r="S304" s="197"/>
      <c r="T304" s="180"/>
      <c r="U304" s="189" t="str">
        <f>IFERROR(IF(Tableau3[[#This Row],[Dettes]]=0,"",(Tableau3[[#This Row],[Dettes]]/Tableau3[[#This Row],[EBE]])),"")</f>
        <v/>
      </c>
      <c r="V304" s="190" t="str">
        <f>IFERROR(Tableau3[[#This Row],[Fonds propres]]/Tableau3[[#This Row],[Total Bilan]],"")</f>
        <v/>
      </c>
      <c r="W304" s="180"/>
      <c r="X304" s="191"/>
      <c r="Y304" s="180"/>
      <c r="Z304" s="192" t="str">
        <f>IFERROR(Tableau3[[#This Row],[Chiffre d''affaires]]/Tableau3[[#This Row],[Salariés]],"")</f>
        <v/>
      </c>
      <c r="AA304" s="197"/>
      <c r="AB304" s="197"/>
      <c r="AC304" s="177" t="s">
        <v>247</v>
      </c>
    </row>
    <row r="305" spans="1:29" ht="20.25" customHeight="1">
      <c r="A305" s="217"/>
      <c r="E305" s="187">
        <v>60</v>
      </c>
      <c r="F305" s="178">
        <v>2017</v>
      </c>
      <c r="G305" s="188">
        <v>26129000000</v>
      </c>
      <c r="H305" s="188">
        <v>5990000000</v>
      </c>
      <c r="I305" s="188">
        <v>3351000000</v>
      </c>
      <c r="J305" s="188">
        <v>1417000000</v>
      </c>
      <c r="K305" s="188">
        <v>14346000000</v>
      </c>
      <c r="L305" s="188">
        <v>27787000000</v>
      </c>
      <c r="M305" s="194">
        <f>L305/P305</f>
        <v>45.784452590493459</v>
      </c>
      <c r="N305" s="190">
        <f>J305/L305</f>
        <v>5.0995069636880552E-2</v>
      </c>
      <c r="O305" s="190">
        <f>(I305*0.72)/(L305+K305)</f>
        <v>5.7264377091590914E-2</v>
      </c>
      <c r="P305" s="188">
        <v>606909080</v>
      </c>
      <c r="Q305" s="188">
        <f>P305*E305</f>
        <v>36414544800</v>
      </c>
      <c r="R305" s="195">
        <f>Q305/L305</f>
        <v>1.3104885306078382</v>
      </c>
      <c r="S305" s="197">
        <f>(Q305+K305)/H305</f>
        <v>8.4742144908180297</v>
      </c>
      <c r="T305" s="180"/>
      <c r="U305" s="189">
        <f>IFERROR(IF(Tableau3[[#This Row],[Dettes]]=0,"",(Tableau3[[#This Row],[Dettes]]/Tableau3[[#This Row],[EBE]])),"")</f>
        <v>2.3949916527545909</v>
      </c>
      <c r="V305" s="190" t="str">
        <f>IFERROR(Tableau3[[#This Row],[Fonds propres]]/Tableau3[[#This Row],[Total Bilan]],"")</f>
        <v/>
      </c>
      <c r="W305" s="180"/>
      <c r="X305" s="191"/>
      <c r="Y305" s="180"/>
      <c r="Z305" s="192" t="str">
        <f>IFERROR(Tableau3[[#This Row],[Chiffre d''affaires]]/Tableau3[[#This Row],[Salariés]],"")</f>
        <v/>
      </c>
      <c r="AA305" s="197"/>
      <c r="AB305" s="197"/>
      <c r="AC305" s="177" t="s">
        <v>248</v>
      </c>
    </row>
    <row r="306" spans="1:29" ht="20.25" customHeight="1">
      <c r="A306" s="217"/>
      <c r="E306" s="187"/>
      <c r="G306" s="202">
        <f>(G305/G307)-1</f>
        <v>-2.8806125483199496E-2</v>
      </c>
      <c r="H306" s="203">
        <f>(H305/H307)-1</f>
        <v>0.14269362838611221</v>
      </c>
      <c r="I306" s="203">
        <f>(I305/I307)-1</f>
        <v>0.1811772999647514</v>
      </c>
      <c r="J306" s="203">
        <f>(J305/J307)-1</f>
        <v>-0.20882188721384698</v>
      </c>
      <c r="K306" s="188"/>
      <c r="L306" s="188"/>
      <c r="M306" s="194"/>
      <c r="N306" s="188"/>
      <c r="O306" s="188"/>
      <c r="P306" s="188"/>
      <c r="Q306" s="188"/>
      <c r="R306" s="195"/>
      <c r="S306" s="188"/>
      <c r="T306" s="180"/>
      <c r="U306" s="189" t="str">
        <f>IFERROR(IF(Tableau3[[#This Row],[Dettes]]=0,"",(Tableau3[[#This Row],[Dettes]]/Tableau3[[#This Row],[EBE]])),"")</f>
        <v/>
      </c>
      <c r="V306" s="190" t="str">
        <f>IFERROR(Tableau3[[#This Row],[Fonds propres]]/Tableau3[[#This Row],[Total Bilan]],"")</f>
        <v/>
      </c>
      <c r="W306" s="180"/>
      <c r="X306" s="192"/>
      <c r="Y306" s="180"/>
      <c r="Z306" s="192" t="str">
        <f>IFERROR(Tableau3[[#This Row],[Chiffre d''affaires]]/Tableau3[[#This Row],[Salariés]],"")</f>
        <v/>
      </c>
      <c r="AA306" s="188"/>
      <c r="AB306" s="188"/>
      <c r="AC306" s="177" t="s">
        <v>249</v>
      </c>
    </row>
    <row r="307" spans="1:29" ht="20.25" customHeight="1">
      <c r="A307" s="217"/>
      <c r="E307" s="187">
        <v>54</v>
      </c>
      <c r="F307" s="178">
        <v>2016</v>
      </c>
      <c r="G307" s="188">
        <v>26904000000</v>
      </c>
      <c r="H307" s="188">
        <v>5242000000</v>
      </c>
      <c r="I307" s="188">
        <v>2837000000</v>
      </c>
      <c r="J307" s="188">
        <v>1791000000</v>
      </c>
      <c r="K307" s="188">
        <v>14724000000</v>
      </c>
      <c r="L307" s="188">
        <v>30822000000</v>
      </c>
      <c r="M307" s="194">
        <f>L307/P307</f>
        <v>50.785201631849041</v>
      </c>
      <c r="N307" s="190">
        <f>J307/L307</f>
        <v>5.8107845045746544E-2</v>
      </c>
      <c r="O307" s="190">
        <f>(I307*0.72)/(L307+K307)</f>
        <v>4.4847846133579242E-2</v>
      </c>
      <c r="P307" s="188">
        <v>606909080</v>
      </c>
      <c r="Q307" s="188">
        <f>P307*E307</f>
        <v>32773090320</v>
      </c>
      <c r="R307" s="195">
        <f>Q307/L307</f>
        <v>1.0633018726883394</v>
      </c>
      <c r="S307" s="197">
        <f>(Q307+K307)/H307</f>
        <v>9.0608718657001148</v>
      </c>
      <c r="T307" s="180"/>
      <c r="U307" s="189">
        <f>IFERROR(IF(Tableau3[[#This Row],[Dettes]]=0,"",(Tableau3[[#This Row],[Dettes]]/Tableau3[[#This Row],[EBE]])),"")</f>
        <v>2.808851583365128</v>
      </c>
      <c r="V307" s="190" t="str">
        <f>IFERROR(Tableau3[[#This Row],[Fonds propres]]/Tableau3[[#This Row],[Total Bilan]],"")</f>
        <v/>
      </c>
      <c r="W307" s="180"/>
      <c r="X307" s="191"/>
      <c r="Y307" s="180"/>
      <c r="Z307" s="192" t="str">
        <f>IFERROR(Tableau3[[#This Row],[Chiffre d''affaires]]/Tableau3[[#This Row],[Salariés]],"")</f>
        <v/>
      </c>
      <c r="AA307" s="197"/>
      <c r="AB307" s="197"/>
      <c r="AC307" s="177" t="s">
        <v>250</v>
      </c>
    </row>
    <row r="308" spans="1:29" ht="20.25" customHeight="1">
      <c r="A308" s="217"/>
      <c r="E308" s="187"/>
      <c r="G308" s="202">
        <f>(G307/G309)-1</f>
        <v>-8.7474137638639204E-2</v>
      </c>
      <c r="H308" s="203">
        <f>(H307/H309)-1</f>
        <v>0.12852529601722273</v>
      </c>
      <c r="I308" s="203">
        <f>(I307/I309)-1</f>
        <v>-4.8389715832205678</v>
      </c>
      <c r="J308" s="203">
        <f>(J307/J309)-1</f>
        <v>0.84639175257731969</v>
      </c>
      <c r="K308" s="188"/>
      <c r="L308" s="188"/>
      <c r="M308" s="194"/>
      <c r="N308" s="188"/>
      <c r="O308" s="188"/>
      <c r="P308" s="188"/>
      <c r="Q308" s="188"/>
      <c r="R308" s="195"/>
      <c r="S308" s="188"/>
      <c r="T308" s="180"/>
      <c r="U308" s="189" t="str">
        <f>IFERROR(IF(Tableau3[[#This Row],[Dettes]]=0,"",(Tableau3[[#This Row],[Dettes]]/Tableau3[[#This Row],[EBE]])),"")</f>
        <v/>
      </c>
      <c r="V308" s="190" t="str">
        <f>IFERROR(Tableau3[[#This Row],[Fonds propres]]/Tableau3[[#This Row],[Total Bilan]],"")</f>
        <v/>
      </c>
      <c r="W308" s="180"/>
      <c r="X308" s="192"/>
      <c r="Y308" s="180"/>
      <c r="Z308" s="192" t="str">
        <f>IFERROR(Tableau3[[#This Row],[Chiffre d''affaires]]/Tableau3[[#This Row],[Salariés]],"")</f>
        <v/>
      </c>
      <c r="AA308" s="188"/>
      <c r="AB308" s="188"/>
      <c r="AC308" s="177" t="s">
        <v>251</v>
      </c>
    </row>
    <row r="309" spans="1:29" ht="20.25" customHeight="1">
      <c r="A309" s="217"/>
      <c r="E309" s="187">
        <v>50</v>
      </c>
      <c r="F309" s="178">
        <v>2015</v>
      </c>
      <c r="G309" s="188">
        <v>29483000000</v>
      </c>
      <c r="H309" s="188">
        <v>4645000000</v>
      </c>
      <c r="I309" s="188">
        <v>-739000000</v>
      </c>
      <c r="J309" s="188">
        <v>970000000</v>
      </c>
      <c r="K309" s="188">
        <v>17266000000</v>
      </c>
      <c r="L309" s="188">
        <v>31365000000</v>
      </c>
      <c r="M309" s="194">
        <f>L309/P309</f>
        <v>51.679899071538031</v>
      </c>
      <c r="N309" s="190">
        <f>J309/L309</f>
        <v>3.0926191614857323E-2</v>
      </c>
      <c r="O309" s="190">
        <f>(I309*0.72)/(L309+K309)</f>
        <v>-1.0941169213053402E-2</v>
      </c>
      <c r="P309" s="188">
        <v>606909080</v>
      </c>
      <c r="Q309" s="188">
        <f>P309*E309</f>
        <v>30345454000</v>
      </c>
      <c r="R309" s="195">
        <f>Q309/L309</f>
        <v>0.96749414952973056</v>
      </c>
      <c r="S309" s="197">
        <f>(Q309+K309)/H309</f>
        <v>10.250043918191604</v>
      </c>
      <c r="T309" s="180"/>
      <c r="U309" s="189">
        <f>IFERROR(IF(Tableau3[[#This Row],[Dettes]]=0,"",(Tableau3[[#This Row],[Dettes]]/Tableau3[[#This Row],[EBE]])),"")</f>
        <v>3.7171151776103337</v>
      </c>
      <c r="V309" s="190" t="str">
        <f>IFERROR(Tableau3[[#This Row],[Fonds propres]]/Tableau3[[#This Row],[Total Bilan]],"")</f>
        <v/>
      </c>
      <c r="W309" s="180"/>
      <c r="X309" s="191"/>
      <c r="Y309" s="180"/>
      <c r="Z309" s="192" t="str">
        <f>IFERROR(Tableau3[[#This Row],[Chiffre d''affaires]]/Tableau3[[#This Row],[Salariés]],"")</f>
        <v/>
      </c>
      <c r="AA309" s="197"/>
      <c r="AB309" s="197"/>
      <c r="AC309" s="177" t="s">
        <v>252</v>
      </c>
    </row>
    <row r="310" spans="1:29" ht="20.25" customHeight="1">
      <c r="A310" s="217"/>
      <c r="G310" s="188"/>
      <c r="H310" s="203"/>
      <c r="I310" s="203">
        <f>(I309/I315)-1</f>
        <v>-1.392876129718235</v>
      </c>
      <c r="J310" s="188"/>
      <c r="K310" s="188"/>
      <c r="L310" s="188"/>
      <c r="M310" s="194"/>
      <c r="N310" s="188"/>
      <c r="O310" s="188"/>
      <c r="P310" s="188"/>
      <c r="Q310" s="188"/>
      <c r="R310" s="195"/>
      <c r="S310" s="197"/>
      <c r="T310" s="180"/>
      <c r="U310" s="189" t="str">
        <f>IFERROR(IF(Tableau3[[#This Row],[Dettes]]=0,"",(Tableau3[[#This Row],[Dettes]]/Tableau3[[#This Row],[EBE]])),"")</f>
        <v/>
      </c>
      <c r="V310" s="190" t="str">
        <f>IFERROR(Tableau3[[#This Row],[Fonds propres]]/Tableau3[[#This Row],[Total Bilan]],"")</f>
        <v/>
      </c>
      <c r="W310" s="180"/>
      <c r="X310" s="191"/>
      <c r="Y310" s="180"/>
      <c r="Z310" s="192" t="str">
        <f>IFERROR(Tableau3[[#This Row],[Chiffre d''affaires]]/Tableau3[[#This Row],[Salariés]],"")</f>
        <v/>
      </c>
      <c r="AA310" s="197"/>
      <c r="AB310" s="197"/>
      <c r="AC310" s="177" t="s">
        <v>253</v>
      </c>
    </row>
    <row r="311" spans="1:29" ht="20.25" customHeight="1">
      <c r="A311" s="217"/>
      <c r="F311" s="217" t="s">
        <v>254</v>
      </c>
      <c r="G311" s="188"/>
      <c r="H311" s="203"/>
      <c r="I311" s="203"/>
      <c r="J311" s="188"/>
      <c r="K311" s="188"/>
      <c r="L311" s="188"/>
      <c r="M311" s="194"/>
      <c r="N311" s="188"/>
      <c r="O311" s="188"/>
      <c r="P311" s="188"/>
      <c r="Q311" s="188"/>
      <c r="R311" s="195"/>
      <c r="S311" s="197"/>
      <c r="T311" s="180"/>
      <c r="U311" s="189" t="str">
        <f>IFERROR(IF(Tableau3[[#This Row],[Dettes]]=0,"",(Tableau3[[#This Row],[Dettes]]/Tableau3[[#This Row],[EBE]])),"")</f>
        <v/>
      </c>
      <c r="V311" s="190" t="str">
        <f>IFERROR(Tableau3[[#This Row],[Fonds propres]]/Tableau3[[#This Row],[Total Bilan]],"")</f>
        <v/>
      </c>
      <c r="W311" s="180"/>
      <c r="X311" s="191"/>
      <c r="Y311" s="180"/>
      <c r="Z311" s="192" t="str">
        <f>IFERROR(Tableau3[[#This Row],[Chiffre d''affaires]]/Tableau3[[#This Row],[Salariés]],"")</f>
        <v/>
      </c>
      <c r="AA311" s="197"/>
      <c r="AB311" s="197"/>
      <c r="AC311" s="177" t="s">
        <v>255</v>
      </c>
    </row>
    <row r="312" spans="1:29" ht="20.25" customHeight="1">
      <c r="A312" s="217"/>
      <c r="G312" s="188"/>
      <c r="H312" s="203"/>
      <c r="I312" s="203"/>
      <c r="J312" s="188"/>
      <c r="K312" s="188"/>
      <c r="L312" s="188"/>
      <c r="M312" s="194"/>
      <c r="N312" s="188"/>
      <c r="O312" s="188"/>
      <c r="P312" s="188"/>
      <c r="Q312" s="188"/>
      <c r="R312" s="195"/>
      <c r="S312" s="197"/>
      <c r="T312" s="180"/>
      <c r="U312" s="189" t="str">
        <f>IFERROR(IF(Tableau3[[#This Row],[Dettes]]=0,"",(Tableau3[[#This Row],[Dettes]]/Tableau3[[#This Row],[EBE]])),"")</f>
        <v/>
      </c>
      <c r="V312" s="190" t="str">
        <f>IFERROR(Tableau3[[#This Row],[Fonds propres]]/Tableau3[[#This Row],[Total Bilan]],"")</f>
        <v/>
      </c>
      <c r="W312" s="180"/>
      <c r="X312" s="191"/>
      <c r="Y312" s="180"/>
      <c r="Z312" s="192" t="str">
        <f>IFERROR(Tableau3[[#This Row],[Chiffre d''affaires]]/Tableau3[[#This Row],[Salariés]],"")</f>
        <v/>
      </c>
      <c r="AA312" s="197"/>
      <c r="AB312" s="197"/>
    </row>
    <row r="313" spans="1:29" ht="20.25" customHeight="1">
      <c r="A313" s="217"/>
      <c r="G313" s="188"/>
      <c r="H313" s="203"/>
      <c r="I313" s="203"/>
      <c r="J313" s="188"/>
      <c r="K313" s="188"/>
      <c r="L313" s="188"/>
      <c r="M313" s="194"/>
      <c r="N313" s="188"/>
      <c r="O313" s="188"/>
      <c r="P313" s="188"/>
      <c r="Q313" s="188"/>
      <c r="R313" s="195"/>
      <c r="S313" s="197"/>
      <c r="T313" s="180"/>
      <c r="U313" s="189" t="str">
        <f>IFERROR(IF(Tableau3[[#This Row],[Dettes]]=0,"",(Tableau3[[#This Row],[Dettes]]/Tableau3[[#This Row],[EBE]])),"")</f>
        <v/>
      </c>
      <c r="V313" s="190" t="str">
        <f>IFERROR(Tableau3[[#This Row],[Fonds propres]]/Tableau3[[#This Row],[Total Bilan]],"")</f>
        <v/>
      </c>
      <c r="W313" s="180"/>
      <c r="X313" s="191"/>
      <c r="Y313" s="180"/>
      <c r="Z313" s="192" t="str">
        <f>IFERROR(Tableau3[[#This Row],[Chiffre d''affaires]]/Tableau3[[#This Row],[Salariés]],"")</f>
        <v/>
      </c>
      <c r="AA313" s="197"/>
      <c r="AB313" s="197"/>
    </row>
    <row r="314" spans="1:29" ht="20.25" customHeight="1">
      <c r="A314" s="217"/>
      <c r="G314" s="188"/>
      <c r="H314" s="203"/>
      <c r="I314" s="203"/>
      <c r="J314" s="188"/>
      <c r="K314" s="188"/>
      <c r="L314" s="188"/>
      <c r="M314" s="194"/>
      <c r="N314" s="188"/>
      <c r="O314" s="188"/>
      <c r="P314" s="188"/>
      <c r="Q314" s="188"/>
      <c r="R314" s="195"/>
      <c r="S314" s="197"/>
      <c r="T314" s="180"/>
      <c r="U314" s="189" t="str">
        <f>IFERROR(IF(Tableau3[[#This Row],[Dettes]]=0,"",(Tableau3[[#This Row],[Dettes]]/Tableau3[[#This Row],[EBE]])),"")</f>
        <v/>
      </c>
      <c r="V314" s="190" t="str">
        <f>IFERROR(Tableau3[[#This Row],[Fonds propres]]/Tableau3[[#This Row],[Total Bilan]],"")</f>
        <v/>
      </c>
      <c r="W314" s="180"/>
      <c r="X314" s="191"/>
      <c r="Y314" s="180"/>
      <c r="Z314" s="192" t="str">
        <f>IFERROR(Tableau3[[#This Row],[Chiffre d''affaires]]/Tableau3[[#This Row],[Salariés]],"")</f>
        <v/>
      </c>
      <c r="AA314" s="197"/>
      <c r="AB314" s="197"/>
    </row>
    <row r="315" spans="1:29" ht="20.25" customHeight="1">
      <c r="A315" s="217" t="s">
        <v>256</v>
      </c>
      <c r="B315" s="216" t="s">
        <v>164</v>
      </c>
      <c r="C315" s="178" t="s">
        <v>84</v>
      </c>
      <c r="D315" s="178" t="s">
        <v>85</v>
      </c>
      <c r="E315" s="187">
        <v>65</v>
      </c>
      <c r="F315" s="178">
        <v>2014</v>
      </c>
      <c r="G315" s="188">
        <v>12843000000</v>
      </c>
      <c r="H315" s="188">
        <v>2721000000</v>
      </c>
      <c r="I315" s="188">
        <v>1881000000</v>
      </c>
      <c r="J315" s="188">
        <v>143000000</v>
      </c>
      <c r="K315" s="188">
        <v>9310000000</v>
      </c>
      <c r="L315" s="188">
        <v>15453000000</v>
      </c>
      <c r="M315" s="194">
        <f>L315/P315</f>
        <v>53.774741709768207</v>
      </c>
      <c r="N315" s="190">
        <f>J315/L315</f>
        <v>9.2538665631269005E-3</v>
      </c>
      <c r="O315" s="190">
        <f>(I315*0.67)/(L315+K315)</f>
        <v>5.0893268182368855E-2</v>
      </c>
      <c r="P315" s="188">
        <v>287365397</v>
      </c>
      <c r="Q315" s="188">
        <f>P315*E315</f>
        <v>18678750805</v>
      </c>
      <c r="R315" s="195">
        <f>Q315/L315</f>
        <v>1.2087459266809033</v>
      </c>
      <c r="S315" s="197">
        <f>(Q315+K315)/H315</f>
        <v>10.286200222344727</v>
      </c>
      <c r="T315" s="180"/>
      <c r="U315" s="189">
        <f>IFERROR(IF(Tableau3[[#This Row],[Dettes]]=0,"",(Tableau3[[#This Row],[Dettes]]/Tableau3[[#This Row],[EBE]])),"")</f>
        <v>3.4215361999264977</v>
      </c>
      <c r="V315" s="190" t="str">
        <f>IFERROR(Tableau3[[#This Row],[Fonds propres]]/Tableau3[[#This Row],[Total Bilan]],"")</f>
        <v/>
      </c>
      <c r="W315" s="180"/>
      <c r="X315" s="191"/>
      <c r="Y315" s="180"/>
      <c r="Z315" s="192" t="str">
        <f>IFERROR(Tableau3[[#This Row],[Chiffre d''affaires]]/Tableau3[[#This Row],[Salariés]],"")</f>
        <v/>
      </c>
      <c r="AA315" s="197"/>
      <c r="AB315" s="197"/>
      <c r="AC315" s="177" t="s">
        <v>257</v>
      </c>
    </row>
    <row r="316" spans="1:29" ht="20.25" customHeight="1">
      <c r="A316" s="217"/>
      <c r="E316" s="187"/>
      <c r="G316" s="202">
        <f>(G315/G317)-1</f>
        <v>-1.8944312886716053E-2</v>
      </c>
      <c r="H316" s="203">
        <f>(H315/H317)-1</f>
        <v>-2.6127415891195382E-2</v>
      </c>
      <c r="I316" s="203">
        <f>(I315/I317)-1</f>
        <v>-2.8910686628807469E-2</v>
      </c>
      <c r="J316" s="203">
        <f>(J315/J317)-1</f>
        <v>-0.76206322795341097</v>
      </c>
      <c r="K316" s="188"/>
      <c r="L316" s="188"/>
      <c r="M316" s="194"/>
      <c r="N316" s="188"/>
      <c r="O316" s="188"/>
      <c r="P316" s="188"/>
      <c r="Q316" s="188"/>
      <c r="R316" s="195"/>
      <c r="S316" s="221"/>
      <c r="T316" s="180"/>
      <c r="U316" s="189" t="str">
        <f>IFERROR(IF(Tableau3[[#This Row],[Dettes]]=0,"",(Tableau3[[#This Row],[Dettes]]/Tableau3[[#This Row],[EBE]])),"")</f>
        <v/>
      </c>
      <c r="V316" s="190" t="str">
        <f>IFERROR(Tableau3[[#This Row],[Fonds propres]]/Tableau3[[#This Row],[Total Bilan]],"")</f>
        <v/>
      </c>
      <c r="W316" s="180"/>
      <c r="X316" s="222"/>
      <c r="Y316" s="180"/>
      <c r="Z316" s="192" t="str">
        <f>IFERROR(Tableau3[[#This Row],[Chiffre d''affaires]]/Tableau3[[#This Row],[Salariés]],"")</f>
        <v/>
      </c>
      <c r="AA316" s="221"/>
      <c r="AB316" s="221"/>
      <c r="AC316" s="177" t="s">
        <v>258</v>
      </c>
    </row>
    <row r="317" spans="1:29" ht="20.25" customHeight="1">
      <c r="A317" s="217"/>
      <c r="E317" s="187">
        <v>54.5</v>
      </c>
      <c r="F317" s="178">
        <v>2013</v>
      </c>
      <c r="G317" s="188">
        <v>13091000000</v>
      </c>
      <c r="H317" s="188">
        <v>2794000000</v>
      </c>
      <c r="I317" s="188">
        <v>1937000000</v>
      </c>
      <c r="J317" s="188">
        <v>601000000</v>
      </c>
      <c r="K317" s="188">
        <v>9846000000</v>
      </c>
      <c r="L317" s="188">
        <v>14555000000</v>
      </c>
      <c r="M317" s="194">
        <f>L317/P317</f>
        <v>50.669177434937346</v>
      </c>
      <c r="N317" s="190">
        <f>J317/L317</f>
        <v>4.1291652353143249E-2</v>
      </c>
      <c r="O317" s="190">
        <f>(I317*0.67)/(L317+K317)</f>
        <v>5.3185935002663824E-2</v>
      </c>
      <c r="P317" s="188">
        <v>287255502</v>
      </c>
      <c r="Q317" s="188">
        <f>P317*E317</f>
        <v>15655424859</v>
      </c>
      <c r="R317" s="195">
        <f>Q317/L317</f>
        <v>1.0756045935417382</v>
      </c>
      <c r="S317" s="197">
        <f>(Q317+K317)/H317</f>
        <v>9.1272100425912672</v>
      </c>
      <c r="T317" s="180"/>
      <c r="U317" s="189">
        <f>IFERROR(IF(Tableau3[[#This Row],[Dettes]]=0,"",(Tableau3[[#This Row],[Dettes]]/Tableau3[[#This Row],[EBE]])),"")</f>
        <v>3.5239799570508232</v>
      </c>
      <c r="V317" s="190" t="str">
        <f>IFERROR(Tableau3[[#This Row],[Fonds propres]]/Tableau3[[#This Row],[Total Bilan]],"")</f>
        <v/>
      </c>
      <c r="W317" s="180"/>
      <c r="X317" s="191"/>
      <c r="Y317" s="180"/>
      <c r="Z317" s="192" t="str">
        <f>IFERROR(Tableau3[[#This Row],[Chiffre d''affaires]]/Tableau3[[#This Row],[Salariés]],"")</f>
        <v/>
      </c>
      <c r="AA317" s="197"/>
      <c r="AB317" s="197"/>
      <c r="AC317" s="177" t="s">
        <v>259</v>
      </c>
    </row>
    <row r="318" spans="1:29" ht="20.25" customHeight="1">
      <c r="A318" s="217"/>
      <c r="E318" s="187"/>
      <c r="G318" s="202">
        <f>(G317/G319)-1</f>
        <v>-0.17229387961557918</v>
      </c>
      <c r="H318" s="203">
        <f>(H317/H319)-1</f>
        <v>-0.18375693835816531</v>
      </c>
      <c r="I318" s="203">
        <f>(I317/I319)-1</f>
        <v>8.8541666666666075E-3</v>
      </c>
      <c r="J318" s="203">
        <f>(J317/J319)-1</f>
        <v>0.64657534246575343</v>
      </c>
      <c r="K318" s="188"/>
      <c r="L318" s="188"/>
      <c r="M318" s="194"/>
      <c r="N318" s="188"/>
      <c r="O318" s="188"/>
      <c r="P318" s="188"/>
      <c r="Q318" s="188"/>
      <c r="R318" s="195"/>
      <c r="S318" s="221"/>
      <c r="T318" s="180"/>
      <c r="U318" s="189" t="str">
        <f>IFERROR(IF(Tableau3[[#This Row],[Dettes]]=0,"",(Tableau3[[#This Row],[Dettes]]/Tableau3[[#This Row],[EBE]])),"")</f>
        <v/>
      </c>
      <c r="V318" s="190" t="str">
        <f>IFERROR(Tableau3[[#This Row],[Fonds propres]]/Tableau3[[#This Row],[Total Bilan]],"")</f>
        <v/>
      </c>
      <c r="W318" s="180"/>
      <c r="X318" s="222"/>
      <c r="Y318" s="180"/>
      <c r="Z318" s="192" t="str">
        <f>IFERROR(Tableau3[[#This Row],[Chiffre d''affaires]]/Tableau3[[#This Row],[Salariés]],"")</f>
        <v/>
      </c>
      <c r="AA318" s="221"/>
      <c r="AB318" s="221"/>
      <c r="AC318" s="177" t="s">
        <v>260</v>
      </c>
    </row>
    <row r="319" spans="1:29" ht="20.25" customHeight="1">
      <c r="A319" s="217"/>
      <c r="E319" s="187">
        <v>48.3</v>
      </c>
      <c r="F319" s="178">
        <v>2012</v>
      </c>
      <c r="G319" s="188">
        <v>15816000000</v>
      </c>
      <c r="H319" s="188">
        <v>3423000000</v>
      </c>
      <c r="I319" s="188">
        <v>1920000000</v>
      </c>
      <c r="J319" s="188">
        <v>365000000</v>
      </c>
      <c r="K319" s="188">
        <v>10800000000</v>
      </c>
      <c r="L319" s="188">
        <v>15666000000</v>
      </c>
      <c r="M319" s="194">
        <f>L319/P319</f>
        <v>54.538330249384437</v>
      </c>
      <c r="N319" s="190">
        <f>J319/L319</f>
        <v>2.3298863781437508E-2</v>
      </c>
      <c r="O319" s="190">
        <f>(I319*0.67)/(L319+K319)</f>
        <v>4.8605758331444114E-2</v>
      </c>
      <c r="P319" s="188">
        <v>287247518</v>
      </c>
      <c r="Q319" s="188">
        <f>P319*E319</f>
        <v>13874055119.4</v>
      </c>
      <c r="R319" s="195">
        <f>Q319/L319</f>
        <v>0.88561567211796244</v>
      </c>
      <c r="S319" s="197">
        <f>(Q319+K319)/H319</f>
        <v>7.2083129183172661</v>
      </c>
      <c r="T319" s="180"/>
      <c r="U319" s="189">
        <f>IFERROR(IF(Tableau3[[#This Row],[Dettes]]=0,"",(Tableau3[[#This Row],[Dettes]]/Tableau3[[#This Row],[EBE]])),"")</f>
        <v>3.1551270815074495</v>
      </c>
      <c r="V319" s="190" t="str">
        <f>IFERROR(Tableau3[[#This Row],[Fonds propres]]/Tableau3[[#This Row],[Total Bilan]],"")</f>
        <v/>
      </c>
      <c r="W319" s="180"/>
      <c r="X319" s="191"/>
      <c r="Y319" s="180"/>
      <c r="Z319" s="192" t="str">
        <f>IFERROR(Tableau3[[#This Row],[Chiffre d''affaires]]/Tableau3[[#This Row],[Salariés]],"")</f>
        <v/>
      </c>
      <c r="AA319" s="197"/>
      <c r="AB319" s="197"/>
      <c r="AC319" s="177" t="s">
        <v>261</v>
      </c>
    </row>
    <row r="320" spans="1:29" ht="20.25" customHeight="1">
      <c r="A320" s="217"/>
      <c r="E320" s="187"/>
      <c r="G320" s="202">
        <f>(G319/G321)-1</f>
        <v>3.4807641978539694E-2</v>
      </c>
      <c r="H320" s="203" t="e">
        <f>(H319/H321)-1</f>
        <v>#DIV/0!</v>
      </c>
      <c r="I320" s="203">
        <f>(I319/I321)-1</f>
        <v>-0.11886186324001835</v>
      </c>
      <c r="J320" s="203" t="e">
        <f>(J319/J321)-1</f>
        <v>#DIV/0!</v>
      </c>
      <c r="K320" s="188"/>
      <c r="L320" s="188"/>
      <c r="M320" s="194"/>
      <c r="N320" s="188"/>
      <c r="O320" s="188"/>
      <c r="P320" s="188"/>
      <c r="Q320" s="188"/>
      <c r="R320" s="195"/>
      <c r="S320" s="221"/>
      <c r="T320" s="180"/>
      <c r="U320" s="189" t="str">
        <f>IFERROR(IF(Tableau3[[#This Row],[Dettes]]=0,"",(Tableau3[[#This Row],[Dettes]]/Tableau3[[#This Row],[EBE]])),"")</f>
        <v/>
      </c>
      <c r="V320" s="190" t="str">
        <f>IFERROR(Tableau3[[#This Row],[Fonds propres]]/Tableau3[[#This Row],[Total Bilan]],"")</f>
        <v/>
      </c>
      <c r="W320" s="180"/>
      <c r="X320" s="222"/>
      <c r="Y320" s="180"/>
      <c r="Z320" s="192" t="str">
        <f>IFERROR(Tableau3[[#This Row],[Chiffre d''affaires]]/Tableau3[[#This Row],[Salariés]],"")</f>
        <v/>
      </c>
      <c r="AA320" s="221"/>
      <c r="AB320" s="221"/>
    </row>
    <row r="321" spans="1:29" ht="20.25" customHeight="1">
      <c r="A321" s="217"/>
      <c r="E321" s="187">
        <v>27.16</v>
      </c>
      <c r="F321" s="178">
        <v>2011</v>
      </c>
      <c r="G321" s="188">
        <v>15284000000</v>
      </c>
      <c r="H321" s="188"/>
      <c r="I321" s="188">
        <v>2179000000</v>
      </c>
      <c r="J321" s="188"/>
      <c r="K321" s="188">
        <v>11974000000</v>
      </c>
      <c r="L321" s="188"/>
      <c r="M321" s="194">
        <f>L321/P321</f>
        <v>0</v>
      </c>
      <c r="N321" s="190"/>
      <c r="O321" s="190">
        <f>(I321*0.67)/(L321+K321)</f>
        <v>0.12192500417571404</v>
      </c>
      <c r="P321" s="188">
        <v>287247518</v>
      </c>
      <c r="Q321" s="188">
        <f>P321*E321</f>
        <v>7801642588.8800001</v>
      </c>
      <c r="R321" s="195"/>
      <c r="S321" s="197" t="e">
        <f>(Q321+K321)/H321</f>
        <v>#DIV/0!</v>
      </c>
      <c r="T321" s="180"/>
      <c r="U321" s="189" t="str">
        <f>IFERROR(IF(Tableau3[[#This Row],[Dettes]]=0,"",(Tableau3[[#This Row],[Dettes]]/Tableau3[[#This Row],[EBE]])),"")</f>
        <v/>
      </c>
      <c r="V321" s="190" t="str">
        <f>IFERROR(Tableau3[[#This Row],[Fonds propres]]/Tableau3[[#This Row],[Total Bilan]],"")</f>
        <v/>
      </c>
      <c r="W321" s="180"/>
      <c r="X321" s="191"/>
      <c r="Y321" s="180"/>
      <c r="Z321" s="192" t="str">
        <f>IFERROR(Tableau3[[#This Row],[Chiffre d''affaires]]/Tableau3[[#This Row],[Salariés]],"")</f>
        <v/>
      </c>
      <c r="AA321" s="197"/>
      <c r="AB321" s="197"/>
    </row>
    <row r="322" spans="1:29" ht="20.25" customHeight="1">
      <c r="A322" s="217"/>
      <c r="E322" s="187"/>
      <c r="G322" s="202">
        <f>(G321/G323)-1</f>
        <v>-5.4734368235512365E-2</v>
      </c>
      <c r="H322" s="203" t="e">
        <f>(H321/H323)-1</f>
        <v>#DIV/0!</v>
      </c>
      <c r="I322" s="203">
        <f>(I321/I323)-1</f>
        <v>4.6104195481788679E-3</v>
      </c>
      <c r="J322" s="203" t="e">
        <f>(J321/J323)-1</f>
        <v>#DIV/0!</v>
      </c>
      <c r="K322" s="188"/>
      <c r="L322" s="188"/>
      <c r="M322" s="194"/>
      <c r="N322" s="188"/>
      <c r="O322" s="188"/>
      <c r="P322" s="188"/>
      <c r="Q322" s="188"/>
      <c r="R322" s="195"/>
      <c r="S322" s="221"/>
      <c r="T322" s="180"/>
      <c r="U322" s="189" t="str">
        <f>IFERROR(IF(Tableau3[[#This Row],[Dettes]]=0,"",(Tableau3[[#This Row],[Dettes]]/Tableau3[[#This Row],[EBE]])),"")</f>
        <v/>
      </c>
      <c r="V322" s="190" t="str">
        <f>IFERROR(Tableau3[[#This Row],[Fonds propres]]/Tableau3[[#This Row],[Total Bilan]],"")</f>
        <v/>
      </c>
      <c r="W322" s="180"/>
      <c r="X322" s="222"/>
      <c r="Y322" s="180"/>
      <c r="Z322" s="192" t="str">
        <f>IFERROR(Tableau3[[#This Row],[Chiffre d''affaires]]/Tableau3[[#This Row],[Salariés]],"")</f>
        <v/>
      </c>
      <c r="AA322" s="221"/>
      <c r="AB322" s="221"/>
    </row>
    <row r="323" spans="1:29" ht="20.25" customHeight="1">
      <c r="A323" s="217"/>
      <c r="E323" s="187">
        <v>46.92</v>
      </c>
      <c r="F323" s="178">
        <v>2010</v>
      </c>
      <c r="G323" s="188">
        <v>16169000000</v>
      </c>
      <c r="H323" s="188"/>
      <c r="I323" s="188">
        <v>2169000000</v>
      </c>
      <c r="J323" s="188"/>
      <c r="K323" s="188">
        <v>14000000000</v>
      </c>
      <c r="L323" s="188">
        <v>16000000000</v>
      </c>
      <c r="M323" s="194">
        <f>L323/P323</f>
        <v>55.701090513861288</v>
      </c>
      <c r="N323" s="190"/>
      <c r="O323" s="190">
        <f>(I323*0.67)/(L323+K323)</f>
        <v>4.8440999999999998E-2</v>
      </c>
      <c r="P323" s="188">
        <v>287247518</v>
      </c>
      <c r="Q323" s="188">
        <f>P323*E323</f>
        <v>13477653544.560001</v>
      </c>
      <c r="R323" s="195">
        <f>Q323/L323</f>
        <v>0.84235334653500005</v>
      </c>
      <c r="S323" s="197" t="e">
        <f>(Q323+K323)/H323</f>
        <v>#DIV/0!</v>
      </c>
      <c r="T323" s="180"/>
      <c r="U323" s="189" t="str">
        <f>IFERROR(IF(Tableau3[[#This Row],[Dettes]]=0,"",(Tableau3[[#This Row],[Dettes]]/Tableau3[[#This Row],[EBE]])),"")</f>
        <v/>
      </c>
      <c r="V323" s="190" t="str">
        <f>IFERROR(Tableau3[[#This Row],[Fonds propres]]/Tableau3[[#This Row],[Total Bilan]],"")</f>
        <v/>
      </c>
      <c r="W323" s="180"/>
      <c r="X323" s="191"/>
      <c r="Y323" s="180"/>
      <c r="Z323" s="192" t="str">
        <f>IFERROR(Tableau3[[#This Row],[Chiffre d''affaires]]/Tableau3[[#This Row],[Salariés]],"")</f>
        <v/>
      </c>
      <c r="AA323" s="197"/>
      <c r="AB323" s="197"/>
    </row>
    <row r="324" spans="1:29" ht="20.25" customHeight="1">
      <c r="A324" s="217"/>
      <c r="G324" s="188"/>
      <c r="H324" s="188"/>
      <c r="I324" s="188"/>
      <c r="J324" s="188"/>
      <c r="K324" s="188"/>
      <c r="L324" s="188"/>
      <c r="M324" s="194"/>
      <c r="N324" s="190"/>
      <c r="O324" s="190"/>
      <c r="P324" s="188"/>
      <c r="Q324" s="188"/>
      <c r="R324" s="195"/>
      <c r="S324" s="197"/>
      <c r="T324" s="180"/>
      <c r="U324" s="189" t="str">
        <f>IFERROR(IF(Tableau3[[#This Row],[Dettes]]=0,"",(Tableau3[[#This Row],[Dettes]]/Tableau3[[#This Row],[EBE]])),"")</f>
        <v/>
      </c>
      <c r="V324" s="190" t="str">
        <f>IFERROR(Tableau3[[#This Row],[Fonds propres]]/Tableau3[[#This Row],[Total Bilan]],"")</f>
        <v/>
      </c>
      <c r="W324" s="180"/>
      <c r="X324" s="191"/>
      <c r="Y324" s="180"/>
      <c r="Z324" s="192" t="str">
        <f>IFERROR(Tableau3[[#This Row],[Chiffre d''affaires]]/Tableau3[[#This Row],[Salariés]],"")</f>
        <v/>
      </c>
      <c r="AA324" s="197"/>
      <c r="AB324" s="197"/>
    </row>
    <row r="325" spans="1:29" ht="20.25" customHeight="1">
      <c r="A325" s="217"/>
      <c r="G325" s="188"/>
      <c r="H325" s="188"/>
      <c r="I325" s="188"/>
      <c r="J325" s="188"/>
      <c r="K325" s="188"/>
      <c r="L325" s="188"/>
      <c r="M325" s="194"/>
      <c r="N325" s="190"/>
      <c r="O325" s="190"/>
      <c r="P325" s="188"/>
      <c r="Q325" s="188"/>
      <c r="R325" s="195"/>
      <c r="S325" s="197"/>
      <c r="T325" s="180"/>
      <c r="U325" s="189" t="str">
        <f>IFERROR(IF(Tableau3[[#This Row],[Dettes]]=0,"",(Tableau3[[#This Row],[Dettes]]/Tableau3[[#This Row],[EBE]])),"")</f>
        <v/>
      </c>
      <c r="V325" s="190" t="str">
        <f>IFERROR(Tableau3[[#This Row],[Fonds propres]]/Tableau3[[#This Row],[Total Bilan]],"")</f>
        <v/>
      </c>
      <c r="W325" s="180"/>
      <c r="X325" s="191"/>
      <c r="Y325" s="180"/>
      <c r="Z325" s="192" t="str">
        <f>IFERROR(Tableau3[[#This Row],[Chiffre d''affaires]]/Tableau3[[#This Row],[Salariés]],"")</f>
        <v/>
      </c>
      <c r="AA325" s="197"/>
      <c r="AB325" s="197"/>
    </row>
    <row r="326" spans="1:29" ht="20.25" customHeight="1">
      <c r="A326" s="217"/>
      <c r="G326" s="188"/>
      <c r="H326" s="188"/>
      <c r="I326" s="188"/>
      <c r="J326" s="188"/>
      <c r="K326" s="188"/>
      <c r="L326" s="188"/>
      <c r="M326" s="194"/>
      <c r="N326" s="190"/>
      <c r="O326" s="190"/>
      <c r="P326" s="188"/>
      <c r="Q326" s="188"/>
      <c r="R326" s="195"/>
      <c r="S326" s="197"/>
      <c r="T326" s="180"/>
      <c r="U326" s="189" t="str">
        <f>IFERROR(IF(Tableau3[[#This Row],[Dettes]]=0,"",(Tableau3[[#This Row],[Dettes]]/Tableau3[[#This Row],[EBE]])),"")</f>
        <v/>
      </c>
      <c r="V326" s="190" t="str">
        <f>IFERROR(Tableau3[[#This Row],[Fonds propres]]/Tableau3[[#This Row],[Total Bilan]],"")</f>
        <v/>
      </c>
      <c r="W326" s="180"/>
      <c r="X326" s="191"/>
      <c r="Y326" s="180"/>
      <c r="Z326" s="192" t="str">
        <f>IFERROR(Tableau3[[#This Row],[Chiffre d''affaires]]/Tableau3[[#This Row],[Salariés]],"")</f>
        <v/>
      </c>
      <c r="AA326" s="197"/>
      <c r="AB326" s="197"/>
    </row>
    <row r="327" spans="1:29" ht="20.25" customHeight="1">
      <c r="A327" s="217" t="s">
        <v>262</v>
      </c>
      <c r="B327" s="216" t="s">
        <v>164</v>
      </c>
      <c r="C327" s="178" t="s">
        <v>84</v>
      </c>
      <c r="D327" s="178" t="s">
        <v>85</v>
      </c>
      <c r="E327" s="187">
        <v>45</v>
      </c>
      <c r="F327" s="178">
        <v>2025</v>
      </c>
      <c r="G327" s="188">
        <f>3884000000*1.02</f>
        <v>3961680000</v>
      </c>
      <c r="H327" s="188">
        <f>Tableau3[[#This Row],[Chiffre d''affaires]]*0.2</f>
        <v>792336000</v>
      </c>
      <c r="I327" s="188">
        <v>470000000</v>
      </c>
      <c r="J327" s="188">
        <v>290000000</v>
      </c>
      <c r="K327" s="188">
        <v>1050000000</v>
      </c>
      <c r="L327" s="188">
        <v>2900000000</v>
      </c>
      <c r="M327" s="194">
        <f>L327/P327</f>
        <v>64.587973273942097</v>
      </c>
      <c r="N327" s="190">
        <f>J327/L329</f>
        <v>0.1</v>
      </c>
      <c r="O327" s="190">
        <f>(I327*0.75)/(L329+K329)</f>
        <v>8.5206671501087738E-2</v>
      </c>
      <c r="P327" s="188">
        <v>44900000</v>
      </c>
      <c r="Q327" s="188">
        <f>P327*E327</f>
        <v>2020500000</v>
      </c>
      <c r="R327" s="195">
        <f>Q327/L327</f>
        <v>0.69672413793103449</v>
      </c>
      <c r="S327" s="197">
        <f>(Q327+K327)/H327</f>
        <v>3.8752498939843703</v>
      </c>
      <c r="T327" s="180"/>
      <c r="U327" s="223">
        <f>IFERROR(IF(Tableau3[[#This Row],[Dettes]]=0,"",(Tableau3[[#This Row],[Dettes]]/Tableau3[[#This Row],[EBE]])),"")</f>
        <v>1.3251953716605076</v>
      </c>
      <c r="V327" s="190" t="str">
        <f>IFERROR(Tableau3[[#This Row],[Fonds propres]]/Tableau3[[#This Row],[Total Bilan]],"")</f>
        <v/>
      </c>
      <c r="W327" s="180"/>
      <c r="X327" s="191" t="s">
        <v>106</v>
      </c>
      <c r="Y327" s="180"/>
      <c r="Z327" s="192" t="str">
        <f>IFERROR(Tableau3[[#This Row],[Chiffre d''affaires]]/Tableau3[[#This Row],[Salariés]],"")</f>
        <v/>
      </c>
      <c r="AA327" s="197" t="s">
        <v>50</v>
      </c>
      <c r="AB327" s="197"/>
      <c r="AC327" s="177" t="s">
        <v>263</v>
      </c>
    </row>
    <row r="328" spans="1:29" ht="20.25" customHeight="1">
      <c r="A328" s="217"/>
      <c r="G328" s="202">
        <f>(G327/G329)-1</f>
        <v>2.0000000000000018E-2</v>
      </c>
      <c r="H328" s="203">
        <f>(H327/H329)-1</f>
        <v>1.1923371647509562E-2</v>
      </c>
      <c r="I328" s="203">
        <f>(I327/I329)-1</f>
        <v>2.8446389496717739E-2</v>
      </c>
      <c r="J328" s="203">
        <f>(J327/J329)-1</f>
        <v>6.2271062271062272E-2</v>
      </c>
      <c r="K328" s="188"/>
      <c r="L328" s="188"/>
      <c r="M328" s="194"/>
      <c r="N328" s="190"/>
      <c r="O328" s="190"/>
      <c r="P328" s="188"/>
      <c r="Q328" s="188"/>
      <c r="R328" s="195"/>
      <c r="S328" s="197"/>
      <c r="T328" s="180"/>
      <c r="U328" s="189" t="str">
        <f>IFERROR(IF(Tableau3[[#This Row],[Dettes]]=0,"",(Tableau3[[#This Row],[Dettes]]/Tableau3[[#This Row],[EBE]])),"")</f>
        <v/>
      </c>
      <c r="V328" s="190" t="str">
        <f>IFERROR(Tableau3[[#This Row],[Fonds propres]]/Tableau3[[#This Row],[Total Bilan]],"")</f>
        <v/>
      </c>
      <c r="W328" s="180"/>
      <c r="X328" s="191"/>
      <c r="Y328" s="180"/>
      <c r="Z328" s="192" t="str">
        <f>IFERROR(Tableau3[[#This Row],[Chiffre d''affaires]]/Tableau3[[#This Row],[Salariés]],"")</f>
        <v/>
      </c>
      <c r="AA328" s="197" t="s">
        <v>53</v>
      </c>
      <c r="AB328" s="197"/>
      <c r="AC328" s="177" t="s">
        <v>265</v>
      </c>
    </row>
    <row r="329" spans="1:29" ht="20.25" customHeight="1">
      <c r="A329" s="217"/>
      <c r="E329" s="187">
        <v>36.65</v>
      </c>
      <c r="F329" s="178">
        <v>2024</v>
      </c>
      <c r="G329" s="188">
        <v>3884000000</v>
      </c>
      <c r="H329" s="188">
        <v>783000000</v>
      </c>
      <c r="I329" s="188">
        <v>457000000</v>
      </c>
      <c r="J329" s="188">
        <v>273000000</v>
      </c>
      <c r="K329" s="188">
        <v>1237000000</v>
      </c>
      <c r="L329" s="188">
        <v>2900000000</v>
      </c>
      <c r="M329" s="194">
        <f>L329/P329</f>
        <v>64.587973273942097</v>
      </c>
      <c r="N329" s="190">
        <f>J329/L331</f>
        <v>9.9900721371033105E-2</v>
      </c>
      <c r="O329" s="190">
        <f>(I329*0.75)/(L331+K331)</f>
        <v>8.2496673055395167E-2</v>
      </c>
      <c r="P329" s="188">
        <v>44900000</v>
      </c>
      <c r="Q329" s="188">
        <f>P329*E329</f>
        <v>1645585000</v>
      </c>
      <c r="R329" s="195">
        <f>Q329/L329</f>
        <v>0.56744310344827587</v>
      </c>
      <c r="S329" s="197">
        <f>(Q329+K329)/H329</f>
        <v>3.6814623243933591</v>
      </c>
      <c r="T329" s="180">
        <v>373000000</v>
      </c>
      <c r="U329" s="223">
        <f>IFERROR(IF(Tableau3[[#This Row],[Dettes]]=0,"",(Tableau3[[#This Row],[Dettes]]/Tableau3[[#This Row],[EBE]])),"")</f>
        <v>1.5798212005108556</v>
      </c>
      <c r="V329" s="190" t="str">
        <f>IFERROR(Tableau3[[#This Row],[Fonds propres]]/Tableau3[[#This Row],[Total Bilan]],"")</f>
        <v/>
      </c>
      <c r="W329" s="180"/>
      <c r="Y329" s="180">
        <v>10000</v>
      </c>
      <c r="Z329" s="192">
        <f>IFERROR(Tableau3[[#This Row],[Chiffre d''affaires]]/Tableau3[[#This Row],[Salariés]],"")</f>
        <v>388400</v>
      </c>
      <c r="AA329" s="197" t="s">
        <v>266</v>
      </c>
      <c r="AB329" s="197"/>
      <c r="AC329" s="177" t="s">
        <v>267</v>
      </c>
    </row>
    <row r="330" spans="1:29" ht="20.25" customHeight="1">
      <c r="A330" s="217"/>
      <c r="G330" s="202">
        <f>(G329/G331)-1</f>
        <v>-1.3510887827501539E-2</v>
      </c>
      <c r="H330" s="203">
        <f>(H329/H331)-1</f>
        <v>5.8467128715280481E-2</v>
      </c>
      <c r="I330" s="203">
        <f>(I329/I331)-1</f>
        <v>0.10019476095440094</v>
      </c>
      <c r="J330" s="203">
        <f>(J329/J331)-1</f>
        <v>5.639934216890774E-2</v>
      </c>
      <c r="K330" s="188"/>
      <c r="L330" s="188"/>
      <c r="M330" s="194"/>
      <c r="N330" s="190"/>
      <c r="O330" s="190"/>
      <c r="P330" s="188"/>
      <c r="Q330" s="188"/>
      <c r="R330" s="195"/>
      <c r="S330" s="197"/>
      <c r="T330" s="180"/>
      <c r="U330" s="189" t="str">
        <f>IFERROR(IF(Tableau3[[#This Row],[Dettes]]=0,"",(Tableau3[[#This Row],[Dettes]]/Tableau3[[#This Row],[EBE]])),"")</f>
        <v/>
      </c>
      <c r="V330" s="190" t="str">
        <f>IFERROR(Tableau3[[#This Row],[Fonds propres]]/Tableau3[[#This Row],[Total Bilan]],"")</f>
        <v/>
      </c>
      <c r="W330" s="180"/>
      <c r="X330" s="191"/>
      <c r="Y330" s="180"/>
      <c r="Z330" s="192" t="str">
        <f>IFERROR(Tableau3[[#This Row],[Chiffre d''affaires]]/Tableau3[[#This Row],[Salariés]],"")</f>
        <v/>
      </c>
      <c r="AB330" s="197"/>
      <c r="AC330" s="177" t="s">
        <v>268</v>
      </c>
    </row>
    <row r="331" spans="1:29" ht="20.25" customHeight="1">
      <c r="A331" s="217"/>
      <c r="E331" s="187">
        <v>32.85</v>
      </c>
      <c r="F331" s="178">
        <v>2023</v>
      </c>
      <c r="G331" s="188">
        <v>3937195000</v>
      </c>
      <c r="H331" s="188">
        <v>739749000</v>
      </c>
      <c r="I331" s="188">
        <v>415381000</v>
      </c>
      <c r="J331" s="188">
        <v>258425000</v>
      </c>
      <c r="K331" s="188">
        <v>1422000000</v>
      </c>
      <c r="L331" s="188">
        <v>2732713000</v>
      </c>
      <c r="M331" s="194">
        <f>L331/P331</f>
        <v>60.862204899777282</v>
      </c>
      <c r="N331" s="190">
        <f>J331/L333</f>
        <v>9.98448767803915E-2</v>
      </c>
      <c r="O331" s="190">
        <f>(I331*0.75)/(L333+K333)</f>
        <v>7.4973738137038184E-2</v>
      </c>
      <c r="P331" s="188">
        <v>44900000</v>
      </c>
      <c r="Q331" s="188">
        <f>P331*E331</f>
        <v>1474965000</v>
      </c>
      <c r="R331" s="195">
        <f>Q331/L331</f>
        <v>0.5397438369854427</v>
      </c>
      <c r="S331" s="197">
        <f>(Q331+K331)/H331</f>
        <v>3.9161458819140007</v>
      </c>
      <c r="T331" s="180">
        <v>295000000</v>
      </c>
      <c r="U331" s="223">
        <f>IFERROR(IF(Tableau3[[#This Row],[Dettes]]=0,"",(Tableau3[[#This Row],[Dettes]]/Tableau3[[#This Row],[EBE]])),"")</f>
        <v>1.9222736360576358</v>
      </c>
      <c r="V331" s="190">
        <f>IFERROR(Tableau3[[#This Row],[Fonds propres]]/Tableau3[[#This Row],[Total Bilan]],"")</f>
        <v>0.42937858167314652</v>
      </c>
      <c r="W331" s="180">
        <v>6364344000</v>
      </c>
      <c r="Y331" s="180">
        <v>9993</v>
      </c>
      <c r="Z331" s="192">
        <f>IFERROR(Tableau3[[#This Row],[Chiffre d''affaires]]/Tableau3[[#This Row],[Salariés]],"")</f>
        <v>393995.29670769541</v>
      </c>
      <c r="AB331" s="197"/>
      <c r="AC331" s="177" t="s">
        <v>4462</v>
      </c>
    </row>
    <row r="332" spans="1:29" ht="20.25" customHeight="1">
      <c r="A332" s="217"/>
      <c r="G332" s="202">
        <f>(G331/G333)-1</f>
        <v>8.1034292926838392E-2</v>
      </c>
      <c r="H332" s="203">
        <f>(H331/H333)-1</f>
        <v>0.29753209850557782</v>
      </c>
      <c r="I332" s="203">
        <f>(I331/I333)-1</f>
        <v>0.49563961861965655</v>
      </c>
      <c r="J332" s="203">
        <f>(J331/J333)-1</f>
        <v>0.65565777840421302</v>
      </c>
      <c r="K332" s="188"/>
      <c r="L332" s="188"/>
      <c r="M332" s="194"/>
      <c r="N332" s="190"/>
      <c r="O332" s="190"/>
      <c r="P332" s="188"/>
      <c r="Q332" s="188"/>
      <c r="R332" s="195"/>
      <c r="S332" s="197"/>
      <c r="T332" s="180"/>
      <c r="U332" s="223" t="str">
        <f>IFERROR(IF(Tableau3[[#This Row],[Dettes]]=0,"",(Tableau3[[#This Row],[Dettes]]/Tableau3[[#This Row],[EBE]])),"")</f>
        <v/>
      </c>
      <c r="V332" s="190" t="str">
        <f>IFERROR(Tableau3[[#This Row],[Fonds propres]]/Tableau3[[#This Row],[Total Bilan]],"")</f>
        <v/>
      </c>
      <c r="W332" s="180"/>
      <c r="X332" s="191"/>
      <c r="Y332" s="180"/>
      <c r="Z332" s="192" t="str">
        <f>IFERROR(Tableau3[[#This Row],[Chiffre d''affaires]]/Tableau3[[#This Row],[Salariés]],"")</f>
        <v/>
      </c>
      <c r="AB332" s="197"/>
      <c r="AC332" s="177" t="s">
        <v>4463</v>
      </c>
    </row>
    <row r="333" spans="1:29" ht="20.25" customHeight="1">
      <c r="A333" s="217"/>
      <c r="E333" s="187">
        <v>23</v>
      </c>
      <c r="F333" s="178">
        <v>2022</v>
      </c>
      <c r="G333" s="188">
        <v>3642063000</v>
      </c>
      <c r="H333" s="188">
        <v>570120000</v>
      </c>
      <c r="I333" s="188">
        <v>277728000</v>
      </c>
      <c r="J333" s="188">
        <v>156086000</v>
      </c>
      <c r="K333" s="188">
        <v>1567000000</v>
      </c>
      <c r="L333" s="188">
        <v>2588265000</v>
      </c>
      <c r="M333" s="194">
        <f>L333/P333</f>
        <v>57.645100222717147</v>
      </c>
      <c r="N333" s="190">
        <f>J333/L335</f>
        <v>6.6154449953335956E-2</v>
      </c>
      <c r="O333" s="190">
        <f>(I333*0.75)/(L335+K335)</f>
        <v>5.6641915604916278E-2</v>
      </c>
      <c r="P333" s="188">
        <v>44900000</v>
      </c>
      <c r="Q333" s="188">
        <f>P333*E333</f>
        <v>1032700000</v>
      </c>
      <c r="R333" s="195">
        <f>Q333/L333</f>
        <v>0.39899314791955226</v>
      </c>
      <c r="S333" s="197">
        <f>(Q333+K333)/H333</f>
        <v>4.5599172104118431</v>
      </c>
      <c r="T333" s="180">
        <v>-51000000</v>
      </c>
      <c r="U333" s="223">
        <f>IFERROR(IF(Tableau3[[#This Row],[Dettes]]=0,"",(Tableau3[[#This Row],[Dettes]]/Tableau3[[#This Row],[EBE]])),"")</f>
        <v>2.7485441661404617</v>
      </c>
      <c r="V333" s="190">
        <f>IFERROR(Tableau3[[#This Row],[Fonds propres]]/Tableau3[[#This Row],[Total Bilan]],"")</f>
        <v>0.40473273017442696</v>
      </c>
      <c r="W333" s="180">
        <v>6394998000</v>
      </c>
      <c r="Y333" s="180">
        <v>9912</v>
      </c>
      <c r="Z333" s="192">
        <f>IFERROR(Tableau3[[#This Row],[Chiffre d''affaires]]/Tableau3[[#This Row],[Salariés]],"")</f>
        <v>367439.76997578691</v>
      </c>
      <c r="AB333" s="197"/>
      <c r="AC333" s="177" t="s">
        <v>4825</v>
      </c>
    </row>
    <row r="334" spans="1:29" ht="20.25" customHeight="1">
      <c r="A334" s="217"/>
      <c r="G334" s="202">
        <f>(G333/G335)-1</f>
        <v>0.16622893811600603</v>
      </c>
      <c r="H334" s="203">
        <f>(H333/H335)-1</f>
        <v>-7.9141617591476865E-2</v>
      </c>
      <c r="I334" s="203">
        <f>(I333/I335)-1</f>
        <v>-0.17447031127386869</v>
      </c>
      <c r="J334" s="203">
        <f>(J333/J335)-1</f>
        <v>-0.23554332228093977</v>
      </c>
      <c r="K334" s="188"/>
      <c r="L334" s="188"/>
      <c r="M334" s="194"/>
      <c r="N334" s="190"/>
      <c r="O334" s="190"/>
      <c r="P334" s="188"/>
      <c r="Q334" s="188"/>
      <c r="R334" s="195"/>
      <c r="S334" s="197"/>
      <c r="T334" s="180"/>
      <c r="U334" s="223" t="str">
        <f>IFERROR(IF(Tableau3[[#This Row],[Dettes]]=0,"",(Tableau3[[#This Row],[Dettes]]/Tableau3[[#This Row],[EBE]])),"")</f>
        <v/>
      </c>
      <c r="V334" s="190" t="str">
        <f>IFERROR(Tableau3[[#This Row],[Fonds propres]]/Tableau3[[#This Row],[Total Bilan]],"")</f>
        <v/>
      </c>
      <c r="W334" s="180"/>
      <c r="X334" s="191"/>
      <c r="Y334" s="180"/>
      <c r="Z334" s="192" t="str">
        <f>IFERROR(Tableau3[[#This Row],[Chiffre d''affaires]]/Tableau3[[#This Row],[Salariés]],"")</f>
        <v/>
      </c>
      <c r="AB334" s="197"/>
      <c r="AC334" s="177" t="s">
        <v>269</v>
      </c>
    </row>
    <row r="335" spans="1:29" ht="20.25" customHeight="1">
      <c r="A335" s="217"/>
      <c r="E335" s="187">
        <v>36</v>
      </c>
      <c r="F335" s="178">
        <v>2021</v>
      </c>
      <c r="G335" s="188">
        <v>3122940000</v>
      </c>
      <c r="H335" s="188">
        <v>619118000</v>
      </c>
      <c r="I335" s="188">
        <v>336424000</v>
      </c>
      <c r="J335" s="188">
        <v>204179000</v>
      </c>
      <c r="K335" s="188">
        <v>1318000000</v>
      </c>
      <c r="L335" s="188">
        <v>2359418000</v>
      </c>
      <c r="M335" s="194">
        <f>L335/P335</f>
        <v>52.548285077951</v>
      </c>
      <c r="N335" s="190">
        <f>J335/L337</f>
        <v>9.339755037216485E-2</v>
      </c>
      <c r="O335" s="190">
        <f>(I335*0.75)/(L337+K337)</f>
        <v>7.447121242172669E-2</v>
      </c>
      <c r="P335" s="188">
        <v>44900000</v>
      </c>
      <c r="Q335" s="188">
        <f>P335*E335</f>
        <v>1616400000</v>
      </c>
      <c r="R335" s="195">
        <f>Q335/L335</f>
        <v>0.68508420296869821</v>
      </c>
      <c r="S335" s="197">
        <f>(Q335+K335)/H335</f>
        <v>4.7396457541211854</v>
      </c>
      <c r="T335" s="180">
        <v>63000000</v>
      </c>
      <c r="U335" s="223">
        <f>IFERROR(IF(Tableau3[[#This Row],[Dettes]]=0,"",(Tableau3[[#This Row],[Dettes]]/Tableau3[[#This Row],[EBE]])),"")</f>
        <v>2.1288348909254777</v>
      </c>
      <c r="V335" s="190" t="str">
        <f>IFERROR(Tableau3[[#This Row],[Fonds propres]]/Tableau3[[#This Row],[Total Bilan]],"")</f>
        <v/>
      </c>
      <c r="W335" s="180"/>
      <c r="X335" s="191"/>
      <c r="Y335" s="180">
        <v>9515</v>
      </c>
      <c r="Z335" s="192">
        <f>IFERROR(Tableau3[[#This Row],[Chiffre d''affaires]]/Tableau3[[#This Row],[Salariés]],"")</f>
        <v>328212.29637414607</v>
      </c>
      <c r="AB335" s="197"/>
      <c r="AC335" s="177" t="s">
        <v>270</v>
      </c>
    </row>
    <row r="336" spans="1:29" ht="20.25" customHeight="1">
      <c r="A336" s="217"/>
      <c r="G336" s="202">
        <f>(G335/G337)-1</f>
        <v>0.11328329700744555</v>
      </c>
      <c r="H336" s="203">
        <f>(H335/H337)-1</f>
        <v>0.16174878358624856</v>
      </c>
      <c r="I336" s="203">
        <f>(I335/I337)-1</f>
        <v>0.21207230122387521</v>
      </c>
      <c r="J336" s="203">
        <f>(J335/J337)-1</f>
        <v>0.3088816949261195</v>
      </c>
      <c r="K336" s="188"/>
      <c r="L336" s="188"/>
      <c r="M336" s="194"/>
      <c r="N336" s="190"/>
      <c r="O336" s="190"/>
      <c r="P336" s="188"/>
      <c r="Q336" s="188"/>
      <c r="R336" s="195"/>
      <c r="S336" s="197"/>
      <c r="T336" s="180"/>
      <c r="U336" s="223" t="str">
        <f>IFERROR(IF(Tableau3[[#This Row],[Dettes]]=0,"",(Tableau3[[#This Row],[Dettes]]/Tableau3[[#This Row],[EBE]])),"")</f>
        <v/>
      </c>
      <c r="V336" s="190" t="str">
        <f>IFERROR(Tableau3[[#This Row],[Fonds propres]]/Tableau3[[#This Row],[Total Bilan]],"")</f>
        <v/>
      </c>
      <c r="W336" s="180"/>
      <c r="X336" s="191"/>
      <c r="Y336" s="180"/>
      <c r="Z336" s="192" t="str">
        <f>IFERROR(Tableau3[[#This Row],[Chiffre d''affaires]]/Tableau3[[#This Row],[Salariés]],"")</f>
        <v/>
      </c>
      <c r="AA336" s="197"/>
      <c r="AB336" s="197"/>
      <c r="AC336" s="177" t="s">
        <v>271</v>
      </c>
    </row>
    <row r="337" spans="1:29" ht="20.25" customHeight="1">
      <c r="A337" s="217"/>
      <c r="E337" s="187">
        <v>34.35</v>
      </c>
      <c r="F337" s="178">
        <v>2020</v>
      </c>
      <c r="G337" s="188">
        <v>2805162000</v>
      </c>
      <c r="H337" s="188">
        <v>532919000</v>
      </c>
      <c r="I337" s="188">
        <v>277561000</v>
      </c>
      <c r="J337" s="188">
        <v>155995000</v>
      </c>
      <c r="K337" s="188">
        <v>1202000000</v>
      </c>
      <c r="L337" s="188">
        <v>2186128000</v>
      </c>
      <c r="M337" s="194">
        <f>L337/P337</f>
        <v>48.688819599109131</v>
      </c>
      <c r="N337" s="190">
        <f>J337/L339</f>
        <v>6.691709906793504E-2</v>
      </c>
      <c r="O337" s="190">
        <f>(I337*0.75)/(L339+K339)</f>
        <v>5.7487183693217217E-2</v>
      </c>
      <c r="P337" s="188">
        <v>44900000</v>
      </c>
      <c r="Q337" s="188">
        <f>P337*E337</f>
        <v>1542315000</v>
      </c>
      <c r="R337" s="195">
        <f>Q337/L337</f>
        <v>0.70550077580086801</v>
      </c>
      <c r="S337" s="197">
        <f>(Q337+K337)/H337</f>
        <v>5.1495912136741229</v>
      </c>
      <c r="T337" s="180">
        <v>228000000</v>
      </c>
      <c r="U337" s="223">
        <f>IFERROR(IF(Tableau3[[#This Row],[Dettes]]=0,"",(Tableau3[[#This Row],[Dettes]]/Tableau3[[#This Row],[EBE]])),"")</f>
        <v>2.2555022433052678</v>
      </c>
      <c r="V337" s="190" t="str">
        <f>IFERROR(Tableau3[[#This Row],[Fonds propres]]/Tableau3[[#This Row],[Total Bilan]],"")</f>
        <v/>
      </c>
      <c r="W337" s="180"/>
      <c r="X337" s="191"/>
      <c r="Y337" s="180"/>
      <c r="Z337" s="192" t="str">
        <f>IFERROR(Tableau3[[#This Row],[Chiffre d''affaires]]/Tableau3[[#This Row],[Salariés]],"")</f>
        <v/>
      </c>
      <c r="AA337" s="197"/>
      <c r="AB337" s="197"/>
      <c r="AC337" s="177" t="s">
        <v>272</v>
      </c>
    </row>
    <row r="338" spans="1:29" ht="20.25" customHeight="1">
      <c r="A338" s="217"/>
      <c r="E338" s="187"/>
      <c r="G338" s="202">
        <f>(G337/G339)-1</f>
        <v>2.3784367332325251E-2</v>
      </c>
      <c r="H338" s="203">
        <f>(H337/H339)-1</f>
        <v>8.8894246781348274E-2</v>
      </c>
      <c r="I338" s="203">
        <f>(I337/I339)-1</f>
        <v>6.3211764390425085E-2</v>
      </c>
      <c r="J338" s="203">
        <f>(J337/J339)-1</f>
        <v>4.8205562387028777E-2</v>
      </c>
      <c r="K338" s="188"/>
      <c r="L338" s="188"/>
      <c r="M338" s="194"/>
      <c r="N338" s="190"/>
      <c r="O338" s="190"/>
      <c r="P338" s="188"/>
      <c r="Q338" s="188"/>
      <c r="R338" s="195"/>
      <c r="S338" s="197"/>
      <c r="T338" s="180"/>
      <c r="U338" s="223" t="str">
        <f>IFERROR(IF(Tableau3[[#This Row],[Dettes]]=0,"",(Tableau3[[#This Row],[Dettes]]/Tableau3[[#This Row],[EBE]])),"")</f>
        <v/>
      </c>
      <c r="V338" s="190" t="str">
        <f>IFERROR(Tableau3[[#This Row],[Fonds propres]]/Tableau3[[#This Row],[Total Bilan]],"")</f>
        <v/>
      </c>
      <c r="W338" s="180"/>
      <c r="X338" s="191"/>
      <c r="Y338" s="180"/>
      <c r="Z338" s="192" t="str">
        <f>IFERROR(Tableau3[[#This Row],[Chiffre d''affaires]]/Tableau3[[#This Row],[Salariés]],"")</f>
        <v/>
      </c>
      <c r="AA338" s="197"/>
      <c r="AB338" s="197"/>
      <c r="AC338" s="177" t="s">
        <v>273</v>
      </c>
    </row>
    <row r="339" spans="1:29" ht="20.25" customHeight="1">
      <c r="A339" s="217"/>
      <c r="E339" s="187">
        <v>37.9</v>
      </c>
      <c r="F339" s="178">
        <v>2019</v>
      </c>
      <c r="G339" s="188">
        <v>2739993000</v>
      </c>
      <c r="H339" s="188">
        <v>489413000</v>
      </c>
      <c r="I339" s="188">
        <v>261059000</v>
      </c>
      <c r="J339" s="188">
        <v>148821000</v>
      </c>
      <c r="K339" s="188">
        <v>1290000000</v>
      </c>
      <c r="L339" s="188">
        <v>2331168000</v>
      </c>
      <c r="M339" s="194">
        <f>L339/P339</f>
        <v>51.919109131403118</v>
      </c>
      <c r="N339" s="190">
        <f>J339/L341</f>
        <v>6.5871364473521724E-2</v>
      </c>
      <c r="O339" s="190">
        <f>(I339*0.73)/(L341+K341)</f>
        <v>6.4573306989845383E-2</v>
      </c>
      <c r="P339" s="188">
        <v>44900000</v>
      </c>
      <c r="Q339" s="188">
        <f>P339*E339</f>
        <v>1701710000</v>
      </c>
      <c r="R339" s="195">
        <f>Q339/L339</f>
        <v>0.72998170873999646</v>
      </c>
      <c r="S339" s="197">
        <f>(Q339+K339)/H339</f>
        <v>6.1128535613071167</v>
      </c>
      <c r="T339" s="180">
        <v>159000000</v>
      </c>
      <c r="U339" s="223">
        <f>IFERROR(IF(Tableau3[[#This Row],[Dettes]]=0,"",(Tableau3[[#This Row],[Dettes]]/Tableau3[[#This Row],[EBE]])),"")</f>
        <v>2.6358106548048377</v>
      </c>
      <c r="V339" s="190" t="str">
        <f>IFERROR(Tableau3[[#This Row],[Fonds propres]]/Tableau3[[#This Row],[Total Bilan]],"")</f>
        <v/>
      </c>
      <c r="W339" s="180"/>
      <c r="X339" s="191"/>
      <c r="Y339" s="180"/>
      <c r="Z339" s="192" t="str">
        <f>IFERROR(Tableau3[[#This Row],[Chiffre d''affaires]]/Tableau3[[#This Row],[Salariés]],"")</f>
        <v/>
      </c>
      <c r="AA339" s="197"/>
      <c r="AB339" s="197"/>
      <c r="AC339" s="177" t="s">
        <v>274</v>
      </c>
    </row>
    <row r="340" spans="1:29" ht="20.25" customHeight="1">
      <c r="A340" s="217"/>
      <c r="E340" s="187"/>
      <c r="G340" s="202">
        <f>(G339/G341)-1</f>
        <v>6.0999084208304799E-2</v>
      </c>
      <c r="H340" s="203">
        <f>(H339/H341)-1</f>
        <v>8.9489841122140312E-2</v>
      </c>
      <c r="I340" s="203">
        <f>(I339/I341)-1</f>
        <v>4.9120706007169446E-2</v>
      </c>
      <c r="J340" s="203">
        <f>(J339/J341)-1</f>
        <v>-4.0972044975218225E-4</v>
      </c>
      <c r="K340" s="188"/>
      <c r="L340" s="188"/>
      <c r="M340" s="194"/>
      <c r="N340" s="190"/>
      <c r="O340" s="190"/>
      <c r="P340" s="188"/>
      <c r="Q340" s="188"/>
      <c r="R340" s="195"/>
      <c r="S340" s="197"/>
      <c r="T340" s="180"/>
      <c r="U340" s="223" t="str">
        <f>IFERROR(IF(Tableau3[[#This Row],[Dettes]]=0,"",(Tableau3[[#This Row],[Dettes]]/Tableau3[[#This Row],[EBE]])),"")</f>
        <v/>
      </c>
      <c r="V340" s="190" t="str">
        <f>IFERROR(Tableau3[[#This Row],[Fonds propres]]/Tableau3[[#This Row],[Total Bilan]],"")</f>
        <v/>
      </c>
      <c r="W340" s="180"/>
      <c r="X340" s="191"/>
      <c r="Y340" s="180"/>
      <c r="Z340" s="192" t="str">
        <f>IFERROR(Tableau3[[#This Row],[Chiffre d''affaires]]/Tableau3[[#This Row],[Salariés]],"")</f>
        <v/>
      </c>
      <c r="AA340" s="197"/>
      <c r="AB340" s="197"/>
      <c r="AC340" s="177" t="s">
        <v>275</v>
      </c>
    </row>
    <row r="341" spans="1:29" ht="20.25" customHeight="1">
      <c r="A341" s="217"/>
      <c r="E341" s="187">
        <v>43</v>
      </c>
      <c r="F341" s="178">
        <v>2018</v>
      </c>
      <c r="G341" s="188">
        <v>2582465000</v>
      </c>
      <c r="H341" s="188">
        <v>449213000</v>
      </c>
      <c r="I341" s="188">
        <v>248836000</v>
      </c>
      <c r="J341" s="188">
        <v>148882000</v>
      </c>
      <c r="K341" s="188">
        <v>692000000</v>
      </c>
      <c r="L341" s="188">
        <v>2259267000</v>
      </c>
      <c r="M341" s="194">
        <f>L341/P341</f>
        <v>50.317750556792873</v>
      </c>
      <c r="N341" s="190">
        <f>J341/L343</f>
        <v>6.870128264051549E-2</v>
      </c>
      <c r="O341" s="190">
        <f>(I341*0.75)/(L343+K343)</f>
        <v>6.3175757559344806E-2</v>
      </c>
      <c r="P341" s="188">
        <v>44900000</v>
      </c>
      <c r="Q341" s="188">
        <f>P341*E341</f>
        <v>1930700000</v>
      </c>
      <c r="R341" s="195">
        <f>Q341/L341</f>
        <v>0.85456920319732022</v>
      </c>
      <c r="S341" s="197">
        <f>(Q341+K341)/H341</f>
        <v>5.8384329928118728</v>
      </c>
      <c r="T341" s="180"/>
      <c r="U341" s="223">
        <f>IFERROR(IF(Tableau3[[#This Row],[Dettes]]=0,"",(Tableau3[[#This Row],[Dettes]]/Tableau3[[#This Row],[EBE]])),"")</f>
        <v>1.5404718919532605</v>
      </c>
      <c r="V341" s="190" t="str">
        <f>IFERROR(Tableau3[[#This Row],[Fonds propres]]/Tableau3[[#This Row],[Total Bilan]],"")</f>
        <v/>
      </c>
      <c r="W341" s="180"/>
      <c r="X341" s="191"/>
      <c r="Y341" s="180"/>
      <c r="Z341" s="192" t="str">
        <f>IFERROR(Tableau3[[#This Row],[Chiffre d''affaires]]/Tableau3[[#This Row],[Salariés]],"")</f>
        <v/>
      </c>
      <c r="AA341" s="197"/>
      <c r="AB341" s="197"/>
      <c r="AC341" s="177" t="s">
        <v>276</v>
      </c>
    </row>
    <row r="342" spans="1:29" ht="20.25" customHeight="1">
      <c r="A342" s="217"/>
      <c r="E342" s="187"/>
      <c r="G342" s="202">
        <f>(G341/G343)-1</f>
        <v>7.4122359432393647E-3</v>
      </c>
      <c r="H342" s="203">
        <f>(H341/H343)-1</f>
        <v>1.1740990990990907E-2</v>
      </c>
      <c r="I342" s="203">
        <f>(I341/I343)-1</f>
        <v>7.4331983805668855E-3</v>
      </c>
      <c r="J342" s="203">
        <f>(J341/J343)-1</f>
        <v>4.7130066605242549E-2</v>
      </c>
      <c r="K342" s="188"/>
      <c r="L342" s="188"/>
      <c r="M342" s="188"/>
      <c r="N342" s="188"/>
      <c r="O342" s="188"/>
      <c r="P342" s="188"/>
      <c r="Q342" s="188"/>
      <c r="R342" s="195"/>
      <c r="S342" s="197"/>
      <c r="T342" s="180"/>
      <c r="U342" s="223" t="str">
        <f>IFERROR(IF(Tableau3[[#This Row],[Dettes]]=0,"",(Tableau3[[#This Row],[Dettes]]/Tableau3[[#This Row],[EBE]])),"")</f>
        <v/>
      </c>
      <c r="V342" s="190" t="str">
        <f>IFERROR(Tableau3[[#This Row],[Fonds propres]]/Tableau3[[#This Row],[Total Bilan]],"")</f>
        <v/>
      </c>
      <c r="W342" s="180"/>
      <c r="X342" s="191"/>
      <c r="Y342" s="180"/>
      <c r="Z342" s="192" t="str">
        <f>IFERROR(Tableau3[[#This Row],[Chiffre d''affaires]]/Tableau3[[#This Row],[Salariés]],"")</f>
        <v/>
      </c>
      <c r="AA342" s="197"/>
      <c r="AB342" s="197"/>
      <c r="AC342" s="177" t="s">
        <v>277</v>
      </c>
    </row>
    <row r="343" spans="1:29" ht="20.25" customHeight="1">
      <c r="A343" s="217"/>
      <c r="E343" s="187">
        <v>70</v>
      </c>
      <c r="F343" s="178">
        <v>2017</v>
      </c>
      <c r="G343" s="188">
        <v>2563464000</v>
      </c>
      <c r="H343" s="188">
        <v>444000000</v>
      </c>
      <c r="I343" s="188">
        <v>247000000</v>
      </c>
      <c r="J343" s="188">
        <v>142181000</v>
      </c>
      <c r="K343" s="188">
        <v>787000000</v>
      </c>
      <c r="L343" s="188">
        <v>2167092000</v>
      </c>
      <c r="M343" s="194">
        <f>L343/P343</f>
        <v>48.264855233853005</v>
      </c>
      <c r="N343" s="190">
        <f>J343/L345</f>
        <v>6.3191555555555556E-2</v>
      </c>
      <c r="O343" s="190">
        <f>(I343*0.75)/(L345+K345)</f>
        <v>5.8586337760910816E-2</v>
      </c>
      <c r="P343" s="188">
        <v>44900000</v>
      </c>
      <c r="Q343" s="188">
        <f>P343*E343</f>
        <v>3143000000</v>
      </c>
      <c r="R343" s="195">
        <f>Q343/L343</f>
        <v>1.4503306735477774</v>
      </c>
      <c r="S343" s="197">
        <f>(Q343+K343)/H343</f>
        <v>8.8513513513513509</v>
      </c>
      <c r="T343" s="180"/>
      <c r="U343" s="223">
        <f>IFERROR(IF(Tableau3[[#This Row],[Dettes]]=0,"",(Tableau3[[#This Row],[Dettes]]/Tableau3[[#This Row],[EBE]])),"")</f>
        <v>1.7725225225225225</v>
      </c>
      <c r="V343" s="190" t="str">
        <f>IFERROR(Tableau3[[#This Row],[Fonds propres]]/Tableau3[[#This Row],[Total Bilan]],"")</f>
        <v/>
      </c>
      <c r="W343" s="180"/>
      <c r="X343" s="191"/>
      <c r="Y343" s="180"/>
      <c r="Z343" s="192" t="str">
        <f>IFERROR(Tableau3[[#This Row],[Chiffre d''affaires]]/Tableau3[[#This Row],[Salariés]],"")</f>
        <v/>
      </c>
      <c r="AA343" s="197"/>
      <c r="AB343" s="197"/>
      <c r="AC343" s="177" t="s">
        <v>278</v>
      </c>
    </row>
    <row r="344" spans="1:29" ht="20.25" customHeight="1">
      <c r="A344" s="217"/>
      <c r="E344" s="187"/>
      <c r="G344" s="202">
        <f>(G343/G345)-1</f>
        <v>4.4606356968215133E-2</v>
      </c>
      <c r="H344" s="203">
        <f>(H343/H345)-1</f>
        <v>-3.0567685589519611E-2</v>
      </c>
      <c r="I344" s="203">
        <f>(I343/I345)-1</f>
        <v>-4.2635658914728647E-2</v>
      </c>
      <c r="J344" s="203">
        <f>(J343/J345)-1</f>
        <v>2.2884892086330932E-2</v>
      </c>
      <c r="K344" s="188"/>
      <c r="L344" s="188"/>
      <c r="M344" s="194"/>
      <c r="N344" s="188"/>
      <c r="O344" s="188"/>
      <c r="P344" s="188"/>
      <c r="Q344" s="188"/>
      <c r="R344" s="195"/>
      <c r="S344" s="197"/>
      <c r="T344" s="180"/>
      <c r="U344" s="223" t="str">
        <f>IFERROR(IF(Tableau3[[#This Row],[Dettes]]=0,"",(Tableau3[[#This Row],[Dettes]]/Tableau3[[#This Row],[EBE]])),"")</f>
        <v/>
      </c>
      <c r="V344" s="190" t="str">
        <f>IFERROR(Tableau3[[#This Row],[Fonds propres]]/Tableau3[[#This Row],[Total Bilan]],"")</f>
        <v/>
      </c>
      <c r="W344" s="180"/>
      <c r="X344" s="191"/>
      <c r="Y344" s="180"/>
      <c r="Z344" s="192" t="str">
        <f>IFERROR(Tableau3[[#This Row],[Chiffre d''affaires]]/Tableau3[[#This Row],[Salariés]],"")</f>
        <v/>
      </c>
      <c r="AA344" s="197"/>
      <c r="AB344" s="197"/>
      <c r="AC344" s="177" t="s">
        <v>279</v>
      </c>
    </row>
    <row r="345" spans="1:29" ht="20.25" customHeight="1">
      <c r="A345" s="217"/>
      <c r="E345" s="187">
        <v>57.66</v>
      </c>
      <c r="F345" s="178">
        <v>2016</v>
      </c>
      <c r="G345" s="188">
        <v>2454000000</v>
      </c>
      <c r="H345" s="188">
        <v>458000000</v>
      </c>
      <c r="I345" s="188">
        <v>258000000</v>
      </c>
      <c r="J345" s="188">
        <v>139000000</v>
      </c>
      <c r="K345" s="188">
        <v>912000000</v>
      </c>
      <c r="L345" s="188">
        <v>2250000000</v>
      </c>
      <c r="M345" s="194">
        <f>L345/P345</f>
        <v>50.111358574610243</v>
      </c>
      <c r="N345" s="190">
        <f>J345/L347</f>
        <v>6.017316017316017E-2</v>
      </c>
      <c r="O345" s="190">
        <f>(I345*0.75)/(L347+K347)</f>
        <v>5.8143028846153848E-2</v>
      </c>
      <c r="P345" s="188">
        <v>44900000</v>
      </c>
      <c r="Q345" s="188">
        <f>P345*E345</f>
        <v>2588934000</v>
      </c>
      <c r="R345" s="195">
        <f>Q345/L345</f>
        <v>1.1506373333333333</v>
      </c>
      <c r="S345" s="197">
        <f>(Q345+K345)/H345</f>
        <v>7.6439606986899564</v>
      </c>
      <c r="T345" s="180"/>
      <c r="U345" s="223">
        <f>IFERROR(IF(Tableau3[[#This Row],[Dettes]]=0,"",(Tableau3[[#This Row],[Dettes]]/Tableau3[[#This Row],[EBE]])),"")</f>
        <v>1.9912663755458515</v>
      </c>
      <c r="V345" s="190" t="str">
        <f>IFERROR(Tableau3[[#This Row],[Fonds propres]]/Tableau3[[#This Row],[Total Bilan]],"")</f>
        <v/>
      </c>
      <c r="W345" s="180"/>
      <c r="X345" s="191"/>
      <c r="Y345" s="180"/>
      <c r="Z345" s="192" t="str">
        <f>IFERROR(Tableau3[[#This Row],[Chiffre d''affaires]]/Tableau3[[#This Row],[Salariés]],"")</f>
        <v/>
      </c>
      <c r="AA345" s="197"/>
      <c r="AB345" s="197"/>
      <c r="AC345" s="177" t="s">
        <v>280</v>
      </c>
    </row>
    <row r="346" spans="1:29" ht="20.25" customHeight="1">
      <c r="A346" s="217"/>
      <c r="E346" s="187"/>
      <c r="G346" s="202">
        <f>(G345/G347)-1</f>
        <v>-1.6273393002440573E-3</v>
      </c>
      <c r="H346" s="203">
        <f>(H345/H347)-1</f>
        <v>3.1531531531531432E-2</v>
      </c>
      <c r="I346" s="203">
        <f>(I345/I347)-1</f>
        <v>4.8780487804878092E-2</v>
      </c>
      <c r="J346" s="203">
        <f>(J345/J347)-1</f>
        <v>0.17796610169491522</v>
      </c>
      <c r="K346" s="188"/>
      <c r="L346" s="188"/>
      <c r="M346" s="194"/>
      <c r="N346" s="188"/>
      <c r="O346" s="188"/>
      <c r="P346" s="188"/>
      <c r="Q346" s="188"/>
      <c r="R346" s="195"/>
      <c r="S346" s="197"/>
      <c r="T346" s="180"/>
      <c r="U346" s="223" t="str">
        <f>IFERROR(IF(Tableau3[[#This Row],[Dettes]]=0,"",(Tableau3[[#This Row],[Dettes]]/Tableau3[[#This Row],[EBE]])),"")</f>
        <v/>
      </c>
      <c r="V346" s="190" t="str">
        <f>IFERROR(Tableau3[[#This Row],[Fonds propres]]/Tableau3[[#This Row],[Total Bilan]],"")</f>
        <v/>
      </c>
      <c r="W346" s="180"/>
      <c r="X346" s="191"/>
      <c r="Y346" s="180"/>
      <c r="Z346" s="192" t="str">
        <f>IFERROR(Tableau3[[#This Row],[Chiffre d''affaires]]/Tableau3[[#This Row],[Salariés]],"")</f>
        <v/>
      </c>
      <c r="AA346" s="197"/>
      <c r="AB346" s="197"/>
      <c r="AC346" s="177" t="s">
        <v>281</v>
      </c>
    </row>
    <row r="347" spans="1:29" ht="20.25" customHeight="1">
      <c r="A347" s="217"/>
      <c r="E347" s="187">
        <v>55</v>
      </c>
      <c r="F347" s="178">
        <v>2015</v>
      </c>
      <c r="G347" s="188">
        <v>2458000000</v>
      </c>
      <c r="H347" s="188">
        <v>444000000</v>
      </c>
      <c r="I347" s="188">
        <v>246000000</v>
      </c>
      <c r="J347" s="188">
        <v>118000000</v>
      </c>
      <c r="K347" s="188">
        <v>1018000000</v>
      </c>
      <c r="L347" s="188">
        <v>2310000000</v>
      </c>
      <c r="M347" s="194">
        <f>L347/P347</f>
        <v>51.447661469933188</v>
      </c>
      <c r="N347" s="190">
        <f>J347/L349</f>
        <v>5.2444444444444446E-2</v>
      </c>
      <c r="O347" s="190">
        <f>(I347*0.75)/(L349+K349)</f>
        <v>5.6387530562347188E-2</v>
      </c>
      <c r="P347" s="188">
        <v>44900000</v>
      </c>
      <c r="Q347" s="188">
        <f>P347*E347</f>
        <v>2469500000</v>
      </c>
      <c r="R347" s="195">
        <f>Q347/L347</f>
        <v>1.069047619047619</v>
      </c>
      <c r="S347" s="197">
        <f>(Q347+K347)/H347</f>
        <v>7.8547297297297298</v>
      </c>
      <c r="T347" s="180"/>
      <c r="U347" s="223">
        <f>IFERROR(IF(Tableau3[[#This Row],[Dettes]]=0,"",(Tableau3[[#This Row],[Dettes]]/Tableau3[[#This Row],[EBE]])),"")</f>
        <v>2.2927927927927927</v>
      </c>
      <c r="V347" s="190" t="str">
        <f>IFERROR(Tableau3[[#This Row],[Fonds propres]]/Tableau3[[#This Row],[Total Bilan]],"")</f>
        <v/>
      </c>
      <c r="W347" s="180"/>
      <c r="X347" s="191"/>
      <c r="Y347" s="180"/>
      <c r="Z347" s="192" t="str">
        <f>IFERROR(Tableau3[[#This Row],[Chiffre d''affaires]]/Tableau3[[#This Row],[Salariés]],"")</f>
        <v/>
      </c>
      <c r="AA347" s="197"/>
      <c r="AB347" s="197"/>
      <c r="AC347" s="177" t="s">
        <v>282</v>
      </c>
    </row>
    <row r="348" spans="1:29" ht="20.25" customHeight="1">
      <c r="A348" s="217"/>
      <c r="E348" s="187"/>
      <c r="G348" s="202">
        <f>(G347/G349)-1</f>
        <v>1.4444903012793997E-2</v>
      </c>
      <c r="H348" s="203">
        <f>(H347/H349)-1</f>
        <v>4.5248868778280382E-3</v>
      </c>
      <c r="I348" s="203">
        <f>(I347/I349)-1</f>
        <v>-6.4638783269961975E-2</v>
      </c>
      <c r="J348" s="203">
        <f>(J347/J349)-1</f>
        <v>-7.8125E-2</v>
      </c>
      <c r="K348" s="188"/>
      <c r="L348" s="188"/>
      <c r="M348" s="194"/>
      <c r="N348" s="188"/>
      <c r="O348" s="188"/>
      <c r="P348" s="188"/>
      <c r="Q348" s="188"/>
      <c r="R348" s="195"/>
      <c r="S348" s="197"/>
      <c r="T348" s="180"/>
      <c r="U348" s="223" t="str">
        <f>IFERROR(IF(Tableau3[[#This Row],[Dettes]]=0,"",(Tableau3[[#This Row],[Dettes]]/Tableau3[[#This Row],[EBE]])),"")</f>
        <v/>
      </c>
      <c r="V348" s="190" t="str">
        <f>IFERROR(Tableau3[[#This Row],[Fonds propres]]/Tableau3[[#This Row],[Total Bilan]],"")</f>
        <v/>
      </c>
      <c r="W348" s="180"/>
      <c r="X348" s="191"/>
      <c r="Y348" s="180"/>
      <c r="Z348" s="192" t="str">
        <f>IFERROR(Tableau3[[#This Row],[Chiffre d''affaires]]/Tableau3[[#This Row],[Salariés]],"")</f>
        <v/>
      </c>
      <c r="AA348" s="197"/>
      <c r="AB348" s="197"/>
      <c r="AC348" s="177" t="s">
        <v>283</v>
      </c>
    </row>
    <row r="349" spans="1:29" ht="20.25" customHeight="1">
      <c r="A349" s="217"/>
      <c r="E349" s="187">
        <v>60</v>
      </c>
      <c r="F349" s="178">
        <v>2014</v>
      </c>
      <c r="G349" s="188">
        <v>2423000000</v>
      </c>
      <c r="H349" s="188">
        <v>442000000</v>
      </c>
      <c r="I349" s="188">
        <v>263000000</v>
      </c>
      <c r="J349" s="188">
        <v>128000000</v>
      </c>
      <c r="K349" s="188">
        <v>1022000000</v>
      </c>
      <c r="L349" s="188">
        <v>2250000000</v>
      </c>
      <c r="M349" s="194">
        <f>L349/P349</f>
        <v>50.111358574610243</v>
      </c>
      <c r="N349" s="190">
        <f>J349/L351</f>
        <v>6.1185468451242828E-2</v>
      </c>
      <c r="O349" s="190">
        <f>(I349*0.75)/(L351+K351)</f>
        <v>6.2480202724105163E-2</v>
      </c>
      <c r="P349" s="188">
        <v>44900000</v>
      </c>
      <c r="Q349" s="188">
        <f>P349*E349</f>
        <v>2694000000</v>
      </c>
      <c r="R349" s="195">
        <f>Q349/L349</f>
        <v>1.1973333333333334</v>
      </c>
      <c r="S349" s="197">
        <f>(Q349+K349)/H349</f>
        <v>8.4072398190045252</v>
      </c>
      <c r="T349" s="180"/>
      <c r="U349" s="223">
        <f>IFERROR(IF(Tableau3[[#This Row],[Dettes]]=0,"",(Tableau3[[#This Row],[Dettes]]/Tableau3[[#This Row],[EBE]])),"")</f>
        <v>2.3122171945701355</v>
      </c>
      <c r="V349" s="190" t="str">
        <f>IFERROR(Tableau3[[#This Row],[Fonds propres]]/Tableau3[[#This Row],[Total Bilan]],"")</f>
        <v/>
      </c>
      <c r="W349" s="180"/>
      <c r="X349" s="191"/>
      <c r="Y349" s="180"/>
      <c r="Z349" s="192" t="str">
        <f>IFERROR(Tableau3[[#This Row],[Chiffre d''affaires]]/Tableau3[[#This Row],[Salariés]],"")</f>
        <v/>
      </c>
      <c r="AA349" s="197"/>
      <c r="AB349" s="197"/>
      <c r="AC349" s="177" t="s">
        <v>284</v>
      </c>
    </row>
    <row r="350" spans="1:29" ht="20.25" customHeight="1">
      <c r="A350" s="217"/>
      <c r="E350" s="187"/>
      <c r="G350" s="202">
        <f>(G349/G351)-1</f>
        <v>1.5507124895222102E-2</v>
      </c>
      <c r="H350" s="203">
        <f>(H349/H351)-1</f>
        <v>3.5128805620608938E-2</v>
      </c>
      <c r="I350" s="203">
        <f>(I349/I351)-1</f>
        <v>0.12393162393162394</v>
      </c>
      <c r="J350" s="203">
        <f>(J349/J351)-1</f>
        <v>6.6666666666666652E-2</v>
      </c>
      <c r="K350" s="188"/>
      <c r="L350" s="188"/>
      <c r="M350" s="194"/>
      <c r="N350" s="188"/>
      <c r="O350" s="188"/>
      <c r="P350" s="188"/>
      <c r="Q350" s="188"/>
      <c r="R350" s="195"/>
      <c r="S350" s="197"/>
      <c r="T350" s="180"/>
      <c r="U350" s="223" t="str">
        <f>IFERROR(IF(Tableau3[[#This Row],[Dettes]]=0,"",(Tableau3[[#This Row],[Dettes]]/Tableau3[[#This Row],[EBE]])),"")</f>
        <v/>
      </c>
      <c r="V350" s="190" t="str">
        <f>IFERROR(Tableau3[[#This Row],[Fonds propres]]/Tableau3[[#This Row],[Total Bilan]],"")</f>
        <v/>
      </c>
      <c r="W350" s="180"/>
      <c r="X350" s="191"/>
      <c r="Y350" s="180"/>
      <c r="Z350" s="192" t="str">
        <f>IFERROR(Tableau3[[#This Row],[Chiffre d''affaires]]/Tableau3[[#This Row],[Salariés]],"")</f>
        <v/>
      </c>
      <c r="AA350" s="197"/>
      <c r="AB350" s="197"/>
      <c r="AC350" s="177" t="s">
        <v>285</v>
      </c>
    </row>
    <row r="351" spans="1:29" ht="20.25" customHeight="1">
      <c r="A351" s="217"/>
      <c r="E351" s="187">
        <v>54</v>
      </c>
      <c r="F351" s="178">
        <v>2013</v>
      </c>
      <c r="G351" s="188">
        <v>2386000000</v>
      </c>
      <c r="H351" s="188">
        <v>427000000</v>
      </c>
      <c r="I351" s="188">
        <v>234000000</v>
      </c>
      <c r="J351" s="188">
        <v>120000000</v>
      </c>
      <c r="K351" s="188">
        <v>1065000000</v>
      </c>
      <c r="L351" s="188">
        <v>2092000000</v>
      </c>
      <c r="M351" s="194">
        <f>L351/P351</f>
        <v>46.5924276169265</v>
      </c>
      <c r="N351" s="190">
        <f>J351/L353</f>
        <v>6.9889341875364011E-2</v>
      </c>
      <c r="O351" s="190">
        <f>(I351*0.75)/(L353+K353)</f>
        <v>7.8629032258064516E-2</v>
      </c>
      <c r="P351" s="188">
        <v>44900000</v>
      </c>
      <c r="Q351" s="188">
        <f>P351*E351</f>
        <v>2424600000</v>
      </c>
      <c r="R351" s="195">
        <f>Q351/L351</f>
        <v>1.1589866156787763</v>
      </c>
      <c r="S351" s="197">
        <f>(Q351+K351)/H351</f>
        <v>8.1723653395784535</v>
      </c>
      <c r="T351" s="180"/>
      <c r="U351" s="223">
        <f>IFERROR(IF(Tableau3[[#This Row],[Dettes]]=0,"",(Tableau3[[#This Row],[Dettes]]/Tableau3[[#This Row],[EBE]])),"")</f>
        <v>2.4941451990632317</v>
      </c>
      <c r="V351" s="190" t="str">
        <f>IFERROR(Tableau3[[#This Row],[Fonds propres]]/Tableau3[[#This Row],[Total Bilan]],"")</f>
        <v/>
      </c>
      <c r="W351" s="180"/>
      <c r="X351" s="191"/>
      <c r="Y351" s="180"/>
      <c r="Z351" s="192" t="str">
        <f>IFERROR(Tableau3[[#This Row],[Chiffre d''affaires]]/Tableau3[[#This Row],[Salariés]],"")</f>
        <v/>
      </c>
      <c r="AA351" s="197"/>
      <c r="AB351" s="197"/>
      <c r="AC351" s="177" t="s">
        <v>4826</v>
      </c>
    </row>
    <row r="352" spans="1:29" ht="20.25" customHeight="1">
      <c r="A352" s="217"/>
      <c r="E352" s="187"/>
      <c r="G352" s="188"/>
      <c r="H352" s="188"/>
      <c r="I352" s="188"/>
      <c r="J352" s="188"/>
      <c r="K352" s="188"/>
      <c r="L352" s="188"/>
      <c r="M352" s="194"/>
      <c r="N352" s="188"/>
      <c r="O352" s="188"/>
      <c r="P352" s="188"/>
      <c r="Q352" s="188"/>
      <c r="R352" s="195"/>
      <c r="S352" s="197"/>
      <c r="T352" s="180"/>
      <c r="U352" s="223" t="str">
        <f>IFERROR(IF(Tableau3[[#This Row],[Dettes]]=0,"",(Tableau3[[#This Row],[Dettes]]/Tableau3[[#This Row],[EBE]])),"")</f>
        <v/>
      </c>
      <c r="V352" s="190" t="str">
        <f>IFERROR(Tableau3[[#This Row],[Fonds propres]]/Tableau3[[#This Row],[Total Bilan]],"")</f>
        <v/>
      </c>
      <c r="W352" s="180"/>
      <c r="X352" s="191"/>
      <c r="Y352" s="180"/>
      <c r="Z352" s="192" t="str">
        <f>IFERROR(Tableau3[[#This Row],[Chiffre d''affaires]]/Tableau3[[#This Row],[Salariés]],"")</f>
        <v/>
      </c>
      <c r="AA352" s="197"/>
      <c r="AB352" s="197"/>
      <c r="AC352" s="177" t="s">
        <v>287</v>
      </c>
    </row>
    <row r="353" spans="1:29" ht="20.25" customHeight="1">
      <c r="A353" s="217"/>
      <c r="E353" s="187">
        <v>102</v>
      </c>
      <c r="F353" s="178">
        <v>2007</v>
      </c>
      <c r="G353" s="188">
        <v>2136000000</v>
      </c>
      <c r="H353" s="188">
        <v>593000000</v>
      </c>
      <c r="I353" s="188">
        <v>480000000</v>
      </c>
      <c r="J353" s="188">
        <v>299000000</v>
      </c>
      <c r="K353" s="188">
        <v>515000000</v>
      </c>
      <c r="L353" s="188">
        <v>1717000000</v>
      </c>
      <c r="M353" s="194">
        <f>L353/P353</f>
        <v>38.240534521158132</v>
      </c>
      <c r="N353" s="190">
        <f>J353/L353</f>
        <v>0.17414094350611531</v>
      </c>
      <c r="O353" s="190">
        <f>(I353*0.7)/(L353+K353)</f>
        <v>0.15053763440860216</v>
      </c>
      <c r="P353" s="188">
        <v>44900000</v>
      </c>
      <c r="Q353" s="188">
        <f>P353*E353</f>
        <v>4579800000</v>
      </c>
      <c r="R353" s="195">
        <f>Q353/L353</f>
        <v>2.6673267326732675</v>
      </c>
      <c r="S353" s="197">
        <f>(Q353+K353)/H353</f>
        <v>8.5915682967959519</v>
      </c>
      <c r="T353" s="180"/>
      <c r="U353" s="223">
        <f>IFERROR(IF(Tableau3[[#This Row],[Dettes]]=0,"",(Tableau3[[#This Row],[Dettes]]/Tableau3[[#This Row],[EBE]])),"")</f>
        <v>0.86846543001686338</v>
      </c>
      <c r="V353" s="190" t="str">
        <f>IFERROR(Tableau3[[#This Row],[Fonds propres]]/Tableau3[[#This Row],[Total Bilan]],"")</f>
        <v/>
      </c>
      <c r="W353" s="180"/>
      <c r="X353" s="191"/>
      <c r="Y353" s="180"/>
      <c r="Z353" s="192" t="str">
        <f>IFERROR(Tableau3[[#This Row],[Chiffre d''affaires]]/Tableau3[[#This Row],[Salariés]],"")</f>
        <v/>
      </c>
      <c r="AA353" s="197"/>
      <c r="AB353" s="197"/>
      <c r="AC353" s="177" t="s">
        <v>4827</v>
      </c>
    </row>
    <row r="354" spans="1:29" ht="20.25" customHeight="1">
      <c r="A354" s="217"/>
      <c r="E354" s="187"/>
      <c r="G354" s="188"/>
      <c r="H354" s="178"/>
      <c r="I354" s="178"/>
      <c r="J354" s="178"/>
      <c r="K354" s="178"/>
      <c r="L354" s="178"/>
      <c r="M354" s="178"/>
      <c r="N354" s="178"/>
      <c r="O354" s="178"/>
      <c r="P354" s="178"/>
      <c r="Q354" s="178"/>
      <c r="R354" s="195"/>
      <c r="S354" s="178"/>
      <c r="T354" s="180"/>
      <c r="U354" s="189" t="str">
        <f>IFERROR(IF(Tableau3[[#This Row],[Dettes]]=0,"",(Tableau3[[#This Row],[Dettes]]/Tableau3[[#This Row],[EBE]])),"")</f>
        <v/>
      </c>
      <c r="V354" s="190" t="str">
        <f>IFERROR(Tableau3[[#This Row],[Fonds propres]]/Tableau3[[#This Row],[Total Bilan]],"")</f>
        <v/>
      </c>
      <c r="W354" s="180"/>
      <c r="Y354" s="180"/>
      <c r="Z354" s="192" t="str">
        <f>IFERROR(Tableau3[[#This Row],[Chiffre d''affaires]]/Tableau3[[#This Row],[Salariés]],"")</f>
        <v/>
      </c>
      <c r="AA354" s="177"/>
    </row>
    <row r="355" spans="1:29" ht="20.25" customHeight="1">
      <c r="A355" s="217"/>
      <c r="E355" s="187"/>
      <c r="G355" s="188"/>
      <c r="H355" s="178"/>
      <c r="I355" s="178"/>
      <c r="J355" s="178"/>
      <c r="K355" s="178"/>
      <c r="L355" s="178"/>
      <c r="M355" s="178"/>
      <c r="N355" s="178"/>
      <c r="O355" s="178"/>
      <c r="P355" s="178"/>
      <c r="Q355" s="178"/>
      <c r="R355" s="195"/>
      <c r="S355" s="178"/>
      <c r="T355" s="180"/>
      <c r="U355" s="189" t="str">
        <f>IFERROR(IF(Tableau3[[#This Row],[Dettes]]=0,"",(Tableau3[[#This Row],[Dettes]]/Tableau3[[#This Row],[EBE]])),"")</f>
        <v/>
      </c>
      <c r="V355" s="190" t="str">
        <f>IFERROR(Tableau3[[#This Row],[Fonds propres]]/Tableau3[[#This Row],[Total Bilan]],"")</f>
        <v/>
      </c>
      <c r="W355" s="180"/>
      <c r="Y355" s="180"/>
      <c r="Z355" s="192" t="str">
        <f>IFERROR(Tableau3[[#This Row],[Chiffre d''affaires]]/Tableau3[[#This Row],[Salariés]],"")</f>
        <v/>
      </c>
      <c r="AA355" s="177"/>
    </row>
    <row r="356" spans="1:29" ht="20.25" customHeight="1">
      <c r="A356" s="217"/>
      <c r="E356" s="187"/>
      <c r="G356" s="188"/>
      <c r="H356" s="178"/>
      <c r="I356" s="178"/>
      <c r="J356" s="178"/>
      <c r="K356" s="178"/>
      <c r="L356" s="178"/>
      <c r="M356" s="178"/>
      <c r="N356" s="178"/>
      <c r="O356" s="178"/>
      <c r="P356" s="178"/>
      <c r="Q356" s="178"/>
      <c r="R356" s="195"/>
      <c r="S356" s="178"/>
      <c r="T356" s="180"/>
      <c r="U356" s="189" t="str">
        <f>IFERROR(IF(Tableau3[[#This Row],[Dettes]]=0,"",(Tableau3[[#This Row],[Dettes]]/Tableau3[[#This Row],[EBE]])),"")</f>
        <v/>
      </c>
      <c r="V356" s="190" t="str">
        <f>IFERROR(Tableau3[[#This Row],[Fonds propres]]/Tableau3[[#This Row],[Total Bilan]],"")</f>
        <v/>
      </c>
      <c r="W356" s="180"/>
      <c r="Y356" s="180"/>
      <c r="Z356" s="192" t="str">
        <f>IFERROR(Tableau3[[#This Row],[Chiffre d''affaires]]/Tableau3[[#This Row],[Salariés]],"")</f>
        <v/>
      </c>
      <c r="AA356" s="177"/>
    </row>
    <row r="357" spans="1:29" ht="20.25" customHeight="1">
      <c r="A357" s="217" t="s">
        <v>288</v>
      </c>
      <c r="B357" s="216" t="s">
        <v>289</v>
      </c>
      <c r="C357" s="178" t="s">
        <v>290</v>
      </c>
      <c r="D357" s="178" t="s">
        <v>85</v>
      </c>
      <c r="E357" s="187"/>
      <c r="F357" s="178">
        <v>2025</v>
      </c>
      <c r="G357" s="188"/>
      <c r="H357" s="178"/>
      <c r="I357" s="178"/>
      <c r="J357" s="178"/>
      <c r="K357" s="178"/>
      <c r="L357" s="178"/>
      <c r="M357" s="178"/>
      <c r="N357" s="178"/>
      <c r="O357" s="178"/>
      <c r="P357" s="178"/>
      <c r="Q357" s="178"/>
      <c r="R357" s="195"/>
      <c r="S357" s="178"/>
      <c r="T357" s="180"/>
      <c r="U357" s="189" t="str">
        <f>IFERROR(IF(Tableau3[[#This Row],[Dettes]]=0,"",(Tableau3[[#This Row],[Dettes]]/Tableau3[[#This Row],[EBE]])),"")</f>
        <v/>
      </c>
      <c r="V357" s="190" t="str">
        <f>IFERROR(Tableau3[[#This Row],[Fonds propres]]/Tableau3[[#This Row],[Total Bilan]],"")</f>
        <v/>
      </c>
      <c r="W357" s="180"/>
      <c r="X357" s="191" t="s">
        <v>291</v>
      </c>
      <c r="Y357" s="180"/>
      <c r="Z357" s="192" t="str">
        <f>IFERROR(Tableau3[[#This Row],[Chiffre d''affaires]]/Tableau3[[#This Row],[Salariés]],"")</f>
        <v/>
      </c>
      <c r="AA357" s="177"/>
      <c r="AC357" s="177" t="s">
        <v>292</v>
      </c>
    </row>
    <row r="358" spans="1:29" ht="20.25" customHeight="1">
      <c r="A358" s="217"/>
      <c r="E358" s="187"/>
      <c r="G358" s="188"/>
      <c r="H358" s="178"/>
      <c r="I358" s="178"/>
      <c r="J358" s="178"/>
      <c r="K358" s="178"/>
      <c r="L358" s="178"/>
      <c r="M358" s="178"/>
      <c r="N358" s="178"/>
      <c r="O358" s="178"/>
      <c r="P358" s="178"/>
      <c r="Q358" s="178"/>
      <c r="R358" s="195"/>
      <c r="S358" s="178"/>
      <c r="T358" s="180"/>
      <c r="U358" s="189" t="str">
        <f>IFERROR(IF(Tableau3[[#This Row],[Dettes]]=0,"",(Tableau3[[#This Row],[Dettes]]/Tableau3[[#This Row],[EBE]])),"")</f>
        <v/>
      </c>
      <c r="V358" s="190" t="str">
        <f>IFERROR(Tableau3[[#This Row],[Fonds propres]]/Tableau3[[#This Row],[Total Bilan]],"")</f>
        <v/>
      </c>
      <c r="W358" s="180"/>
      <c r="X358" s="182" t="s">
        <v>294</v>
      </c>
      <c r="Y358" s="180"/>
      <c r="Z358" s="192" t="str">
        <f>IFERROR(Tableau3[[#This Row],[Chiffre d''affaires]]/Tableau3[[#This Row],[Salariés]],"")</f>
        <v/>
      </c>
      <c r="AA358" s="177"/>
      <c r="AC358" s="177" t="s">
        <v>295</v>
      </c>
    </row>
    <row r="359" spans="1:29" ht="20.25" customHeight="1">
      <c r="A359" s="217"/>
      <c r="E359" s="187">
        <v>22.43</v>
      </c>
      <c r="F359" s="178">
        <v>2024</v>
      </c>
      <c r="G359" s="188"/>
      <c r="H359" s="178"/>
      <c r="I359" s="178"/>
      <c r="J359" s="178"/>
      <c r="K359" s="178"/>
      <c r="L359" s="178"/>
      <c r="M359" s="178"/>
      <c r="N359" s="178"/>
      <c r="O359" s="178"/>
      <c r="P359" s="178"/>
      <c r="Q359" s="178"/>
      <c r="R359" s="195"/>
      <c r="S359" s="178"/>
      <c r="T359" s="180"/>
      <c r="U359" s="189" t="str">
        <f>IFERROR(IF(Tableau3[[#This Row],[Dettes]]=0,"",(Tableau3[[#This Row],[Dettes]]/Tableau3[[#This Row],[EBE]])),"")</f>
        <v/>
      </c>
      <c r="V359" s="190" t="str">
        <f>IFERROR(Tableau3[[#This Row],[Fonds propres]]/Tableau3[[#This Row],[Total Bilan]],"")</f>
        <v/>
      </c>
      <c r="W359" s="180"/>
      <c r="X359" s="191" t="s">
        <v>296</v>
      </c>
      <c r="Y359" s="180"/>
      <c r="Z359" s="192" t="str">
        <f>IFERROR(Tableau3[[#This Row],[Chiffre d''affaires]]/Tableau3[[#This Row],[Salariés]],"")</f>
        <v/>
      </c>
      <c r="AA359" s="177"/>
      <c r="AC359" s="177" t="s">
        <v>4501</v>
      </c>
    </row>
    <row r="360" spans="1:29" ht="20.25" customHeight="1">
      <c r="A360" s="217"/>
      <c r="E360" s="187"/>
      <c r="G360" s="188"/>
      <c r="H360" s="178"/>
      <c r="I360" s="178"/>
      <c r="J360" s="178"/>
      <c r="K360" s="178"/>
      <c r="L360" s="178"/>
      <c r="M360" s="178"/>
      <c r="N360" s="178"/>
      <c r="O360" s="178"/>
      <c r="P360" s="178"/>
      <c r="Q360" s="178"/>
      <c r="R360" s="195"/>
      <c r="S360" s="178"/>
      <c r="T360" s="180"/>
      <c r="U360" s="189" t="str">
        <f>IFERROR(IF(Tableau3[[#This Row],[Dettes]]=0,"",(Tableau3[[#This Row],[Dettes]]/Tableau3[[#This Row],[EBE]])),"")</f>
        <v/>
      </c>
      <c r="V360" s="190" t="str">
        <f>IFERROR(Tableau3[[#This Row],[Fonds propres]]/Tableau3[[#This Row],[Total Bilan]],"")</f>
        <v/>
      </c>
      <c r="W360" s="180"/>
      <c r="Y360" s="180"/>
      <c r="Z360" s="192" t="str">
        <f>IFERROR(Tableau3[[#This Row],[Chiffre d''affaires]]/Tableau3[[#This Row],[Salariés]],"")</f>
        <v/>
      </c>
      <c r="AA360" s="177"/>
      <c r="AC360" s="177" t="s">
        <v>297</v>
      </c>
    </row>
    <row r="361" spans="1:29" ht="20.25" customHeight="1">
      <c r="A361" s="217"/>
      <c r="E361" s="187">
        <v>25.7</v>
      </c>
      <c r="F361" s="178">
        <v>2023</v>
      </c>
      <c r="G361" s="188"/>
      <c r="H361" s="178"/>
      <c r="I361" s="178"/>
      <c r="J361" s="178"/>
      <c r="K361" s="178"/>
      <c r="L361" s="211">
        <v>53961000000</v>
      </c>
      <c r="M361" s="194">
        <f>L361/P361</f>
        <v>69.358611825192796</v>
      </c>
      <c r="N361" s="178"/>
      <c r="O361" s="178"/>
      <c r="P361" s="188">
        <v>778000000</v>
      </c>
      <c r="Q361" s="188">
        <f>P361*E361</f>
        <v>19994600000</v>
      </c>
      <c r="R361" s="195">
        <f>Q361/L361</f>
        <v>0.37053798113452308</v>
      </c>
      <c r="S361" s="197" t="e">
        <f>(Q361+K361)/H361</f>
        <v>#DIV/0!</v>
      </c>
      <c r="T361" s="180"/>
      <c r="U361" s="189" t="str">
        <f>IFERROR(IF(Tableau3[[#This Row],[Dettes]]=0,"",(Tableau3[[#This Row],[Dettes]]/Tableau3[[#This Row],[EBE]])),"")</f>
        <v/>
      </c>
      <c r="V361" s="190">
        <f>IFERROR(Tableau3[[#This Row],[Fonds propres]]/Tableau3[[#This Row],[Total Bilan]],"")</f>
        <v>0.57456051620047488</v>
      </c>
      <c r="W361" s="180">
        <v>93917000000</v>
      </c>
      <c r="Y361" s="180"/>
      <c r="Z361" s="192" t="str">
        <f>IFERROR(Tableau3[[#This Row],[Chiffre d''affaires]]/Tableau3[[#This Row],[Salariés]],"")</f>
        <v/>
      </c>
      <c r="AA361" s="177"/>
      <c r="AC361" s="177" t="s">
        <v>298</v>
      </c>
    </row>
    <row r="362" spans="1:29" ht="20.25" customHeight="1">
      <c r="A362" s="217"/>
      <c r="E362" s="187"/>
      <c r="G362" s="188"/>
      <c r="H362" s="178"/>
      <c r="I362" s="178"/>
      <c r="J362" s="178"/>
      <c r="K362" s="178"/>
      <c r="L362" s="178"/>
      <c r="M362" s="178"/>
      <c r="N362" s="178"/>
      <c r="O362" s="178"/>
      <c r="P362" s="178"/>
      <c r="Q362" s="178"/>
      <c r="R362" s="195"/>
      <c r="S362" s="178"/>
      <c r="T362" s="180"/>
      <c r="U362" s="189" t="str">
        <f>IFERROR(IF(Tableau3[[#This Row],[Dettes]]=0,"",(Tableau3[[#This Row],[Dettes]]/Tableau3[[#This Row],[EBE]])),"")</f>
        <v/>
      </c>
      <c r="V362" s="190" t="str">
        <f>IFERROR(Tableau3[[#This Row],[Fonds propres]]/Tableau3[[#This Row],[Total Bilan]],"")</f>
        <v/>
      </c>
      <c r="W362" s="180"/>
      <c r="Y362" s="180"/>
      <c r="Z362" s="192" t="str">
        <f>IFERROR(Tableau3[[#This Row],[Chiffre d''affaires]]/Tableau3[[#This Row],[Salariés]],"")</f>
        <v/>
      </c>
      <c r="AA362" s="177"/>
      <c r="AC362" s="177" t="s">
        <v>299</v>
      </c>
    </row>
    <row r="363" spans="1:29" ht="20.25" customHeight="1">
      <c r="A363" s="217"/>
      <c r="E363" s="187">
        <v>24.58</v>
      </c>
      <c r="F363" s="178">
        <v>2022</v>
      </c>
      <c r="G363" s="188"/>
      <c r="H363" s="178"/>
      <c r="I363" s="178"/>
      <c r="J363" s="178"/>
      <c r="K363" s="178"/>
      <c r="L363" s="178"/>
      <c r="M363" s="178"/>
      <c r="N363" s="178"/>
      <c r="O363" s="178"/>
      <c r="P363" s="188">
        <v>794000000</v>
      </c>
      <c r="Q363" s="188">
        <f>P363*E363</f>
        <v>19516520000</v>
      </c>
      <c r="R363" s="195" t="e">
        <f>Q363/L363</f>
        <v>#DIV/0!</v>
      </c>
      <c r="S363" s="197" t="e">
        <f>(Q363+K363)/H363</f>
        <v>#DIV/0!</v>
      </c>
      <c r="T363" s="180"/>
      <c r="U363" s="189" t="str">
        <f>IFERROR(IF(Tableau3[[#This Row],[Dettes]]=0,"",(Tableau3[[#This Row],[Dettes]]/Tableau3[[#This Row],[EBE]])),"")</f>
        <v/>
      </c>
      <c r="V363" s="190" t="str">
        <f>IFERROR(Tableau3[[#This Row],[Fonds propres]]/Tableau3[[#This Row],[Total Bilan]],"")</f>
        <v/>
      </c>
      <c r="W363" s="180"/>
      <c r="Y363" s="180"/>
      <c r="Z363" s="192" t="str">
        <f>IFERROR(Tableau3[[#This Row],[Chiffre d''affaires]]/Tableau3[[#This Row],[Salariés]],"")</f>
        <v/>
      </c>
      <c r="AA363" s="177"/>
      <c r="AC363" s="177" t="s">
        <v>300</v>
      </c>
    </row>
    <row r="364" spans="1:29" ht="20.25" customHeight="1">
      <c r="A364" s="217"/>
      <c r="E364" s="187"/>
      <c r="G364" s="188"/>
      <c r="H364" s="178"/>
      <c r="I364" s="178"/>
      <c r="J364" s="178"/>
      <c r="K364" s="178"/>
      <c r="L364" s="178"/>
      <c r="M364" s="178"/>
      <c r="N364" s="178"/>
      <c r="O364" s="178"/>
      <c r="P364" s="178"/>
      <c r="Q364" s="178"/>
      <c r="R364" s="195"/>
      <c r="S364" s="178"/>
      <c r="T364" s="180"/>
      <c r="U364" s="189" t="str">
        <f>IFERROR(IF(Tableau3[[#This Row],[Dettes]]=0,"",(Tableau3[[#This Row],[Dettes]]/Tableau3[[#This Row],[EBE]])),"")</f>
        <v/>
      </c>
      <c r="V364" s="190" t="str">
        <f>IFERROR(Tableau3[[#This Row],[Fonds propres]]/Tableau3[[#This Row],[Total Bilan]],"")</f>
        <v/>
      </c>
      <c r="W364" s="180"/>
      <c r="Y364" s="180"/>
      <c r="Z364" s="192" t="str">
        <f>IFERROR(Tableau3[[#This Row],[Chiffre d''affaires]]/Tableau3[[#This Row],[Salariés]],"")</f>
        <v/>
      </c>
      <c r="AA364" s="177"/>
      <c r="AC364" s="177" t="s">
        <v>301</v>
      </c>
    </row>
    <row r="365" spans="1:29" ht="20.25" customHeight="1">
      <c r="A365" s="217"/>
      <c r="E365" s="187">
        <v>28.14</v>
      </c>
      <c r="F365" s="178">
        <v>2021</v>
      </c>
      <c r="G365" s="188">
        <f>72000000000/1.13</f>
        <v>63716814159.292038</v>
      </c>
      <c r="H365" s="211">
        <f>18000000000/1.13</f>
        <v>15929203539.823009</v>
      </c>
      <c r="I365" s="211">
        <f>16000000000/1.13</f>
        <v>14159292035.398232</v>
      </c>
      <c r="J365" s="211">
        <f>14000000000/1.13</f>
        <v>12389380530.973452</v>
      </c>
      <c r="K365" s="211">
        <f>3900000000/1.13</f>
        <v>3451327433.6283188</v>
      </c>
      <c r="L365" s="211">
        <f>47116000000/1.13</f>
        <v>41695575221.238945</v>
      </c>
      <c r="M365" s="194">
        <f>L365/P365</f>
        <v>42.940860166054527</v>
      </c>
      <c r="N365" s="190">
        <f>J365/L365</f>
        <v>0.29713897614398499</v>
      </c>
      <c r="O365" s="190">
        <f>(I365*0.67)/(L365+K365)</f>
        <v>0.2101301552454132</v>
      </c>
      <c r="P365" s="188">
        <v>971000000</v>
      </c>
      <c r="Q365" s="188">
        <f>P365*E365</f>
        <v>27323940000</v>
      </c>
      <c r="R365" s="195">
        <f>Q365/L365</f>
        <v>0.65531989557687398</v>
      </c>
      <c r="S365" s="197">
        <f>(Q365+K365)/H365</f>
        <v>1.9320028999999999</v>
      </c>
      <c r="T365" s="180"/>
      <c r="U365" s="189">
        <f>IFERROR(IF(Tableau3[[#This Row],[Dettes]]=0,"",(Tableau3[[#This Row],[Dettes]]/Tableau3[[#This Row],[EBE]])),"")</f>
        <v>0.21666666666666667</v>
      </c>
      <c r="V365" s="190" t="str">
        <f>IFERROR(Tableau3[[#This Row],[Fonds propres]]/Tableau3[[#This Row],[Total Bilan]],"")</f>
        <v/>
      </c>
      <c r="W365" s="180"/>
      <c r="Y365" s="180"/>
      <c r="Z365" s="192" t="str">
        <f>IFERROR(Tableau3[[#This Row],[Chiffre d''affaires]]/Tableau3[[#This Row],[Salariés]],"")</f>
        <v/>
      </c>
      <c r="AA365" s="197"/>
      <c r="AB365" s="197"/>
      <c r="AC365" s="177" t="s">
        <v>302</v>
      </c>
    </row>
    <row r="366" spans="1:29" ht="20.25" customHeight="1">
      <c r="A366" s="217"/>
      <c r="D366" s="178" t="s">
        <v>303</v>
      </c>
      <c r="E366" s="187"/>
      <c r="G366" s="202">
        <f>(G365/G367)-1</f>
        <v>0.44729388272467352</v>
      </c>
      <c r="H366" s="203">
        <f>(H365/H367)-1</f>
        <v>3.4813616096688778</v>
      </c>
      <c r="I366" s="203">
        <f>(I365/I367)-1</f>
        <v>7.1197835842805013</v>
      </c>
      <c r="J366" s="203">
        <f>(J365/J367)-1</f>
        <v>-17.90229267527074</v>
      </c>
      <c r="K366" s="178"/>
      <c r="L366" s="178"/>
      <c r="M366" s="178"/>
      <c r="N366" s="178"/>
      <c r="O366" s="178"/>
      <c r="P366" s="178"/>
      <c r="Q366" s="178"/>
      <c r="R366" s="195"/>
      <c r="S366" s="178"/>
      <c r="T366" s="180"/>
      <c r="U366" s="189" t="str">
        <f>IFERROR(IF(Tableau3[[#This Row],[Dettes]]=0,"",(Tableau3[[#This Row],[Dettes]]/Tableau3[[#This Row],[EBE]])),"")</f>
        <v/>
      </c>
      <c r="V366" s="190" t="str">
        <f>IFERROR(Tableau3[[#This Row],[Fonds propres]]/Tableau3[[#This Row],[Total Bilan]],"")</f>
        <v/>
      </c>
      <c r="W366" s="180"/>
      <c r="Y366" s="180"/>
      <c r="Z366" s="192" t="str">
        <f>IFERROR(Tableau3[[#This Row],[Chiffre d''affaires]]/Tableau3[[#This Row],[Salariés]],"")</f>
        <v/>
      </c>
      <c r="AA366" s="178"/>
      <c r="AC366" s="177" t="s">
        <v>304</v>
      </c>
    </row>
    <row r="367" spans="1:29" ht="20.25" customHeight="1">
      <c r="A367" s="217"/>
      <c r="E367" s="187">
        <v>19.05</v>
      </c>
      <c r="F367" s="178">
        <v>2020</v>
      </c>
      <c r="G367" s="188">
        <f>53270000000/1.21</f>
        <v>44024793388.429756</v>
      </c>
      <c r="H367" s="211">
        <f>4301000000/1.21</f>
        <v>3554545454.5454545</v>
      </c>
      <c r="I367" s="211">
        <f>2110000000/1.21</f>
        <v>1743801652.8925622</v>
      </c>
      <c r="J367" s="211">
        <v>-733000000</v>
      </c>
      <c r="K367" s="211">
        <f>6400000000/1.18</f>
        <v>5423728813.5593224</v>
      </c>
      <c r="L367" s="211">
        <f>38280000000/1.21</f>
        <v>31636363636.363636</v>
      </c>
      <c r="M367" s="194">
        <f>L367/P367</f>
        <v>30.631355835354775</v>
      </c>
      <c r="N367" s="190">
        <f>J367/L367</f>
        <v>-2.3169540229885058E-2</v>
      </c>
      <c r="O367" s="190">
        <f>(I367*0.67)/(L367+K367)</f>
        <v>3.1525747244606384E-2</v>
      </c>
      <c r="P367" s="188">
        <v>1032809772</v>
      </c>
      <c r="Q367" s="188">
        <f>P367*E367</f>
        <v>19675026156.600002</v>
      </c>
      <c r="R367" s="195">
        <f>Q367/L367</f>
        <v>0.62191174632931046</v>
      </c>
      <c r="S367" s="197">
        <f>(Q367+K367)/H367</f>
        <v>7.0610308100192478</v>
      </c>
      <c r="T367" s="180"/>
      <c r="U367" s="189">
        <f>IFERROR(IF(Tableau3[[#This Row],[Dettes]]=0,"",(Tableau3[[#This Row],[Dettes]]/Tableau3[[#This Row],[EBE]])),"")</f>
        <v>1.5258572109757684</v>
      </c>
      <c r="V367" s="190" t="str">
        <f>IFERROR(Tableau3[[#This Row],[Fonds propres]]/Tableau3[[#This Row],[Total Bilan]],"")</f>
        <v/>
      </c>
      <c r="W367" s="180"/>
      <c r="Y367" s="180"/>
      <c r="Z367" s="192" t="str">
        <f>IFERROR(Tableau3[[#This Row],[Chiffre d''affaires]]/Tableau3[[#This Row],[Salariés]],"")</f>
        <v/>
      </c>
      <c r="AA367" s="197"/>
      <c r="AB367" s="197"/>
      <c r="AC367" s="177" t="s">
        <v>305</v>
      </c>
    </row>
    <row r="368" spans="1:29" ht="20.25" customHeight="1">
      <c r="A368" s="217"/>
      <c r="D368" s="178" t="s">
        <v>306</v>
      </c>
      <c r="E368" s="187"/>
      <c r="G368" s="202">
        <f>(G367/G369)-1</f>
        <v>-0.31420699954297626</v>
      </c>
      <c r="H368" s="203">
        <f>(H367/H369)-1</f>
        <v>-0.24735322425409034</v>
      </c>
      <c r="I368" s="203">
        <f>(I367/I369)-1</f>
        <v>-0.30247933884297518</v>
      </c>
      <c r="J368" s="203">
        <f>(J367/J369)-1</f>
        <v>-0.67143439282803574</v>
      </c>
      <c r="K368" s="178"/>
      <c r="L368" s="178"/>
      <c r="M368" s="178"/>
      <c r="N368" s="178"/>
      <c r="O368" s="178"/>
      <c r="P368" s="178"/>
      <c r="Q368" s="178"/>
      <c r="R368" s="195"/>
      <c r="S368" s="178"/>
      <c r="T368" s="180"/>
      <c r="U368" s="189" t="str">
        <f>IFERROR(IF(Tableau3[[#This Row],[Dettes]]=0,"",(Tableau3[[#This Row],[Dettes]]/Tableau3[[#This Row],[EBE]])),"")</f>
        <v/>
      </c>
      <c r="V368" s="190" t="str">
        <f>IFERROR(Tableau3[[#This Row],[Fonds propres]]/Tableau3[[#This Row],[Total Bilan]],"")</f>
        <v/>
      </c>
      <c r="W368" s="180"/>
      <c r="Y368" s="180"/>
      <c r="Z368" s="192" t="str">
        <f>IFERROR(Tableau3[[#This Row],[Chiffre d''affaires]]/Tableau3[[#This Row],[Salariés]],"")</f>
        <v/>
      </c>
      <c r="AA368" s="177"/>
      <c r="AC368" s="177" t="s">
        <v>307</v>
      </c>
    </row>
    <row r="369" spans="1:29" ht="20.25" customHeight="1">
      <c r="A369" s="217"/>
      <c r="D369" s="178" t="s">
        <v>308</v>
      </c>
      <c r="E369" s="187">
        <v>12.5</v>
      </c>
      <c r="F369" s="178">
        <v>2019</v>
      </c>
      <c r="G369" s="188">
        <f>70615000000/1.1</f>
        <v>64195454545.454544</v>
      </c>
      <c r="H369" s="211">
        <f>5195000000/1.1</f>
        <v>4722727272.727272</v>
      </c>
      <c r="I369" s="211">
        <v>2500000000</v>
      </c>
      <c r="J369" s="211">
        <f>-2454000000/1.1</f>
        <v>-2230909090.9090905</v>
      </c>
      <c r="K369" s="211">
        <f>10000000000/1.1</f>
        <v>9090909090.90909</v>
      </c>
      <c r="L369" s="211">
        <f>38521000000/1.1</f>
        <v>35019090909.090904</v>
      </c>
      <c r="M369" s="194">
        <f>L369/P369</f>
        <v>30.409684555575513</v>
      </c>
      <c r="N369" s="190">
        <f>J369/L369</f>
        <v>-6.3705511279561797E-2</v>
      </c>
      <c r="O369" s="190">
        <f>(I369*0.67)/(L369+K369)</f>
        <v>3.7973248696440726E-2</v>
      </c>
      <c r="P369" s="188">
        <f>P371</f>
        <v>1151576921</v>
      </c>
      <c r="Q369" s="188">
        <f>P369*E369</f>
        <v>14394711512.5</v>
      </c>
      <c r="R369" s="195">
        <f>Q369/L369</f>
        <v>0.41105326091612371</v>
      </c>
      <c r="S369" s="197">
        <f>(Q369+K369)/H369</f>
        <v>4.9728936792589034</v>
      </c>
      <c r="T369" s="180"/>
      <c r="U369" s="189">
        <f>IFERROR(IF(Tableau3[[#This Row],[Dettes]]=0,"",(Tableau3[[#This Row],[Dettes]]/Tableau3[[#This Row],[EBE]])),"")</f>
        <v>1.9249278152069298</v>
      </c>
      <c r="V369" s="190" t="str">
        <f>IFERROR(Tableau3[[#This Row],[Fonds propres]]/Tableau3[[#This Row],[Total Bilan]],"")</f>
        <v/>
      </c>
      <c r="W369" s="180"/>
      <c r="X369" s="191"/>
      <c r="Y369" s="180"/>
      <c r="Z369" s="192" t="str">
        <f>IFERROR(Tableau3[[#This Row],[Chiffre d''affaires]]/Tableau3[[#This Row],[Salariés]],"")</f>
        <v/>
      </c>
      <c r="AA369" s="197"/>
      <c r="AB369" s="197"/>
      <c r="AC369" s="177" t="s">
        <v>4502</v>
      </c>
    </row>
    <row r="370" spans="1:29" ht="20.25" customHeight="1">
      <c r="A370" s="217"/>
      <c r="E370" s="187"/>
      <c r="G370" s="202">
        <f>(G369/G371)-1</f>
        <v>-3.3597291039614841E-2</v>
      </c>
      <c r="H370" s="203">
        <f>(H369/H371)-1</f>
        <v>-0.47728530462343421</v>
      </c>
      <c r="I370" s="203">
        <f>(I369/I371)-1</f>
        <v>-0.56148044202771441</v>
      </c>
      <c r="J370" s="203">
        <f>(J369/J371)-1</f>
        <v>-1.4852628047811578</v>
      </c>
      <c r="K370" s="178"/>
      <c r="L370" s="178"/>
      <c r="M370" s="178"/>
      <c r="N370" s="178"/>
      <c r="O370" s="178"/>
      <c r="P370" s="178"/>
      <c r="Q370" s="178"/>
      <c r="R370" s="195"/>
      <c r="S370" s="178"/>
      <c r="T370" s="180"/>
      <c r="U370" s="189" t="str">
        <f>IFERROR(IF(Tableau3[[#This Row],[Dettes]]=0,"",(Tableau3[[#This Row],[Dettes]]/Tableau3[[#This Row],[EBE]])),"")</f>
        <v/>
      </c>
      <c r="V370" s="190" t="str">
        <f>IFERROR(Tableau3[[#This Row],[Fonds propres]]/Tableau3[[#This Row],[Total Bilan]],"")</f>
        <v/>
      </c>
      <c r="W370" s="180"/>
      <c r="Y370" s="180"/>
      <c r="Z370" s="192" t="str">
        <f>IFERROR(Tableau3[[#This Row],[Chiffre d''affaires]]/Tableau3[[#This Row],[Salariés]],"")</f>
        <v/>
      </c>
      <c r="AA370" s="177"/>
      <c r="AC370" s="177" t="s">
        <v>309</v>
      </c>
    </row>
    <row r="371" spans="1:29" ht="20.25" customHeight="1">
      <c r="A371" s="217"/>
      <c r="E371" s="187">
        <v>18</v>
      </c>
      <c r="F371" s="178">
        <v>2018</v>
      </c>
      <c r="G371" s="188">
        <f>G373*1.18</f>
        <v>66427229508.196724</v>
      </c>
      <c r="H371" s="211">
        <v>9035000000</v>
      </c>
      <c r="I371" s="211">
        <v>5701000000</v>
      </c>
      <c r="J371" s="188">
        <f>5149000000/1.12</f>
        <v>4597321428.5714283</v>
      </c>
      <c r="K371" s="188">
        <f>10200000000/1.12</f>
        <v>9107142857.1428566</v>
      </c>
      <c r="L371" s="211">
        <f>42086000000/1.12</f>
        <v>37576785714.285713</v>
      </c>
      <c r="M371" s="194">
        <f>L371/P371</f>
        <v>32.630721429928442</v>
      </c>
      <c r="N371" s="190">
        <f>J371/L371</f>
        <v>0.12234472271064012</v>
      </c>
      <c r="O371" s="190">
        <f>(I371*0.67)/(L371+K371)</f>
        <v>8.1819806449145077E-2</v>
      </c>
      <c r="P371" s="188">
        <v>1151576921</v>
      </c>
      <c r="Q371" s="188">
        <f>P371*E371</f>
        <v>20728384578</v>
      </c>
      <c r="R371" s="195">
        <f>Q371/L371</f>
        <v>0.55162739930998428</v>
      </c>
      <c r="S371" s="197">
        <f>(Q371+K371)/H371</f>
        <v>3.3022166502648429</v>
      </c>
      <c r="T371" s="180"/>
      <c r="U371" s="189">
        <f>IFERROR(IF(Tableau3[[#This Row],[Dettes]]=0,"",(Tableau3[[#This Row],[Dettes]]/Tableau3[[#This Row],[EBE]])),"")</f>
        <v>1.0079848209344611</v>
      </c>
      <c r="V371" s="190" t="str">
        <f>IFERROR(Tableau3[[#This Row],[Fonds propres]]/Tableau3[[#This Row],[Total Bilan]],"")</f>
        <v/>
      </c>
      <c r="W371" s="180"/>
      <c r="X371" s="191"/>
      <c r="Y371" s="180"/>
      <c r="Z371" s="192" t="str">
        <f>IFERROR(Tableau3[[#This Row],[Chiffre d''affaires]]/Tableau3[[#This Row],[Salariés]],"")</f>
        <v/>
      </c>
      <c r="AA371" s="197"/>
      <c r="AB371" s="197"/>
      <c r="AC371" s="177" t="s">
        <v>310</v>
      </c>
    </row>
    <row r="372" spans="1:29" ht="20.25" customHeight="1">
      <c r="A372" s="217"/>
      <c r="E372" s="187"/>
      <c r="G372" s="202">
        <f>(G371/G373)-1</f>
        <v>0.17999999999999994</v>
      </c>
      <c r="H372" s="203">
        <f>(H371/H373)-1</f>
        <v>0.31097764034253084</v>
      </c>
      <c r="I372" s="203">
        <f>(I371/I373)-1</f>
        <v>0.28800370370370376</v>
      </c>
      <c r="J372" s="203">
        <f>(J371/J373)-1</f>
        <v>0.21928959627329192</v>
      </c>
      <c r="K372" s="178"/>
      <c r="L372" s="178"/>
      <c r="M372" s="178"/>
      <c r="N372" s="178"/>
      <c r="O372" s="178"/>
      <c r="P372" s="178"/>
      <c r="Q372" s="178"/>
      <c r="R372" s="195"/>
      <c r="S372" s="178"/>
      <c r="T372" s="180"/>
      <c r="U372" s="189" t="str">
        <f>IFERROR(IF(Tableau3[[#This Row],[Dettes]]=0,"",(Tableau3[[#This Row],[Dettes]]/Tableau3[[#This Row],[EBE]])),"")</f>
        <v/>
      </c>
      <c r="V372" s="190" t="str">
        <f>IFERROR(Tableau3[[#This Row],[Fonds propres]]/Tableau3[[#This Row],[Total Bilan]],"")</f>
        <v/>
      </c>
      <c r="W372" s="180"/>
      <c r="X372" s="191"/>
      <c r="Y372" s="180"/>
      <c r="Z372" s="192" t="str">
        <f>IFERROR(Tableau3[[#This Row],[Chiffre d''affaires]]/Tableau3[[#This Row],[Salariés]],"")</f>
        <v/>
      </c>
      <c r="AA372" s="197"/>
      <c r="AB372" s="197"/>
      <c r="AC372" s="177" t="s">
        <v>311</v>
      </c>
    </row>
    <row r="373" spans="1:29" ht="20.25" customHeight="1">
      <c r="A373" s="217"/>
      <c r="E373" s="187">
        <v>27</v>
      </c>
      <c r="F373" s="178">
        <v>2017</v>
      </c>
      <c r="G373" s="188">
        <f>68679000000/1.22</f>
        <v>56294262295.08197</v>
      </c>
      <c r="H373" s="188">
        <f>8408000000/1.22</f>
        <v>6891803278.6885252</v>
      </c>
      <c r="I373" s="188">
        <f>5400000000/1.22</f>
        <v>4426229508.1967211</v>
      </c>
      <c r="J373" s="188">
        <f>4600000000/1.22</f>
        <v>3770491803.2786884</v>
      </c>
      <c r="K373" s="188">
        <f>10100000000/1.22</f>
        <v>8278688524.5901642</v>
      </c>
      <c r="L373" s="211">
        <f>38789000000/1.18</f>
        <v>32872033898.305088</v>
      </c>
      <c r="M373" s="194">
        <f>L373/P373</f>
        <v>32.167450196333327</v>
      </c>
      <c r="N373" s="190">
        <f>J373/L373</f>
        <v>0.11470211471986522</v>
      </c>
      <c r="O373" s="190">
        <f>(I373*0.67)/(L373+K373)</f>
        <v>7.2066141148516769E-2</v>
      </c>
      <c r="P373" s="188">
        <v>1021903623</v>
      </c>
      <c r="Q373" s="188">
        <f>E373*P373</f>
        <v>27591397821</v>
      </c>
      <c r="R373" s="195">
        <f>Q373/L373</f>
        <v>0.83935779289953327</v>
      </c>
      <c r="S373" s="197">
        <f>(Q373+K373)/H373</f>
        <v>5.2047461157968593</v>
      </c>
      <c r="T373" s="180"/>
      <c r="U373" s="189">
        <f>IFERROR(IF(Tableau3[[#This Row],[Dettes]]=0,"",(Tableau3[[#This Row],[Dettes]]/Tableau3[[#This Row],[EBE]])),"")</f>
        <v>1.2012369172216935</v>
      </c>
      <c r="V373" s="190" t="str">
        <f>IFERROR(Tableau3[[#This Row],[Fonds propres]]/Tableau3[[#This Row],[Total Bilan]],"")</f>
        <v/>
      </c>
      <c r="W373" s="180"/>
      <c r="X373" s="191"/>
      <c r="Y373" s="180"/>
      <c r="Z373" s="192" t="str">
        <f>IFERROR(Tableau3[[#This Row],[Chiffre d''affaires]]/Tableau3[[#This Row],[Salariés]],"")</f>
        <v/>
      </c>
      <c r="AA373" s="197"/>
      <c r="AB373" s="197"/>
    </row>
    <row r="374" spans="1:29" ht="20.25" customHeight="1">
      <c r="A374" s="217"/>
      <c r="E374" s="187"/>
      <c r="G374" s="202">
        <f>(G373/G375)-1</f>
        <v>6.0640958175374848E-2</v>
      </c>
      <c r="H374" s="203">
        <f>(H373/H375)-1</f>
        <v>0.17893357445191405</v>
      </c>
      <c r="I374" s="203">
        <f>(I373/I375)-1</f>
        <v>0.13820369472975047</v>
      </c>
      <c r="J374" s="203">
        <f>(J373/J375)-1</f>
        <v>1.2678056377224265</v>
      </c>
      <c r="K374" s="188"/>
      <c r="L374" s="178"/>
      <c r="M374" s="177"/>
      <c r="N374" s="190"/>
      <c r="O374" s="190"/>
      <c r="P374" s="188"/>
      <c r="Q374" s="188"/>
      <c r="R374" s="195"/>
      <c r="S374" s="197"/>
      <c r="T374" s="180"/>
      <c r="U374" s="189" t="str">
        <f>IFERROR(IF(Tableau3[[#This Row],[Dettes]]=0,"",(Tableau3[[#This Row],[Dettes]]/Tableau3[[#This Row],[EBE]])),"")</f>
        <v/>
      </c>
      <c r="V374" s="190" t="str">
        <f>IFERROR(Tableau3[[#This Row],[Fonds propres]]/Tableau3[[#This Row],[Total Bilan]],"")</f>
        <v/>
      </c>
      <c r="W374" s="180"/>
      <c r="X374" s="191"/>
      <c r="Y374" s="180"/>
      <c r="Z374" s="192" t="str">
        <f>IFERROR(Tableau3[[#This Row],[Chiffre d''affaires]]/Tableau3[[#This Row],[Salariés]],"")</f>
        <v/>
      </c>
      <c r="AA374" s="197"/>
      <c r="AB374" s="197"/>
    </row>
    <row r="375" spans="1:29" ht="20.25" customHeight="1">
      <c r="A375" s="217"/>
      <c r="C375" s="178" t="s">
        <v>312</v>
      </c>
      <c r="E375" s="187">
        <v>7.1</v>
      </c>
      <c r="F375" s="178">
        <v>2016</v>
      </c>
      <c r="G375" s="188">
        <f>56791000000/1.07</f>
        <v>53075700934.579437</v>
      </c>
      <c r="H375" s="188">
        <f>6255000000/1.07</f>
        <v>5845794392.5233641</v>
      </c>
      <c r="I375" s="188">
        <f>4161000000/1.07</f>
        <v>3888785046.728972</v>
      </c>
      <c r="J375" s="188">
        <f>1779000000/1.07</f>
        <v>1662616822.4299064</v>
      </c>
      <c r="K375" s="188">
        <f>(11259000000/1.07)</f>
        <v>10522429906.542055</v>
      </c>
      <c r="L375" s="211">
        <f>30135000000/1.07</f>
        <v>28163551401.869156</v>
      </c>
      <c r="M375" s="194">
        <f>L375/P375</f>
        <v>9.1866299874051034</v>
      </c>
      <c r="N375" s="190">
        <f>J375/L375</f>
        <v>5.9034345445495275E-2</v>
      </c>
      <c r="O375" s="190">
        <f>(I375*0.67)/(L375+K375)</f>
        <v>6.7349615886360362E-2</v>
      </c>
      <c r="P375" s="188">
        <v>3065710869</v>
      </c>
      <c r="Q375" s="188">
        <f>E375*P375</f>
        <v>21766547169.899998</v>
      </c>
      <c r="R375" s="195">
        <f>Q375/L375</f>
        <v>0.77286230203394723</v>
      </c>
      <c r="S375" s="197">
        <f>(Q375+K375)/H375</f>
        <v>5.5234541121971228</v>
      </c>
      <c r="T375" s="180"/>
      <c r="U375" s="189">
        <f>IFERROR(IF(Tableau3[[#This Row],[Dettes]]=0,"",(Tableau3[[#This Row],[Dettes]]/Tableau3[[#This Row],[EBE]])),"")</f>
        <v>1.8</v>
      </c>
      <c r="V375" s="190" t="str">
        <f>IFERROR(Tableau3[[#This Row],[Fonds propres]]/Tableau3[[#This Row],[Total Bilan]],"")</f>
        <v/>
      </c>
      <c r="W375" s="180"/>
      <c r="X375" s="191"/>
      <c r="Y375" s="180"/>
      <c r="Z375" s="192" t="str">
        <f>IFERROR(Tableau3[[#This Row],[Chiffre d''affaires]]/Tableau3[[#This Row],[Salariés]],"")</f>
        <v/>
      </c>
      <c r="AA375" s="197"/>
      <c r="AB375" s="197"/>
    </row>
    <row r="376" spans="1:29" ht="20.25" customHeight="1">
      <c r="A376" s="217"/>
      <c r="C376" s="178" t="s">
        <v>313</v>
      </c>
      <c r="E376" s="187"/>
      <c r="G376" s="202">
        <f>(G375/G377)-1</f>
        <v>-8.1706391707235482E-2</v>
      </c>
      <c r="H376" s="203">
        <f>(H375/H377)-1</f>
        <v>0.22928194069502994</v>
      </c>
      <c r="I376" s="203">
        <f>(I375/I377)-1</f>
        <v>-2.02803738317757</v>
      </c>
      <c r="J376" s="203">
        <f>(J375/J377)-1</f>
        <v>-1.2301634161430779</v>
      </c>
      <c r="K376" s="188"/>
      <c r="L376" s="178"/>
      <c r="M376" s="177"/>
      <c r="N376" s="190"/>
      <c r="O376" s="190"/>
      <c r="P376" s="188"/>
      <c r="Q376" s="188"/>
      <c r="R376" s="195"/>
      <c r="S376" s="197"/>
      <c r="T376" s="180"/>
      <c r="U376" s="189" t="str">
        <f>IFERROR(IF(Tableau3[[#This Row],[Dettes]]=0,"",(Tableau3[[#This Row],[Dettes]]/Tableau3[[#This Row],[EBE]])),"")</f>
        <v/>
      </c>
      <c r="V376" s="190" t="str">
        <f>IFERROR(Tableau3[[#This Row],[Fonds propres]]/Tableau3[[#This Row],[Total Bilan]],"")</f>
        <v/>
      </c>
      <c r="W376" s="180"/>
      <c r="X376" s="191"/>
      <c r="Y376" s="180"/>
      <c r="Z376" s="192" t="str">
        <f>IFERROR(Tableau3[[#This Row],[Chiffre d''affaires]]/Tableau3[[#This Row],[Salariés]],"")</f>
        <v/>
      </c>
      <c r="AA376" s="197"/>
      <c r="AB376" s="197"/>
    </row>
    <row r="377" spans="1:29" ht="20.25" customHeight="1">
      <c r="A377" s="217"/>
      <c r="E377" s="187">
        <v>4</v>
      </c>
      <c r="F377" s="178">
        <v>2015</v>
      </c>
      <c r="G377" s="188">
        <f>63578000000/1.1</f>
        <v>57798181818.181816</v>
      </c>
      <c r="H377" s="188">
        <f>(5231000000/1.1)</f>
        <v>4755454545.454545</v>
      </c>
      <c r="I377" s="188">
        <f>-4161000000/1.1</f>
        <v>-3782727272.7272725</v>
      </c>
      <c r="J377" s="188">
        <f>-7946000000/1.1</f>
        <v>-7223636363.636363</v>
      </c>
      <c r="K377" s="188">
        <f>15693000000/1.1</f>
        <v>14266363636.363636</v>
      </c>
      <c r="L377" s="211">
        <f>25272000000/1.1</f>
        <v>22974545454.545452</v>
      </c>
      <c r="M377" s="194">
        <f>L377/P377</f>
        <v>12.73985997711647</v>
      </c>
      <c r="N377" s="190">
        <f>J377/(M377*P375)</f>
        <v>-0.18495242385235952</v>
      </c>
      <c r="O377" s="190">
        <f>(I377*0.64)/(K377+L377)</f>
        <v>-6.5007689491028933E-2</v>
      </c>
      <c r="P377" s="188">
        <v>1803359338</v>
      </c>
      <c r="Q377" s="188">
        <f>E377*P377</f>
        <v>7213437352</v>
      </c>
      <c r="R377" s="195">
        <f>Q377/L377</f>
        <v>0.31397519338398233</v>
      </c>
      <c r="S377" s="197" t="s">
        <v>314</v>
      </c>
      <c r="T377" s="180"/>
      <c r="U377" s="189">
        <f>IFERROR(IF(Tableau3[[#This Row],[Dettes]]=0,"",(Tableau3[[#This Row],[Dettes]]/Tableau3[[#This Row],[EBE]])),"")</f>
        <v>3</v>
      </c>
      <c r="V377" s="190" t="str">
        <f>IFERROR(Tableau3[[#This Row],[Fonds propres]]/Tableau3[[#This Row],[Total Bilan]],"")</f>
        <v/>
      </c>
      <c r="W377" s="180"/>
      <c r="X377" s="191"/>
      <c r="Y377" s="180"/>
      <c r="Z377" s="192" t="str">
        <f>IFERROR(Tableau3[[#This Row],[Chiffre d''affaires]]/Tableau3[[#This Row],[Salariés]],"")</f>
        <v/>
      </c>
      <c r="AA377" s="197"/>
      <c r="AB377" s="197"/>
    </row>
    <row r="378" spans="1:29" ht="20.25" customHeight="1">
      <c r="A378" s="217"/>
      <c r="E378" s="187"/>
      <c r="F378" s="214"/>
      <c r="G378" s="188"/>
      <c r="H378" s="188"/>
      <c r="I378" s="178"/>
      <c r="J378" s="178"/>
      <c r="K378" s="188"/>
      <c r="L378" s="178"/>
      <c r="M378" s="177"/>
      <c r="N378" s="178"/>
      <c r="O378" s="177"/>
      <c r="P378" s="188"/>
      <c r="Q378" s="188"/>
      <c r="R378" s="195"/>
      <c r="S378" s="197"/>
      <c r="T378" s="180"/>
      <c r="U378" s="189" t="str">
        <f>IFERROR(IF(Tableau3[[#This Row],[Dettes]]=0,"",(Tableau3[[#This Row],[Dettes]]/Tableau3[[#This Row],[EBE]])),"")</f>
        <v/>
      </c>
      <c r="V378" s="190" t="str">
        <f>IFERROR(Tableau3[[#This Row],[Fonds propres]]/Tableau3[[#This Row],[Total Bilan]],"")</f>
        <v/>
      </c>
      <c r="W378" s="180"/>
      <c r="X378" s="191"/>
      <c r="Y378" s="180"/>
      <c r="Z378" s="192" t="str">
        <f>IFERROR(Tableau3[[#This Row],[Chiffre d''affaires]]/Tableau3[[#This Row],[Salariés]],"")</f>
        <v/>
      </c>
      <c r="AA378" s="197"/>
      <c r="AB378" s="197"/>
    </row>
    <row r="379" spans="1:29" ht="20.25" customHeight="1">
      <c r="A379" s="217"/>
      <c r="E379" s="187"/>
      <c r="F379" s="178">
        <v>2014</v>
      </c>
      <c r="G379" s="188"/>
      <c r="H379" s="188">
        <v>7200000000</v>
      </c>
      <c r="I379" s="178"/>
      <c r="J379" s="178"/>
      <c r="K379" s="188"/>
      <c r="L379" s="178"/>
      <c r="M379" s="177"/>
      <c r="N379" s="178"/>
      <c r="O379" s="177"/>
      <c r="P379" s="188"/>
      <c r="Q379" s="188"/>
      <c r="R379" s="195"/>
      <c r="S379" s="197"/>
      <c r="T379" s="180"/>
      <c r="U379" s="189" t="str">
        <f>IFERROR(IF(Tableau3[[#This Row],[Dettes]]=0,"",(Tableau3[[#This Row],[Dettes]]/Tableau3[[#This Row],[EBE]])),"")</f>
        <v/>
      </c>
      <c r="V379" s="190" t="str">
        <f>IFERROR(Tableau3[[#This Row],[Fonds propres]]/Tableau3[[#This Row],[Total Bilan]],"")</f>
        <v/>
      </c>
      <c r="W379" s="180"/>
      <c r="Y379" s="180"/>
      <c r="Z379" s="192" t="str">
        <f>IFERROR(Tableau3[[#This Row],[Chiffre d''affaires]]/Tableau3[[#This Row],[Salariés]],"")</f>
        <v/>
      </c>
      <c r="AA379" s="177"/>
    </row>
    <row r="380" spans="1:29" ht="20.25" customHeight="1">
      <c r="A380" s="217"/>
      <c r="E380" s="187"/>
      <c r="G380" s="188"/>
      <c r="H380" s="188"/>
      <c r="I380" s="178"/>
      <c r="J380" s="178"/>
      <c r="K380" s="188"/>
      <c r="L380" s="178"/>
      <c r="M380" s="177"/>
      <c r="N380" s="178"/>
      <c r="O380" s="177"/>
      <c r="P380" s="188"/>
      <c r="Q380" s="188"/>
      <c r="R380" s="195"/>
      <c r="S380" s="197"/>
      <c r="T380" s="180"/>
      <c r="U380" s="189" t="str">
        <f>IFERROR(IF(Tableau3[[#This Row],[Dettes]]=0,"",(Tableau3[[#This Row],[Dettes]]/Tableau3[[#This Row],[EBE]])),"")</f>
        <v/>
      </c>
      <c r="V380" s="190" t="str">
        <f>IFERROR(Tableau3[[#This Row],[Fonds propres]]/Tableau3[[#This Row],[Total Bilan]],"")</f>
        <v/>
      </c>
      <c r="W380" s="180"/>
      <c r="Y380" s="180"/>
      <c r="Z380" s="192" t="str">
        <f>IFERROR(Tableau3[[#This Row],[Chiffre d''affaires]]/Tableau3[[#This Row],[Salariés]],"")</f>
        <v/>
      </c>
      <c r="AA380" s="177"/>
    </row>
    <row r="381" spans="1:29" ht="20.25" customHeight="1">
      <c r="A381" s="217"/>
      <c r="F381" s="224" t="s">
        <v>315</v>
      </c>
      <c r="G381" s="188"/>
      <c r="H381" s="188"/>
      <c r="I381" s="178"/>
      <c r="J381" s="178"/>
      <c r="K381" s="188"/>
      <c r="L381" s="178"/>
      <c r="M381" s="177"/>
      <c r="N381" s="178"/>
      <c r="O381" s="177"/>
      <c r="P381" s="188"/>
      <c r="Q381" s="188"/>
      <c r="R381" s="195"/>
      <c r="S381" s="197"/>
      <c r="T381" s="180"/>
      <c r="U381" s="189" t="str">
        <f>IFERROR(IF(Tableau3[[#This Row],[Dettes]]=0,"",(Tableau3[[#This Row],[Dettes]]/Tableau3[[#This Row],[EBE]])),"")</f>
        <v/>
      </c>
      <c r="V381" s="190" t="str">
        <f>IFERROR(Tableau3[[#This Row],[Fonds propres]]/Tableau3[[#This Row],[Total Bilan]],"")</f>
        <v/>
      </c>
      <c r="W381" s="180"/>
      <c r="Y381" s="180"/>
      <c r="Z381" s="192" t="str">
        <f>IFERROR(Tableau3[[#This Row],[Chiffre d''affaires]]/Tableau3[[#This Row],[Salariés]],"")</f>
        <v/>
      </c>
      <c r="AA381" s="177"/>
    </row>
    <row r="382" spans="1:29" ht="20.25" customHeight="1">
      <c r="A382" s="217"/>
      <c r="F382" s="214"/>
      <c r="G382" s="188"/>
      <c r="H382" s="188"/>
      <c r="I382" s="178"/>
      <c r="J382" s="178"/>
      <c r="K382" s="188"/>
      <c r="L382" s="178"/>
      <c r="M382" s="177"/>
      <c r="N382" s="178"/>
      <c r="O382" s="177"/>
      <c r="P382" s="188"/>
      <c r="Q382" s="188"/>
      <c r="R382" s="195"/>
      <c r="S382" s="197"/>
      <c r="T382" s="180"/>
      <c r="U382" s="189" t="str">
        <f>IFERROR(IF(Tableau3[[#This Row],[Dettes]]=0,"",(Tableau3[[#This Row],[Dettes]]/Tableau3[[#This Row],[EBE]])),"")</f>
        <v/>
      </c>
      <c r="V382" s="190" t="str">
        <f>IFERROR(Tableau3[[#This Row],[Fonds propres]]/Tableau3[[#This Row],[Total Bilan]],"")</f>
        <v/>
      </c>
      <c r="W382" s="180"/>
      <c r="Y382" s="180"/>
      <c r="Z382" s="192" t="str">
        <f>IFERROR(Tableau3[[#This Row],[Chiffre d''affaires]]/Tableau3[[#This Row],[Salariés]],"")</f>
        <v/>
      </c>
      <c r="AA382" s="177"/>
    </row>
    <row r="383" spans="1:29" ht="20.25" customHeight="1">
      <c r="A383" s="217" t="s">
        <v>316</v>
      </c>
      <c r="B383" s="216" t="s">
        <v>317</v>
      </c>
      <c r="C383" s="178" t="s">
        <v>84</v>
      </c>
      <c r="D383" s="178" t="s">
        <v>85</v>
      </c>
      <c r="E383" s="187">
        <v>8.1999999999999993</v>
      </c>
      <c r="F383" s="178">
        <v>2022</v>
      </c>
      <c r="G383" s="188">
        <v>75000000000</v>
      </c>
      <c r="H383" s="188">
        <v>8000000000</v>
      </c>
      <c r="I383" s="188">
        <v>-5000000000</v>
      </c>
      <c r="J383" s="188">
        <v>-6000000000</v>
      </c>
      <c r="K383" s="188">
        <v>49000000000</v>
      </c>
      <c r="L383" s="188">
        <v>47000000000</v>
      </c>
      <c r="M383" s="194">
        <f>L383/P383</f>
        <v>11.962842575089962</v>
      </c>
      <c r="N383" s="190">
        <f>J383/L383</f>
        <v>-0.1276595744680851</v>
      </c>
      <c r="O383" s="190">
        <f>(I383*0.64)/(K383+L383)</f>
        <v>-3.3333333333333333E-2</v>
      </c>
      <c r="P383" s="188">
        <f>P385+510000000+261000000</f>
        <v>3928832107</v>
      </c>
      <c r="Q383" s="188">
        <f>P383*E383</f>
        <v>32216423277.399998</v>
      </c>
      <c r="R383" s="195">
        <f>Q383/L383</f>
        <v>0.68545581441276593</v>
      </c>
      <c r="S383" s="197">
        <f>(Q383+K383)/H383</f>
        <v>10.152052909675</v>
      </c>
      <c r="T383" s="180"/>
      <c r="U383" s="189">
        <f>IFERROR(IF(Tableau3[[#This Row],[Dettes]]=0,"",(Tableau3[[#This Row],[Dettes]]/Tableau3[[#This Row],[EBE]])),"")</f>
        <v>6.125</v>
      </c>
      <c r="V383" s="190" t="str">
        <f>IFERROR(Tableau3[[#This Row],[Fonds propres]]/Tableau3[[#This Row],[Total Bilan]],"")</f>
        <v/>
      </c>
      <c r="W383" s="180"/>
      <c r="X383" s="191" t="s">
        <v>318</v>
      </c>
      <c r="Y383" s="180"/>
      <c r="Z383" s="192" t="str">
        <f>IFERROR(Tableau3[[#This Row],[Chiffre d''affaires]]/Tableau3[[#This Row],[Salariés]],"")</f>
        <v/>
      </c>
      <c r="AA383" s="177"/>
      <c r="AC383" s="177" t="s">
        <v>319</v>
      </c>
    </row>
    <row r="384" spans="1:29" ht="20.25" customHeight="1">
      <c r="A384" s="217"/>
      <c r="E384" s="187"/>
      <c r="F384" s="214"/>
      <c r="G384" s="202">
        <f>(G383/G385)-1</f>
        <v>-0.11201619682456987</v>
      </c>
      <c r="H384" s="203">
        <f>(H383/H385)-1</f>
        <v>-0.55567897806164956</v>
      </c>
      <c r="I384" s="203">
        <f>(I383/I385)-1</f>
        <v>-1.9569377990430623</v>
      </c>
      <c r="J384" s="203">
        <f>(J383/J385)-1</f>
        <v>-2.1734793663211422</v>
      </c>
      <c r="K384" s="188"/>
      <c r="L384" s="178"/>
      <c r="M384" s="177"/>
      <c r="N384" s="178"/>
      <c r="O384" s="177"/>
      <c r="P384" s="188"/>
      <c r="Q384" s="188"/>
      <c r="R384" s="195"/>
      <c r="S384" s="197"/>
      <c r="T384" s="180"/>
      <c r="U384" s="189" t="str">
        <f>IFERROR(IF(Tableau3[[#This Row],[Dettes]]=0,"",(Tableau3[[#This Row],[Dettes]]/Tableau3[[#This Row],[EBE]])),"")</f>
        <v/>
      </c>
      <c r="V384" s="190" t="str">
        <f>IFERROR(Tableau3[[#This Row],[Fonds propres]]/Tableau3[[#This Row],[Total Bilan]],"")</f>
        <v/>
      </c>
      <c r="W384" s="180"/>
      <c r="X384" s="191" t="s">
        <v>321</v>
      </c>
      <c r="Y384" s="180"/>
      <c r="Z384" s="192" t="str">
        <f>IFERROR(Tableau3[[#This Row],[Chiffre d''affaires]]/Tableau3[[#This Row],[Salariés]],"")</f>
        <v/>
      </c>
      <c r="AA384" s="177"/>
      <c r="AC384" s="177" t="s">
        <v>322</v>
      </c>
    </row>
    <row r="385" spans="1:29" ht="20.25" customHeight="1">
      <c r="A385" s="217"/>
      <c r="E385" s="187">
        <v>10.33</v>
      </c>
      <c r="F385" s="178">
        <v>2021</v>
      </c>
      <c r="G385" s="188">
        <v>84461000000</v>
      </c>
      <c r="H385" s="188">
        <v>18005000000</v>
      </c>
      <c r="I385" s="188">
        <v>5225000000</v>
      </c>
      <c r="J385" s="188">
        <v>5113000000</v>
      </c>
      <c r="K385" s="188">
        <v>43000000000</v>
      </c>
      <c r="L385" s="188">
        <v>50211000000</v>
      </c>
      <c r="M385" s="194">
        <f>L385/P385</f>
        <v>15.900465350484195</v>
      </c>
      <c r="N385" s="190">
        <f>J385/L385</f>
        <v>0.10183027623429129</v>
      </c>
      <c r="O385" s="190">
        <f>(I385*0.64)/(K385+L385)</f>
        <v>3.5875594082243514E-2</v>
      </c>
      <c r="P385" s="188">
        <v>3157832107</v>
      </c>
      <c r="Q385" s="188">
        <f>P385*E385</f>
        <v>32620405665.310001</v>
      </c>
      <c r="R385" s="195">
        <f>Q385/L385</f>
        <v>0.64966652058931318</v>
      </c>
      <c r="S385" s="197">
        <f>(Q385+K385)/H385</f>
        <v>4.1999669905753958</v>
      </c>
      <c r="T385" s="180"/>
      <c r="U385" s="189">
        <f>IFERROR(IF(Tableau3[[#This Row],[Dettes]]=0,"",(Tableau3[[#This Row],[Dettes]]/Tableau3[[#This Row],[EBE]])),"")</f>
        <v>2.3882254929186337</v>
      </c>
      <c r="V385" s="190" t="str">
        <f>IFERROR(Tableau3[[#This Row],[Fonds propres]]/Tableau3[[#This Row],[Total Bilan]],"")</f>
        <v/>
      </c>
      <c r="W385" s="180"/>
      <c r="X385" s="191" t="s">
        <v>323</v>
      </c>
      <c r="Y385" s="180">
        <v>165200</v>
      </c>
      <c r="Z385" s="192">
        <f>IFERROR(Tableau3[[#This Row],[Chiffre d''affaires]]/Tableau3[[#This Row],[Salariés]],"")</f>
        <v>511265.13317191281</v>
      </c>
      <c r="AA385" s="197"/>
      <c r="AB385" s="197"/>
      <c r="AC385" s="177" t="s">
        <v>324</v>
      </c>
    </row>
    <row r="386" spans="1:29" ht="20.25" customHeight="1">
      <c r="A386" s="217"/>
      <c r="E386" s="187"/>
      <c r="F386" s="214"/>
      <c r="G386" s="202">
        <f>(G385/G387)-1</f>
        <v>0.22352276513450486</v>
      </c>
      <c r="H386" s="203">
        <f>(H385/H387)-1</f>
        <v>0.11320638061085697</v>
      </c>
      <c r="I386" s="203">
        <f>(I385/I387)-1</f>
        <v>0.34838709677419355</v>
      </c>
      <c r="J386" s="203">
        <f>(J385/J387)-1</f>
        <v>6.8661538461538463</v>
      </c>
      <c r="K386" s="188"/>
      <c r="L386" s="178"/>
      <c r="M386" s="177"/>
      <c r="N386" s="178"/>
      <c r="O386" s="177"/>
      <c r="P386" s="188"/>
      <c r="Q386" s="188"/>
      <c r="R386" s="195"/>
      <c r="S386" s="197"/>
      <c r="T386" s="180"/>
      <c r="U386" s="189" t="str">
        <f>IFERROR(IF(Tableau3[[#This Row],[Dettes]]=0,"",(Tableau3[[#This Row],[Dettes]]/Tableau3[[#This Row],[EBE]])),"")</f>
        <v/>
      </c>
      <c r="V386" s="190" t="str">
        <f>IFERROR(Tableau3[[#This Row],[Fonds propres]]/Tableau3[[#This Row],[Total Bilan]],"")</f>
        <v/>
      </c>
      <c r="W386" s="180"/>
      <c r="X386" s="191" t="s">
        <v>325</v>
      </c>
      <c r="Y386" s="180"/>
      <c r="Z386" s="192" t="str">
        <f>IFERROR(Tableau3[[#This Row],[Chiffre d''affaires]]/Tableau3[[#This Row],[Salariés]],"")</f>
        <v/>
      </c>
      <c r="AA386" s="197"/>
      <c r="AB386" s="197"/>
      <c r="AC386" s="177" t="s">
        <v>326</v>
      </c>
    </row>
    <row r="387" spans="1:29" ht="20.25" customHeight="1">
      <c r="A387" s="217"/>
      <c r="E387" s="187">
        <v>12.9</v>
      </c>
      <c r="F387" s="178">
        <v>2020</v>
      </c>
      <c r="G387" s="188">
        <v>69031000000</v>
      </c>
      <c r="H387" s="188">
        <v>16174000000</v>
      </c>
      <c r="I387" s="188">
        <v>3875000000</v>
      </c>
      <c r="J387" s="188">
        <v>650000000</v>
      </c>
      <c r="K387" s="188">
        <v>42290000000</v>
      </c>
      <c r="L387" s="188">
        <v>45633000000</v>
      </c>
      <c r="M387" s="194">
        <f>L387/P387</f>
        <v>14.956884398691159</v>
      </c>
      <c r="N387" s="190">
        <f>J387/L387</f>
        <v>1.4244077750750553E-2</v>
      </c>
      <c r="O387" s="190">
        <f>(I387*0.64)/(K387+L387)</f>
        <v>2.8206498868327969E-2</v>
      </c>
      <c r="P387" s="188">
        <v>3050969626</v>
      </c>
      <c r="Q387" s="188">
        <f>P387*E387</f>
        <v>39357508175.400002</v>
      </c>
      <c r="R387" s="195">
        <f>Q387/L387</f>
        <v>0.86247908696338182</v>
      </c>
      <c r="S387" s="197">
        <f>(Q387+K387)/H387</f>
        <v>5.0480714835785827</v>
      </c>
      <c r="T387" s="180"/>
      <c r="U387" s="189">
        <f>IFERROR(IF(Tableau3[[#This Row],[Dettes]]=0,"",(Tableau3[[#This Row],[Dettes]]/Tableau3[[#This Row],[EBE]])),"")</f>
        <v>2.6146902436008408</v>
      </c>
      <c r="V387" s="190" t="str">
        <f>IFERROR(Tableau3[[#This Row],[Fonds propres]]/Tableau3[[#This Row],[Total Bilan]],"")</f>
        <v/>
      </c>
      <c r="W387" s="180"/>
      <c r="Y387" s="180"/>
      <c r="Z387" s="192" t="str">
        <f>IFERROR(Tableau3[[#This Row],[Chiffre d''affaires]]/Tableau3[[#This Row],[Salariés]],"")</f>
        <v/>
      </c>
      <c r="AA387" s="197"/>
      <c r="AB387" s="197"/>
      <c r="AC387" s="177" t="s">
        <v>327</v>
      </c>
    </row>
    <row r="388" spans="1:29" ht="20.25" customHeight="1">
      <c r="A388" s="217"/>
      <c r="E388" s="187"/>
      <c r="F388" s="214"/>
      <c r="G388" s="202">
        <f>(G387/G389)-1</f>
        <v>-3.2461070542559645E-2</v>
      </c>
      <c r="H388" s="203">
        <f>(H387/H389)-1</f>
        <v>-3.2829037852060039E-2</v>
      </c>
      <c r="I388" s="203">
        <f>(I387/I389)-1</f>
        <v>-0.4265206452567708</v>
      </c>
      <c r="J388" s="203">
        <f>(J387/J389)-1</f>
        <v>-0.87390882638215328</v>
      </c>
      <c r="K388" s="188"/>
      <c r="L388" s="178"/>
      <c r="M388" s="177"/>
      <c r="N388" s="178"/>
      <c r="O388" s="177"/>
      <c r="P388" s="188"/>
      <c r="Q388" s="188"/>
      <c r="R388" s="195"/>
      <c r="S388" s="197"/>
      <c r="T388" s="180"/>
      <c r="U388" s="189" t="str">
        <f>IFERROR(IF(Tableau3[[#This Row],[Dettes]]=0,"",(Tableau3[[#This Row],[Dettes]]/Tableau3[[#This Row],[EBE]])),"")</f>
        <v/>
      </c>
      <c r="V388" s="190" t="str">
        <f>IFERROR(Tableau3[[#This Row],[Fonds propres]]/Tableau3[[#This Row],[Total Bilan]],"")</f>
        <v/>
      </c>
      <c r="W388" s="180"/>
      <c r="Y388" s="180"/>
      <c r="Z388" s="192" t="str">
        <f>IFERROR(Tableau3[[#This Row],[Chiffre d''affaires]]/Tableau3[[#This Row],[Salariés]],"")</f>
        <v/>
      </c>
      <c r="AA388" s="197"/>
      <c r="AB388" s="197"/>
      <c r="AC388" s="177" t="s">
        <v>328</v>
      </c>
    </row>
    <row r="389" spans="1:29" ht="20.25" customHeight="1">
      <c r="A389" s="217"/>
      <c r="E389" s="187">
        <v>11</v>
      </c>
      <c r="F389" s="178">
        <v>2019</v>
      </c>
      <c r="G389" s="188">
        <v>71347000000</v>
      </c>
      <c r="H389" s="188">
        <v>16723000000</v>
      </c>
      <c r="I389" s="188">
        <v>6757000000</v>
      </c>
      <c r="J389" s="188">
        <v>5155000000</v>
      </c>
      <c r="K389" s="188">
        <v>41100000000</v>
      </c>
      <c r="L389" s="188">
        <v>46466000000</v>
      </c>
      <c r="M389" s="194">
        <f>L389/P389</f>
        <v>15.229912354427352</v>
      </c>
      <c r="N389" s="190">
        <f>J389/L389</f>
        <v>0.11094133344811259</v>
      </c>
      <c r="O389" s="190">
        <f>(I389*0.64)/(K389+L389)</f>
        <v>4.9385377886394265E-2</v>
      </c>
      <c r="P389" s="188">
        <v>3050969626</v>
      </c>
      <c r="Q389" s="188">
        <f>P389*E389</f>
        <v>33560665886</v>
      </c>
      <c r="R389" s="195">
        <f>Q389/L389</f>
        <v>0.7222628564111393</v>
      </c>
      <c r="S389" s="197">
        <f>(Q389+K389)/H389</f>
        <v>4.4645497749207674</v>
      </c>
      <c r="T389" s="180"/>
      <c r="U389" s="189">
        <f>IFERROR(IF(Tableau3[[#This Row],[Dettes]]=0,"",(Tableau3[[#This Row],[Dettes]]/Tableau3[[#This Row],[EBE]])),"")</f>
        <v>2.4576929976678827</v>
      </c>
      <c r="V389" s="190" t="str">
        <f>IFERROR(Tableau3[[#This Row],[Fonds propres]]/Tableau3[[#This Row],[Total Bilan]],"")</f>
        <v/>
      </c>
      <c r="W389" s="180"/>
      <c r="X389" s="191"/>
      <c r="Y389" s="180"/>
      <c r="Z389" s="192" t="str">
        <f>IFERROR(Tableau3[[#This Row],[Chiffre d''affaires]]/Tableau3[[#This Row],[Salariés]],"")</f>
        <v/>
      </c>
      <c r="AA389" s="197"/>
      <c r="AB389" s="197"/>
      <c r="AC389" s="177" t="s">
        <v>329</v>
      </c>
    </row>
    <row r="390" spans="1:29" ht="20.25" customHeight="1">
      <c r="A390" s="217"/>
      <c r="E390" s="187"/>
      <c r="F390" s="214"/>
      <c r="G390" s="202">
        <f>(G389/G391)-1</f>
        <v>3.4374275110183206E-2</v>
      </c>
      <c r="H390" s="203">
        <f>(H389/H391)-1</f>
        <v>9.5512610547002996E-2</v>
      </c>
      <c r="I390" s="203">
        <f>(I389/I391)-1</f>
        <v>0.27925028398333973</v>
      </c>
      <c r="J390" s="203">
        <f>(J389/J391)-1</f>
        <v>3.3797790994052672</v>
      </c>
      <c r="K390" s="188"/>
      <c r="L390" s="178"/>
      <c r="M390" s="177"/>
      <c r="N390" s="178"/>
      <c r="O390" s="177"/>
      <c r="P390" s="188"/>
      <c r="Q390" s="188"/>
      <c r="R390" s="195"/>
      <c r="S390" s="197"/>
      <c r="T390" s="180"/>
      <c r="U390" s="189" t="str">
        <f>IFERROR(IF(Tableau3[[#This Row],[Dettes]]=0,"",(Tableau3[[#This Row],[Dettes]]/Tableau3[[#This Row],[EBE]])),"")</f>
        <v/>
      </c>
      <c r="V390" s="190" t="str">
        <f>IFERROR(Tableau3[[#This Row],[Fonds propres]]/Tableau3[[#This Row],[Total Bilan]],"")</f>
        <v/>
      </c>
      <c r="W390" s="180"/>
      <c r="X390" s="191"/>
      <c r="Y390" s="180"/>
      <c r="Z390" s="192" t="str">
        <f>IFERROR(Tableau3[[#This Row],[Chiffre d''affaires]]/Tableau3[[#This Row],[Salariés]],"")</f>
        <v/>
      </c>
      <c r="AA390" s="197"/>
      <c r="AB390" s="197"/>
      <c r="AC390" s="177" t="s">
        <v>330</v>
      </c>
    </row>
    <row r="391" spans="1:29" ht="20.25" customHeight="1">
      <c r="A391" s="217"/>
      <c r="E391" s="187">
        <v>15.3</v>
      </c>
      <c r="F391" s="178">
        <v>2018</v>
      </c>
      <c r="G391" s="188">
        <v>68976000000</v>
      </c>
      <c r="H391" s="188">
        <v>15265000000</v>
      </c>
      <c r="I391" s="188">
        <v>5282000000</v>
      </c>
      <c r="J391" s="188">
        <v>1177000000</v>
      </c>
      <c r="K391" s="188">
        <f>33400000000+10000000000</f>
        <v>43400000000</v>
      </c>
      <c r="L391" s="188">
        <v>44469000000</v>
      </c>
      <c r="M391" s="194">
        <f>L391/P391</f>
        <v>14.772440455889877</v>
      </c>
      <c r="N391" s="190">
        <f>J391/L391</f>
        <v>2.6467876498234726E-2</v>
      </c>
      <c r="O391" s="190">
        <f>(I391*0.64)/(K391+L391)</f>
        <v>3.8471815998816418E-2</v>
      </c>
      <c r="P391" s="188">
        <v>3010267676</v>
      </c>
      <c r="Q391" s="188">
        <f>P391*E391</f>
        <v>46057095442.800003</v>
      </c>
      <c r="R391" s="195">
        <f>Q391/L391</f>
        <v>1.035712416352965</v>
      </c>
      <c r="S391" s="197">
        <f>(Q391+K391)/H391</f>
        <v>5.860274840668195</v>
      </c>
      <c r="T391" s="180"/>
      <c r="U391" s="189">
        <f>IFERROR(IF(Tableau3[[#This Row],[Dettes]]=0,"",(Tableau3[[#This Row],[Dettes]]/Tableau3[[#This Row],[EBE]])),"")</f>
        <v>2.8431051424828038</v>
      </c>
      <c r="V391" s="190" t="str">
        <f>IFERROR(Tableau3[[#This Row],[Fonds propres]]/Tableau3[[#This Row],[Total Bilan]],"")</f>
        <v/>
      </c>
      <c r="W391" s="180"/>
      <c r="X391" s="191"/>
      <c r="Y391" s="180"/>
      <c r="Z391" s="192" t="str">
        <f>IFERROR(Tableau3[[#This Row],[Chiffre d''affaires]]/Tableau3[[#This Row],[Salariés]],"")</f>
        <v/>
      </c>
      <c r="AA391" s="197"/>
      <c r="AB391" s="197"/>
      <c r="AC391" s="177" t="s">
        <v>331</v>
      </c>
    </row>
    <row r="392" spans="1:29" ht="20.25" customHeight="1">
      <c r="A392" s="217"/>
      <c r="E392" s="187"/>
      <c r="F392" s="214"/>
      <c r="G392" s="202">
        <f>(G391/G393)-1</f>
        <v>-9.4209558823529216E-3</v>
      </c>
      <c r="H392" s="203">
        <f>(H391/H393)-1</f>
        <v>0.11082811817784899</v>
      </c>
      <c r="I392" s="203">
        <f>(I391/I393)-1</f>
        <v>-6.2976760688309374E-2</v>
      </c>
      <c r="J392" s="203">
        <f>(J391/J393)-1</f>
        <v>-0.62905767412543334</v>
      </c>
      <c r="K392" s="188"/>
      <c r="L392" s="178"/>
      <c r="M392" s="177"/>
      <c r="N392" s="178"/>
      <c r="O392" s="177"/>
      <c r="P392" s="188"/>
      <c r="Q392" s="188"/>
      <c r="R392" s="195"/>
      <c r="S392" s="197"/>
      <c r="T392" s="180"/>
      <c r="U392" s="189" t="str">
        <f>IFERROR(IF(Tableau3[[#This Row],[Dettes]]=0,"",(Tableau3[[#This Row],[Dettes]]/Tableau3[[#This Row],[EBE]])),"")</f>
        <v/>
      </c>
      <c r="V392" s="190" t="str">
        <f>IFERROR(Tableau3[[#This Row],[Fonds propres]]/Tableau3[[#This Row],[Total Bilan]],"")</f>
        <v/>
      </c>
      <c r="W392" s="180"/>
      <c r="X392" s="191"/>
      <c r="Y392" s="180"/>
      <c r="Z392" s="192" t="str">
        <f>IFERROR(Tableau3[[#This Row],[Chiffre d''affaires]]/Tableau3[[#This Row],[Salariés]],"")</f>
        <v/>
      </c>
      <c r="AA392" s="197"/>
      <c r="AB392" s="197"/>
      <c r="AC392" s="177" t="s">
        <v>332</v>
      </c>
    </row>
    <row r="393" spans="1:29" ht="20.25" customHeight="1">
      <c r="A393" s="217"/>
      <c r="E393" s="187">
        <v>11</v>
      </c>
      <c r="F393" s="178">
        <v>2017</v>
      </c>
      <c r="G393" s="188">
        <v>69632000000</v>
      </c>
      <c r="H393" s="188">
        <v>13742000000</v>
      </c>
      <c r="I393" s="188">
        <v>5637000000</v>
      </c>
      <c r="J393" s="188">
        <v>3173000000</v>
      </c>
      <c r="K393" s="188">
        <f>33000000000+10000000000</f>
        <v>43000000000</v>
      </c>
      <c r="L393" s="188">
        <v>41357000000</v>
      </c>
      <c r="M393" s="194">
        <f>L393/P393</f>
        <v>14.323493439101266</v>
      </c>
      <c r="N393" s="190">
        <f>J393/L393</f>
        <v>7.6722199385835535E-2</v>
      </c>
      <c r="O393" s="190">
        <f>(I393*0.64)/(K393+L393)</f>
        <v>4.2766812475550336E-2</v>
      </c>
      <c r="P393" s="188">
        <v>2887354274</v>
      </c>
      <c r="Q393" s="188">
        <f>P393*E393</f>
        <v>31760897014</v>
      </c>
      <c r="R393" s="195">
        <f>Q393/L393</f>
        <v>0.7679690744976666</v>
      </c>
      <c r="S393" s="197">
        <f>(Q393+K393)/H393</f>
        <v>5.4403214243923737</v>
      </c>
      <c r="T393" s="180"/>
      <c r="U393" s="189">
        <f>IFERROR(IF(Tableau3[[#This Row],[Dettes]]=0,"",(Tableau3[[#This Row],[Dettes]]/Tableau3[[#This Row],[EBE]])),"")</f>
        <v>3.1290932906418281</v>
      </c>
      <c r="V393" s="190" t="str">
        <f>IFERROR(Tableau3[[#This Row],[Fonds propres]]/Tableau3[[#This Row],[Total Bilan]],"")</f>
        <v/>
      </c>
      <c r="W393" s="180"/>
      <c r="X393" s="191"/>
      <c r="Y393" s="180"/>
      <c r="Z393" s="192" t="str">
        <f>IFERROR(Tableau3[[#This Row],[Chiffre d''affaires]]/Tableau3[[#This Row],[Salariés]],"")</f>
        <v/>
      </c>
      <c r="AA393" s="197"/>
      <c r="AB393" s="197"/>
      <c r="AC393" s="177" t="s">
        <v>333</v>
      </c>
    </row>
    <row r="394" spans="1:29" ht="20.25" customHeight="1">
      <c r="A394" s="217"/>
      <c r="E394" s="187"/>
      <c r="G394" s="202">
        <f>(G393/G395)-1</f>
        <v>-2.2063677092257317E-2</v>
      </c>
      <c r="H394" s="203">
        <f>(H393/H395)-1</f>
        <v>-0.16278786401852074</v>
      </c>
      <c r="I394" s="203">
        <f>(I393/I395)-1</f>
        <v>-0.24980037263774291</v>
      </c>
      <c r="J394" s="203">
        <f>(J393/J395)-1</f>
        <v>0.11294282707821823</v>
      </c>
      <c r="K394" s="188"/>
      <c r="L394" s="188"/>
      <c r="M394" s="188"/>
      <c r="N394" s="188"/>
      <c r="O394" s="188"/>
      <c r="P394" s="188"/>
      <c r="Q394" s="188"/>
      <c r="R394" s="195"/>
      <c r="S394" s="197"/>
      <c r="T394" s="180"/>
      <c r="U394" s="189" t="str">
        <f>IFERROR(IF(Tableau3[[#This Row],[Dettes]]=0,"",(Tableau3[[#This Row],[Dettes]]/Tableau3[[#This Row],[EBE]])),"")</f>
        <v/>
      </c>
      <c r="V394" s="190" t="str">
        <f>IFERROR(Tableau3[[#This Row],[Fonds propres]]/Tableau3[[#This Row],[Total Bilan]],"")</f>
        <v/>
      </c>
      <c r="W394" s="180"/>
      <c r="X394" s="191"/>
      <c r="Y394" s="180"/>
      <c r="Z394" s="192" t="str">
        <f>IFERROR(Tableau3[[#This Row],[Chiffre d''affaires]]/Tableau3[[#This Row],[Salariés]],"")</f>
        <v/>
      </c>
      <c r="AA394" s="197"/>
      <c r="AB394" s="197"/>
      <c r="AC394" s="177" t="s">
        <v>334</v>
      </c>
    </row>
    <row r="395" spans="1:29" ht="20.25" customHeight="1">
      <c r="A395" s="217"/>
      <c r="E395" s="187">
        <v>9.5</v>
      </c>
      <c r="F395" s="178">
        <v>2016</v>
      </c>
      <c r="G395" s="188">
        <v>71203000000</v>
      </c>
      <c r="H395" s="188">
        <v>16414000000</v>
      </c>
      <c r="I395" s="188">
        <v>7514000000</v>
      </c>
      <c r="J395" s="188">
        <v>2851000000</v>
      </c>
      <c r="K395" s="188">
        <f>10000000000+37245000000</f>
        <v>47245000000</v>
      </c>
      <c r="L395" s="188">
        <v>34438000000</v>
      </c>
      <c r="M395" s="194">
        <f>L395/P395</f>
        <v>16.328007699821509</v>
      </c>
      <c r="N395" s="190">
        <f>J395/L395</f>
        <v>8.2786456820953591E-2</v>
      </c>
      <c r="O395" s="190">
        <f>(I395*0.64)/(K395+L395)</f>
        <v>5.8873449799835949E-2</v>
      </c>
      <c r="P395" s="188">
        <v>2109136683</v>
      </c>
      <c r="Q395" s="188">
        <f>P395*E395</f>
        <v>20036798488.5</v>
      </c>
      <c r="R395" s="195">
        <f>Q395/L395</f>
        <v>0.58182236159184619</v>
      </c>
      <c r="S395" s="197">
        <f>(Q395+K395)/H395</f>
        <v>4.0990494997258438</v>
      </c>
      <c r="T395" s="180"/>
      <c r="U395" s="189">
        <f>IFERROR(IF(Tableau3[[#This Row],[Dettes]]=0,"",(Tableau3[[#This Row],[Dettes]]/Tableau3[[#This Row],[EBE]])),"")</f>
        <v>2.8783355671987327</v>
      </c>
      <c r="V395" s="190" t="str">
        <f>IFERROR(Tableau3[[#This Row],[Fonds propres]]/Tableau3[[#This Row],[Total Bilan]],"")</f>
        <v/>
      </c>
      <c r="W395" s="180"/>
      <c r="X395" s="191"/>
      <c r="Y395" s="180"/>
      <c r="Z395" s="192" t="str">
        <f>IFERROR(Tableau3[[#This Row],[Chiffre d''affaires]]/Tableau3[[#This Row],[Salariés]],"")</f>
        <v/>
      </c>
      <c r="AA395" s="197"/>
      <c r="AB395" s="197"/>
      <c r="AC395" s="177" t="s">
        <v>335</v>
      </c>
    </row>
    <row r="396" spans="1:29" ht="20.25" customHeight="1">
      <c r="A396" s="217"/>
      <c r="E396" s="187"/>
      <c r="G396" s="202">
        <f>(G395/G397)-1</f>
        <v>-5.0702610457830088E-2</v>
      </c>
      <c r="H396" s="203">
        <f>(H395/H397)-1</f>
        <v>-6.7439350036929691E-2</v>
      </c>
      <c r="I396" s="203">
        <f>(I395/I397)-1</f>
        <v>0.75560747663551409</v>
      </c>
      <c r="J396" s="203">
        <f>(J395/J397)-1</f>
        <v>1.4018534119629318</v>
      </c>
      <c r="K396" s="188"/>
      <c r="L396" s="188"/>
      <c r="M396" s="188"/>
      <c r="N396" s="188"/>
      <c r="O396" s="188"/>
      <c r="P396" s="188"/>
      <c r="Q396" s="188"/>
      <c r="R396" s="195"/>
      <c r="S396" s="197"/>
      <c r="T396" s="180"/>
      <c r="U396" s="189" t="str">
        <f>IFERROR(IF(Tableau3[[#This Row],[Dettes]]=0,"",(Tableau3[[#This Row],[Dettes]]/Tableau3[[#This Row],[EBE]])),"")</f>
        <v/>
      </c>
      <c r="V396" s="190" t="str">
        <f>IFERROR(Tableau3[[#This Row],[Fonds propres]]/Tableau3[[#This Row],[Total Bilan]],"")</f>
        <v/>
      </c>
      <c r="W396" s="180"/>
      <c r="Y396" s="180"/>
      <c r="Z396" s="192" t="str">
        <f>IFERROR(Tableau3[[#This Row],[Chiffre d''affaires]]/Tableau3[[#This Row],[Salariés]],"")</f>
        <v/>
      </c>
      <c r="AA396" s="177"/>
      <c r="AC396" s="177" t="s">
        <v>336</v>
      </c>
    </row>
    <row r="397" spans="1:29" ht="20.25" customHeight="1">
      <c r="A397" s="217"/>
      <c r="E397" s="187">
        <v>14</v>
      </c>
      <c r="F397" s="178">
        <v>2015</v>
      </c>
      <c r="G397" s="188">
        <v>75006000000</v>
      </c>
      <c r="H397" s="188">
        <v>17601000000</v>
      </c>
      <c r="I397" s="188">
        <v>4280000000</v>
      </c>
      <c r="J397" s="188">
        <v>1187000000</v>
      </c>
      <c r="K397" s="188">
        <f>10000000000+37395000000</f>
        <v>47395000000</v>
      </c>
      <c r="L397" s="188">
        <v>34749000000</v>
      </c>
      <c r="M397" s="194">
        <f>L397/P397</f>
        <v>18.097127088912611</v>
      </c>
      <c r="N397" s="190">
        <f>J397/L397</f>
        <v>3.4159256381478605E-2</v>
      </c>
      <c r="O397" s="190">
        <f>(I397*0.64)/(K397+L397)</f>
        <v>3.3346318659914297E-2</v>
      </c>
      <c r="P397" s="188">
        <v>1920139027</v>
      </c>
      <c r="Q397" s="188">
        <f>P397*E397</f>
        <v>26881946378</v>
      </c>
      <c r="R397" s="195">
        <f>Q397/L397</f>
        <v>0.77360345270367492</v>
      </c>
      <c r="S397" s="197">
        <f>(Q397+K397)/H397</f>
        <v>4.2200412691324356</v>
      </c>
      <c r="T397" s="180"/>
      <c r="U397" s="189">
        <f>IFERROR(IF(Tableau3[[#This Row],[Dettes]]=0,"",(Tableau3[[#This Row],[Dettes]]/Tableau3[[#This Row],[EBE]])),"")</f>
        <v>2.6927447304130445</v>
      </c>
      <c r="V397" s="190" t="str">
        <f>IFERROR(Tableau3[[#This Row],[Fonds propres]]/Tableau3[[#This Row],[Total Bilan]],"")</f>
        <v/>
      </c>
      <c r="W397" s="180"/>
      <c r="Y397" s="180"/>
      <c r="Z397" s="192" t="str">
        <f>IFERROR(Tableau3[[#This Row],[Chiffre d''affaires]]/Tableau3[[#This Row],[Salariés]],"")</f>
        <v/>
      </c>
      <c r="AA397" s="177"/>
      <c r="AC397" s="177" t="s">
        <v>337</v>
      </c>
    </row>
    <row r="398" spans="1:29" ht="20.25" customHeight="1">
      <c r="A398" s="217"/>
      <c r="E398" s="187"/>
      <c r="G398" s="188"/>
      <c r="H398" s="188"/>
      <c r="I398" s="188"/>
      <c r="J398" s="188"/>
      <c r="K398" s="188"/>
      <c r="L398" s="188"/>
      <c r="M398" s="194"/>
      <c r="N398" s="190"/>
      <c r="O398" s="190"/>
      <c r="P398" s="188"/>
      <c r="Q398" s="188"/>
      <c r="R398" s="195"/>
      <c r="S398" s="197"/>
      <c r="T398" s="180"/>
      <c r="U398" s="189" t="str">
        <f>IFERROR(IF(Tableau3[[#This Row],[Dettes]]=0,"",(Tableau3[[#This Row],[Dettes]]/Tableau3[[#This Row],[EBE]])),"")</f>
        <v/>
      </c>
      <c r="V398" s="190" t="str">
        <f>IFERROR(Tableau3[[#This Row],[Fonds propres]]/Tableau3[[#This Row],[Total Bilan]],"")</f>
        <v/>
      </c>
      <c r="W398" s="180"/>
      <c r="X398" s="191"/>
      <c r="Y398" s="180"/>
      <c r="Z398" s="192" t="str">
        <f>IFERROR(Tableau3[[#This Row],[Chiffre d''affaires]]/Tableau3[[#This Row],[Salariés]],"")</f>
        <v/>
      </c>
      <c r="AA398" s="197"/>
      <c r="AB398" s="197"/>
      <c r="AC398" s="177" t="s">
        <v>238</v>
      </c>
    </row>
    <row r="399" spans="1:29" ht="20.25" customHeight="1">
      <c r="A399" s="217"/>
      <c r="E399" s="187"/>
      <c r="G399" s="188"/>
      <c r="H399" s="188"/>
      <c r="I399" s="188"/>
      <c r="J399" s="188"/>
      <c r="K399" s="188"/>
      <c r="L399" s="188"/>
      <c r="M399" s="194"/>
      <c r="N399" s="190"/>
      <c r="O399" s="190"/>
      <c r="P399" s="188"/>
      <c r="Q399" s="188"/>
      <c r="R399" s="195"/>
      <c r="S399" s="197"/>
      <c r="T399" s="180"/>
      <c r="U399" s="189" t="str">
        <f>IFERROR(IF(Tableau3[[#This Row],[Dettes]]=0,"",(Tableau3[[#This Row],[Dettes]]/Tableau3[[#This Row],[EBE]])),"")</f>
        <v/>
      </c>
      <c r="V399" s="190" t="str">
        <f>IFERROR(Tableau3[[#This Row],[Fonds propres]]/Tableau3[[#This Row],[Total Bilan]],"")</f>
        <v/>
      </c>
      <c r="W399" s="180"/>
      <c r="X399" s="191"/>
      <c r="Y399" s="180"/>
      <c r="Z399" s="192" t="str">
        <f>IFERROR(Tableau3[[#This Row],[Chiffre d''affaires]]/Tableau3[[#This Row],[Salariés]],"")</f>
        <v/>
      </c>
      <c r="AA399" s="197"/>
      <c r="AB399" s="197"/>
      <c r="AC399" s="177" t="s">
        <v>338</v>
      </c>
    </row>
    <row r="400" spans="1:29" ht="20.25" customHeight="1">
      <c r="A400" s="217"/>
      <c r="E400" s="187"/>
      <c r="G400" s="188"/>
      <c r="H400" s="188"/>
      <c r="I400" s="188"/>
      <c r="J400" s="188"/>
      <c r="K400" s="188"/>
      <c r="L400" s="188"/>
      <c r="M400" s="194"/>
      <c r="N400" s="190"/>
      <c r="O400" s="190"/>
      <c r="P400" s="188"/>
      <c r="Q400" s="188"/>
      <c r="R400" s="195"/>
      <c r="S400" s="197"/>
      <c r="T400" s="180"/>
      <c r="U400" s="189" t="str">
        <f>IFERROR(IF(Tableau3[[#This Row],[Dettes]]=0,"",(Tableau3[[#This Row],[Dettes]]/Tableau3[[#This Row],[EBE]])),"")</f>
        <v/>
      </c>
      <c r="V400" s="190" t="str">
        <f>IFERROR(Tableau3[[#This Row],[Fonds propres]]/Tableau3[[#This Row],[Total Bilan]],"")</f>
        <v/>
      </c>
      <c r="W400" s="180"/>
      <c r="X400" s="191"/>
      <c r="Y400" s="180"/>
      <c r="Z400" s="192" t="str">
        <f>IFERROR(Tableau3[[#This Row],[Chiffre d''affaires]]/Tableau3[[#This Row],[Salariés]],"")</f>
        <v/>
      </c>
      <c r="AA400" s="197"/>
      <c r="AB400" s="197"/>
    </row>
    <row r="401" spans="1:29" ht="20.25" customHeight="1">
      <c r="A401" s="217"/>
      <c r="E401" s="187"/>
      <c r="G401" s="188"/>
      <c r="H401" s="188"/>
      <c r="I401" s="188"/>
      <c r="J401" s="188"/>
      <c r="K401" s="188"/>
      <c r="L401" s="188"/>
      <c r="M401" s="194"/>
      <c r="N401" s="190"/>
      <c r="O401" s="190"/>
      <c r="P401" s="188"/>
      <c r="Q401" s="188"/>
      <c r="R401" s="195"/>
      <c r="S401" s="197"/>
      <c r="T401" s="180"/>
      <c r="U401" s="189" t="str">
        <f>IFERROR(IF(Tableau3[[#This Row],[Dettes]]=0,"",(Tableau3[[#This Row],[Dettes]]/Tableau3[[#This Row],[EBE]])),"")</f>
        <v/>
      </c>
      <c r="V401" s="190" t="str">
        <f>IFERROR(Tableau3[[#This Row],[Fonds propres]]/Tableau3[[#This Row],[Total Bilan]],"")</f>
        <v/>
      </c>
      <c r="W401" s="180"/>
      <c r="X401" s="191"/>
      <c r="Y401" s="180"/>
      <c r="Z401" s="192" t="str">
        <f>IFERROR(Tableau3[[#This Row],[Chiffre d''affaires]]/Tableau3[[#This Row],[Salariés]],"")</f>
        <v/>
      </c>
      <c r="AA401" s="197"/>
      <c r="AB401" s="197"/>
    </row>
    <row r="402" spans="1:29" ht="20.25" customHeight="1">
      <c r="A402" s="217"/>
      <c r="E402" s="187"/>
      <c r="G402" s="188"/>
      <c r="H402" s="188"/>
      <c r="I402" s="188"/>
      <c r="J402" s="188"/>
      <c r="K402" s="188"/>
      <c r="L402" s="188"/>
      <c r="M402" s="194"/>
      <c r="N402" s="190"/>
      <c r="O402" s="190"/>
      <c r="P402" s="188"/>
      <c r="Q402" s="188"/>
      <c r="R402" s="195"/>
      <c r="S402" s="197"/>
      <c r="T402" s="180"/>
      <c r="U402" s="189" t="str">
        <f>IFERROR(IF(Tableau3[[#This Row],[Dettes]]=0,"",(Tableau3[[#This Row],[Dettes]]/Tableau3[[#This Row],[EBE]])),"")</f>
        <v/>
      </c>
      <c r="V402" s="190" t="str">
        <f>IFERROR(Tableau3[[#This Row],[Fonds propres]]/Tableau3[[#This Row],[Total Bilan]],"")</f>
        <v/>
      </c>
      <c r="W402" s="180"/>
      <c r="X402" s="191"/>
      <c r="Y402" s="180"/>
      <c r="Z402" s="192" t="str">
        <f>IFERROR(Tableau3[[#This Row],[Chiffre d''affaires]]/Tableau3[[#This Row],[Salariés]],"")</f>
        <v/>
      </c>
      <c r="AA402" s="197"/>
      <c r="AB402" s="197"/>
    </row>
    <row r="403" spans="1:29" ht="20.25" customHeight="1">
      <c r="A403" s="217" t="s">
        <v>339</v>
      </c>
      <c r="B403" s="216" t="s">
        <v>340</v>
      </c>
      <c r="C403" s="178" t="s">
        <v>84</v>
      </c>
      <c r="D403" s="178" t="s">
        <v>85</v>
      </c>
      <c r="E403" s="187"/>
      <c r="F403" s="178">
        <v>2025</v>
      </c>
      <c r="G403" s="188"/>
      <c r="H403" s="188"/>
      <c r="I403" s="188"/>
      <c r="J403" s="188"/>
      <c r="K403" s="188"/>
      <c r="L403" s="188"/>
      <c r="M403" s="194"/>
      <c r="N403" s="190"/>
      <c r="O403" s="190"/>
      <c r="P403" s="188"/>
      <c r="Q403" s="188"/>
      <c r="R403" s="195"/>
      <c r="S403" s="197"/>
      <c r="T403" s="180"/>
      <c r="U403" s="189" t="str">
        <f>IFERROR(IF(Tableau3[[#This Row],[Dettes]]=0,"",(Tableau3[[#This Row],[Dettes]]/Tableau3[[#This Row],[EBE]])),"")</f>
        <v/>
      </c>
      <c r="V403" s="190" t="str">
        <f>IFERROR(Tableau3[[#This Row],[Fonds propres]]/Tableau3[[#This Row],[Total Bilan]],"")</f>
        <v/>
      </c>
      <c r="W403" s="180"/>
      <c r="X403" s="191" t="s">
        <v>341</v>
      </c>
      <c r="Y403" s="180"/>
      <c r="Z403" s="192" t="str">
        <f>IFERROR(Tableau3[[#This Row],[Chiffre d''affaires]]/Tableau3[[#This Row],[Salariés]],"")</f>
        <v/>
      </c>
      <c r="AA403" s="197"/>
      <c r="AB403" s="197"/>
      <c r="AC403" s="177" t="s">
        <v>342</v>
      </c>
    </row>
    <row r="404" spans="1:29" ht="20.25" customHeight="1">
      <c r="A404" s="217"/>
      <c r="E404" s="187"/>
      <c r="G404" s="188"/>
      <c r="H404" s="188"/>
      <c r="I404" s="188"/>
      <c r="J404" s="188"/>
      <c r="K404" s="188"/>
      <c r="L404" s="188"/>
      <c r="M404" s="194"/>
      <c r="N404" s="190"/>
      <c r="O404" s="190"/>
      <c r="P404" s="188"/>
      <c r="Q404" s="188"/>
      <c r="R404" s="195"/>
      <c r="S404" s="197"/>
      <c r="T404" s="180"/>
      <c r="U404" s="189" t="str">
        <f>IFERROR(IF(Tableau3[[#This Row],[Dettes]]=0,"",(Tableau3[[#This Row],[Dettes]]/Tableau3[[#This Row],[EBE]])),"")</f>
        <v/>
      </c>
      <c r="V404" s="190" t="str">
        <f>IFERROR(Tableau3[[#This Row],[Fonds propres]]/Tableau3[[#This Row],[Total Bilan]],"")</f>
        <v/>
      </c>
      <c r="W404" s="180"/>
      <c r="X404" s="191"/>
      <c r="Y404" s="180"/>
      <c r="Z404" s="192" t="str">
        <f>IFERROR(Tableau3[[#This Row],[Chiffre d''affaires]]/Tableau3[[#This Row],[Salariés]],"")</f>
        <v/>
      </c>
      <c r="AA404" s="197"/>
      <c r="AB404" s="197"/>
      <c r="AC404" s="177" t="s">
        <v>5175</v>
      </c>
    </row>
    <row r="405" spans="1:29" ht="20.25" customHeight="1">
      <c r="A405" s="217"/>
      <c r="E405" s="187">
        <v>27.1</v>
      </c>
      <c r="F405" s="178">
        <v>2024</v>
      </c>
      <c r="G405" s="188">
        <v>44692000000</v>
      </c>
      <c r="H405" s="188">
        <v>6788000000</v>
      </c>
      <c r="I405" s="188">
        <v>3547000000</v>
      </c>
      <c r="J405" s="188">
        <v>1098000000</v>
      </c>
      <c r="K405" s="188">
        <v>17819000000</v>
      </c>
      <c r="L405" s="188">
        <v>12915000000</v>
      </c>
      <c r="M405" s="194">
        <f>L405/P405</f>
        <v>17.78561788807847</v>
      </c>
      <c r="N405" s="190">
        <f>J405/L407</f>
        <v>8.9188530582405973E-2</v>
      </c>
      <c r="O405" s="190">
        <f>(I405*0.78)/(K407+L407)</f>
        <v>9.1568809161315948E-2</v>
      </c>
      <c r="P405" s="188">
        <v>726148514</v>
      </c>
      <c r="Q405" s="188">
        <f>E405*P405</f>
        <v>19678624729.400002</v>
      </c>
      <c r="R405" s="195">
        <f>Q405/L405</f>
        <v>1.5237030375067753</v>
      </c>
      <c r="S405" s="197">
        <f>(Q405+K405)/H405</f>
        <v>5.5241049984384212</v>
      </c>
      <c r="T405" s="180">
        <v>1156000000</v>
      </c>
      <c r="U405" s="189">
        <f>IFERROR(IF(Tableau3[[#This Row],[Dettes]]=0,"",(Tableau3[[#This Row],[Dettes]]/Tableau3[[#This Row],[EBE]])),"")</f>
        <v>2.6250736593989394</v>
      </c>
      <c r="V405" s="190">
        <f>IFERROR(Tableau3[[#This Row],[Fonds propres]]/Tableau3[[#This Row],[Total Bilan]],"")</f>
        <v>0.17701722885456214</v>
      </c>
      <c r="W405" s="180">
        <v>72959000000</v>
      </c>
      <c r="Y405" s="180">
        <v>218000</v>
      </c>
      <c r="Z405" s="192">
        <f>IFERROR(Tableau3[[#This Row],[Chiffre d''affaires]]/Tableau3[[#This Row],[Salariés]],"")</f>
        <v>205009.17431192662</v>
      </c>
      <c r="AA405" s="197"/>
      <c r="AB405" s="197"/>
      <c r="AC405" s="177" t="s">
        <v>344</v>
      </c>
    </row>
    <row r="406" spans="1:29" ht="20.25" customHeight="1">
      <c r="A406" s="217"/>
      <c r="E406" s="187"/>
      <c r="G406" s="202">
        <f>(G405/G407)-1</f>
        <v>-1.4531101850014383E-2</v>
      </c>
      <c r="H406" s="203">
        <f>(H405/H407)-1</f>
        <v>3.7444597279535419E-2</v>
      </c>
      <c r="I406" s="203">
        <f>(I405/I407)-1</f>
        <v>6.0071727435744071E-2</v>
      </c>
      <c r="J406" s="203">
        <f>(J405/J407)-1</f>
        <v>0.17182497331910351</v>
      </c>
      <c r="K406" s="188"/>
      <c r="L406" s="188"/>
      <c r="M406" s="194"/>
      <c r="N406" s="190"/>
      <c r="O406" s="190"/>
      <c r="P406" s="188"/>
      <c r="Q406" s="188"/>
      <c r="R406" s="195"/>
      <c r="S406" s="197"/>
      <c r="T406" s="180"/>
      <c r="U406" s="189" t="str">
        <f>IFERROR(IF(Tableau3[[#This Row],[Dettes]]=0,"",(Tableau3[[#This Row],[Dettes]]/Tableau3[[#This Row],[EBE]])),"")</f>
        <v/>
      </c>
      <c r="V406" s="190" t="str">
        <f>IFERROR(Tableau3[[#This Row],[Fonds propres]]/Tableau3[[#This Row],[Total Bilan]],"")</f>
        <v/>
      </c>
      <c r="W406" s="180"/>
      <c r="X406" s="191"/>
      <c r="Y406" s="180"/>
      <c r="Z406" s="192" t="str">
        <f>IFERROR(Tableau3[[#This Row],[Chiffre d''affaires]]/Tableau3[[#This Row],[Salariés]],"")</f>
        <v/>
      </c>
      <c r="AA406" s="197"/>
      <c r="AB406" s="197"/>
      <c r="AC406" s="177" t="s">
        <v>345</v>
      </c>
    </row>
    <row r="407" spans="1:29" ht="20.25" customHeight="1">
      <c r="A407" s="217"/>
      <c r="E407" s="187">
        <v>28.56</v>
      </c>
      <c r="F407" s="178">
        <v>2023</v>
      </c>
      <c r="G407" s="188">
        <v>45351000000</v>
      </c>
      <c r="H407" s="188">
        <v>6543000000</v>
      </c>
      <c r="I407" s="188">
        <v>3346000000</v>
      </c>
      <c r="J407" s="188">
        <v>937000000</v>
      </c>
      <c r="K407" s="188">
        <v>17903000000</v>
      </c>
      <c r="L407" s="188">
        <v>12311000000</v>
      </c>
      <c r="M407" s="194">
        <f>L407/P407</f>
        <v>16.971053210259438</v>
      </c>
      <c r="N407" s="190">
        <f>J407/L409</f>
        <v>7.8083333333333338E-2</v>
      </c>
      <c r="O407" s="190">
        <f>(I407*0.78)/(K409+L409)</f>
        <v>8.659765080629106E-2</v>
      </c>
      <c r="P407" s="188">
        <v>725411667</v>
      </c>
      <c r="Q407" s="188">
        <f>E407*P407</f>
        <v>20717757209.52</v>
      </c>
      <c r="R407" s="195">
        <f>Q407/L407</f>
        <v>1.6828655031695232</v>
      </c>
      <c r="S407" s="197">
        <f>(Q407+K407)/H407</f>
        <v>5.9026069401681189</v>
      </c>
      <c r="T407" s="180">
        <v>1143000000</v>
      </c>
      <c r="U407" s="189">
        <f>IFERROR(IF(Tableau3[[#This Row],[Dettes]]=0,"",(Tableau3[[#This Row],[Dettes]]/Tableau3[[#This Row],[EBE]])),"")</f>
        <v>2.7362066330429466</v>
      </c>
      <c r="V407" s="190">
        <f>IFERROR(Tableau3[[#This Row],[Fonds propres]]/Tableau3[[#This Row],[Total Bilan]],"")</f>
        <v>0.16965245431744894</v>
      </c>
      <c r="W407" s="180">
        <v>72566000000</v>
      </c>
      <c r="X407" s="191"/>
      <c r="Y407" s="180">
        <v>213684</v>
      </c>
      <c r="Z407" s="192">
        <f>IFERROR(Tableau3[[#This Row],[Chiffre d''affaires]]/Tableau3[[#This Row],[Salariés]],"")</f>
        <v>212233.95293985511</v>
      </c>
      <c r="AA407" s="197"/>
      <c r="AB407" s="197"/>
      <c r="AC407" s="6" t="s">
        <v>457</v>
      </c>
    </row>
    <row r="408" spans="1:29" ht="20.25" customHeight="1">
      <c r="A408" s="217"/>
      <c r="E408" s="187"/>
      <c r="G408" s="202">
        <f>(G407/G409)-1</f>
        <v>5.7502623294858335E-2</v>
      </c>
      <c r="H408" s="203">
        <f>(H407/H409)-1</f>
        <v>5.6003873466752729E-2</v>
      </c>
      <c r="I408" s="203">
        <f>(I407/I409)-1</f>
        <v>9.2749836708033939E-2</v>
      </c>
      <c r="J408" s="203">
        <f>(J407/J409)-1</f>
        <v>-0.19363166953528399</v>
      </c>
      <c r="K408" s="188"/>
      <c r="L408" s="188"/>
      <c r="M408" s="194"/>
      <c r="N408" s="190"/>
      <c r="O408" s="190"/>
      <c r="P408" s="188"/>
      <c r="Q408" s="188"/>
      <c r="R408" s="195"/>
      <c r="S408" s="197"/>
      <c r="T408" s="180"/>
      <c r="U408" s="189" t="str">
        <f>IFERROR(IF(Tableau3[[#This Row],[Dettes]]=0,"",(Tableau3[[#This Row],[Dettes]]/Tableau3[[#This Row],[EBE]])),"")</f>
        <v/>
      </c>
      <c r="V408" s="190" t="str">
        <f>IFERROR(Tableau3[[#This Row],[Fonds propres]]/Tableau3[[#This Row],[Total Bilan]],"")</f>
        <v/>
      </c>
      <c r="W408" s="180"/>
      <c r="X408" s="191"/>
      <c r="Y408" s="180"/>
      <c r="Z408" s="192" t="str">
        <f>IFERROR(Tableau3[[#This Row],[Chiffre d''affaires]]/Tableau3[[#This Row],[Salariés]],"")</f>
        <v/>
      </c>
      <c r="AA408" s="197"/>
      <c r="AB408" s="197"/>
      <c r="AC408" s="177" t="s">
        <v>4610</v>
      </c>
    </row>
    <row r="409" spans="1:29" ht="20.25" customHeight="1">
      <c r="A409" s="217"/>
      <c r="E409" s="187">
        <v>24</v>
      </c>
      <c r="F409" s="178">
        <v>2022</v>
      </c>
      <c r="G409" s="188">
        <v>42885000000</v>
      </c>
      <c r="H409" s="188">
        <v>6196000000</v>
      </c>
      <c r="I409" s="188">
        <v>3062000000</v>
      </c>
      <c r="J409" s="188">
        <v>1162000000</v>
      </c>
      <c r="K409" s="188">
        <v>18138000000</v>
      </c>
      <c r="L409" s="188">
        <v>12000000000</v>
      </c>
      <c r="M409" s="194">
        <f>L409/P409</f>
        <v>16.793213630625516</v>
      </c>
      <c r="N409" s="190">
        <f>J409/L411</f>
        <v>0.10093990514081204</v>
      </c>
      <c r="O409" s="190">
        <f>(I409*0.78)/(K411+L411)</f>
        <v>0.11349471103127762</v>
      </c>
      <c r="P409" s="188">
        <v>714574367</v>
      </c>
      <c r="Q409" s="188">
        <f>E409*P409</f>
        <v>17149784808</v>
      </c>
      <c r="R409" s="195">
        <f>Q409/L409</f>
        <v>1.429148734</v>
      </c>
      <c r="S409" s="197">
        <f>(Q409+K409)/H409</f>
        <v>5.6952525513234349</v>
      </c>
      <c r="T409" s="180">
        <v>1032000000</v>
      </c>
      <c r="U409" s="189">
        <f>IFERROR(IF(Tableau3[[#This Row],[Dettes]]=0,"",(Tableau3[[#This Row],[Dettes]]/Tableau3[[#This Row],[EBE]])),"")</f>
        <v>2.9273724983860556</v>
      </c>
      <c r="V409" s="190">
        <f>IFERROR(Tableau3[[#This Row],[Fonds propres]]/Tableau3[[#This Row],[Total Bilan]],"")</f>
        <v>0.16370184437411328</v>
      </c>
      <c r="W409" s="180">
        <v>73304000000</v>
      </c>
      <c r="X409" s="191"/>
      <c r="Y409" s="180">
        <v>213684</v>
      </c>
      <c r="Z409" s="192">
        <f>IFERROR(Tableau3[[#This Row],[Chiffre d''affaires]]/Tableau3[[#This Row],[Salariés]],"")</f>
        <v>200693.54748132758</v>
      </c>
      <c r="AA409" s="197"/>
      <c r="AB409" s="197"/>
      <c r="AC409" s="10" t="s">
        <v>4943</v>
      </c>
    </row>
    <row r="410" spans="1:29" ht="20.25" customHeight="1">
      <c r="A410" s="217"/>
      <c r="E410" s="187"/>
      <c r="G410" s="202">
        <f>(G409/G411)-1</f>
        <v>0.50430930156692311</v>
      </c>
      <c r="H410" s="203">
        <f>(H409/H411)-1</f>
        <v>0.46346072086541645</v>
      </c>
      <c r="I410" s="203">
        <f>(I409/I411)-1</f>
        <v>0.7341564252137962</v>
      </c>
      <c r="J410" s="203">
        <f>(J409/J411)-1</f>
        <v>1.8741033885728418</v>
      </c>
      <c r="K410" s="188"/>
      <c r="L410" s="188"/>
      <c r="M410" s="194"/>
      <c r="N410" s="190"/>
      <c r="O410" s="190"/>
      <c r="P410" s="188"/>
      <c r="Q410" s="188"/>
      <c r="R410" s="195"/>
      <c r="S410" s="197"/>
      <c r="T410" s="180"/>
      <c r="U410" s="189" t="str">
        <f>IFERROR(IF(Tableau3[[#This Row],[Dettes]]=0,"",(Tableau3[[#This Row],[Dettes]]/Tableau3[[#This Row],[EBE]])),"")</f>
        <v/>
      </c>
      <c r="V410" s="190" t="str">
        <f>IFERROR(Tableau3[[#This Row],[Fonds propres]]/Tableau3[[#This Row],[Total Bilan]],"")</f>
        <v/>
      </c>
      <c r="W410" s="180"/>
      <c r="X410" s="191"/>
      <c r="Y410" s="180"/>
      <c r="Z410" s="192" t="str">
        <f>IFERROR(Tableau3[[#This Row],[Chiffre d''affaires]]/Tableau3[[#This Row],[Salariés]],"")</f>
        <v/>
      </c>
      <c r="AA410" s="197"/>
      <c r="AB410" s="197"/>
      <c r="AC410" s="10" t="s">
        <v>4942</v>
      </c>
    </row>
    <row r="411" spans="1:29" ht="20.25" customHeight="1">
      <c r="A411" s="217"/>
      <c r="E411" s="187">
        <v>32.26</v>
      </c>
      <c r="F411" s="178">
        <v>2021</v>
      </c>
      <c r="G411" s="188">
        <v>28508100000</v>
      </c>
      <c r="H411" s="188">
        <v>4233800000</v>
      </c>
      <c r="I411" s="188">
        <v>1765700000</v>
      </c>
      <c r="J411" s="188">
        <v>404300000</v>
      </c>
      <c r="K411" s="188">
        <v>9532000000</v>
      </c>
      <c r="L411" s="188">
        <v>11511800000</v>
      </c>
      <c r="M411" s="194">
        <f>L411/P411</f>
        <v>16.451885560467957</v>
      </c>
      <c r="N411" s="190">
        <f>J411/L413</f>
        <v>5.5847169654943782E-2</v>
      </c>
      <c r="O411" s="190">
        <f>(I411*0.78)/(K413+L413)</f>
        <v>6.73259224496979E-2</v>
      </c>
      <c r="P411" s="188">
        <v>699725266</v>
      </c>
      <c r="Q411" s="188">
        <f>E411*P411</f>
        <v>22573137081.16</v>
      </c>
      <c r="R411" s="195">
        <f>Q411/L411</f>
        <v>1.9608694627391026</v>
      </c>
      <c r="S411" s="197">
        <f>(Q411+K411)/H411</f>
        <v>7.583054721800746</v>
      </c>
      <c r="T411" s="180">
        <v>1341000000</v>
      </c>
      <c r="U411" s="189">
        <f>IFERROR(IF(Tableau3[[#This Row],[Dettes]]=0,"",(Tableau3[[#This Row],[Dettes]]/Tableau3[[#This Row],[EBE]])),"")</f>
        <v>2.2514053568897916</v>
      </c>
      <c r="V411" s="190" t="str">
        <f>IFERROR(Tableau3[[#This Row],[Fonds propres]]/Tableau3[[#This Row],[Total Bilan]],"")</f>
        <v/>
      </c>
      <c r="W411" s="180"/>
      <c r="X411" s="191"/>
      <c r="Y411" s="180">
        <v>176488</v>
      </c>
      <c r="Z411" s="192">
        <f>IFERROR(Tableau3[[#This Row],[Chiffre d''affaires]]/Tableau3[[#This Row],[Salariés]],"")</f>
        <v>161529.96237704548</v>
      </c>
      <c r="AA411" s="197"/>
      <c r="AB411" s="197"/>
      <c r="AC411" s="177" t="s">
        <v>346</v>
      </c>
    </row>
    <row r="412" spans="1:29" ht="20.25" customHeight="1">
      <c r="A412" s="217"/>
      <c r="E412" s="187"/>
      <c r="F412" s="214"/>
      <c r="G412" s="202">
        <f>(G411/G413)-1</f>
        <v>9.6048043245072101E-2</v>
      </c>
      <c r="H412" s="203">
        <f>(H411/H413)-1</f>
        <v>0.16287629092507139</v>
      </c>
      <c r="I412" s="203">
        <f>(I411/I413)-1</f>
        <v>0.38453697169293499</v>
      </c>
      <c r="J412" s="203">
        <f>(J411/J413)-1</f>
        <v>3.5529279279279278</v>
      </c>
      <c r="K412" s="188"/>
      <c r="L412" s="178"/>
      <c r="M412" s="177"/>
      <c r="N412" s="178"/>
      <c r="O412" s="177"/>
      <c r="P412" s="188"/>
      <c r="Q412" s="188"/>
      <c r="R412" s="195"/>
      <c r="S412" s="197"/>
      <c r="T412" s="180"/>
      <c r="U412" s="189" t="str">
        <f>IFERROR(IF(Tableau3[[#This Row],[Dettes]]=0,"",(Tableau3[[#This Row],[Dettes]]/Tableau3[[#This Row],[EBE]])),"")</f>
        <v/>
      </c>
      <c r="V412" s="190" t="str">
        <f>IFERROR(Tableau3[[#This Row],[Fonds propres]]/Tableau3[[#This Row],[Total Bilan]],"")</f>
        <v/>
      </c>
      <c r="W412" s="180"/>
      <c r="X412" s="191"/>
      <c r="Y412" s="180"/>
      <c r="Z412" s="192" t="str">
        <f>IFERROR(Tableau3[[#This Row],[Chiffre d''affaires]]/Tableau3[[#This Row],[Salariés]],"")</f>
        <v/>
      </c>
      <c r="AA412" s="197"/>
      <c r="AB412" s="197"/>
      <c r="AC412" s="177" t="s">
        <v>347</v>
      </c>
    </row>
    <row r="413" spans="1:29" ht="20.25" customHeight="1">
      <c r="A413" s="217"/>
      <c r="E413" s="187">
        <v>20.010000000000002</v>
      </c>
      <c r="F413" s="178">
        <v>2020</v>
      </c>
      <c r="G413" s="188">
        <v>26009900000</v>
      </c>
      <c r="H413" s="188">
        <v>3640800000</v>
      </c>
      <c r="I413" s="188">
        <v>1275300000</v>
      </c>
      <c r="J413" s="188">
        <v>88800000</v>
      </c>
      <c r="K413" s="188">
        <v>13217000000</v>
      </c>
      <c r="L413" s="188">
        <v>7239400000</v>
      </c>
      <c r="M413" s="194">
        <f>L413/P413</f>
        <v>12.511679644479571</v>
      </c>
      <c r="N413" s="190">
        <f>J413/L415</f>
        <v>1.4965367308761818E-2</v>
      </c>
      <c r="O413" s="190">
        <f>(I413*0.78)/(K415+L415)</f>
        <v>5.9874320590837679E-2</v>
      </c>
      <c r="P413" s="188">
        <v>578611362</v>
      </c>
      <c r="Q413" s="188">
        <f>E413*P413</f>
        <v>11578013353.620001</v>
      </c>
      <c r="R413" s="195">
        <f>Q413/L413</f>
        <v>1.5993056542835042</v>
      </c>
      <c r="S413" s="197">
        <f>(Q413+K413)/H413</f>
        <v>6.810320081745771</v>
      </c>
      <c r="T413" s="180">
        <v>507500000</v>
      </c>
      <c r="U413" s="189">
        <f>IFERROR(IF(Tableau3[[#This Row],[Dettes]]=0,"",(Tableau3[[#This Row],[Dettes]]/Tableau3[[#This Row],[EBE]])),"")</f>
        <v>3.630246099758295</v>
      </c>
      <c r="V413" s="190" t="str">
        <f>IFERROR(Tableau3[[#This Row],[Fonds propres]]/Tableau3[[#This Row],[Total Bilan]],"")</f>
        <v/>
      </c>
      <c r="W413" s="180"/>
      <c r="X413" s="191"/>
      <c r="Y413" s="180">
        <v>178894</v>
      </c>
      <c r="Z413" s="192">
        <f>IFERROR(Tableau3[[#This Row],[Chiffre d''affaires]]/Tableau3[[#This Row],[Salariés]],"")</f>
        <v>145392.80244166937</v>
      </c>
      <c r="AA413" s="197"/>
      <c r="AB413" s="197"/>
      <c r="AC413" s="177" t="s">
        <v>348</v>
      </c>
    </row>
    <row r="414" spans="1:29" ht="20.25" customHeight="1">
      <c r="A414" s="217"/>
      <c r="E414" s="187"/>
      <c r="F414" s="214"/>
      <c r="G414" s="202">
        <f>(G413/G415)-1</f>
        <v>-4.3356247264488501E-2</v>
      </c>
      <c r="H414" s="203">
        <f>(H413/H415)-1</f>
        <v>-9.4756209751609921E-2</v>
      </c>
      <c r="I414" s="203">
        <f>(I413/I415)-1</f>
        <v>-0.26300277392510407</v>
      </c>
      <c r="J414" s="203">
        <f>(J413/J415)-1</f>
        <v>-0.85789726356217</v>
      </c>
      <c r="K414" s="188"/>
      <c r="L414" s="178"/>
      <c r="M414" s="177"/>
      <c r="N414" s="178"/>
      <c r="O414" s="177"/>
      <c r="P414" s="188"/>
      <c r="Q414" s="188"/>
      <c r="R414" s="195"/>
      <c r="S414" s="197"/>
      <c r="T414" s="180"/>
      <c r="U414" s="189" t="str">
        <f>IFERROR(IF(Tableau3[[#This Row],[Dettes]]=0,"",(Tableau3[[#This Row],[Dettes]]/Tableau3[[#This Row],[EBE]])),"")</f>
        <v/>
      </c>
      <c r="V414" s="190" t="str">
        <f>IFERROR(Tableau3[[#This Row],[Fonds propres]]/Tableau3[[#This Row],[Total Bilan]],"")</f>
        <v/>
      </c>
      <c r="W414" s="180"/>
      <c r="X414" s="191"/>
      <c r="Y414" s="180"/>
      <c r="Z414" s="192" t="str">
        <f>IFERROR(Tableau3[[#This Row],[Chiffre d''affaires]]/Tableau3[[#This Row],[Salariés]],"")</f>
        <v/>
      </c>
      <c r="AA414" s="197"/>
      <c r="AB414" s="197"/>
      <c r="AC414" s="177" t="s">
        <v>349</v>
      </c>
    </row>
    <row r="415" spans="1:29" ht="20.25" customHeight="1">
      <c r="A415" s="217"/>
      <c r="E415" s="187">
        <v>23</v>
      </c>
      <c r="F415" s="178">
        <v>2019</v>
      </c>
      <c r="G415" s="188">
        <v>27188700000</v>
      </c>
      <c r="H415" s="188">
        <v>4021900000</v>
      </c>
      <c r="I415" s="188">
        <v>1730400000</v>
      </c>
      <c r="J415" s="188">
        <v>624900000</v>
      </c>
      <c r="K415" s="188">
        <v>10680000000</v>
      </c>
      <c r="L415" s="188">
        <v>5933700000</v>
      </c>
      <c r="M415" s="194">
        <f>L415/P415</f>
        <v>10.460162184887835</v>
      </c>
      <c r="N415" s="190">
        <f>J415/L417</f>
        <v>0.1044110275689223</v>
      </c>
      <c r="O415" s="190">
        <f>(I415*0.78)/(K417+L417)</f>
        <v>8.5783689994216317E-2</v>
      </c>
      <c r="P415" s="188">
        <v>567266539</v>
      </c>
      <c r="Q415" s="188">
        <f>E415*P415</f>
        <v>13047130397</v>
      </c>
      <c r="R415" s="195">
        <f>Q415/L415</f>
        <v>2.1988186792389235</v>
      </c>
      <c r="S415" s="197">
        <f>(Q415+K415)/H415</f>
        <v>5.8994829302071157</v>
      </c>
      <c r="T415" s="180">
        <v>868000000</v>
      </c>
      <c r="U415" s="189">
        <f>IFERROR(IF(Tableau3[[#This Row],[Dettes]]=0,"",(Tableau3[[#This Row],[Dettes]]/Tableau3[[#This Row],[EBE]])),"")</f>
        <v>2.6554613491136032</v>
      </c>
      <c r="V415" s="190" t="str">
        <f>IFERROR(Tableau3[[#This Row],[Fonds propres]]/Tableau3[[#This Row],[Total Bilan]],"")</f>
        <v/>
      </c>
      <c r="W415" s="180"/>
      <c r="X415" s="191"/>
      <c r="Y415" s="180">
        <v>178780</v>
      </c>
      <c r="Z415" s="192">
        <f>IFERROR(Tableau3[[#This Row],[Chiffre d''affaires]]/Tableau3[[#This Row],[Salariés]],"")</f>
        <v>152079.0916209867</v>
      </c>
      <c r="AA415" s="197"/>
      <c r="AB415" s="197"/>
      <c r="AC415" s="177" t="s">
        <v>350</v>
      </c>
    </row>
    <row r="416" spans="1:29" ht="20.25" customHeight="1">
      <c r="A416" s="217"/>
      <c r="E416" s="187"/>
      <c r="F416" s="214"/>
      <c r="G416" s="202">
        <f>(G415/G417)-1</f>
        <v>4.9307053733728123E-2</v>
      </c>
      <c r="H416" s="203">
        <f>(H415/H417)-1</f>
        <v>0.18570165094339619</v>
      </c>
      <c r="I416" s="203">
        <f>(I415/I417)-1</f>
        <v>7.8802992518703263E-2</v>
      </c>
      <c r="J416" s="203">
        <f>(J415/J417)-1</f>
        <v>0.41829323649568773</v>
      </c>
      <c r="K416" s="188"/>
      <c r="L416" s="178"/>
      <c r="M416" s="177"/>
      <c r="N416" s="178"/>
      <c r="O416" s="177"/>
      <c r="P416" s="188"/>
      <c r="Q416" s="188"/>
      <c r="R416" s="195"/>
      <c r="S416" s="197"/>
      <c r="T416" s="180"/>
      <c r="U416" s="189" t="str">
        <f>IFERROR(IF(Tableau3[[#This Row],[Dettes]]=0,"",(Tableau3[[#This Row],[Dettes]]/Tableau3[[#This Row],[EBE]])),"")</f>
        <v/>
      </c>
      <c r="V416" s="190" t="str">
        <f>IFERROR(Tableau3[[#This Row],[Fonds propres]]/Tableau3[[#This Row],[Total Bilan]],"")</f>
        <v/>
      </c>
      <c r="W416" s="180"/>
      <c r="X416" s="191"/>
      <c r="Y416" s="180"/>
      <c r="Z416" s="192" t="str">
        <f>IFERROR(Tableau3[[#This Row],[Chiffre d''affaires]]/Tableau3[[#This Row],[Salariés]],"")</f>
        <v/>
      </c>
      <c r="AA416" s="197"/>
      <c r="AB416" s="197"/>
      <c r="AC416" s="177" t="s">
        <v>351</v>
      </c>
    </row>
    <row r="417" spans="1:29" ht="20.25" customHeight="1">
      <c r="A417" s="217"/>
      <c r="E417" s="187">
        <v>18</v>
      </c>
      <c r="F417" s="178">
        <v>2018</v>
      </c>
      <c r="G417" s="188">
        <v>25911100000</v>
      </c>
      <c r="H417" s="188">
        <v>3392000000</v>
      </c>
      <c r="I417" s="211">
        <v>1604000000</v>
      </c>
      <c r="J417" s="188">
        <v>440600000</v>
      </c>
      <c r="K417" s="188">
        <v>9748900000</v>
      </c>
      <c r="L417" s="188">
        <v>5985000000</v>
      </c>
      <c r="M417" s="194">
        <f>L417/P417</f>
        <v>10.623666504644362</v>
      </c>
      <c r="N417" s="190">
        <f>J417/L419</f>
        <v>5.8902168391219485E-2</v>
      </c>
      <c r="O417" s="190">
        <f>(I417*0.78)/(K419+L419)</f>
        <v>8.1659400046993708E-2</v>
      </c>
      <c r="P417" s="188">
        <v>563364823</v>
      </c>
      <c r="Q417" s="188">
        <f>E415*P417</f>
        <v>12957390929</v>
      </c>
      <c r="R417" s="195">
        <f>Q417/L417</f>
        <v>2.1649775988304092</v>
      </c>
      <c r="S417" s="197">
        <f>(Q417+K417)/H417</f>
        <v>6.6940716182193398</v>
      </c>
      <c r="T417" s="180">
        <v>655000000</v>
      </c>
      <c r="U417" s="189">
        <f>IFERROR(IF(Tableau3[[#This Row],[Dettes]]=0,"",(Tableau3[[#This Row],[Dettes]]/Tableau3[[#This Row],[EBE]])),"")</f>
        <v>2.8740860849056604</v>
      </c>
      <c r="V417" s="190" t="str">
        <f>IFERROR(Tableau3[[#This Row],[Fonds propres]]/Tableau3[[#This Row],[Total Bilan]],"")</f>
        <v/>
      </c>
      <c r="W417" s="180"/>
      <c r="X417" s="191"/>
      <c r="Y417" s="180">
        <v>171495</v>
      </c>
      <c r="Z417" s="192">
        <f>IFERROR(Tableau3[[#This Row],[Chiffre d''affaires]]/Tableau3[[#This Row],[Salariés]],"")</f>
        <v>151089.53613807983</v>
      </c>
      <c r="AA417" s="197"/>
      <c r="AB417" s="197"/>
      <c r="AC417" s="177" t="s">
        <v>352</v>
      </c>
    </row>
    <row r="418" spans="1:29" ht="20.25" customHeight="1">
      <c r="A418" s="217"/>
      <c r="E418" s="187"/>
      <c r="F418" s="214"/>
      <c r="G418" s="202">
        <f>(G417/G419)-1</f>
        <v>3.1303980958900857E-2</v>
      </c>
      <c r="H418" s="203">
        <f>(H417/H419)-1</f>
        <v>3.2855272372948496E-2</v>
      </c>
      <c r="I418" s="203">
        <f>(I417/I419)-1</f>
        <v>5.5679873634329358E-2</v>
      </c>
      <c r="J418" s="203">
        <f>(J417/J419)-1</f>
        <v>-0.2848563544879078</v>
      </c>
      <c r="K418" s="188"/>
      <c r="L418" s="178"/>
      <c r="M418" s="177"/>
      <c r="N418" s="178"/>
      <c r="O418" s="177"/>
      <c r="P418" s="188"/>
      <c r="Q418" s="188"/>
      <c r="R418" s="195"/>
      <c r="S418" s="197"/>
      <c r="T418" s="180"/>
      <c r="U418" s="189" t="str">
        <f>IFERROR(IF(Tableau3[[#This Row],[Dettes]]=0,"",(Tableau3[[#This Row],[Dettes]]/Tableau3[[#This Row],[EBE]])),"")</f>
        <v/>
      </c>
      <c r="V418" s="190" t="str">
        <f>IFERROR(Tableau3[[#This Row],[Fonds propres]]/Tableau3[[#This Row],[Total Bilan]],"")</f>
        <v/>
      </c>
      <c r="W418" s="180"/>
      <c r="X418" s="191"/>
      <c r="Y418" s="180"/>
      <c r="Z418" s="192" t="str">
        <f>IFERROR(Tableau3[[#This Row],[Chiffre d''affaires]]/Tableau3[[#This Row],[Salariés]],"")</f>
        <v/>
      </c>
      <c r="AA418" s="197"/>
      <c r="AB418" s="197"/>
      <c r="AC418" s="177" t="s">
        <v>353</v>
      </c>
    </row>
    <row r="419" spans="1:29" ht="20.25" customHeight="1">
      <c r="A419" s="217"/>
      <c r="E419" s="187">
        <v>21.5</v>
      </c>
      <c r="F419" s="178">
        <v>2017</v>
      </c>
      <c r="G419" s="188">
        <v>25124600000</v>
      </c>
      <c r="H419" s="188">
        <v>3284100000</v>
      </c>
      <c r="I419" s="188">
        <v>1519400000</v>
      </c>
      <c r="J419" s="188">
        <v>616100000</v>
      </c>
      <c r="K419" s="188">
        <v>7841000000</v>
      </c>
      <c r="L419" s="188">
        <v>7480200000</v>
      </c>
      <c r="M419" s="194">
        <f>L419/P419</f>
        <v>13.277719329664288</v>
      </c>
      <c r="N419" s="190">
        <f>J419/L421</f>
        <v>7.9504981159345484E-2</v>
      </c>
      <c r="O419" s="190">
        <f>(I419*0.78)/(K421+L421)</f>
        <v>7.6164316654027578E-2</v>
      </c>
      <c r="P419" s="188">
        <v>563364823</v>
      </c>
      <c r="Q419" s="188">
        <f>E419*P419</f>
        <v>12112343694.5</v>
      </c>
      <c r="R419" s="195">
        <f>Q419/L419</f>
        <v>1.619253989799738</v>
      </c>
      <c r="S419" s="197">
        <f>(Q419+K419)/H419</f>
        <v>6.0757418149569133</v>
      </c>
      <c r="T419" s="180">
        <v>940000000</v>
      </c>
      <c r="U419" s="189">
        <f>IFERROR(IF(Tableau3[[#This Row],[Dettes]]=0,"",(Tableau3[[#This Row],[Dettes]]/Tableau3[[#This Row],[EBE]])),"")</f>
        <v>2.3875643250814531</v>
      </c>
      <c r="V419" s="190" t="str">
        <f>IFERROR(Tableau3[[#This Row],[Fonds propres]]/Tableau3[[#This Row],[Total Bilan]],"")</f>
        <v/>
      </c>
      <c r="W419" s="180"/>
      <c r="X419" s="191"/>
      <c r="Y419" s="180">
        <v>168800</v>
      </c>
      <c r="Z419" s="192">
        <f>IFERROR(Tableau3[[#This Row],[Chiffre d''affaires]]/Tableau3[[#This Row],[Salariés]],"")</f>
        <v>148842.41706161137</v>
      </c>
      <c r="AA419" s="197"/>
      <c r="AB419" s="197"/>
      <c r="AC419" s="177" t="s">
        <v>354</v>
      </c>
    </row>
    <row r="420" spans="1:29" ht="20.25" customHeight="1">
      <c r="A420" s="217"/>
      <c r="E420" s="187"/>
      <c r="F420" s="214"/>
      <c r="G420" s="202">
        <f>(G419/G421)-1</f>
        <v>3.0118901189011948E-2</v>
      </c>
      <c r="H420" s="203">
        <f>(H419/H421)-1</f>
        <v>7.4640052356020892E-2</v>
      </c>
      <c r="I420" s="203">
        <f>(I419/I421)-1</f>
        <v>9.7832369942196573E-2</v>
      </c>
      <c r="J420" s="203">
        <f>(J419/J421)-1</f>
        <v>3.1993299832495881E-2</v>
      </c>
      <c r="K420" s="188"/>
      <c r="L420" s="188"/>
      <c r="M420" s="194"/>
      <c r="N420" s="190"/>
      <c r="O420" s="190"/>
      <c r="P420" s="188"/>
      <c r="Q420" s="188"/>
      <c r="R420" s="195"/>
      <c r="S420" s="197"/>
      <c r="T420" s="180"/>
      <c r="U420" s="189" t="str">
        <f>IFERROR(IF(Tableau3[[#This Row],[Dettes]]=0,"",(Tableau3[[#This Row],[Dettes]]/Tableau3[[#This Row],[EBE]])),"")</f>
        <v/>
      </c>
      <c r="V420" s="190" t="str">
        <f>IFERROR(Tableau3[[#This Row],[Fonds propres]]/Tableau3[[#This Row],[Total Bilan]],"")</f>
        <v/>
      </c>
      <c r="W420" s="180"/>
      <c r="X420" s="191"/>
      <c r="Y420" s="180"/>
      <c r="Z420" s="192" t="str">
        <f>IFERROR(Tableau3[[#This Row],[Chiffre d''affaires]]/Tableau3[[#This Row],[Salariés]],"")</f>
        <v/>
      </c>
      <c r="AA420" s="197"/>
      <c r="AB420" s="197"/>
      <c r="AC420" s="177" t="s">
        <v>355</v>
      </c>
    </row>
    <row r="421" spans="1:29" ht="20.25" customHeight="1">
      <c r="A421" s="217"/>
      <c r="E421" s="187">
        <v>15.6</v>
      </c>
      <c r="F421" s="178">
        <v>2016</v>
      </c>
      <c r="G421" s="188">
        <v>24390000000</v>
      </c>
      <c r="H421" s="188">
        <v>3056000000</v>
      </c>
      <c r="I421" s="188">
        <v>1384000000</v>
      </c>
      <c r="J421" s="188">
        <v>597000000</v>
      </c>
      <c r="K421" s="188">
        <v>7811000000</v>
      </c>
      <c r="L421" s="188">
        <v>7749200000</v>
      </c>
      <c r="M421" s="194">
        <f>L421/P421</f>
        <v>13.755207431543875</v>
      </c>
      <c r="N421" s="190">
        <f>J421/L423</f>
        <v>6.5388828039430455E-2</v>
      </c>
      <c r="O421" s="190">
        <f>(I421*0.78)/(K423+L423)</f>
        <v>6.2399999999999997E-2</v>
      </c>
      <c r="P421" s="188">
        <v>563364823</v>
      </c>
      <c r="Q421" s="188">
        <f>E421*P421</f>
        <v>8788491238.7999992</v>
      </c>
      <c r="R421" s="195">
        <f>Q421/L421</f>
        <v>1.1341159395550509</v>
      </c>
      <c r="S421" s="197">
        <f>(Q421+K421)/H421</f>
        <v>5.4317706933246068</v>
      </c>
      <c r="T421" s="180">
        <v>970000000</v>
      </c>
      <c r="U421" s="189">
        <f>IFERROR(IF(Tableau3[[#This Row],[Dettes]]=0,"",(Tableau3[[#This Row],[Dettes]]/Tableau3[[#This Row],[EBE]])),"")</f>
        <v>2.555955497382199</v>
      </c>
      <c r="V421" s="190" t="str">
        <f>IFERROR(Tableau3[[#This Row],[Fonds propres]]/Tableau3[[#This Row],[Total Bilan]],"")</f>
        <v/>
      </c>
      <c r="W421" s="180"/>
      <c r="X421" s="191"/>
      <c r="Y421" s="180">
        <v>163226</v>
      </c>
      <c r="Z421" s="192">
        <f>IFERROR(Tableau3[[#This Row],[Chiffre d''affaires]]/Tableau3[[#This Row],[Salariés]],"")</f>
        <v>149424.72400230356</v>
      </c>
      <c r="AA421" s="197"/>
      <c r="AB421" s="197"/>
      <c r="AC421" s="177" t="s">
        <v>356</v>
      </c>
    </row>
    <row r="422" spans="1:29" ht="20.25" customHeight="1">
      <c r="A422" s="217"/>
      <c r="E422" s="187"/>
      <c r="G422" s="202">
        <f>(G421/G423)-1</f>
        <v>-2.3032245143200458E-2</v>
      </c>
      <c r="H422" s="203">
        <f>(H421/H423)-1</f>
        <v>1.9686353019686242E-2</v>
      </c>
      <c r="I422" s="203">
        <f>(I421/I423)-1</f>
        <v>5.2471482889733911E-2</v>
      </c>
      <c r="J422" s="203">
        <f>(J421/J423)-1</f>
        <v>2.931034482758621E-2</v>
      </c>
      <c r="K422" s="188"/>
      <c r="L422" s="188"/>
      <c r="M422" s="194"/>
      <c r="N422" s="190"/>
      <c r="O422" s="190"/>
      <c r="P422" s="178"/>
      <c r="Q422" s="178"/>
      <c r="R422" s="195"/>
      <c r="S422" s="178"/>
      <c r="T422" s="180"/>
      <c r="U422" s="189" t="str">
        <f>IFERROR(IF(Tableau3[[#This Row],[Dettes]]=0,"",(Tableau3[[#This Row],[Dettes]]/Tableau3[[#This Row],[EBE]])),"")</f>
        <v/>
      </c>
      <c r="V422" s="190" t="str">
        <f>IFERROR(Tableau3[[#This Row],[Fonds propres]]/Tableau3[[#This Row],[Total Bilan]],"")</f>
        <v/>
      </c>
      <c r="W422" s="180"/>
      <c r="Y422" s="180"/>
      <c r="Z422" s="192" t="str">
        <f>IFERROR(Tableau3[[#This Row],[Chiffre d''affaires]]/Tableau3[[#This Row],[Salariés]],"")</f>
        <v/>
      </c>
      <c r="AA422" s="177"/>
      <c r="AC422" s="177" t="s">
        <v>357</v>
      </c>
    </row>
    <row r="423" spans="1:29" ht="20.25" customHeight="1">
      <c r="A423" s="217"/>
      <c r="E423" s="187">
        <v>22</v>
      </c>
      <c r="F423" s="178">
        <v>2015</v>
      </c>
      <c r="G423" s="188">
        <v>24965000000</v>
      </c>
      <c r="H423" s="188">
        <v>2997000000</v>
      </c>
      <c r="I423" s="188">
        <v>1315000000</v>
      </c>
      <c r="J423" s="188">
        <v>580000000</v>
      </c>
      <c r="K423" s="188">
        <v>8170000000</v>
      </c>
      <c r="L423" s="188">
        <v>9130000000</v>
      </c>
      <c r="M423" s="194">
        <f>L423/P423</f>
        <v>16.206194684612036</v>
      </c>
      <c r="N423" s="190">
        <f>J423/L425</f>
        <v>6.9947780363969661E-2</v>
      </c>
      <c r="O423" s="190">
        <f>(I423*0.78)/(K425+L425)</f>
        <v>6.2307510068704101E-2</v>
      </c>
      <c r="P423" s="188">
        <v>563364823</v>
      </c>
      <c r="Q423" s="188">
        <f>E423*P423</f>
        <v>12394026106</v>
      </c>
      <c r="R423" s="195">
        <f>Q423/L423</f>
        <v>1.3575055975903614</v>
      </c>
      <c r="S423" s="197">
        <f>(Q423+K423)/H423</f>
        <v>6.8615369055722386</v>
      </c>
      <c r="T423" s="180">
        <v>856000000</v>
      </c>
      <c r="U423" s="189">
        <f>IFERROR(IF(Tableau3[[#This Row],[Dettes]]=0,"",(Tableau3[[#This Row],[Dettes]]/Tableau3[[#This Row],[EBE]])),"")</f>
        <v>2.7260593927260595</v>
      </c>
      <c r="V423" s="190" t="str">
        <f>IFERROR(Tableau3[[#This Row],[Fonds propres]]/Tableau3[[#This Row],[Total Bilan]],"")</f>
        <v/>
      </c>
      <c r="W423" s="180"/>
      <c r="X423" s="191"/>
      <c r="Y423" s="180">
        <v>173959</v>
      </c>
      <c r="Z423" s="192">
        <f>IFERROR(Tableau3[[#This Row],[Chiffre d''affaires]]/Tableau3[[#This Row],[Salariés]],"")</f>
        <v>143510.82726389551</v>
      </c>
      <c r="AA423" s="197"/>
      <c r="AB423" s="197"/>
      <c r="AC423" s="177" t="s">
        <v>358</v>
      </c>
    </row>
    <row r="424" spans="1:29" ht="20.25" customHeight="1">
      <c r="A424" s="217"/>
      <c r="E424" s="187"/>
      <c r="G424" s="202">
        <f>(G423/G425)-1</f>
        <v>4.5453022663696219E-2</v>
      </c>
      <c r="H424" s="203">
        <f>(H423/H425)-1</f>
        <v>7.0357142857142785E-2</v>
      </c>
      <c r="I424" s="203">
        <f>(I423/I425)-1</f>
        <v>0.2321964017991005</v>
      </c>
      <c r="J424" s="203">
        <f>(J423/J425)-1</f>
        <v>0.75015087507543754</v>
      </c>
      <c r="K424" s="188"/>
      <c r="L424" s="188"/>
      <c r="M424" s="194"/>
      <c r="N424" s="190"/>
      <c r="O424" s="190"/>
      <c r="P424" s="188"/>
      <c r="Q424" s="188"/>
      <c r="R424" s="195"/>
      <c r="S424" s="197"/>
      <c r="T424" s="180"/>
      <c r="U424" s="189" t="str">
        <f>IFERROR(IF(Tableau3[[#This Row],[Dettes]]=0,"",(Tableau3[[#This Row],[Dettes]]/Tableau3[[#This Row],[EBE]])),"")</f>
        <v/>
      </c>
      <c r="V424" s="190" t="str">
        <f>IFERROR(Tableau3[[#This Row],[Fonds propres]]/Tableau3[[#This Row],[Total Bilan]],"")</f>
        <v/>
      </c>
      <c r="W424" s="180"/>
      <c r="X424" s="191"/>
      <c r="Y424" s="180"/>
      <c r="Z424" s="192" t="str">
        <f>IFERROR(Tableau3[[#This Row],[Chiffre d''affaires]]/Tableau3[[#This Row],[Salariés]],"")</f>
        <v/>
      </c>
      <c r="AA424" s="197"/>
      <c r="AB424" s="197"/>
      <c r="AC424" s="177" t="s">
        <v>359</v>
      </c>
    </row>
    <row r="425" spans="1:29" ht="20.25" customHeight="1">
      <c r="A425" s="217"/>
      <c r="E425" s="187">
        <v>14.69</v>
      </c>
      <c r="F425" s="178">
        <v>2014</v>
      </c>
      <c r="G425" s="188">
        <v>23879600000</v>
      </c>
      <c r="H425" s="188">
        <v>2800000000</v>
      </c>
      <c r="I425" s="188">
        <v>1067200000</v>
      </c>
      <c r="J425" s="188">
        <v>331400000</v>
      </c>
      <c r="K425" s="188">
        <v>8170000000</v>
      </c>
      <c r="L425" s="188">
        <v>8291900000</v>
      </c>
      <c r="M425" s="194">
        <f>L425/P425</f>
        <v>14.746351488210866</v>
      </c>
      <c r="N425" s="190"/>
      <c r="O425" s="190"/>
      <c r="P425" s="188">
        <v>562301801</v>
      </c>
      <c r="Q425" s="188">
        <f>E425*P425</f>
        <v>8260213456.6899996</v>
      </c>
      <c r="R425" s="195">
        <f>Q425/L425</f>
        <v>0.99617861487596326</v>
      </c>
      <c r="S425" s="197">
        <f>(Q425+K425)/H425</f>
        <v>5.867933377389285</v>
      </c>
      <c r="T425" s="180">
        <v>330000000</v>
      </c>
      <c r="U425" s="189">
        <f>IFERROR(IF(Tableau3[[#This Row],[Dettes]]=0,"",(Tableau3[[#This Row],[Dettes]]/Tableau3[[#This Row],[EBE]])),"")</f>
        <v>2.9178571428571427</v>
      </c>
      <c r="V425" s="190">
        <f>IFERROR(Tableau3[[#This Row],[Fonds propres]]/Tableau3[[#This Row],[Total Bilan]],"")</f>
        <v>0.23879105530677189</v>
      </c>
      <c r="W425" s="180">
        <v>34724500000</v>
      </c>
      <c r="X425" s="191"/>
      <c r="Y425" s="180">
        <v>179508</v>
      </c>
      <c r="Z425" s="192">
        <f>IFERROR(Tableau3[[#This Row],[Chiffre d''affaires]]/Tableau3[[#This Row],[Salariés]],"")</f>
        <v>133028.05445996835</v>
      </c>
      <c r="AA425" s="197"/>
      <c r="AB425" s="197"/>
      <c r="AC425" s="177" t="s">
        <v>360</v>
      </c>
    </row>
    <row r="426" spans="1:29" ht="20.25" customHeight="1">
      <c r="A426" s="217"/>
      <c r="E426" s="187"/>
      <c r="G426" s="188"/>
      <c r="H426" s="188"/>
      <c r="I426" s="188"/>
      <c r="J426" s="188"/>
      <c r="K426" s="188"/>
      <c r="L426" s="188"/>
      <c r="M426" s="194"/>
      <c r="N426" s="190"/>
      <c r="O426" s="190"/>
      <c r="P426" s="188"/>
      <c r="Q426" s="188"/>
      <c r="R426" s="195"/>
      <c r="S426" s="197"/>
      <c r="T426" s="180"/>
      <c r="U426" s="189" t="str">
        <f>IFERROR(IF(Tableau3[[#This Row],[Dettes]]=0,"",(Tableau3[[#This Row],[Dettes]]/Tableau3[[#This Row],[EBE]])),"")</f>
        <v/>
      </c>
      <c r="V426" s="190" t="str">
        <f>IFERROR(Tableau3[[#This Row],[Fonds propres]]/Tableau3[[#This Row],[Total Bilan]],"")</f>
        <v/>
      </c>
      <c r="W426" s="180"/>
      <c r="X426" s="191"/>
      <c r="Y426" s="180"/>
      <c r="Z426" s="192" t="str">
        <f>IFERROR(Tableau3[[#This Row],[Chiffre d''affaires]]/Tableau3[[#This Row],[Salariés]],"")</f>
        <v/>
      </c>
      <c r="AA426" s="197"/>
      <c r="AB426" s="197"/>
      <c r="AC426" s="177" t="s">
        <v>361</v>
      </c>
    </row>
    <row r="427" spans="1:29" ht="20.25" customHeight="1">
      <c r="A427" s="217"/>
      <c r="E427" s="187"/>
      <c r="G427" s="188"/>
      <c r="H427" s="188"/>
      <c r="I427" s="188"/>
      <c r="J427" s="188"/>
      <c r="K427" s="188"/>
      <c r="L427" s="188"/>
      <c r="M427" s="194"/>
      <c r="N427" s="190"/>
      <c r="O427" s="190"/>
      <c r="P427" s="188"/>
      <c r="Q427" s="188"/>
      <c r="R427" s="195"/>
      <c r="S427" s="197"/>
      <c r="T427" s="180"/>
      <c r="U427" s="189" t="str">
        <f>IFERROR(IF(Tableau3[[#This Row],[Dettes]]=0,"",(Tableau3[[#This Row],[Dettes]]/Tableau3[[#This Row],[EBE]])),"")</f>
        <v/>
      </c>
      <c r="V427" s="190" t="str">
        <f>IFERROR(Tableau3[[#This Row],[Fonds propres]]/Tableau3[[#This Row],[Total Bilan]],"")</f>
        <v/>
      </c>
      <c r="W427" s="180"/>
      <c r="X427" s="191"/>
      <c r="Y427" s="180"/>
      <c r="Z427" s="192" t="str">
        <f>IFERROR(Tableau3[[#This Row],[Chiffre d''affaires]]/Tableau3[[#This Row],[Salariés]],"")</f>
        <v/>
      </c>
      <c r="AA427" s="197"/>
      <c r="AB427" s="197"/>
      <c r="AC427" s="177" t="s">
        <v>362</v>
      </c>
    </row>
    <row r="428" spans="1:29" ht="20.25" customHeight="1">
      <c r="A428" s="217"/>
      <c r="E428" s="187"/>
      <c r="G428" s="188"/>
      <c r="H428" s="188"/>
      <c r="I428" s="188"/>
      <c r="J428" s="188"/>
      <c r="K428" s="188"/>
      <c r="L428" s="188"/>
      <c r="M428" s="194"/>
      <c r="N428" s="190"/>
      <c r="O428" s="190"/>
      <c r="P428" s="188"/>
      <c r="Q428" s="188"/>
      <c r="R428" s="195"/>
      <c r="S428" s="197"/>
      <c r="T428" s="180"/>
      <c r="U428" s="189" t="str">
        <f>IFERROR(IF(Tableau3[[#This Row],[Dettes]]=0,"",(Tableau3[[#This Row],[Dettes]]/Tableau3[[#This Row],[EBE]])),"")</f>
        <v/>
      </c>
      <c r="V428" s="190" t="str">
        <f>IFERROR(Tableau3[[#This Row],[Fonds propres]]/Tableau3[[#This Row],[Total Bilan]],"")</f>
        <v/>
      </c>
      <c r="W428" s="180"/>
      <c r="X428" s="191"/>
      <c r="Y428" s="180"/>
      <c r="Z428" s="192" t="str">
        <f>IFERROR(Tableau3[[#This Row],[Chiffre d''affaires]]/Tableau3[[#This Row],[Salariés]],"")</f>
        <v/>
      </c>
      <c r="AA428" s="197"/>
      <c r="AB428" s="197"/>
    </row>
    <row r="429" spans="1:29" ht="20.25" customHeight="1">
      <c r="A429" s="217" t="s">
        <v>363</v>
      </c>
      <c r="B429" s="216" t="s">
        <v>340</v>
      </c>
      <c r="C429" s="178" t="s">
        <v>84</v>
      </c>
      <c r="D429" s="178" t="s">
        <v>85</v>
      </c>
      <c r="F429" s="224" t="s">
        <v>364</v>
      </c>
      <c r="G429" s="188"/>
      <c r="H429" s="188"/>
      <c r="I429" s="188"/>
      <c r="J429" s="188"/>
      <c r="K429" s="188"/>
      <c r="L429" s="188"/>
      <c r="M429" s="194"/>
      <c r="N429" s="190"/>
      <c r="O429" s="190"/>
      <c r="P429" s="188"/>
      <c r="Q429" s="188"/>
      <c r="R429" s="195"/>
      <c r="S429" s="197"/>
      <c r="T429" s="180"/>
      <c r="U429" s="189" t="str">
        <f>IFERROR(IF(Tableau3[[#This Row],[Dettes]]=0,"",(Tableau3[[#This Row],[Dettes]]/Tableau3[[#This Row],[EBE]])),"")</f>
        <v/>
      </c>
      <c r="V429" s="190" t="str">
        <f>IFERROR(Tableau3[[#This Row],[Fonds propres]]/Tableau3[[#This Row],[Total Bilan]],"")</f>
        <v/>
      </c>
      <c r="W429" s="180"/>
      <c r="X429" s="191"/>
      <c r="Y429" s="180"/>
      <c r="Z429" s="192" t="str">
        <f>IFERROR(Tableau3[[#This Row],[Chiffre d''affaires]]/Tableau3[[#This Row],[Salariés]],"")</f>
        <v/>
      </c>
      <c r="AA429" s="197"/>
      <c r="AB429" s="197"/>
      <c r="AC429" s="177" t="s">
        <v>365</v>
      </c>
    </row>
    <row r="430" spans="1:29" ht="20.25" customHeight="1">
      <c r="A430" s="217"/>
      <c r="E430" s="187"/>
      <c r="G430" s="188"/>
      <c r="H430" s="188"/>
      <c r="I430" s="188"/>
      <c r="J430" s="188"/>
      <c r="K430" s="188"/>
      <c r="L430" s="188"/>
      <c r="M430" s="194"/>
      <c r="N430" s="190"/>
      <c r="O430" s="190"/>
      <c r="P430" s="188"/>
      <c r="Q430" s="188"/>
      <c r="R430" s="195"/>
      <c r="S430" s="197"/>
      <c r="T430" s="180"/>
      <c r="U430" s="189" t="str">
        <f>IFERROR(IF(Tableau3[[#This Row],[Dettes]]=0,"",(Tableau3[[#This Row],[Dettes]]/Tableau3[[#This Row],[EBE]])),"")</f>
        <v/>
      </c>
      <c r="V430" s="190" t="str">
        <f>IFERROR(Tableau3[[#This Row],[Fonds propres]]/Tableau3[[#This Row],[Total Bilan]],"")</f>
        <v/>
      </c>
      <c r="W430" s="180"/>
      <c r="X430" s="191"/>
      <c r="Y430" s="180"/>
      <c r="Z430" s="192" t="str">
        <f>IFERROR(Tableau3[[#This Row],[Chiffre d''affaires]]/Tableau3[[#This Row],[Salariés]],"")</f>
        <v/>
      </c>
      <c r="AA430" s="197"/>
      <c r="AB430" s="197"/>
      <c r="AC430" s="177" t="s">
        <v>367</v>
      </c>
    </row>
    <row r="431" spans="1:29" ht="20.25" customHeight="1">
      <c r="A431" s="217"/>
      <c r="E431" s="178">
        <v>20.5</v>
      </c>
      <c r="F431" s="178">
        <v>2020</v>
      </c>
      <c r="G431" s="188"/>
      <c r="H431" s="188"/>
      <c r="I431" s="188"/>
      <c r="J431" s="188"/>
      <c r="K431" s="188"/>
      <c r="L431" s="188"/>
      <c r="M431" s="194"/>
      <c r="N431" s="190"/>
      <c r="O431" s="190"/>
      <c r="P431" s="188">
        <v>565577574</v>
      </c>
      <c r="Q431" s="188">
        <f>E431*P431</f>
        <v>11594340267</v>
      </c>
      <c r="R431" s="195"/>
      <c r="S431" s="197"/>
      <c r="T431" s="180"/>
      <c r="U431" s="189" t="str">
        <f>IFERROR(IF(Tableau3[[#This Row],[Dettes]]=0,"",(Tableau3[[#This Row],[Dettes]]/Tableau3[[#This Row],[EBE]])),"")</f>
        <v/>
      </c>
      <c r="V431" s="190" t="str">
        <f>IFERROR(Tableau3[[#This Row],[Fonds propres]]/Tableau3[[#This Row],[Total Bilan]],"")</f>
        <v/>
      </c>
      <c r="W431" s="180"/>
      <c r="X431" s="191"/>
      <c r="Y431" s="180"/>
      <c r="Z431" s="192" t="str">
        <f>IFERROR(Tableau3[[#This Row],[Chiffre d''affaires]]/Tableau3[[#This Row],[Salariés]],"")</f>
        <v/>
      </c>
      <c r="AA431" s="197"/>
      <c r="AB431" s="197"/>
      <c r="AC431" s="177" t="s">
        <v>368</v>
      </c>
    </row>
    <row r="432" spans="1:29" ht="20.25" customHeight="1">
      <c r="A432" s="217"/>
      <c r="E432" s="187"/>
      <c r="G432" s="188"/>
      <c r="H432" s="188"/>
      <c r="I432" s="188"/>
      <c r="J432" s="188"/>
      <c r="K432" s="188"/>
      <c r="L432" s="188"/>
      <c r="M432" s="194"/>
      <c r="N432" s="190"/>
      <c r="O432" s="190"/>
      <c r="P432" s="188"/>
      <c r="Q432" s="188"/>
      <c r="R432" s="195"/>
      <c r="S432" s="197"/>
      <c r="T432" s="180"/>
      <c r="U432" s="189" t="str">
        <f>IFERROR(IF(Tableau3[[#This Row],[Dettes]]=0,"",(Tableau3[[#This Row],[Dettes]]/Tableau3[[#This Row],[EBE]])),"")</f>
        <v/>
      </c>
      <c r="V432" s="190" t="str">
        <f>IFERROR(Tableau3[[#This Row],[Fonds propres]]/Tableau3[[#This Row],[Total Bilan]],"")</f>
        <v/>
      </c>
      <c r="W432" s="180"/>
      <c r="X432" s="191"/>
      <c r="Y432" s="180"/>
      <c r="Z432" s="192" t="str">
        <f>IFERROR(Tableau3[[#This Row],[Chiffre d''affaires]]/Tableau3[[#This Row],[Salariés]],"")</f>
        <v/>
      </c>
      <c r="AA432" s="197"/>
      <c r="AB432" s="197"/>
      <c r="AC432" s="177" t="s">
        <v>369</v>
      </c>
    </row>
    <row r="433" spans="1:28" ht="20.25" customHeight="1">
      <c r="A433" s="217"/>
      <c r="E433" s="187">
        <v>16.22</v>
      </c>
      <c r="F433" s="178">
        <v>2019</v>
      </c>
      <c r="G433" s="188">
        <v>17500000000</v>
      </c>
      <c r="H433" s="188">
        <v>3200000000</v>
      </c>
      <c r="I433" s="188">
        <v>1354000000</v>
      </c>
      <c r="J433" s="188">
        <v>350000000</v>
      </c>
      <c r="K433" s="188">
        <v>10600000000</v>
      </c>
      <c r="L433" s="188">
        <v>5542660000</v>
      </c>
      <c r="M433" s="194">
        <f>L433/P433</f>
        <v>9.799999601822968</v>
      </c>
      <c r="N433" s="190">
        <f>J433/L433</f>
        <v>6.3146575831820817E-2</v>
      </c>
      <c r="O433" s="190">
        <f>(I433*0.64)/(K433+L433)</f>
        <v>5.3681363542315827E-2</v>
      </c>
      <c r="P433" s="188">
        <v>565577574</v>
      </c>
      <c r="Q433" s="188">
        <f>E433*P433</f>
        <v>9173668250.2799988</v>
      </c>
      <c r="R433" s="195">
        <f>Q433/L433</f>
        <v>1.655102108063637</v>
      </c>
      <c r="S433" s="197">
        <f>(Q433+K433)/H433</f>
        <v>6.1792713282124998</v>
      </c>
      <c r="T433" s="180"/>
      <c r="U433" s="189">
        <f>IFERROR(IF(Tableau3[[#This Row],[Dettes]]=0,"",(Tableau3[[#This Row],[Dettes]]/Tableau3[[#This Row],[EBE]])),"")</f>
        <v>3.3125</v>
      </c>
      <c r="V433" s="190" t="str">
        <f>IFERROR(Tableau3[[#This Row],[Fonds propres]]/Tableau3[[#This Row],[Total Bilan]],"")</f>
        <v/>
      </c>
      <c r="W433" s="180"/>
      <c r="X433" s="191"/>
      <c r="Y433" s="180"/>
      <c r="Z433" s="192" t="str">
        <f>IFERROR(Tableau3[[#This Row],[Chiffre d''affaires]]/Tableau3[[#This Row],[Salariés]],"")</f>
        <v/>
      </c>
      <c r="AA433" s="197"/>
      <c r="AB433" s="197"/>
    </row>
    <row r="434" spans="1:28" ht="20.25" customHeight="1">
      <c r="A434" s="217"/>
      <c r="E434" s="187"/>
      <c r="G434" s="202">
        <f>(G433/G435)-1</f>
        <v>0.10773515634890485</v>
      </c>
      <c r="H434" s="203">
        <f>(H433/H435)-1</f>
        <v>0.21212121212121215</v>
      </c>
      <c r="I434" s="203">
        <f>(I433/I435)-1</f>
        <v>5.7812500000000044E-2</v>
      </c>
      <c r="J434" s="203">
        <f>(J433/J435)-1</f>
        <v>0.16666666666666674</v>
      </c>
      <c r="K434" s="188"/>
      <c r="L434" s="188"/>
      <c r="M434" s="194"/>
      <c r="N434" s="190"/>
      <c r="O434" s="190"/>
      <c r="P434" s="188"/>
      <c r="Q434" s="188"/>
      <c r="R434" s="195"/>
      <c r="S434" s="197"/>
      <c r="T434" s="180"/>
      <c r="U434" s="189" t="str">
        <f>IFERROR(IF(Tableau3[[#This Row],[Dettes]]=0,"",(Tableau3[[#This Row],[Dettes]]/Tableau3[[#This Row],[EBE]])),"")</f>
        <v/>
      </c>
      <c r="V434" s="190" t="str">
        <f>IFERROR(Tableau3[[#This Row],[Fonds propres]]/Tableau3[[#This Row],[Total Bilan]],"")</f>
        <v/>
      </c>
      <c r="W434" s="180"/>
      <c r="X434" s="191"/>
      <c r="Y434" s="180"/>
      <c r="Z434" s="192" t="str">
        <f>IFERROR(Tableau3[[#This Row],[Chiffre d''affaires]]/Tableau3[[#This Row],[Salariés]],"")</f>
        <v/>
      </c>
      <c r="AA434" s="197"/>
      <c r="AB434" s="197"/>
    </row>
    <row r="435" spans="1:28" ht="20.25" customHeight="1">
      <c r="A435" s="217"/>
      <c r="E435" s="187">
        <v>11.5</v>
      </c>
      <c r="F435" s="178">
        <v>2018</v>
      </c>
      <c r="G435" s="188">
        <v>15798000000</v>
      </c>
      <c r="H435" s="188">
        <v>2640000000</v>
      </c>
      <c r="I435" s="188">
        <f>I437</f>
        <v>1280000000</v>
      </c>
      <c r="J435" s="188">
        <v>300000000</v>
      </c>
      <c r="K435" s="188">
        <v>8500000000</v>
      </c>
      <c r="L435" s="188">
        <v>5542660000</v>
      </c>
      <c r="M435" s="194">
        <f>L435/P435</f>
        <v>9.799999601822968</v>
      </c>
      <c r="N435" s="190">
        <f>J435/L435</f>
        <v>5.4125636427274991E-2</v>
      </c>
      <c r="O435" s="190">
        <f>(I435*0.64)/(K435+L435)</f>
        <v>5.8336525985817504E-2</v>
      </c>
      <c r="P435" s="188">
        <v>565577574</v>
      </c>
      <c r="Q435" s="188">
        <f>E435*P435</f>
        <v>6504142101</v>
      </c>
      <c r="R435" s="195">
        <f>Q435/L435</f>
        <v>1.1734694354335282</v>
      </c>
      <c r="S435" s="197">
        <f>(Q435+K435)/H435</f>
        <v>5.6833871594696967</v>
      </c>
      <c r="T435" s="180"/>
      <c r="U435" s="189">
        <f>IFERROR(IF(Tableau3[[#This Row],[Dettes]]=0,"",(Tableau3[[#This Row],[Dettes]]/Tableau3[[#This Row],[EBE]])),"")</f>
        <v>3.2196969696969697</v>
      </c>
      <c r="V435" s="190" t="str">
        <f>IFERROR(Tableau3[[#This Row],[Fonds propres]]/Tableau3[[#This Row],[Total Bilan]],"")</f>
        <v/>
      </c>
      <c r="W435" s="180"/>
      <c r="X435" s="191"/>
      <c r="Y435" s="180"/>
      <c r="Z435" s="192" t="str">
        <f>IFERROR(Tableau3[[#This Row],[Chiffre d''affaires]]/Tableau3[[#This Row],[Salariés]],"")</f>
        <v/>
      </c>
      <c r="AA435" s="197"/>
      <c r="AB435" s="197"/>
    </row>
    <row r="436" spans="1:28" ht="20.25" customHeight="1">
      <c r="A436" s="217"/>
      <c r="E436" s="187"/>
      <c r="G436" s="202">
        <f>(G435/G437)-1</f>
        <v>0</v>
      </c>
      <c r="H436" s="203">
        <f>(H435/H437)-1</f>
        <v>0</v>
      </c>
      <c r="I436" s="203">
        <f>(I435/I437)-1</f>
        <v>0</v>
      </c>
      <c r="J436" s="203">
        <f>(J435/J437)-1</f>
        <v>0</v>
      </c>
      <c r="K436" s="188"/>
      <c r="L436" s="188"/>
      <c r="M436" s="194"/>
      <c r="N436" s="190"/>
      <c r="O436" s="190"/>
      <c r="P436" s="188"/>
      <c r="Q436" s="188"/>
      <c r="R436" s="195"/>
      <c r="S436" s="197"/>
      <c r="T436" s="180"/>
      <c r="U436" s="189" t="str">
        <f>IFERROR(IF(Tableau3[[#This Row],[Dettes]]=0,"",(Tableau3[[#This Row],[Dettes]]/Tableau3[[#This Row],[EBE]])),"")</f>
        <v/>
      </c>
      <c r="V436" s="190" t="str">
        <f>IFERROR(Tableau3[[#This Row],[Fonds propres]]/Tableau3[[#This Row],[Total Bilan]],"")</f>
        <v/>
      </c>
      <c r="W436" s="180"/>
      <c r="X436" s="191"/>
      <c r="Y436" s="180"/>
      <c r="Z436" s="192" t="str">
        <f>IFERROR(Tableau3[[#This Row],[Chiffre d''affaires]]/Tableau3[[#This Row],[Salariés]],"")</f>
        <v/>
      </c>
      <c r="AA436" s="197"/>
      <c r="AB436" s="197"/>
    </row>
    <row r="437" spans="1:28" ht="20.25" customHeight="1">
      <c r="A437" s="217"/>
      <c r="E437" s="187">
        <v>14.16</v>
      </c>
      <c r="F437" s="178">
        <v>2017</v>
      </c>
      <c r="G437" s="188">
        <v>15798000000</v>
      </c>
      <c r="H437" s="188">
        <v>2640000000</v>
      </c>
      <c r="I437" s="188">
        <v>1280000000</v>
      </c>
      <c r="J437" s="188">
        <v>300000000</v>
      </c>
      <c r="K437" s="188">
        <v>8500000000</v>
      </c>
      <c r="L437" s="188">
        <v>5542660000</v>
      </c>
      <c r="M437" s="194">
        <f>L437/P437</f>
        <v>9.799999601822968</v>
      </c>
      <c r="N437" s="190">
        <f>J437/L437</f>
        <v>5.4125636427274991E-2</v>
      </c>
      <c r="O437" s="190">
        <f>(I437*0.64)/(K437+L437)</f>
        <v>5.8336525985817504E-2</v>
      </c>
      <c r="P437" s="188">
        <v>565577574</v>
      </c>
      <c r="Q437" s="188">
        <f>E437*P437</f>
        <v>8008578447.8400002</v>
      </c>
      <c r="R437" s="195">
        <f>Q437/L437</f>
        <v>1.444898017890327</v>
      </c>
      <c r="S437" s="197">
        <f>(Q437+K437)/H437</f>
        <v>6.2532494120606064</v>
      </c>
      <c r="T437" s="180"/>
      <c r="U437" s="189">
        <f>IFERROR(IF(Tableau3[[#This Row],[Dettes]]=0,"",(Tableau3[[#This Row],[Dettes]]/Tableau3[[#This Row],[EBE]])),"")</f>
        <v>3.2196969696969697</v>
      </c>
      <c r="V437" s="190" t="str">
        <f>IFERROR(Tableau3[[#This Row],[Fonds propres]]/Tableau3[[#This Row],[Total Bilan]],"")</f>
        <v/>
      </c>
      <c r="W437" s="180"/>
      <c r="X437" s="191"/>
      <c r="Y437" s="180"/>
      <c r="Z437" s="192" t="str">
        <f>IFERROR(Tableau3[[#This Row],[Chiffre d''affaires]]/Tableau3[[#This Row],[Salariés]],"")</f>
        <v/>
      </c>
      <c r="AA437" s="197"/>
      <c r="AB437" s="197"/>
    </row>
    <row r="438" spans="1:28" ht="20.25" customHeight="1">
      <c r="A438" s="217"/>
      <c r="E438" s="187"/>
      <c r="G438" s="202">
        <f>(G437/G439)-1</f>
        <v>3.1066440412478746E-2</v>
      </c>
      <c r="H438" s="203">
        <f>(H437/H439)-1</f>
        <v>-4.1493775933609811E-3</v>
      </c>
      <c r="I438" s="203">
        <f>(I437/I439)-1</f>
        <v>-1.5600624024960652E-3</v>
      </c>
      <c r="J438" s="203">
        <f>(J437/J439)-1</f>
        <v>-0.2857142857142857</v>
      </c>
      <c r="K438" s="188"/>
      <c r="L438" s="188"/>
      <c r="M438" s="194"/>
      <c r="N438" s="190"/>
      <c r="O438" s="190"/>
      <c r="P438" s="188"/>
      <c r="Q438" s="188"/>
      <c r="R438" s="195"/>
      <c r="S438" s="197"/>
      <c r="T438" s="180"/>
      <c r="U438" s="189" t="str">
        <f>IFERROR(IF(Tableau3[[#This Row],[Dettes]]=0,"",(Tableau3[[#This Row],[Dettes]]/Tableau3[[#This Row],[EBE]])),"")</f>
        <v/>
      </c>
      <c r="V438" s="190" t="str">
        <f>IFERROR(Tableau3[[#This Row],[Fonds propres]]/Tableau3[[#This Row],[Total Bilan]],"")</f>
        <v/>
      </c>
      <c r="W438" s="180"/>
      <c r="X438" s="191"/>
      <c r="Y438" s="180"/>
      <c r="Z438" s="192" t="str">
        <f>IFERROR(Tableau3[[#This Row],[Chiffre d''affaires]]/Tableau3[[#This Row],[Salariés]],"")</f>
        <v/>
      </c>
      <c r="AA438" s="197"/>
      <c r="AB438" s="197"/>
    </row>
    <row r="439" spans="1:28" ht="20.25" customHeight="1">
      <c r="A439" s="217"/>
      <c r="E439" s="187">
        <v>13.9</v>
      </c>
      <c r="F439" s="178">
        <v>2016</v>
      </c>
      <c r="G439" s="188">
        <v>15322000000</v>
      </c>
      <c r="H439" s="188">
        <v>2651000000</v>
      </c>
      <c r="I439" s="188">
        <v>1282000000</v>
      </c>
      <c r="J439" s="188">
        <v>420000000</v>
      </c>
      <c r="K439" s="188">
        <v>8042000000</v>
      </c>
      <c r="L439" s="188">
        <v>5542660000</v>
      </c>
      <c r="M439" s="194">
        <f>L439/P439</f>
        <v>9.799999601822968</v>
      </c>
      <c r="N439" s="190">
        <f>J439/L439</f>
        <v>7.5775890998184992E-2</v>
      </c>
      <c r="O439" s="190">
        <f>(I439*0.64)/(K439+L439)</f>
        <v>6.0397536633231892E-2</v>
      </c>
      <c r="P439" s="188">
        <v>565577574</v>
      </c>
      <c r="Q439" s="188">
        <f>E439*P439</f>
        <v>7861528278.6000004</v>
      </c>
      <c r="R439" s="195">
        <f>Q439/L439</f>
        <v>1.4183674045674821</v>
      </c>
      <c r="S439" s="197">
        <f>(Q439+K439)/H439</f>
        <v>5.9990676267823462</v>
      </c>
      <c r="T439" s="180"/>
      <c r="U439" s="189">
        <f>IFERROR(IF(Tableau3[[#This Row],[Dettes]]=0,"",(Tableau3[[#This Row],[Dettes]]/Tableau3[[#This Row],[EBE]])),"")</f>
        <v>3.033572236891739</v>
      </c>
      <c r="V439" s="190" t="str">
        <f>IFERROR(Tableau3[[#This Row],[Fonds propres]]/Tableau3[[#This Row],[Total Bilan]],"")</f>
        <v/>
      </c>
      <c r="W439" s="180"/>
      <c r="X439" s="191"/>
      <c r="Y439" s="180"/>
      <c r="Z439" s="192" t="str">
        <f>IFERROR(Tableau3[[#This Row],[Chiffre d''affaires]]/Tableau3[[#This Row],[Salariés]],"")</f>
        <v/>
      </c>
      <c r="AA439" s="197"/>
      <c r="AB439" s="197"/>
    </row>
    <row r="440" spans="1:28" ht="20.25" customHeight="1">
      <c r="A440" s="217"/>
      <c r="E440" s="187"/>
      <c r="G440" s="202">
        <f>(G439/G441)-1</f>
        <v>1.2355467459530978E-2</v>
      </c>
      <c r="H440" s="203">
        <f>(H439/H441)-1</f>
        <v>-3.6350418029807319E-2</v>
      </c>
      <c r="I440" s="203">
        <f>(I439/I441)-1</f>
        <v>-7.1687183200579319E-2</v>
      </c>
      <c r="J440" s="203">
        <f>(J439/J441)-1</f>
        <v>2.9411764705882248E-2</v>
      </c>
      <c r="K440" s="188"/>
      <c r="L440" s="188"/>
      <c r="M440" s="194"/>
      <c r="N440" s="190"/>
      <c r="O440" s="190"/>
      <c r="P440" s="188"/>
      <c r="Q440" s="188"/>
      <c r="R440" s="195"/>
      <c r="S440" s="197"/>
      <c r="T440" s="180"/>
      <c r="U440" s="189" t="str">
        <f>IFERROR(IF(Tableau3[[#This Row],[Dettes]]=0,"",(Tableau3[[#This Row],[Dettes]]/Tableau3[[#This Row],[EBE]])),"")</f>
        <v/>
      </c>
      <c r="V440" s="190" t="str">
        <f>IFERROR(Tableau3[[#This Row],[Fonds propres]]/Tableau3[[#This Row],[Total Bilan]],"")</f>
        <v/>
      </c>
      <c r="W440" s="180"/>
      <c r="X440" s="191"/>
      <c r="Y440" s="180"/>
      <c r="Z440" s="192" t="str">
        <f>IFERROR(Tableau3[[#This Row],[Chiffre d''affaires]]/Tableau3[[#This Row],[Salariés]],"")</f>
        <v/>
      </c>
      <c r="AA440" s="197"/>
      <c r="AB440" s="197"/>
    </row>
    <row r="441" spans="1:28" ht="20.25" customHeight="1">
      <c r="A441" s="217"/>
      <c r="E441" s="187">
        <v>17.420000000000002</v>
      </c>
      <c r="F441" s="178">
        <v>2015</v>
      </c>
      <c r="G441" s="188">
        <v>15135000000</v>
      </c>
      <c r="H441" s="188">
        <v>2751000000</v>
      </c>
      <c r="I441" s="188">
        <v>1381000000</v>
      </c>
      <c r="J441" s="188">
        <v>408000000</v>
      </c>
      <c r="K441" s="188">
        <v>8083000000</v>
      </c>
      <c r="L441" s="188">
        <v>5542660000</v>
      </c>
      <c r="M441" s="194">
        <f>L441/P441</f>
        <v>9.799999601822968</v>
      </c>
      <c r="N441" s="190">
        <f>J441/L441</f>
        <v>7.3610865541093987E-2</v>
      </c>
      <c r="O441" s="190">
        <f>(I441*0.64)/(K441+L441)</f>
        <v>6.4865848700173062E-2</v>
      </c>
      <c r="P441" s="188">
        <v>565577574</v>
      </c>
      <c r="Q441" s="188">
        <f>E441*P441</f>
        <v>9852361339.0800018</v>
      </c>
      <c r="R441" s="195">
        <f>Q441/L441</f>
        <v>1.7775510926306146</v>
      </c>
      <c r="S441" s="197">
        <f>(Q441+K441)/H441</f>
        <v>6.5195788219120328</v>
      </c>
      <c r="T441" s="180"/>
      <c r="U441" s="189">
        <f>IFERROR(IF(Tableau3[[#This Row],[Dettes]]=0,"",(Tableau3[[#This Row],[Dettes]]/Tableau3[[#This Row],[EBE]])),"")</f>
        <v>2.9382042893493274</v>
      </c>
      <c r="V441" s="190" t="str">
        <f>IFERROR(Tableau3[[#This Row],[Fonds propres]]/Tableau3[[#This Row],[Total Bilan]],"")</f>
        <v/>
      </c>
      <c r="W441" s="180"/>
      <c r="X441" s="191"/>
      <c r="Y441" s="180"/>
      <c r="Z441" s="192" t="str">
        <f>IFERROR(Tableau3[[#This Row],[Chiffre d''affaires]]/Tableau3[[#This Row],[Salariés]],"")</f>
        <v/>
      </c>
      <c r="AA441" s="197"/>
      <c r="AB441" s="197"/>
    </row>
    <row r="442" spans="1:28" ht="20.25" customHeight="1">
      <c r="A442" s="217"/>
      <c r="E442" s="187"/>
      <c r="G442" s="202">
        <f>(G441/G443)-1</f>
        <v>5.6618263055012497E-2</v>
      </c>
      <c r="H442" s="203">
        <f>(H441/H443)-1</f>
        <v>4.0862656072644832E-2</v>
      </c>
      <c r="I442" s="203">
        <f>(I441/I443)-1</f>
        <v>0.10039840637450204</v>
      </c>
      <c r="J442" s="203">
        <f>(J441/J443)-1</f>
        <v>-2.1582733812949617E-2</v>
      </c>
      <c r="K442" s="188"/>
      <c r="L442" s="188"/>
      <c r="M442" s="194"/>
      <c r="N442" s="190"/>
      <c r="O442" s="190"/>
      <c r="P442" s="188"/>
      <c r="Q442" s="188"/>
      <c r="R442" s="195"/>
      <c r="S442" s="197"/>
      <c r="T442" s="180"/>
      <c r="U442" s="189" t="str">
        <f>IFERROR(IF(Tableau3[[#This Row],[Dettes]]=0,"",(Tableau3[[#This Row],[Dettes]]/Tableau3[[#This Row],[EBE]])),"")</f>
        <v/>
      </c>
      <c r="V442" s="190" t="str">
        <f>IFERROR(Tableau3[[#This Row],[Fonds propres]]/Tableau3[[#This Row],[Total Bilan]],"")</f>
        <v/>
      </c>
      <c r="W442" s="180"/>
      <c r="X442" s="191"/>
      <c r="Y442" s="180"/>
      <c r="Z442" s="192" t="str">
        <f>IFERROR(Tableau3[[#This Row],[Chiffre d''affaires]]/Tableau3[[#This Row],[Salariés]],"")</f>
        <v/>
      </c>
      <c r="AA442" s="197"/>
      <c r="AB442" s="197"/>
    </row>
    <row r="443" spans="1:28" ht="20.25" customHeight="1">
      <c r="A443" s="217"/>
      <c r="E443" s="187">
        <v>14.63</v>
      </c>
      <c r="F443" s="178">
        <v>2014</v>
      </c>
      <c r="G443" s="188">
        <v>14324000000</v>
      </c>
      <c r="H443" s="188">
        <v>2643000000</v>
      </c>
      <c r="I443" s="188">
        <v>1255000000</v>
      </c>
      <c r="J443" s="188">
        <v>417000000</v>
      </c>
      <c r="K443" s="188">
        <v>7186000000</v>
      </c>
      <c r="L443" s="188">
        <v>5542660000</v>
      </c>
      <c r="M443" s="194">
        <f>L443/P443</f>
        <v>9.799999601822968</v>
      </c>
      <c r="N443" s="190">
        <f>J443/L443</f>
        <v>7.5234634633912237E-2</v>
      </c>
      <c r="O443" s="190">
        <f>(I443*0.64)/(K443+L443)</f>
        <v>6.3101693343996929E-2</v>
      </c>
      <c r="P443" s="188">
        <v>565577574</v>
      </c>
      <c r="Q443" s="188">
        <f>E443*P443</f>
        <v>8274399907.6200008</v>
      </c>
      <c r="R443" s="195">
        <f>Q443/L443</f>
        <v>1.492857203512393</v>
      </c>
      <c r="S443" s="197">
        <f>(Q443+K443)/H443</f>
        <v>5.8495648534317066</v>
      </c>
      <c r="T443" s="180"/>
      <c r="U443" s="189">
        <f>IFERROR(IF(Tableau3[[#This Row],[Dettes]]=0,"",(Tableau3[[#This Row],[Dettes]]/Tableau3[[#This Row],[EBE]])),"")</f>
        <v>2.7188800605372681</v>
      </c>
      <c r="V443" s="190" t="str">
        <f>IFERROR(Tableau3[[#This Row],[Fonds propres]]/Tableau3[[#This Row],[Total Bilan]],"")</f>
        <v/>
      </c>
      <c r="W443" s="180"/>
      <c r="X443" s="191"/>
      <c r="Y443" s="180"/>
      <c r="Z443" s="192" t="str">
        <f>IFERROR(Tableau3[[#This Row],[Chiffre d''affaires]]/Tableau3[[#This Row],[Salariés]],"")</f>
        <v/>
      </c>
      <c r="AA443" s="197"/>
      <c r="AB443" s="197"/>
    </row>
    <row r="444" spans="1:28" ht="20.25" customHeight="1">
      <c r="A444" s="217"/>
      <c r="E444" s="187"/>
      <c r="G444" s="202">
        <f>(G443/G445)-1</f>
        <v>-2.1851953018301007E-2</v>
      </c>
      <c r="H444" s="203">
        <f>(H443/H445)-1</f>
        <v>4.8809523809523858E-2</v>
      </c>
      <c r="I444" s="203">
        <f>(I443/I445)-1</f>
        <v>5.9966216216216228E-2</v>
      </c>
      <c r="J444" s="203">
        <f>(J443/J445)-1</f>
        <v>0.18465909090909083</v>
      </c>
      <c r="K444" s="188"/>
      <c r="L444" s="178"/>
      <c r="M444" s="194"/>
      <c r="N444" s="190"/>
      <c r="O444" s="190"/>
      <c r="P444" s="188"/>
      <c r="Q444" s="188"/>
      <c r="R444" s="195"/>
      <c r="S444" s="197"/>
      <c r="T444" s="180"/>
      <c r="U444" s="189" t="str">
        <f>IFERROR(IF(Tableau3[[#This Row],[Dettes]]=0,"",(Tableau3[[#This Row],[Dettes]]/Tableau3[[#This Row],[EBE]])),"")</f>
        <v/>
      </c>
      <c r="V444" s="190" t="str">
        <f>IFERROR(Tableau3[[#This Row],[Fonds propres]]/Tableau3[[#This Row],[Total Bilan]],"")</f>
        <v/>
      </c>
      <c r="W444" s="180"/>
      <c r="X444" s="191"/>
      <c r="Y444" s="180"/>
      <c r="Z444" s="192" t="str">
        <f>IFERROR(Tableau3[[#This Row],[Chiffre d''affaires]]/Tableau3[[#This Row],[Salariés]],"")</f>
        <v/>
      </c>
      <c r="AA444" s="197"/>
      <c r="AB444" s="197"/>
    </row>
    <row r="445" spans="1:28" ht="20.25" customHeight="1">
      <c r="A445" s="217"/>
      <c r="E445" s="187">
        <v>13.08</v>
      </c>
      <c r="F445" s="178">
        <v>2013</v>
      </c>
      <c r="G445" s="188">
        <v>14644000000</v>
      </c>
      <c r="H445" s="188">
        <v>2520000000</v>
      </c>
      <c r="I445" s="188">
        <v>1184000000</v>
      </c>
      <c r="J445" s="188">
        <v>352000000</v>
      </c>
      <c r="K445" s="188">
        <v>7245000000</v>
      </c>
      <c r="L445" s="178"/>
      <c r="M445" s="194"/>
      <c r="N445" s="190"/>
      <c r="O445" s="190"/>
      <c r="P445" s="188"/>
      <c r="Q445" s="188"/>
      <c r="R445" s="195"/>
      <c r="S445" s="197"/>
      <c r="T445" s="180"/>
      <c r="U445" s="189">
        <f>IFERROR(IF(Tableau3[[#This Row],[Dettes]]=0,"",(Tableau3[[#This Row],[Dettes]]/Tableau3[[#This Row],[EBE]])),"")</f>
        <v>2.875</v>
      </c>
      <c r="V445" s="190" t="str">
        <f>IFERROR(Tableau3[[#This Row],[Fonds propres]]/Tableau3[[#This Row],[Total Bilan]],"")</f>
        <v/>
      </c>
      <c r="W445" s="180"/>
      <c r="X445" s="191"/>
      <c r="Y445" s="180"/>
      <c r="Z445" s="192" t="str">
        <f>IFERROR(Tableau3[[#This Row],[Chiffre d''affaires]]/Tableau3[[#This Row],[Salariés]],"")</f>
        <v/>
      </c>
      <c r="AA445" s="197"/>
      <c r="AB445" s="197"/>
    </row>
    <row r="446" spans="1:28" ht="20.25" customHeight="1">
      <c r="A446" s="217"/>
      <c r="E446" s="187"/>
      <c r="G446" s="202">
        <f>(G445/G447)-1</f>
        <v>-3.0327108992186491E-2</v>
      </c>
      <c r="H446" s="203">
        <f>(H445/H447)-1</f>
        <v>2.857142857142847E-2</v>
      </c>
      <c r="I446" s="203">
        <f>(I445/I447)-1</f>
        <v>3.3158813263525211E-2</v>
      </c>
      <c r="J446" s="203">
        <f>(J445/J447)-1</f>
        <v>0.40239043824701204</v>
      </c>
      <c r="K446" s="188"/>
      <c r="L446" s="178"/>
      <c r="M446" s="194"/>
      <c r="N446" s="190"/>
      <c r="O446" s="190"/>
      <c r="P446" s="188"/>
      <c r="Q446" s="188"/>
      <c r="R446" s="195"/>
      <c r="S446" s="197"/>
      <c r="T446" s="180"/>
      <c r="U446" s="189" t="str">
        <f>IFERROR(IF(Tableau3[[#This Row],[Dettes]]=0,"",(Tableau3[[#This Row],[Dettes]]/Tableau3[[#This Row],[EBE]])),"")</f>
        <v/>
      </c>
      <c r="V446" s="190" t="str">
        <f>IFERROR(Tableau3[[#This Row],[Fonds propres]]/Tableau3[[#This Row],[Total Bilan]],"")</f>
        <v/>
      </c>
      <c r="W446" s="180"/>
      <c r="X446" s="191"/>
      <c r="Y446" s="180"/>
      <c r="Z446" s="192" t="str">
        <f>IFERROR(Tableau3[[#This Row],[Chiffre d''affaires]]/Tableau3[[#This Row],[Salariés]],"")</f>
        <v/>
      </c>
      <c r="AA446" s="197"/>
      <c r="AB446" s="197"/>
    </row>
    <row r="447" spans="1:28" ht="20.25" customHeight="1">
      <c r="A447" s="217"/>
      <c r="E447" s="187">
        <v>9.11</v>
      </c>
      <c r="F447" s="178">
        <v>2012</v>
      </c>
      <c r="G447" s="188">
        <v>15102000000</v>
      </c>
      <c r="H447" s="188">
        <v>2450000000</v>
      </c>
      <c r="I447" s="188">
        <v>1146000000</v>
      </c>
      <c r="J447" s="188">
        <v>251000000</v>
      </c>
      <c r="K447" s="188">
        <v>7436000000</v>
      </c>
      <c r="L447" s="178"/>
      <c r="M447" s="194"/>
      <c r="N447" s="190"/>
      <c r="O447" s="190"/>
      <c r="P447" s="188"/>
      <c r="Q447" s="188"/>
      <c r="R447" s="195"/>
      <c r="S447" s="197"/>
      <c r="T447" s="180"/>
      <c r="U447" s="189">
        <f>IFERROR(IF(Tableau3[[#This Row],[Dettes]]=0,"",(Tableau3[[#This Row],[Dettes]]/Tableau3[[#This Row],[EBE]])),"")</f>
        <v>3.0351020408163265</v>
      </c>
      <c r="V447" s="190" t="str">
        <f>IFERROR(Tableau3[[#This Row],[Fonds propres]]/Tableau3[[#This Row],[Total Bilan]],"")</f>
        <v/>
      </c>
      <c r="W447" s="180"/>
      <c r="X447" s="191"/>
      <c r="Y447" s="180"/>
      <c r="Z447" s="192" t="str">
        <f>IFERROR(Tableau3[[#This Row],[Chiffre d''affaires]]/Tableau3[[#This Row],[Salariés]],"")</f>
        <v/>
      </c>
      <c r="AA447" s="197"/>
      <c r="AB447" s="197"/>
    </row>
    <row r="448" spans="1:28" ht="20.25" customHeight="1">
      <c r="A448" s="217"/>
      <c r="E448" s="187"/>
      <c r="G448" s="202">
        <f>(G447/G449)-1</f>
        <v>1.8341200269723634E-2</v>
      </c>
      <c r="H448" s="203">
        <f>(H447/H449)-1</f>
        <v>-2.5069637883008311E-2</v>
      </c>
      <c r="I448" s="203">
        <f>(I447/I449)-1</f>
        <v>0.1029836381135707</v>
      </c>
      <c r="J448" s="203">
        <f>(J447/J449)-1</f>
        <v>-0.22291021671826627</v>
      </c>
      <c r="K448" s="188"/>
      <c r="L448" s="178"/>
      <c r="M448" s="194"/>
      <c r="N448" s="190"/>
      <c r="O448" s="190"/>
      <c r="P448" s="188"/>
      <c r="Q448" s="188"/>
      <c r="R448" s="195"/>
      <c r="S448" s="197"/>
      <c r="T448" s="180"/>
      <c r="U448" s="189" t="str">
        <f>IFERROR(IF(Tableau3[[#This Row],[Dettes]]=0,"",(Tableau3[[#This Row],[Dettes]]/Tableau3[[#This Row],[EBE]])),"")</f>
        <v/>
      </c>
      <c r="V448" s="190" t="str">
        <f>IFERROR(Tableau3[[#This Row],[Fonds propres]]/Tableau3[[#This Row],[Total Bilan]],"")</f>
        <v/>
      </c>
      <c r="W448" s="180"/>
      <c r="X448" s="191"/>
      <c r="Y448" s="180"/>
      <c r="Z448" s="192" t="str">
        <f>IFERROR(Tableau3[[#This Row],[Chiffre d''affaires]]/Tableau3[[#This Row],[Salariés]],"")</f>
        <v/>
      </c>
      <c r="AA448" s="197"/>
      <c r="AB448" s="197"/>
    </row>
    <row r="449" spans="1:29" ht="20.25" customHeight="1">
      <c r="A449" s="217"/>
      <c r="E449" s="187">
        <v>8.9</v>
      </c>
      <c r="F449" s="178">
        <v>2011</v>
      </c>
      <c r="G449" s="188">
        <v>14830000000</v>
      </c>
      <c r="H449" s="188">
        <v>2513000000</v>
      </c>
      <c r="I449" s="188">
        <v>1039000000</v>
      </c>
      <c r="J449" s="188">
        <v>323000000</v>
      </c>
      <c r="K449" s="188">
        <v>7557000000</v>
      </c>
      <c r="L449" s="178"/>
      <c r="M449" s="194"/>
      <c r="N449" s="190"/>
      <c r="O449" s="190"/>
      <c r="P449" s="188"/>
      <c r="Q449" s="188"/>
      <c r="R449" s="195"/>
      <c r="S449" s="197"/>
      <c r="T449" s="180"/>
      <c r="U449" s="189">
        <f>IFERROR(IF(Tableau3[[#This Row],[Dettes]]=0,"",(Tableau3[[#This Row],[Dettes]]/Tableau3[[#This Row],[EBE]])),"")</f>
        <v>3.0071627536808596</v>
      </c>
      <c r="V449" s="190" t="str">
        <f>IFERROR(Tableau3[[#This Row],[Fonds propres]]/Tableau3[[#This Row],[Total Bilan]],"")</f>
        <v/>
      </c>
      <c r="W449" s="180"/>
      <c r="X449" s="191"/>
      <c r="Y449" s="180"/>
      <c r="Z449" s="192" t="str">
        <f>IFERROR(Tableau3[[#This Row],[Chiffre d''affaires]]/Tableau3[[#This Row],[Salariés]],"")</f>
        <v/>
      </c>
      <c r="AA449" s="197"/>
      <c r="AB449" s="197"/>
    </row>
    <row r="450" spans="1:29" ht="20.25" customHeight="1">
      <c r="A450" s="217"/>
      <c r="E450" s="187"/>
      <c r="G450" s="188"/>
      <c r="H450" s="188"/>
      <c r="I450" s="188"/>
      <c r="J450" s="188"/>
      <c r="K450" s="188"/>
      <c r="L450" s="178"/>
      <c r="M450" s="194"/>
      <c r="N450" s="190"/>
      <c r="O450" s="190"/>
      <c r="P450" s="188"/>
      <c r="Q450" s="188"/>
      <c r="R450" s="195"/>
      <c r="S450" s="197"/>
      <c r="T450" s="180"/>
      <c r="U450" s="189" t="str">
        <f>IFERROR(IF(Tableau3[[#This Row],[Dettes]]=0,"",(Tableau3[[#This Row],[Dettes]]/Tableau3[[#This Row],[EBE]])),"")</f>
        <v/>
      </c>
      <c r="V450" s="190" t="str">
        <f>IFERROR(Tableau3[[#This Row],[Fonds propres]]/Tableau3[[#This Row],[Total Bilan]],"")</f>
        <v/>
      </c>
      <c r="W450" s="180"/>
      <c r="X450" s="191"/>
      <c r="Y450" s="180"/>
      <c r="Z450" s="192" t="str">
        <f>IFERROR(Tableau3[[#This Row],[Chiffre d''affaires]]/Tableau3[[#This Row],[Salariés]],"")</f>
        <v/>
      </c>
      <c r="AA450" s="197"/>
      <c r="AB450" s="197"/>
    </row>
    <row r="451" spans="1:29" ht="20.25" customHeight="1">
      <c r="A451" s="217"/>
      <c r="E451" s="187"/>
      <c r="G451" s="188"/>
      <c r="H451" s="188"/>
      <c r="I451" s="188"/>
      <c r="J451" s="188"/>
      <c r="K451" s="188"/>
      <c r="L451" s="178"/>
      <c r="M451" s="194"/>
      <c r="N451" s="190"/>
      <c r="O451" s="190"/>
      <c r="P451" s="188"/>
      <c r="Q451" s="188"/>
      <c r="R451" s="195"/>
      <c r="S451" s="197"/>
      <c r="T451" s="180"/>
      <c r="U451" s="189" t="str">
        <f>IFERROR(IF(Tableau3[[#This Row],[Dettes]]=0,"",(Tableau3[[#This Row],[Dettes]]/Tableau3[[#This Row],[EBE]])),"")</f>
        <v/>
      </c>
      <c r="V451" s="190" t="str">
        <f>IFERROR(Tableau3[[#This Row],[Fonds propres]]/Tableau3[[#This Row],[Total Bilan]],"")</f>
        <v/>
      </c>
      <c r="W451" s="180"/>
      <c r="X451" s="191"/>
      <c r="Y451" s="180"/>
      <c r="Z451" s="192" t="str">
        <f>IFERROR(Tableau3[[#This Row],[Chiffre d''affaires]]/Tableau3[[#This Row],[Salariés]],"")</f>
        <v/>
      </c>
      <c r="AA451" s="197"/>
      <c r="AB451" s="197"/>
    </row>
    <row r="452" spans="1:29" ht="20.25" customHeight="1">
      <c r="A452" s="217"/>
      <c r="E452" s="187"/>
      <c r="G452" s="188"/>
      <c r="H452" s="188"/>
      <c r="I452" s="188"/>
      <c r="J452" s="188"/>
      <c r="K452" s="188"/>
      <c r="L452" s="178"/>
      <c r="M452" s="194"/>
      <c r="N452" s="190"/>
      <c r="O452" s="190"/>
      <c r="P452" s="188"/>
      <c r="Q452" s="188"/>
      <c r="R452" s="195"/>
      <c r="S452" s="197"/>
      <c r="T452" s="180"/>
      <c r="U452" s="189" t="str">
        <f>IFERROR(IF(Tableau3[[#This Row],[Dettes]]=0,"",(Tableau3[[#This Row],[Dettes]]/Tableau3[[#This Row],[EBE]])),"")</f>
        <v/>
      </c>
      <c r="V452" s="190" t="str">
        <f>IFERROR(Tableau3[[#This Row],[Fonds propres]]/Tableau3[[#This Row],[Total Bilan]],"")</f>
        <v/>
      </c>
      <c r="W452" s="180"/>
      <c r="X452" s="191"/>
      <c r="Y452" s="180"/>
      <c r="Z452" s="192" t="str">
        <f>IFERROR(Tableau3[[#This Row],[Chiffre d''affaires]]/Tableau3[[#This Row],[Salariés]],"")</f>
        <v/>
      </c>
      <c r="AA452" s="197"/>
      <c r="AB452" s="197"/>
    </row>
    <row r="453" spans="1:29" ht="20.25" customHeight="1">
      <c r="A453" s="217" t="s">
        <v>370</v>
      </c>
      <c r="B453" s="216" t="s">
        <v>371</v>
      </c>
      <c r="C453" s="178" t="s">
        <v>84</v>
      </c>
      <c r="D453" s="178" t="s">
        <v>85</v>
      </c>
      <c r="E453" s="187"/>
      <c r="F453" s="178">
        <v>2025</v>
      </c>
      <c r="G453" s="188"/>
      <c r="H453" s="188"/>
      <c r="I453" s="188"/>
      <c r="J453" s="188"/>
      <c r="K453" s="188"/>
      <c r="L453" s="178"/>
      <c r="M453" s="194"/>
      <c r="N453" s="190"/>
      <c r="O453" s="190"/>
      <c r="P453" s="188"/>
      <c r="Q453" s="188"/>
      <c r="R453" s="195"/>
      <c r="S453" s="197"/>
      <c r="T453" s="180"/>
      <c r="U453" s="189" t="str">
        <f>IFERROR(IF(Tableau3[[#This Row],[Dettes]]=0,"",(Tableau3[[#This Row],[Dettes]]/Tableau3[[#This Row],[EBE]])),"")</f>
        <v/>
      </c>
      <c r="V453" s="190" t="str">
        <f>IFERROR(Tableau3[[#This Row],[Fonds propres]]/Tableau3[[#This Row],[Total Bilan]],"")</f>
        <v/>
      </c>
      <c r="W453" s="180"/>
      <c r="X453" s="191" t="s">
        <v>372</v>
      </c>
      <c r="Y453" s="180"/>
      <c r="Z453" s="192" t="str">
        <f>IFERROR(Tableau3[[#This Row],[Chiffre d''affaires]]/Tableau3[[#This Row],[Salariés]],"")</f>
        <v/>
      </c>
      <c r="AA453" s="197"/>
      <c r="AB453" s="197"/>
      <c r="AC453" s="177" t="s">
        <v>373</v>
      </c>
    </row>
    <row r="454" spans="1:29" ht="20.25" customHeight="1">
      <c r="A454" s="217"/>
      <c r="E454" s="187"/>
      <c r="G454" s="188"/>
      <c r="H454" s="188"/>
      <c r="I454" s="188"/>
      <c r="J454" s="188"/>
      <c r="K454" s="188"/>
      <c r="L454" s="178"/>
      <c r="M454" s="194"/>
      <c r="N454" s="190"/>
      <c r="O454" s="190"/>
      <c r="P454" s="188"/>
      <c r="Q454" s="188"/>
      <c r="R454" s="195"/>
      <c r="S454" s="197"/>
      <c r="T454" s="180"/>
      <c r="U454" s="189" t="str">
        <f>IFERROR(IF(Tableau3[[#This Row],[Dettes]]=0,"",(Tableau3[[#This Row],[Dettes]]/Tableau3[[#This Row],[EBE]])),"")</f>
        <v/>
      </c>
      <c r="V454" s="190" t="str">
        <f>IFERROR(Tableau3[[#This Row],[Fonds propres]]/Tableau3[[#This Row],[Total Bilan]],"")</f>
        <v/>
      </c>
      <c r="W454" s="180"/>
      <c r="X454" s="191" t="s">
        <v>375</v>
      </c>
      <c r="Y454" s="180"/>
      <c r="Z454" s="192" t="str">
        <f>IFERROR(Tableau3[[#This Row],[Chiffre d''affaires]]/Tableau3[[#This Row],[Salariés]],"")</f>
        <v/>
      </c>
      <c r="AA454" s="197"/>
      <c r="AB454" s="197"/>
      <c r="AC454" s="177" t="s">
        <v>5216</v>
      </c>
    </row>
    <row r="455" spans="1:29" ht="20.25" customHeight="1">
      <c r="A455" s="217"/>
      <c r="E455" s="187">
        <v>15.6</v>
      </c>
      <c r="F455" s="178">
        <v>2024</v>
      </c>
      <c r="G455" s="188">
        <v>73812000000</v>
      </c>
      <c r="H455" s="188">
        <v>15566000000</v>
      </c>
      <c r="I455" s="188">
        <v>9030000000</v>
      </c>
      <c r="J455" s="188">
        <v>4106000000</v>
      </c>
      <c r="K455" s="188">
        <v>33223000000</v>
      </c>
      <c r="L455" s="211">
        <v>34556000000</v>
      </c>
      <c r="M455" s="194">
        <f>L455/P455</f>
        <v>14.189714897399334</v>
      </c>
      <c r="N455" s="190">
        <f>J455/L455</f>
        <v>0.11882162287301772</v>
      </c>
      <c r="O455" s="190">
        <f>(I455*0.64)/(K455+L455)</f>
        <v>8.5265347674058342E-2</v>
      </c>
      <c r="P455" s="188">
        <v>2435285011</v>
      </c>
      <c r="Q455" s="188">
        <f>E455*P455</f>
        <v>37990446171.599998</v>
      </c>
      <c r="R455" s="195">
        <f>Q455/L455</f>
        <v>1.0993878392059266</v>
      </c>
      <c r="S455" s="197">
        <f>(Q455+K455)/H455</f>
        <v>4.5749355114737256</v>
      </c>
      <c r="T455" s="180"/>
      <c r="U455" s="189">
        <f>IFERROR(IF(Tableau3[[#This Row],[Dettes]]=0,"",(Tableau3[[#This Row],[Dettes]]/Tableau3[[#This Row],[EBE]])),"")</f>
        <v>2.1343312347423873</v>
      </c>
      <c r="V455" s="190">
        <f>IFERROR(Tableau3[[#This Row],[Fonds propres]]/Tableau3[[#This Row],[Total Bilan]],"")</f>
        <v>0.18231123116532308</v>
      </c>
      <c r="W455" s="180">
        <v>189544000000</v>
      </c>
      <c r="X455" s="191"/>
      <c r="Y455" s="180">
        <v>97967</v>
      </c>
      <c r="Z455" s="192">
        <f>IFERROR(Tableau3[[#This Row],[Chiffre d''affaires]]/Tableau3[[#This Row],[Salariés]],"")</f>
        <v>753437.38197556324</v>
      </c>
      <c r="AA455" s="197"/>
      <c r="AB455" s="197"/>
      <c r="AC455" s="177" t="s">
        <v>5215</v>
      </c>
    </row>
    <row r="456" spans="1:29" ht="20.25" customHeight="1">
      <c r="A456" s="217"/>
      <c r="E456" s="187"/>
      <c r="G456" s="202">
        <f>(G455/G457)-1</f>
        <v>-0.10601344395324896</v>
      </c>
      <c r="H456" s="203">
        <f>(H455/H457)-1</f>
        <v>3.6558566957448191E-2</v>
      </c>
      <c r="I456" s="203">
        <f>(I455/I457)-1</f>
        <v>0.48081338143653651</v>
      </c>
      <c r="J456" s="203">
        <f>(J455/J457)-1</f>
        <v>0.85960144927536231</v>
      </c>
      <c r="K456" s="188"/>
      <c r="L456" s="178"/>
      <c r="M456" s="194"/>
      <c r="N456" s="190"/>
      <c r="O456" s="190"/>
      <c r="P456" s="188"/>
      <c r="Q456" s="188"/>
      <c r="R456" s="195"/>
      <c r="S456" s="197"/>
      <c r="T456" s="180"/>
      <c r="U456" s="189" t="str">
        <f>IFERROR(IF(Tableau3[[#This Row],[Dettes]]=0,"",(Tableau3[[#This Row],[Dettes]]/Tableau3[[#This Row],[EBE]])),"")</f>
        <v/>
      </c>
      <c r="V456" s="190" t="str">
        <f>IFERROR(Tableau3[[#This Row],[Fonds propres]]/Tableau3[[#This Row],[Total Bilan]],"")</f>
        <v/>
      </c>
      <c r="W456" s="180"/>
      <c r="Y456" s="180"/>
      <c r="Z456" s="192" t="str">
        <f>IFERROR(Tableau3[[#This Row],[Chiffre d''affaires]]/Tableau3[[#This Row],[Salariés]],"")</f>
        <v/>
      </c>
      <c r="AA456" s="197"/>
      <c r="AB456" s="197"/>
      <c r="AC456" s="177" t="s">
        <v>5225</v>
      </c>
    </row>
    <row r="457" spans="1:29" ht="20.25" customHeight="1">
      <c r="A457" s="217"/>
      <c r="E457" s="187">
        <v>15.92</v>
      </c>
      <c r="F457" s="178">
        <v>2023</v>
      </c>
      <c r="G457" s="188">
        <v>82565000000</v>
      </c>
      <c r="H457" s="188">
        <v>15017000000</v>
      </c>
      <c r="I457" s="188">
        <v>6098000000</v>
      </c>
      <c r="J457" s="188">
        <v>2208000000</v>
      </c>
      <c r="K457" s="188">
        <v>29493000000</v>
      </c>
      <c r="L457" s="211">
        <v>30057000000</v>
      </c>
      <c r="M457" s="194">
        <f>L457/P457</f>
        <v>12.342292530128828</v>
      </c>
      <c r="N457" s="190">
        <f>J457/L457</f>
        <v>7.3460425192134943E-2</v>
      </c>
      <c r="O457" s="190">
        <f>(I457*0.64)/(K457+L457)</f>
        <v>6.5536859781696058E-2</v>
      </c>
      <c r="P457" s="188">
        <v>2435285011</v>
      </c>
      <c r="Q457" s="188">
        <f>E457*P457</f>
        <v>38769737375.120003</v>
      </c>
      <c r="R457" s="195">
        <f>Q457/L457</f>
        <v>1.2898738189147287</v>
      </c>
      <c r="S457" s="197">
        <f>(Q457+K457)/H457</f>
        <v>4.545697367990944</v>
      </c>
      <c r="T457" s="180"/>
      <c r="U457" s="189">
        <f>IFERROR(IF(Tableau3[[#This Row],[Dettes]]=0,"",(Tableau3[[#This Row],[Dettes]]/Tableau3[[#This Row],[EBE]])),"")</f>
        <v>1.9639741626157021</v>
      </c>
      <c r="V457" s="190">
        <f>IFERROR(Tableau3[[#This Row],[Fonds propres]]/Tableau3[[#This Row],[Total Bilan]],"")</f>
        <v>0.15442355117139334</v>
      </c>
      <c r="W457" s="180">
        <v>194640000000</v>
      </c>
      <c r="X457" s="191"/>
      <c r="Y457" s="180">
        <v>97300</v>
      </c>
      <c r="Z457" s="192">
        <f>IFERROR(Tableau3[[#This Row],[Chiffre d''affaires]]/Tableau3[[#This Row],[Salariés]],"")</f>
        <v>848561.15107913665</v>
      </c>
      <c r="AA457" s="197"/>
      <c r="AB457" s="197"/>
      <c r="AC457" s="177" t="s">
        <v>5224</v>
      </c>
    </row>
    <row r="458" spans="1:29" ht="20.25" customHeight="1">
      <c r="A458" s="217"/>
      <c r="E458" s="187"/>
      <c r="G458" s="202">
        <f>(G457/G459)-1</f>
        <v>-0.12038566025675168</v>
      </c>
      <c r="H458" s="203">
        <f>(H457/H459)-1</f>
        <v>9.6131386861313839E-2</v>
      </c>
      <c r="I458" s="203">
        <f>(I457/I459)-1</f>
        <v>-0.32244444444444442</v>
      </c>
      <c r="J458" s="203">
        <f>(J457/J459)-1</f>
        <v>10.039999999999999</v>
      </c>
      <c r="K458" s="188"/>
      <c r="L458" s="178"/>
      <c r="M458" s="194"/>
      <c r="N458" s="190"/>
      <c r="O458" s="190"/>
      <c r="P458" s="188"/>
      <c r="Q458" s="188"/>
      <c r="R458" s="195"/>
      <c r="S458" s="197"/>
      <c r="T458" s="180"/>
      <c r="U458" s="189" t="str">
        <f>IFERROR(IF(Tableau3[[#This Row],[Dettes]]=0,"",(Tableau3[[#This Row],[Dettes]]/Tableau3[[#This Row],[EBE]])),"")</f>
        <v/>
      </c>
      <c r="V458" s="190" t="str">
        <f>IFERROR(Tableau3[[#This Row],[Fonds propres]]/Tableau3[[#This Row],[Total Bilan]],"")</f>
        <v/>
      </c>
      <c r="W458" s="180"/>
      <c r="X458" s="191"/>
      <c r="Y458" s="180"/>
      <c r="Z458" s="192" t="str">
        <f>IFERROR(Tableau3[[#This Row],[Chiffre d''affaires]]/Tableau3[[#This Row],[Salariés]],"")</f>
        <v/>
      </c>
      <c r="AA458" s="197"/>
      <c r="AB458" s="197"/>
      <c r="AC458" s="6" t="s">
        <v>5223</v>
      </c>
    </row>
    <row r="459" spans="1:29" ht="20.25" customHeight="1">
      <c r="A459" s="217"/>
      <c r="E459" s="187">
        <v>13.39</v>
      </c>
      <c r="F459" s="178">
        <v>2022</v>
      </c>
      <c r="G459" s="188">
        <v>93865000000</v>
      </c>
      <c r="H459" s="188">
        <v>13700000000</v>
      </c>
      <c r="I459" s="188">
        <v>9000000000</v>
      </c>
      <c r="J459" s="188">
        <v>200000000</v>
      </c>
      <c r="K459" s="188">
        <v>24100000000</v>
      </c>
      <c r="L459" s="211">
        <v>34253000000</v>
      </c>
      <c r="M459" s="194">
        <f>L459/P459</f>
        <v>14.065294142279759</v>
      </c>
      <c r="N459" s="190">
        <f>J459/L459</f>
        <v>5.8389046214930079E-3</v>
      </c>
      <c r="O459" s="190">
        <f>(I459*0.64)/(K459+L459)</f>
        <v>9.8709577913731944E-2</v>
      </c>
      <c r="P459" s="188">
        <v>2435285011</v>
      </c>
      <c r="Q459" s="188">
        <f>E459*P459</f>
        <v>32608466297.290001</v>
      </c>
      <c r="R459" s="195">
        <f>Q459/L459</f>
        <v>0.95198862281522789</v>
      </c>
      <c r="S459" s="197">
        <f>(Q459+K459)/H459</f>
        <v>4.139304109291241</v>
      </c>
      <c r="T459" s="180"/>
      <c r="U459" s="189">
        <f>IFERROR(IF(Tableau3[[#This Row],[Dettes]]=0,"",(Tableau3[[#This Row],[Dettes]]/Tableau3[[#This Row],[EBE]])),"")</f>
        <v>1.7591240875912408</v>
      </c>
      <c r="V459" s="190">
        <f>IFERROR(Tableau3[[#This Row],[Fonds propres]]/Tableau3[[#This Row],[Total Bilan]],"")</f>
        <v>0.14545415941228926</v>
      </c>
      <c r="W459" s="180">
        <v>235490000000</v>
      </c>
      <c r="X459" s="191"/>
      <c r="Y459" s="180">
        <v>96600</v>
      </c>
      <c r="Z459" s="192">
        <f>IFERROR(Tableau3[[#This Row],[Chiffre d''affaires]]/Tableau3[[#This Row],[Salariés]],"")</f>
        <v>971687.37060041411</v>
      </c>
      <c r="AA459" s="197"/>
      <c r="AB459" s="197"/>
      <c r="AC459" s="6" t="s">
        <v>5217</v>
      </c>
    </row>
    <row r="460" spans="1:29" ht="20.25" customHeight="1">
      <c r="A460" s="217"/>
      <c r="E460" s="187"/>
      <c r="G460" s="202">
        <f>(G459/G461)-1</f>
        <v>0.62115716753022454</v>
      </c>
      <c r="H460" s="203">
        <f>(H459/H461)-1</f>
        <v>0.29245283018867929</v>
      </c>
      <c r="I460" s="203">
        <f>(I459/I461)-1</f>
        <v>0.47540983606557385</v>
      </c>
      <c r="J460" s="203">
        <f>(J459/J461)-1</f>
        <v>-0.94594594594594594</v>
      </c>
      <c r="K460" s="188"/>
      <c r="L460" s="211"/>
      <c r="M460" s="194"/>
      <c r="N460" s="190"/>
      <c r="O460" s="190"/>
      <c r="P460" s="188"/>
      <c r="Q460" s="188"/>
      <c r="R460" s="195"/>
      <c r="S460" s="197"/>
      <c r="T460" s="180"/>
      <c r="U460" s="189" t="str">
        <f>IFERROR(IF(Tableau3[[#This Row],[Dettes]]=0,"",(Tableau3[[#This Row],[Dettes]]/Tableau3[[#This Row],[EBE]])),"")</f>
        <v/>
      </c>
      <c r="V460" s="190" t="str">
        <f>IFERROR(Tableau3[[#This Row],[Fonds propres]]/Tableau3[[#This Row],[Total Bilan]],"")</f>
        <v/>
      </c>
      <c r="W460" s="180"/>
      <c r="X460" s="191"/>
      <c r="Y460" s="180"/>
      <c r="Z460" s="192" t="str">
        <f>IFERROR(Tableau3[[#This Row],[Chiffre d''affaires]]/Tableau3[[#This Row],[Salariés]],"")</f>
        <v/>
      </c>
      <c r="AA460" s="197"/>
      <c r="AB460" s="197"/>
      <c r="AC460" s="10" t="s">
        <v>5218</v>
      </c>
    </row>
    <row r="461" spans="1:29" ht="20.25" customHeight="1">
      <c r="A461" s="217"/>
      <c r="E461" s="187">
        <v>13.01</v>
      </c>
      <c r="F461" s="178">
        <v>2021</v>
      </c>
      <c r="G461" s="188">
        <v>57900000000</v>
      </c>
      <c r="H461" s="188">
        <v>10600000000</v>
      </c>
      <c r="I461" s="188">
        <v>6100000000</v>
      </c>
      <c r="J461" s="188">
        <v>3700000000</v>
      </c>
      <c r="K461" s="188">
        <v>25400000000</v>
      </c>
      <c r="L461" s="211">
        <v>36994000000</v>
      </c>
      <c r="M461" s="194">
        <f>L461/P461</f>
        <v>15.190829752123827</v>
      </c>
      <c r="N461" s="190">
        <f>J461/L461</f>
        <v>0.1000162188462994</v>
      </c>
      <c r="O461" s="190">
        <f>(I461*0.64)/(K461+L461)</f>
        <v>6.257011892169119E-2</v>
      </c>
      <c r="P461" s="188">
        <v>2435285011</v>
      </c>
      <c r="Q461" s="188">
        <f>E461*P461</f>
        <v>31683057993.110001</v>
      </c>
      <c r="R461" s="195">
        <f>Q461/L461</f>
        <v>0.85643774647537441</v>
      </c>
      <c r="S461" s="197">
        <f>(Q461+K461)/H461</f>
        <v>5.3851941502933967</v>
      </c>
      <c r="T461" s="180"/>
      <c r="U461" s="189">
        <f>IFERROR(IF(Tableau3[[#This Row],[Dettes]]=0,"",(Tableau3[[#This Row],[Dettes]]/Tableau3[[#This Row],[EBE]])),"")</f>
        <v>2.3962264150943398</v>
      </c>
      <c r="V461" s="190">
        <f>IFERROR(Tableau3[[#This Row],[Fonds propres]]/Tableau3[[#This Row],[Total Bilan]],"")</f>
        <v>0.16417479907514657</v>
      </c>
      <c r="W461" s="180">
        <v>225333000000</v>
      </c>
      <c r="X461" s="191"/>
      <c r="Y461" s="180">
        <v>172471</v>
      </c>
      <c r="Z461" s="192">
        <f>IFERROR(Tableau3[[#This Row],[Chiffre d''affaires]]/Tableau3[[#This Row],[Salariés]],"")</f>
        <v>335708.61188257736</v>
      </c>
      <c r="AA461" s="197"/>
      <c r="AB461" s="197"/>
      <c r="AC461" s="10" t="s">
        <v>5228</v>
      </c>
    </row>
    <row r="462" spans="1:29" ht="20.25" customHeight="1">
      <c r="A462" s="217"/>
      <c r="E462" s="187"/>
      <c r="G462" s="202">
        <f>(G461/G463)-1</f>
        <v>0.30685024263627136</v>
      </c>
      <c r="H462" s="203">
        <f>(H461/H463)-1</f>
        <v>0.17537218271049704</v>
      </c>
      <c r="I462" s="203">
        <f>(I461/I463)-1</f>
        <v>0.47960569720960922</v>
      </c>
      <c r="J462" s="203">
        <f>(J461/J463)-1</f>
        <v>36</v>
      </c>
      <c r="K462" s="188"/>
      <c r="L462" s="178"/>
      <c r="M462" s="194"/>
      <c r="N462" s="190"/>
      <c r="O462" s="190"/>
      <c r="P462" s="188"/>
      <c r="Q462" s="188"/>
      <c r="R462" s="195"/>
      <c r="S462" s="197"/>
      <c r="T462" s="180"/>
      <c r="U462" s="189" t="str">
        <f>IFERROR(IF(Tableau3[[#This Row],[Dettes]]=0,"",(Tableau3[[#This Row],[Dettes]]/Tableau3[[#This Row],[EBE]])),"")</f>
        <v/>
      </c>
      <c r="V462" s="190" t="str">
        <f>IFERROR(Tableau3[[#This Row],[Fonds propres]]/Tableau3[[#This Row],[Total Bilan]],"")</f>
        <v/>
      </c>
      <c r="W462" s="180"/>
      <c r="X462" s="191"/>
      <c r="Y462" s="180"/>
      <c r="Z462" s="192" t="str">
        <f>IFERROR(Tableau3[[#This Row],[Chiffre d''affaires]]/Tableau3[[#This Row],[Salariés]],"")</f>
        <v/>
      </c>
      <c r="AA462" s="197"/>
      <c r="AB462" s="197"/>
      <c r="AC462" s="177" t="s">
        <v>5220</v>
      </c>
    </row>
    <row r="463" spans="1:29" ht="20.25" customHeight="1">
      <c r="A463" s="217"/>
      <c r="E463" s="187">
        <v>12.52</v>
      </c>
      <c r="F463" s="178">
        <v>2020</v>
      </c>
      <c r="G463" s="188">
        <v>44305000000</v>
      </c>
      <c r="H463" s="188">
        <f>H465*0.87</f>
        <v>9018420000</v>
      </c>
      <c r="I463" s="188">
        <f>I465*0.72</f>
        <v>4122720000</v>
      </c>
      <c r="J463" s="188">
        <v>100000000</v>
      </c>
      <c r="K463" s="188">
        <v>25000000000</v>
      </c>
      <c r="L463" s="211">
        <f>L465*0.95</f>
        <v>31432650000</v>
      </c>
      <c r="M463" s="194">
        <f>L463/P463</f>
        <v>12.907175077258339</v>
      </c>
      <c r="N463" s="190">
        <f>J463/L463</f>
        <v>3.1814053221729637E-3</v>
      </c>
      <c r="O463" s="190">
        <f>(I463*0.64)/(K463+L463)</f>
        <v>4.6755571464391625E-2</v>
      </c>
      <c r="P463" s="188">
        <v>2435285011</v>
      </c>
      <c r="Q463" s="188">
        <f>E463*P463</f>
        <v>30489768337.719997</v>
      </c>
      <c r="R463" s="195">
        <f>Q463/L463</f>
        <v>0.97000311261443106</v>
      </c>
      <c r="S463" s="197">
        <f>(Q463+K463)/H463</f>
        <v>6.1529368046420547</v>
      </c>
      <c r="T463" s="180"/>
      <c r="U463" s="189">
        <f>IFERROR(IF(Tableau3[[#This Row],[Dettes]]=0,"",(Tableau3[[#This Row],[Dettes]]/Tableau3[[#This Row],[EBE]])),"")</f>
        <v>2.7721042045058892</v>
      </c>
      <c r="V463" s="190" t="str">
        <f>IFERROR(Tableau3[[#This Row],[Fonds propres]]/Tableau3[[#This Row],[Total Bilan]],"")</f>
        <v/>
      </c>
      <c r="W463" s="180"/>
      <c r="X463" s="188"/>
      <c r="Y463" s="188">
        <v>174146</v>
      </c>
      <c r="Z463" s="192">
        <f>IFERROR(Tableau3[[#This Row],[Chiffre d''affaires]]/Tableau3[[#This Row],[Salariés]],"")</f>
        <v>254412.9638349431</v>
      </c>
      <c r="AA463" s="197"/>
      <c r="AB463" s="197"/>
      <c r="AC463" s="177" t="s">
        <v>376</v>
      </c>
    </row>
    <row r="464" spans="1:29" ht="20.25" customHeight="1">
      <c r="A464" s="217"/>
      <c r="E464" s="187"/>
      <c r="G464" s="202">
        <f>(G463/G465)-1</f>
        <v>-0.26229644676812414</v>
      </c>
      <c r="H464" s="203">
        <f>(H463/H465)-1</f>
        <v>-0.13</v>
      </c>
      <c r="I464" s="203">
        <f>(I463/I465)-1</f>
        <v>-0.28000000000000003</v>
      </c>
      <c r="J464" s="203">
        <f>(J463/J465)-1</f>
        <v>-0.89837398373983746</v>
      </c>
      <c r="K464" s="188"/>
      <c r="L464" s="188"/>
      <c r="M464" s="194"/>
      <c r="N464" s="190"/>
      <c r="O464" s="190"/>
      <c r="P464" s="188"/>
      <c r="Q464" s="188"/>
      <c r="R464" s="195"/>
      <c r="S464" s="197"/>
      <c r="T464" s="180"/>
      <c r="U464" s="189" t="str">
        <f>IFERROR(IF(Tableau3[[#This Row],[Dettes]]=0,"",(Tableau3[[#This Row],[Dettes]]/Tableau3[[#This Row],[EBE]])),"")</f>
        <v/>
      </c>
      <c r="V464" s="190" t="str">
        <f>IFERROR(Tableau3[[#This Row],[Fonds propres]]/Tableau3[[#This Row],[Total Bilan]],"")</f>
        <v/>
      </c>
      <c r="W464" s="180"/>
      <c r="X464" s="191"/>
      <c r="Y464" s="180"/>
      <c r="Z464" s="192" t="str">
        <f>IFERROR(Tableau3[[#This Row],[Chiffre d''affaires]]/Tableau3[[#This Row],[Salariés]],"")</f>
        <v/>
      </c>
      <c r="AA464" s="197"/>
      <c r="AB464" s="197"/>
      <c r="AC464" s="177" t="s">
        <v>377</v>
      </c>
    </row>
    <row r="465" spans="1:29" ht="20.25" customHeight="1">
      <c r="A465" s="217"/>
      <c r="E465" s="187">
        <v>14.5</v>
      </c>
      <c r="F465" s="178">
        <v>2019</v>
      </c>
      <c r="G465" s="188">
        <v>60058000000</v>
      </c>
      <c r="H465" s="188">
        <v>10366000000</v>
      </c>
      <c r="I465" s="188">
        <v>5726000000</v>
      </c>
      <c r="J465" s="188">
        <v>984000000</v>
      </c>
      <c r="K465" s="188">
        <v>25919000000</v>
      </c>
      <c r="L465" s="188">
        <v>33087000000</v>
      </c>
      <c r="M465" s="194">
        <f>L465/P465</f>
        <v>13.586500081324568</v>
      </c>
      <c r="N465" s="190">
        <f>J465/L465</f>
        <v>2.9739776951672861E-2</v>
      </c>
      <c r="O465" s="190">
        <f>(I465*0.64)/(K465+L465)</f>
        <v>6.2106226485442159E-2</v>
      </c>
      <c r="P465" s="188">
        <v>2435285011</v>
      </c>
      <c r="Q465" s="188">
        <f>E465*P465</f>
        <v>35311632659.5</v>
      </c>
      <c r="R465" s="195">
        <f>Q465/L465</f>
        <v>1.0672358527367245</v>
      </c>
      <c r="S465" s="197">
        <f>(Q465+K465)/H465</f>
        <v>5.9068717595504534</v>
      </c>
      <c r="T465" s="180"/>
      <c r="U465" s="189">
        <f>IFERROR(IF(Tableau3[[#This Row],[Dettes]]=0,"",(Tableau3[[#This Row],[Dettes]]/Tableau3[[#This Row],[EBE]])),"")</f>
        <v>2.5003858769052671</v>
      </c>
      <c r="V465" s="190" t="str">
        <f>IFERROR(Tableau3[[#This Row],[Fonds propres]]/Tableau3[[#This Row],[Total Bilan]],"")</f>
        <v/>
      </c>
      <c r="W465" s="180"/>
      <c r="X465" s="191"/>
      <c r="Y465" s="180">
        <v>167000</v>
      </c>
      <c r="Z465" s="192">
        <f>IFERROR(Tableau3[[#This Row],[Chiffre d''affaires]]/Tableau3[[#This Row],[Salariés]],"")</f>
        <v>359628.74251497007</v>
      </c>
      <c r="AA465" s="197"/>
      <c r="AB465" s="197"/>
      <c r="AC465" s="177" t="s">
        <v>5219</v>
      </c>
    </row>
    <row r="466" spans="1:29" ht="20.25" customHeight="1">
      <c r="A466" s="217"/>
      <c r="E466" s="187"/>
      <c r="G466" s="202">
        <f>(G465/G467)-1</f>
        <v>-8.8784738266551866E-3</v>
      </c>
      <c r="H466" s="203">
        <f>(H465/H467)-1</f>
        <v>0.12234733650931129</v>
      </c>
      <c r="I466" s="203">
        <f>(I465/I467)-1</f>
        <v>0.11705033164260636</v>
      </c>
      <c r="J466" s="203">
        <f>(J465/J467)-1</f>
        <v>-4.7434656340755055E-2</v>
      </c>
      <c r="K466" s="188"/>
      <c r="L466" s="188"/>
      <c r="M466" s="194"/>
      <c r="N466" s="190"/>
      <c r="O466" s="190"/>
      <c r="P466" s="188"/>
      <c r="Q466" s="188"/>
      <c r="R466" s="195"/>
      <c r="S466" s="197"/>
      <c r="T466" s="180"/>
      <c r="U466" s="189" t="str">
        <f>IFERROR(IF(Tableau3[[#This Row],[Dettes]]=0,"",(Tableau3[[#This Row],[Dettes]]/Tableau3[[#This Row],[EBE]])),"")</f>
        <v/>
      </c>
      <c r="V466" s="190" t="str">
        <f>IFERROR(Tableau3[[#This Row],[Fonds propres]]/Tableau3[[#This Row],[Total Bilan]],"")</f>
        <v/>
      </c>
      <c r="W466" s="180"/>
      <c r="X466" s="191"/>
      <c r="Y466" s="180"/>
      <c r="Z466" s="192" t="str">
        <f>IFERROR(Tableau3[[#This Row],[Chiffre d''affaires]]/Tableau3[[#This Row],[Salariés]],"")</f>
        <v/>
      </c>
      <c r="AA466" s="197"/>
      <c r="AB466" s="197"/>
      <c r="AC466" s="177" t="s">
        <v>5227</v>
      </c>
    </row>
    <row r="467" spans="1:29" ht="20.25" customHeight="1">
      <c r="A467" s="217"/>
      <c r="E467" s="187">
        <v>12.5</v>
      </c>
      <c r="F467" s="178">
        <v>2018</v>
      </c>
      <c r="G467" s="188">
        <v>60596000000</v>
      </c>
      <c r="H467" s="188">
        <v>9236000000</v>
      </c>
      <c r="I467" s="188">
        <v>5126000000</v>
      </c>
      <c r="J467" s="188">
        <v>1033000000</v>
      </c>
      <c r="K467" s="188">
        <v>21102000000</v>
      </c>
      <c r="L467" s="188">
        <v>35551000000</v>
      </c>
      <c r="M467" s="194">
        <f>L467/P467</f>
        <v>14.598291304475163</v>
      </c>
      <c r="N467" s="190">
        <f>J467/L467</f>
        <v>2.9056847908638293E-2</v>
      </c>
      <c r="O467" s="190">
        <f>(I467*0.64)/(K467+L467)</f>
        <v>5.7907613012550083E-2</v>
      </c>
      <c r="P467" s="188">
        <v>2435285011</v>
      </c>
      <c r="Q467" s="188">
        <f>E467*P467</f>
        <v>30441062637.5</v>
      </c>
      <c r="R467" s="195">
        <f>Q467/L467</f>
        <v>0.85626459558099632</v>
      </c>
      <c r="S467" s="197">
        <f>(Q467+K467)/H467</f>
        <v>5.580669406398874</v>
      </c>
      <c r="T467" s="180"/>
      <c r="U467" s="189">
        <f>IFERROR(IF(Tableau3[[#This Row],[Dettes]]=0,"",(Tableau3[[#This Row],[Dettes]]/Tableau3[[#This Row],[EBE]])),"")</f>
        <v>2.2847553053269816</v>
      </c>
      <c r="V467" s="190" t="str">
        <f>IFERROR(Tableau3[[#This Row],[Fonds propres]]/Tableau3[[#This Row],[Total Bilan]],"")</f>
        <v/>
      </c>
      <c r="W467" s="180"/>
      <c r="X467" s="191"/>
      <c r="Y467" s="180"/>
      <c r="Z467" s="192" t="str">
        <f>IFERROR(Tableau3[[#This Row],[Chiffre d''affaires]]/Tableau3[[#This Row],[Salariés]],"")</f>
        <v/>
      </c>
      <c r="AA467" s="197"/>
      <c r="AB467" s="197"/>
      <c r="AC467" s="177" t="s">
        <v>5221</v>
      </c>
    </row>
    <row r="468" spans="1:29" ht="20.25" customHeight="1">
      <c r="A468" s="217"/>
      <c r="E468" s="187"/>
      <c r="G468" s="202">
        <f>(G467/G469)-1</f>
        <v>-6.8169585877070227E-2</v>
      </c>
      <c r="H468" s="203">
        <f>(H467/H469)-1</f>
        <v>-8.587376556462023E-3</v>
      </c>
      <c r="I468" s="203">
        <f>(I467/I469)-1</f>
        <v>-2.7877868386117943E-2</v>
      </c>
      <c r="J468" s="203">
        <f>(J467/J469)-1</f>
        <v>-0.27406886858749124</v>
      </c>
      <c r="K468" s="188"/>
      <c r="L468" s="188"/>
      <c r="M468" s="194"/>
      <c r="N468" s="190"/>
      <c r="O468" s="190"/>
      <c r="P468" s="188"/>
      <c r="Q468" s="188"/>
      <c r="R468" s="195"/>
      <c r="S468" s="197"/>
      <c r="T468" s="180"/>
      <c r="U468" s="189" t="str">
        <f>IFERROR(IF(Tableau3[[#This Row],[Dettes]]=0,"",(Tableau3[[#This Row],[Dettes]]/Tableau3[[#This Row],[EBE]])),"")</f>
        <v/>
      </c>
      <c r="V468" s="190" t="str">
        <f>IFERROR(Tableau3[[#This Row],[Fonds propres]]/Tableau3[[#This Row],[Total Bilan]],"")</f>
        <v/>
      </c>
      <c r="W468" s="180"/>
      <c r="X468" s="191"/>
      <c r="Y468" s="180"/>
      <c r="Z468" s="192" t="str">
        <f>IFERROR(Tableau3[[#This Row],[Chiffre d''affaires]]/Tableau3[[#This Row],[Salariés]],"")</f>
        <v/>
      </c>
      <c r="AA468" s="197"/>
      <c r="AB468" s="197"/>
      <c r="AC468" s="177" t="s">
        <v>5226</v>
      </c>
    </row>
    <row r="469" spans="1:29" ht="20.25" customHeight="1">
      <c r="A469" s="217"/>
      <c r="E469" s="187">
        <v>14.2</v>
      </c>
      <c r="F469" s="178">
        <v>2017</v>
      </c>
      <c r="G469" s="188">
        <v>65029000000</v>
      </c>
      <c r="H469" s="188">
        <v>9316000000</v>
      </c>
      <c r="I469" s="188">
        <v>5273000000</v>
      </c>
      <c r="J469" s="188">
        <v>1423000000</v>
      </c>
      <c r="K469" s="188">
        <v>22548000000</v>
      </c>
      <c r="L469" s="188">
        <v>36639000000</v>
      </c>
      <c r="M469" s="194">
        <f>L469/P469</f>
        <v>15.045056260152048</v>
      </c>
      <c r="N469" s="190">
        <f>J469/L469</f>
        <v>3.8838396244438987E-2</v>
      </c>
      <c r="O469" s="190">
        <f>(I469*0.64)/(K469+L469)</f>
        <v>5.7017926233801343E-2</v>
      </c>
      <c r="P469" s="188">
        <v>2435285011</v>
      </c>
      <c r="Q469" s="188">
        <f>E469*P469</f>
        <v>34581047156.199997</v>
      </c>
      <c r="R469" s="195">
        <f>Q469/L469</f>
        <v>0.94383163176396723</v>
      </c>
      <c r="S469" s="197">
        <f>(Q469+K469)/H469</f>
        <v>6.1323580030270497</v>
      </c>
      <c r="T469" s="180"/>
      <c r="U469" s="189">
        <f>IFERROR(IF(Tableau3[[#This Row],[Dettes]]=0,"",(Tableau3[[#This Row],[Dettes]]/Tableau3[[#This Row],[EBE]])),"")</f>
        <v>2.4203520824388147</v>
      </c>
      <c r="V469" s="190" t="str">
        <f>IFERROR(Tableau3[[#This Row],[Fonds propres]]/Tableau3[[#This Row],[Total Bilan]],"")</f>
        <v/>
      </c>
      <c r="W469" s="180"/>
      <c r="X469" s="191"/>
      <c r="Y469" s="180"/>
      <c r="Z469" s="192" t="str">
        <f>IFERROR(Tableau3[[#This Row],[Chiffre d''affaires]]/Tableau3[[#This Row],[Salariés]],"")</f>
        <v/>
      </c>
      <c r="AA469" s="197"/>
      <c r="AB469" s="197"/>
      <c r="AC469" s="177" t="s">
        <v>378</v>
      </c>
    </row>
    <row r="470" spans="1:29" ht="20.25" customHeight="1">
      <c r="A470" s="217"/>
      <c r="E470" s="187"/>
      <c r="G470" s="202">
        <f>(G469/G471)-1</f>
        <v>-2.41600264109606E-2</v>
      </c>
      <c r="H470" s="203">
        <f>(H469/H471)-1</f>
        <v>-0.12844980821405183</v>
      </c>
      <c r="I470" s="203">
        <f>(I469/I471)-1</f>
        <v>-0.14565780946208684</v>
      </c>
      <c r="J470" s="203">
        <f>(J469/J471)-1</f>
        <v>-4.4289156626506028</v>
      </c>
      <c r="K470" s="188"/>
      <c r="L470" s="188"/>
      <c r="M470" s="194"/>
      <c r="N470" s="190"/>
      <c r="O470" s="190"/>
      <c r="P470" s="188"/>
      <c r="Q470" s="188"/>
      <c r="R470" s="195"/>
      <c r="S470" s="197"/>
      <c r="T470" s="180"/>
      <c r="U470" s="189" t="str">
        <f>IFERROR(IF(Tableau3[[#This Row],[Dettes]]=0,"",(Tableau3[[#This Row],[Dettes]]/Tableau3[[#This Row],[EBE]])),"")</f>
        <v/>
      </c>
      <c r="V470" s="190" t="str">
        <f>IFERROR(Tableau3[[#This Row],[Fonds propres]]/Tableau3[[#This Row],[Total Bilan]],"")</f>
        <v/>
      </c>
      <c r="W470" s="180"/>
      <c r="X470" s="191"/>
      <c r="Y470" s="180"/>
      <c r="Z470" s="192" t="str">
        <f>IFERROR(Tableau3[[#This Row],[Chiffre d''affaires]]/Tableau3[[#This Row],[Salariés]],"")</f>
        <v/>
      </c>
      <c r="AA470" s="197"/>
      <c r="AB470" s="197"/>
      <c r="AC470" s="177" t="s">
        <v>5229</v>
      </c>
    </row>
    <row r="471" spans="1:29" ht="20.25" customHeight="1">
      <c r="A471" s="217"/>
      <c r="E471" s="187">
        <v>12.2</v>
      </c>
      <c r="F471" s="178">
        <v>2016</v>
      </c>
      <c r="G471" s="188">
        <v>66639000000</v>
      </c>
      <c r="H471" s="188">
        <v>10689000000</v>
      </c>
      <c r="I471" s="188">
        <v>6172000000</v>
      </c>
      <c r="J471" s="188">
        <v>-415000000</v>
      </c>
      <c r="K471" s="188">
        <v>24807000000</v>
      </c>
      <c r="L471" s="188">
        <v>39578000000</v>
      </c>
      <c r="M471" s="194">
        <f>L471/P471</f>
        <v>16.25189652185643</v>
      </c>
      <c r="N471" s="190">
        <f>J471/L471</f>
        <v>-1.0485623326090251E-2</v>
      </c>
      <c r="O471" s="190">
        <f>(I471*0.64)/(K471+L471)</f>
        <v>6.1350935776966688E-2</v>
      </c>
      <c r="P471" s="188">
        <v>2435285011</v>
      </c>
      <c r="Q471" s="188">
        <f>E471*P471</f>
        <v>29710477134.199997</v>
      </c>
      <c r="R471" s="195">
        <f>Q471/L471</f>
        <v>0.75068161944009293</v>
      </c>
      <c r="S471" s="197">
        <f>(Q471+K471)/H471</f>
        <v>5.100334655645991</v>
      </c>
      <c r="T471" s="180"/>
      <c r="U471" s="189">
        <f>IFERROR(IF(Tableau3[[#This Row],[Dettes]]=0,"",(Tableau3[[#This Row],[Dettes]]/Tableau3[[#This Row],[EBE]])),"")</f>
        <v>2.3207970811114231</v>
      </c>
      <c r="V471" s="190" t="str">
        <f>IFERROR(Tableau3[[#This Row],[Fonds propres]]/Tableau3[[#This Row],[Total Bilan]],"")</f>
        <v/>
      </c>
      <c r="W471" s="180"/>
      <c r="X471" s="191"/>
      <c r="Y471" s="180"/>
      <c r="Z471" s="192" t="str">
        <f>IFERROR(Tableau3[[#This Row],[Chiffre d''affaires]]/Tableau3[[#This Row],[Salariés]],"")</f>
        <v/>
      </c>
      <c r="AA471" s="197"/>
      <c r="AB471" s="197"/>
      <c r="AC471" s="177" t="s">
        <v>5222</v>
      </c>
    </row>
    <row r="472" spans="1:29" ht="20.25" customHeight="1">
      <c r="A472" s="217"/>
      <c r="E472" s="187"/>
      <c r="G472" s="202">
        <f>(G471/G473)-1</f>
        <v>-4.6420445601934701E-2</v>
      </c>
      <c r="H472" s="203">
        <f>(H471/H473)-1</f>
        <v>-5.0879062333510916E-2</v>
      </c>
      <c r="I472" s="203">
        <f>(I471/I473)-1</f>
        <v>-2.4343977236800485E-2</v>
      </c>
      <c r="J472" s="203">
        <f>(J471/J473)-1</f>
        <v>-0.91011479315572885</v>
      </c>
      <c r="K472" s="188"/>
      <c r="L472" s="188"/>
      <c r="M472" s="194"/>
      <c r="N472" s="190"/>
      <c r="O472" s="190"/>
      <c r="P472" s="188"/>
      <c r="Q472" s="188"/>
      <c r="R472" s="195"/>
      <c r="S472" s="197"/>
      <c r="T472" s="180"/>
      <c r="U472" s="189" t="str">
        <f>IFERROR(IF(Tableau3[[#This Row],[Dettes]]=0,"",(Tableau3[[#This Row],[Dettes]]/Tableau3[[#This Row],[EBE]])),"")</f>
        <v/>
      </c>
      <c r="V472" s="190" t="str">
        <f>IFERROR(Tableau3[[#This Row],[Fonds propres]]/Tableau3[[#This Row],[Total Bilan]],"")</f>
        <v/>
      </c>
      <c r="W472" s="180"/>
      <c r="X472" s="191"/>
      <c r="Y472" s="180"/>
      <c r="Z472" s="192" t="str">
        <f>IFERROR(Tableau3[[#This Row],[Chiffre d''affaires]]/Tableau3[[#This Row],[Salariés]],"")</f>
        <v/>
      </c>
      <c r="AA472" s="197"/>
      <c r="AB472" s="197"/>
      <c r="AC472" s="177" t="s">
        <v>379</v>
      </c>
    </row>
    <row r="473" spans="1:29" ht="20.25" customHeight="1">
      <c r="A473" s="217"/>
      <c r="E473" s="187">
        <v>16.3</v>
      </c>
      <c r="F473" s="178">
        <v>2015</v>
      </c>
      <c r="G473" s="188">
        <v>69883000000</v>
      </c>
      <c r="H473" s="188">
        <v>11262000000</v>
      </c>
      <c r="I473" s="188">
        <v>6326000000</v>
      </c>
      <c r="J473" s="188">
        <v>-4617000000</v>
      </c>
      <c r="K473" s="188">
        <v>27727000000</v>
      </c>
      <c r="L473" s="188">
        <v>43078000000</v>
      </c>
      <c r="M473" s="194">
        <f>L473/P473</f>
        <v>17.689099963831708</v>
      </c>
      <c r="N473" s="190">
        <f>J473/L473</f>
        <v>-0.10717767770091462</v>
      </c>
      <c r="O473" s="190">
        <f>(I473*0.64)/(K473+L473)</f>
        <v>5.7180142645293412E-2</v>
      </c>
      <c r="P473" s="188">
        <v>2435285011</v>
      </c>
      <c r="Q473" s="188">
        <f>E473*P473</f>
        <v>39695145679.300003</v>
      </c>
      <c r="R473" s="195">
        <f>Q473/L473</f>
        <v>0.92147141648405229</v>
      </c>
      <c r="S473" s="197">
        <f>(Q473+K473)/H473</f>
        <v>5.9866938092079565</v>
      </c>
      <c r="T473" s="180"/>
      <c r="U473" s="189">
        <f>IFERROR(IF(Tableau3[[#This Row],[Dettes]]=0,"",(Tableau3[[#This Row],[Dettes]]/Tableau3[[#This Row],[EBE]])),"")</f>
        <v>2.4619960930562956</v>
      </c>
      <c r="V473" s="190" t="str">
        <f>IFERROR(Tableau3[[#This Row],[Fonds propres]]/Tableau3[[#This Row],[Total Bilan]],"")</f>
        <v/>
      </c>
      <c r="W473" s="180"/>
      <c r="X473" s="191"/>
      <c r="Y473" s="180"/>
      <c r="Z473" s="192" t="str">
        <f>IFERROR(Tableau3[[#This Row],[Chiffre d''affaires]]/Tableau3[[#This Row],[Salariés]],"")</f>
        <v/>
      </c>
      <c r="AA473" s="197"/>
      <c r="AB473" s="197"/>
    </row>
    <row r="474" spans="1:29" ht="20.25" customHeight="1">
      <c r="A474" s="217"/>
      <c r="E474" s="187"/>
      <c r="G474" s="188"/>
      <c r="H474" s="188"/>
      <c r="I474" s="188"/>
      <c r="J474" s="188"/>
      <c r="K474" s="188"/>
      <c r="L474" s="188"/>
      <c r="M474" s="194"/>
      <c r="N474" s="190"/>
      <c r="O474" s="190"/>
      <c r="P474" s="188"/>
      <c r="Q474" s="188"/>
      <c r="R474" s="195"/>
      <c r="S474" s="197"/>
      <c r="T474" s="180"/>
      <c r="U474" s="189" t="str">
        <f>IFERROR(IF(Tableau3[[#This Row],[Dettes]]=0,"",(Tableau3[[#This Row],[Dettes]]/Tableau3[[#This Row],[EBE]])),"")</f>
        <v/>
      </c>
      <c r="V474" s="190" t="str">
        <f>IFERROR(Tableau3[[#This Row],[Fonds propres]]/Tableau3[[#This Row],[Total Bilan]],"")</f>
        <v/>
      </c>
      <c r="W474" s="180"/>
      <c r="X474" s="191"/>
      <c r="Y474" s="180"/>
      <c r="Z474" s="192" t="str">
        <f>IFERROR(Tableau3[[#This Row],[Chiffre d''affaires]]/Tableau3[[#This Row],[Salariés]],"")</f>
        <v/>
      </c>
      <c r="AA474" s="197"/>
      <c r="AB474" s="197"/>
    </row>
    <row r="475" spans="1:29" ht="20.25" customHeight="1">
      <c r="A475" s="217"/>
      <c r="E475" s="187"/>
      <c r="G475" s="188"/>
      <c r="H475" s="188"/>
      <c r="I475" s="188"/>
      <c r="J475" s="188"/>
      <c r="K475" s="188"/>
      <c r="L475" s="188"/>
      <c r="M475" s="194"/>
      <c r="N475" s="190"/>
      <c r="O475" s="190"/>
      <c r="P475" s="188"/>
      <c r="Q475" s="188"/>
      <c r="R475" s="195"/>
      <c r="S475" s="197"/>
      <c r="T475" s="180"/>
      <c r="U475" s="189" t="str">
        <f>IFERROR(IF(Tableau3[[#This Row],[Dettes]]=0,"",(Tableau3[[#This Row],[Dettes]]/Tableau3[[#This Row],[EBE]])),"")</f>
        <v/>
      </c>
      <c r="V475" s="190" t="str">
        <f>IFERROR(Tableau3[[#This Row],[Fonds propres]]/Tableau3[[#This Row],[Total Bilan]],"")</f>
        <v/>
      </c>
      <c r="W475" s="180"/>
      <c r="X475" s="191"/>
      <c r="Y475" s="180"/>
      <c r="Z475" s="192" t="str">
        <f>IFERROR(Tableau3[[#This Row],[Chiffre d''affaires]]/Tableau3[[#This Row],[Salariés]],"")</f>
        <v/>
      </c>
      <c r="AA475" s="197"/>
      <c r="AB475" s="197"/>
    </row>
    <row r="476" spans="1:29" ht="20.25" customHeight="1">
      <c r="A476" s="217"/>
      <c r="E476" s="187"/>
      <c r="G476" s="188"/>
      <c r="H476" s="188"/>
      <c r="I476" s="188"/>
      <c r="J476" s="188"/>
      <c r="K476" s="188"/>
      <c r="L476" s="188"/>
      <c r="M476" s="194"/>
      <c r="N476" s="190"/>
      <c r="O476" s="190"/>
      <c r="P476" s="188"/>
      <c r="Q476" s="188"/>
      <c r="R476" s="195"/>
      <c r="S476" s="197"/>
      <c r="T476" s="180"/>
      <c r="U476" s="189" t="str">
        <f>IFERROR(IF(Tableau3[[#This Row],[Dettes]]=0,"",(Tableau3[[#This Row],[Dettes]]/Tableau3[[#This Row],[EBE]])),"")</f>
        <v/>
      </c>
      <c r="V476" s="190" t="str">
        <f>IFERROR(Tableau3[[#This Row],[Fonds propres]]/Tableau3[[#This Row],[Total Bilan]],"")</f>
        <v/>
      </c>
      <c r="W476" s="180"/>
      <c r="X476" s="191"/>
      <c r="Y476" s="180"/>
      <c r="Z476" s="192" t="str">
        <f>IFERROR(Tableau3[[#This Row],[Chiffre d''affaires]]/Tableau3[[#This Row],[Salariés]],"")</f>
        <v/>
      </c>
      <c r="AA476" s="197"/>
      <c r="AB476" s="197"/>
    </row>
    <row r="477" spans="1:29" ht="20.25" customHeight="1">
      <c r="A477" s="217" t="s">
        <v>380</v>
      </c>
      <c r="B477" s="216" t="s">
        <v>381</v>
      </c>
      <c r="C477" s="178" t="s">
        <v>382</v>
      </c>
      <c r="D477" s="178" t="s">
        <v>383</v>
      </c>
      <c r="E477" s="187"/>
      <c r="F477" s="217" t="s">
        <v>4609</v>
      </c>
      <c r="G477" s="188"/>
      <c r="H477" s="188"/>
      <c r="I477" s="188"/>
      <c r="J477" s="188"/>
      <c r="K477" s="188"/>
      <c r="L477" s="188"/>
      <c r="M477" s="194"/>
      <c r="N477" s="190"/>
      <c r="O477" s="190"/>
      <c r="P477" s="188"/>
      <c r="Q477" s="188"/>
      <c r="R477" s="195"/>
      <c r="S477" s="197"/>
      <c r="T477" s="180"/>
      <c r="U477" s="189" t="str">
        <f>IFERROR(IF(Tableau3[[#This Row],[Dettes]]=0,"",(Tableau3[[#This Row],[Dettes]]/Tableau3[[#This Row],[EBE]])),"")</f>
        <v/>
      </c>
      <c r="V477" s="190" t="str">
        <f>IFERROR(Tableau3[[#This Row],[Fonds propres]]/Tableau3[[#This Row],[Total Bilan]],"")</f>
        <v/>
      </c>
      <c r="W477" s="180"/>
      <c r="X477" s="191"/>
      <c r="Y477" s="180"/>
      <c r="Z477" s="192" t="str">
        <f>IFERROR(Tableau3[[#This Row],[Chiffre d''affaires]]/Tableau3[[#This Row],[Salariés]],"")</f>
        <v/>
      </c>
      <c r="AA477" s="197"/>
      <c r="AB477" s="197"/>
      <c r="AC477" s="177" t="s">
        <v>384</v>
      </c>
    </row>
    <row r="478" spans="1:29" ht="20.25" customHeight="1">
      <c r="A478" s="217"/>
      <c r="E478" s="187"/>
      <c r="G478" s="188"/>
      <c r="H478" s="188"/>
      <c r="I478" s="188"/>
      <c r="J478" s="188"/>
      <c r="K478" s="188"/>
      <c r="L478" s="188"/>
      <c r="M478" s="194"/>
      <c r="N478" s="190"/>
      <c r="O478" s="190"/>
      <c r="P478" s="188"/>
      <c r="Q478" s="188"/>
      <c r="R478" s="195"/>
      <c r="S478" s="197"/>
      <c r="T478" s="180"/>
      <c r="U478" s="189" t="str">
        <f>IFERROR(IF(Tableau3[[#This Row],[Dettes]]=0,"",(Tableau3[[#This Row],[Dettes]]/Tableau3[[#This Row],[EBE]])),"")</f>
        <v/>
      </c>
      <c r="V478" s="190" t="str">
        <f>IFERROR(Tableau3[[#This Row],[Fonds propres]]/Tableau3[[#This Row],[Total Bilan]],"")</f>
        <v/>
      </c>
      <c r="W478" s="180"/>
      <c r="X478" s="191"/>
      <c r="Y478" s="180"/>
      <c r="Z478" s="192" t="str">
        <f>IFERROR(Tableau3[[#This Row],[Chiffre d''affaires]]/Tableau3[[#This Row],[Salariés]],"")</f>
        <v/>
      </c>
      <c r="AA478" s="197"/>
      <c r="AB478" s="197"/>
      <c r="AC478" s="177" t="s">
        <v>386</v>
      </c>
    </row>
    <row r="479" spans="1:29" ht="20.25" customHeight="1">
      <c r="A479" s="217"/>
      <c r="E479" s="187">
        <v>13</v>
      </c>
      <c r="F479" s="178">
        <v>2023</v>
      </c>
      <c r="G479" s="188">
        <v>1000000000</v>
      </c>
      <c r="H479" s="188">
        <v>150000000</v>
      </c>
      <c r="I479" s="188">
        <v>20000000</v>
      </c>
      <c r="J479" s="188">
        <v>0</v>
      </c>
      <c r="K479" s="188">
        <v>400000000</v>
      </c>
      <c r="L479" s="188">
        <v>680000000</v>
      </c>
      <c r="M479" s="194">
        <f>L479/P479</f>
        <v>6.7949038221334002</v>
      </c>
      <c r="N479" s="190">
        <f>J479/L479</f>
        <v>0</v>
      </c>
      <c r="O479" s="190">
        <f>(I479*0.6666)/(K479+L479)</f>
        <v>1.2344444444444444E-2</v>
      </c>
      <c r="P479" s="188">
        <v>100075000</v>
      </c>
      <c r="Q479" s="188">
        <f>E479*P479</f>
        <v>1300975000</v>
      </c>
      <c r="R479" s="195">
        <f>Q479/L479</f>
        <v>1.9131985294117646</v>
      </c>
      <c r="S479" s="197">
        <f>(Q479+K479)/H479</f>
        <v>11.339833333333333</v>
      </c>
      <c r="T479" s="180"/>
      <c r="U479" s="189">
        <f>IFERROR(IF(Tableau3[[#This Row],[Dettes]]=0,"",(Tableau3[[#This Row],[Dettes]]/Tableau3[[#This Row],[EBE]])),"")</f>
        <v>2.6666666666666665</v>
      </c>
      <c r="V479" s="190" t="str">
        <f>IFERROR(Tableau3[[#This Row],[Fonds propres]]/Tableau3[[#This Row],[Total Bilan]],"")</f>
        <v/>
      </c>
      <c r="W479" s="180"/>
      <c r="X479" s="191" t="s">
        <v>387</v>
      </c>
      <c r="Y479" s="180"/>
      <c r="Z479" s="192" t="str">
        <f>IFERROR(Tableau3[[#This Row],[Chiffre d''affaires]]/Tableau3[[#This Row],[Salariés]],"")</f>
        <v/>
      </c>
      <c r="AA479" s="197"/>
      <c r="AB479" s="197"/>
      <c r="AC479" s="177" t="s">
        <v>388</v>
      </c>
    </row>
    <row r="480" spans="1:29" ht="20.25" customHeight="1">
      <c r="A480" s="217"/>
      <c r="E480" s="187"/>
      <c r="G480" s="202">
        <f>(G479/G481)-1</f>
        <v>0.25</v>
      </c>
      <c r="H480" s="188"/>
      <c r="I480" s="188"/>
      <c r="J480" s="188"/>
      <c r="K480" s="188"/>
      <c r="L480" s="188"/>
      <c r="M480" s="194"/>
      <c r="N480" s="190"/>
      <c r="O480" s="190"/>
      <c r="P480" s="188"/>
      <c r="Q480" s="188"/>
      <c r="R480" s="195"/>
      <c r="S480" s="197"/>
      <c r="T480" s="180"/>
      <c r="U480" s="189" t="str">
        <f>IFERROR(IF(Tableau3[[#This Row],[Dettes]]=0,"",(Tableau3[[#This Row],[Dettes]]/Tableau3[[#This Row],[EBE]])),"")</f>
        <v/>
      </c>
      <c r="V480" s="190" t="str">
        <f>IFERROR(Tableau3[[#This Row],[Fonds propres]]/Tableau3[[#This Row],[Total Bilan]],"")</f>
        <v/>
      </c>
      <c r="W480" s="180"/>
      <c r="X480" s="191"/>
      <c r="Y480" s="180"/>
      <c r="Z480" s="192" t="str">
        <f>IFERROR(Tableau3[[#This Row],[Chiffre d''affaires]]/Tableau3[[#This Row],[Salariés]],"")</f>
        <v/>
      </c>
      <c r="AA480" s="197"/>
      <c r="AB480" s="197"/>
      <c r="AC480" s="177" t="s">
        <v>386</v>
      </c>
    </row>
    <row r="481" spans="1:29" ht="20.25" customHeight="1">
      <c r="A481" s="217"/>
      <c r="E481" s="187">
        <v>10.4</v>
      </c>
      <c r="F481" s="178">
        <v>2022</v>
      </c>
      <c r="G481" s="188">
        <v>800000000</v>
      </c>
      <c r="H481" s="188">
        <v>120000000</v>
      </c>
      <c r="I481" s="188">
        <v>0</v>
      </c>
      <c r="J481" s="188">
        <v>-55000000</v>
      </c>
      <c r="K481" s="188">
        <v>200000000</v>
      </c>
      <c r="L481" s="188">
        <v>700000000</v>
      </c>
      <c r="M481" s="194">
        <f>L481/P481</f>
        <v>6.9947539345490881</v>
      </c>
      <c r="N481" s="190">
        <f>J481/L481</f>
        <v>-7.857142857142857E-2</v>
      </c>
      <c r="O481" s="190">
        <f>(I481*0.6666)/(K481+L481)</f>
        <v>0</v>
      </c>
      <c r="P481" s="188">
        <v>100075000</v>
      </c>
      <c r="Q481" s="188">
        <f>E481*P481</f>
        <v>1040780000</v>
      </c>
      <c r="R481" s="195">
        <f>Q481/L481</f>
        <v>1.4868285714285714</v>
      </c>
      <c r="S481" s="197">
        <f>(Q481+K481)/H481</f>
        <v>10.339833333333333</v>
      </c>
      <c r="T481" s="180"/>
      <c r="U481" s="189">
        <f>IFERROR(IF(Tableau3[[#This Row],[Dettes]]=0,"",(Tableau3[[#This Row],[Dettes]]/Tableau3[[#This Row],[EBE]])),"")</f>
        <v>1.6666666666666667</v>
      </c>
      <c r="V481" s="190" t="str">
        <f>IFERROR(Tableau3[[#This Row],[Fonds propres]]/Tableau3[[#This Row],[Total Bilan]],"")</f>
        <v/>
      </c>
      <c r="W481" s="180"/>
      <c r="X481" s="191"/>
      <c r="Y481" s="180"/>
      <c r="Z481" s="192" t="str">
        <f>IFERROR(Tableau3[[#This Row],[Chiffre d''affaires]]/Tableau3[[#This Row],[Salariés]],"")</f>
        <v/>
      </c>
      <c r="AA481" s="197"/>
      <c r="AB481" s="197"/>
      <c r="AC481" s="177" t="s">
        <v>388</v>
      </c>
    </row>
    <row r="482" spans="1:29" ht="20.25" customHeight="1">
      <c r="A482" s="217"/>
      <c r="E482" s="187"/>
      <c r="G482" s="202">
        <f>(G481/G483)-1</f>
        <v>0.10277140238060767</v>
      </c>
      <c r="H482" s="188"/>
      <c r="I482" s="188"/>
      <c r="J482" s="188"/>
      <c r="K482" s="188"/>
      <c r="L482" s="188"/>
      <c r="M482" s="194"/>
      <c r="N482" s="190"/>
      <c r="O482" s="190"/>
      <c r="P482" s="188"/>
      <c r="Q482" s="188"/>
      <c r="R482" s="195"/>
      <c r="S482" s="197"/>
      <c r="T482" s="180"/>
      <c r="U482" s="189" t="str">
        <f>IFERROR(IF(Tableau3[[#This Row],[Dettes]]=0,"",(Tableau3[[#This Row],[Dettes]]/Tableau3[[#This Row],[EBE]])),"")</f>
        <v/>
      </c>
      <c r="V482" s="190" t="str">
        <f>IFERROR(Tableau3[[#This Row],[Fonds propres]]/Tableau3[[#This Row],[Total Bilan]],"")</f>
        <v/>
      </c>
      <c r="W482" s="180"/>
      <c r="X482" s="191"/>
      <c r="Y482" s="180"/>
      <c r="Z482" s="192" t="str">
        <f>IFERROR(Tableau3[[#This Row],[Chiffre d''affaires]]/Tableau3[[#This Row],[Salariés]],"")</f>
        <v/>
      </c>
      <c r="AA482" s="197"/>
      <c r="AB482" s="197"/>
      <c r="AC482" s="177" t="s">
        <v>389</v>
      </c>
    </row>
    <row r="483" spans="1:29" ht="20.25" customHeight="1">
      <c r="A483" s="217"/>
      <c r="C483" s="178" t="s">
        <v>390</v>
      </c>
      <c r="E483" s="197">
        <v>0.13</v>
      </c>
      <c r="F483" s="178">
        <v>2021</v>
      </c>
      <c r="G483" s="188">
        <f>556066000+169379000</f>
        <v>725445000</v>
      </c>
      <c r="H483" s="188">
        <v>0</v>
      </c>
      <c r="I483" s="188">
        <f>-151180000-327059000</f>
        <v>-478239000</v>
      </c>
      <c r="J483" s="188">
        <f>-1961989000-177344000</f>
        <v>-2139333000</v>
      </c>
      <c r="K483" s="188">
        <v>730000000</v>
      </c>
      <c r="L483" s="188">
        <v>767705000</v>
      </c>
      <c r="M483" s="194">
        <f>L483/P483</f>
        <v>7.671296527604297</v>
      </c>
      <c r="N483" s="190">
        <f>J483/L483</f>
        <v>-2.7866602405872047</v>
      </c>
      <c r="O483" s="190">
        <f>(I483*0.6666)/(K483+L483)</f>
        <v>-0.21285507987220445</v>
      </c>
      <c r="P483" s="188">
        <v>100075000</v>
      </c>
      <c r="Q483" s="188">
        <f>E483*P483</f>
        <v>13009750</v>
      </c>
      <c r="R483" s="195">
        <f>Q483/L483</f>
        <v>1.6946287962172971E-2</v>
      </c>
      <c r="S483" s="197"/>
      <c r="T483" s="180"/>
      <c r="U483" s="189" t="str">
        <f>IFERROR(IF(Tableau3[[#This Row],[Dettes]]=0,"",(Tableau3[[#This Row],[Dettes]]/Tableau3[[#This Row],[EBE]])),"")</f>
        <v/>
      </c>
      <c r="V483" s="190" t="str">
        <f>IFERROR(Tableau3[[#This Row],[Fonds propres]]/Tableau3[[#This Row],[Total Bilan]],"")</f>
        <v/>
      </c>
      <c r="W483" s="180"/>
      <c r="X483" s="191"/>
      <c r="Y483" s="180"/>
      <c r="Z483" s="192" t="str">
        <f>IFERROR(Tableau3[[#This Row],[Chiffre d''affaires]]/Tableau3[[#This Row],[Salariés]],"")</f>
        <v/>
      </c>
      <c r="AA483" s="197"/>
      <c r="AB483" s="197"/>
      <c r="AC483" s="177" t="s">
        <v>391</v>
      </c>
    </row>
    <row r="484" spans="1:29" ht="20.25" customHeight="1">
      <c r="A484" s="217"/>
      <c r="E484" s="187"/>
      <c r="G484" s="202">
        <f>(G483/G485)-1</f>
        <v>-1.1233673214872231E-2</v>
      </c>
      <c r="H484" s="188"/>
      <c r="I484" s="203">
        <f>(I483/I485)-1</f>
        <v>-0.58527274635105342</v>
      </c>
      <c r="J484" s="188"/>
      <c r="K484" s="188"/>
      <c r="L484" s="178"/>
      <c r="M484" s="194"/>
      <c r="N484" s="190"/>
      <c r="O484" s="190"/>
      <c r="P484" s="188"/>
      <c r="Q484" s="188"/>
      <c r="R484" s="195"/>
      <c r="S484" s="197"/>
      <c r="T484" s="180"/>
      <c r="U484" s="189" t="str">
        <f>IFERROR(IF(Tableau3[[#This Row],[Dettes]]=0,"",(Tableau3[[#This Row],[Dettes]]/Tableau3[[#This Row],[EBE]])),"")</f>
        <v/>
      </c>
      <c r="V484" s="190" t="str">
        <f>IFERROR(Tableau3[[#This Row],[Fonds propres]]/Tableau3[[#This Row],[Total Bilan]],"")</f>
        <v/>
      </c>
      <c r="W484" s="180"/>
      <c r="X484" s="191"/>
      <c r="Y484" s="180"/>
      <c r="Z484" s="192" t="str">
        <f>IFERROR(Tableau3[[#This Row],[Chiffre d''affaires]]/Tableau3[[#This Row],[Salariés]],"")</f>
        <v/>
      </c>
      <c r="AA484" s="197"/>
      <c r="AB484" s="197"/>
      <c r="AC484" s="177" t="s">
        <v>392</v>
      </c>
    </row>
    <row r="485" spans="1:29" ht="20.25" customHeight="1">
      <c r="A485" s="217"/>
      <c r="E485" s="197">
        <v>0.17199999999999999</v>
      </c>
      <c r="F485" s="178">
        <v>2020</v>
      </c>
      <c r="G485" s="188">
        <v>733687000</v>
      </c>
      <c r="H485" s="188">
        <v>-8960000</v>
      </c>
      <c r="I485" s="188">
        <v>-1153141000</v>
      </c>
      <c r="J485" s="188">
        <v>-1254904000</v>
      </c>
      <c r="K485" s="188">
        <v>2618805000</v>
      </c>
      <c r="L485" s="188">
        <v>1982566000</v>
      </c>
      <c r="M485" s="194">
        <f>L485/P485</f>
        <v>14.366836719904924</v>
      </c>
      <c r="N485" s="190">
        <f>J485/L485</f>
        <v>-0.63296959596805358</v>
      </c>
      <c r="O485" s="190">
        <f>(I485*0.6666)/(K485+L485)</f>
        <v>-0.16705538210242121</v>
      </c>
      <c r="P485" s="211">
        <v>137996000</v>
      </c>
      <c r="Q485" s="188">
        <f>E485*P485</f>
        <v>23735311.999999996</v>
      </c>
      <c r="R485" s="195">
        <f>Q485/L485</f>
        <v>1.1972016064030149E-2</v>
      </c>
      <c r="S485" s="197" t="s">
        <v>131</v>
      </c>
      <c r="T485" s="180"/>
      <c r="U485" s="189">
        <f>IFERROR(IF(Tableau3[[#This Row],[Dettes]]=0,"",(Tableau3[[#This Row],[Dettes]]/Tableau3[[#This Row],[EBE]])),"")</f>
        <v>-292.27734375</v>
      </c>
      <c r="V485" s="190" t="str">
        <f>IFERROR(Tableau3[[#This Row],[Fonds propres]]/Tableau3[[#This Row],[Total Bilan]],"")</f>
        <v/>
      </c>
      <c r="W485" s="180"/>
      <c r="Y485" s="180"/>
      <c r="Z485" s="192" t="str">
        <f>IFERROR(Tableau3[[#This Row],[Chiffre d''affaires]]/Tableau3[[#This Row],[Salariés]],"")</f>
        <v/>
      </c>
      <c r="AA485" s="177"/>
      <c r="AC485" s="177" t="s">
        <v>393</v>
      </c>
    </row>
    <row r="486" spans="1:29" ht="20.25" customHeight="1">
      <c r="A486" s="217"/>
      <c r="E486" s="187"/>
      <c r="F486" s="214"/>
      <c r="G486" s="202">
        <f>(G485/G487)-1</f>
        <v>-0.2518314495372429</v>
      </c>
      <c r="H486" s="203">
        <f>(H485/H487)-1</f>
        <v>-1.1227397260273972</v>
      </c>
      <c r="I486" s="203">
        <f>(I485/I487)-1</f>
        <v>3.0843728969645454</v>
      </c>
      <c r="J486" s="203">
        <f>(J485/J487)-1</f>
        <v>2.5130314041442943</v>
      </c>
      <c r="K486" s="188"/>
      <c r="L486" s="178"/>
      <c r="M486" s="177"/>
      <c r="N486" s="178"/>
      <c r="O486" s="177"/>
      <c r="P486" s="188"/>
      <c r="Q486" s="188"/>
      <c r="R486" s="195"/>
      <c r="S486" s="197"/>
      <c r="T486" s="180"/>
      <c r="U486" s="189" t="str">
        <f>IFERROR(IF(Tableau3[[#This Row],[Dettes]]=0,"",(Tableau3[[#This Row],[Dettes]]/Tableau3[[#This Row],[EBE]])),"")</f>
        <v/>
      </c>
      <c r="V486" s="190" t="str">
        <f>IFERROR(Tableau3[[#This Row],[Fonds propres]]/Tableau3[[#This Row],[Total Bilan]],"")</f>
        <v/>
      </c>
      <c r="W486" s="180"/>
      <c r="X486" s="191"/>
      <c r="Y486" s="180"/>
      <c r="Z486" s="192" t="str">
        <f>IFERROR(Tableau3[[#This Row],[Chiffre d''affaires]]/Tableau3[[#This Row],[Salariés]],"")</f>
        <v/>
      </c>
      <c r="AA486" s="197"/>
      <c r="AB486" s="197"/>
      <c r="AC486" s="177" t="s">
        <v>394</v>
      </c>
    </row>
    <row r="487" spans="1:29" ht="20.25" customHeight="1">
      <c r="A487" s="217"/>
      <c r="E487" s="187">
        <v>5.6</v>
      </c>
      <c r="F487" s="178">
        <v>2019</v>
      </c>
      <c r="G487" s="188">
        <v>980644000</v>
      </c>
      <c r="H487" s="188">
        <v>73000000</v>
      </c>
      <c r="I487" s="188">
        <v>-282330000</v>
      </c>
      <c r="J487" s="188">
        <v>-357214000</v>
      </c>
      <c r="K487" s="188">
        <v>1975741000</v>
      </c>
      <c r="L487" s="188">
        <v>3232210000</v>
      </c>
      <c r="M487" s="194">
        <f>L487/P487</f>
        <v>23.473180438350592</v>
      </c>
      <c r="N487" s="190">
        <f>J487/L487</f>
        <v>-0.11051695279700267</v>
      </c>
      <c r="O487" s="190">
        <f>(I487*0.6666)/(K487+L487)</f>
        <v>-3.613727894137253E-2</v>
      </c>
      <c r="P487" s="211">
        <v>137698000</v>
      </c>
      <c r="Q487" s="188">
        <f>E487*P487</f>
        <v>771108800</v>
      </c>
      <c r="R487" s="195">
        <f>Q487/L487</f>
        <v>0.23857014241030131</v>
      </c>
      <c r="S487" s="197">
        <f>(Q487+K487)/H487</f>
        <v>37.628079452054791</v>
      </c>
      <c r="T487" s="180"/>
      <c r="U487" s="189">
        <f>IFERROR(IF(Tableau3[[#This Row],[Dettes]]=0,"",(Tableau3[[#This Row],[Dettes]]/Tableau3[[#This Row],[EBE]])),"")</f>
        <v>27.064945205479454</v>
      </c>
      <c r="V487" s="190" t="str">
        <f>IFERROR(Tableau3[[#This Row],[Fonds propres]]/Tableau3[[#This Row],[Total Bilan]],"")</f>
        <v/>
      </c>
      <c r="W487" s="180"/>
      <c r="X487" s="191"/>
      <c r="Y487" s="180"/>
      <c r="Z487" s="192" t="str">
        <f>IFERROR(Tableau3[[#This Row],[Chiffre d''affaires]]/Tableau3[[#This Row],[Salariés]],"")</f>
        <v/>
      </c>
      <c r="AA487" s="197"/>
      <c r="AB487" s="197"/>
      <c r="AC487" s="177" t="s">
        <v>395</v>
      </c>
    </row>
    <row r="488" spans="1:29" ht="20.25" customHeight="1">
      <c r="A488" s="217"/>
      <c r="E488" s="187"/>
      <c r="F488" s="214"/>
      <c r="G488" s="202">
        <f>(G487/G489)-1</f>
        <v>-7.484058556208506E-2</v>
      </c>
      <c r="H488" s="203">
        <f>(H487/H489)-1</f>
        <v>-0.70445344129554655</v>
      </c>
      <c r="I488" s="203">
        <f>(I487/I489)-1</f>
        <v>1.5166914773183104</v>
      </c>
      <c r="J488" s="203">
        <f>(J487/J489)-1</f>
        <v>0.98152791337534384</v>
      </c>
      <c r="K488" s="188"/>
      <c r="L488" s="178"/>
      <c r="M488" s="177"/>
      <c r="N488" s="178"/>
      <c r="O488" s="177"/>
      <c r="P488" s="188"/>
      <c r="Q488" s="188"/>
      <c r="R488" s="195"/>
      <c r="S488" s="197"/>
      <c r="T488" s="180"/>
      <c r="U488" s="189" t="str">
        <f>IFERROR(IF(Tableau3[[#This Row],[Dettes]]=0,"",(Tableau3[[#This Row],[Dettes]]/Tableau3[[#This Row],[EBE]])),"")</f>
        <v/>
      </c>
      <c r="V488" s="190" t="str">
        <f>IFERROR(Tableau3[[#This Row],[Fonds propres]]/Tableau3[[#This Row],[Total Bilan]],"")</f>
        <v/>
      </c>
      <c r="W488" s="180"/>
      <c r="X488" s="191"/>
      <c r="Y488" s="180"/>
      <c r="Z488" s="192" t="str">
        <f>IFERROR(Tableau3[[#This Row],[Chiffre d''affaires]]/Tableau3[[#This Row],[Salariés]],"")</f>
        <v/>
      </c>
      <c r="AA488" s="197"/>
      <c r="AB488" s="197"/>
      <c r="AC488" s="177" t="s">
        <v>396</v>
      </c>
    </row>
    <row r="489" spans="1:29" ht="20.25" customHeight="1">
      <c r="A489" s="217"/>
      <c r="E489" s="187">
        <v>12</v>
      </c>
      <c r="F489" s="178">
        <v>2018</v>
      </c>
      <c r="G489" s="188">
        <v>1059973000</v>
      </c>
      <c r="H489" s="188">
        <v>247000000</v>
      </c>
      <c r="I489" s="188">
        <v>-112183000</v>
      </c>
      <c r="J489" s="188">
        <v>-180272000</v>
      </c>
      <c r="K489" s="188">
        <v>1974000000</v>
      </c>
      <c r="L489" s="188">
        <v>3584653000</v>
      </c>
      <c r="M489" s="194">
        <f>L489/P489</f>
        <v>26.082343781833</v>
      </c>
      <c r="N489" s="190">
        <f>J489/L489</f>
        <v>-5.0289944382343285E-2</v>
      </c>
      <c r="O489" s="190">
        <f>(I489*0.6666)/(K489+L489)</f>
        <v>-1.3453113155291399E-2</v>
      </c>
      <c r="P489" s="188">
        <v>137436000</v>
      </c>
      <c r="Q489" s="188">
        <f>E489*P489</f>
        <v>1649232000</v>
      </c>
      <c r="R489" s="195">
        <f>Q489/L489</f>
        <v>0.46008135236520803</v>
      </c>
      <c r="S489" s="197">
        <f>(Q489+K489)/H489</f>
        <v>14.668955465587045</v>
      </c>
      <c r="T489" s="180"/>
      <c r="U489" s="189">
        <f>IFERROR(IF(Tableau3[[#This Row],[Dettes]]=0,"",(Tableau3[[#This Row],[Dettes]]/Tableau3[[#This Row],[EBE]])),"")</f>
        <v>7.9919028340080969</v>
      </c>
      <c r="V489" s="190" t="str">
        <f>IFERROR(Tableau3[[#This Row],[Fonds propres]]/Tableau3[[#This Row],[Total Bilan]],"")</f>
        <v/>
      </c>
      <c r="W489" s="180"/>
      <c r="X489" s="191"/>
      <c r="Y489" s="180"/>
      <c r="Z489" s="192" t="str">
        <f>IFERROR(Tableau3[[#This Row],[Chiffre d''affaires]]/Tableau3[[#This Row],[Salariés]],"")</f>
        <v/>
      </c>
      <c r="AA489" s="197"/>
      <c r="AB489" s="197"/>
      <c r="AC489" s="177" t="s">
        <v>397</v>
      </c>
    </row>
    <row r="490" spans="1:29" ht="20.25" customHeight="1">
      <c r="A490" s="217"/>
      <c r="E490" s="187"/>
      <c r="F490" s="214"/>
      <c r="G490" s="202">
        <f>(G489/G491)-1</f>
        <v>-0.28657186356214315</v>
      </c>
      <c r="H490" s="203">
        <f>(H489/H491)-1</f>
        <v>-0.56809649458721734</v>
      </c>
      <c r="I490" s="203">
        <f>(I489/I491)-1</f>
        <v>-1.9055852888705913</v>
      </c>
      <c r="J490" s="203">
        <f>(J489/J491)-1</f>
        <v>-10.82622915076856</v>
      </c>
      <c r="K490" s="188"/>
      <c r="L490" s="178"/>
      <c r="M490" s="177"/>
      <c r="N490" s="178"/>
      <c r="O490" s="177"/>
      <c r="P490" s="188"/>
      <c r="Q490" s="188"/>
      <c r="R490" s="195"/>
      <c r="S490" s="197"/>
      <c r="T490" s="180"/>
      <c r="U490" s="189" t="str">
        <f>IFERROR(IF(Tableau3[[#This Row],[Dettes]]=0,"",(Tableau3[[#This Row],[Dettes]]/Tableau3[[#This Row],[EBE]])),"")</f>
        <v/>
      </c>
      <c r="V490" s="190" t="str">
        <f>IFERROR(Tableau3[[#This Row],[Fonds propres]]/Tableau3[[#This Row],[Total Bilan]],"")</f>
        <v/>
      </c>
      <c r="W490" s="180"/>
      <c r="X490" s="191"/>
      <c r="Y490" s="180"/>
      <c r="Z490" s="192" t="str">
        <f>IFERROR(Tableau3[[#This Row],[Chiffre d''affaires]]/Tableau3[[#This Row],[Salariés]],"")</f>
        <v/>
      </c>
      <c r="AA490" s="197"/>
      <c r="AB490" s="197"/>
      <c r="AC490" s="177" t="s">
        <v>398</v>
      </c>
    </row>
    <row r="491" spans="1:29" ht="20.25" customHeight="1">
      <c r="A491" s="217"/>
      <c r="E491" s="187">
        <v>19</v>
      </c>
      <c r="F491" s="178">
        <v>2017</v>
      </c>
      <c r="G491" s="188">
        <v>1485746000</v>
      </c>
      <c r="H491" s="188">
        <v>571887000</v>
      </c>
      <c r="I491" s="188">
        <v>123879000</v>
      </c>
      <c r="J491" s="188">
        <v>18346000</v>
      </c>
      <c r="K491" s="188">
        <v>1972000000</v>
      </c>
      <c r="L491" s="188">
        <v>3774261000</v>
      </c>
      <c r="M491" s="194">
        <f>L491/P491</f>
        <v>27.496164353622554</v>
      </c>
      <c r="N491" s="190">
        <f>J491/L491</f>
        <v>4.8608191113439165E-3</v>
      </c>
      <c r="O491" s="190">
        <f>(I491*0.6666)/(K491+L491)</f>
        <v>1.4370691028479213E-2</v>
      </c>
      <c r="P491" s="188">
        <v>137265000</v>
      </c>
      <c r="Q491" s="188">
        <f>E491*P491</f>
        <v>2608035000</v>
      </c>
      <c r="R491" s="195">
        <f>Q491/L491</f>
        <v>0.69100547100478737</v>
      </c>
      <c r="S491" s="197">
        <f>(Q491+K491)/H491</f>
        <v>8.0086363215110676</v>
      </c>
      <c r="T491" s="180"/>
      <c r="U491" s="189">
        <f>IFERROR(IF(Tableau3[[#This Row],[Dettes]]=0,"",(Tableau3[[#This Row],[Dettes]]/Tableau3[[#This Row],[EBE]])),"")</f>
        <v>3.4482336545506369</v>
      </c>
      <c r="V491" s="190" t="str">
        <f>IFERROR(Tableau3[[#This Row],[Fonds propres]]/Tableau3[[#This Row],[Total Bilan]],"")</f>
        <v/>
      </c>
      <c r="W491" s="180"/>
      <c r="X491" s="191"/>
      <c r="Y491" s="180"/>
      <c r="Z491" s="192" t="str">
        <f>IFERROR(Tableau3[[#This Row],[Chiffre d''affaires]]/Tableau3[[#This Row],[Salariés]],"")</f>
        <v/>
      </c>
      <c r="AA491" s="197"/>
      <c r="AB491" s="197"/>
      <c r="AC491" s="177" t="s">
        <v>399</v>
      </c>
    </row>
    <row r="492" spans="1:29" ht="20.25" customHeight="1">
      <c r="A492" s="217"/>
      <c r="E492" s="187"/>
      <c r="F492" s="214"/>
      <c r="G492" s="202">
        <f>(G491/G493)-1</f>
        <v>-7.1607193962290538E-2</v>
      </c>
      <c r="H492" s="203">
        <f>(H491/H493)-1</f>
        <v>-0.18652927864174751</v>
      </c>
      <c r="I492" s="203">
        <f>(I491/I493)-1</f>
        <v>-1.34711278734827</v>
      </c>
      <c r="J492" s="203">
        <f>(J491/J493)-1</f>
        <v>-1.0441516935324724</v>
      </c>
      <c r="K492" s="188"/>
      <c r="L492" s="178"/>
      <c r="M492" s="177"/>
      <c r="N492" s="178"/>
      <c r="O492" s="177"/>
      <c r="P492" s="188"/>
      <c r="Q492" s="188"/>
      <c r="R492" s="195"/>
      <c r="S492" s="197"/>
      <c r="T492" s="180"/>
      <c r="U492" s="189" t="str">
        <f>IFERROR(IF(Tableau3[[#This Row],[Dettes]]=0,"",(Tableau3[[#This Row],[Dettes]]/Tableau3[[#This Row],[EBE]])),"")</f>
        <v/>
      </c>
      <c r="V492" s="190" t="str">
        <f>IFERROR(Tableau3[[#This Row],[Fonds propres]]/Tableau3[[#This Row],[Total Bilan]],"")</f>
        <v/>
      </c>
      <c r="W492" s="180"/>
      <c r="X492" s="191"/>
      <c r="Y492" s="180"/>
      <c r="Z492" s="192" t="str">
        <f>IFERROR(Tableau3[[#This Row],[Chiffre d''affaires]]/Tableau3[[#This Row],[Salariés]],"")</f>
        <v/>
      </c>
      <c r="AA492" s="197"/>
      <c r="AB492" s="197"/>
      <c r="AC492" s="177" t="s">
        <v>400</v>
      </c>
    </row>
    <row r="493" spans="1:29" ht="20.25" customHeight="1">
      <c r="A493" s="217"/>
      <c r="E493" s="187">
        <v>17.7</v>
      </c>
      <c r="F493" s="178">
        <v>2016</v>
      </c>
      <c r="G493" s="188">
        <v>1600342000</v>
      </c>
      <c r="H493" s="188">
        <v>703021000</v>
      </c>
      <c r="I493" s="188">
        <v>-356884000</v>
      </c>
      <c r="J493" s="188">
        <v>-415522000</v>
      </c>
      <c r="K493" s="188">
        <v>1928851000</v>
      </c>
      <c r="L493" s="188">
        <v>3750134000</v>
      </c>
      <c r="M493" s="194">
        <f>L493/P493</f>
        <v>27.339714802286249</v>
      </c>
      <c r="N493" s="190">
        <f>J493/L493</f>
        <v>-0.11080190734517753</v>
      </c>
      <c r="O493" s="190">
        <f>(I493*0.6666)/(K493+L493)</f>
        <v>-4.1891090467750837E-2</v>
      </c>
      <c r="P493" s="188">
        <v>137168000</v>
      </c>
      <c r="Q493" s="188">
        <f>E493*P493</f>
        <v>2427873600</v>
      </c>
      <c r="R493" s="195">
        <f>Q493/L493</f>
        <v>0.64740982588888829</v>
      </c>
      <c r="S493" s="197">
        <f>(Q493+K493)/H493</f>
        <v>6.1971471691457296</v>
      </c>
      <c r="T493" s="180"/>
      <c r="U493" s="189">
        <f>IFERROR(IF(Tableau3[[#This Row],[Dettes]]=0,"",(Tableau3[[#This Row],[Dettes]]/Tableau3[[#This Row],[EBE]])),"")</f>
        <v>2.7436605734394846</v>
      </c>
      <c r="V493" s="190" t="str">
        <f>IFERROR(Tableau3[[#This Row],[Fonds propres]]/Tableau3[[#This Row],[Total Bilan]],"")</f>
        <v/>
      </c>
      <c r="W493" s="180"/>
      <c r="X493" s="191"/>
      <c r="Y493" s="180"/>
      <c r="Z493" s="192" t="str">
        <f>IFERROR(Tableau3[[#This Row],[Chiffre d''affaires]]/Tableau3[[#This Row],[Salariés]],"")</f>
        <v/>
      </c>
      <c r="AA493" s="197"/>
      <c r="AB493" s="197"/>
      <c r="AC493" s="177" t="s">
        <v>401</v>
      </c>
    </row>
    <row r="494" spans="1:29" ht="20.25" customHeight="1">
      <c r="A494" s="217"/>
      <c r="E494" s="187"/>
      <c r="F494" s="214"/>
      <c r="G494" s="202">
        <f>(G493/G495)-1</f>
        <v>-0.32194184860163444</v>
      </c>
      <c r="H494" s="203">
        <f>(H493/H495)-1</f>
        <v>-0.39106811085174298</v>
      </c>
      <c r="I494" s="203">
        <f>(I493/I495)-1</f>
        <v>0.21358569611730371</v>
      </c>
      <c r="J494" s="203">
        <f>(J493/J495)-1</f>
        <v>0.51493342666725006</v>
      </c>
      <c r="K494" s="188"/>
      <c r="L494" s="188"/>
      <c r="M494" s="177"/>
      <c r="N494" s="178"/>
      <c r="O494" s="177"/>
      <c r="P494" s="188"/>
      <c r="Q494" s="188"/>
      <c r="R494" s="195"/>
      <c r="S494" s="197"/>
      <c r="T494" s="180"/>
      <c r="U494" s="189" t="str">
        <f>IFERROR(IF(Tableau3[[#This Row],[Dettes]]=0,"",(Tableau3[[#This Row],[Dettes]]/Tableau3[[#This Row],[EBE]])),"")</f>
        <v/>
      </c>
      <c r="V494" s="190" t="str">
        <f>IFERROR(Tableau3[[#This Row],[Fonds propres]]/Tableau3[[#This Row],[Total Bilan]],"")</f>
        <v/>
      </c>
      <c r="W494" s="180"/>
      <c r="X494" s="191"/>
      <c r="Y494" s="180"/>
      <c r="Z494" s="192" t="str">
        <f>IFERROR(Tableau3[[#This Row],[Chiffre d''affaires]]/Tableau3[[#This Row],[Salariés]],"")</f>
        <v/>
      </c>
      <c r="AA494" s="197"/>
      <c r="AB494" s="197"/>
      <c r="AC494" s="177" t="s">
        <v>402</v>
      </c>
    </row>
    <row r="495" spans="1:29" ht="20.25" customHeight="1">
      <c r="A495" s="217"/>
      <c r="E495" s="187">
        <v>20.85</v>
      </c>
      <c r="F495" s="178">
        <v>2015</v>
      </c>
      <c r="G495" s="188">
        <v>2360184000</v>
      </c>
      <c r="H495" s="188">
        <v>1154515000</v>
      </c>
      <c r="I495" s="188">
        <v>-294074000</v>
      </c>
      <c r="J495" s="188">
        <v>-274284000</v>
      </c>
      <c r="K495" s="188">
        <v>2147339000</v>
      </c>
      <c r="L495" s="188">
        <v>4112770000</v>
      </c>
      <c r="M495" s="194">
        <f>L495/P495</f>
        <v>29.985855625305309</v>
      </c>
      <c r="N495" s="190">
        <f>J495/L495</f>
        <v>-6.6690819083002451E-2</v>
      </c>
      <c r="O495" s="190">
        <f>(I495*0.6666)/(K495+L495)</f>
        <v>-3.1314107853393607E-2</v>
      </c>
      <c r="P495" s="188">
        <v>137157000</v>
      </c>
      <c r="Q495" s="188">
        <f>E495*P495</f>
        <v>2859723450</v>
      </c>
      <c r="R495" s="195">
        <f>Q495/L495</f>
        <v>0.69532783257998865</v>
      </c>
      <c r="S495" s="197">
        <f>(Q495+K495)/H495</f>
        <v>4.3369401436967037</v>
      </c>
      <c r="T495" s="180"/>
      <c r="U495" s="189">
        <f>IFERROR(IF(Tableau3[[#This Row],[Dettes]]=0,"",(Tableau3[[#This Row],[Dettes]]/Tableau3[[#This Row],[EBE]])),"")</f>
        <v>1.8599489829062421</v>
      </c>
      <c r="V495" s="190" t="str">
        <f>IFERROR(Tableau3[[#This Row],[Fonds propres]]/Tableau3[[#This Row],[Total Bilan]],"")</f>
        <v/>
      </c>
      <c r="W495" s="180"/>
      <c r="X495" s="191"/>
      <c r="Y495" s="180"/>
      <c r="Z495" s="192" t="str">
        <f>IFERROR(Tableau3[[#This Row],[Chiffre d''affaires]]/Tableau3[[#This Row],[Salariés]],"")</f>
        <v/>
      </c>
      <c r="AA495" s="197"/>
      <c r="AB495" s="197"/>
      <c r="AC495" s="177" t="s">
        <v>403</v>
      </c>
    </row>
    <row r="496" spans="1:29" ht="20.25" customHeight="1">
      <c r="A496" s="217"/>
      <c r="E496" s="187"/>
      <c r="G496" s="202">
        <f>(G495/G497)-1</f>
        <v>-0.16147073672198275</v>
      </c>
      <c r="H496" s="203">
        <f>(H495/H497)-1</f>
        <v>0.1219285842698814</v>
      </c>
      <c r="I496" s="203">
        <f>(I495/I497)-1</f>
        <v>-1.513610753071283</v>
      </c>
      <c r="J496" s="203">
        <f>(J495/J497)-1</f>
        <v>-1.7087240414355147</v>
      </c>
      <c r="K496" s="188"/>
      <c r="L496" s="188"/>
      <c r="M496" s="194"/>
      <c r="N496" s="190"/>
      <c r="O496" s="190"/>
      <c r="P496" s="188"/>
      <c r="Q496" s="188"/>
      <c r="R496" s="195"/>
      <c r="S496" s="197"/>
      <c r="T496" s="180"/>
      <c r="U496" s="189" t="str">
        <f>IFERROR(IF(Tableau3[[#This Row],[Dettes]]=0,"",(Tableau3[[#This Row],[Dettes]]/Tableau3[[#This Row],[EBE]])),"")</f>
        <v/>
      </c>
      <c r="V496" s="190" t="str">
        <f>IFERROR(Tableau3[[#This Row],[Fonds propres]]/Tableau3[[#This Row],[Total Bilan]],"")</f>
        <v/>
      </c>
      <c r="W496" s="180"/>
      <c r="X496" s="191"/>
      <c r="Y496" s="180"/>
      <c r="Z496" s="192" t="str">
        <f>IFERROR(Tableau3[[#This Row],[Chiffre d''affaires]]/Tableau3[[#This Row],[Salariés]],"")</f>
        <v/>
      </c>
      <c r="AA496" s="197"/>
      <c r="AB496" s="197"/>
      <c r="AC496" s="177" t="s">
        <v>404</v>
      </c>
    </row>
    <row r="497" spans="1:29" ht="20.25" customHeight="1">
      <c r="A497" s="217"/>
      <c r="E497" s="187">
        <v>38</v>
      </c>
      <c r="F497" s="178">
        <v>2014</v>
      </c>
      <c r="G497" s="188">
        <v>2814671000</v>
      </c>
      <c r="H497" s="188">
        <v>1029045000</v>
      </c>
      <c r="I497" s="188">
        <v>572562000</v>
      </c>
      <c r="J497" s="188">
        <v>387011000</v>
      </c>
      <c r="K497" s="188">
        <v>1978635000</v>
      </c>
      <c r="L497" s="188">
        <v>4451563000</v>
      </c>
      <c r="M497" s="194">
        <f>L497/P497</f>
        <v>32.36958908691637</v>
      </c>
      <c r="N497" s="190">
        <f>J497/L497</f>
        <v>8.6938228213326418E-2</v>
      </c>
      <c r="O497" s="190">
        <f>(I497*0.6666)/(K497+L497)</f>
        <v>5.9355843972456211E-2</v>
      </c>
      <c r="P497" s="188">
        <v>137523000</v>
      </c>
      <c r="Q497" s="188">
        <f>E497*P497</f>
        <v>5225874000</v>
      </c>
      <c r="R497" s="195">
        <f>Q497/L497</f>
        <v>1.173941377444282</v>
      </c>
      <c r="S497" s="197">
        <f>(Q497+K497)/H497</f>
        <v>7.0011602991122839</v>
      </c>
      <c r="T497" s="180"/>
      <c r="U497" s="189">
        <f>IFERROR(IF(Tableau3[[#This Row],[Dettes]]=0,"",(Tableau3[[#This Row],[Dettes]]/Tableau3[[#This Row],[EBE]])),"")</f>
        <v>1.9227876331938836</v>
      </c>
      <c r="V497" s="190" t="str">
        <f>IFERROR(Tableau3[[#This Row],[Fonds propres]]/Tableau3[[#This Row],[Total Bilan]],"")</f>
        <v/>
      </c>
      <c r="W497" s="180"/>
      <c r="X497" s="191"/>
      <c r="Y497" s="180"/>
      <c r="Z497" s="192" t="str">
        <f>IFERROR(Tableau3[[#This Row],[Chiffre d''affaires]]/Tableau3[[#This Row],[Salariés]],"")</f>
        <v/>
      </c>
      <c r="AA497" s="197"/>
      <c r="AB497" s="197"/>
      <c r="AC497" s="177" t="s">
        <v>405</v>
      </c>
    </row>
    <row r="498" spans="1:29" ht="20.25" customHeight="1">
      <c r="A498" s="217"/>
      <c r="E498" s="187"/>
      <c r="G498" s="202">
        <f>(G497/G499)-1</f>
        <v>-3.621053265950358E-2</v>
      </c>
      <c r="H498" s="203">
        <f>(H497/H499)-1</f>
        <v>-0.13503679084944242</v>
      </c>
      <c r="I498" s="203">
        <f>(I497/I499)-1</f>
        <v>-0.28573139422609117</v>
      </c>
      <c r="J498" s="203">
        <f>(J497/J499)-1</f>
        <v>-0.29465851142547828</v>
      </c>
      <c r="K498" s="188"/>
      <c r="L498" s="188"/>
      <c r="M498" s="194"/>
      <c r="N498" s="190"/>
      <c r="O498" s="190"/>
      <c r="P498" s="188"/>
      <c r="Q498" s="188"/>
      <c r="R498" s="195"/>
      <c r="S498" s="197"/>
      <c r="T498" s="180"/>
      <c r="U498" s="189" t="str">
        <f>IFERROR(IF(Tableau3[[#This Row],[Dettes]]=0,"",(Tableau3[[#This Row],[Dettes]]/Tableau3[[#This Row],[EBE]])),"")</f>
        <v/>
      </c>
      <c r="V498" s="190" t="str">
        <f>IFERROR(Tableau3[[#This Row],[Fonds propres]]/Tableau3[[#This Row],[Total Bilan]],"")</f>
        <v/>
      </c>
      <c r="W498" s="180"/>
      <c r="X498" s="191"/>
      <c r="Y498" s="180"/>
      <c r="Z498" s="192" t="str">
        <f>IFERROR(Tableau3[[#This Row],[Chiffre d''affaires]]/Tableau3[[#This Row],[Salariés]],"")</f>
        <v/>
      </c>
      <c r="AA498" s="197"/>
      <c r="AB498" s="197"/>
    </row>
    <row r="499" spans="1:29" ht="20.25" customHeight="1">
      <c r="A499" s="217"/>
      <c r="E499" s="187">
        <v>55.91</v>
      </c>
      <c r="F499" s="178">
        <v>2013</v>
      </c>
      <c r="G499" s="188">
        <v>2920421000</v>
      </c>
      <c r="H499" s="188">
        <v>1189698000</v>
      </c>
      <c r="I499" s="188">
        <v>801606000</v>
      </c>
      <c r="J499" s="188">
        <v>548686000</v>
      </c>
      <c r="K499" s="188">
        <v>2227192000</v>
      </c>
      <c r="L499" s="188">
        <v>4637258000</v>
      </c>
      <c r="M499" s="194">
        <f>L499/P499</f>
        <v>33.353170065091525</v>
      </c>
      <c r="N499" s="190">
        <f>J499/L499</f>
        <v>0.11832121482134486</v>
      </c>
      <c r="O499" s="190">
        <f>(I499*0.6666)/(K499+L499)</f>
        <v>7.7843171645215564E-2</v>
      </c>
      <c r="P499" s="188">
        <v>139035000</v>
      </c>
      <c r="Q499" s="188">
        <f>E499*P499</f>
        <v>7773446850</v>
      </c>
      <c r="R499" s="195">
        <f>Q499/L499</f>
        <v>1.6763024291510198</v>
      </c>
      <c r="S499" s="197">
        <f>(Q499+K499)/H499</f>
        <v>8.4060314886635101</v>
      </c>
      <c r="T499" s="180"/>
      <c r="U499" s="189">
        <f>IFERROR(IF(Tableau3[[#This Row],[Dettes]]=0,"",(Tableau3[[#This Row],[Dettes]]/Tableau3[[#This Row],[EBE]])),"")</f>
        <v>1.872065011456689</v>
      </c>
      <c r="V499" s="190" t="str">
        <f>IFERROR(Tableau3[[#This Row],[Fonds propres]]/Tableau3[[#This Row],[Total Bilan]],"")</f>
        <v/>
      </c>
      <c r="W499" s="180"/>
      <c r="X499" s="191"/>
      <c r="Y499" s="180"/>
      <c r="Z499" s="192" t="str">
        <f>IFERROR(Tableau3[[#This Row],[Chiffre d''affaires]]/Tableau3[[#This Row],[Salariés]],"")</f>
        <v/>
      </c>
      <c r="AA499" s="197"/>
      <c r="AB499" s="197"/>
    </row>
    <row r="500" spans="1:29" ht="20.25" customHeight="1">
      <c r="A500" s="217"/>
      <c r="E500" s="187"/>
      <c r="G500" s="202">
        <f>(G499/G501)-1</f>
        <v>-2.2128519327589302E-2</v>
      </c>
      <c r="H500" s="203">
        <f>(H499/H501)-1</f>
        <v>-0.12218261613188608</v>
      </c>
      <c r="I500" s="203">
        <f>(I499/I501)-1</f>
        <v>-0.1670570191754176</v>
      </c>
      <c r="J500" s="203">
        <f>(J499/J501)-1</f>
        <v>-0.23844064418433897</v>
      </c>
      <c r="K500" s="188"/>
      <c r="L500" s="178"/>
      <c r="M500" s="194"/>
      <c r="N500" s="190"/>
      <c r="O500" s="190"/>
      <c r="P500" s="188"/>
      <c r="Q500" s="188"/>
      <c r="R500" s="195"/>
      <c r="S500" s="197"/>
      <c r="T500" s="180"/>
      <c r="U500" s="189" t="str">
        <f>IFERROR(IF(Tableau3[[#This Row],[Dettes]]=0,"",(Tableau3[[#This Row],[Dettes]]/Tableau3[[#This Row],[EBE]])),"")</f>
        <v/>
      </c>
      <c r="V500" s="190" t="str">
        <f>IFERROR(Tableau3[[#This Row],[Fonds propres]]/Tableau3[[#This Row],[Total Bilan]],"")</f>
        <v/>
      </c>
      <c r="W500" s="180"/>
      <c r="X500" s="191"/>
      <c r="Y500" s="180"/>
      <c r="Z500" s="192" t="str">
        <f>IFERROR(Tableau3[[#This Row],[Chiffre d''affaires]]/Tableau3[[#This Row],[Salariés]],"")</f>
        <v/>
      </c>
      <c r="AA500" s="197"/>
      <c r="AB500" s="197"/>
    </row>
    <row r="501" spans="1:29" ht="20.25" customHeight="1">
      <c r="A501" s="217"/>
      <c r="E501" s="187">
        <v>71.510000000000005</v>
      </c>
      <c r="F501" s="178">
        <v>2012</v>
      </c>
      <c r="G501" s="188">
        <v>2986508000</v>
      </c>
      <c r="H501" s="188">
        <v>1355291000</v>
      </c>
      <c r="I501" s="188">
        <v>962378000</v>
      </c>
      <c r="J501" s="188">
        <v>720477000</v>
      </c>
      <c r="K501" s="188">
        <v>1484540000</v>
      </c>
      <c r="L501" s="188">
        <v>4576394000</v>
      </c>
      <c r="M501" s="194">
        <f>L501/P501</f>
        <v>32.912332431965943</v>
      </c>
      <c r="N501" s="190">
        <f>J501/L501</f>
        <v>0.15743334162224668</v>
      </c>
      <c r="O501" s="190">
        <f>(I501*0.6666)/(K501+L501)</f>
        <v>0.10584526655462673</v>
      </c>
      <c r="P501" s="188">
        <v>139048000</v>
      </c>
      <c r="Q501" s="188">
        <f>E501*P501</f>
        <v>9943322480</v>
      </c>
      <c r="R501" s="195">
        <f>Q501/L501</f>
        <v>2.1727417875296577</v>
      </c>
      <c r="S501" s="197">
        <f>(Q501+K501)/H501</f>
        <v>8.4320359834161085</v>
      </c>
      <c r="T501" s="180"/>
      <c r="U501" s="189">
        <f>IFERROR(IF(Tableau3[[#This Row],[Dettes]]=0,"",(Tableau3[[#This Row],[Dettes]]/Tableau3[[#This Row],[EBE]])),"")</f>
        <v>1.0953662350004538</v>
      </c>
      <c r="V501" s="190" t="str">
        <f>IFERROR(Tableau3[[#This Row],[Fonds propres]]/Tableau3[[#This Row],[Total Bilan]],"")</f>
        <v/>
      </c>
      <c r="W501" s="180"/>
      <c r="X501" s="191"/>
      <c r="Y501" s="180"/>
      <c r="Z501" s="192" t="str">
        <f>IFERROR(Tableau3[[#This Row],[Chiffre d''affaires]]/Tableau3[[#This Row],[Salariés]],"")</f>
        <v/>
      </c>
      <c r="AA501" s="197"/>
      <c r="AB501" s="197"/>
    </row>
    <row r="502" spans="1:29" ht="20.25" customHeight="1">
      <c r="A502" s="217"/>
      <c r="E502" s="187"/>
      <c r="G502" s="188"/>
      <c r="H502" s="188"/>
      <c r="I502" s="188"/>
      <c r="J502" s="188"/>
      <c r="K502" s="188"/>
      <c r="L502" s="188"/>
      <c r="M502" s="194"/>
      <c r="N502" s="190"/>
      <c r="O502" s="190"/>
      <c r="P502" s="188"/>
      <c r="Q502" s="188"/>
      <c r="R502" s="195"/>
      <c r="S502" s="197"/>
      <c r="T502" s="180"/>
      <c r="U502" s="189" t="str">
        <f>IFERROR(IF(Tableau3[[#This Row],[Dettes]]=0,"",(Tableau3[[#This Row],[Dettes]]/Tableau3[[#This Row],[EBE]])),"")</f>
        <v/>
      </c>
      <c r="V502" s="190" t="str">
        <f>IFERROR(Tableau3[[#This Row],[Fonds propres]]/Tableau3[[#This Row],[Total Bilan]],"")</f>
        <v/>
      </c>
      <c r="W502" s="180"/>
      <c r="X502" s="191"/>
      <c r="Y502" s="180"/>
      <c r="Z502" s="192" t="str">
        <f>IFERROR(Tableau3[[#This Row],[Chiffre d''affaires]]/Tableau3[[#This Row],[Salariés]],"")</f>
        <v/>
      </c>
      <c r="AA502" s="197"/>
      <c r="AB502" s="197"/>
    </row>
    <row r="503" spans="1:29" ht="20.25" customHeight="1">
      <c r="A503" s="217"/>
      <c r="E503" s="187"/>
      <c r="G503" s="188"/>
      <c r="H503" s="188"/>
      <c r="I503" s="188"/>
      <c r="J503" s="188"/>
      <c r="K503" s="188"/>
      <c r="L503" s="188"/>
      <c r="M503" s="194"/>
      <c r="N503" s="190"/>
      <c r="O503" s="190"/>
      <c r="P503" s="188"/>
      <c r="Q503" s="188"/>
      <c r="R503" s="195"/>
      <c r="S503" s="197"/>
      <c r="T503" s="180"/>
      <c r="U503" s="189" t="str">
        <f>IFERROR(IF(Tableau3[[#This Row],[Dettes]]=0,"",(Tableau3[[#This Row],[Dettes]]/Tableau3[[#This Row],[EBE]])),"")</f>
        <v/>
      </c>
      <c r="V503" s="190" t="str">
        <f>IFERROR(Tableau3[[#This Row],[Fonds propres]]/Tableau3[[#This Row],[Total Bilan]],"")</f>
        <v/>
      </c>
      <c r="W503" s="180"/>
      <c r="X503" s="191"/>
      <c r="Y503" s="180"/>
      <c r="Z503" s="192" t="str">
        <f>IFERROR(Tableau3[[#This Row],[Chiffre d''affaires]]/Tableau3[[#This Row],[Salariés]],"")</f>
        <v/>
      </c>
      <c r="AA503" s="197"/>
      <c r="AB503" s="197"/>
    </row>
    <row r="504" spans="1:29" ht="20.25" customHeight="1">
      <c r="A504" s="217"/>
      <c r="E504" s="187"/>
      <c r="G504" s="188"/>
      <c r="H504" s="188"/>
      <c r="I504" s="188"/>
      <c r="J504" s="188"/>
      <c r="K504" s="188"/>
      <c r="L504" s="188"/>
      <c r="M504" s="194"/>
      <c r="N504" s="190"/>
      <c r="O504" s="190"/>
      <c r="P504" s="188"/>
      <c r="Q504" s="188"/>
      <c r="R504" s="195"/>
      <c r="S504" s="197"/>
      <c r="T504" s="180"/>
      <c r="U504" s="189" t="str">
        <f>IFERROR(IF(Tableau3[[#This Row],[Dettes]]=0,"",(Tableau3[[#This Row],[Dettes]]/Tableau3[[#This Row],[EBE]])),"")</f>
        <v/>
      </c>
      <c r="V504" s="190" t="str">
        <f>IFERROR(Tableau3[[#This Row],[Fonds propres]]/Tableau3[[#This Row],[Total Bilan]],"")</f>
        <v/>
      </c>
      <c r="W504" s="180"/>
      <c r="X504" s="191"/>
      <c r="Y504" s="180"/>
      <c r="Z504" s="192" t="str">
        <f>IFERROR(Tableau3[[#This Row],[Chiffre d''affaires]]/Tableau3[[#This Row],[Salariés]],"")</f>
        <v/>
      </c>
      <c r="AA504" s="197"/>
      <c r="AB504" s="197"/>
    </row>
    <row r="505" spans="1:29" ht="20.25" customHeight="1">
      <c r="A505" s="217" t="s">
        <v>4936</v>
      </c>
      <c r="B505" s="216" t="s">
        <v>406</v>
      </c>
      <c r="C505" s="178" t="s">
        <v>84</v>
      </c>
      <c r="D505" s="178" t="s">
        <v>383</v>
      </c>
      <c r="E505" s="187">
        <v>0.63600000000000001</v>
      </c>
      <c r="F505" s="178">
        <v>2021</v>
      </c>
      <c r="G505" s="188">
        <v>1062000000</v>
      </c>
      <c r="H505" s="188">
        <v>465000000</v>
      </c>
      <c r="I505" s="188">
        <v>-23000000</v>
      </c>
      <c r="J505" s="188">
        <v>-180000000</v>
      </c>
      <c r="K505" s="188">
        <v>989000000</v>
      </c>
      <c r="L505" s="188">
        <v>962000000</v>
      </c>
      <c r="M505" s="194">
        <f>L505/P505</f>
        <v>1.3517649149289865</v>
      </c>
      <c r="N505" s="190">
        <f>J505/L505</f>
        <v>-0.18711018711018712</v>
      </c>
      <c r="O505" s="190">
        <f>(I505*0.6666)/(K505+L505)</f>
        <v>-7.8584315735520244E-3</v>
      </c>
      <c r="P505" s="188">
        <v>711662205</v>
      </c>
      <c r="Q505" s="188">
        <f>E505*P505</f>
        <v>452617162.38</v>
      </c>
      <c r="R505" s="195">
        <f>Q505/L505</f>
        <v>0.47049601079002079</v>
      </c>
      <c r="S505" s="197">
        <f>(Q505+K505)/H505</f>
        <v>3.1002519621075271</v>
      </c>
      <c r="T505" s="180">
        <v>19000000</v>
      </c>
      <c r="U505" s="189">
        <f>IFERROR(IF(Tableau3[[#This Row],[Dettes]]=0,"",(Tableau3[[#This Row],[Dettes]]/Tableau3[[#This Row],[EBE]])),"")</f>
        <v>2.1268817204301076</v>
      </c>
      <c r="V505" s="190" t="str">
        <f>IFERROR(Tableau3[[#This Row],[Fonds propres]]/Tableau3[[#This Row],[Total Bilan]],"")</f>
        <v/>
      </c>
      <c r="W505" s="180"/>
      <c r="X505" s="191" t="s">
        <v>407</v>
      </c>
      <c r="Y505" s="180"/>
      <c r="Z505" s="192" t="str">
        <f>IFERROR(Tableau3[[#This Row],[Chiffre d''affaires]]/Tableau3[[#This Row],[Salariés]],"")</f>
        <v/>
      </c>
      <c r="AA505" s="197"/>
      <c r="AB505" s="197"/>
      <c r="AC505" s="177" t="s">
        <v>408</v>
      </c>
    </row>
    <row r="506" spans="1:29" ht="20.25" customHeight="1">
      <c r="A506" s="217"/>
      <c r="E506" s="187"/>
      <c r="G506" s="202">
        <f>(G505/G507)-1</f>
        <v>0.19864559819413086</v>
      </c>
      <c r="H506" s="203">
        <f>(H505/H507)-1</f>
        <v>0.28808864265927969</v>
      </c>
      <c r="I506" s="203">
        <f>(I505/I507)-1</f>
        <v>-0.86682107701215982</v>
      </c>
      <c r="J506" s="203">
        <f>(J505/J507)-1</f>
        <v>-0.59257582616568583</v>
      </c>
      <c r="K506" s="188"/>
      <c r="L506" s="188"/>
      <c r="M506" s="194"/>
      <c r="N506" s="190"/>
      <c r="O506" s="190"/>
      <c r="P506" s="188"/>
      <c r="Q506" s="188"/>
      <c r="R506" s="195"/>
      <c r="S506" s="197"/>
      <c r="T506" s="180"/>
      <c r="U506" s="189" t="str">
        <f>IFERROR(IF(Tableau3[[#This Row],[Dettes]]=0,"",(Tableau3[[#This Row],[Dettes]]/Tableau3[[#This Row],[EBE]])),"")</f>
        <v/>
      </c>
      <c r="V506" s="190" t="str">
        <f>IFERROR(Tableau3[[#This Row],[Fonds propres]]/Tableau3[[#This Row],[Total Bilan]],"")</f>
        <v/>
      </c>
      <c r="W506" s="180"/>
      <c r="X506" s="191"/>
      <c r="Y506" s="180"/>
      <c r="Z506" s="192" t="str">
        <f>IFERROR(Tableau3[[#This Row],[Chiffre d''affaires]]/Tableau3[[#This Row],[Salariés]],"")</f>
        <v/>
      </c>
      <c r="AA506" s="197"/>
      <c r="AB506" s="197"/>
      <c r="AC506" s="177" t="s">
        <v>410</v>
      </c>
    </row>
    <row r="507" spans="1:29" ht="20.25" customHeight="1">
      <c r="A507" s="217"/>
      <c r="E507" s="187">
        <v>0.81</v>
      </c>
      <c r="F507" s="178">
        <v>2020</v>
      </c>
      <c r="G507" s="188">
        <v>886000000</v>
      </c>
      <c r="H507" s="188">
        <v>361000000</v>
      </c>
      <c r="I507" s="188">
        <v>-172700000</v>
      </c>
      <c r="J507" s="188">
        <v>-441800000</v>
      </c>
      <c r="K507" s="188">
        <v>849000000</v>
      </c>
      <c r="L507" s="188">
        <v>1119700000</v>
      </c>
      <c r="M507" s="194">
        <f>L507/P507</f>
        <v>1.5754008500321017</v>
      </c>
      <c r="N507" s="190">
        <f>J507/L507</f>
        <v>-0.39456997410020539</v>
      </c>
      <c r="O507" s="190">
        <f>(I507*0.6666)/(K507+L507)</f>
        <v>-5.8476060344389701E-2</v>
      </c>
      <c r="P507" s="188">
        <v>710739746</v>
      </c>
      <c r="Q507" s="188">
        <f>E507*P507</f>
        <v>575699194.25999999</v>
      </c>
      <c r="R507" s="195">
        <f>Q507/L507</f>
        <v>0.51415485778333481</v>
      </c>
      <c r="S507" s="197">
        <f>(Q507+K507)/H507</f>
        <v>3.9465351641551245</v>
      </c>
      <c r="T507" s="180">
        <v>-247000000</v>
      </c>
      <c r="U507" s="189">
        <f>IFERROR(IF(Tableau3[[#This Row],[Dettes]]=0,"",(Tableau3[[#This Row],[Dettes]]/Tableau3[[#This Row],[EBE]])),"")</f>
        <v>2.3518005540166205</v>
      </c>
      <c r="V507" s="190" t="str">
        <f>IFERROR(Tableau3[[#This Row],[Fonds propres]]/Tableau3[[#This Row],[Total Bilan]],"")</f>
        <v/>
      </c>
      <c r="W507" s="180"/>
      <c r="X507" s="191"/>
      <c r="Y507" s="180"/>
      <c r="Z507" s="192" t="str">
        <f>IFERROR(Tableau3[[#This Row],[Chiffre d''affaires]]/Tableau3[[#This Row],[Salariés]],"")</f>
        <v/>
      </c>
      <c r="AA507" s="197"/>
      <c r="AB507" s="197"/>
      <c r="AC507" s="177" t="s">
        <v>411</v>
      </c>
    </row>
    <row r="508" spans="1:29" ht="20.25" customHeight="1">
      <c r="A508" s="217"/>
      <c r="E508" s="187"/>
      <c r="G508" s="202">
        <f>(G507/G509)-1</f>
        <v>-0.36736879685826496</v>
      </c>
      <c r="H508" s="203">
        <f>(H507/H509)-1</f>
        <v>-0.49916759156492785</v>
      </c>
      <c r="I508" s="203">
        <f>(I507/I509)-1</f>
        <v>-1.7092402464065708</v>
      </c>
      <c r="J508" s="203">
        <f>(J507/J509)-1</f>
        <v>6.1837398373983739</v>
      </c>
      <c r="K508" s="188"/>
      <c r="L508" s="188"/>
      <c r="M508" s="194"/>
      <c r="N508" s="190"/>
      <c r="O508" s="190"/>
      <c r="P508" s="188"/>
      <c r="Q508" s="188"/>
      <c r="R508" s="195"/>
      <c r="S508" s="197"/>
      <c r="T508" s="180"/>
      <c r="U508" s="189" t="str">
        <f>IFERROR(IF(Tableau3[[#This Row],[Dettes]]=0,"",(Tableau3[[#This Row],[Dettes]]/Tableau3[[#This Row],[EBE]])),"")</f>
        <v/>
      </c>
      <c r="V508" s="190" t="str">
        <f>IFERROR(Tableau3[[#This Row],[Fonds propres]]/Tableau3[[#This Row],[Total Bilan]],"")</f>
        <v/>
      </c>
      <c r="W508" s="180"/>
      <c r="X508" s="191"/>
      <c r="Y508" s="180"/>
      <c r="Z508" s="192" t="str">
        <f>IFERROR(Tableau3[[#This Row],[Chiffre d''affaires]]/Tableau3[[#This Row],[Salariés]],"")</f>
        <v/>
      </c>
      <c r="AA508" s="197"/>
      <c r="AB508" s="197"/>
      <c r="AC508" s="177" t="s">
        <v>412</v>
      </c>
    </row>
    <row r="509" spans="1:29" ht="20.25" customHeight="1">
      <c r="A509" s="217"/>
      <c r="E509" s="187">
        <f>2.9*1.1</f>
        <v>3.19</v>
      </c>
      <c r="F509" s="178">
        <v>2019</v>
      </c>
      <c r="G509" s="188">
        <v>1400500000</v>
      </c>
      <c r="H509" s="188">
        <v>720800000</v>
      </c>
      <c r="I509" s="188">
        <v>243500000</v>
      </c>
      <c r="J509" s="188">
        <v>-61500000</v>
      </c>
      <c r="K509" s="188">
        <v>715500000</v>
      </c>
      <c r="L509" s="188">
        <v>1561700000</v>
      </c>
      <c r="M509" s="194">
        <f>L509/P509</f>
        <v>2.1997126758599999</v>
      </c>
      <c r="N509" s="190">
        <f>J509/L509</f>
        <v>-3.9380162643273355E-2</v>
      </c>
      <c r="O509" s="190">
        <f>(I509*0.6666)/(K509+L509)</f>
        <v>7.1279246443000169E-2</v>
      </c>
      <c r="P509" s="188">
        <v>709956358</v>
      </c>
      <c r="Q509" s="188">
        <f>E509*P509</f>
        <v>2264760782.02</v>
      </c>
      <c r="R509" s="195">
        <f>Q509/L509</f>
        <v>1.4501893974643016</v>
      </c>
      <c r="S509" s="197">
        <f>(Q509+K509)/H509</f>
        <v>4.1346570227802442</v>
      </c>
      <c r="T509" s="180"/>
      <c r="U509" s="189">
        <f>IFERROR(IF(Tableau3[[#This Row],[Dettes]]=0,"",(Tableau3[[#This Row],[Dettes]]/Tableau3[[#This Row],[EBE]])),"")</f>
        <v>0.99264705882352944</v>
      </c>
      <c r="V509" s="190" t="str">
        <f>IFERROR(Tableau3[[#This Row],[Fonds propres]]/Tableau3[[#This Row],[Total Bilan]],"")</f>
        <v/>
      </c>
      <c r="W509" s="180"/>
      <c r="X509" s="191"/>
      <c r="Y509" s="180"/>
      <c r="Z509" s="192" t="str">
        <f>IFERROR(Tableau3[[#This Row],[Chiffre d''affaires]]/Tableau3[[#This Row],[Salariés]],"")</f>
        <v/>
      </c>
      <c r="AA509" s="197"/>
      <c r="AB509" s="197"/>
      <c r="AC509" s="177" t="s">
        <v>413</v>
      </c>
    </row>
    <row r="510" spans="1:29" ht="20.25" customHeight="1">
      <c r="A510" s="217"/>
      <c r="E510" s="187"/>
      <c r="G510" s="202">
        <f>(G509/G511)-1</f>
        <v>0.14102981912986801</v>
      </c>
      <c r="H510" s="203">
        <f>(H509/H511)-1</f>
        <v>0.29640287769784179</v>
      </c>
      <c r="I510" s="203">
        <f>(I509/I511)-1</f>
        <v>0.7111735769501053</v>
      </c>
      <c r="J510" s="203">
        <f>(J509/J511)-1</f>
        <v>-0.92215189873417724</v>
      </c>
      <c r="K510" s="188"/>
      <c r="L510" s="188"/>
      <c r="M510" s="188"/>
      <c r="N510" s="190"/>
      <c r="O510" s="190"/>
      <c r="P510" s="188"/>
      <c r="Q510" s="188"/>
      <c r="R510" s="195"/>
      <c r="S510" s="197"/>
      <c r="T510" s="180"/>
      <c r="U510" s="189" t="str">
        <f>IFERROR(IF(Tableau3[[#This Row],[Dettes]]=0,"",(Tableau3[[#This Row],[Dettes]]/Tableau3[[#This Row],[EBE]])),"")</f>
        <v/>
      </c>
      <c r="V510" s="190" t="str">
        <f>IFERROR(Tableau3[[#This Row],[Fonds propres]]/Tableau3[[#This Row],[Total Bilan]],"")</f>
        <v/>
      </c>
      <c r="W510" s="180"/>
      <c r="X510" s="191"/>
      <c r="Y510" s="180"/>
      <c r="Z510" s="192" t="str">
        <f>IFERROR(Tableau3[[#This Row],[Chiffre d''affaires]]/Tableau3[[#This Row],[Salariés]],"")</f>
        <v/>
      </c>
      <c r="AA510" s="197"/>
      <c r="AB510" s="197"/>
      <c r="AC510" s="177" t="s">
        <v>414</v>
      </c>
    </row>
    <row r="511" spans="1:29" ht="20.25" customHeight="1">
      <c r="A511" s="217"/>
      <c r="E511" s="187">
        <f>1.15*1.14</f>
        <v>1.3109999999999997</v>
      </c>
      <c r="F511" s="178">
        <v>2018</v>
      </c>
      <c r="G511" s="188">
        <f>1227400000</f>
        <v>1227400000</v>
      </c>
      <c r="H511" s="188">
        <v>556000000</v>
      </c>
      <c r="I511" s="188">
        <v>142300000</v>
      </c>
      <c r="J511" s="188">
        <v>-790000000</v>
      </c>
      <c r="K511" s="188">
        <v>732600000</v>
      </c>
      <c r="L511" s="188">
        <v>1631500000</v>
      </c>
      <c r="M511" s="194">
        <f>L511/P511</f>
        <v>2.2980564155820602</v>
      </c>
      <c r="N511" s="190">
        <f>J511/L511</f>
        <v>-0.48421697824088261</v>
      </c>
      <c r="O511" s="190">
        <f>(I511*0.6666)/(K511+L511)</f>
        <v>4.0124013366608854E-2</v>
      </c>
      <c r="P511" s="188">
        <v>709947758</v>
      </c>
      <c r="Q511" s="188">
        <f>E511*P511</f>
        <v>930741510.7379998</v>
      </c>
      <c r="R511" s="195">
        <f>Q511/L511</f>
        <v>0.57048207829482056</v>
      </c>
      <c r="S511" s="197">
        <f>(Q511+K511)/H511</f>
        <v>2.9916214221906472</v>
      </c>
      <c r="T511" s="180"/>
      <c r="U511" s="189">
        <f>IFERROR(IF(Tableau3[[#This Row],[Dettes]]=0,"",(Tableau3[[#This Row],[Dettes]]/Tableau3[[#This Row],[EBE]])),"")</f>
        <v>1.3176258992805756</v>
      </c>
      <c r="V511" s="190" t="str">
        <f>IFERROR(Tableau3[[#This Row],[Fonds propres]]/Tableau3[[#This Row],[Total Bilan]],"")</f>
        <v/>
      </c>
      <c r="W511" s="180"/>
      <c r="X511" s="191"/>
      <c r="Y511" s="180"/>
      <c r="Z511" s="192" t="str">
        <f>IFERROR(Tableau3[[#This Row],[Chiffre d''affaires]]/Tableau3[[#This Row],[Salariés]],"")</f>
        <v/>
      </c>
      <c r="AA511" s="197"/>
      <c r="AB511" s="197"/>
      <c r="AC511" s="177" t="s">
        <v>415</v>
      </c>
    </row>
    <row r="512" spans="1:29" ht="20.25" customHeight="1">
      <c r="A512" s="217"/>
      <c r="E512" s="187"/>
      <c r="G512" s="202">
        <f>(G511/G513)-1</f>
        <v>-7.0151515151515187E-2</v>
      </c>
      <c r="H512" s="203">
        <f>(H511/H513)-1</f>
        <v>0.49301825993555326</v>
      </c>
      <c r="I512" s="203">
        <f>(I511/I513)-1</f>
        <v>-2.8432642487046635</v>
      </c>
      <c r="J512" s="203">
        <f>(J511/J513)-1</f>
        <v>0.53666601828438054</v>
      </c>
      <c r="K512" s="188"/>
      <c r="L512" s="188"/>
      <c r="M512" s="188"/>
      <c r="N512" s="190"/>
      <c r="O512" s="190"/>
      <c r="P512" s="188"/>
      <c r="Q512" s="188"/>
      <c r="R512" s="195"/>
      <c r="S512" s="197"/>
      <c r="T512" s="180"/>
      <c r="U512" s="189" t="str">
        <f>IFERROR(IF(Tableau3[[#This Row],[Dettes]]=0,"",(Tableau3[[#This Row],[Dettes]]/Tableau3[[#This Row],[EBE]])),"")</f>
        <v/>
      </c>
      <c r="V512" s="190" t="str">
        <f>IFERROR(Tableau3[[#This Row],[Fonds propres]]/Tableau3[[#This Row],[Total Bilan]],"")</f>
        <v/>
      </c>
      <c r="W512" s="180"/>
      <c r="X512" s="191"/>
      <c r="Y512" s="180"/>
      <c r="Z512" s="192" t="str">
        <f>IFERROR(Tableau3[[#This Row],[Chiffre d''affaires]]/Tableau3[[#This Row],[Salariés]],"")</f>
        <v/>
      </c>
      <c r="AA512" s="197"/>
      <c r="AB512" s="197"/>
      <c r="AC512" s="177" t="s">
        <v>416</v>
      </c>
    </row>
    <row r="513" spans="1:29" ht="20.25" customHeight="1">
      <c r="A513" s="217"/>
      <c r="E513" s="187">
        <f>5*1.23</f>
        <v>6.15</v>
      </c>
      <c r="F513" s="178">
        <v>2017</v>
      </c>
      <c r="G513" s="188">
        <v>1320000000</v>
      </c>
      <c r="H513" s="188">
        <v>372400000</v>
      </c>
      <c r="I513" s="188">
        <v>-77200000</v>
      </c>
      <c r="J513" s="188">
        <v>-514100000</v>
      </c>
      <c r="K513" s="188">
        <v>2639900000</v>
      </c>
      <c r="L513" s="188">
        <v>489100000</v>
      </c>
      <c r="M513" s="194">
        <f>L513/P513</f>
        <v>10.623766257854033</v>
      </c>
      <c r="N513" s="190">
        <f>J513/P513</f>
        <v>-11.16679254377992</v>
      </c>
      <c r="O513" s="190">
        <f>(I513*0.6666)/(K513+P513)</f>
        <v>-1.9159606253455218E-2</v>
      </c>
      <c r="P513" s="188">
        <v>46038287</v>
      </c>
      <c r="Q513" s="188">
        <f>E513*P513</f>
        <v>283135465.05000001</v>
      </c>
      <c r="R513" s="195">
        <f>Q513/L513</f>
        <v>0.57889074841545696</v>
      </c>
      <c r="S513" s="197">
        <f>(Q513+K513)/H513</f>
        <v>7.84918223697637</v>
      </c>
      <c r="T513" s="180"/>
      <c r="U513" s="189">
        <f>IFERROR(IF(Tableau3[[#This Row],[Dettes]]=0,"",(Tableau3[[#This Row],[Dettes]]/Tableau3[[#This Row],[EBE]])),"")</f>
        <v>7.0888829215896889</v>
      </c>
      <c r="V513" s="190" t="str">
        <f>IFERROR(Tableau3[[#This Row],[Fonds propres]]/Tableau3[[#This Row],[Total Bilan]],"")</f>
        <v/>
      </c>
      <c r="W513" s="180"/>
      <c r="X513" s="191"/>
      <c r="Y513" s="180"/>
      <c r="Z513" s="192" t="str">
        <f>IFERROR(Tableau3[[#This Row],[Chiffre d''affaires]]/Tableau3[[#This Row],[Salariés]],"")</f>
        <v/>
      </c>
      <c r="AA513" s="197"/>
      <c r="AB513" s="197"/>
      <c r="AC513" s="177" t="s">
        <v>417</v>
      </c>
    </row>
    <row r="514" spans="1:29" ht="20.25" customHeight="1">
      <c r="A514" s="217"/>
      <c r="E514" s="187"/>
      <c r="G514" s="202">
        <f>(G513/G515)-1</f>
        <v>0.10367892976588622</v>
      </c>
      <c r="H514" s="203">
        <f>(H513/H515)-1</f>
        <v>0.13571210734980177</v>
      </c>
      <c r="I514" s="203">
        <f>(I513/I515)-1</f>
        <v>-0.63704748472026329</v>
      </c>
      <c r="J514" s="203">
        <f>(J513/J515)-1</f>
        <v>-0.10839403399236902</v>
      </c>
      <c r="K514" s="188"/>
      <c r="L514" s="188"/>
      <c r="M514" s="188"/>
      <c r="N514" s="190"/>
      <c r="O514" s="190"/>
      <c r="P514" s="188"/>
      <c r="Q514" s="188"/>
      <c r="R514" s="195"/>
      <c r="S514" s="197"/>
      <c r="T514" s="180"/>
      <c r="U514" s="189" t="str">
        <f>IFERROR(IF(Tableau3[[#This Row],[Dettes]]=0,"",(Tableau3[[#This Row],[Dettes]]/Tableau3[[#This Row],[EBE]])),"")</f>
        <v/>
      </c>
      <c r="V514" s="190" t="str">
        <f>IFERROR(Tableau3[[#This Row],[Fonds propres]]/Tableau3[[#This Row],[Total Bilan]],"")</f>
        <v/>
      </c>
      <c r="W514" s="180"/>
      <c r="X514" s="191"/>
      <c r="Y514" s="180"/>
      <c r="Z514" s="192" t="str">
        <f>IFERROR(Tableau3[[#This Row],[Chiffre d''affaires]]/Tableau3[[#This Row],[Salariés]],"")</f>
        <v/>
      </c>
      <c r="AA514" s="197"/>
      <c r="AB514" s="197"/>
      <c r="AC514" s="177" t="s">
        <v>418</v>
      </c>
    </row>
    <row r="515" spans="1:29" ht="20.25" customHeight="1">
      <c r="A515" s="217"/>
      <c r="E515" s="187">
        <f>14/1.23</f>
        <v>11.382113821138212</v>
      </c>
      <c r="F515" s="178">
        <v>2016</v>
      </c>
      <c r="G515" s="188">
        <v>1196000000</v>
      </c>
      <c r="H515" s="188">
        <v>327900000</v>
      </c>
      <c r="I515" s="188">
        <v>-212700000</v>
      </c>
      <c r="J515" s="188">
        <v>-576600000</v>
      </c>
      <c r="K515" s="188">
        <v>2311600000</v>
      </c>
      <c r="L515" s="188">
        <v>1120700000</v>
      </c>
      <c r="M515" s="194">
        <f>L515/P515</f>
        <v>25.908692422947762</v>
      </c>
      <c r="N515" s="190">
        <f>J515/L515</f>
        <v>-0.5144998661550817</v>
      </c>
      <c r="O515" s="190">
        <f>(I515*0.6666)/(K515+L515)</f>
        <v>-4.1309273664889436E-2</v>
      </c>
      <c r="P515" s="188">
        <v>43255753</v>
      </c>
      <c r="Q515" s="188">
        <f>E515*P515</f>
        <v>492341904.06504071</v>
      </c>
      <c r="R515" s="195">
        <f>Q515/L515</f>
        <v>0.43931641301422386</v>
      </c>
      <c r="S515" s="197">
        <f>(Q515+K515)/H515</f>
        <v>8.5512104424063455</v>
      </c>
      <c r="T515" s="180"/>
      <c r="U515" s="189">
        <f>IFERROR(IF(Tableau3[[#This Row],[Dettes]]=0,"",(Tableau3[[#This Row],[Dettes]]/Tableau3[[#This Row],[EBE]])),"")</f>
        <v>7.0497102775236353</v>
      </c>
      <c r="V515" s="190" t="str">
        <f>IFERROR(Tableau3[[#This Row],[Fonds propres]]/Tableau3[[#This Row],[Total Bilan]],"")</f>
        <v/>
      </c>
      <c r="W515" s="180"/>
      <c r="X515" s="191"/>
      <c r="Y515" s="180"/>
      <c r="Z515" s="192" t="str">
        <f>IFERROR(Tableau3[[#This Row],[Chiffre d''affaires]]/Tableau3[[#This Row],[Salariés]],"")</f>
        <v/>
      </c>
      <c r="AA515" s="197"/>
      <c r="AB515" s="197"/>
      <c r="AC515" s="177" t="s">
        <v>419</v>
      </c>
    </row>
    <row r="516" spans="1:29" ht="20.25" customHeight="1">
      <c r="A516" s="217"/>
      <c r="E516" s="187"/>
      <c r="G516" s="202">
        <f>(G515/G517)-1</f>
        <v>-0.43074726320799617</v>
      </c>
      <c r="H516" s="203">
        <f>(H515/H517)-1</f>
        <v>-0.50393343419062031</v>
      </c>
      <c r="I516" s="203">
        <f>(I515/I517)-1</f>
        <v>-4.4868852459016395</v>
      </c>
      <c r="J516" s="203">
        <f>(J515/J517)-1</f>
        <v>-0.60124481327800827</v>
      </c>
      <c r="K516" s="188"/>
      <c r="L516" s="188"/>
      <c r="M516" s="188"/>
      <c r="N516" s="190"/>
      <c r="O516" s="190"/>
      <c r="P516" s="188"/>
      <c r="Q516" s="188"/>
      <c r="R516" s="195"/>
      <c r="S516" s="197"/>
      <c r="T516" s="180"/>
      <c r="U516" s="189" t="str">
        <f>IFERROR(IF(Tableau3[[#This Row],[Dettes]]=0,"",(Tableau3[[#This Row],[Dettes]]/Tableau3[[#This Row],[EBE]])),"")</f>
        <v/>
      </c>
      <c r="V516" s="190" t="str">
        <f>IFERROR(Tableau3[[#This Row],[Fonds propres]]/Tableau3[[#This Row],[Total Bilan]],"")</f>
        <v/>
      </c>
      <c r="W516" s="180"/>
      <c r="X516" s="191"/>
      <c r="Y516" s="180"/>
      <c r="Z516" s="192" t="str">
        <f>IFERROR(Tableau3[[#This Row],[Chiffre d''affaires]]/Tableau3[[#This Row],[Salariés]],"")</f>
        <v/>
      </c>
      <c r="AA516" s="197"/>
      <c r="AB516" s="197"/>
      <c r="AC516" s="177" t="s">
        <v>420</v>
      </c>
    </row>
    <row r="517" spans="1:29" ht="20.25" customHeight="1">
      <c r="A517" s="217"/>
      <c r="E517" s="187">
        <f>20.92/1.23</f>
        <v>17.008130081300816</v>
      </c>
      <c r="F517" s="178">
        <v>2015</v>
      </c>
      <c r="G517" s="188">
        <v>2101000000</v>
      </c>
      <c r="H517" s="188">
        <v>661000000</v>
      </c>
      <c r="I517" s="188">
        <v>61000000</v>
      </c>
      <c r="J517" s="188">
        <v>-1446000000</v>
      </c>
      <c r="K517" s="188">
        <v>2500000000</v>
      </c>
      <c r="L517" s="188">
        <v>1312200000</v>
      </c>
      <c r="M517" s="194">
        <f>L517/P517</f>
        <v>7.4108297920011292</v>
      </c>
      <c r="N517" s="190">
        <f>J517/L517</f>
        <v>-1.1019661636945588</v>
      </c>
      <c r="O517" s="190">
        <f>(I517*0.6666)/(K517+L517)</f>
        <v>1.0666439326373223E-2</v>
      </c>
      <c r="P517" s="188">
        <v>177065192</v>
      </c>
      <c r="Q517" s="188">
        <f>E517*P517</f>
        <v>3011547818.4065046</v>
      </c>
      <c r="R517" s="195">
        <f>Q517/L517</f>
        <v>2.295037203480037</v>
      </c>
      <c r="S517" s="197">
        <f>(Q517+K517)/H517</f>
        <v>8.338196396984122</v>
      </c>
      <c r="T517" s="180"/>
      <c r="U517" s="189">
        <f>IFERROR(IF(Tableau3[[#This Row],[Dettes]]=0,"",(Tableau3[[#This Row],[Dettes]]/Tableau3[[#This Row],[EBE]])),"")</f>
        <v>3.7821482602118004</v>
      </c>
      <c r="V517" s="190" t="str">
        <f>IFERROR(Tableau3[[#This Row],[Fonds propres]]/Tableau3[[#This Row],[Total Bilan]],"")</f>
        <v/>
      </c>
      <c r="W517" s="180"/>
      <c r="X517" s="191"/>
      <c r="Y517" s="180"/>
      <c r="Z517" s="192" t="str">
        <f>IFERROR(Tableau3[[#This Row],[Chiffre d''affaires]]/Tableau3[[#This Row],[Salariés]],"")</f>
        <v/>
      </c>
      <c r="AA517" s="197"/>
      <c r="AB517" s="197"/>
      <c r="AC517" s="177" t="s">
        <v>421</v>
      </c>
    </row>
    <row r="518" spans="1:29" ht="20.25" customHeight="1">
      <c r="A518" s="217"/>
      <c r="E518" s="187"/>
      <c r="G518" s="202">
        <f>(G517/G519)-1</f>
        <v>-0.32116316639741516</v>
      </c>
      <c r="H518" s="203">
        <f>(H517/H519)-1</f>
        <v>-0.33501006036217307</v>
      </c>
      <c r="I518" s="203">
        <f>(I517/I519)-1</f>
        <v>-0.74793388429752072</v>
      </c>
      <c r="J518" s="203">
        <f>(J517/J519)-1</f>
        <v>0.26068003487358316</v>
      </c>
      <c r="K518" s="188"/>
      <c r="L518" s="188"/>
      <c r="M518" s="194"/>
      <c r="N518" s="190"/>
      <c r="O518" s="190"/>
      <c r="P518" s="188"/>
      <c r="Q518" s="188"/>
      <c r="R518" s="195"/>
      <c r="S518" s="197"/>
      <c r="T518" s="180"/>
      <c r="U518" s="189" t="str">
        <f>IFERROR(IF(Tableau3[[#This Row],[Dettes]]=0,"",(Tableau3[[#This Row],[Dettes]]/Tableau3[[#This Row],[EBE]])),"")</f>
        <v/>
      </c>
      <c r="V518" s="190" t="str">
        <f>IFERROR(Tableau3[[#This Row],[Fonds propres]]/Tableau3[[#This Row],[Total Bilan]],"")</f>
        <v/>
      </c>
      <c r="W518" s="180"/>
      <c r="X518" s="191"/>
      <c r="Y518" s="180"/>
      <c r="Z518" s="192" t="str">
        <f>IFERROR(Tableau3[[#This Row],[Chiffre d''affaires]]/Tableau3[[#This Row],[Salariés]],"")</f>
        <v/>
      </c>
      <c r="AA518" s="197"/>
      <c r="AB518" s="197"/>
      <c r="AC518" s="177" t="s">
        <v>422</v>
      </c>
    </row>
    <row r="519" spans="1:29" ht="20.25" customHeight="1">
      <c r="A519" s="217"/>
      <c r="E519" s="187">
        <f>37.42/1.23</f>
        <v>30.422764227642279</v>
      </c>
      <c r="F519" s="178">
        <v>2014</v>
      </c>
      <c r="G519" s="188">
        <v>3095000000</v>
      </c>
      <c r="H519" s="188">
        <v>994000000</v>
      </c>
      <c r="I519" s="188">
        <v>242000000</v>
      </c>
      <c r="J519" s="188">
        <v>-1147000000</v>
      </c>
      <c r="K519" s="188">
        <v>2420000000</v>
      </c>
      <c r="L519" s="188">
        <v>2693000000</v>
      </c>
      <c r="M519" s="194">
        <f>L519/P519</f>
        <v>15.21595356513606</v>
      </c>
      <c r="N519" s="190">
        <f>J519/L519</f>
        <v>-0.42591904938730041</v>
      </c>
      <c r="O519" s="190">
        <f>(I519*0.6666)/(K519+L519)</f>
        <v>3.1550400938783495E-2</v>
      </c>
      <c r="P519" s="188">
        <v>176985293</v>
      </c>
      <c r="Q519" s="188">
        <f>E519*P519</f>
        <v>5384381840.6991873</v>
      </c>
      <c r="R519" s="195">
        <f>Q519/L519</f>
        <v>1.9993991239135489</v>
      </c>
      <c r="S519" s="197">
        <f>(Q519+K519)/H519</f>
        <v>7.8514907854116576</v>
      </c>
      <c r="T519" s="180"/>
      <c r="U519" s="189">
        <f>IFERROR(IF(Tableau3[[#This Row],[Dettes]]=0,"",(Tableau3[[#This Row],[Dettes]]/Tableau3[[#This Row],[EBE]])),"")</f>
        <v>2.4346076458752517</v>
      </c>
      <c r="V519" s="190" t="str">
        <f>IFERROR(Tableau3[[#This Row],[Fonds propres]]/Tableau3[[#This Row],[Total Bilan]],"")</f>
        <v/>
      </c>
      <c r="W519" s="180"/>
      <c r="X519" s="191"/>
      <c r="Y519" s="180"/>
      <c r="Z519" s="192" t="str">
        <f>IFERROR(Tableau3[[#This Row],[Chiffre d''affaires]]/Tableau3[[#This Row],[Salariés]],"")</f>
        <v/>
      </c>
      <c r="AA519" s="197"/>
      <c r="AB519" s="197"/>
      <c r="AC519" s="177" t="s">
        <v>423</v>
      </c>
    </row>
    <row r="520" spans="1:29" ht="20.25" customHeight="1">
      <c r="A520" s="217"/>
      <c r="E520" s="187"/>
      <c r="G520" s="202">
        <f>(G519/G521)-1</f>
        <v>-0.17817312798725438</v>
      </c>
      <c r="H520" s="203">
        <f>(H519/H521)-1</f>
        <v>-0.14310344827586208</v>
      </c>
      <c r="I520" s="203">
        <f>(I519/I521)-1</f>
        <v>-0.39650872817955107</v>
      </c>
      <c r="J520" s="203">
        <f>(J519/J521)-1</f>
        <v>0.65991316931982635</v>
      </c>
      <c r="K520" s="188"/>
      <c r="L520" s="188"/>
      <c r="M520" s="188"/>
      <c r="N520" s="188"/>
      <c r="O520" s="188"/>
      <c r="P520" s="188"/>
      <c r="Q520" s="188"/>
      <c r="R520" s="195"/>
      <c r="S520" s="197"/>
      <c r="T520" s="180"/>
      <c r="U520" s="189" t="str">
        <f>IFERROR(IF(Tableau3[[#This Row],[Dettes]]=0,"",(Tableau3[[#This Row],[Dettes]]/Tableau3[[#This Row],[EBE]])),"")</f>
        <v/>
      </c>
      <c r="V520" s="190" t="str">
        <f>IFERROR(Tableau3[[#This Row],[Fonds propres]]/Tableau3[[#This Row],[Total Bilan]],"")</f>
        <v/>
      </c>
      <c r="W520" s="180"/>
      <c r="Y520" s="180"/>
      <c r="Z520" s="192" t="str">
        <f>IFERROR(Tableau3[[#This Row],[Chiffre d''affaires]]/Tableau3[[#This Row],[Salariés]],"")</f>
        <v/>
      </c>
      <c r="AA520" s="177"/>
    </row>
    <row r="521" spans="1:29" ht="20.25" customHeight="1">
      <c r="A521" s="217"/>
      <c r="E521" s="187">
        <f>93.49/1.23</f>
        <v>76.008130081300806</v>
      </c>
      <c r="F521" s="178">
        <v>2013</v>
      </c>
      <c r="G521" s="188">
        <v>3766000000</v>
      </c>
      <c r="H521" s="188">
        <v>1160000000</v>
      </c>
      <c r="I521" s="188">
        <v>401000000</v>
      </c>
      <c r="J521" s="188">
        <v>-691000000</v>
      </c>
      <c r="K521" s="188">
        <v>2218000000</v>
      </c>
      <c r="L521" s="188">
        <v>3799900000</v>
      </c>
      <c r="M521" s="194">
        <f>L521/P521</f>
        <v>21.481606630836438</v>
      </c>
      <c r="N521" s="190">
        <f>J521/L521</f>
        <v>-0.1818468907076502</v>
      </c>
      <c r="O521" s="190">
        <f>(I521*0.6666)/(K521+L521)</f>
        <v>4.4418584556074378E-2</v>
      </c>
      <c r="P521" s="188">
        <v>176890866</v>
      </c>
      <c r="Q521" s="188">
        <f>E521*P521</f>
        <v>13445143953.12195</v>
      </c>
      <c r="R521" s="195">
        <f>Q521/L521</f>
        <v>3.5382888900028817</v>
      </c>
      <c r="S521" s="197">
        <f>(Q521+K521)/H521</f>
        <v>13.502710304415475</v>
      </c>
      <c r="T521" s="180"/>
      <c r="U521" s="189">
        <f>IFERROR(IF(Tableau3[[#This Row],[Dettes]]=0,"",(Tableau3[[#This Row],[Dettes]]/Tableau3[[#This Row],[EBE]])),"")</f>
        <v>1.9120689655172414</v>
      </c>
      <c r="V521" s="190" t="str">
        <f>IFERROR(Tableau3[[#This Row],[Fonds propres]]/Tableau3[[#This Row],[Total Bilan]],"")</f>
        <v/>
      </c>
      <c r="W521" s="180"/>
      <c r="Y521" s="180"/>
      <c r="Z521" s="192" t="str">
        <f>IFERROR(Tableau3[[#This Row],[Chiffre d''affaires]]/Tableau3[[#This Row],[Salariés]],"")</f>
        <v/>
      </c>
      <c r="AA521" s="177"/>
    </row>
    <row r="522" spans="1:29" ht="20.25" customHeight="1">
      <c r="A522" s="217"/>
      <c r="E522" s="187"/>
      <c r="G522" s="188"/>
      <c r="H522" s="188"/>
      <c r="I522" s="188"/>
      <c r="J522" s="188"/>
      <c r="K522" s="188"/>
      <c r="L522" s="188"/>
      <c r="M522" s="194"/>
      <c r="N522" s="190"/>
      <c r="O522" s="190"/>
      <c r="P522" s="188"/>
      <c r="Q522" s="188"/>
      <c r="R522" s="195"/>
      <c r="S522" s="197"/>
      <c r="T522" s="180"/>
      <c r="U522" s="189" t="str">
        <f>IFERROR(IF(Tableau3[[#This Row],[Dettes]]=0,"",(Tableau3[[#This Row],[Dettes]]/Tableau3[[#This Row],[EBE]])),"")</f>
        <v/>
      </c>
      <c r="V522" s="190" t="str">
        <f>IFERROR(Tableau3[[#This Row],[Fonds propres]]/Tableau3[[#This Row],[Total Bilan]],"")</f>
        <v/>
      </c>
      <c r="W522" s="180"/>
      <c r="X522" s="191"/>
      <c r="Y522" s="180"/>
      <c r="Z522" s="192" t="str">
        <f>IFERROR(Tableau3[[#This Row],[Chiffre d''affaires]]/Tableau3[[#This Row],[Salariés]],"")</f>
        <v/>
      </c>
      <c r="AA522" s="197"/>
      <c r="AB522" s="197"/>
    </row>
    <row r="523" spans="1:29" ht="20.25" customHeight="1">
      <c r="A523" s="217"/>
      <c r="F523" s="224" t="s">
        <v>424</v>
      </c>
      <c r="G523" s="188"/>
      <c r="H523" s="188"/>
      <c r="I523" s="188"/>
      <c r="J523" s="188"/>
      <c r="K523" s="188"/>
      <c r="L523" s="188"/>
      <c r="M523" s="194"/>
      <c r="N523" s="190"/>
      <c r="O523" s="190"/>
      <c r="P523" s="188"/>
      <c r="Q523" s="188"/>
      <c r="R523" s="195"/>
      <c r="S523" s="197"/>
      <c r="T523" s="180"/>
      <c r="U523" s="189" t="str">
        <f>IFERROR(IF(Tableau3[[#This Row],[Dettes]]=0,"",(Tableau3[[#This Row],[Dettes]]/Tableau3[[#This Row],[EBE]])),"")</f>
        <v/>
      </c>
      <c r="V523" s="190" t="str">
        <f>IFERROR(Tableau3[[#This Row],[Fonds propres]]/Tableau3[[#This Row],[Total Bilan]],"")</f>
        <v/>
      </c>
      <c r="W523" s="180"/>
      <c r="X523" s="191"/>
      <c r="Y523" s="180"/>
      <c r="Z523" s="192" t="str">
        <f>IFERROR(Tableau3[[#This Row],[Chiffre d''affaires]]/Tableau3[[#This Row],[Salariés]],"")</f>
        <v/>
      </c>
      <c r="AA523" s="197"/>
      <c r="AB523" s="197"/>
    </row>
    <row r="524" spans="1:29" ht="20.25" customHeight="1">
      <c r="A524" s="217"/>
      <c r="G524" s="188"/>
      <c r="H524" s="188"/>
      <c r="I524" s="188"/>
      <c r="J524" s="188"/>
      <c r="K524" s="188"/>
      <c r="L524" s="188"/>
      <c r="M524" s="194"/>
      <c r="N524" s="190"/>
      <c r="O524" s="190"/>
      <c r="P524" s="188"/>
      <c r="Q524" s="188"/>
      <c r="R524" s="195"/>
      <c r="S524" s="197"/>
      <c r="T524" s="180"/>
      <c r="U524" s="189" t="str">
        <f>IFERROR(IF(Tableau3[[#This Row],[Dettes]]=0,"",(Tableau3[[#This Row],[Dettes]]/Tableau3[[#This Row],[EBE]])),"")</f>
        <v/>
      </c>
      <c r="V524" s="190" t="str">
        <f>IFERROR(Tableau3[[#This Row],[Fonds propres]]/Tableau3[[#This Row],[Total Bilan]],"")</f>
        <v/>
      </c>
      <c r="W524" s="180"/>
      <c r="X524" s="191"/>
      <c r="Y524" s="180"/>
      <c r="Z524" s="192" t="str">
        <f>IFERROR(Tableau3[[#This Row],[Chiffre d''affaires]]/Tableau3[[#This Row],[Salariés]],"")</f>
        <v/>
      </c>
      <c r="AA524" s="197"/>
      <c r="AB524" s="197"/>
    </row>
    <row r="525" spans="1:29" ht="20.25" customHeight="1">
      <c r="A525" s="217" t="s">
        <v>425</v>
      </c>
      <c r="B525" s="216" t="s">
        <v>426</v>
      </c>
      <c r="C525" s="178" t="s">
        <v>427</v>
      </c>
      <c r="D525" s="178" t="s">
        <v>85</v>
      </c>
      <c r="E525" s="187">
        <v>32.82</v>
      </c>
      <c r="F525" s="178">
        <v>2022</v>
      </c>
      <c r="G525" s="188"/>
      <c r="H525" s="188"/>
      <c r="I525" s="188"/>
      <c r="J525" s="188"/>
      <c r="K525" s="188"/>
      <c r="L525" s="188"/>
      <c r="M525" s="194"/>
      <c r="N525" s="190"/>
      <c r="O525" s="190"/>
      <c r="P525" s="188">
        <v>129512000</v>
      </c>
      <c r="Q525" s="188">
        <f>E525*P525</f>
        <v>4250583840</v>
      </c>
      <c r="R525" s="195"/>
      <c r="S525" s="197"/>
      <c r="T525" s="180"/>
      <c r="U525" s="189" t="str">
        <f>IFERROR(IF(Tableau3[[#This Row],[Dettes]]=0,"",(Tableau3[[#This Row],[Dettes]]/Tableau3[[#This Row],[EBE]])),"")</f>
        <v/>
      </c>
      <c r="V525" s="190" t="str">
        <f>IFERROR(Tableau3[[#This Row],[Fonds propres]]/Tableau3[[#This Row],[Total Bilan]],"")</f>
        <v/>
      </c>
      <c r="W525" s="180"/>
      <c r="X525" s="191"/>
      <c r="Y525" s="180"/>
      <c r="Z525" s="192" t="str">
        <f>IFERROR(Tableau3[[#This Row],[Chiffre d''affaires]]/Tableau3[[#This Row],[Salariés]],"")</f>
        <v/>
      </c>
      <c r="AA525" s="197"/>
      <c r="AB525" s="197"/>
      <c r="AC525" s="177" t="s">
        <v>428</v>
      </c>
    </row>
    <row r="526" spans="1:29" ht="20.25" customHeight="1">
      <c r="A526" s="217"/>
      <c r="E526" s="187"/>
      <c r="G526" s="188"/>
      <c r="H526" s="188"/>
      <c r="I526" s="188"/>
      <c r="J526" s="188"/>
      <c r="K526" s="188"/>
      <c r="L526" s="188"/>
      <c r="M526" s="194"/>
      <c r="N526" s="190"/>
      <c r="O526" s="190"/>
      <c r="P526" s="188"/>
      <c r="Q526" s="188"/>
      <c r="R526" s="195"/>
      <c r="S526" s="197"/>
      <c r="T526" s="180"/>
      <c r="U526" s="189" t="str">
        <f>IFERROR(IF(Tableau3[[#This Row],[Dettes]]=0,"",(Tableau3[[#This Row],[Dettes]]/Tableau3[[#This Row],[EBE]])),"")</f>
        <v/>
      </c>
      <c r="V526" s="190" t="str">
        <f>IFERROR(Tableau3[[#This Row],[Fonds propres]]/Tableau3[[#This Row],[Total Bilan]],"")</f>
        <v/>
      </c>
      <c r="W526" s="180"/>
      <c r="X526" s="191"/>
      <c r="Y526" s="180"/>
      <c r="Z526" s="192" t="str">
        <f>IFERROR(Tableau3[[#This Row],[Chiffre d''affaires]]/Tableau3[[#This Row],[Salariés]],"")</f>
        <v/>
      </c>
      <c r="AA526" s="197"/>
      <c r="AB526" s="197"/>
      <c r="AC526" s="177" t="s">
        <v>430</v>
      </c>
    </row>
    <row r="527" spans="1:29" ht="20.25" customHeight="1">
      <c r="A527" s="217"/>
      <c r="E527" s="187">
        <v>25.62</v>
      </c>
      <c r="F527" s="178">
        <v>2021</v>
      </c>
      <c r="G527" s="188">
        <v>2957000000</v>
      </c>
      <c r="H527" s="188">
        <v>462000000</v>
      </c>
      <c r="I527" s="188">
        <v>199000000</v>
      </c>
      <c r="J527" s="188">
        <v>148000000</v>
      </c>
      <c r="K527" s="188">
        <v>-203000000</v>
      </c>
      <c r="L527" s="188">
        <v>2404000000</v>
      </c>
      <c r="M527" s="194">
        <f>L527/P527</f>
        <v>18.561986534066342</v>
      </c>
      <c r="N527" s="190">
        <f>J527/L527</f>
        <v>6.156405990016639E-2</v>
      </c>
      <c r="O527" s="190">
        <f>(I527*0.6666)/(K527+L527)</f>
        <v>6.0269604725124944E-2</v>
      </c>
      <c r="P527" s="188">
        <v>129512000</v>
      </c>
      <c r="Q527" s="188">
        <f>E527*P527</f>
        <v>3318097440</v>
      </c>
      <c r="R527" s="195">
        <f>Q527/L527</f>
        <v>1.3802401996672213</v>
      </c>
      <c r="S527" s="197">
        <f>(Q527+K527)/H527</f>
        <v>6.7426351515151515</v>
      </c>
      <c r="T527" s="180">
        <v>412000000</v>
      </c>
      <c r="U527" s="189">
        <f>IFERROR(IF(Tableau3[[#This Row],[Dettes]]=0,"",(Tableau3[[#This Row],[Dettes]]/Tableau3[[#This Row],[EBE]])),"")</f>
        <v>-0.43939393939393939</v>
      </c>
      <c r="V527" s="190" t="str">
        <f>IFERROR(Tableau3[[#This Row],[Fonds propres]]/Tableau3[[#This Row],[Total Bilan]],"")</f>
        <v/>
      </c>
      <c r="W527" s="180"/>
      <c r="X527" s="191"/>
      <c r="Y527" s="180"/>
      <c r="Z527" s="192" t="str">
        <f>IFERROR(Tableau3[[#This Row],[Chiffre d''affaires]]/Tableau3[[#This Row],[Salariés]],"")</f>
        <v/>
      </c>
      <c r="AA527" s="197"/>
      <c r="AB527" s="197"/>
      <c r="AC527" s="177" t="s">
        <v>431</v>
      </c>
    </row>
    <row r="528" spans="1:29" ht="20.25" customHeight="1">
      <c r="A528" s="217"/>
      <c r="E528" s="187"/>
      <c r="G528" s="202">
        <f>(G527/G529)-1</f>
        <v>0.17108910891089102</v>
      </c>
      <c r="H528" s="203">
        <f>(H527/H529)-1</f>
        <v>0.14271580509522641</v>
      </c>
      <c r="I528" s="203">
        <f>(I527/I529)-1</f>
        <v>0.42346208869814017</v>
      </c>
      <c r="J528" s="203">
        <f>(J527/J529)-1</f>
        <v>-2.5257731958762886</v>
      </c>
      <c r="K528" s="188"/>
      <c r="L528" s="188"/>
      <c r="M528" s="194"/>
      <c r="N528" s="190"/>
      <c r="O528" s="190"/>
      <c r="P528" s="188"/>
      <c r="Q528" s="188"/>
      <c r="R528" s="195"/>
      <c r="S528" s="197"/>
      <c r="T528" s="180"/>
      <c r="U528" s="189" t="str">
        <f>IFERROR(IF(Tableau3[[#This Row],[Dettes]]=0,"",(Tableau3[[#This Row],[Dettes]]/Tableau3[[#This Row],[EBE]])),"")</f>
        <v/>
      </c>
      <c r="V528" s="190" t="str">
        <f>IFERROR(Tableau3[[#This Row],[Fonds propres]]/Tableau3[[#This Row],[Total Bilan]],"")</f>
        <v/>
      </c>
      <c r="W528" s="180"/>
      <c r="X528" s="191"/>
      <c r="Y528" s="180"/>
      <c r="Z528" s="192" t="str">
        <f>IFERROR(Tableau3[[#This Row],[Chiffre d''affaires]]/Tableau3[[#This Row],[Salariés]],"")</f>
        <v/>
      </c>
      <c r="AA528" s="197"/>
      <c r="AB528" s="197"/>
      <c r="AC528" s="177" t="s">
        <v>432</v>
      </c>
    </row>
    <row r="529" spans="1:29" ht="20.25" customHeight="1">
      <c r="A529" s="217"/>
      <c r="E529" s="187">
        <v>22.58</v>
      </c>
      <c r="F529" s="178">
        <v>2020</v>
      </c>
      <c r="G529" s="188">
        <v>2525000000</v>
      </c>
      <c r="H529" s="188">
        <v>404300000</v>
      </c>
      <c r="I529" s="188">
        <v>139800000</v>
      </c>
      <c r="J529" s="188">
        <v>-97000000</v>
      </c>
      <c r="K529" s="188">
        <v>-439000000</v>
      </c>
      <c r="L529" s="188">
        <v>2283000000</v>
      </c>
      <c r="M529" s="194">
        <f>L529/P529</f>
        <v>17.133453073881071</v>
      </c>
      <c r="N529" s="190">
        <f>J529/L529</f>
        <v>-4.2487954445904509E-2</v>
      </c>
      <c r="O529" s="190">
        <f>(I529*0.6666)/(K529+L529)</f>
        <v>5.0537245119305858E-2</v>
      </c>
      <c r="P529" s="188">
        <v>133248096</v>
      </c>
      <c r="Q529" s="188">
        <f>E529*P529</f>
        <v>3008742007.6799998</v>
      </c>
      <c r="R529" s="195">
        <f>Q529/L529</f>
        <v>1.3178896222864651</v>
      </c>
      <c r="S529" s="197">
        <f>(Q529+K529)/H529</f>
        <v>6.3560277211971306</v>
      </c>
      <c r="T529" s="180">
        <v>355000000</v>
      </c>
      <c r="U529" s="189">
        <f>IFERROR(IF(Tableau3[[#This Row],[Dettes]]=0,"",(Tableau3[[#This Row],[Dettes]]/Tableau3[[#This Row],[EBE]])),"")</f>
        <v>-1.085827355923819</v>
      </c>
      <c r="V529" s="190" t="str">
        <f>IFERROR(Tableau3[[#This Row],[Fonds propres]]/Tableau3[[#This Row],[Total Bilan]],"")</f>
        <v/>
      </c>
      <c r="W529" s="180"/>
      <c r="X529" s="191"/>
      <c r="Y529" s="180">
        <v>7484</v>
      </c>
      <c r="Z529" s="192">
        <f>IFERROR(Tableau3[[#This Row],[Chiffre d''affaires]]/Tableau3[[#This Row],[Salariés]],"")</f>
        <v>337386.42437199358</v>
      </c>
      <c r="AA529" s="197"/>
      <c r="AB529" s="197"/>
      <c r="AC529" s="177" t="s">
        <v>433</v>
      </c>
    </row>
    <row r="530" spans="1:29" ht="20.25" customHeight="1">
      <c r="A530" s="217"/>
      <c r="E530" s="187"/>
      <c r="G530" s="202">
        <f>(G529/G531)-1</f>
        <v>-4.522423050744917E-2</v>
      </c>
      <c r="H530" s="203">
        <f>(H529/H531)-1</f>
        <v>7.5838211814795109E-2</v>
      </c>
      <c r="I530" s="203">
        <f>(I529/I531)-1</f>
        <v>0.26263310483106195</v>
      </c>
      <c r="J530" s="203">
        <f>(J529/J531)-1</f>
        <v>-2.2952503037829324</v>
      </c>
      <c r="K530" s="188"/>
      <c r="L530" s="188"/>
      <c r="M530" s="194"/>
      <c r="N530" s="190"/>
      <c r="O530" s="190"/>
      <c r="P530" s="188"/>
      <c r="Q530" s="188"/>
      <c r="R530" s="195"/>
      <c r="S530" s="197"/>
      <c r="T530" s="180"/>
      <c r="U530" s="189" t="str">
        <f>IFERROR(IF(Tableau3[[#This Row],[Dettes]]=0,"",(Tableau3[[#This Row],[Dettes]]/Tableau3[[#This Row],[EBE]])),"")</f>
        <v/>
      </c>
      <c r="V530" s="190" t="str">
        <f>IFERROR(Tableau3[[#This Row],[Fonds propres]]/Tableau3[[#This Row],[Total Bilan]],"")</f>
        <v/>
      </c>
      <c r="W530" s="180"/>
      <c r="X530" s="191"/>
      <c r="Y530" s="180"/>
      <c r="Z530" s="192" t="str">
        <f>IFERROR(Tableau3[[#This Row],[Chiffre d''affaires]]/Tableau3[[#This Row],[Salariés]],"")</f>
        <v/>
      </c>
      <c r="AA530" s="197"/>
      <c r="AB530" s="197"/>
      <c r="AC530" s="177" t="s">
        <v>434</v>
      </c>
    </row>
    <row r="531" spans="1:29" ht="20.25" customHeight="1">
      <c r="A531" s="217"/>
      <c r="E531" s="187">
        <v>22.73</v>
      </c>
      <c r="F531" s="178">
        <v>2019</v>
      </c>
      <c r="G531" s="188">
        <v>2644600000</v>
      </c>
      <c r="H531" s="188">
        <v>375800000</v>
      </c>
      <c r="I531" s="188">
        <v>110721000</v>
      </c>
      <c r="J531" s="188">
        <v>74889000</v>
      </c>
      <c r="K531" s="188">
        <v>-26000000</v>
      </c>
      <c r="L531" s="188">
        <v>2491352000</v>
      </c>
      <c r="M531" s="194">
        <f>L531/P531</f>
        <v>18.697092677406811</v>
      </c>
      <c r="N531" s="190">
        <f>J531/L531</f>
        <v>3.0059582106422535E-2</v>
      </c>
      <c r="O531" s="190">
        <f>(I531*0.6666)/(K531+L531)</f>
        <v>2.9937558044449634E-2</v>
      </c>
      <c r="P531" s="188">
        <v>133248096</v>
      </c>
      <c r="Q531" s="188">
        <f>E531*P531</f>
        <v>3028729222.0799999</v>
      </c>
      <c r="R531" s="195">
        <f>Q531/L531</f>
        <v>1.2156970279912271</v>
      </c>
      <c r="S531" s="197">
        <f>(Q531+K531)/H531</f>
        <v>7.9902320970729113</v>
      </c>
      <c r="T531" s="180"/>
      <c r="U531" s="189">
        <f>IFERROR(IF(Tableau3[[#This Row],[Dettes]]=0,"",(Tableau3[[#This Row],[Dettes]]/Tableau3[[#This Row],[EBE]])),"")</f>
        <v>-6.9185737094199048E-2</v>
      </c>
      <c r="V531" s="190" t="str">
        <f>IFERROR(Tableau3[[#This Row],[Fonds propres]]/Tableau3[[#This Row],[Total Bilan]],"")</f>
        <v/>
      </c>
      <c r="W531" s="180"/>
      <c r="X531" s="191"/>
      <c r="Y531" s="180">
        <v>7133</v>
      </c>
      <c r="Z531" s="192">
        <f>IFERROR(Tableau3[[#This Row],[Chiffre d''affaires]]/Tableau3[[#This Row],[Salariés]],"")</f>
        <v>370755.64278704615</v>
      </c>
      <c r="AA531" s="197"/>
      <c r="AB531" s="197"/>
      <c r="AC531" s="177" t="s">
        <v>435</v>
      </c>
    </row>
    <row r="532" spans="1:29" ht="20.25" customHeight="1">
      <c r="A532" s="217"/>
      <c r="E532" s="187"/>
      <c r="G532" s="202">
        <f>(G531/G533)-1</f>
        <v>2.9207849315191048E-2</v>
      </c>
      <c r="H532" s="203">
        <f>(H531/H533)-1</f>
        <v>6.2782805429864252E-2</v>
      </c>
      <c r="I532" s="203">
        <f>(I531/I533)-1</f>
        <v>-1.276449335973294</v>
      </c>
      <c r="J532" s="203">
        <f>(J531/J533)-1</f>
        <v>-1.1726603279414205</v>
      </c>
      <c r="K532" s="188"/>
      <c r="L532" s="188"/>
      <c r="M532" s="194"/>
      <c r="N532" s="190"/>
      <c r="O532" s="190"/>
      <c r="P532" s="188"/>
      <c r="Q532" s="188"/>
      <c r="R532" s="195"/>
      <c r="S532" s="197"/>
      <c r="T532" s="180"/>
      <c r="U532" s="189" t="str">
        <f>IFERROR(IF(Tableau3[[#This Row],[Dettes]]=0,"",(Tableau3[[#This Row],[Dettes]]/Tableau3[[#This Row],[EBE]])),"")</f>
        <v/>
      </c>
      <c r="V532" s="190" t="str">
        <f>IFERROR(Tableau3[[#This Row],[Fonds propres]]/Tableau3[[#This Row],[Total Bilan]],"")</f>
        <v/>
      </c>
      <c r="W532" s="180"/>
      <c r="X532" s="191"/>
      <c r="Y532" s="180"/>
      <c r="Z532" s="192" t="str">
        <f>IFERROR(Tableau3[[#This Row],[Chiffre d''affaires]]/Tableau3[[#This Row],[Salariés]],"")</f>
        <v/>
      </c>
      <c r="AA532" s="197"/>
      <c r="AB532" s="197"/>
      <c r="AC532" s="177" t="s">
        <v>436</v>
      </c>
    </row>
    <row r="533" spans="1:29" ht="20.25" customHeight="1">
      <c r="A533" s="217"/>
      <c r="E533" s="187">
        <v>21.47</v>
      </c>
      <c r="F533" s="178">
        <v>2018</v>
      </c>
      <c r="G533" s="188">
        <v>2569549000</v>
      </c>
      <c r="H533" s="188">
        <v>353600000</v>
      </c>
      <c r="I533" s="188">
        <v>-400511000</v>
      </c>
      <c r="J533" s="188">
        <v>-433736000</v>
      </c>
      <c r="K533" s="188">
        <v>131000000</v>
      </c>
      <c r="L533" s="188">
        <v>2544326000</v>
      </c>
      <c r="M533" s="194">
        <f>L533/P533</f>
        <v>19.203557081633484</v>
      </c>
      <c r="N533" s="190">
        <f>J533/L533</f>
        <v>-0.17047186563357053</v>
      </c>
      <c r="O533" s="190">
        <f>(I533*0.6666)/(K533+L533)</f>
        <v>-9.9793682190506869E-2</v>
      </c>
      <c r="P533" s="188">
        <v>132492433</v>
      </c>
      <c r="Q533" s="188">
        <f>E533*P533</f>
        <v>2844612536.5099998</v>
      </c>
      <c r="R533" s="195">
        <f>Q533/L533</f>
        <v>1.1180220366847644</v>
      </c>
      <c r="S533" s="197">
        <f>(Q533+K533)/H533</f>
        <v>8.415193824971718</v>
      </c>
      <c r="T533" s="180"/>
      <c r="U533" s="189">
        <f>IFERROR(IF(Tableau3[[#This Row],[Dettes]]=0,"",(Tableau3[[#This Row],[Dettes]]/Tableau3[[#This Row],[EBE]])),"")</f>
        <v>0.37047511312217196</v>
      </c>
      <c r="V533" s="190" t="str">
        <f>IFERROR(Tableau3[[#This Row],[Fonds propres]]/Tableau3[[#This Row],[Total Bilan]],"")</f>
        <v/>
      </c>
      <c r="W533" s="180"/>
      <c r="X533" s="191"/>
      <c r="Y533" s="180">
        <v>7078</v>
      </c>
      <c r="Z533" s="192">
        <f>IFERROR(Tableau3[[#This Row],[Chiffre d''affaires]]/Tableau3[[#This Row],[Salariés]],"")</f>
        <v>363033.20146934164</v>
      </c>
      <c r="AA533" s="197"/>
      <c r="AB533" s="197"/>
      <c r="AC533" s="177" t="s">
        <v>437</v>
      </c>
    </row>
    <row r="534" spans="1:29" ht="20.25" customHeight="1">
      <c r="A534" s="217"/>
      <c r="E534" s="187"/>
      <c r="G534" s="202">
        <f>(G533/G535)-1</f>
        <v>9.6691848058045204E-2</v>
      </c>
      <c r="H534" s="203">
        <f>(H533/H535)-1</f>
        <v>-0.19010535959688502</v>
      </c>
      <c r="I534" s="203">
        <f>(I533/I535)-1</f>
        <v>-3.1649243243243244</v>
      </c>
      <c r="J534" s="203">
        <f>(J533/J535)-1</f>
        <v>-3.8838829787234044</v>
      </c>
      <c r="K534" s="188"/>
      <c r="L534" s="188"/>
      <c r="M534" s="194"/>
      <c r="N534" s="190"/>
      <c r="O534" s="190"/>
      <c r="P534" s="188"/>
      <c r="Q534" s="188"/>
      <c r="R534" s="195"/>
      <c r="S534" s="197"/>
      <c r="T534" s="180"/>
      <c r="U534" s="189" t="str">
        <f>IFERROR(IF(Tableau3[[#This Row],[Dettes]]=0,"",(Tableau3[[#This Row],[Dettes]]/Tableau3[[#This Row],[EBE]])),"")</f>
        <v/>
      </c>
      <c r="V534" s="190" t="str">
        <f>IFERROR(Tableau3[[#This Row],[Fonds propres]]/Tableau3[[#This Row],[Total Bilan]],"")</f>
        <v/>
      </c>
      <c r="W534" s="180"/>
      <c r="X534" s="191"/>
      <c r="Y534" s="180"/>
      <c r="Z534" s="192" t="str">
        <f>IFERROR(Tableau3[[#This Row],[Chiffre d''affaires]]/Tableau3[[#This Row],[Salariés]],"")</f>
        <v/>
      </c>
      <c r="AA534" s="197"/>
      <c r="AB534" s="197"/>
      <c r="AC534" s="177" t="s">
        <v>438</v>
      </c>
    </row>
    <row r="535" spans="1:29" ht="20.25" customHeight="1">
      <c r="A535" s="217"/>
      <c r="E535" s="187">
        <v>31.4</v>
      </c>
      <c r="F535" s="178">
        <v>2017</v>
      </c>
      <c r="G535" s="188">
        <v>2343000000</v>
      </c>
      <c r="H535" s="188">
        <v>436600000</v>
      </c>
      <c r="I535" s="188">
        <v>185000000</v>
      </c>
      <c r="J535" s="188">
        <v>150400000</v>
      </c>
      <c r="K535" s="188">
        <v>119700000</v>
      </c>
      <c r="L535" s="188">
        <v>3022938000</v>
      </c>
      <c r="M535" s="194">
        <f>L535/P535</f>
        <v>23.058704630906053</v>
      </c>
      <c r="N535" s="190">
        <f>J535/L535</f>
        <v>4.975292248799016E-2</v>
      </c>
      <c r="O535" s="190">
        <f>(I535*0.6666)/(K535+L535)</f>
        <v>3.9241236184377581E-2</v>
      </c>
      <c r="P535" s="188">
        <v>131097477</v>
      </c>
      <c r="Q535" s="188">
        <f>E535*P535</f>
        <v>4116460777.7999997</v>
      </c>
      <c r="R535" s="195">
        <f>Q535/L535</f>
        <v>1.3617417154437172</v>
      </c>
      <c r="S535" s="197">
        <f>(Q535+K535)/H535</f>
        <v>9.70261286715529</v>
      </c>
      <c r="T535" s="180"/>
      <c r="U535" s="189">
        <f>IFERROR(IF(Tableau3[[#This Row],[Dettes]]=0,"",(Tableau3[[#This Row],[Dettes]]/Tableau3[[#This Row],[EBE]])),"")</f>
        <v>0.27416399450297757</v>
      </c>
      <c r="V535" s="190" t="str">
        <f>IFERROR(Tableau3[[#This Row],[Fonds propres]]/Tableau3[[#This Row],[Total Bilan]],"")</f>
        <v/>
      </c>
      <c r="W535" s="180"/>
      <c r="X535" s="191"/>
      <c r="Y535" s="180">
        <v>6410</v>
      </c>
      <c r="Z535" s="192">
        <f>IFERROR(Tableau3[[#This Row],[Chiffre d''affaires]]/Tableau3[[#This Row],[Salariés]],"")</f>
        <v>365522.62090483622</v>
      </c>
      <c r="AA535" s="197"/>
      <c r="AB535" s="197"/>
      <c r="AC535" s="177" t="s">
        <v>439</v>
      </c>
    </row>
    <row r="536" spans="1:29" ht="20.25" customHeight="1">
      <c r="A536" s="217"/>
      <c r="E536" s="187"/>
      <c r="G536" s="202">
        <f>(G535/G537)-1</f>
        <v>-9.745762711864403E-2</v>
      </c>
      <c r="H536" s="203">
        <f>(H535/H537)-1</f>
        <v>-0.33898561695685092</v>
      </c>
      <c r="I536" s="203">
        <f>(I535/I537)-1</f>
        <v>-1.4038419559048243</v>
      </c>
      <c r="J536" s="203">
        <f>(J535/J537)-1</f>
        <v>-1.2677109291562834</v>
      </c>
      <c r="K536" s="188"/>
      <c r="L536" s="188"/>
      <c r="M536" s="194"/>
      <c r="N536" s="190"/>
      <c r="O536" s="190"/>
      <c r="P536" s="188"/>
      <c r="Q536" s="188"/>
      <c r="R536" s="195"/>
      <c r="S536" s="197"/>
      <c r="T536" s="180"/>
      <c r="U536" s="189" t="str">
        <f>IFERROR(IF(Tableau3[[#This Row],[Dettes]]=0,"",(Tableau3[[#This Row],[Dettes]]/Tableau3[[#This Row],[EBE]])),"")</f>
        <v/>
      </c>
      <c r="V536" s="190" t="str">
        <f>IFERROR(Tableau3[[#This Row],[Fonds propres]]/Tableau3[[#This Row],[Total Bilan]],"")</f>
        <v/>
      </c>
      <c r="W536" s="180"/>
      <c r="X536" s="191"/>
      <c r="Y536" s="180"/>
      <c r="Z536" s="192" t="str">
        <f>IFERROR(Tableau3[[#This Row],[Chiffre d''affaires]]/Tableau3[[#This Row],[Salariés]],"")</f>
        <v/>
      </c>
      <c r="AA536" s="197"/>
      <c r="AB536" s="197"/>
      <c r="AC536" s="177" t="s">
        <v>440</v>
      </c>
    </row>
    <row r="537" spans="1:29" ht="20.25" customHeight="1">
      <c r="A537" s="217"/>
      <c r="E537" s="187">
        <v>33</v>
      </c>
      <c r="F537" s="178">
        <v>2016</v>
      </c>
      <c r="G537" s="188">
        <v>2596000000</v>
      </c>
      <c r="H537" s="188">
        <v>660500000</v>
      </c>
      <c r="I537" s="188">
        <v>-458100000</v>
      </c>
      <c r="J537" s="188">
        <v>-561800000</v>
      </c>
      <c r="K537" s="188">
        <v>-202700000</v>
      </c>
      <c r="L537" s="188">
        <v>3121173000</v>
      </c>
      <c r="M537" s="194">
        <f>L537/P537</f>
        <v>24.345261855633563</v>
      </c>
      <c r="N537" s="190">
        <f>J537/L537</f>
        <v>-0.17999643082905048</v>
      </c>
      <c r="O537" s="190">
        <f>(I537*0.6666)/(K537+L537)</f>
        <v>-0.10463329967417893</v>
      </c>
      <c r="P537" s="188">
        <v>128204536</v>
      </c>
      <c r="Q537" s="188">
        <f>E537*P537</f>
        <v>4230749688</v>
      </c>
      <c r="R537" s="195">
        <f>Q537/L537</f>
        <v>1.3554998995569936</v>
      </c>
      <c r="S537" s="197">
        <f>(Q537+K537)/H537</f>
        <v>6.0984855230885691</v>
      </c>
      <c r="T537" s="180"/>
      <c r="U537" s="189">
        <f>IFERROR(IF(Tableau3[[#This Row],[Dettes]]=0,"",(Tableau3[[#This Row],[Dettes]]/Tableau3[[#This Row],[EBE]])),"")</f>
        <v>-0.30688872066616202</v>
      </c>
      <c r="V537" s="190" t="str">
        <f>IFERROR(Tableau3[[#This Row],[Fonds propres]]/Tableau3[[#This Row],[Total Bilan]],"")</f>
        <v/>
      </c>
      <c r="W537" s="180"/>
      <c r="X537" s="191"/>
      <c r="Y537" s="180">
        <v>6960</v>
      </c>
      <c r="Z537" s="192">
        <f>IFERROR(Tableau3[[#This Row],[Chiffre d''affaires]]/Tableau3[[#This Row],[Salariés]],"")</f>
        <v>372988.50574712642</v>
      </c>
      <c r="AA537" s="197"/>
      <c r="AB537" s="197"/>
      <c r="AC537" s="177" t="s">
        <v>441</v>
      </c>
    </row>
    <row r="538" spans="1:29" ht="20.25" customHeight="1">
      <c r="A538" s="217"/>
      <c r="E538" s="187"/>
      <c r="G538" s="202">
        <f>(G537/G539)-1</f>
        <v>-0.1987654320987654</v>
      </c>
      <c r="H538" s="203">
        <f>(H537/H539)-1</f>
        <v>-0.25341923815982814</v>
      </c>
      <c r="I538" s="203">
        <f>(I537/I539)-1</f>
        <v>-1.8139658848614073</v>
      </c>
      <c r="J538" s="203">
        <f>(J537/J539)-1</f>
        <v>-2.2667418263810597</v>
      </c>
      <c r="K538" s="188"/>
      <c r="L538" s="188"/>
      <c r="M538" s="194"/>
      <c r="N538" s="190"/>
      <c r="O538" s="190"/>
      <c r="P538" s="188"/>
      <c r="Q538" s="188"/>
      <c r="R538" s="195"/>
      <c r="S538" s="197"/>
      <c r="T538" s="180"/>
      <c r="U538" s="189" t="str">
        <f>IFERROR(IF(Tableau3[[#This Row],[Dettes]]=0,"",(Tableau3[[#This Row],[Dettes]]/Tableau3[[#This Row],[EBE]])),"")</f>
        <v/>
      </c>
      <c r="V538" s="190" t="str">
        <f>IFERROR(Tableau3[[#This Row],[Fonds propres]]/Tableau3[[#This Row],[Total Bilan]],"")</f>
        <v/>
      </c>
      <c r="W538" s="180"/>
      <c r="X538" s="191"/>
      <c r="Y538" s="180"/>
      <c r="Z538" s="192" t="str">
        <f>IFERROR(Tableau3[[#This Row],[Chiffre d''affaires]]/Tableau3[[#This Row],[Salariés]],"")</f>
        <v/>
      </c>
      <c r="AA538" s="197"/>
      <c r="AB538" s="197"/>
      <c r="AC538" s="177" t="s">
        <v>442</v>
      </c>
    </row>
    <row r="539" spans="1:29" ht="20.25" customHeight="1">
      <c r="A539" s="217"/>
      <c r="E539" s="187">
        <v>37.6</v>
      </c>
      <c r="F539" s="178">
        <v>2015</v>
      </c>
      <c r="G539" s="188">
        <v>3240000000</v>
      </c>
      <c r="H539" s="188">
        <v>884700000</v>
      </c>
      <c r="I539" s="188">
        <v>562800000</v>
      </c>
      <c r="J539" s="188">
        <v>443500000</v>
      </c>
      <c r="K539" s="188">
        <v>169300000</v>
      </c>
      <c r="L539" s="188">
        <v>3714313000</v>
      </c>
      <c r="M539" s="194">
        <f>L539/P539</f>
        <v>29.910236588233399</v>
      </c>
      <c r="N539" s="190">
        <f>J539/L539</f>
        <v>0.11940296900126618</v>
      </c>
      <c r="O539" s="190">
        <f>(I539*0.6666)/(K539+L539)</f>
        <v>9.6601406988801403E-2</v>
      </c>
      <c r="P539" s="188">
        <v>124182000</v>
      </c>
      <c r="Q539" s="188">
        <f>E539*P539</f>
        <v>4669243200</v>
      </c>
      <c r="R539" s="195">
        <f>Q539/L539</f>
        <v>1.2570947036504463</v>
      </c>
      <c r="S539" s="197">
        <f>(Q539+K539)/H539</f>
        <v>5.4691343958403982</v>
      </c>
      <c r="T539" s="180"/>
      <c r="U539" s="189">
        <f>IFERROR(IF(Tableau3[[#This Row],[Dettes]]=0,"",(Tableau3[[#This Row],[Dettes]]/Tableau3[[#This Row],[EBE]])),"")</f>
        <v>0.19136430428393805</v>
      </c>
      <c r="V539" s="190" t="str">
        <f>IFERROR(Tableau3[[#This Row],[Fonds propres]]/Tableau3[[#This Row],[Total Bilan]],"")</f>
        <v/>
      </c>
      <c r="W539" s="180"/>
      <c r="X539" s="191"/>
      <c r="Y539" s="180">
        <v>8268</v>
      </c>
      <c r="Z539" s="192">
        <f>IFERROR(Tableau3[[#This Row],[Chiffre d''affaires]]/Tableau3[[#This Row],[Salariés]],"")</f>
        <v>391872.27866473148</v>
      </c>
      <c r="AA539" s="197"/>
      <c r="AB539" s="197"/>
      <c r="AC539" s="177" t="s">
        <v>443</v>
      </c>
    </row>
    <row r="540" spans="1:29" ht="20.25" customHeight="1">
      <c r="A540" s="217"/>
      <c r="E540" s="187"/>
      <c r="G540" s="202">
        <f>(G539/G541)-1</f>
        <v>2.3050205241553545E-2</v>
      </c>
      <c r="H540" s="203">
        <f>(H539/H541)-1</f>
        <v>-6.4700285442435779E-2</v>
      </c>
      <c r="I540" s="203">
        <f>(I539/I541)-1</f>
        <v>-0.13720680668404106</v>
      </c>
      <c r="J540" s="203">
        <f>(J539/J541)-1</f>
        <v>-9.8943518894758276E-2</v>
      </c>
      <c r="K540" s="188"/>
      <c r="L540" s="188"/>
      <c r="M540" s="194"/>
      <c r="N540" s="190"/>
      <c r="O540" s="190"/>
      <c r="P540" s="188"/>
      <c r="Q540" s="188"/>
      <c r="R540" s="195"/>
      <c r="S540" s="197"/>
      <c r="T540" s="180"/>
      <c r="U540" s="189" t="str">
        <f>IFERROR(IF(Tableau3[[#This Row],[Dettes]]=0,"",(Tableau3[[#This Row],[Dettes]]/Tableau3[[#This Row],[EBE]])),"")</f>
        <v/>
      </c>
      <c r="V540" s="190" t="str">
        <f>IFERROR(Tableau3[[#This Row],[Fonds propres]]/Tableau3[[#This Row],[Total Bilan]],"")</f>
        <v/>
      </c>
      <c r="W540" s="180"/>
      <c r="X540" s="191"/>
      <c r="Y540" s="180"/>
      <c r="Z540" s="192" t="str">
        <f>IFERROR(Tableau3[[#This Row],[Chiffre d''affaires]]/Tableau3[[#This Row],[Salariés]],"")</f>
        <v/>
      </c>
      <c r="AA540" s="197"/>
      <c r="AB540" s="197"/>
      <c r="AC540" s="199" t="s">
        <v>444</v>
      </c>
    </row>
    <row r="541" spans="1:29" ht="20.25" customHeight="1">
      <c r="A541" s="217"/>
      <c r="E541" s="187">
        <v>45.5</v>
      </c>
      <c r="F541" s="178">
        <v>2014</v>
      </c>
      <c r="G541" s="188">
        <v>3167000000</v>
      </c>
      <c r="H541" s="188">
        <v>945900000</v>
      </c>
      <c r="I541" s="188">
        <v>652300000</v>
      </c>
      <c r="J541" s="188">
        <v>492200000</v>
      </c>
      <c r="K541" s="188">
        <v>507359000</v>
      </c>
      <c r="L541" s="188">
        <v>3151937000</v>
      </c>
      <c r="M541" s="194">
        <f>L541/P541</f>
        <v>25.919255628834104</v>
      </c>
      <c r="N541" s="190">
        <f>J541/L541</f>
        <v>0.15615794351219583</v>
      </c>
      <c r="O541" s="190">
        <f>(I541*0.6666)/(K541+L541)</f>
        <v>0.11882700388271406</v>
      </c>
      <c r="P541" s="188">
        <v>121606000</v>
      </c>
      <c r="Q541" s="188">
        <f>E541*P541</f>
        <v>5533073000</v>
      </c>
      <c r="R541" s="195">
        <f>Q541/L541</f>
        <v>1.7554516476693538</v>
      </c>
      <c r="S541" s="197">
        <f>(Q541+K541)/H541</f>
        <v>6.3859097156147584</v>
      </c>
      <c r="T541" s="180"/>
      <c r="U541" s="189">
        <f>IFERROR(IF(Tableau3[[#This Row],[Dettes]]=0,"",(Tableau3[[#This Row],[Dettes]]/Tableau3[[#This Row],[EBE]])),"")</f>
        <v>0.53637699545406492</v>
      </c>
      <c r="V541" s="190" t="str">
        <f>IFERROR(Tableau3[[#This Row],[Fonds propres]]/Tableau3[[#This Row],[Total Bilan]],"")</f>
        <v/>
      </c>
      <c r="W541" s="180"/>
      <c r="X541" s="191"/>
      <c r="Y541" s="180">
        <v>8446</v>
      </c>
      <c r="Z541" s="192">
        <f>IFERROR(Tableau3[[#This Row],[Chiffre d''affaires]]/Tableau3[[#This Row],[Salariés]],"")</f>
        <v>374970.40018943878</v>
      </c>
      <c r="AA541" s="197"/>
      <c r="AB541" s="197"/>
      <c r="AC541" s="177" t="s">
        <v>445</v>
      </c>
    </row>
    <row r="542" spans="1:29" ht="20.25" customHeight="1">
      <c r="A542" s="217"/>
      <c r="E542" s="187"/>
      <c r="G542" s="202">
        <f>(G541/G543)-1</f>
        <v>7.3155216284988001E-3</v>
      </c>
      <c r="H542" s="203">
        <f>(H541/H543)-1</f>
        <v>0.24920760697305866</v>
      </c>
      <c r="I542" s="203">
        <f>(I541/I543)-1</f>
        <v>0.40763918860595605</v>
      </c>
      <c r="J542" s="203">
        <f>(J541/J543)-1</f>
        <v>0.34738571037503418</v>
      </c>
      <c r="K542" s="188"/>
      <c r="L542" s="188"/>
      <c r="M542" s="194"/>
      <c r="N542" s="190"/>
      <c r="O542" s="190"/>
      <c r="P542" s="188"/>
      <c r="Q542" s="188"/>
      <c r="R542" s="195"/>
      <c r="S542" s="197"/>
      <c r="T542" s="180"/>
      <c r="U542" s="189" t="str">
        <f>IFERROR(IF(Tableau3[[#This Row],[Dettes]]=0,"",(Tableau3[[#This Row],[Dettes]]/Tableau3[[#This Row],[EBE]])),"")</f>
        <v/>
      </c>
      <c r="V542" s="190" t="str">
        <f>IFERROR(Tableau3[[#This Row],[Fonds propres]]/Tableau3[[#This Row],[Total Bilan]],"")</f>
        <v/>
      </c>
      <c r="W542" s="180"/>
      <c r="X542" s="191"/>
      <c r="Y542" s="180"/>
      <c r="Z542" s="192" t="str">
        <f>IFERROR(Tableau3[[#This Row],[Chiffre d''affaires]]/Tableau3[[#This Row],[Salariés]],"")</f>
        <v/>
      </c>
      <c r="AA542" s="197"/>
      <c r="AB542" s="197"/>
      <c r="AC542" s="177" t="s">
        <v>446</v>
      </c>
    </row>
    <row r="543" spans="1:29" ht="20.25" customHeight="1">
      <c r="A543" s="217"/>
      <c r="E543" s="187">
        <v>38.4</v>
      </c>
      <c r="F543" s="178">
        <v>2013</v>
      </c>
      <c r="G543" s="188">
        <v>3144000000</v>
      </c>
      <c r="H543" s="188">
        <v>757200000</v>
      </c>
      <c r="I543" s="188">
        <v>463400000</v>
      </c>
      <c r="J543" s="188">
        <v>365300000</v>
      </c>
      <c r="K543" s="188">
        <v>784355000</v>
      </c>
      <c r="L543" s="188">
        <v>2525000000</v>
      </c>
      <c r="M543" s="194">
        <f>L543/P543</f>
        <v>21.317911266832706</v>
      </c>
      <c r="N543" s="190">
        <f>J543/L543</f>
        <v>0.14467326732673266</v>
      </c>
      <c r="O543" s="190">
        <f>(I543*0.6666)/(K543+L543)</f>
        <v>9.3342189036836484E-2</v>
      </c>
      <c r="P543" s="188">
        <v>118445000</v>
      </c>
      <c r="Q543" s="188">
        <f>E543*P543</f>
        <v>4548288000</v>
      </c>
      <c r="R543" s="195">
        <f>Q543/L543</f>
        <v>1.8013021782178218</v>
      </c>
      <c r="S543" s="197">
        <f>(Q543+K543)/H543</f>
        <v>7.0425818806127838</v>
      </c>
      <c r="T543" s="180"/>
      <c r="U543" s="189">
        <f>IFERROR(IF(Tableau3[[#This Row],[Dettes]]=0,"",(Tableau3[[#This Row],[Dettes]]/Tableau3[[#This Row],[EBE]])),"")</f>
        <v>1.0358623877443212</v>
      </c>
      <c r="V543" s="190" t="str">
        <f>IFERROR(Tableau3[[#This Row],[Fonds propres]]/Tableau3[[#This Row],[Total Bilan]],"")</f>
        <v/>
      </c>
      <c r="W543" s="180"/>
      <c r="X543" s="191"/>
      <c r="Y543" s="180">
        <v>8459</v>
      </c>
      <c r="Z543" s="192">
        <f>IFERROR(Tableau3[[#This Row],[Chiffre d''affaires]]/Tableau3[[#This Row],[Salariés]],"")</f>
        <v>371675.13890530798</v>
      </c>
      <c r="AA543" s="197"/>
      <c r="AB543" s="197"/>
      <c r="AC543" s="177" t="s">
        <v>447</v>
      </c>
    </row>
    <row r="544" spans="1:29" ht="20.25" customHeight="1">
      <c r="A544" s="217"/>
      <c r="E544" s="187"/>
      <c r="G544" s="202">
        <f>(G543/G545)-1</f>
        <v>2.0447906523855863E-2</v>
      </c>
      <c r="H544" s="203">
        <f>(H543/H545)-1</f>
        <v>0.3352142479280551</v>
      </c>
      <c r="I544" s="203">
        <f>(I543/I545)-1</f>
        <v>0.3799880881477069</v>
      </c>
      <c r="J544" s="203">
        <f>(J543/J545)-1</f>
        <v>0.44960317460317456</v>
      </c>
      <c r="K544" s="188"/>
      <c r="L544" s="188"/>
      <c r="M544" s="194"/>
      <c r="N544" s="190"/>
      <c r="O544" s="190"/>
      <c r="P544" s="188"/>
      <c r="Q544" s="188"/>
      <c r="R544" s="195"/>
      <c r="S544" s="197"/>
      <c r="T544" s="180"/>
      <c r="U544" s="189" t="str">
        <f>IFERROR(IF(Tableau3[[#This Row],[Dettes]]=0,"",(Tableau3[[#This Row],[Dettes]]/Tableau3[[#This Row],[EBE]])),"")</f>
        <v/>
      </c>
      <c r="V544" s="190" t="str">
        <f>IFERROR(Tableau3[[#This Row],[Fonds propres]]/Tableau3[[#This Row],[Total Bilan]],"")</f>
        <v/>
      </c>
      <c r="W544" s="180"/>
      <c r="X544" s="191"/>
      <c r="Y544" s="180"/>
      <c r="Z544" s="192" t="str">
        <f>IFERROR(Tableau3[[#This Row],[Chiffre d''affaires]]/Tableau3[[#This Row],[Salariés]],"")</f>
        <v/>
      </c>
      <c r="AA544" s="197"/>
      <c r="AB544" s="197"/>
      <c r="AC544" s="177" t="s">
        <v>448</v>
      </c>
    </row>
    <row r="545" spans="1:29" ht="20.25" customHeight="1">
      <c r="A545" s="217"/>
      <c r="E545" s="187">
        <v>34</v>
      </c>
      <c r="F545" s="178">
        <v>2012</v>
      </c>
      <c r="G545" s="188">
        <v>3081000000</v>
      </c>
      <c r="H545" s="188">
        <v>567100000</v>
      </c>
      <c r="I545" s="188">
        <v>335800000</v>
      </c>
      <c r="J545" s="188">
        <v>252000000</v>
      </c>
      <c r="K545" s="188">
        <v>597808000</v>
      </c>
      <c r="L545" s="188">
        <v>1898000000</v>
      </c>
      <c r="M545" s="194">
        <f>L545/P545</f>
        <v>17.9659990155617</v>
      </c>
      <c r="N545" s="190">
        <f>J545/L545</f>
        <v>0.13277133825079029</v>
      </c>
      <c r="O545" s="190">
        <f>(I545*0.6666)/(K545+L545)</f>
        <v>8.9688101007769833E-2</v>
      </c>
      <c r="P545" s="188">
        <v>105644000</v>
      </c>
      <c r="Q545" s="188">
        <f>E545*P545</f>
        <v>3591896000</v>
      </c>
      <c r="R545" s="195">
        <f>Q545/L545</f>
        <v>1.8924636459430979</v>
      </c>
      <c r="S545" s="197">
        <f>(Q545+K545)/H545</f>
        <v>7.3879456885910777</v>
      </c>
      <c r="T545" s="180"/>
      <c r="U545" s="189">
        <f>IFERROR(IF(Tableau3[[#This Row],[Dettes]]=0,"",(Tableau3[[#This Row],[Dettes]]/Tableau3[[#This Row],[EBE]])),"")</f>
        <v>1.0541491800387939</v>
      </c>
      <c r="V545" s="190" t="str">
        <f>IFERROR(Tableau3[[#This Row],[Fonds propres]]/Tableau3[[#This Row],[Total Bilan]],"")</f>
        <v/>
      </c>
      <c r="W545" s="180"/>
      <c r="X545" s="191"/>
      <c r="Y545" s="180">
        <v>15653</v>
      </c>
      <c r="Z545" s="192">
        <f>IFERROR(Tableau3[[#This Row],[Chiffre d''affaires]]/Tableau3[[#This Row],[Salariés]],"")</f>
        <v>196831.27834919823</v>
      </c>
      <c r="AA545" s="197"/>
      <c r="AB545" s="197"/>
      <c r="AC545" s="177" t="s">
        <v>449</v>
      </c>
    </row>
    <row r="546" spans="1:29" ht="20.25" customHeight="1">
      <c r="A546" s="217"/>
      <c r="E546" s="187"/>
      <c r="G546" s="202">
        <f>(G545/G547)-1</f>
        <v>9.9964298464833901E-2</v>
      </c>
      <c r="H546" s="203">
        <f>(H545/H547)-1</f>
        <v>-3.9627434377646042E-2</v>
      </c>
      <c r="I546" s="203">
        <f>(I545/I547)-1</f>
        <v>-5.1680316294831941E-2</v>
      </c>
      <c r="J546" s="203">
        <f>(J545/J547)-1</f>
        <v>-3.4482758620689613E-2</v>
      </c>
      <c r="K546" s="188"/>
      <c r="L546" s="188"/>
      <c r="M546" s="194"/>
      <c r="N546" s="190"/>
      <c r="O546" s="190"/>
      <c r="P546" s="188"/>
      <c r="Q546" s="188"/>
      <c r="R546" s="195"/>
      <c r="S546" s="197"/>
      <c r="T546" s="180"/>
      <c r="U546" s="189" t="str">
        <f>IFERROR(IF(Tableau3[[#This Row],[Dettes]]=0,"",(Tableau3[[#This Row],[Dettes]]/Tableau3[[#This Row],[EBE]])),"")</f>
        <v/>
      </c>
      <c r="V546" s="190" t="str">
        <f>IFERROR(Tableau3[[#This Row],[Fonds propres]]/Tableau3[[#This Row],[Total Bilan]],"")</f>
        <v/>
      </c>
      <c r="W546" s="180"/>
      <c r="X546" s="191"/>
      <c r="Y546" s="180"/>
      <c r="Z546" s="192" t="str">
        <f>IFERROR(Tableau3[[#This Row],[Chiffre d''affaires]]/Tableau3[[#This Row],[Salariés]],"")</f>
        <v/>
      </c>
      <c r="AA546" s="197"/>
      <c r="AB546" s="197"/>
      <c r="AC546" s="177" t="s">
        <v>450</v>
      </c>
    </row>
    <row r="547" spans="1:29" ht="20.25" customHeight="1">
      <c r="A547" s="217"/>
      <c r="E547" s="187">
        <v>28.39</v>
      </c>
      <c r="F547" s="178">
        <v>2011</v>
      </c>
      <c r="G547" s="188">
        <v>2801000000</v>
      </c>
      <c r="H547" s="188">
        <v>590500000</v>
      </c>
      <c r="I547" s="188">
        <v>354100000</v>
      </c>
      <c r="J547" s="188">
        <v>261000000</v>
      </c>
      <c r="K547" s="188">
        <v>409675000</v>
      </c>
      <c r="L547" s="188">
        <v>1733000000</v>
      </c>
      <c r="M547" s="194">
        <f>L547/P547</f>
        <v>16.925315701575332</v>
      </c>
      <c r="N547" s="190">
        <f>J547/L547</f>
        <v>0.15060588574725908</v>
      </c>
      <c r="O547" s="190">
        <f>(I547*0.6666)/(K547+L547)</f>
        <v>0.11016279183730616</v>
      </c>
      <c r="P547" s="188">
        <v>102391000</v>
      </c>
      <c r="Q547" s="188">
        <f>E547*P547</f>
        <v>2906880490</v>
      </c>
      <c r="R547" s="195">
        <f>Q547/L547</f>
        <v>1.6773690075014427</v>
      </c>
      <c r="S547" s="197">
        <f>(Q547+K547)/H547</f>
        <v>5.616520728196444</v>
      </c>
      <c r="T547" s="180"/>
      <c r="U547" s="189">
        <f>IFERROR(IF(Tableau3[[#This Row],[Dettes]]=0,"",(Tableau3[[#This Row],[Dettes]]/Tableau3[[#This Row],[EBE]])),"")</f>
        <v>0.6937764606265876</v>
      </c>
      <c r="V547" s="190" t="str">
        <f>IFERROR(Tableau3[[#This Row],[Fonds propres]]/Tableau3[[#This Row],[Total Bilan]],"")</f>
        <v/>
      </c>
      <c r="W547" s="180"/>
      <c r="X547" s="191"/>
      <c r="Y547" s="180">
        <v>13935</v>
      </c>
      <c r="Z547" s="192">
        <f>IFERROR(Tableau3[[#This Row],[Chiffre d''affaires]]/Tableau3[[#This Row],[Salariés]],"")</f>
        <v>201004.66451381415</v>
      </c>
      <c r="AA547" s="197"/>
      <c r="AB547" s="197"/>
      <c r="AC547" s="177" t="s">
        <v>451</v>
      </c>
    </row>
    <row r="548" spans="1:29" ht="20.25" customHeight="1">
      <c r="A548" s="217"/>
      <c r="E548" s="187"/>
      <c r="G548" s="202">
        <f>(G547/G549)-1</f>
        <v>4.7494390426327637E-2</v>
      </c>
      <c r="H548" s="203">
        <f>(H547/H549)-1</f>
        <v>-4.9879324215607368E-2</v>
      </c>
      <c r="I548" s="203">
        <f>(I547/I549)-1</f>
        <v>-0.11893505847225683</v>
      </c>
      <c r="J548" s="203">
        <f>(J547/J549)-1</f>
        <v>-0.16586768935762219</v>
      </c>
      <c r="K548" s="188"/>
      <c r="L548" s="188"/>
      <c r="M548" s="194"/>
      <c r="N548" s="190"/>
      <c r="O548" s="190"/>
      <c r="P548" s="188"/>
      <c r="Q548" s="188"/>
      <c r="R548" s="195"/>
      <c r="S548" s="197"/>
      <c r="T548" s="180"/>
      <c r="U548" s="189" t="str">
        <f>IFERROR(IF(Tableau3[[#This Row],[Dettes]]=0,"",(Tableau3[[#This Row],[Dettes]]/Tableau3[[#This Row],[EBE]])),"")</f>
        <v/>
      </c>
      <c r="V548" s="190" t="str">
        <f>IFERROR(Tableau3[[#This Row],[Fonds propres]]/Tableau3[[#This Row],[Total Bilan]],"")</f>
        <v/>
      </c>
      <c r="W548" s="180"/>
      <c r="X548" s="191"/>
      <c r="Y548" s="180"/>
      <c r="Z548" s="192" t="str">
        <f>IFERROR(Tableau3[[#This Row],[Chiffre d''affaires]]/Tableau3[[#This Row],[Salariés]],"")</f>
        <v/>
      </c>
      <c r="AA548" s="197"/>
      <c r="AB548" s="197"/>
    </row>
    <row r="549" spans="1:29" ht="20.25" customHeight="1">
      <c r="A549" s="217"/>
      <c r="E549" s="187">
        <v>35.25</v>
      </c>
      <c r="F549" s="178">
        <v>2010</v>
      </c>
      <c r="G549" s="188">
        <v>2674000000</v>
      </c>
      <c r="H549" s="188">
        <v>621500000</v>
      </c>
      <c r="I549" s="188">
        <v>401900000</v>
      </c>
      <c r="J549" s="188">
        <v>312900000</v>
      </c>
      <c r="K549" s="188">
        <v>451500000</v>
      </c>
      <c r="L549" s="188">
        <v>1565000000</v>
      </c>
      <c r="M549" s="194">
        <f>L549/P549</f>
        <v>15.655949260719073</v>
      </c>
      <c r="N549" s="190">
        <f>J549/L549</f>
        <v>0.19993610223642172</v>
      </c>
      <c r="O549" s="190">
        <f>(I549*0.6666)/(K549+L549)</f>
        <v>0.13285719811554675</v>
      </c>
      <c r="P549" s="188">
        <v>99962000</v>
      </c>
      <c r="Q549" s="188">
        <f>E549*P549</f>
        <v>3523660500</v>
      </c>
      <c r="R549" s="195">
        <f>Q549/L549</f>
        <v>2.2515402555910544</v>
      </c>
      <c r="S549" s="197">
        <f>(Q549+K549)/H549</f>
        <v>6.3960748189863237</v>
      </c>
      <c r="T549" s="180"/>
      <c r="U549" s="189">
        <f>IFERROR(IF(Tableau3[[#This Row],[Dettes]]=0,"",(Tableau3[[#This Row],[Dettes]]/Tableau3[[#This Row],[EBE]])),"")</f>
        <v>0.7264682220434433</v>
      </c>
      <c r="V549" s="190" t="str">
        <f>IFERROR(Tableau3[[#This Row],[Fonds propres]]/Tableau3[[#This Row],[Total Bilan]],"")</f>
        <v/>
      </c>
      <c r="W549" s="180"/>
      <c r="X549" s="191"/>
      <c r="Y549" s="180">
        <v>13832</v>
      </c>
      <c r="Z549" s="192">
        <f>IFERROR(Tableau3[[#This Row],[Chiffre d''affaires]]/Tableau3[[#This Row],[Salariés]],"")</f>
        <v>193319.83805668016</v>
      </c>
      <c r="AA549" s="197"/>
      <c r="AB549" s="197"/>
    </row>
    <row r="550" spans="1:29" ht="20.25" customHeight="1">
      <c r="A550" s="217"/>
      <c r="E550" s="187"/>
      <c r="G550" s="188"/>
      <c r="H550" s="188"/>
      <c r="I550" s="188"/>
      <c r="J550" s="188"/>
      <c r="K550" s="188"/>
      <c r="L550" s="188"/>
      <c r="M550" s="194"/>
      <c r="N550" s="190"/>
      <c r="O550" s="190"/>
      <c r="P550" s="188"/>
      <c r="Q550" s="188"/>
      <c r="R550" s="195"/>
      <c r="S550" s="197"/>
      <c r="T550" s="180"/>
      <c r="U550" s="189" t="str">
        <f>IFERROR(IF(Tableau3[[#This Row],[Dettes]]=0,"",(Tableau3[[#This Row],[Dettes]]/Tableau3[[#This Row],[EBE]])),"")</f>
        <v/>
      </c>
      <c r="V550" s="190" t="str">
        <f>IFERROR(Tableau3[[#This Row],[Fonds propres]]/Tableau3[[#This Row],[Total Bilan]],"")</f>
        <v/>
      </c>
      <c r="W550" s="180"/>
      <c r="X550" s="191"/>
      <c r="Y550" s="180"/>
      <c r="Z550" s="192" t="str">
        <f>IFERROR(Tableau3[[#This Row],[Chiffre d''affaires]]/Tableau3[[#This Row],[Salariés]],"")</f>
        <v/>
      </c>
      <c r="AA550" s="197"/>
      <c r="AB550" s="197"/>
    </row>
    <row r="551" spans="1:29" ht="20.25" customHeight="1">
      <c r="A551" s="217"/>
      <c r="E551" s="187"/>
      <c r="G551" s="188"/>
      <c r="H551" s="188"/>
      <c r="I551" s="188"/>
      <c r="J551" s="188"/>
      <c r="K551" s="188"/>
      <c r="L551" s="188"/>
      <c r="M551" s="194"/>
      <c r="N551" s="190"/>
      <c r="O551" s="190"/>
      <c r="P551" s="188"/>
      <c r="Q551" s="188"/>
      <c r="R551" s="195"/>
      <c r="S551" s="197"/>
      <c r="T551" s="180"/>
      <c r="U551" s="189" t="str">
        <f>IFERROR(IF(Tableau3[[#This Row],[Dettes]]=0,"",(Tableau3[[#This Row],[Dettes]]/Tableau3[[#This Row],[EBE]])),"")</f>
        <v/>
      </c>
      <c r="V551" s="190" t="str">
        <f>IFERROR(Tableau3[[#This Row],[Fonds propres]]/Tableau3[[#This Row],[Total Bilan]],"")</f>
        <v/>
      </c>
      <c r="W551" s="180"/>
      <c r="X551" s="191"/>
      <c r="Y551" s="180"/>
      <c r="Z551" s="192" t="str">
        <f>IFERROR(Tableau3[[#This Row],[Chiffre d''affaires]]/Tableau3[[#This Row],[Salariés]],"")</f>
        <v/>
      </c>
      <c r="AA551" s="197"/>
      <c r="AB551" s="197"/>
    </row>
    <row r="552" spans="1:29" ht="20.25" customHeight="1">
      <c r="A552" s="217"/>
      <c r="E552" s="187"/>
      <c r="G552" s="188"/>
      <c r="H552" s="188"/>
      <c r="I552" s="188"/>
      <c r="J552" s="188"/>
      <c r="K552" s="188"/>
      <c r="L552" s="188"/>
      <c r="M552" s="194"/>
      <c r="N552" s="190"/>
      <c r="O552" s="190"/>
      <c r="P552" s="188"/>
      <c r="Q552" s="188"/>
      <c r="R552" s="195"/>
      <c r="S552" s="197"/>
      <c r="T552" s="180"/>
      <c r="U552" s="189" t="str">
        <f>IFERROR(IF(Tableau3[[#This Row],[Dettes]]=0,"",(Tableau3[[#This Row],[Dettes]]/Tableau3[[#This Row],[EBE]])),"")</f>
        <v/>
      </c>
      <c r="V552" s="190" t="str">
        <f>IFERROR(Tableau3[[#This Row],[Fonds propres]]/Tableau3[[#This Row],[Total Bilan]],"")</f>
        <v/>
      </c>
      <c r="W552" s="180"/>
      <c r="X552" s="191"/>
      <c r="Y552" s="180"/>
      <c r="Z552" s="192" t="str">
        <f>IFERROR(Tableau3[[#This Row],[Chiffre d''affaires]]/Tableau3[[#This Row],[Salariés]],"")</f>
        <v/>
      </c>
      <c r="AA552" s="197"/>
      <c r="AB552" s="197"/>
    </row>
    <row r="553" spans="1:29" ht="20.25" customHeight="1">
      <c r="A553" s="217" t="s">
        <v>1</v>
      </c>
      <c r="B553" s="216" t="s">
        <v>426</v>
      </c>
      <c r="C553" s="178" t="s">
        <v>452</v>
      </c>
      <c r="D553" s="178" t="s">
        <v>85</v>
      </c>
      <c r="E553" s="187"/>
      <c r="F553" s="178">
        <v>2025</v>
      </c>
      <c r="G553" s="188"/>
      <c r="H553" s="188"/>
      <c r="I553" s="188"/>
      <c r="J553" s="188"/>
      <c r="K553" s="188"/>
      <c r="L553" s="188"/>
      <c r="M553" s="194"/>
      <c r="N553" s="190"/>
      <c r="O553" s="190"/>
      <c r="P553" s="188"/>
      <c r="Q553" s="188"/>
      <c r="R553" s="195"/>
      <c r="S553" s="197"/>
      <c r="T553" s="180"/>
      <c r="U553" s="189" t="str">
        <f>IFERROR(IF(Tableau3[[#This Row],[Dettes]]=0,"",(Tableau3[[#This Row],[Dettes]]/Tableau3[[#This Row],[EBE]])),"")</f>
        <v/>
      </c>
      <c r="V553" s="190" t="str">
        <f>IFERROR(Tableau3[[#This Row],[Fonds propres]]/Tableau3[[#This Row],[Total Bilan]],"")</f>
        <v/>
      </c>
      <c r="W553" s="180"/>
      <c r="X553" s="191"/>
      <c r="Y553" s="180"/>
      <c r="Z553" s="192" t="str">
        <f>IFERROR(Tableau3[[#This Row],[Chiffre d''affaires]]/Tableau3[[#This Row],[Salariés]],"")</f>
        <v/>
      </c>
      <c r="AA553" s="197"/>
      <c r="AB553" s="197"/>
      <c r="AC553" s="177" t="s">
        <v>453</v>
      </c>
    </row>
    <row r="554" spans="1:29" ht="20.25" customHeight="1">
      <c r="A554" s="217"/>
      <c r="E554" s="187"/>
      <c r="G554" s="188"/>
      <c r="H554" s="188"/>
      <c r="I554" s="188"/>
      <c r="J554" s="188"/>
      <c r="K554" s="188"/>
      <c r="L554" s="188"/>
      <c r="M554" s="194"/>
      <c r="N554" s="190"/>
      <c r="O554" s="190"/>
      <c r="P554" s="188"/>
      <c r="Q554" s="188"/>
      <c r="R554" s="195"/>
      <c r="S554" s="197"/>
      <c r="T554" s="180"/>
      <c r="U554" s="189" t="str">
        <f>IFERROR(IF(Tableau3[[#This Row],[Dettes]]=0,"",(Tableau3[[#This Row],[Dettes]]/Tableau3[[#This Row],[EBE]])),"")</f>
        <v/>
      </c>
      <c r="V554" s="190" t="str">
        <f>IFERROR(Tableau3[[#This Row],[Fonds propres]]/Tableau3[[#This Row],[Total Bilan]],"")</f>
        <v/>
      </c>
      <c r="W554" s="180"/>
      <c r="X554" s="191"/>
      <c r="Y554" s="180"/>
      <c r="Z554" s="192" t="str">
        <f>IFERROR(Tableau3[[#This Row],[Chiffre d''affaires]]/Tableau3[[#This Row],[Salariés]],"")</f>
        <v/>
      </c>
      <c r="AA554" s="197"/>
      <c r="AB554" s="197"/>
      <c r="AC554" s="177" t="s">
        <v>455</v>
      </c>
    </row>
    <row r="555" spans="1:29" ht="20.25" customHeight="1">
      <c r="A555" s="217"/>
      <c r="E555" s="187">
        <v>137.80000000000001</v>
      </c>
      <c r="F555" s="178">
        <v>2024</v>
      </c>
      <c r="G555" s="188">
        <v>4101000000</v>
      </c>
      <c r="H555" s="188">
        <v>764000000</v>
      </c>
      <c r="I555" s="188">
        <v>354000000</v>
      </c>
      <c r="J555" s="188">
        <v>288000000</v>
      </c>
      <c r="K555" s="188">
        <v>-91000000</v>
      </c>
      <c r="L555" s="188">
        <v>2117827000</v>
      </c>
      <c r="M555" s="194">
        <f>Tableau3[[#This Row],[Fonds propres]]/Tableau3[[#This Row],[Titres]]</f>
        <v>83.660688770957279</v>
      </c>
      <c r="N555" s="190">
        <f>J555/L557</f>
        <v>0.15074800847748177</v>
      </c>
      <c r="O555" s="190">
        <f>(I555*0.7)/(K557+L557)</f>
        <v>0.10228371719996879</v>
      </c>
      <c r="P555" s="188">
        <v>25314482</v>
      </c>
      <c r="Q555" s="188">
        <f>P555*E555</f>
        <v>3488335619.6000004</v>
      </c>
      <c r="R555" s="195">
        <f>Q555/L555</f>
        <v>1.647129637878826</v>
      </c>
      <c r="S555" s="197">
        <f>(Q555+K555)/H555</f>
        <v>4.4467743712041887</v>
      </c>
      <c r="T555" s="180">
        <v>729000000</v>
      </c>
      <c r="U555" s="189">
        <f>IFERROR(IF(Tableau3[[#This Row],[Dettes]]=0,"",(Tableau3[[#This Row],[Dettes]]/Tableau3[[#This Row],[EBE]])),"")</f>
        <v>-0.11910994764397906</v>
      </c>
      <c r="V555" s="190">
        <f>IFERROR(Tableau3[[#This Row],[Fonds propres]]/Tableau3[[#This Row],[Total Bilan]],"")</f>
        <v>0.3867745535612373</v>
      </c>
      <c r="W555" s="180">
        <v>5475611000</v>
      </c>
      <c r="X555" s="191" t="s">
        <v>106</v>
      </c>
      <c r="Y555" s="180"/>
      <c r="Z555" s="192" t="str">
        <f>IFERROR(Tableau3[[#This Row],[Chiffre d''affaires]]/Tableau3[[#This Row],[Salariés]],"")</f>
        <v/>
      </c>
      <c r="AA555" s="197"/>
      <c r="AB555" s="197"/>
      <c r="AC555" s="177" t="s">
        <v>456</v>
      </c>
    </row>
    <row r="556" spans="1:29" ht="20.25" customHeight="1">
      <c r="A556" s="217"/>
      <c r="E556" s="187"/>
      <c r="G556" s="202">
        <f>(G555/G557)-1</f>
        <v>0.24824983259268274</v>
      </c>
      <c r="H556" s="203">
        <f>(H555/H557)-1</f>
        <v>0.28080469404861685</v>
      </c>
      <c r="I556" s="203">
        <f>(I555/I557)-1</f>
        <v>0.46727844717175859</v>
      </c>
      <c r="J556" s="203">
        <f>(J555/J557)-1</f>
        <v>0.76904176904176902</v>
      </c>
      <c r="K556" s="188"/>
      <c r="L556" s="188"/>
      <c r="M556" s="194"/>
      <c r="N556" s="190"/>
      <c r="O556" s="190"/>
      <c r="P556" s="188"/>
      <c r="Q556" s="188"/>
      <c r="R556" s="195"/>
      <c r="S556" s="197"/>
      <c r="T556" s="180"/>
      <c r="U556" s="189" t="str">
        <f>IFERROR(IF(Tableau3[[#This Row],[Dettes]]=0,"",(Tableau3[[#This Row],[Dettes]]/Tableau3[[#This Row],[EBE]])),"")</f>
        <v/>
      </c>
      <c r="V556" s="190" t="str">
        <f>IFERROR(Tableau3[[#This Row],[Fonds propres]]/Tableau3[[#This Row],[Total Bilan]],"")</f>
        <v/>
      </c>
      <c r="W556" s="180"/>
      <c r="X556" s="191"/>
      <c r="Y556" s="180"/>
      <c r="Z556" s="192" t="str">
        <f>IFERROR(Tableau3[[#This Row],[Chiffre d''affaires]]/Tableau3[[#This Row],[Salariés]],"")</f>
        <v/>
      </c>
      <c r="AA556" s="197"/>
      <c r="AB556" s="197"/>
      <c r="AC556" s="177" t="s">
        <v>4966</v>
      </c>
    </row>
    <row r="557" spans="1:29" ht="20.25" customHeight="1">
      <c r="A557" s="217"/>
      <c r="E557" s="187">
        <v>111.4</v>
      </c>
      <c r="F557" s="178">
        <v>2023</v>
      </c>
      <c r="G557" s="188">
        <v>3285400000</v>
      </c>
      <c r="H557" s="188">
        <v>596500000</v>
      </c>
      <c r="I557" s="188">
        <v>241263000</v>
      </c>
      <c r="J557" s="188">
        <v>162800000</v>
      </c>
      <c r="K557" s="188">
        <v>512200000</v>
      </c>
      <c r="L557" s="188">
        <v>1910473000</v>
      </c>
      <c r="M557" s="194">
        <f>Tableau3[[#This Row],[Fonds propres]]/Tableau3[[#This Row],[Titres]]</f>
        <v>75.46956718292715</v>
      </c>
      <c r="N557" s="190">
        <f>J557/L559</f>
        <v>9.2819224298111624E-2</v>
      </c>
      <c r="O557" s="190">
        <f>(I557*0.7)/(K559+L559)</f>
        <v>7.4252393974833589E-2</v>
      </c>
      <c r="P557" s="188">
        <v>25314482</v>
      </c>
      <c r="Q557" s="188">
        <f>P557*E557</f>
        <v>2820033294.8000002</v>
      </c>
      <c r="R557" s="195">
        <f>Q557/L557</f>
        <v>1.4760916771919834</v>
      </c>
      <c r="S557" s="197">
        <f>(Q557+K557)/H557</f>
        <v>5.5863089602682319</v>
      </c>
      <c r="T557" s="180">
        <v>62000000</v>
      </c>
      <c r="U557" s="189">
        <f>IFERROR(IF(Tableau3[[#This Row],[Dettes]]=0,"",(Tableau3[[#This Row],[Dettes]]/Tableau3[[#This Row],[EBE]])),"")</f>
        <v>0.8586756077116513</v>
      </c>
      <c r="V557" s="190">
        <f>IFERROR(Tableau3[[#This Row],[Fonds propres]]/Tableau3[[#This Row],[Total Bilan]],"")</f>
        <v>0.40135144219659252</v>
      </c>
      <c r="W557" s="180">
        <v>4760100000</v>
      </c>
      <c r="X557" s="191"/>
      <c r="Y557" s="180">
        <v>5334</v>
      </c>
      <c r="Z557" s="192">
        <f>IFERROR(Tableau3[[#This Row],[Chiffre d''affaires]]/Tableau3[[#This Row],[Salariés]],"")</f>
        <v>615935.50806149235</v>
      </c>
      <c r="AA557" s="197"/>
      <c r="AB557" s="197"/>
      <c r="AC557" s="177" t="s">
        <v>4939</v>
      </c>
    </row>
    <row r="558" spans="1:29" ht="20.25" customHeight="1">
      <c r="A558" s="217"/>
      <c r="E558" s="187"/>
      <c r="G558" s="202">
        <f>(G557/G559)-1</f>
        <v>0.2374387947269303</v>
      </c>
      <c r="H558" s="203">
        <f>(H557/H559)-1</f>
        <v>0.25843881856540074</v>
      </c>
      <c r="I558" s="203">
        <f>(I557/I559)-1</f>
        <v>0.55653548387096774</v>
      </c>
      <c r="J558" s="203">
        <f>(J557/J559)-1</f>
        <v>0.44454303460514644</v>
      </c>
      <c r="K558" s="188"/>
      <c r="L558" s="188"/>
      <c r="M558" s="194"/>
      <c r="N558" s="190"/>
      <c r="O558" s="190"/>
      <c r="P558" s="188"/>
      <c r="Q558" s="188"/>
      <c r="R558" s="195"/>
      <c r="S558" s="197"/>
      <c r="T558" s="180"/>
      <c r="U558" s="189" t="str">
        <f>IFERROR(IF(Tableau3[[#This Row],[Dettes]]=0,"",(Tableau3[[#This Row],[Dettes]]/Tableau3[[#This Row],[EBE]])),"")</f>
        <v/>
      </c>
      <c r="V558" s="190" t="str">
        <f>IFERROR(Tableau3[[#This Row],[Fonds propres]]/Tableau3[[#This Row],[Total Bilan]],"")</f>
        <v/>
      </c>
      <c r="W558" s="180"/>
      <c r="X558" s="191"/>
      <c r="Y558" s="180"/>
      <c r="Z558" s="192" t="str">
        <f>IFERROR(Tableau3[[#This Row],[Chiffre d''affaires]]/Tableau3[[#This Row],[Salariés]],"")</f>
        <v/>
      </c>
      <c r="AA558" s="197"/>
      <c r="AB558" s="197"/>
      <c r="AC558" s="6" t="s">
        <v>457</v>
      </c>
    </row>
    <row r="559" spans="1:29" ht="20.25" customHeight="1">
      <c r="A559" s="217"/>
      <c r="E559" s="187">
        <v>124</v>
      </c>
      <c r="F559" s="178">
        <v>2022</v>
      </c>
      <c r="G559" s="188">
        <v>2655000000</v>
      </c>
      <c r="H559" s="188">
        <v>474000000</v>
      </c>
      <c r="I559" s="188">
        <v>155000000</v>
      </c>
      <c r="J559" s="188">
        <v>112700000</v>
      </c>
      <c r="K559" s="188">
        <v>520513000</v>
      </c>
      <c r="L559" s="188">
        <v>1753947000</v>
      </c>
      <c r="M559" s="194">
        <f>Tableau3[[#This Row],[Fonds propres]]/Tableau3[[#This Row],[Titres]]</f>
        <v>69.286308129868118</v>
      </c>
      <c r="N559" s="190">
        <f>J559/L561</f>
        <v>7.1351693573915798E-2</v>
      </c>
      <c r="O559" s="190">
        <f>(I559*0.7)/(K561+L561)</f>
        <v>5.5014704391035389E-2</v>
      </c>
      <c r="P559" s="188">
        <v>25314482</v>
      </c>
      <c r="Q559" s="188">
        <f>P559*E559</f>
        <v>3138995768</v>
      </c>
      <c r="R559" s="195">
        <f>Q559/L559</f>
        <v>1.7896753824374396</v>
      </c>
      <c r="S559" s="197">
        <f>(Q559+K559)/H559</f>
        <v>7.7204826329113923</v>
      </c>
      <c r="T559" s="180">
        <v>150896000</v>
      </c>
      <c r="U559" s="189">
        <f>IFERROR(IF(Tableau3[[#This Row],[Dettes]]=0,"",(Tableau3[[#This Row],[Dettes]]/Tableau3[[#This Row],[EBE]])),"")</f>
        <v>1.0981286919831224</v>
      </c>
      <c r="V559" s="190">
        <f>IFERROR(Tableau3[[#This Row],[Fonds propres]]/Tableau3[[#This Row],[Total Bilan]],"")</f>
        <v>0.38891902079914853</v>
      </c>
      <c r="W559" s="180">
        <v>4509800000</v>
      </c>
      <c r="X559" s="191"/>
      <c r="Y559" s="180">
        <v>5153</v>
      </c>
      <c r="Z559" s="192">
        <f>IFERROR(Tableau3[[#This Row],[Chiffre d''affaires]]/Tableau3[[#This Row],[Salariés]],"")</f>
        <v>515233.84436250728</v>
      </c>
      <c r="AA559" s="197"/>
      <c r="AB559" s="197"/>
      <c r="AC559" s="6" t="s">
        <v>4974</v>
      </c>
    </row>
    <row r="560" spans="1:29" ht="20.25" customHeight="1">
      <c r="A560" s="217"/>
      <c r="E560" s="187"/>
      <c r="G560" s="202">
        <f>(G559/G561)-1</f>
        <v>5.7516131602007414E-2</v>
      </c>
      <c r="H560" s="203">
        <f>(H559/H561)-1</f>
        <v>1.0014915832090354E-2</v>
      </c>
      <c r="I560" s="203">
        <f>(I559/I561)-1</f>
        <v>8.1646894626657307E-2</v>
      </c>
      <c r="J560" s="203">
        <f>(J559/J561)-1</f>
        <v>-1.6579406631762605E-2</v>
      </c>
      <c r="K560" s="188"/>
      <c r="L560" s="188"/>
      <c r="M560" s="194"/>
      <c r="N560" s="190"/>
      <c r="O560" s="190"/>
      <c r="P560" s="188"/>
      <c r="Q560" s="188"/>
      <c r="R560" s="195"/>
      <c r="S560" s="197"/>
      <c r="T560" s="180"/>
      <c r="U560" s="189" t="str">
        <f>IFERROR(IF(Tableau3[[#This Row],[Dettes]]=0,"",(Tableau3[[#This Row],[Dettes]]/Tableau3[[#This Row],[EBE]])),"")</f>
        <v/>
      </c>
      <c r="V560" s="190" t="str">
        <f>IFERROR(Tableau3[[#This Row],[Fonds propres]]/Tableau3[[#This Row],[Total Bilan]],"")</f>
        <v/>
      </c>
      <c r="W560" s="180"/>
      <c r="X560" s="191"/>
      <c r="Y560" s="180"/>
      <c r="Z560" s="192" t="str">
        <f>IFERROR(Tableau3[[#This Row],[Chiffre d''affaires]]/Tableau3[[#This Row],[Salariés]],"")</f>
        <v/>
      </c>
      <c r="AA560" s="197"/>
      <c r="AB560" s="197"/>
      <c r="AC560" s="10" t="s">
        <v>458</v>
      </c>
    </row>
    <row r="561" spans="1:29" ht="20.25" customHeight="1">
      <c r="A561" s="217"/>
      <c r="E561" s="187"/>
      <c r="F561" s="178">
        <v>2021</v>
      </c>
      <c r="G561" s="188">
        <v>2510600000</v>
      </c>
      <c r="H561" s="188">
        <v>469300000</v>
      </c>
      <c r="I561" s="188">
        <v>143300000</v>
      </c>
      <c r="J561" s="188">
        <v>114600000</v>
      </c>
      <c r="K561" s="188">
        <v>392700000</v>
      </c>
      <c r="L561" s="188">
        <v>1579500000</v>
      </c>
      <c r="M561" s="194"/>
      <c r="N561" s="190">
        <f>J561/L563</f>
        <v>7.8091993185689948E-2</v>
      </c>
      <c r="O561" s="190">
        <f>(I561*0.7)/(K563+L563)</f>
        <v>5.1270125223613593E-2</v>
      </c>
      <c r="P561" s="188"/>
      <c r="Q561" s="188"/>
      <c r="R561" s="195"/>
      <c r="S561" s="197"/>
      <c r="T561" s="180">
        <v>150896000</v>
      </c>
      <c r="U561" s="189">
        <f>IFERROR(IF(Tableau3[[#This Row],[Dettes]]=0,"",(Tableau3[[#This Row],[Dettes]]/Tableau3[[#This Row],[EBE]])),"")</f>
        <v>0.83677818026848494</v>
      </c>
      <c r="V561" s="190">
        <f>IFERROR(Tableau3[[#This Row],[Fonds propres]]/Tableau3[[#This Row],[Total Bilan]],"")</f>
        <v>0.39003852232319242</v>
      </c>
      <c r="W561" s="180">
        <v>4049600000</v>
      </c>
      <c r="X561" s="191"/>
      <c r="Y561" s="180">
        <v>4880</v>
      </c>
      <c r="Z561" s="192">
        <f>IFERROR(Tableau3[[#This Row],[Chiffre d''affaires]]/Tableau3[[#This Row],[Salariés]],"")</f>
        <v>514467.21311475412</v>
      </c>
      <c r="AA561" s="197"/>
      <c r="AB561" s="197"/>
      <c r="AC561" s="10" t="s">
        <v>4941</v>
      </c>
    </row>
    <row r="562" spans="1:29" ht="20.25" customHeight="1">
      <c r="A562" s="217"/>
      <c r="E562" s="187"/>
      <c r="G562" s="202">
        <f>(G561/G563)-1</f>
        <v>0.14336460515529637</v>
      </c>
      <c r="H562" s="203">
        <f>(H561/H563)-1</f>
        <v>0.27009472259810563</v>
      </c>
      <c r="I562" s="203">
        <f>(I561/I563)-1</f>
        <v>1.228615863141524</v>
      </c>
      <c r="J562" s="203">
        <f>(J561/J563)-1</f>
        <v>1.2738095238095237</v>
      </c>
      <c r="K562" s="188"/>
      <c r="L562" s="188"/>
      <c r="M562" s="194"/>
      <c r="N562" s="190"/>
      <c r="O562" s="190"/>
      <c r="P562" s="188"/>
      <c r="Q562" s="188"/>
      <c r="R562" s="195"/>
      <c r="S562" s="197"/>
      <c r="T562" s="180"/>
      <c r="U562" s="189" t="str">
        <f>IFERROR(IF(Tableau3[[#This Row],[Dettes]]=0,"",(Tableau3[[#This Row],[Dettes]]/Tableau3[[#This Row],[EBE]])),"")</f>
        <v/>
      </c>
      <c r="V562" s="190" t="str">
        <f>IFERROR(Tableau3[[#This Row],[Fonds propres]]/Tableau3[[#This Row],[Total Bilan]],"")</f>
        <v/>
      </c>
      <c r="W562" s="180"/>
      <c r="X562" s="191"/>
      <c r="Y562" s="180"/>
      <c r="Z562" s="192" t="str">
        <f>IFERROR(Tableau3[[#This Row],[Chiffre d''affaires]]/Tableau3[[#This Row],[Salariés]],"")</f>
        <v/>
      </c>
      <c r="AA562" s="197"/>
      <c r="AB562" s="197"/>
      <c r="AC562" s="177" t="s">
        <v>459</v>
      </c>
    </row>
    <row r="563" spans="1:29" ht="20.25" customHeight="1">
      <c r="A563" s="217"/>
      <c r="E563" s="187"/>
      <c r="F563" s="178">
        <v>2020</v>
      </c>
      <c r="G563" s="188">
        <v>2195800000</v>
      </c>
      <c r="H563" s="188">
        <v>369500000</v>
      </c>
      <c r="I563" s="188">
        <v>64300000</v>
      </c>
      <c r="J563" s="188">
        <v>50400000</v>
      </c>
      <c r="K563" s="188">
        <v>489000000</v>
      </c>
      <c r="L563" s="188">
        <v>1467500000</v>
      </c>
      <c r="M563" s="194"/>
      <c r="N563" s="190">
        <f>J563/L565</f>
        <v>3.5109717868338559E-2</v>
      </c>
      <c r="O563" s="190">
        <f>(I563*0.7)/(K565+L565)</f>
        <v>2.0993470149253731E-2</v>
      </c>
      <c r="P563" s="188"/>
      <c r="Q563" s="188"/>
      <c r="R563" s="195"/>
      <c r="S563" s="197"/>
      <c r="T563" s="180">
        <v>150896000</v>
      </c>
      <c r="U563" s="189">
        <f>IFERROR(IF(Tableau3[[#This Row],[Dettes]]=0,"",(Tableau3[[#This Row],[Dettes]]/Tableau3[[#This Row],[EBE]])),"")</f>
        <v>1.3234100135317997</v>
      </c>
      <c r="V563" s="190">
        <f>IFERROR(Tableau3[[#This Row],[Fonds propres]]/Tableau3[[#This Row],[Total Bilan]],"")</f>
        <v>0.37436224489795916</v>
      </c>
      <c r="W563" s="180">
        <v>3920000000</v>
      </c>
      <c r="X563" s="191"/>
      <c r="Y563" s="180">
        <v>4976</v>
      </c>
      <c r="Z563" s="192">
        <f>IFERROR(Tableau3[[#This Row],[Chiffre d''affaires]]/Tableau3[[#This Row],[Salariés]],"")</f>
        <v>441278.13504823152</v>
      </c>
      <c r="AA563" s="197"/>
      <c r="AB563" s="197"/>
      <c r="AC563" s="177" t="s">
        <v>460</v>
      </c>
    </row>
    <row r="564" spans="1:29" ht="20.25" customHeight="1">
      <c r="A564" s="217"/>
      <c r="E564" s="187"/>
      <c r="G564" s="202">
        <f>(G563/G565)-1</f>
        <v>-0.16254767353165522</v>
      </c>
      <c r="H564" s="203">
        <f>(H563/H565)-1</f>
        <v>-0.15446224256292906</v>
      </c>
      <c r="I564" s="203">
        <f>(I563/I565)-1</f>
        <v>-0.54429482636428062</v>
      </c>
      <c r="J564" s="203">
        <f>(J563/J565)-1</f>
        <v>-0.5968</v>
      </c>
      <c r="K564" s="188"/>
      <c r="L564" s="188"/>
      <c r="M564" s="194"/>
      <c r="N564" s="190"/>
      <c r="O564" s="190"/>
      <c r="P564" s="188"/>
      <c r="Q564" s="188"/>
      <c r="R564" s="195"/>
      <c r="S564" s="197"/>
      <c r="T564" s="180"/>
      <c r="U564" s="189" t="str">
        <f>IFERROR(IF(Tableau3[[#This Row],[Dettes]]=0,"",(Tableau3[[#This Row],[Dettes]]/Tableau3[[#This Row],[EBE]])),"")</f>
        <v/>
      </c>
      <c r="V564" s="190" t="str">
        <f>IFERROR(Tableau3[[#This Row],[Fonds propres]]/Tableau3[[#This Row],[Total Bilan]],"")</f>
        <v/>
      </c>
      <c r="W564" s="180"/>
      <c r="X564" s="191"/>
      <c r="Y564" s="180"/>
      <c r="Z564" s="192" t="str">
        <f>IFERROR(Tableau3[[#This Row],[Chiffre d''affaires]]/Tableau3[[#This Row],[Salariés]],"")</f>
        <v/>
      </c>
      <c r="AA564" s="197"/>
      <c r="AB564" s="197"/>
      <c r="AC564" s="177" t="s">
        <v>461</v>
      </c>
    </row>
    <row r="565" spans="1:29" ht="20.25" customHeight="1">
      <c r="A565" s="217"/>
      <c r="E565" s="187"/>
      <c r="F565" s="178">
        <v>2019</v>
      </c>
      <c r="G565" s="188">
        <v>2622000000</v>
      </c>
      <c r="H565" s="188">
        <v>437000000</v>
      </c>
      <c r="I565" s="188">
        <v>141100000</v>
      </c>
      <c r="J565" s="188">
        <v>125000000</v>
      </c>
      <c r="K565" s="188">
        <v>708500000</v>
      </c>
      <c r="L565" s="188">
        <v>1435500000</v>
      </c>
      <c r="M565" s="194"/>
      <c r="N565" s="190">
        <f>J565/L567</f>
        <v>8.9196517767946334E-2</v>
      </c>
      <c r="O565" s="190">
        <f>(I565*0.7)/(K567+L567)</f>
        <v>5.0464949928469241E-2</v>
      </c>
      <c r="P565" s="188"/>
      <c r="Q565" s="188"/>
      <c r="R565" s="195"/>
      <c r="S565" s="197"/>
      <c r="T565" s="180">
        <v>187112000</v>
      </c>
      <c r="U565" s="189">
        <f>IFERROR(IF(Tableau3[[#This Row],[Dettes]]=0,"",(Tableau3[[#This Row],[Dettes]]/Tableau3[[#This Row],[EBE]])),"")</f>
        <v>1.6212814645308924</v>
      </c>
      <c r="V565" s="190">
        <f>IFERROR(Tableau3[[#This Row],[Fonds propres]]/Tableau3[[#This Row],[Total Bilan]],"")</f>
        <v>0.36434010152284263</v>
      </c>
      <c r="W565" s="180">
        <v>3940000000</v>
      </c>
      <c r="X565" s="191"/>
      <c r="Y565" s="180">
        <v>5089</v>
      </c>
      <c r="Z565" s="192">
        <f>IFERROR(Tableau3[[#This Row],[Chiffre d''affaires]]/Tableau3[[#This Row],[Salariés]],"")</f>
        <v>515228.92513263901</v>
      </c>
      <c r="AA565" s="197"/>
      <c r="AB565" s="197"/>
      <c r="AC565" s="177" t="s">
        <v>462</v>
      </c>
    </row>
    <row r="566" spans="1:29" ht="20.25" customHeight="1">
      <c r="A566" s="217"/>
      <c r="E566" s="187"/>
      <c r="G566" s="202">
        <f>(G565/G567)-1</f>
        <v>-8.9953889182855518E-3</v>
      </c>
      <c r="H566" s="203">
        <f>(H565/H567)-1</f>
        <v>-4.7722815428197896E-2</v>
      </c>
      <c r="I566" s="203">
        <f>(I565/I567)-1</f>
        <v>-0.2801020408163265</v>
      </c>
      <c r="J566" s="203">
        <f>(J565/J567)-1</f>
        <v>-0.19665809768637532</v>
      </c>
      <c r="K566" s="188"/>
      <c r="L566" s="188"/>
      <c r="M566" s="194"/>
      <c r="N566" s="190"/>
      <c r="O566" s="190"/>
      <c r="P566" s="188"/>
      <c r="Q566" s="188"/>
      <c r="R566" s="195"/>
      <c r="S566" s="197"/>
      <c r="T566" s="180"/>
      <c r="U566" s="189" t="str">
        <f>IFERROR(IF(Tableau3[[#This Row],[Dettes]]=0,"",(Tableau3[[#This Row],[Dettes]]/Tableau3[[#This Row],[EBE]])),"")</f>
        <v/>
      </c>
      <c r="V566" s="190" t="str">
        <f>IFERROR(Tableau3[[#This Row],[Fonds propres]]/Tableau3[[#This Row],[Total Bilan]],"")</f>
        <v/>
      </c>
      <c r="W566" s="180"/>
      <c r="X566" s="191"/>
      <c r="Y566" s="180"/>
      <c r="Z566" s="192" t="str">
        <f>IFERROR(Tableau3[[#This Row],[Chiffre d''affaires]]/Tableau3[[#This Row],[Salariés]],"")</f>
        <v/>
      </c>
      <c r="AA566" s="197"/>
      <c r="AB566" s="197"/>
      <c r="AC566" s="177" t="s">
        <v>463</v>
      </c>
    </row>
    <row r="567" spans="1:29" ht="20.25" customHeight="1">
      <c r="A567" s="217"/>
      <c r="E567" s="187"/>
      <c r="F567" s="178">
        <v>2018</v>
      </c>
      <c r="G567" s="188">
        <v>2645800000</v>
      </c>
      <c r="H567" s="188">
        <v>458900000</v>
      </c>
      <c r="I567" s="188">
        <v>196000000</v>
      </c>
      <c r="J567" s="188">
        <v>155600000</v>
      </c>
      <c r="K567" s="188">
        <v>555800000</v>
      </c>
      <c r="L567" s="188">
        <v>1401400000</v>
      </c>
      <c r="M567" s="194"/>
      <c r="N567" s="190">
        <f>J567/L569</f>
        <v>0.11771826297473142</v>
      </c>
      <c r="O567" s="190">
        <f>(I567*0.7)/(K569+L569)</f>
        <v>8.5349922239502329E-2</v>
      </c>
      <c r="P567" s="188"/>
      <c r="Q567" s="188"/>
      <c r="R567" s="195"/>
      <c r="S567" s="197"/>
      <c r="T567" s="180">
        <v>-144850000</v>
      </c>
      <c r="U567" s="189">
        <f>IFERROR(IF(Tableau3[[#This Row],[Dettes]]=0,"",(Tableau3[[#This Row],[Dettes]]/Tableau3[[#This Row],[EBE]])),"")</f>
        <v>1.2111571148398343</v>
      </c>
      <c r="V567" s="190">
        <f>IFERROR(Tableau3[[#This Row],[Fonds propres]]/Tableau3[[#This Row],[Total Bilan]],"")</f>
        <v>0.36685863874345548</v>
      </c>
      <c r="W567" s="180">
        <v>3820000000</v>
      </c>
      <c r="X567" s="191"/>
      <c r="Y567" s="180">
        <v>4937</v>
      </c>
      <c r="Z567" s="192">
        <f>IFERROR(Tableau3[[#This Row],[Chiffre d''affaires]]/Tableau3[[#This Row],[Salariés]],"")</f>
        <v>535912.49746809807</v>
      </c>
      <c r="AA567" s="197"/>
      <c r="AB567" s="197"/>
      <c r="AC567" s="177" t="s">
        <v>4973</v>
      </c>
    </row>
    <row r="568" spans="1:29" ht="20.25" customHeight="1">
      <c r="A568" s="217"/>
      <c r="E568" s="187"/>
      <c r="G568" s="202">
        <f>(G567/G569)-1</f>
        <v>0.12300509337860777</v>
      </c>
      <c r="H568" s="203">
        <f>(H567/H569)-1</f>
        <v>7.4643249176729043E-3</v>
      </c>
      <c r="I568" s="203">
        <f>(I567/I569)-1</f>
        <v>-0.14967462039045554</v>
      </c>
      <c r="J568" s="203">
        <f>(J567/J569)-1</f>
        <v>3.2237266279819821E-3</v>
      </c>
      <c r="K568" s="188"/>
      <c r="L568" s="188"/>
      <c r="M568" s="194"/>
      <c r="N568" s="190"/>
      <c r="O568" s="190"/>
      <c r="P568" s="188"/>
      <c r="Q568" s="188"/>
      <c r="R568" s="195"/>
      <c r="S568" s="197"/>
      <c r="T568" s="180"/>
      <c r="U568" s="189" t="str">
        <f>IFERROR(IF(Tableau3[[#This Row],[Dettes]]=0,"",(Tableau3[[#This Row],[Dettes]]/Tableau3[[#This Row],[EBE]])),"")</f>
        <v/>
      </c>
      <c r="V568" s="190" t="str">
        <f>IFERROR(Tableau3[[#This Row],[Fonds propres]]/Tableau3[[#This Row],[Total Bilan]],"")</f>
        <v/>
      </c>
      <c r="W568" s="180"/>
      <c r="X568" s="191"/>
      <c r="Y568" s="180"/>
      <c r="Z568" s="192" t="str">
        <f>IFERROR(Tableau3[[#This Row],[Chiffre d''affaires]]/Tableau3[[#This Row],[Salariés]],"")</f>
        <v/>
      </c>
      <c r="AA568" s="197"/>
      <c r="AB568" s="197"/>
      <c r="AC568" s="177" t="s">
        <v>464</v>
      </c>
    </row>
    <row r="569" spans="1:29" ht="20.25" customHeight="1">
      <c r="A569" s="217"/>
      <c r="E569" s="187"/>
      <c r="F569" s="178">
        <v>2017</v>
      </c>
      <c r="G569" s="188">
        <v>2356000000</v>
      </c>
      <c r="H569" s="188">
        <v>455500000</v>
      </c>
      <c r="I569" s="188">
        <v>230500000</v>
      </c>
      <c r="J569" s="188">
        <v>155100000</v>
      </c>
      <c r="K569" s="188">
        <v>285700000</v>
      </c>
      <c r="L569" s="188">
        <v>1321800000</v>
      </c>
      <c r="M569" s="194"/>
      <c r="N569" s="190">
        <f>J569/L571</f>
        <v>0.12706865475995413</v>
      </c>
      <c r="O569" s="190">
        <f>(I569*0.7)/(K571+L571)</f>
        <v>0.11761918647033096</v>
      </c>
      <c r="P569" s="188"/>
      <c r="Q569" s="188"/>
      <c r="R569" s="195"/>
      <c r="S569" s="197"/>
      <c r="T569" s="180">
        <v>-90873000</v>
      </c>
      <c r="U569" s="189">
        <f>IFERROR(IF(Tableau3[[#This Row],[Dettes]]=0,"",(Tableau3[[#This Row],[Dettes]]/Tableau3[[#This Row],[EBE]])),"")</f>
        <v>0.62722283205268936</v>
      </c>
      <c r="V569" s="190">
        <f>IFERROR(Tableau3[[#This Row],[Fonds propres]]/Tableau3[[#This Row],[Total Bilan]],"")</f>
        <v>0.3765811965811966</v>
      </c>
      <c r="W569" s="180">
        <v>3510000000</v>
      </c>
      <c r="X569" s="191"/>
      <c r="Y569" s="180">
        <v>4440</v>
      </c>
      <c r="Z569" s="192">
        <f>IFERROR(Tableau3[[#This Row],[Chiffre d''affaires]]/Tableau3[[#This Row],[Salariés]],"")</f>
        <v>530630.63063063065</v>
      </c>
      <c r="AA569" s="197"/>
      <c r="AB569" s="197"/>
      <c r="AC569" s="177" t="s">
        <v>465</v>
      </c>
    </row>
    <row r="570" spans="1:29" ht="20.25" customHeight="1">
      <c r="A570" s="217"/>
      <c r="E570" s="187"/>
      <c r="G570" s="202">
        <f>(G569/G571)-1</f>
        <v>0.19098170053584074</v>
      </c>
      <c r="H570" s="203">
        <f>(H569/H571)-1</f>
        <v>1.8104604380867251E-2</v>
      </c>
      <c r="I570" s="203">
        <f>(I569/I571)-1</f>
        <v>1.5418502202643181E-2</v>
      </c>
      <c r="J570" s="203">
        <f>(J569/J571)-1</f>
        <v>-1.2878300064391723E-3</v>
      </c>
      <c r="K570" s="188"/>
      <c r="L570" s="188"/>
      <c r="M570" s="194"/>
      <c r="N570" s="190"/>
      <c r="O570" s="190"/>
      <c r="P570" s="188"/>
      <c r="Q570" s="188"/>
      <c r="R570" s="195"/>
      <c r="S570" s="197"/>
      <c r="T570" s="180"/>
      <c r="U570" s="189" t="str">
        <f>IFERROR(IF(Tableau3[[#This Row],[Dettes]]=0,"",(Tableau3[[#This Row],[Dettes]]/Tableau3[[#This Row],[EBE]])),"")</f>
        <v/>
      </c>
      <c r="V570" s="190" t="str">
        <f>IFERROR(Tableau3[[#This Row],[Fonds propres]]/Tableau3[[#This Row],[Total Bilan]],"")</f>
        <v/>
      </c>
      <c r="W570" s="180"/>
      <c r="X570" s="191"/>
      <c r="Y570" s="180"/>
      <c r="Z570" s="192" t="str">
        <f>IFERROR(Tableau3[[#This Row],[Chiffre d''affaires]]/Tableau3[[#This Row],[Salariés]],"")</f>
        <v/>
      </c>
      <c r="AA570" s="197"/>
      <c r="AB570" s="197"/>
      <c r="AC570" s="177" t="s">
        <v>4940</v>
      </c>
    </row>
    <row r="571" spans="1:29" ht="20.25" customHeight="1">
      <c r="A571" s="217"/>
      <c r="E571" s="187"/>
      <c r="F571" s="178">
        <v>2016</v>
      </c>
      <c r="G571" s="188">
        <v>1978200000</v>
      </c>
      <c r="H571" s="188">
        <v>447400000</v>
      </c>
      <c r="I571" s="188">
        <v>227000000</v>
      </c>
      <c r="J571" s="188">
        <v>155300000</v>
      </c>
      <c r="K571" s="188">
        <v>151200000</v>
      </c>
      <c r="L571" s="188">
        <v>1220600000</v>
      </c>
      <c r="M571" s="194"/>
      <c r="N571" s="190">
        <f>J571/L573</f>
        <v>0.13708182540383088</v>
      </c>
      <c r="O571" s="190">
        <f>(I571*0.7)/(K573+L573)</f>
        <v>0.11330576155162578</v>
      </c>
      <c r="P571" s="188"/>
      <c r="Q571" s="188"/>
      <c r="R571" s="195"/>
      <c r="S571" s="197"/>
      <c r="T571" s="180">
        <v>149937000</v>
      </c>
      <c r="U571" s="189">
        <f>IFERROR(IF(Tableau3[[#This Row],[Dettes]]=0,"",(Tableau3[[#This Row],[Dettes]]/Tableau3[[#This Row],[EBE]])),"")</f>
        <v>0.33795261510952168</v>
      </c>
      <c r="V571" s="190" t="str">
        <f>IFERROR(Tableau3[[#This Row],[Fonds propres]]/Tableau3[[#This Row],[Total Bilan]],"")</f>
        <v/>
      </c>
      <c r="W571" s="180"/>
      <c r="X571" s="191"/>
      <c r="Y571" s="180">
        <v>4232</v>
      </c>
      <c r="Z571" s="192">
        <f>IFERROR(Tableau3[[#This Row],[Chiffre d''affaires]]/Tableau3[[#This Row],[Salariés]],"")</f>
        <v>467438.56332703214</v>
      </c>
      <c r="AA571" s="197"/>
      <c r="AB571" s="197"/>
      <c r="AC571" s="177" t="s">
        <v>4938</v>
      </c>
    </row>
    <row r="572" spans="1:29" ht="20.25" customHeight="1">
      <c r="A572" s="217"/>
      <c r="E572" s="187"/>
      <c r="G572" s="202">
        <f>(G571/G573)-1</f>
        <v>-0.13468352215563628</v>
      </c>
      <c r="H572" s="203">
        <f>(H571/H573)-1</f>
        <v>-8.5445625511038403E-2</v>
      </c>
      <c r="I572" s="203">
        <f>(I571/I573)-1</f>
        <v>-0.15676077265973254</v>
      </c>
      <c r="J572" s="203">
        <f>(J571/J573)-1</f>
        <v>-0.22038152610441764</v>
      </c>
      <c r="K572" s="188"/>
      <c r="L572" s="188"/>
      <c r="M572" s="194"/>
      <c r="N572" s="190"/>
      <c r="O572" s="190"/>
      <c r="P572" s="188"/>
      <c r="Q572" s="188"/>
      <c r="R572" s="195"/>
      <c r="S572" s="197"/>
      <c r="T572" s="180"/>
      <c r="U572" s="189" t="str">
        <f>IFERROR(IF(Tableau3[[#This Row],[Dettes]]=0,"",(Tableau3[[#This Row],[Dettes]]/Tableau3[[#This Row],[EBE]])),"")</f>
        <v/>
      </c>
      <c r="V572" s="190" t="str">
        <f>IFERROR(Tableau3[[#This Row],[Fonds propres]]/Tableau3[[#This Row],[Total Bilan]],"")</f>
        <v/>
      </c>
      <c r="W572" s="180"/>
      <c r="X572" s="191"/>
      <c r="Y572" s="180"/>
      <c r="Z572" s="192" t="str">
        <f>IFERROR(Tableau3[[#This Row],[Chiffre d''affaires]]/Tableau3[[#This Row],[Salariés]],"")</f>
        <v/>
      </c>
      <c r="AA572" s="197"/>
      <c r="AB572" s="197"/>
      <c r="AC572" s="177" t="s">
        <v>466</v>
      </c>
    </row>
    <row r="573" spans="1:29" ht="20.25" customHeight="1">
      <c r="A573" s="217"/>
      <c r="E573" s="187"/>
      <c r="F573" s="178">
        <v>2015</v>
      </c>
      <c r="G573" s="188">
        <v>2286100000</v>
      </c>
      <c r="H573" s="188">
        <v>489200000</v>
      </c>
      <c r="I573" s="188">
        <v>269200000</v>
      </c>
      <c r="J573" s="188">
        <v>199200000</v>
      </c>
      <c r="K573" s="188">
        <v>269500000</v>
      </c>
      <c r="L573" s="188">
        <v>1132900000</v>
      </c>
      <c r="M573" s="194"/>
      <c r="N573" s="190">
        <f>J573/L575</f>
        <v>0.20188507145028883</v>
      </c>
      <c r="O573" s="190">
        <f>(I573*0.7)/(K575+L575)</f>
        <v>0.16923215087561741</v>
      </c>
      <c r="P573" s="188"/>
      <c r="Q573" s="188"/>
      <c r="R573" s="195"/>
      <c r="S573" s="197"/>
      <c r="T573" s="180">
        <v>-224941000</v>
      </c>
      <c r="U573" s="189">
        <f>IFERROR(IF(Tableau3[[#This Row],[Dettes]]=0,"",(Tableau3[[#This Row],[Dettes]]/Tableau3[[#This Row],[EBE]])),"")</f>
        <v>0.55089942763695832</v>
      </c>
      <c r="V573" s="190" t="str">
        <f>IFERROR(Tableau3[[#This Row],[Fonds propres]]/Tableau3[[#This Row],[Total Bilan]],"")</f>
        <v/>
      </c>
      <c r="W573" s="180"/>
      <c r="X573" s="191"/>
      <c r="Y573" s="180">
        <v>4099</v>
      </c>
      <c r="Z573" s="192">
        <f>IFERROR(Tableau3[[#This Row],[Chiffre d''affaires]]/Tableau3[[#This Row],[Salariés]],"")</f>
        <v>557721.39546230785</v>
      </c>
      <c r="AA573" s="197"/>
      <c r="AB573" s="197"/>
      <c r="AC573" s="177" t="s">
        <v>4937</v>
      </c>
    </row>
    <row r="574" spans="1:29" ht="20.25" customHeight="1">
      <c r="A574" s="217"/>
      <c r="E574" s="187"/>
      <c r="G574" s="202">
        <f>(G573/G575)-1</f>
        <v>-5.5213456213580203E-2</v>
      </c>
      <c r="H574" s="203">
        <f>(H573/H575)-1</f>
        <v>0.10279531109107309</v>
      </c>
      <c r="I574" s="203">
        <f>(I573/I575)-1</f>
        <v>0.20447427293064879</v>
      </c>
      <c r="J574" s="203">
        <f>(J573/J575)-1</f>
        <v>0.17939609236234455</v>
      </c>
      <c r="K574" s="188"/>
      <c r="L574" s="188"/>
      <c r="M574" s="194"/>
      <c r="N574" s="190"/>
      <c r="O574" s="190"/>
      <c r="P574" s="188"/>
      <c r="Q574" s="188"/>
      <c r="R574" s="195"/>
      <c r="S574" s="197"/>
      <c r="T574" s="180"/>
      <c r="U574" s="189" t="str">
        <f>IFERROR(IF(Tableau3[[#This Row],[Dettes]]=0,"",(Tableau3[[#This Row],[Dettes]]/Tableau3[[#This Row],[EBE]])),"")</f>
        <v/>
      </c>
      <c r="V574" s="190" t="str">
        <f>IFERROR(Tableau3[[#This Row],[Fonds propres]]/Tableau3[[#This Row],[Total Bilan]],"")</f>
        <v/>
      </c>
      <c r="W574" s="180"/>
      <c r="X574" s="191"/>
      <c r="Y574" s="180"/>
      <c r="Z574" s="192" t="str">
        <f>IFERROR(Tableau3[[#This Row],[Chiffre d''affaires]]/Tableau3[[#This Row],[Salariés]],"")</f>
        <v/>
      </c>
      <c r="AA574" s="197"/>
      <c r="AB574" s="197"/>
      <c r="AC574" s="177" t="s">
        <v>3102</v>
      </c>
    </row>
    <row r="575" spans="1:29" ht="20.25" customHeight="1">
      <c r="A575" s="217"/>
      <c r="E575" s="187"/>
      <c r="F575" s="178">
        <v>2014</v>
      </c>
      <c r="G575" s="188">
        <v>2419700000</v>
      </c>
      <c r="H575" s="188">
        <v>443600000</v>
      </c>
      <c r="I575" s="188">
        <v>223500000</v>
      </c>
      <c r="J575" s="188">
        <v>168900000</v>
      </c>
      <c r="K575" s="188">
        <v>126800000</v>
      </c>
      <c r="L575" s="188">
        <v>986700000</v>
      </c>
      <c r="M575" s="194"/>
      <c r="N575" s="190"/>
      <c r="O575" s="190"/>
      <c r="P575" s="188"/>
      <c r="Q575" s="188"/>
      <c r="R575" s="195"/>
      <c r="S575" s="197"/>
      <c r="T575" s="180"/>
      <c r="U575" s="189">
        <f>IFERROR(IF(Tableau3[[#This Row],[Dettes]]=0,"",(Tableau3[[#This Row],[Dettes]]/Tableau3[[#This Row],[EBE]])),"")</f>
        <v>0.28584310189359785</v>
      </c>
      <c r="V575" s="190" t="str">
        <f>IFERROR(Tableau3[[#This Row],[Fonds propres]]/Tableau3[[#This Row],[Total Bilan]],"")</f>
        <v/>
      </c>
      <c r="W575" s="180"/>
      <c r="X575" s="191"/>
      <c r="Y575" s="180">
        <v>4194</v>
      </c>
      <c r="Z575" s="192">
        <f>IFERROR(Tableau3[[#This Row],[Chiffre d''affaires]]/Tableau3[[#This Row],[Salariés]],"")</f>
        <v>576943.25226514065</v>
      </c>
      <c r="AA575" s="197"/>
      <c r="AB575" s="197"/>
      <c r="AC575" s="177" t="s">
        <v>467</v>
      </c>
    </row>
    <row r="576" spans="1:29" ht="20.25" customHeight="1">
      <c r="A576" s="217"/>
      <c r="E576" s="187"/>
      <c r="G576" s="188"/>
      <c r="H576" s="188"/>
      <c r="I576" s="188"/>
      <c r="J576" s="188"/>
      <c r="K576" s="188"/>
      <c r="L576" s="188"/>
      <c r="M576" s="194"/>
      <c r="N576" s="190"/>
      <c r="O576" s="190"/>
      <c r="P576" s="188"/>
      <c r="Q576" s="188"/>
      <c r="R576" s="195"/>
      <c r="S576" s="197"/>
      <c r="T576" s="180"/>
      <c r="U576" s="189" t="str">
        <f>IFERROR(IF(Tableau3[[#This Row],[Dettes]]=0,"",(Tableau3[[#This Row],[Dettes]]/Tableau3[[#This Row],[EBE]])),"")</f>
        <v/>
      </c>
      <c r="V576" s="190" t="str">
        <f>IFERROR(Tableau3[[#This Row],[Fonds propres]]/Tableau3[[#This Row],[Total Bilan]],"")</f>
        <v/>
      </c>
      <c r="W576" s="180"/>
      <c r="X576" s="191"/>
      <c r="Y576" s="180"/>
      <c r="Z576" s="192" t="str">
        <f>IFERROR(Tableau3[[#This Row],[Chiffre d''affaires]]/Tableau3[[#This Row],[Salariés]],"")</f>
        <v/>
      </c>
      <c r="AA576" s="197"/>
      <c r="AB576" s="197"/>
    </row>
    <row r="577" spans="1:29" ht="20.25" customHeight="1">
      <c r="A577" s="217"/>
      <c r="F577" s="217" t="s">
        <v>468</v>
      </c>
      <c r="G577" s="188"/>
      <c r="H577" s="188"/>
      <c r="I577" s="188"/>
      <c r="J577" s="188"/>
      <c r="K577" s="188"/>
      <c r="L577" s="188"/>
      <c r="M577" s="194"/>
      <c r="N577" s="190"/>
      <c r="O577" s="190"/>
      <c r="P577" s="188"/>
      <c r="Q577" s="188"/>
      <c r="R577" s="195"/>
      <c r="S577" s="197"/>
      <c r="T577" s="180"/>
      <c r="U577" s="189" t="str">
        <f>IFERROR(IF(Tableau3[[#This Row],[Dettes]]=0,"",(Tableau3[[#This Row],[Dettes]]/Tableau3[[#This Row],[EBE]])),"")</f>
        <v/>
      </c>
      <c r="V577" s="190" t="str">
        <f>IFERROR(Tableau3[[#This Row],[Fonds propres]]/Tableau3[[#This Row],[Total Bilan]],"")</f>
        <v/>
      </c>
      <c r="W577" s="180"/>
      <c r="X577" s="191"/>
      <c r="Y577" s="180"/>
      <c r="Z577" s="192" t="str">
        <f>IFERROR(Tableau3[[#This Row],[Chiffre d''affaires]]/Tableau3[[#This Row],[Salariés]],"")</f>
        <v/>
      </c>
      <c r="AA577" s="197"/>
      <c r="AB577" s="197"/>
    </row>
    <row r="578" spans="1:29" ht="20.25" customHeight="1">
      <c r="A578" s="217"/>
      <c r="E578" s="187"/>
      <c r="G578" s="188"/>
      <c r="H578" s="188"/>
      <c r="I578" s="188"/>
      <c r="J578" s="188"/>
      <c r="K578" s="188"/>
      <c r="L578" s="188"/>
      <c r="M578" s="194"/>
      <c r="N578" s="190"/>
      <c r="O578" s="190"/>
      <c r="P578" s="188"/>
      <c r="Q578" s="188"/>
      <c r="R578" s="195"/>
      <c r="S578" s="197"/>
      <c r="T578" s="180"/>
      <c r="U578" s="189" t="str">
        <f>IFERROR(IF(Tableau3[[#This Row],[Dettes]]=0,"",(Tableau3[[#This Row],[Dettes]]/Tableau3[[#This Row],[EBE]])),"")</f>
        <v/>
      </c>
      <c r="V578" s="190" t="str">
        <f>IFERROR(Tableau3[[#This Row],[Fonds propres]]/Tableau3[[#This Row],[Total Bilan]],"")</f>
        <v/>
      </c>
      <c r="W578" s="180"/>
      <c r="X578" s="191"/>
      <c r="Y578" s="180"/>
      <c r="Z578" s="192" t="str">
        <f>IFERROR(Tableau3[[#This Row],[Chiffre d''affaires]]/Tableau3[[#This Row],[Salariés]],"")</f>
        <v/>
      </c>
      <c r="AA578" s="197"/>
      <c r="AB578" s="197"/>
    </row>
    <row r="579" spans="1:29" ht="20.25" customHeight="1">
      <c r="A579" s="217"/>
      <c r="E579" s="187"/>
      <c r="G579" s="188"/>
      <c r="H579" s="188"/>
      <c r="I579" s="188"/>
      <c r="J579" s="188"/>
      <c r="K579" s="188"/>
      <c r="L579" s="188"/>
      <c r="M579" s="194"/>
      <c r="N579" s="190"/>
      <c r="O579" s="190"/>
      <c r="P579" s="188"/>
      <c r="Q579" s="188"/>
      <c r="R579" s="195"/>
      <c r="S579" s="197"/>
      <c r="T579" s="180"/>
      <c r="U579" s="189" t="str">
        <f>IFERROR(IF(Tableau3[[#This Row],[Dettes]]=0,"",(Tableau3[[#This Row],[Dettes]]/Tableau3[[#This Row],[EBE]])),"")</f>
        <v/>
      </c>
      <c r="V579" s="190" t="str">
        <f>IFERROR(Tableau3[[#This Row],[Fonds propres]]/Tableau3[[#This Row],[Total Bilan]],"")</f>
        <v/>
      </c>
      <c r="W579" s="180"/>
      <c r="X579" s="191"/>
      <c r="Y579" s="180"/>
      <c r="Z579" s="192" t="str">
        <f>IFERROR(Tableau3[[#This Row],[Chiffre d''affaires]]/Tableau3[[#This Row],[Salariés]],"")</f>
        <v/>
      </c>
      <c r="AA579" s="197"/>
      <c r="AB579" s="197"/>
    </row>
    <row r="580" spans="1:29" ht="20.25" customHeight="1">
      <c r="A580" s="217" t="s">
        <v>469</v>
      </c>
      <c r="B580" s="216" t="s">
        <v>470</v>
      </c>
      <c r="C580" s="178" t="s">
        <v>452</v>
      </c>
      <c r="D580" s="178" t="s">
        <v>85</v>
      </c>
      <c r="E580" s="187">
        <v>122.8</v>
      </c>
      <c r="F580" s="178">
        <v>2021</v>
      </c>
      <c r="G580" s="188">
        <v>3636000000</v>
      </c>
      <c r="H580" s="188">
        <v>537800000</v>
      </c>
      <c r="I580" s="188">
        <v>57976000</v>
      </c>
      <c r="J580" s="188">
        <v>150008000</v>
      </c>
      <c r="K580" s="188">
        <v>505700000</v>
      </c>
      <c r="L580" s="188">
        <v>1936300000</v>
      </c>
      <c r="M580" s="194">
        <f>L580/P580</f>
        <v>76.489813222328621</v>
      </c>
      <c r="N580" s="190">
        <f>J580/L580</f>
        <v>7.7471466198419672E-2</v>
      </c>
      <c r="O580" s="190">
        <f>(I580*0.6666)/(K580+L580)</f>
        <v>1.5825881081081083E-2</v>
      </c>
      <c r="P580" s="188">
        <v>25314482</v>
      </c>
      <c r="Q580" s="188">
        <f>E580*P580</f>
        <v>3108618389.5999999</v>
      </c>
      <c r="R580" s="195">
        <f>Q580/L580</f>
        <v>1.6054425396890977</v>
      </c>
      <c r="S580" s="197">
        <f>(Q580+K580)/H580</f>
        <v>6.7205622714763855</v>
      </c>
      <c r="T580" s="180"/>
      <c r="U580" s="189">
        <f>IFERROR(IF(Tableau3[[#This Row],[Dettes]]=0,"",(Tableau3[[#This Row],[Dettes]]/Tableau3[[#This Row],[EBE]])),"")</f>
        <v>0.94031238378579396</v>
      </c>
      <c r="V580" s="190" t="str">
        <f>IFERROR(Tableau3[[#This Row],[Fonds propres]]/Tableau3[[#This Row],[Total Bilan]],"")</f>
        <v/>
      </c>
      <c r="W580" s="180"/>
      <c r="X580" s="191"/>
      <c r="Y580" s="180">
        <v>8227</v>
      </c>
      <c r="Z580" s="192">
        <f>IFERROR(Tableau3[[#This Row],[Chiffre d''affaires]]/Tableau3[[#This Row],[Salariés]],"")</f>
        <v>441959.40196912608</v>
      </c>
      <c r="AA580" s="197"/>
      <c r="AB580" s="197"/>
      <c r="AC580" s="177" t="s">
        <v>471</v>
      </c>
    </row>
    <row r="581" spans="1:29" ht="20.25" customHeight="1">
      <c r="A581" s="217"/>
      <c r="E581" s="187"/>
      <c r="G581" s="202">
        <f>(G580/G582)-1</f>
        <v>0.12849162011173187</v>
      </c>
      <c r="H581" s="203">
        <f>(H580/H582)-1</f>
        <v>0.29684108994453817</v>
      </c>
      <c r="I581" s="203">
        <f>(I580/I582)-1</f>
        <v>-0.71924455205811144</v>
      </c>
      <c r="J581" s="203">
        <f>(J580/J582)-1</f>
        <v>5.3333333333238642E-5</v>
      </c>
      <c r="K581" s="188"/>
      <c r="L581" s="188"/>
      <c r="M581" s="194"/>
      <c r="N581" s="190"/>
      <c r="O581" s="190"/>
      <c r="P581" s="188"/>
      <c r="Q581" s="188"/>
      <c r="R581" s="195"/>
      <c r="S581" s="197"/>
      <c r="T581" s="180"/>
      <c r="U581" s="189" t="str">
        <f>IFERROR(IF(Tableau3[[#This Row],[Dettes]]=0,"",(Tableau3[[#This Row],[Dettes]]/Tableau3[[#This Row],[EBE]])),"")</f>
        <v/>
      </c>
      <c r="V581" s="190" t="str">
        <f>IFERROR(Tableau3[[#This Row],[Fonds propres]]/Tableau3[[#This Row],[Total Bilan]],"")</f>
        <v/>
      </c>
      <c r="W581" s="180"/>
      <c r="X581" s="191"/>
      <c r="Y581" s="180"/>
      <c r="Z581" s="192" t="str">
        <f>IFERROR(Tableau3[[#This Row],[Chiffre d''affaires]]/Tableau3[[#This Row],[Salariés]],"")</f>
        <v/>
      </c>
      <c r="AA581" s="197"/>
      <c r="AB581" s="197"/>
      <c r="AC581" s="177" t="s">
        <v>473</v>
      </c>
    </row>
    <row r="582" spans="1:29" ht="20.25" customHeight="1">
      <c r="A582" s="217"/>
      <c r="E582" s="187">
        <v>83.6</v>
      </c>
      <c r="F582" s="178">
        <v>2020</v>
      </c>
      <c r="G582" s="188">
        <v>3222000000</v>
      </c>
      <c r="H582" s="188">
        <v>414700000</v>
      </c>
      <c r="I582" s="188">
        <v>206500000</v>
      </c>
      <c r="J582" s="188">
        <v>150000000</v>
      </c>
      <c r="K582" s="188">
        <v>601400000</v>
      </c>
      <c r="L582" s="188">
        <v>1787100000</v>
      </c>
      <c r="M582" s="194">
        <f>L582/P582</f>
        <v>70.595953731148839</v>
      </c>
      <c r="N582" s="190">
        <f>J582/L582</f>
        <v>8.3934866543562192E-2</v>
      </c>
      <c r="O582" s="190">
        <f>(I582*0.6666)/(K582+L582)</f>
        <v>5.7631526062382248E-2</v>
      </c>
      <c r="P582" s="188">
        <v>25314482</v>
      </c>
      <c r="Q582" s="188">
        <f>E582*P582</f>
        <v>2116290695.1999998</v>
      </c>
      <c r="R582" s="195">
        <f>Q582/L582</f>
        <v>1.1842038471266296</v>
      </c>
      <c r="S582" s="197">
        <f>(Q582+K582)/H582</f>
        <v>6.5533896677115981</v>
      </c>
      <c r="T582" s="180"/>
      <c r="U582" s="189">
        <f>IFERROR(IF(Tableau3[[#This Row],[Dettes]]=0,"",(Tableau3[[#This Row],[Dettes]]/Tableau3[[#This Row],[EBE]])),"")</f>
        <v>1.4502049674463469</v>
      </c>
      <c r="V582" s="190" t="str">
        <f>IFERROR(Tableau3[[#This Row],[Fonds propres]]/Tableau3[[#This Row],[Total Bilan]],"")</f>
        <v/>
      </c>
      <c r="W582" s="180"/>
      <c r="X582" s="191"/>
      <c r="Y582" s="180">
        <v>8226</v>
      </c>
      <c r="Z582" s="192">
        <f>IFERROR(Tableau3[[#This Row],[Chiffre d''affaires]]/Tableau3[[#This Row],[Salariés]],"")</f>
        <v>391684.90153172868</v>
      </c>
      <c r="AA582" s="197"/>
      <c r="AB582" s="197"/>
      <c r="AC582" s="177" t="s">
        <v>474</v>
      </c>
    </row>
    <row r="583" spans="1:29" ht="20.25" customHeight="1">
      <c r="A583" s="217"/>
      <c r="E583" s="187"/>
      <c r="G583" s="202">
        <f>(G582/G584)-1</f>
        <v>-0.11109884955996363</v>
      </c>
      <c r="H583" s="203">
        <f>(H582/H584)-1</f>
        <v>-8.0895390070921946E-2</v>
      </c>
      <c r="I583" s="203">
        <f>(I582/I584)-1</f>
        <v>0.72803347280334729</v>
      </c>
      <c r="J583" s="203">
        <f>(J582/J584)-1</f>
        <v>1.34375</v>
      </c>
      <c r="K583" s="188"/>
      <c r="L583" s="188"/>
      <c r="M583" s="194"/>
      <c r="N583" s="190"/>
      <c r="O583" s="190"/>
      <c r="P583" s="188"/>
      <c r="Q583" s="188"/>
      <c r="R583" s="195"/>
      <c r="S583" s="197"/>
      <c r="T583" s="180"/>
      <c r="U583" s="189" t="str">
        <f>IFERROR(IF(Tableau3[[#This Row],[Dettes]]=0,"",(Tableau3[[#This Row],[Dettes]]/Tableau3[[#This Row],[EBE]])),"")</f>
        <v/>
      </c>
      <c r="V583" s="190" t="str">
        <f>IFERROR(Tableau3[[#This Row],[Fonds propres]]/Tableau3[[#This Row],[Total Bilan]],"")</f>
        <v/>
      </c>
      <c r="W583" s="180"/>
      <c r="X583" s="191"/>
      <c r="Y583" s="180"/>
      <c r="Z583" s="192" t="str">
        <f>IFERROR(Tableau3[[#This Row],[Chiffre d''affaires]]/Tableau3[[#This Row],[Salariés]],"")</f>
        <v/>
      </c>
      <c r="AA583" s="197"/>
      <c r="AB583" s="197"/>
      <c r="AC583" s="177" t="s">
        <v>475</v>
      </c>
    </row>
    <row r="584" spans="1:29" ht="20.25" customHeight="1">
      <c r="A584" s="217"/>
      <c r="E584" s="187">
        <v>97.3</v>
      </c>
      <c r="F584" s="178">
        <v>2019</v>
      </c>
      <c r="G584" s="188">
        <v>3624700000</v>
      </c>
      <c r="H584" s="188">
        <v>451200000</v>
      </c>
      <c r="I584" s="188">
        <v>119500000</v>
      </c>
      <c r="J584" s="188">
        <v>64000000</v>
      </c>
      <c r="K584" s="188">
        <v>798100000</v>
      </c>
      <c r="L584" s="188">
        <v>1748700000</v>
      </c>
      <c r="M584" s="194">
        <f>L584/P584</f>
        <v>69.079035470684332</v>
      </c>
      <c r="N584" s="190">
        <f>J584/L584</f>
        <v>3.6598616114828161E-2</v>
      </c>
      <c r="O584" s="190">
        <f>(I584*0.6666)/(K584+L584)</f>
        <v>3.1277956651484216E-2</v>
      </c>
      <c r="P584" s="188">
        <v>25314482</v>
      </c>
      <c r="Q584" s="188">
        <f>E584*P584</f>
        <v>2463099098.5999999</v>
      </c>
      <c r="R584" s="195">
        <f>Q584/L584</f>
        <v>1.4085315369131355</v>
      </c>
      <c r="S584" s="197">
        <f>(Q584+K584)/H584</f>
        <v>7.2278348816489357</v>
      </c>
      <c r="T584" s="180"/>
      <c r="U584" s="189">
        <f>IFERROR(IF(Tableau3[[#This Row],[Dettes]]=0,"",(Tableau3[[#This Row],[Dettes]]/Tableau3[[#This Row],[EBE]])),"")</f>
        <v>1.7688386524822695</v>
      </c>
      <c r="V584" s="190" t="str">
        <f>IFERROR(Tableau3[[#This Row],[Fonds propres]]/Tableau3[[#This Row],[Total Bilan]],"")</f>
        <v/>
      </c>
      <c r="W584" s="180"/>
      <c r="X584" s="191"/>
      <c r="Y584" s="180">
        <v>8410</v>
      </c>
      <c r="Z584" s="192">
        <f>IFERROR(Tableau3[[#This Row],[Chiffre d''affaires]]/Tableau3[[#This Row],[Salariés]],"")</f>
        <v>430998.81093935791</v>
      </c>
      <c r="AA584" s="197"/>
      <c r="AB584" s="197"/>
      <c r="AC584" s="177" t="s">
        <v>476</v>
      </c>
    </row>
    <row r="585" spans="1:29" ht="20.25" customHeight="1">
      <c r="A585" s="217"/>
      <c r="E585" s="187"/>
      <c r="G585" s="202">
        <f>(G584/G586)-1</f>
        <v>-4.3674119650607413E-3</v>
      </c>
      <c r="H585" s="203">
        <f>(H584/H586)-1</f>
        <v>-7.5409836065573721E-2</v>
      </c>
      <c r="I585" s="203">
        <f>(I584/I586)-1</f>
        <v>-0.32751828925154758</v>
      </c>
      <c r="J585" s="203">
        <f>(J584/J586)-1</f>
        <v>-0.52023988005997002</v>
      </c>
      <c r="K585" s="188"/>
      <c r="L585" s="188"/>
      <c r="M585" s="194"/>
      <c r="N585" s="190"/>
      <c r="O585" s="190"/>
      <c r="P585" s="188"/>
      <c r="Q585" s="188"/>
      <c r="R585" s="195"/>
      <c r="S585" s="197"/>
      <c r="T585" s="180"/>
      <c r="U585" s="189" t="str">
        <f>IFERROR(IF(Tableau3[[#This Row],[Dettes]]=0,"",(Tableau3[[#This Row],[Dettes]]/Tableau3[[#This Row],[EBE]])),"")</f>
        <v/>
      </c>
      <c r="V585" s="190" t="str">
        <f>IFERROR(Tableau3[[#This Row],[Fonds propres]]/Tableau3[[#This Row],[Total Bilan]],"")</f>
        <v/>
      </c>
      <c r="W585" s="180"/>
      <c r="X585" s="191"/>
      <c r="Y585" s="180"/>
      <c r="Z585" s="192" t="str">
        <f>IFERROR(Tableau3[[#This Row],[Chiffre d''affaires]]/Tableau3[[#This Row],[Salariés]],"")</f>
        <v/>
      </c>
      <c r="AA585" s="197"/>
      <c r="AB585" s="197"/>
      <c r="AC585" s="177" t="s">
        <v>477</v>
      </c>
    </row>
    <row r="586" spans="1:29" ht="20.25" customHeight="1">
      <c r="A586" s="217"/>
      <c r="E586" s="187">
        <v>86.4</v>
      </c>
      <c r="F586" s="178">
        <v>2018</v>
      </c>
      <c r="G586" s="188">
        <v>3640600000</v>
      </c>
      <c r="H586" s="188">
        <v>488000000</v>
      </c>
      <c r="I586" s="188">
        <v>177700000</v>
      </c>
      <c r="J586" s="188">
        <v>133400000</v>
      </c>
      <c r="K586" s="188">
        <v>648300000</v>
      </c>
      <c r="L586" s="188">
        <v>1720900000</v>
      </c>
      <c r="M586" s="194">
        <f>L586/P586</f>
        <v>67.980849855035544</v>
      </c>
      <c r="N586" s="190">
        <f>J586/L586</f>
        <v>7.7517578011505606E-2</v>
      </c>
      <c r="O586" s="190">
        <f>(I586*0.6666)/(K586+L586)</f>
        <v>4.9997813607968934E-2</v>
      </c>
      <c r="P586" s="188">
        <v>25314482</v>
      </c>
      <c r="Q586" s="188">
        <f>E586*P586</f>
        <v>2187171244.8000002</v>
      </c>
      <c r="R586" s="195">
        <f>Q586/L586</f>
        <v>1.2709461588703586</v>
      </c>
      <c r="S586" s="197">
        <f>(Q586+K586)/H586</f>
        <v>5.8103918950819677</v>
      </c>
      <c r="T586" s="180"/>
      <c r="U586" s="189">
        <f>IFERROR(IF(Tableau3[[#This Row],[Dettes]]=0,"",(Tableau3[[#This Row],[Dettes]]/Tableau3[[#This Row],[EBE]])),"")</f>
        <v>1.3284836065573771</v>
      </c>
      <c r="V586" s="190" t="str">
        <f>IFERROR(Tableau3[[#This Row],[Fonds propres]]/Tableau3[[#This Row],[Total Bilan]],"")</f>
        <v/>
      </c>
      <c r="W586" s="180"/>
      <c r="X586" s="191"/>
      <c r="Y586" s="180">
        <v>8598</v>
      </c>
      <c r="Z586" s="192">
        <f>IFERROR(Tableau3[[#This Row],[Chiffre d''affaires]]/Tableau3[[#This Row],[Salariés]],"")</f>
        <v>423424.05210514076</v>
      </c>
      <c r="AA586" s="197"/>
      <c r="AB586" s="197"/>
      <c r="AC586" s="177" t="s">
        <v>478</v>
      </c>
    </row>
    <row r="587" spans="1:29" ht="20.25" customHeight="1">
      <c r="A587" s="217"/>
      <c r="E587" s="187"/>
      <c r="G587" s="202">
        <f>(G586/G588)-1</f>
        <v>0.18721669655959561</v>
      </c>
      <c r="H587" s="203">
        <f>(H586/H588)-1</f>
        <v>-2.5364489714399863E-2</v>
      </c>
      <c r="I587" s="203">
        <f>(I586/I588)-1</f>
        <v>-0.21786971830985913</v>
      </c>
      <c r="J587" s="203">
        <f>(J586/J588)-1</f>
        <v>-0.22215743440233238</v>
      </c>
      <c r="K587" s="188"/>
      <c r="L587" s="188"/>
      <c r="M587" s="194"/>
      <c r="N587" s="190"/>
      <c r="O587" s="190"/>
      <c r="P587" s="188"/>
      <c r="Q587" s="188"/>
      <c r="R587" s="195"/>
      <c r="S587" s="197"/>
      <c r="T587" s="180"/>
      <c r="U587" s="189" t="str">
        <f>IFERROR(IF(Tableau3[[#This Row],[Dettes]]=0,"",(Tableau3[[#This Row],[Dettes]]/Tableau3[[#This Row],[EBE]])),"")</f>
        <v/>
      </c>
      <c r="V587" s="190" t="str">
        <f>IFERROR(Tableau3[[#This Row],[Fonds propres]]/Tableau3[[#This Row],[Total Bilan]],"")</f>
        <v/>
      </c>
      <c r="W587" s="180"/>
      <c r="X587" s="191"/>
      <c r="Y587" s="180"/>
      <c r="Z587" s="192" t="str">
        <f>IFERROR(Tableau3[[#This Row],[Chiffre d''affaires]]/Tableau3[[#This Row],[Salariés]],"")</f>
        <v/>
      </c>
      <c r="AA587" s="197"/>
      <c r="AB587" s="197"/>
      <c r="AC587" s="177" t="s">
        <v>479</v>
      </c>
    </row>
    <row r="588" spans="1:29" ht="20.25" customHeight="1">
      <c r="A588" s="217"/>
      <c r="E588" s="187">
        <v>121.7</v>
      </c>
      <c r="F588" s="178">
        <v>2017</v>
      </c>
      <c r="G588" s="188">
        <v>3066500000</v>
      </c>
      <c r="H588" s="188">
        <v>500700000</v>
      </c>
      <c r="I588" s="188">
        <v>227200000</v>
      </c>
      <c r="J588" s="188">
        <v>171500000</v>
      </c>
      <c r="K588" s="188">
        <v>351900000</v>
      </c>
      <c r="L588" s="188">
        <v>1641900000</v>
      </c>
      <c r="M588" s="194">
        <f>L588/P588</f>
        <v>64.860106558767427</v>
      </c>
      <c r="N588" s="190">
        <f>J588/L588</f>
        <v>0.10445215908398807</v>
      </c>
      <c r="O588" s="190">
        <f>(I588*0.6666)/(K588+L588)</f>
        <v>7.5961239843514897E-2</v>
      </c>
      <c r="P588" s="188">
        <v>25314482</v>
      </c>
      <c r="Q588" s="188">
        <f>E588*P588</f>
        <v>3080772459.4000001</v>
      </c>
      <c r="R588" s="195">
        <f>Q588/L588</f>
        <v>1.8763459768560815</v>
      </c>
      <c r="S588" s="197">
        <f>(Q588+K588)/H588</f>
        <v>6.8557468731775515</v>
      </c>
      <c r="T588" s="180"/>
      <c r="U588" s="189">
        <f>IFERROR(IF(Tableau3[[#This Row],[Dettes]]=0,"",(Tableau3[[#This Row],[Dettes]]/Tableau3[[#This Row],[EBE]])),"")</f>
        <v>0.70281605751947274</v>
      </c>
      <c r="V588" s="190" t="str">
        <f>IFERROR(Tableau3[[#This Row],[Fonds propres]]/Tableau3[[#This Row],[Total Bilan]],"")</f>
        <v/>
      </c>
      <c r="W588" s="180"/>
      <c r="X588" s="191"/>
      <c r="Y588" s="180">
        <v>8689</v>
      </c>
      <c r="Z588" s="192">
        <f>IFERROR(Tableau3[[#This Row],[Chiffre d''affaires]]/Tableau3[[#This Row],[Salariés]],"")</f>
        <v>352917.48187363334</v>
      </c>
      <c r="AA588" s="197"/>
      <c r="AB588" s="197"/>
      <c r="AC588" s="177" t="s">
        <v>480</v>
      </c>
    </row>
    <row r="589" spans="1:29" ht="20.25" customHeight="1">
      <c r="A589" s="217"/>
      <c r="E589" s="187"/>
      <c r="G589" s="188"/>
      <c r="H589" s="188"/>
      <c r="I589" s="188"/>
      <c r="J589" s="188"/>
      <c r="K589" s="188"/>
      <c r="L589" s="188"/>
      <c r="M589" s="194"/>
      <c r="N589" s="190"/>
      <c r="O589" s="190"/>
      <c r="P589" s="188"/>
      <c r="Q589" s="188"/>
      <c r="R589" s="195"/>
      <c r="S589" s="197"/>
      <c r="T589" s="180"/>
      <c r="U589" s="189" t="str">
        <f>IFERROR(IF(Tableau3[[#This Row],[Dettes]]=0,"",(Tableau3[[#This Row],[Dettes]]/Tableau3[[#This Row],[EBE]])),"")</f>
        <v/>
      </c>
      <c r="V589" s="190" t="str">
        <f>IFERROR(Tableau3[[#This Row],[Fonds propres]]/Tableau3[[#This Row],[Total Bilan]],"")</f>
        <v/>
      </c>
      <c r="W589" s="180"/>
      <c r="X589" s="191"/>
      <c r="Y589" s="180"/>
      <c r="Z589" s="192" t="str">
        <f>IFERROR(Tableau3[[#This Row],[Chiffre d''affaires]]/Tableau3[[#This Row],[Salariés]],"")</f>
        <v/>
      </c>
      <c r="AA589" s="197"/>
      <c r="AB589" s="197"/>
      <c r="AC589" s="177" t="s">
        <v>481</v>
      </c>
    </row>
    <row r="590" spans="1:29" ht="20.25" customHeight="1">
      <c r="A590" s="217"/>
      <c r="E590" s="187"/>
      <c r="G590" s="188"/>
      <c r="H590" s="188"/>
      <c r="I590" s="188"/>
      <c r="J590" s="188"/>
      <c r="K590" s="188"/>
      <c r="L590" s="188"/>
      <c r="M590" s="194"/>
      <c r="N590" s="190"/>
      <c r="O590" s="190"/>
      <c r="P590" s="188"/>
      <c r="Q590" s="188"/>
      <c r="R590" s="195"/>
      <c r="S590" s="197"/>
      <c r="T590" s="180"/>
      <c r="U590" s="189" t="str">
        <f>IFERROR(IF(Tableau3[[#This Row],[Dettes]]=0,"",(Tableau3[[#This Row],[Dettes]]/Tableau3[[#This Row],[EBE]])),"")</f>
        <v/>
      </c>
      <c r="V590" s="190" t="str">
        <f>IFERROR(Tableau3[[#This Row],[Fonds propres]]/Tableau3[[#This Row],[Total Bilan]],"")</f>
        <v/>
      </c>
      <c r="W590" s="180"/>
      <c r="X590" s="191"/>
      <c r="Y590" s="180"/>
      <c r="Z590" s="192" t="str">
        <f>IFERROR(Tableau3[[#This Row],[Chiffre d''affaires]]/Tableau3[[#This Row],[Salariés]],"")</f>
        <v/>
      </c>
      <c r="AA590" s="197"/>
      <c r="AB590" s="197"/>
      <c r="AC590" s="177" t="s">
        <v>482</v>
      </c>
    </row>
    <row r="591" spans="1:29" ht="20.25" customHeight="1">
      <c r="A591" s="217"/>
      <c r="E591" s="187"/>
      <c r="G591" s="188"/>
      <c r="H591" s="188"/>
      <c r="I591" s="188"/>
      <c r="J591" s="188"/>
      <c r="K591" s="188"/>
      <c r="L591" s="188"/>
      <c r="M591" s="194"/>
      <c r="N591" s="190"/>
      <c r="O591" s="190"/>
      <c r="P591" s="188"/>
      <c r="Q591" s="188"/>
      <c r="R591" s="195"/>
      <c r="S591" s="197"/>
      <c r="T591" s="180"/>
      <c r="U591" s="189" t="str">
        <f>IFERROR(IF(Tableau3[[#This Row],[Dettes]]=0,"",(Tableau3[[#This Row],[Dettes]]/Tableau3[[#This Row],[EBE]])),"")</f>
        <v/>
      </c>
      <c r="V591" s="190" t="str">
        <f>IFERROR(Tableau3[[#This Row],[Fonds propres]]/Tableau3[[#This Row],[Total Bilan]],"")</f>
        <v/>
      </c>
      <c r="W591" s="180"/>
      <c r="X591" s="191"/>
      <c r="Y591" s="180"/>
      <c r="Z591" s="192" t="str">
        <f>IFERROR(Tableau3[[#This Row],[Chiffre d''affaires]]/Tableau3[[#This Row],[Salariés]],"")</f>
        <v/>
      </c>
      <c r="AA591" s="197"/>
      <c r="AB591" s="197"/>
      <c r="AC591" s="177" t="s">
        <v>483</v>
      </c>
    </row>
    <row r="592" spans="1:29" ht="20.25" customHeight="1">
      <c r="A592" s="217"/>
      <c r="E592" s="187"/>
      <c r="G592" s="188"/>
      <c r="H592" s="188"/>
      <c r="I592" s="188"/>
      <c r="J592" s="188"/>
      <c r="K592" s="188"/>
      <c r="L592" s="188"/>
      <c r="M592" s="194"/>
      <c r="N592" s="190"/>
      <c r="O592" s="190"/>
      <c r="P592" s="188"/>
      <c r="Q592" s="188"/>
      <c r="R592" s="195"/>
      <c r="S592" s="197"/>
      <c r="T592" s="180"/>
      <c r="U592" s="189" t="str">
        <f>IFERROR(IF(Tableau3[[#This Row],[Dettes]]=0,"",(Tableau3[[#This Row],[Dettes]]/Tableau3[[#This Row],[EBE]])),"")</f>
        <v/>
      </c>
      <c r="V592" s="190" t="str">
        <f>IFERROR(Tableau3[[#This Row],[Fonds propres]]/Tableau3[[#This Row],[Total Bilan]],"")</f>
        <v/>
      </c>
      <c r="W592" s="180"/>
      <c r="X592" s="191"/>
      <c r="Y592" s="180"/>
      <c r="Z592" s="192" t="str">
        <f>IFERROR(Tableau3[[#This Row],[Chiffre d''affaires]]/Tableau3[[#This Row],[Salariés]],"")</f>
        <v/>
      </c>
      <c r="AA592" s="197"/>
      <c r="AB592" s="197"/>
      <c r="AC592" s="177" t="s">
        <v>484</v>
      </c>
    </row>
    <row r="593" spans="1:29" ht="20.25" customHeight="1">
      <c r="A593" s="217"/>
      <c r="E593" s="187"/>
      <c r="G593" s="188"/>
      <c r="H593" s="188"/>
      <c r="I593" s="188"/>
      <c r="J593" s="188"/>
      <c r="K593" s="188"/>
      <c r="L593" s="188"/>
      <c r="M593" s="194"/>
      <c r="N593" s="190"/>
      <c r="O593" s="190"/>
      <c r="P593" s="188"/>
      <c r="Q593" s="188"/>
      <c r="R593" s="195"/>
      <c r="S593" s="197"/>
      <c r="T593" s="180"/>
      <c r="U593" s="189" t="str">
        <f>IFERROR(IF(Tableau3[[#This Row],[Dettes]]=0,"",(Tableau3[[#This Row],[Dettes]]/Tableau3[[#This Row],[EBE]])),"")</f>
        <v/>
      </c>
      <c r="V593" s="190" t="str">
        <f>IFERROR(Tableau3[[#This Row],[Fonds propres]]/Tableau3[[#This Row],[Total Bilan]],"")</f>
        <v/>
      </c>
      <c r="W593" s="180"/>
      <c r="X593" s="191"/>
      <c r="Y593" s="180"/>
      <c r="Z593" s="192" t="str">
        <f>IFERROR(Tableau3[[#This Row],[Chiffre d''affaires]]/Tableau3[[#This Row],[Salariés]],"")</f>
        <v/>
      </c>
      <c r="AA593" s="197"/>
      <c r="AB593" s="197"/>
      <c r="AC593" s="177" t="s">
        <v>485</v>
      </c>
    </row>
    <row r="594" spans="1:29" ht="20.25" customHeight="1">
      <c r="A594" s="217"/>
      <c r="E594" s="187"/>
      <c r="G594" s="188"/>
      <c r="H594" s="188"/>
      <c r="I594" s="188"/>
      <c r="J594" s="188"/>
      <c r="K594" s="188"/>
      <c r="L594" s="188"/>
      <c r="M594" s="194"/>
      <c r="N594" s="190"/>
      <c r="O594" s="190"/>
      <c r="P594" s="188"/>
      <c r="Q594" s="188"/>
      <c r="R594" s="195"/>
      <c r="S594" s="197"/>
      <c r="T594" s="180"/>
      <c r="U594" s="189" t="str">
        <f>IFERROR(IF(Tableau3[[#This Row],[Dettes]]=0,"",(Tableau3[[#This Row],[Dettes]]/Tableau3[[#This Row],[EBE]])),"")</f>
        <v/>
      </c>
      <c r="V594" s="190" t="str">
        <f>IFERROR(Tableau3[[#This Row],[Fonds propres]]/Tableau3[[#This Row],[Total Bilan]],"")</f>
        <v/>
      </c>
      <c r="W594" s="180"/>
      <c r="X594" s="191"/>
      <c r="Y594" s="180"/>
      <c r="Z594" s="192" t="str">
        <f>IFERROR(Tableau3[[#This Row],[Chiffre d''affaires]]/Tableau3[[#This Row],[Salariés]],"")</f>
        <v/>
      </c>
      <c r="AA594" s="197"/>
      <c r="AB594" s="197"/>
    </row>
    <row r="595" spans="1:29" ht="20.25" customHeight="1">
      <c r="A595" s="217"/>
      <c r="E595" s="187"/>
      <c r="G595" s="188"/>
      <c r="H595" s="188"/>
      <c r="I595" s="188"/>
      <c r="J595" s="188"/>
      <c r="K595" s="188"/>
      <c r="L595" s="188"/>
      <c r="M595" s="194"/>
      <c r="N595" s="190"/>
      <c r="O595" s="190"/>
      <c r="P595" s="188"/>
      <c r="Q595" s="188"/>
      <c r="R595" s="195"/>
      <c r="S595" s="197"/>
      <c r="T595" s="180"/>
      <c r="U595" s="189" t="str">
        <f>IFERROR(IF(Tableau3[[#This Row],[Dettes]]=0,"",(Tableau3[[#This Row],[Dettes]]/Tableau3[[#This Row],[EBE]])),"")</f>
        <v/>
      </c>
      <c r="V595" s="190" t="str">
        <f>IFERROR(Tableau3[[#This Row],[Fonds propres]]/Tableau3[[#This Row],[Total Bilan]],"")</f>
        <v/>
      </c>
      <c r="W595" s="180"/>
      <c r="X595" s="191"/>
      <c r="Y595" s="180"/>
      <c r="Z595" s="192" t="str">
        <f>IFERROR(Tableau3[[#This Row],[Chiffre d''affaires]]/Tableau3[[#This Row],[Salariés]],"")</f>
        <v/>
      </c>
      <c r="AA595" s="197"/>
      <c r="AB595" s="197"/>
    </row>
    <row r="596" spans="1:29" ht="20.25" customHeight="1">
      <c r="A596" s="217" t="s">
        <v>486</v>
      </c>
      <c r="B596" s="216" t="s">
        <v>487</v>
      </c>
      <c r="C596" s="178" t="s">
        <v>84</v>
      </c>
      <c r="D596" s="178" t="s">
        <v>85</v>
      </c>
      <c r="E596" s="187">
        <v>20.3</v>
      </c>
      <c r="F596" s="178">
        <v>2025</v>
      </c>
      <c r="G596" s="188">
        <f>1243600000</f>
        <v>1243600000</v>
      </c>
      <c r="H596" s="188">
        <f>Tableau3[[#This Row],[Chiffre d''affaires]]*0.165</f>
        <v>205194000</v>
      </c>
      <c r="I596" s="188">
        <f>Tableau3[[#This Row],[Chiffre d''affaires]]*0.09</f>
        <v>111924000</v>
      </c>
      <c r="J596" s="188">
        <v>68000000</v>
      </c>
      <c r="K596" s="188">
        <v>370000000</v>
      </c>
      <c r="L596" s="188">
        <v>865000000</v>
      </c>
      <c r="M596" s="208">
        <f>L596/P596</f>
        <v>35.424234074820568</v>
      </c>
      <c r="N596" s="190">
        <f>J596/L598</f>
        <v>8.2424242424242428E-2</v>
      </c>
      <c r="O596" s="190">
        <f>(I596*0.75)/(K598+L598)</f>
        <v>7.0227557935246376E-2</v>
      </c>
      <c r="P596" s="188">
        <v>24418312</v>
      </c>
      <c r="Q596" s="188">
        <f>E596*P596</f>
        <v>495691733.60000002</v>
      </c>
      <c r="R596" s="195">
        <f>Q596/L596</f>
        <v>0.57305402728323707</v>
      </c>
      <c r="S596" s="197">
        <f>(Q596+K596)/H596</f>
        <v>4.2188939910523704</v>
      </c>
      <c r="T596" s="180">
        <v>-10000000</v>
      </c>
      <c r="U596" s="189">
        <f>IFERROR(IF(Tableau3[[#This Row],[Dettes]]=0,"",(Tableau3[[#This Row],[Dettes]]/Tableau3[[#This Row],[EBE]])),"")</f>
        <v>1.8031716326988119</v>
      </c>
      <c r="V596" s="190">
        <f>IFERROR(Tableau3[[#This Row],[Fonds propres]]/Tableau3[[#This Row],[Total Bilan]],"")</f>
        <v>0.49428571428571427</v>
      </c>
      <c r="W596" s="180">
        <v>1750000000</v>
      </c>
      <c r="X596" s="191" t="s">
        <v>106</v>
      </c>
      <c r="Y596" s="180"/>
      <c r="Z596" s="192" t="str">
        <f>IFERROR(Tableau3[[#This Row],[Chiffre d''affaires]]/Tableau3[[#This Row],[Salariés]],"")</f>
        <v/>
      </c>
      <c r="AA596" s="197" t="s">
        <v>488</v>
      </c>
      <c r="AB596" s="197"/>
      <c r="AC596" s="177" t="s">
        <v>489</v>
      </c>
    </row>
    <row r="597" spans="1:29" ht="20.25" customHeight="1">
      <c r="A597" s="217"/>
      <c r="E597" s="187"/>
      <c r="G597" s="202">
        <f>(G596/G598)-1</f>
        <v>0</v>
      </c>
      <c r="H597" s="203">
        <f>(H596/H598)-1</f>
        <v>0</v>
      </c>
      <c r="I597" s="203">
        <f>(I596/I598)-1</f>
        <v>4.1153488372092983E-2</v>
      </c>
      <c r="J597" s="203">
        <f>(J596/J598)-1</f>
        <v>0.15254237288135597</v>
      </c>
      <c r="K597" s="188"/>
      <c r="L597" s="188"/>
      <c r="M597" s="194"/>
      <c r="N597" s="190"/>
      <c r="O597" s="190"/>
      <c r="P597" s="188"/>
      <c r="Q597" s="188"/>
      <c r="R597" s="195"/>
      <c r="S597" s="197"/>
      <c r="T597" s="180"/>
      <c r="U597" s="189" t="str">
        <f>IFERROR(IF(Tableau3[[#This Row],[Dettes]]=0,"",(Tableau3[[#This Row],[Dettes]]/Tableau3[[#This Row],[EBE]])),"")</f>
        <v/>
      </c>
      <c r="V597" s="190" t="str">
        <f>IFERROR(Tableau3[[#This Row],[Fonds propres]]/Tableau3[[#This Row],[Total Bilan]],"")</f>
        <v/>
      </c>
      <c r="W597" s="180"/>
      <c r="X597" s="191"/>
      <c r="Y597" s="180"/>
      <c r="Z597" s="192" t="str">
        <f>IFERROR(Tableau3[[#This Row],[Chiffre d''affaires]]/Tableau3[[#This Row],[Salariés]],"")</f>
        <v/>
      </c>
      <c r="AA597" s="178" t="s">
        <v>491</v>
      </c>
      <c r="AB597" s="197"/>
      <c r="AC597" s="177" t="s">
        <v>492</v>
      </c>
    </row>
    <row r="598" spans="1:29" ht="20.25" customHeight="1">
      <c r="A598" s="217"/>
      <c r="E598" s="187">
        <v>20.6</v>
      </c>
      <c r="F598" s="178">
        <v>2024</v>
      </c>
      <c r="G598" s="188">
        <f>1243600000</f>
        <v>1243600000</v>
      </c>
      <c r="H598" s="188">
        <f>Tableau3[[#This Row],[Chiffre d''affaires]]*0.165</f>
        <v>205194000</v>
      </c>
      <c r="I598" s="188">
        <v>107500000</v>
      </c>
      <c r="J598" s="188">
        <v>59000000</v>
      </c>
      <c r="K598" s="188">
        <v>370300000</v>
      </c>
      <c r="L598" s="188">
        <v>825000000</v>
      </c>
      <c r="M598" s="208">
        <f>L598/P598</f>
        <v>33.786119204308633</v>
      </c>
      <c r="N598" s="190">
        <f>J598/L600</f>
        <v>7.4854097944684089E-2</v>
      </c>
      <c r="O598" s="190">
        <f>(I598*0.75)/(K600+L600)</f>
        <v>8.056860197861497E-2</v>
      </c>
      <c r="P598" s="188">
        <v>24418312</v>
      </c>
      <c r="Q598" s="188">
        <f>E598*P598</f>
        <v>503017227.20000005</v>
      </c>
      <c r="R598" s="195">
        <f>Q598/L598</f>
        <v>0.60971785115151522</v>
      </c>
      <c r="S598" s="197">
        <f>(Q598+K598)/H598</f>
        <v>4.2560563525249275</v>
      </c>
      <c r="T598" s="180">
        <v>-4400000</v>
      </c>
      <c r="U598" s="189">
        <f>IFERROR(IF(Tableau3[[#This Row],[Dettes]]=0,"",(Tableau3[[#This Row],[Dettes]]/Tableau3[[#This Row],[EBE]])),"")</f>
        <v>1.8046336637523515</v>
      </c>
      <c r="V598" s="190">
        <f>IFERROR(Tableau3[[#This Row],[Fonds propres]]/Tableau3[[#This Row],[Total Bilan]],"")</f>
        <v>0.47718202325177861</v>
      </c>
      <c r="W598" s="180">
        <v>1728900000</v>
      </c>
      <c r="Y598" s="180"/>
      <c r="Z598" s="192" t="str">
        <f>IFERROR(Tableau3[[#This Row],[Chiffre d''affaires]]/Tableau3[[#This Row],[Salariés]],"")</f>
        <v/>
      </c>
      <c r="AA598" s="178" t="s">
        <v>493</v>
      </c>
      <c r="AB598" s="197"/>
      <c r="AC598" s="177" t="s">
        <v>494</v>
      </c>
    </row>
    <row r="599" spans="1:29" ht="20.25" customHeight="1">
      <c r="A599" s="217"/>
      <c r="E599" s="187"/>
      <c r="G599" s="202">
        <f>(G598/G600)-1</f>
        <v>2.6252455463317226E-2</v>
      </c>
      <c r="H599" s="203">
        <f>(H598/H600)-1</f>
        <v>1.2303897385298468E-2</v>
      </c>
      <c r="I599" s="203">
        <f>(I598/I600)-1</f>
        <v>-0.18188736681887363</v>
      </c>
      <c r="J599" s="203">
        <f>(J598/J600)-1</f>
        <v>-0.27696078431372551</v>
      </c>
      <c r="K599" s="188"/>
      <c r="L599" s="188"/>
      <c r="M599" s="194"/>
      <c r="N599" s="190"/>
      <c r="O599" s="190"/>
      <c r="P599" s="188"/>
      <c r="Q599" s="188"/>
      <c r="R599" s="195"/>
      <c r="S599" s="197"/>
      <c r="T599" s="180"/>
      <c r="U599" s="189" t="str">
        <f>IFERROR(IF(Tableau3[[#This Row],[Dettes]]=0,"",(Tableau3[[#This Row],[Dettes]]/Tableau3[[#This Row],[EBE]])),"")</f>
        <v/>
      </c>
      <c r="V599" s="190" t="str">
        <f>IFERROR(Tableau3[[#This Row],[Fonds propres]]/Tableau3[[#This Row],[Total Bilan]],"")</f>
        <v/>
      </c>
      <c r="W599" s="180"/>
      <c r="X599" s="191"/>
      <c r="Y599" s="180"/>
      <c r="Z599" s="192" t="str">
        <f>IFERROR(Tableau3[[#This Row],[Chiffre d''affaires]]/Tableau3[[#This Row],[Salariés]],"")</f>
        <v/>
      </c>
      <c r="AA599" s="197" t="s">
        <v>107</v>
      </c>
      <c r="AB599" s="197"/>
      <c r="AC599" s="177" t="s">
        <v>495</v>
      </c>
    </row>
    <row r="600" spans="1:29" ht="20.25" customHeight="1">
      <c r="A600" s="217"/>
      <c r="E600" s="187">
        <v>35.200000000000003</v>
      </c>
      <c r="F600" s="178">
        <v>2023</v>
      </c>
      <c r="G600" s="188">
        <f>G602*1.087</f>
        <v>1211787600</v>
      </c>
      <c r="H600" s="188">
        <v>202700000</v>
      </c>
      <c r="I600" s="188">
        <v>131400000</v>
      </c>
      <c r="J600" s="188">
        <v>81600000</v>
      </c>
      <c r="K600" s="188">
        <v>212500000</v>
      </c>
      <c r="L600" s="188">
        <v>788200000</v>
      </c>
      <c r="M600" s="208">
        <f>L600/P600</f>
        <v>32.279053523437653</v>
      </c>
      <c r="N600" s="190">
        <f>J600/L602</f>
        <v>0.1406896551724138</v>
      </c>
      <c r="O600" s="190">
        <f>(I600*0.75)/(K602+L602)</f>
        <v>0.12003654080389768</v>
      </c>
      <c r="P600" s="188">
        <v>24418312</v>
      </c>
      <c r="Q600" s="188">
        <f>E600*P600</f>
        <v>859524582.4000001</v>
      </c>
      <c r="R600" s="195">
        <f>Q600/L600</f>
        <v>1.0904904623192084</v>
      </c>
      <c r="S600" s="197">
        <f>(Q600+K600)/H600</f>
        <v>5.2887251228416385</v>
      </c>
      <c r="T600" s="180">
        <v>3000000</v>
      </c>
      <c r="U600" s="189">
        <f>IFERROR(IF(Tableau3[[#This Row],[Dettes]]=0,"",(Tableau3[[#This Row],[Dettes]]/Tableau3[[#This Row],[EBE]])),"")</f>
        <v>1.0483473112974839</v>
      </c>
      <c r="V600" s="190">
        <f>IFERROR(Tableau3[[#This Row],[Fonds propres]]/Tableau3[[#This Row],[Total Bilan]],"")</f>
        <v>0.53633641807294496</v>
      </c>
      <c r="W600" s="180">
        <v>1469600000</v>
      </c>
      <c r="Y600" s="180">
        <v>7534</v>
      </c>
      <c r="Z600" s="192">
        <f>IFERROR(Tableau3[[#This Row],[Chiffre d''affaires]]/Tableau3[[#This Row],[Salariés]],"")</f>
        <v>160842.52720998143</v>
      </c>
      <c r="AB600" s="197"/>
      <c r="AC600" s="177" t="s">
        <v>496</v>
      </c>
    </row>
    <row r="601" spans="1:29" ht="20.25" customHeight="1">
      <c r="A601" s="217"/>
      <c r="E601" s="187"/>
      <c r="G601" s="202">
        <f>(G600/G602)-1</f>
        <v>8.6999999999999966E-2</v>
      </c>
      <c r="H601" s="203">
        <f>(H600/H602)-1</f>
        <v>5.7129863736117281E-2</v>
      </c>
      <c r="I601" s="203">
        <f>(I600/I602)-1</f>
        <v>0.19237749546279481</v>
      </c>
      <c r="J601" s="203">
        <f>(J600/J602)-1</f>
        <v>0.20531757754800584</v>
      </c>
      <c r="K601" s="188"/>
      <c r="L601" s="188"/>
      <c r="M601" s="194"/>
      <c r="N601" s="190"/>
      <c r="O601" s="190"/>
      <c r="P601" s="188"/>
      <c r="Q601" s="188"/>
      <c r="R601" s="195"/>
      <c r="S601" s="197"/>
      <c r="T601" s="180"/>
      <c r="U601" s="189" t="str">
        <f>IFERROR(IF(Tableau3[[#This Row],[Dettes]]=0,"",(Tableau3[[#This Row],[Dettes]]/Tableau3[[#This Row],[EBE]])),"")</f>
        <v/>
      </c>
      <c r="V601" s="190" t="str">
        <f>IFERROR(Tableau3[[#This Row],[Fonds propres]]/Tableau3[[#This Row],[Total Bilan]],"")</f>
        <v/>
      </c>
      <c r="W601" s="180"/>
      <c r="X601" s="191"/>
      <c r="Y601" s="180"/>
      <c r="Z601" s="192" t="str">
        <f>IFERROR(Tableau3[[#This Row],[Chiffre d''affaires]]/Tableau3[[#This Row],[Salariés]],"")</f>
        <v/>
      </c>
      <c r="AC601" s="177" t="s">
        <v>4525</v>
      </c>
    </row>
    <row r="602" spans="1:29" ht="20.25" customHeight="1">
      <c r="A602" s="217"/>
      <c r="E602" s="187">
        <v>37.75</v>
      </c>
      <c r="F602" s="178">
        <v>2022</v>
      </c>
      <c r="G602" s="188">
        <v>1114800000</v>
      </c>
      <c r="H602" s="188">
        <f>G602*0.172</f>
        <v>191745599.99999997</v>
      </c>
      <c r="I602" s="188">
        <v>110200000</v>
      </c>
      <c r="J602" s="188">
        <v>67700000</v>
      </c>
      <c r="K602" s="188">
        <v>241000000</v>
      </c>
      <c r="L602" s="188">
        <v>580000000</v>
      </c>
      <c r="M602" s="208">
        <f>L602/P602</f>
        <v>27.856214099403555</v>
      </c>
      <c r="N602" s="190">
        <f>J602/L604</f>
        <v>0.12537037037037038</v>
      </c>
      <c r="O602" s="190">
        <f>(I602*0.75)/(K604+L604)</f>
        <v>0.11479166666666667</v>
      </c>
      <c r="P602" s="188">
        <v>20821207</v>
      </c>
      <c r="Q602" s="188">
        <f>E602*P602</f>
        <v>786000564.25</v>
      </c>
      <c r="R602" s="195">
        <f>Q602/L602</f>
        <v>1.355173386637931</v>
      </c>
      <c r="S602" s="197">
        <f>(Q602+K602)/H602</f>
        <v>5.3560580490504091</v>
      </c>
      <c r="T602" s="180">
        <v>10000000</v>
      </c>
      <c r="U602" s="189">
        <f>IFERROR(IF(Tableau3[[#This Row],[Dettes]]=0,"",(Tableau3[[#This Row],[Dettes]]/Tableau3[[#This Row],[EBE]])),"")</f>
        <v>1.2568736909738738</v>
      </c>
      <c r="V602" s="190">
        <f>IFERROR(Tableau3[[#This Row],[Fonds propres]]/Tableau3[[#This Row],[Total Bilan]],"")</f>
        <v>0.43296506419826813</v>
      </c>
      <c r="W602" s="180">
        <v>1339600000</v>
      </c>
      <c r="X602" s="191"/>
      <c r="Y602" s="180">
        <v>7315</v>
      </c>
      <c r="Z602" s="192">
        <f>IFERROR(Tableau3[[#This Row],[Chiffre d''affaires]]/Tableau3[[#This Row],[Salariés]],"")</f>
        <v>152399.17976760081</v>
      </c>
      <c r="AC602" s="177" t="s">
        <v>497</v>
      </c>
    </row>
    <row r="603" spans="1:29" ht="20.25" customHeight="1">
      <c r="A603" s="217"/>
      <c r="E603" s="187"/>
      <c r="G603" s="202">
        <f>(G602/G604)-1</f>
        <v>0.2080624187256177</v>
      </c>
      <c r="H603" s="203">
        <f>(H602/H604)-1</f>
        <v>0.28861290322580624</v>
      </c>
      <c r="I603" s="203">
        <f>(I602/I604)-1</f>
        <v>0.19006479481641469</v>
      </c>
      <c r="J603" s="203">
        <f>(J602/J604)-1</f>
        <v>0.25370370370370376</v>
      </c>
      <c r="K603" s="188"/>
      <c r="L603" s="188"/>
      <c r="M603" s="194"/>
      <c r="N603" s="190"/>
      <c r="O603" s="190"/>
      <c r="P603" s="188"/>
      <c r="Q603" s="188"/>
      <c r="R603" s="195"/>
      <c r="S603" s="197"/>
      <c r="T603" s="180"/>
      <c r="U603" s="189" t="str">
        <f>IFERROR(IF(Tableau3[[#This Row],[Dettes]]=0,"",(Tableau3[[#This Row],[Dettes]]/Tableau3[[#This Row],[EBE]])),"")</f>
        <v/>
      </c>
      <c r="V603" s="190" t="str">
        <f>IFERROR(Tableau3[[#This Row],[Fonds propres]]/Tableau3[[#This Row],[Total Bilan]],"")</f>
        <v/>
      </c>
      <c r="W603" s="180"/>
      <c r="Y603" s="180"/>
      <c r="Z603" s="192" t="str">
        <f>IFERROR(Tableau3[[#This Row],[Chiffre d''affaires]]/Tableau3[[#This Row],[Salariés]],"")</f>
        <v/>
      </c>
      <c r="AB603" s="197"/>
      <c r="AC603" s="177" t="s">
        <v>498</v>
      </c>
    </row>
    <row r="604" spans="1:29" ht="20.25" customHeight="1">
      <c r="A604" s="217"/>
      <c r="E604" s="187">
        <v>36.9</v>
      </c>
      <c r="F604" s="178">
        <v>2021</v>
      </c>
      <c r="G604" s="188">
        <v>922800000</v>
      </c>
      <c r="H604" s="188">
        <f>148800000</f>
        <v>148800000</v>
      </c>
      <c r="I604" s="188">
        <v>92600000</v>
      </c>
      <c r="J604" s="188">
        <v>54000000</v>
      </c>
      <c r="K604" s="188">
        <v>180000000</v>
      </c>
      <c r="L604" s="188">
        <v>540000000</v>
      </c>
      <c r="M604" s="208">
        <f>L604/P604</f>
        <v>25.935095885651585</v>
      </c>
      <c r="N604" s="190">
        <f>J604/L606</f>
        <v>0.10604870384917518</v>
      </c>
      <c r="O604" s="190">
        <f>(I604*0.75)/(K606+L606)</f>
        <v>9.932780320366133E-2</v>
      </c>
      <c r="P604" s="188">
        <v>20821207</v>
      </c>
      <c r="Q604" s="188">
        <f>E604*P604</f>
        <v>768302538.29999995</v>
      </c>
      <c r="R604" s="195">
        <f>Q604/L604</f>
        <v>1.4227824783333332</v>
      </c>
      <c r="S604" s="197">
        <f>(Q604+K604)/H604</f>
        <v>6.3730009294354835</v>
      </c>
      <c r="T604" s="180">
        <v>38200000</v>
      </c>
      <c r="U604" s="189">
        <f>IFERROR(IF(Tableau3[[#This Row],[Dettes]]=0,"",(Tableau3[[#This Row],[Dettes]]/Tableau3[[#This Row],[EBE]])),"")</f>
        <v>1.2096774193548387</v>
      </c>
      <c r="V604" s="190">
        <f>IFERROR(Tableau3[[#This Row],[Fonds propres]]/Tableau3[[#This Row],[Total Bilan]],"")</f>
        <v>0.45</v>
      </c>
      <c r="W604" s="180">
        <v>1200000000</v>
      </c>
      <c r="X604" s="191"/>
      <c r="Y604" s="180">
        <v>6968</v>
      </c>
      <c r="Z604" s="192">
        <f>IFERROR(Tableau3[[#This Row],[Chiffre d''affaires]]/Tableau3[[#This Row],[Salariés]],"")</f>
        <v>132433.98392652124</v>
      </c>
      <c r="AA604" s="197"/>
      <c r="AB604" s="197"/>
      <c r="AC604" s="177" t="s">
        <v>499</v>
      </c>
    </row>
    <row r="605" spans="1:29" ht="20.25" customHeight="1">
      <c r="A605" s="217"/>
      <c r="E605" s="187"/>
      <c r="G605" s="202">
        <f>(G604/G606)-1</f>
        <v>8.9235127478753506E-2</v>
      </c>
      <c r="H605" s="203">
        <f>(H604/H606)-1</f>
        <v>0.3052631578947369</v>
      </c>
      <c r="I605" s="203">
        <f>(I604/I606)-1</f>
        <v>0.36626534466477811</v>
      </c>
      <c r="J605" s="203">
        <f>(J604/J606)-1</f>
        <v>9.8000000000000007</v>
      </c>
      <c r="K605" s="188"/>
      <c r="L605" s="188"/>
      <c r="M605" s="194"/>
      <c r="N605" s="190"/>
      <c r="O605" s="190"/>
      <c r="P605" s="188"/>
      <c r="Q605" s="188"/>
      <c r="R605" s="195"/>
      <c r="S605" s="197"/>
      <c r="T605" s="180"/>
      <c r="U605" s="189" t="str">
        <f>IFERROR(IF(Tableau3[[#This Row],[Dettes]]=0,"",(Tableau3[[#This Row],[Dettes]]/Tableau3[[#This Row],[EBE]])),"")</f>
        <v/>
      </c>
      <c r="V605" s="190" t="str">
        <f>IFERROR(Tableau3[[#This Row],[Fonds propres]]/Tableau3[[#This Row],[Total Bilan]],"")</f>
        <v/>
      </c>
      <c r="W605" s="180"/>
      <c r="X605" s="191"/>
      <c r="Y605" s="180"/>
      <c r="Z605" s="192" t="str">
        <f>IFERROR(Tableau3[[#This Row],[Chiffre d''affaires]]/Tableau3[[#This Row],[Salariés]],"")</f>
        <v/>
      </c>
      <c r="AA605" s="197"/>
      <c r="AB605" s="197"/>
      <c r="AC605" s="177" t="s">
        <v>500</v>
      </c>
    </row>
    <row r="606" spans="1:29" ht="20.25" customHeight="1">
      <c r="A606" s="217"/>
      <c r="E606" s="187">
        <v>24.75</v>
      </c>
      <c r="F606" s="178">
        <v>2020</v>
      </c>
      <c r="G606" s="188">
        <v>847200000</v>
      </c>
      <c r="H606" s="188">
        <v>114000000</v>
      </c>
      <c r="I606" s="188">
        <f>G606*0.08</f>
        <v>67776000</v>
      </c>
      <c r="J606" s="188">
        <v>5000000</v>
      </c>
      <c r="K606" s="188">
        <v>190000000</v>
      </c>
      <c r="L606" s="188">
        <v>509200000</v>
      </c>
      <c r="M606" s="208">
        <f>L606/P606</f>
        <v>24.412429685418612</v>
      </c>
      <c r="N606" s="190">
        <f>J606/L608</f>
        <v>9.1141086401749904E-3</v>
      </c>
      <c r="O606" s="190">
        <f>(I606*0.75)/(K608+L608)</f>
        <v>6.6291079812206569E-2</v>
      </c>
      <c r="P606" s="188">
        <v>20858227</v>
      </c>
      <c r="Q606" s="188">
        <f>E606*P606</f>
        <v>516241118.25</v>
      </c>
      <c r="R606" s="195">
        <f>Q606/L606</f>
        <v>1.0138278048900236</v>
      </c>
      <c r="S606" s="197">
        <f>(Q606+K606)/H606</f>
        <v>6.1950975285087715</v>
      </c>
      <c r="T606" s="180">
        <v>76000000</v>
      </c>
      <c r="U606" s="189">
        <f>IFERROR(IF(Tableau3[[#This Row],[Dettes]]=0,"",(Tableau3[[#This Row],[Dettes]]/Tableau3[[#This Row],[EBE]])),"")</f>
        <v>1.6666666666666667</v>
      </c>
      <c r="V606" s="190">
        <f>IFERROR(Tableau3[[#This Row],[Fonds propres]]/Tableau3[[#This Row],[Total Bilan]],"")</f>
        <v>0.42433333333333334</v>
      </c>
      <c r="W606" s="180">
        <v>1200000000</v>
      </c>
      <c r="X606" s="191"/>
      <c r="Y606" s="180">
        <v>6900</v>
      </c>
      <c r="Z606" s="192">
        <f>IFERROR(Tableau3[[#This Row],[Chiffre d''affaires]]/Tableau3[[#This Row],[Salariés]],"")</f>
        <v>122782.60869565218</v>
      </c>
      <c r="AA606" s="197"/>
      <c r="AB606" s="197"/>
      <c r="AC606" s="177" t="s">
        <v>5103</v>
      </c>
    </row>
    <row r="607" spans="1:29" ht="20.25" customHeight="1">
      <c r="A607" s="217"/>
      <c r="E607" s="187"/>
      <c r="F607" s="214"/>
      <c r="G607" s="202">
        <f>(G606/G608)-1</f>
        <v>-0.10839823195116816</v>
      </c>
      <c r="H607" s="203">
        <f>(H606/H608)-1</f>
        <v>-0.26261319534282013</v>
      </c>
      <c r="I607" s="203">
        <f>(I606/I608)-1</f>
        <v>-0.33618021547502452</v>
      </c>
      <c r="J607" s="203">
        <f>(J606/J608)-1</f>
        <v>-0.91273996509598598</v>
      </c>
      <c r="K607" s="188"/>
      <c r="L607" s="178"/>
      <c r="M607" s="177"/>
      <c r="N607" s="178"/>
      <c r="O607" s="177"/>
      <c r="P607" s="188"/>
      <c r="Q607" s="188"/>
      <c r="R607" s="195"/>
      <c r="S607" s="197"/>
      <c r="T607" s="180"/>
      <c r="U607" s="189" t="str">
        <f>IFERROR(IF(Tableau3[[#This Row],[Dettes]]=0,"",(Tableau3[[#This Row],[Dettes]]/Tableau3[[#This Row],[EBE]])),"")</f>
        <v/>
      </c>
      <c r="V607" s="190" t="str">
        <f>IFERROR(Tableau3[[#This Row],[Fonds propres]]/Tableau3[[#This Row],[Total Bilan]],"")</f>
        <v/>
      </c>
      <c r="W607" s="180"/>
      <c r="X607" s="191"/>
      <c r="Y607" s="180"/>
      <c r="Z607" s="192" t="str">
        <f>IFERROR(Tableau3[[#This Row],[Chiffre d''affaires]]/Tableau3[[#This Row],[Salariés]],"")</f>
        <v/>
      </c>
      <c r="AA607" s="197"/>
      <c r="AB607" s="197"/>
      <c r="AC607" s="177" t="s">
        <v>501</v>
      </c>
    </row>
    <row r="608" spans="1:29" ht="20.25" customHeight="1">
      <c r="A608" s="217"/>
      <c r="E608" s="187">
        <v>31</v>
      </c>
      <c r="F608" s="178">
        <v>2019</v>
      </c>
      <c r="G608" s="188">
        <v>950200000</v>
      </c>
      <c r="H608" s="188">
        <v>154600000</v>
      </c>
      <c r="I608" s="188">
        <v>102100000</v>
      </c>
      <c r="J608" s="188">
        <v>57300000</v>
      </c>
      <c r="K608" s="188">
        <v>218200000</v>
      </c>
      <c r="L608" s="188">
        <v>548600000</v>
      </c>
      <c r="M608" s="208">
        <f>L608/P608</f>
        <v>26.301372595091614</v>
      </c>
      <c r="N608" s="190">
        <f>J608/L610</f>
        <v>0.11317400750543156</v>
      </c>
      <c r="O608" s="190">
        <f>(I608*0.75)/(K610+L610)</f>
        <v>0.10608894430590191</v>
      </c>
      <c r="P608" s="188">
        <v>20858227</v>
      </c>
      <c r="Q608" s="188">
        <f>E608*P608</f>
        <v>646605037</v>
      </c>
      <c r="R608" s="195">
        <f>Q608/L608</f>
        <v>1.178645710900474</v>
      </c>
      <c r="S608" s="197">
        <f>(Q608+K608)/H608</f>
        <v>5.5938230077619666</v>
      </c>
      <c r="T608" s="180">
        <v>60000000</v>
      </c>
      <c r="U608" s="189">
        <f>IFERROR(IF(Tableau3[[#This Row],[Dettes]]=0,"",(Tableau3[[#This Row],[Dettes]]/Tableau3[[#This Row],[EBE]])),"")</f>
        <v>1.4113842173350581</v>
      </c>
      <c r="V608" s="190">
        <f>IFERROR(Tableau3[[#This Row],[Fonds propres]]/Tableau3[[#This Row],[Total Bilan]],"")</f>
        <v>0.50796296296296295</v>
      </c>
      <c r="W608" s="180">
        <v>1080000000</v>
      </c>
      <c r="X608" s="191"/>
      <c r="Y608" s="180">
        <v>6804</v>
      </c>
      <c r="Z608" s="192">
        <f>IFERROR(Tableau3[[#This Row],[Chiffre d''affaires]]/Tableau3[[#This Row],[Salariés]],"")</f>
        <v>139653.14520870076</v>
      </c>
      <c r="AA608" s="197"/>
      <c r="AB608" s="197"/>
      <c r="AC608" s="177" t="s">
        <v>502</v>
      </c>
    </row>
    <row r="609" spans="1:29" ht="20.25" customHeight="1">
      <c r="A609" s="217"/>
      <c r="E609" s="187"/>
      <c r="F609" s="214"/>
      <c r="G609" s="202">
        <f>(G608/G610)-1</f>
        <v>8.1616391576550873E-2</v>
      </c>
      <c r="H609" s="203">
        <f>(H608/H610)-1</f>
        <v>0.18649270913277061</v>
      </c>
      <c r="I609" s="203">
        <f>(I608/I610)-1</f>
        <v>0.11462882096069871</v>
      </c>
      <c r="J609" s="203">
        <f>(J608/J610)-1</f>
        <v>1.4159292035398341E-2</v>
      </c>
      <c r="K609" s="188"/>
      <c r="L609" s="178"/>
      <c r="M609" s="177"/>
      <c r="N609" s="178"/>
      <c r="O609" s="177"/>
      <c r="P609" s="188"/>
      <c r="Q609" s="188"/>
      <c r="R609" s="195"/>
      <c r="S609" s="197"/>
      <c r="T609" s="180"/>
      <c r="U609" s="189" t="str">
        <f>IFERROR(IF(Tableau3[[#This Row],[Dettes]]=0,"",(Tableau3[[#This Row],[Dettes]]/Tableau3[[#This Row],[EBE]])),"")</f>
        <v/>
      </c>
      <c r="V609" s="190" t="str">
        <f>IFERROR(Tableau3[[#This Row],[Fonds propres]]/Tableau3[[#This Row],[Total Bilan]],"")</f>
        <v/>
      </c>
      <c r="W609" s="180"/>
      <c r="X609" s="191"/>
      <c r="Y609" s="180"/>
      <c r="Z609" s="192" t="str">
        <f>IFERROR(Tableau3[[#This Row],[Chiffre d''affaires]]/Tableau3[[#This Row],[Salariés]],"")</f>
        <v/>
      </c>
      <c r="AA609" s="197"/>
      <c r="AB609" s="197"/>
      <c r="AC609" s="177" t="s">
        <v>503</v>
      </c>
    </row>
    <row r="610" spans="1:29" ht="20.25" customHeight="1">
      <c r="A610" s="217"/>
      <c r="E610" s="187">
        <v>23</v>
      </c>
      <c r="F610" s="178">
        <v>2018</v>
      </c>
      <c r="G610" s="188">
        <v>878500000</v>
      </c>
      <c r="H610" s="188">
        <f>130300000</f>
        <v>130300000</v>
      </c>
      <c r="I610" s="211">
        <v>91600000</v>
      </c>
      <c r="J610" s="211">
        <v>56500000</v>
      </c>
      <c r="K610" s="188">
        <v>215500000</v>
      </c>
      <c r="L610" s="211">
        <v>506300000</v>
      </c>
      <c r="M610" s="208">
        <f>L610/P610</f>
        <v>24.378713564705286</v>
      </c>
      <c r="N610" s="190">
        <f>J610/L612</f>
        <v>0.12114065180102916</v>
      </c>
      <c r="O610" s="190">
        <f>(I610*0.75)/(K612+L612)</f>
        <v>0.10659425911559349</v>
      </c>
      <c r="P610" s="188">
        <v>20768118</v>
      </c>
      <c r="Q610" s="188">
        <f>E610*P610</f>
        <v>477666714</v>
      </c>
      <c r="R610" s="195">
        <f>Q610/L610</f>
        <v>0.94344600829547698</v>
      </c>
      <c r="S610" s="197">
        <f>(Q610+K610)/H610</f>
        <v>5.3197752417498085</v>
      </c>
      <c r="T610" s="180"/>
      <c r="U610" s="189">
        <f>IFERROR(IF(Tableau3[[#This Row],[Dettes]]=0,"",(Tableau3[[#This Row],[Dettes]]/Tableau3[[#This Row],[EBE]])),"")</f>
        <v>1.6538756715272449</v>
      </c>
      <c r="V610" s="190">
        <f>IFERROR(Tableau3[[#This Row],[Fonds propres]]/Tableau3[[#This Row],[Total Bilan]],"")</f>
        <v>0.46685108344859383</v>
      </c>
      <c r="W610" s="180">
        <v>1084500000</v>
      </c>
      <c r="X610" s="191"/>
      <c r="Y610" s="180">
        <v>6917</v>
      </c>
      <c r="Z610" s="192">
        <f>IFERROR(Tableau3[[#This Row],[Chiffre d''affaires]]/Tableau3[[#This Row],[Salariés]],"")</f>
        <v>127005.92742518433</v>
      </c>
      <c r="AA610" s="197"/>
      <c r="AB610" s="197"/>
      <c r="AC610" s="177" t="s">
        <v>504</v>
      </c>
    </row>
    <row r="611" spans="1:29" ht="20.25" customHeight="1">
      <c r="A611" s="217"/>
      <c r="E611" s="187"/>
      <c r="F611" s="214"/>
      <c r="G611" s="202">
        <f>(G610/G612)-1</f>
        <v>8.5640138408304534E-2</v>
      </c>
      <c r="H611" s="203">
        <f>(H610/H612)-1</f>
        <v>0.14298245614035077</v>
      </c>
      <c r="I611" s="203">
        <f>(I610/I612)-1</f>
        <v>0.22788203753351199</v>
      </c>
      <c r="J611" s="203">
        <f>(J610/J612)-1</f>
        <v>0.50265957446808507</v>
      </c>
      <c r="K611" s="188"/>
      <c r="L611" s="178"/>
      <c r="M611" s="177"/>
      <c r="N611" s="178"/>
      <c r="O611" s="177"/>
      <c r="P611" s="188"/>
      <c r="Q611" s="188"/>
      <c r="R611" s="195"/>
      <c r="S611" s="197"/>
      <c r="T611" s="180"/>
      <c r="U611" s="189" t="str">
        <f>IFERROR(IF(Tableau3[[#This Row],[Dettes]]=0,"",(Tableau3[[#This Row],[Dettes]]/Tableau3[[#This Row],[EBE]])),"")</f>
        <v/>
      </c>
      <c r="V611" s="190" t="str">
        <f>IFERROR(Tableau3[[#This Row],[Fonds propres]]/Tableau3[[#This Row],[Total Bilan]],"")</f>
        <v/>
      </c>
      <c r="W611" s="180"/>
      <c r="X611" s="191"/>
      <c r="Y611" s="180"/>
      <c r="Z611" s="192" t="str">
        <f>IFERROR(Tableau3[[#This Row],[Chiffre d''affaires]]/Tableau3[[#This Row],[Salariés]],"")</f>
        <v/>
      </c>
      <c r="AA611" s="177"/>
      <c r="AC611" s="177" t="s">
        <v>505</v>
      </c>
    </row>
    <row r="612" spans="1:29" ht="20.25" customHeight="1">
      <c r="A612" s="217"/>
      <c r="E612" s="187">
        <v>40.700000000000003</v>
      </c>
      <c r="F612" s="178">
        <v>2017</v>
      </c>
      <c r="G612" s="188">
        <v>809200000</v>
      </c>
      <c r="H612" s="211">
        <v>114000000</v>
      </c>
      <c r="I612" s="211">
        <v>74600000</v>
      </c>
      <c r="J612" s="211">
        <v>37600000</v>
      </c>
      <c r="K612" s="211">
        <v>178100000</v>
      </c>
      <c r="L612" s="211">
        <v>466400000</v>
      </c>
      <c r="M612" s="208">
        <f>L612/P612</f>
        <v>22.782499328101892</v>
      </c>
      <c r="N612" s="190">
        <f>J612/L614</f>
        <v>7.6329679252943566E-2</v>
      </c>
      <c r="O612" s="190">
        <f>(I612*0.75)/(K614+L614)</f>
        <v>8.0457290767903367E-2</v>
      </c>
      <c r="P612" s="188">
        <v>20471854</v>
      </c>
      <c r="Q612" s="188">
        <f>E612*P612</f>
        <v>833204457.80000007</v>
      </c>
      <c r="R612" s="195">
        <f>Q612/L612</f>
        <v>1.7864589575471699</v>
      </c>
      <c r="S612" s="197">
        <f>(Q612+K612)/H612</f>
        <v>8.8710917350877203</v>
      </c>
      <c r="T612" s="180"/>
      <c r="U612" s="189">
        <f>IFERROR(IF(Tableau3[[#This Row],[Dettes]]=0,"",(Tableau3[[#This Row],[Dettes]]/Tableau3[[#This Row],[EBE]])),"")</f>
        <v>1.562280701754386</v>
      </c>
      <c r="V612" s="190">
        <f>IFERROR(Tableau3[[#This Row],[Fonds propres]]/Tableau3[[#This Row],[Total Bilan]],"")</f>
        <v>0.49099905253184545</v>
      </c>
      <c r="W612" s="180">
        <v>949900000</v>
      </c>
      <c r="X612" s="191"/>
      <c r="Y612" s="180">
        <v>6384</v>
      </c>
      <c r="Z612" s="192">
        <f>IFERROR(Tableau3[[#This Row],[Chiffre d''affaires]]/Tableau3[[#This Row],[Salariés]],"")</f>
        <v>126754.38596491228</v>
      </c>
      <c r="AA612" s="197"/>
      <c r="AB612" s="197"/>
      <c r="AC612" s="177" t="s">
        <v>506</v>
      </c>
    </row>
    <row r="613" spans="1:29" ht="20.25" customHeight="1">
      <c r="A613" s="217"/>
      <c r="E613" s="187"/>
      <c r="G613" s="202">
        <f>(G612/G614)-1</f>
        <v>5.971712938711371E-2</v>
      </c>
      <c r="H613" s="203">
        <f>(H612/H614)-1</f>
        <v>0.17890382626680457</v>
      </c>
      <c r="I613" s="203">
        <f>(I612/I614)-1</f>
        <v>0.24540901502504164</v>
      </c>
      <c r="J613" s="203">
        <f>(J612/J614)-1</f>
        <v>10.75</v>
      </c>
      <c r="K613" s="178"/>
      <c r="L613" s="178"/>
      <c r="M613" s="178"/>
      <c r="N613" s="178"/>
      <c r="O613" s="178"/>
      <c r="P613" s="178"/>
      <c r="Q613" s="178"/>
      <c r="R613" s="195"/>
      <c r="S613" s="178"/>
      <c r="T613" s="180"/>
      <c r="U613" s="189" t="str">
        <f>IFERROR(IF(Tableau3[[#This Row],[Dettes]]=0,"",(Tableau3[[#This Row],[Dettes]]/Tableau3[[#This Row],[EBE]])),"")</f>
        <v/>
      </c>
      <c r="V613" s="190" t="str">
        <f>IFERROR(Tableau3[[#This Row],[Fonds propres]]/Tableau3[[#This Row],[Total Bilan]],"")</f>
        <v/>
      </c>
      <c r="W613" s="180"/>
      <c r="Y613" s="180"/>
      <c r="Z613" s="192" t="str">
        <f>IFERROR(Tableau3[[#This Row],[Chiffre d''affaires]]/Tableau3[[#This Row],[Salariés]],"")</f>
        <v/>
      </c>
      <c r="AA613" s="197"/>
      <c r="AB613" s="197"/>
      <c r="AC613" s="177" t="s">
        <v>507</v>
      </c>
    </row>
    <row r="614" spans="1:29" ht="20.25" customHeight="1">
      <c r="A614" s="217"/>
      <c r="E614" s="187">
        <v>22.6</v>
      </c>
      <c r="F614" s="178">
        <v>2016</v>
      </c>
      <c r="G614" s="188">
        <v>763600000</v>
      </c>
      <c r="H614" s="188">
        <v>96700000</v>
      </c>
      <c r="I614" s="211">
        <v>59900000</v>
      </c>
      <c r="J614" s="211">
        <v>3200000</v>
      </c>
      <c r="K614" s="188">
        <v>202800000</v>
      </c>
      <c r="L614" s="211">
        <v>492600000</v>
      </c>
      <c r="M614" s="208">
        <f>L614/P614</f>
        <v>24.06336549467753</v>
      </c>
      <c r="N614" s="190">
        <f>J614/L616</f>
        <v>6.5306122448979594E-3</v>
      </c>
      <c r="O614" s="190">
        <f>(I614*0.75)/(K616+L616)</f>
        <v>6.1837577426015145E-2</v>
      </c>
      <c r="P614" s="188">
        <v>20470952</v>
      </c>
      <c r="Q614" s="188">
        <f>E614*P614</f>
        <v>462643515.20000005</v>
      </c>
      <c r="R614" s="195">
        <f>Q614/L614</f>
        <v>0.93918699796995542</v>
      </c>
      <c r="S614" s="197">
        <f>(Q614+K614)/H614</f>
        <v>6.8815254932781809</v>
      </c>
      <c r="T614" s="180"/>
      <c r="U614" s="189">
        <f>IFERROR(IF(Tableau3[[#This Row],[Dettes]]=0,"",(Tableau3[[#This Row],[Dettes]]/Tableau3[[#This Row],[EBE]])),"")</f>
        <v>2.0972078593588419</v>
      </c>
      <c r="V614" s="190">
        <f>IFERROR(Tableau3[[#This Row],[Fonds propres]]/Tableau3[[#This Row],[Total Bilan]],"")</f>
        <v>0.49200958849380744</v>
      </c>
      <c r="W614" s="180">
        <v>1001200000</v>
      </c>
      <c r="X614" s="191"/>
      <c r="Y614" s="180">
        <v>6110</v>
      </c>
      <c r="Z614" s="192">
        <f>IFERROR(Tableau3[[#This Row],[Chiffre d''affaires]]/Tableau3[[#This Row],[Salariés]],"")</f>
        <v>124975.45008183306</v>
      </c>
      <c r="AA614" s="197"/>
      <c r="AB614" s="197"/>
      <c r="AC614" s="177" t="s">
        <v>508</v>
      </c>
    </row>
    <row r="615" spans="1:29" ht="20.25" customHeight="1">
      <c r="A615" s="217"/>
      <c r="E615" s="187"/>
      <c r="G615" s="202">
        <f>(G614/G616)-1</f>
        <v>-5.2110474205315782E-3</v>
      </c>
      <c r="H615" s="203">
        <f>(H614/H616)-1</f>
        <v>-3.7810945273631824E-2</v>
      </c>
      <c r="I615" s="203">
        <f>(I614/I616)-1</f>
        <v>-1.6420361247947435E-2</v>
      </c>
      <c r="J615" s="203">
        <f>(J614/J616)-1</f>
        <v>0.23076923076923084</v>
      </c>
      <c r="K615" s="188"/>
      <c r="L615" s="211"/>
      <c r="M615" s="208"/>
      <c r="N615" s="190"/>
      <c r="O615" s="190"/>
      <c r="P615" s="188"/>
      <c r="Q615" s="188"/>
      <c r="R615" s="195"/>
      <c r="S615" s="197"/>
      <c r="T615" s="180"/>
      <c r="U615" s="189" t="str">
        <f>IFERROR(IF(Tableau3[[#This Row],[Dettes]]=0,"",(Tableau3[[#This Row],[Dettes]]/Tableau3[[#This Row],[EBE]])),"")</f>
        <v/>
      </c>
      <c r="V615" s="190" t="str">
        <f>IFERROR(Tableau3[[#This Row],[Fonds propres]]/Tableau3[[#This Row],[Total Bilan]],"")</f>
        <v/>
      </c>
      <c r="W615" s="180"/>
      <c r="X615" s="191"/>
      <c r="Y615" s="180"/>
      <c r="Z615" s="192" t="str">
        <f>IFERROR(Tableau3[[#This Row],[Chiffre d''affaires]]/Tableau3[[#This Row],[Salariés]],"")</f>
        <v/>
      </c>
      <c r="AA615" s="197"/>
      <c r="AB615" s="197"/>
      <c r="AC615" s="177" t="s">
        <v>509</v>
      </c>
    </row>
    <row r="616" spans="1:29" ht="20.25" customHeight="1">
      <c r="A616" s="217"/>
      <c r="E616" s="187">
        <v>15.6</v>
      </c>
      <c r="F616" s="178">
        <v>2015</v>
      </c>
      <c r="G616" s="188">
        <v>767600000</v>
      </c>
      <c r="H616" s="188">
        <v>100500000</v>
      </c>
      <c r="I616" s="211">
        <v>60900000</v>
      </c>
      <c r="J616" s="211">
        <v>2600000</v>
      </c>
      <c r="K616" s="188">
        <v>236500000</v>
      </c>
      <c r="L616" s="211">
        <v>490000000</v>
      </c>
      <c r="M616" s="208">
        <f>L616/P616</f>
        <v>23.680587727056967</v>
      </c>
      <c r="N616" s="190">
        <f>J616/L618</f>
        <v>5.7117750439367315E-3</v>
      </c>
      <c r="O616" s="190">
        <f>(I616*0.75)/(K618+L618)</f>
        <v>6.8049761620977353E-2</v>
      </c>
      <c r="P616" s="188">
        <v>20692054</v>
      </c>
      <c r="Q616" s="188">
        <f>E616*P616</f>
        <v>322796042.39999998</v>
      </c>
      <c r="R616" s="195">
        <f>Q616/L616</f>
        <v>0.65876743346938771</v>
      </c>
      <c r="S616" s="197">
        <f>(Q616+K616)/H616</f>
        <v>5.565134750248756</v>
      </c>
      <c r="T616" s="180"/>
      <c r="U616" s="189">
        <f>IFERROR(IF(Tableau3[[#This Row],[Dettes]]=0,"",(Tableau3[[#This Row],[Dettes]]/Tableau3[[#This Row],[EBE]])),"")</f>
        <v>2.3532338308457712</v>
      </c>
      <c r="V616" s="190">
        <f>IFERROR(Tableau3[[#This Row],[Fonds propres]]/Tableau3[[#This Row],[Total Bilan]],"")</f>
        <v>0.48081640663330388</v>
      </c>
      <c r="W616" s="180">
        <v>1019100000</v>
      </c>
      <c r="X616" s="191"/>
      <c r="Y616" s="180">
        <v>6375</v>
      </c>
      <c r="Z616" s="192">
        <f>IFERROR(Tableau3[[#This Row],[Chiffre d''affaires]]/Tableau3[[#This Row],[Salariés]],"")</f>
        <v>120407.84313725489</v>
      </c>
      <c r="AA616" s="197"/>
      <c r="AB616" s="197"/>
      <c r="AC616" s="177" t="s">
        <v>510</v>
      </c>
    </row>
    <row r="617" spans="1:29" ht="20.25" customHeight="1">
      <c r="A617" s="217"/>
      <c r="E617" s="187"/>
      <c r="G617" s="202">
        <f>(G616/G618)-1</f>
        <v>5.0212067314270081E-2</v>
      </c>
      <c r="H617" s="203">
        <f>(H616/H618)-1</f>
        <v>4.9631375727300586E-2</v>
      </c>
      <c r="I617" s="203">
        <f>(I616/I618)-1</f>
        <v>1.806451612903226</v>
      </c>
      <c r="J617" s="203">
        <f>(J616/J618)-1</f>
        <v>0.23809523809523814</v>
      </c>
      <c r="K617" s="188"/>
      <c r="L617" s="211"/>
      <c r="M617" s="208"/>
      <c r="N617" s="190"/>
      <c r="O617" s="190"/>
      <c r="P617" s="188"/>
      <c r="Q617" s="188"/>
      <c r="R617" s="195"/>
      <c r="S617" s="197"/>
      <c r="T617" s="180"/>
      <c r="U617" s="189" t="str">
        <f>IFERROR(IF(Tableau3[[#This Row],[Dettes]]=0,"",(Tableau3[[#This Row],[Dettes]]/Tableau3[[#This Row],[EBE]])),"")</f>
        <v/>
      </c>
      <c r="V617" s="190" t="str">
        <f>IFERROR(Tableau3[[#This Row],[Fonds propres]]/Tableau3[[#This Row],[Total Bilan]],"")</f>
        <v/>
      </c>
      <c r="W617" s="180"/>
      <c r="X617" s="191"/>
      <c r="Y617" s="180"/>
      <c r="Z617" s="192" t="str">
        <f>IFERROR(Tableau3[[#This Row],[Chiffre d''affaires]]/Tableau3[[#This Row],[Salariés]],"")</f>
        <v/>
      </c>
      <c r="AA617" s="197"/>
      <c r="AB617" s="197"/>
      <c r="AC617" s="177" t="s">
        <v>511</v>
      </c>
    </row>
    <row r="618" spans="1:29" ht="20.25" customHeight="1">
      <c r="A618" s="217"/>
      <c r="E618" s="187">
        <v>20.12</v>
      </c>
      <c r="F618" s="178">
        <v>2014</v>
      </c>
      <c r="G618" s="188">
        <v>730900000</v>
      </c>
      <c r="H618" s="188">
        <f>Tableau3[[#This Row],[Chiffre d''affaires]]*0.131</f>
        <v>95747900</v>
      </c>
      <c r="I618" s="211">
        <v>21700000</v>
      </c>
      <c r="J618" s="211">
        <v>2100000</v>
      </c>
      <c r="K618" s="188">
        <v>216000000</v>
      </c>
      <c r="L618" s="211">
        <v>455200000</v>
      </c>
      <c r="M618" s="208">
        <f>L618/P618</f>
        <v>22.079066144749621</v>
      </c>
      <c r="N618" s="190">
        <f>J618/L620</f>
        <v>4.7425474254742545E-3</v>
      </c>
      <c r="O618" s="190">
        <f>(I618*0.75)/(K620+L620)</f>
        <v>2.485491753207086E-2</v>
      </c>
      <c r="P618" s="188">
        <v>20616814</v>
      </c>
      <c r="Q618" s="188">
        <f>E618*P618</f>
        <v>414810297.68000001</v>
      </c>
      <c r="R618" s="195">
        <f>Q618/L618</f>
        <v>0.91127042548330406</v>
      </c>
      <c r="S618" s="197">
        <f>(Q618+K618)/H618</f>
        <v>6.5882415977791684</v>
      </c>
      <c r="T618" s="180"/>
      <c r="U618" s="189">
        <f>IFERROR(IF(Tableau3[[#This Row],[Dettes]]=0,"",(Tableau3[[#This Row],[Dettes]]/Tableau3[[#This Row],[EBE]])),"")</f>
        <v>2.2559241508168846</v>
      </c>
      <c r="V618" s="190">
        <f>IFERROR(Tableau3[[#This Row],[Fonds propres]]/Tableau3[[#This Row],[Total Bilan]],"")</f>
        <v>0.45370278082328319</v>
      </c>
      <c r="W618" s="180">
        <v>1003300000</v>
      </c>
      <c r="X618" s="191"/>
      <c r="Y618" s="180">
        <v>6368</v>
      </c>
      <c r="Z618" s="192">
        <f>IFERROR(Tableau3[[#This Row],[Chiffre d''affaires]]/Tableau3[[#This Row],[Salariés]],"")</f>
        <v>114777.01005025125</v>
      </c>
      <c r="AA618" s="197"/>
      <c r="AB618" s="197"/>
      <c r="AC618" s="177" t="s">
        <v>4671</v>
      </c>
    </row>
    <row r="619" spans="1:29" ht="20.25" customHeight="1">
      <c r="A619" s="217"/>
      <c r="E619" s="187"/>
      <c r="G619" s="202">
        <f>(G618/G620)-1</f>
        <v>-1.069301570113701E-2</v>
      </c>
      <c r="H619" s="203">
        <f>(H618/H620)-1</f>
        <v>-4.0005815235918063E-2</v>
      </c>
      <c r="I619" s="203">
        <f>(I618/I620)-1</f>
        <v>1.3333333333333335</v>
      </c>
      <c r="J619" s="203">
        <f>(J618/J620)-1</f>
        <v>-1.071917808219178</v>
      </c>
      <c r="K619" s="188"/>
      <c r="L619" s="211"/>
      <c r="M619" s="208"/>
      <c r="N619" s="190"/>
      <c r="O619" s="190"/>
      <c r="P619" s="188"/>
      <c r="Q619" s="188"/>
      <c r="R619" s="195"/>
      <c r="S619" s="197"/>
      <c r="T619" s="180"/>
      <c r="U619" s="189" t="str">
        <f>IFERROR(IF(Tableau3[[#This Row],[Dettes]]=0,"",(Tableau3[[#This Row],[Dettes]]/Tableau3[[#This Row],[EBE]])),"")</f>
        <v/>
      </c>
      <c r="V619" s="190" t="str">
        <f>IFERROR(Tableau3[[#This Row],[Fonds propres]]/Tableau3[[#This Row],[Total Bilan]],"")</f>
        <v/>
      </c>
      <c r="W619" s="180"/>
      <c r="X619" s="191"/>
      <c r="Y619" s="180"/>
      <c r="Z619" s="192" t="str">
        <f>IFERROR(Tableau3[[#This Row],[Chiffre d''affaires]]/Tableau3[[#This Row],[Salariés]],"")</f>
        <v/>
      </c>
      <c r="AA619" s="197"/>
      <c r="AB619" s="197"/>
      <c r="AC619" s="177" t="s">
        <v>4526</v>
      </c>
    </row>
    <row r="620" spans="1:29" ht="20.25" customHeight="1">
      <c r="A620" s="217"/>
      <c r="E620" s="187">
        <v>25.19</v>
      </c>
      <c r="F620" s="178">
        <v>2013</v>
      </c>
      <c r="G620" s="188">
        <v>738800000</v>
      </c>
      <c r="H620" s="188">
        <f>Tableau3[[#This Row],[Chiffre d''affaires]]*0.135</f>
        <v>99738000</v>
      </c>
      <c r="I620" s="211">
        <v>9300000</v>
      </c>
      <c r="J620" s="211">
        <v>-29200000</v>
      </c>
      <c r="K620" s="188">
        <v>212000000</v>
      </c>
      <c r="L620" s="211">
        <v>442800000</v>
      </c>
      <c r="M620" s="208">
        <f>L620/P620</f>
        <v>21.271726416774804</v>
      </c>
      <c r="N620" s="190">
        <f>J620/L622</f>
        <v>-5.6468768129955521E-2</v>
      </c>
      <c r="O620" s="190">
        <f>(I620*0.75)/(K622+L622)</f>
        <v>9.1945689427893485E-3</v>
      </c>
      <c r="P620" s="188">
        <v>20816364</v>
      </c>
      <c r="Q620" s="188">
        <f>E620*P620</f>
        <v>524364209.16000003</v>
      </c>
      <c r="R620" s="195">
        <f>Q620/L620</f>
        <v>1.1842010143631436</v>
      </c>
      <c r="S620" s="197">
        <f>(Q620+K620)/H620</f>
        <v>7.3829855136457532</v>
      </c>
      <c r="T620" s="180"/>
      <c r="U620" s="189">
        <f>IFERROR(IF(Tableau3[[#This Row],[Dettes]]=0,"",(Tableau3[[#This Row],[Dettes]]/Tableau3[[#This Row],[EBE]])),"")</f>
        <v>2.12556899075578</v>
      </c>
      <c r="V620" s="190">
        <f>IFERROR(Tableau3[[#This Row],[Fonds propres]]/Tableau3[[#This Row],[Total Bilan]],"")</f>
        <v>0.47480162985202662</v>
      </c>
      <c r="W620" s="180">
        <v>932600000</v>
      </c>
      <c r="X620" s="191"/>
      <c r="Y620" s="180">
        <v>6382</v>
      </c>
      <c r="Z620" s="192">
        <f>IFERROR(Tableau3[[#This Row],[Chiffre d''affaires]]/Tableau3[[#This Row],[Salariés]],"")</f>
        <v>115763.08367282983</v>
      </c>
      <c r="AA620" s="197"/>
      <c r="AB620" s="197"/>
      <c r="AC620" s="177" t="s">
        <v>5100</v>
      </c>
    </row>
    <row r="621" spans="1:29" ht="20.25" customHeight="1">
      <c r="A621" s="217"/>
      <c r="E621" s="187"/>
      <c r="G621" s="202">
        <f>(G620/G622)-1</f>
        <v>-8.8688787467620545E-2</v>
      </c>
      <c r="H621" s="203">
        <f>(H620/H622)-1</f>
        <v>-0.14018965517241377</v>
      </c>
      <c r="I621" s="203">
        <f>(I620/I622)-1</f>
        <v>-0.85491419656786272</v>
      </c>
      <c r="J621" s="203">
        <f>(J620/J622)-1</f>
        <v>-6.2142857142857144</v>
      </c>
      <c r="K621" s="188"/>
      <c r="L621" s="211"/>
      <c r="M621" s="208"/>
      <c r="N621" s="190"/>
      <c r="O621" s="190"/>
      <c r="P621" s="188"/>
      <c r="Q621" s="188"/>
      <c r="R621" s="195"/>
      <c r="S621" s="197"/>
      <c r="T621" s="180"/>
      <c r="U621" s="189" t="str">
        <f>IFERROR(IF(Tableau3[[#This Row],[Dettes]]=0,"",(Tableau3[[#This Row],[Dettes]]/Tableau3[[#This Row],[EBE]])),"")</f>
        <v/>
      </c>
      <c r="V621" s="190" t="str">
        <f>IFERROR(Tableau3[[#This Row],[Fonds propres]]/Tableau3[[#This Row],[Total Bilan]],"")</f>
        <v/>
      </c>
      <c r="W621" s="180"/>
      <c r="X621" s="191"/>
      <c r="Y621" s="180"/>
      <c r="Z621" s="192" t="str">
        <f>IFERROR(Tableau3[[#This Row],[Chiffre d''affaires]]/Tableau3[[#This Row],[Salariés]],"")</f>
        <v/>
      </c>
      <c r="AA621" s="197"/>
      <c r="AB621" s="197"/>
      <c r="AC621" s="177" t="s">
        <v>5099</v>
      </c>
    </row>
    <row r="622" spans="1:29" ht="20.25" customHeight="1">
      <c r="A622" s="217"/>
      <c r="E622" s="187">
        <v>21.09</v>
      </c>
      <c r="F622" s="178">
        <v>2012</v>
      </c>
      <c r="G622" s="188">
        <v>810700000</v>
      </c>
      <c r="H622" s="188">
        <v>116000000</v>
      </c>
      <c r="I622" s="211">
        <v>64100000</v>
      </c>
      <c r="J622" s="211">
        <v>5600000</v>
      </c>
      <c r="K622" s="188">
        <v>241500000</v>
      </c>
      <c r="L622" s="211">
        <v>517100000</v>
      </c>
      <c r="M622" s="208">
        <f>L622/P622</f>
        <v>25.409109512180969</v>
      </c>
      <c r="N622" s="190">
        <f>J622/L624</f>
        <v>1.0516431924882629E-2</v>
      </c>
      <c r="O622" s="190">
        <f>(I622*0.75)/(K624+L624)</f>
        <v>6.2273316062176169E-2</v>
      </c>
      <c r="P622" s="188">
        <v>20350969</v>
      </c>
      <c r="Q622" s="188">
        <f>E622*P622</f>
        <v>429201936.20999998</v>
      </c>
      <c r="R622" s="195">
        <f>Q622/L622</f>
        <v>0.83001728139624831</v>
      </c>
      <c r="S622" s="197">
        <f>(Q622+K622)/H622</f>
        <v>5.7819132431896554</v>
      </c>
      <c r="T622" s="180"/>
      <c r="U622" s="189">
        <f>IFERROR(IF(Tableau3[[#This Row],[Dettes]]=0,"",(Tableau3[[#This Row],[Dettes]]/Tableau3[[#This Row],[EBE]])),"")</f>
        <v>2.0818965517241379</v>
      </c>
      <c r="V622" s="190">
        <f>IFERROR(Tableau3[[#This Row],[Fonds propres]]/Tableau3[[#This Row],[Total Bilan]],"")</f>
        <v>0.51289426701051377</v>
      </c>
      <c r="W622" s="180">
        <v>1008200000</v>
      </c>
      <c r="X622" s="191"/>
      <c r="Y622" s="180">
        <v>6745</v>
      </c>
      <c r="Z622" s="192">
        <f>IFERROR(Tableau3[[#This Row],[Chiffre d''affaires]]/Tableau3[[#This Row],[Salariés]],"")</f>
        <v>120192.73535952557</v>
      </c>
      <c r="AA622" s="197"/>
      <c r="AB622" s="197"/>
      <c r="AC622" s="177" t="s">
        <v>5101</v>
      </c>
    </row>
    <row r="623" spans="1:29" ht="20.25" customHeight="1">
      <c r="A623" s="217"/>
      <c r="E623" s="187"/>
      <c r="G623" s="202">
        <f>(G622/G624)-1</f>
        <v>-2.2782063645130135E-2</v>
      </c>
      <c r="H623" s="203">
        <f>(H622/H624)-1</f>
        <v>-0.17555081734186206</v>
      </c>
      <c r="I623" s="203">
        <f>(I622/I624)-1</f>
        <v>-0.34857723577235777</v>
      </c>
      <c r="J623" s="203">
        <f>(J622/J624)-1</f>
        <v>-0.90158172231985945</v>
      </c>
      <c r="K623" s="188"/>
      <c r="L623" s="211"/>
      <c r="M623" s="208"/>
      <c r="N623" s="190"/>
      <c r="O623" s="190"/>
      <c r="P623" s="188"/>
      <c r="Q623" s="188"/>
      <c r="R623" s="195"/>
      <c r="S623" s="197"/>
      <c r="T623" s="180"/>
      <c r="U623" s="189" t="str">
        <f>IFERROR(IF(Tableau3[[#This Row],[Dettes]]=0,"",(Tableau3[[#This Row],[Dettes]]/Tableau3[[#This Row],[EBE]])),"")</f>
        <v/>
      </c>
      <c r="V623" s="190" t="str">
        <f>IFERROR(Tableau3[[#This Row],[Fonds propres]]/Tableau3[[#This Row],[Total Bilan]],"")</f>
        <v/>
      </c>
      <c r="W623" s="180"/>
      <c r="X623" s="191"/>
      <c r="Y623" s="180"/>
      <c r="Z623" s="192" t="str">
        <f>IFERROR(Tableau3[[#This Row],[Chiffre d''affaires]]/Tableau3[[#This Row],[Salariés]],"")</f>
        <v/>
      </c>
      <c r="AA623" s="197"/>
      <c r="AB623" s="197"/>
      <c r="AC623" s="177" t="s">
        <v>5102</v>
      </c>
    </row>
    <row r="624" spans="1:29" ht="20.25" customHeight="1">
      <c r="A624" s="217"/>
      <c r="E624" s="187">
        <v>23.35</v>
      </c>
      <c r="F624" s="178">
        <v>2011</v>
      </c>
      <c r="G624" s="188">
        <v>829600000</v>
      </c>
      <c r="H624" s="188">
        <v>140700000</v>
      </c>
      <c r="I624" s="211">
        <v>98400000</v>
      </c>
      <c r="J624" s="211">
        <v>56900000</v>
      </c>
      <c r="K624" s="188">
        <v>239500000</v>
      </c>
      <c r="L624" s="211">
        <v>532500000</v>
      </c>
      <c r="M624" s="208">
        <f>L624/P624</f>
        <v>26.24658461696794</v>
      </c>
      <c r="N624" s="190">
        <f>J624/L626</f>
        <v>0.11834442595673877</v>
      </c>
      <c r="O624" s="190">
        <f>(I624*0.75)/(K626+L626)</f>
        <v>0.10529319446426023</v>
      </c>
      <c r="P624" s="188">
        <v>20288354</v>
      </c>
      <c r="Q624" s="188">
        <f>E624*P624</f>
        <v>473733065.90000004</v>
      </c>
      <c r="R624" s="195">
        <f>Q624/L624</f>
        <v>0.88963956037558689</v>
      </c>
      <c r="S624" s="197">
        <f>(Q624+K624)/H624</f>
        <v>5.0691760191897659</v>
      </c>
      <c r="T624" s="180"/>
      <c r="U624" s="189">
        <f>IFERROR(IF(Tableau3[[#This Row],[Dettes]]=0,"",(Tableau3[[#This Row],[Dettes]]/Tableau3[[#This Row],[EBE]])),"")</f>
        <v>1.7022032693674485</v>
      </c>
      <c r="V624" s="190">
        <f>IFERROR(Tableau3[[#This Row],[Fonds propres]]/Tableau3[[#This Row],[Total Bilan]],"")</f>
        <v>0.50641940085592008</v>
      </c>
      <c r="W624" s="180">
        <v>1051500000</v>
      </c>
      <c r="X624" s="191"/>
      <c r="Y624" s="180">
        <v>6922</v>
      </c>
      <c r="Z624" s="192">
        <f>IFERROR(Tableau3[[#This Row],[Chiffre d''affaires]]/Tableau3[[#This Row],[Salariés]],"")</f>
        <v>119849.75440624097</v>
      </c>
      <c r="AA624" s="197"/>
      <c r="AB624" s="197"/>
      <c r="AC624" s="177" t="s">
        <v>5098</v>
      </c>
    </row>
    <row r="625" spans="1:29" ht="20.25" customHeight="1">
      <c r="A625" s="217"/>
      <c r="E625" s="187"/>
      <c r="G625" s="202">
        <f>(G624/G626)-1</f>
        <v>0.11926605504587151</v>
      </c>
      <c r="H625" s="203">
        <f>(H624/H626)-1</f>
        <v>0.23204903677758315</v>
      </c>
      <c r="I625" s="203">
        <f>(I624/I626)-1</f>
        <v>0.33695652173913038</v>
      </c>
      <c r="J625" s="203">
        <f>(J624/J626)-1</f>
        <v>0.48177083333333326</v>
      </c>
      <c r="K625" s="188"/>
      <c r="L625" s="211"/>
      <c r="M625" s="208"/>
      <c r="N625" s="190"/>
      <c r="O625" s="190"/>
      <c r="P625" s="188"/>
      <c r="Q625" s="188"/>
      <c r="R625" s="195"/>
      <c r="S625" s="197"/>
      <c r="T625" s="180"/>
      <c r="U625" s="189" t="str">
        <f>IFERROR(IF(Tableau3[[#This Row],[Dettes]]=0,"",(Tableau3[[#This Row],[Dettes]]/Tableau3[[#This Row],[EBE]])),"")</f>
        <v/>
      </c>
      <c r="V625" s="190"/>
      <c r="W625" s="180"/>
      <c r="X625" s="191"/>
      <c r="Y625" s="180"/>
      <c r="Z625" s="192" t="str">
        <f>IFERROR(Tableau3[[#This Row],[Chiffre d''affaires]]/Tableau3[[#This Row],[Salariés]],"")</f>
        <v/>
      </c>
      <c r="AC625" s="177" t="s">
        <v>238</v>
      </c>
    </row>
    <row r="626" spans="1:29" ht="20.25" customHeight="1">
      <c r="A626" s="217"/>
      <c r="E626" s="187">
        <v>34.299999999999997</v>
      </c>
      <c r="F626" s="178">
        <v>2010</v>
      </c>
      <c r="G626" s="188">
        <v>741200000</v>
      </c>
      <c r="H626" s="188">
        <v>114200000</v>
      </c>
      <c r="I626" s="211">
        <v>73600000</v>
      </c>
      <c r="J626" s="211">
        <v>38400000</v>
      </c>
      <c r="K626" s="188">
        <v>220100000</v>
      </c>
      <c r="L626" s="211">
        <v>480800000</v>
      </c>
      <c r="M626" s="208">
        <f>L626/P626</f>
        <v>24.108979406428702</v>
      </c>
      <c r="N626" s="190">
        <f>J626/L626</f>
        <v>7.9866888519134774E-2</v>
      </c>
      <c r="O626" s="190">
        <f>(I626*0.75)/(K626+L626)</f>
        <v>7.8755885290340985E-2</v>
      </c>
      <c r="P626" s="188">
        <v>19942777</v>
      </c>
      <c r="Q626" s="188">
        <f>E626*P626</f>
        <v>684037251.0999999</v>
      </c>
      <c r="R626" s="195">
        <f>Q626/L626</f>
        <v>1.422706429076539</v>
      </c>
      <c r="S626" s="197">
        <f>(Q626+K626)/H626</f>
        <v>7.917138801225919</v>
      </c>
      <c r="T626" s="180"/>
      <c r="U626" s="189">
        <f>IFERROR(IF(Tableau3[[#This Row],[Dettes]]=0,"",(Tableau3[[#This Row],[Dettes]]/Tableau3[[#This Row],[EBE]])),"")</f>
        <v>1.9273204903677759</v>
      </c>
      <c r="V626" s="190">
        <f>IFERROR(Tableau3[[#This Row],[Fonds propres]]/Tableau3[[#This Row],[Total Bilan]],"")</f>
        <v>0.48580377892290594</v>
      </c>
      <c r="W626" s="180">
        <v>989700000</v>
      </c>
      <c r="X626" s="191"/>
      <c r="Y626" s="180">
        <v>7024</v>
      </c>
      <c r="Z626" s="192">
        <f>IFERROR(Tableau3[[#This Row],[Chiffre d''affaires]]/Tableau3[[#This Row],[Salariés]],"")</f>
        <v>105523.91799544419</v>
      </c>
      <c r="AC626" s="177" t="s">
        <v>512</v>
      </c>
    </row>
    <row r="627" spans="1:29" ht="20.25" customHeight="1">
      <c r="A627" s="217"/>
      <c r="E627" s="187"/>
      <c r="G627" s="188"/>
      <c r="H627" s="188"/>
      <c r="I627" s="211"/>
      <c r="J627" s="211"/>
      <c r="K627" s="188"/>
      <c r="L627" s="211"/>
      <c r="M627" s="208"/>
      <c r="N627" s="190"/>
      <c r="O627" s="190"/>
      <c r="P627" s="188"/>
      <c r="Q627" s="188"/>
      <c r="R627" s="195"/>
      <c r="S627" s="197"/>
      <c r="T627" s="180"/>
      <c r="U627" s="189" t="str">
        <f>IFERROR(IF(Tableau3[[#This Row],[Dettes]]=0,"",(Tableau3[[#This Row],[Dettes]]/Tableau3[[#This Row],[EBE]])),"")</f>
        <v/>
      </c>
      <c r="V627" s="190" t="str">
        <f>IFERROR(Tableau3[[#This Row],[Fonds propres]]/Tableau3[[#This Row],[Total Bilan]],"")</f>
        <v/>
      </c>
      <c r="W627" s="180"/>
      <c r="X627" s="191"/>
      <c r="Y627" s="180"/>
      <c r="Z627" s="192" t="str">
        <f>IFERROR(Tableau3[[#This Row],[Chiffre d''affaires]]/Tableau3[[#This Row],[Salariés]],"")</f>
        <v/>
      </c>
      <c r="AA627" s="197"/>
      <c r="AB627" s="197"/>
      <c r="AC627" s="177" t="s">
        <v>5097</v>
      </c>
    </row>
    <row r="628" spans="1:29" ht="20.25" customHeight="1">
      <c r="A628" s="217"/>
      <c r="E628" s="187"/>
      <c r="G628" s="188"/>
      <c r="H628" s="188"/>
      <c r="I628" s="211"/>
      <c r="J628" s="211"/>
      <c r="K628" s="188"/>
      <c r="L628" s="211"/>
      <c r="M628" s="208"/>
      <c r="N628" s="190"/>
      <c r="O628" s="190"/>
      <c r="P628" s="188"/>
      <c r="Q628" s="188"/>
      <c r="R628" s="195"/>
      <c r="S628" s="197"/>
      <c r="T628" s="180"/>
      <c r="U628" s="189" t="str">
        <f>IFERROR(IF(Tableau3[[#This Row],[Dettes]]=0,"",(Tableau3[[#This Row],[Dettes]]/Tableau3[[#This Row],[EBE]])),"")</f>
        <v/>
      </c>
      <c r="V628" s="190" t="str">
        <f>IFERROR(Tableau3[[#This Row],[Fonds propres]]/Tableau3[[#This Row],[Total Bilan]],"")</f>
        <v/>
      </c>
      <c r="W628" s="180"/>
      <c r="X628" s="191"/>
      <c r="Y628" s="180"/>
      <c r="Z628" s="192" t="str">
        <f>IFERROR(Tableau3[[#This Row],[Chiffre d''affaires]]/Tableau3[[#This Row],[Salariés]],"")</f>
        <v/>
      </c>
      <c r="AA628" s="197"/>
      <c r="AB628" s="197"/>
    </row>
    <row r="629" spans="1:29" ht="20.25" customHeight="1">
      <c r="A629" s="217"/>
      <c r="E629" s="187"/>
      <c r="G629" s="188"/>
      <c r="H629" s="188"/>
      <c r="I629" s="211"/>
      <c r="J629" s="211"/>
      <c r="K629" s="188"/>
      <c r="L629" s="211"/>
      <c r="M629" s="208"/>
      <c r="N629" s="190"/>
      <c r="O629" s="190"/>
      <c r="P629" s="188"/>
      <c r="Q629" s="188"/>
      <c r="R629" s="195"/>
      <c r="S629" s="197"/>
      <c r="T629" s="180"/>
      <c r="U629" s="189" t="str">
        <f>IFERROR(IF(Tableau3[[#This Row],[Dettes]]=0,"",(Tableau3[[#This Row],[Dettes]]/Tableau3[[#This Row],[EBE]])),"")</f>
        <v/>
      </c>
      <c r="V629" s="190" t="str">
        <f>IFERROR(Tableau3[[#This Row],[Fonds propres]]/Tableau3[[#This Row],[Total Bilan]],"")</f>
        <v/>
      </c>
      <c r="W629" s="180"/>
      <c r="X629" s="191"/>
      <c r="Y629" s="180"/>
      <c r="Z629" s="192" t="str">
        <f>IFERROR(Tableau3[[#This Row],[Chiffre d''affaires]]/Tableau3[[#This Row],[Salariés]],"")</f>
        <v/>
      </c>
      <c r="AA629" s="197"/>
      <c r="AB629" s="197"/>
    </row>
    <row r="630" spans="1:29" ht="20.25" customHeight="1">
      <c r="A630" s="217" t="s">
        <v>513</v>
      </c>
      <c r="B630" s="216" t="s">
        <v>514</v>
      </c>
      <c r="C630" s="178" t="s">
        <v>452</v>
      </c>
      <c r="D630" s="178" t="s">
        <v>85</v>
      </c>
      <c r="E630" s="187"/>
      <c r="F630" s="178">
        <v>2025</v>
      </c>
      <c r="G630" s="188"/>
      <c r="H630" s="188"/>
      <c r="I630" s="211"/>
      <c r="J630" s="211"/>
      <c r="K630" s="188"/>
      <c r="L630" s="211"/>
      <c r="M630" s="208"/>
      <c r="N630" s="190"/>
      <c r="O630" s="190"/>
      <c r="P630" s="188"/>
      <c r="Q630" s="188"/>
      <c r="R630" s="195"/>
      <c r="S630" s="197"/>
      <c r="T630" s="180"/>
      <c r="U630" s="189" t="str">
        <f>IFERROR(IF(Tableau3[[#This Row],[Dettes]]=0,"",(Tableau3[[#This Row],[Dettes]]/Tableau3[[#This Row],[EBE]])),"")</f>
        <v/>
      </c>
      <c r="V630" s="190" t="str">
        <f>IFERROR(Tableau3[[#This Row],[Fonds propres]]/Tableau3[[#This Row],[Total Bilan]],"")</f>
        <v/>
      </c>
      <c r="W630" s="180"/>
      <c r="X630" s="191"/>
      <c r="Y630" s="180"/>
      <c r="Z630" s="192" t="str">
        <f>IFERROR(Tableau3[[#This Row],[Chiffre d''affaires]]/Tableau3[[#This Row],[Salariés]],"")</f>
        <v/>
      </c>
      <c r="AA630" s="197"/>
      <c r="AB630" s="197"/>
      <c r="AC630" s="177" t="s">
        <v>515</v>
      </c>
    </row>
    <row r="631" spans="1:29" ht="20.25" customHeight="1">
      <c r="A631" s="217"/>
      <c r="E631" s="187"/>
      <c r="G631" s="188"/>
      <c r="H631" s="188"/>
      <c r="I631" s="211"/>
      <c r="J631" s="211"/>
      <c r="K631" s="188"/>
      <c r="L631" s="211"/>
      <c r="M631" s="208"/>
      <c r="N631" s="190"/>
      <c r="O631" s="190"/>
      <c r="P631" s="188"/>
      <c r="Q631" s="188"/>
      <c r="R631" s="195"/>
      <c r="S631" s="197"/>
      <c r="T631" s="180"/>
      <c r="U631" s="189" t="str">
        <f>IFERROR(IF(Tableau3[[#This Row],[Dettes]]=0,"",(Tableau3[[#This Row],[Dettes]]/Tableau3[[#This Row],[EBE]])),"")</f>
        <v/>
      </c>
      <c r="V631" s="190" t="str">
        <f>IFERROR(Tableau3[[#This Row],[Fonds propres]]/Tableau3[[#This Row],[Total Bilan]],"")</f>
        <v/>
      </c>
      <c r="W631" s="180"/>
      <c r="X631" s="191"/>
      <c r="Y631" s="180"/>
      <c r="Z631" s="192" t="str">
        <f>IFERROR(Tableau3[[#This Row],[Chiffre d''affaires]]/Tableau3[[#This Row],[Salariés]],"")</f>
        <v/>
      </c>
      <c r="AA631" s="197"/>
      <c r="AB631" s="197"/>
      <c r="AC631" s="177" t="s">
        <v>517</v>
      </c>
    </row>
    <row r="632" spans="1:29" ht="20.25" customHeight="1">
      <c r="A632" s="217"/>
      <c r="E632" s="187">
        <v>9.9600000000000009</v>
      </c>
      <c r="F632" s="178">
        <v>2024</v>
      </c>
      <c r="G632" s="188"/>
      <c r="H632" s="188"/>
      <c r="I632" s="211"/>
      <c r="J632" s="211"/>
      <c r="K632" s="188"/>
      <c r="L632" s="211"/>
      <c r="M632" s="208"/>
      <c r="N632" s="190"/>
      <c r="O632" s="190"/>
      <c r="P632" s="188">
        <v>246400000</v>
      </c>
      <c r="Q632" s="188">
        <f>E632*P632</f>
        <v>2454144000</v>
      </c>
      <c r="R632" s="195"/>
      <c r="S632" s="197"/>
      <c r="T632" s="180"/>
      <c r="U632" s="189" t="str">
        <f>IFERROR(IF(Tableau3[[#This Row],[Dettes]]=0,"",(Tableau3[[#This Row],[Dettes]]/Tableau3[[#This Row],[EBE]])),"")</f>
        <v/>
      </c>
      <c r="V632" s="190" t="str">
        <f>IFERROR(Tableau3[[#This Row],[Fonds propres]]/Tableau3[[#This Row],[Total Bilan]],"")</f>
        <v/>
      </c>
      <c r="W632" s="180"/>
      <c r="X632" s="191"/>
      <c r="Y632" s="180"/>
      <c r="Z632" s="192" t="str">
        <f>IFERROR(Tableau3[[#This Row],[Chiffre d''affaires]]/Tableau3[[#This Row],[Salariés]],"")</f>
        <v/>
      </c>
      <c r="AA632" s="197"/>
      <c r="AB632" s="197"/>
      <c r="AC632" s="177" t="s">
        <v>518</v>
      </c>
    </row>
    <row r="633" spans="1:29" ht="20.25" customHeight="1">
      <c r="A633" s="217"/>
      <c r="E633" s="187"/>
      <c r="G633" s="188"/>
      <c r="H633" s="188"/>
      <c r="I633" s="211"/>
      <c r="J633" s="211"/>
      <c r="K633" s="188"/>
      <c r="L633" s="211"/>
      <c r="M633" s="208"/>
      <c r="N633" s="190"/>
      <c r="O633" s="190"/>
      <c r="P633" s="188"/>
      <c r="Q633" s="188"/>
      <c r="R633" s="195"/>
      <c r="S633" s="197"/>
      <c r="T633" s="180"/>
      <c r="U633" s="189" t="str">
        <f>IFERROR(IF(Tableau3[[#This Row],[Dettes]]=0,"",(Tableau3[[#This Row],[Dettes]]/Tableau3[[#This Row],[EBE]])),"")</f>
        <v/>
      </c>
      <c r="V633" s="190" t="str">
        <f>IFERROR(Tableau3[[#This Row],[Fonds propres]]/Tableau3[[#This Row],[Total Bilan]],"")</f>
        <v/>
      </c>
      <c r="W633" s="180"/>
      <c r="X633" s="191"/>
      <c r="Y633" s="180"/>
      <c r="Z633" s="192" t="str">
        <f>IFERROR(Tableau3[[#This Row],[Chiffre d''affaires]]/Tableau3[[#This Row],[Salariés]],"")</f>
        <v/>
      </c>
      <c r="AA633" s="197"/>
      <c r="AB633" s="197"/>
      <c r="AC633" s="177" t="s">
        <v>519</v>
      </c>
    </row>
    <row r="634" spans="1:29" ht="20.25" customHeight="1">
      <c r="A634" s="217"/>
      <c r="E634" s="187">
        <v>24.9</v>
      </c>
      <c r="F634" s="178">
        <v>2023</v>
      </c>
      <c r="G634" s="188">
        <v>18266000000</v>
      </c>
      <c r="H634" s="188">
        <v>890000000</v>
      </c>
      <c r="I634" s="211">
        <v>591000000</v>
      </c>
      <c r="J634" s="211">
        <v>385000000</v>
      </c>
      <c r="K634" s="188">
        <v>1266000000</v>
      </c>
      <c r="L634" s="211">
        <v>3661100000</v>
      </c>
      <c r="M634" s="208">
        <f>L634/P634</f>
        <v>14.85836038961039</v>
      </c>
      <c r="N634" s="190">
        <f>J634/L634</f>
        <v>0.10515965147086941</v>
      </c>
      <c r="O634" s="190">
        <f>(I634*0.6666)/(K634+L634)</f>
        <v>7.9957906273467147E-2</v>
      </c>
      <c r="P634" s="188">
        <v>246400000</v>
      </c>
      <c r="Q634" s="188">
        <f>E634*P634</f>
        <v>6135360000</v>
      </c>
      <c r="R634" s="195">
        <f>Q634/L634</f>
        <v>1.675824205839775</v>
      </c>
      <c r="S634" s="197">
        <f>(Q634+K634)/H634</f>
        <v>8.3161348314606744</v>
      </c>
      <c r="T634" s="180">
        <v>332000000</v>
      </c>
      <c r="U634" s="189">
        <f>IFERROR(IF(Tableau3[[#This Row],[Dettes]]=0,"",(Tableau3[[#This Row],[Dettes]]/Tableau3[[#This Row],[EBE]])),"")</f>
        <v>1.4224719101123595</v>
      </c>
      <c r="V634" s="190">
        <f>IFERROR(Tableau3[[#This Row],[Fonds propres]]/Tableau3[[#This Row],[Total Bilan]],"")</f>
        <v>0.3673700793722468</v>
      </c>
      <c r="W634" s="180">
        <v>9965700000</v>
      </c>
      <c r="X634" s="191"/>
      <c r="Y634" s="180">
        <v>11948</v>
      </c>
      <c r="Z634" s="192">
        <f>IFERROR(Tableau3[[#This Row],[Chiffre d''affaires]]/Tableau3[[#This Row],[Salariés]],"")</f>
        <v>1528791.4295279544</v>
      </c>
      <c r="AA634" s="197"/>
      <c r="AB634" s="197"/>
      <c r="AC634" s="177" t="s">
        <v>520</v>
      </c>
    </row>
    <row r="635" spans="1:29" ht="20.25" customHeight="1">
      <c r="A635" s="217"/>
      <c r="E635" s="187"/>
      <c r="G635" s="203">
        <f>(G634/G636)-1</f>
        <v>-0.28188394401635475</v>
      </c>
      <c r="H635" s="203">
        <f>(H634/H636)-1</f>
        <v>-0.2039355992844365</v>
      </c>
      <c r="I635" s="203">
        <f>(I634/I636)-1</f>
        <v>-0.28966346153846156</v>
      </c>
      <c r="J635" s="203">
        <f>(J634/J636)-1</f>
        <v>-0.32456140350877194</v>
      </c>
      <c r="K635" s="188"/>
      <c r="L635" s="211"/>
      <c r="M635" s="208"/>
      <c r="N635" s="190"/>
      <c r="O635" s="190"/>
      <c r="P635" s="188"/>
      <c r="Q635" s="188"/>
      <c r="R635" s="195"/>
      <c r="S635" s="197"/>
      <c r="T635" s="180"/>
      <c r="U635" s="189" t="str">
        <f>IFERROR(IF(Tableau3[[#This Row],[Dettes]]=0,"",(Tableau3[[#This Row],[Dettes]]/Tableau3[[#This Row],[EBE]])),"")</f>
        <v/>
      </c>
      <c r="V635" s="190" t="str">
        <f>IFERROR(Tableau3[[#This Row],[Fonds propres]]/Tableau3[[#This Row],[Total Bilan]],"")</f>
        <v/>
      </c>
      <c r="W635" s="180"/>
      <c r="X635" s="191"/>
      <c r="Y635" s="180"/>
      <c r="Z635" s="192" t="str">
        <f>IFERROR(Tableau3[[#This Row],[Chiffre d''affaires]]/Tableau3[[#This Row],[Salariés]],"")</f>
        <v/>
      </c>
      <c r="AA635" s="197"/>
      <c r="AB635" s="197"/>
      <c r="AC635" s="177" t="s">
        <v>521</v>
      </c>
    </row>
    <row r="636" spans="1:29" ht="20.25" customHeight="1">
      <c r="A636" s="217"/>
      <c r="E636" s="187">
        <v>34.32</v>
      </c>
      <c r="F636" s="178">
        <v>2022</v>
      </c>
      <c r="G636" s="188">
        <v>25436000000</v>
      </c>
      <c r="H636" s="188">
        <v>1118000000</v>
      </c>
      <c r="I636" s="211">
        <v>832000000</v>
      </c>
      <c r="J636" s="211">
        <v>570000000</v>
      </c>
      <c r="K636" s="188">
        <v>1104000000</v>
      </c>
      <c r="L636" s="211">
        <v>3516500000</v>
      </c>
      <c r="M636" s="208">
        <f>L636/P636</f>
        <v>14.27150974025974</v>
      </c>
      <c r="N636" s="190">
        <f>J636/L636</f>
        <v>0.1620929901891085</v>
      </c>
      <c r="O636" s="190">
        <f>(I636*0.6666)/(K636+L636)</f>
        <v>0.12003272373119792</v>
      </c>
      <c r="P636" s="188">
        <v>246400000</v>
      </c>
      <c r="Q636" s="188">
        <f>E636*P636</f>
        <v>8456448000</v>
      </c>
      <c r="R636" s="195">
        <f>Q636/L636</f>
        <v>2.4047911275415896</v>
      </c>
      <c r="S636" s="197">
        <f>(Q636+K636)/H636</f>
        <v>8.5513846153846149</v>
      </c>
      <c r="T636" s="180">
        <v>344000000</v>
      </c>
      <c r="U636" s="189">
        <f>IFERROR(IF(Tableau3[[#This Row],[Dettes]]=0,"",(Tableau3[[#This Row],[Dettes]]/Tableau3[[#This Row],[EBE]])),"")</f>
        <v>0.98747763864042937</v>
      </c>
      <c r="V636" s="190">
        <f>IFERROR(Tableau3[[#This Row],[Fonds propres]]/Tableau3[[#This Row],[Total Bilan]],"")</f>
        <v>0.35368723849372385</v>
      </c>
      <c r="W636" s="180">
        <v>9942400000</v>
      </c>
      <c r="X636" s="191"/>
      <c r="Y636" s="180">
        <v>11565</v>
      </c>
      <c r="Z636" s="192">
        <f>IFERROR(Tableau3[[#This Row],[Chiffre d''affaires]]/Tableau3[[#This Row],[Salariés]],"")</f>
        <v>2199394.7254647645</v>
      </c>
      <c r="AA636" s="225" t="s">
        <v>522</v>
      </c>
      <c r="AB636" s="225"/>
      <c r="AC636" s="177" t="s">
        <v>523</v>
      </c>
    </row>
    <row r="637" spans="1:29" ht="20.25" customHeight="1">
      <c r="A637" s="217"/>
      <c r="E637" s="187"/>
      <c r="G637" s="203">
        <f>(G636/G638)-1</f>
        <v>5.7454061694520719E-2</v>
      </c>
      <c r="H637" s="203">
        <f>(H636/H638)-1</f>
        <v>-8.1875667241520955E-2</v>
      </c>
      <c r="I637" s="203">
        <f>(I636/I638)-1</f>
        <v>-5.3362157242007102E-2</v>
      </c>
      <c r="J637" s="203">
        <f>(J636/J638)-1</f>
        <v>-7.9159935379644608E-2</v>
      </c>
      <c r="K637" s="188"/>
      <c r="L637" s="211"/>
      <c r="M637" s="208"/>
      <c r="N637" s="190"/>
      <c r="O637" s="190"/>
      <c r="P637" s="188"/>
      <c r="Q637" s="188"/>
      <c r="R637" s="195"/>
      <c r="S637" s="197"/>
      <c r="T637" s="180"/>
      <c r="U637" s="189" t="str">
        <f>IFERROR(IF(Tableau3[[#This Row],[Dettes]]=0,"",(Tableau3[[#This Row],[Dettes]]/Tableau3[[#This Row],[EBE]])),"")</f>
        <v/>
      </c>
      <c r="V637" s="190" t="str">
        <f>IFERROR(Tableau3[[#This Row],[Fonds propres]]/Tableau3[[#This Row],[Total Bilan]],"")</f>
        <v/>
      </c>
      <c r="W637" s="180"/>
      <c r="X637" s="191"/>
      <c r="Y637" s="180"/>
      <c r="Z637" s="192" t="str">
        <f>IFERROR(Tableau3[[#This Row],[Chiffre d''affaires]]/Tableau3[[#This Row],[Salariés]],"")</f>
        <v/>
      </c>
      <c r="AA637" s="197" t="s">
        <v>168</v>
      </c>
      <c r="AB637" s="197"/>
      <c r="AC637" s="177" t="s">
        <v>524</v>
      </c>
    </row>
    <row r="638" spans="1:29" ht="20.25" customHeight="1">
      <c r="A638" s="217"/>
      <c r="E638" s="187">
        <v>35.75</v>
      </c>
      <c r="F638" s="178">
        <v>2021</v>
      </c>
      <c r="G638" s="188">
        <v>24054000000</v>
      </c>
      <c r="H638" s="188">
        <f>(878900000+338800000)</f>
        <v>1217700000</v>
      </c>
      <c r="I638" s="211">
        <v>878900000</v>
      </c>
      <c r="J638" s="211">
        <v>619000000</v>
      </c>
      <c r="K638" s="188">
        <v>960000000</v>
      </c>
      <c r="L638" s="211">
        <v>3112900000</v>
      </c>
      <c r="M638" s="208">
        <f>L638/P638</f>
        <v>12.633522727272727</v>
      </c>
      <c r="N638" s="190">
        <f>J638/L638</f>
        <v>0.19884994699476372</v>
      </c>
      <c r="O638" s="190">
        <f>(I638*0.6666)/(K638+L638)</f>
        <v>0.14384707211078102</v>
      </c>
      <c r="P638" s="188">
        <v>246400000</v>
      </c>
      <c r="Q638" s="188">
        <f>E638*P638</f>
        <v>8808800000</v>
      </c>
      <c r="R638" s="195">
        <f>Q638/L638</f>
        <v>2.8297728805936586</v>
      </c>
      <c r="S638" s="197">
        <f>(Q638+K638)/H638</f>
        <v>8.0223371930688998</v>
      </c>
      <c r="T638" s="180"/>
      <c r="U638" s="189">
        <f>IFERROR(IF(Tableau3[[#This Row],[Dettes]]=0,"",(Tableau3[[#This Row],[Dettes]]/Tableau3[[#This Row],[EBE]])),"")</f>
        <v>0.78837152007883715</v>
      </c>
      <c r="V638" s="190" t="str">
        <f>IFERROR(Tableau3[[#This Row],[Fonds propres]]/Tableau3[[#This Row],[Total Bilan]],"")</f>
        <v/>
      </c>
      <c r="W638" s="180"/>
      <c r="X638" s="191"/>
      <c r="Y638" s="180">
        <v>11050</v>
      </c>
      <c r="Z638" s="192">
        <f>IFERROR(Tableau3[[#This Row],[Chiffre d''affaires]]/Tableau3[[#This Row],[Salariés]],"")</f>
        <v>2176832.5791855203</v>
      </c>
      <c r="AA638" s="197" t="s">
        <v>525</v>
      </c>
      <c r="AB638" s="197"/>
      <c r="AC638" s="177" t="s">
        <v>526</v>
      </c>
    </row>
    <row r="639" spans="1:29" ht="20.25" customHeight="1">
      <c r="A639" s="217"/>
      <c r="E639" s="187"/>
      <c r="G639" s="202">
        <f>(G638/G640)-1</f>
        <v>0.16146228168864463</v>
      </c>
      <c r="H639" s="203">
        <f>(H638/H640)-1</f>
        <v>0.82536351371608463</v>
      </c>
      <c r="I639" s="203">
        <f>(I638/I640)-1</f>
        <v>1.885423506237689</v>
      </c>
      <c r="J639" s="203">
        <f>(J638/J640)-1</f>
        <v>3.7432950191570882</v>
      </c>
      <c r="K639" s="188"/>
      <c r="L639" s="211"/>
      <c r="M639" s="208"/>
      <c r="N639" s="190"/>
      <c r="O639" s="190"/>
      <c r="P639" s="188"/>
      <c r="Q639" s="188"/>
      <c r="R639" s="195"/>
      <c r="S639" s="197"/>
      <c r="T639" s="180"/>
      <c r="U639" s="189" t="str">
        <f>IFERROR(IF(Tableau3[[#This Row],[Dettes]]=0,"",(Tableau3[[#This Row],[Dettes]]/Tableau3[[#This Row],[EBE]])),"")</f>
        <v/>
      </c>
      <c r="V639" s="190" t="str">
        <f>IFERROR(Tableau3[[#This Row],[Fonds propres]]/Tableau3[[#This Row],[Total Bilan]],"")</f>
        <v/>
      </c>
      <c r="W639" s="180"/>
      <c r="X639" s="191"/>
      <c r="Y639" s="180"/>
      <c r="Z639" s="192" t="str">
        <f>IFERROR(Tableau3[[#This Row],[Chiffre d''affaires]]/Tableau3[[#This Row],[Salariés]],"")</f>
        <v/>
      </c>
      <c r="AA639" s="218"/>
      <c r="AB639" s="197"/>
      <c r="AC639" s="177" t="s">
        <v>527</v>
      </c>
    </row>
    <row r="640" spans="1:29" ht="20.25" customHeight="1">
      <c r="A640" s="217"/>
      <c r="E640" s="187">
        <v>44.06</v>
      </c>
      <c r="F640" s="178">
        <v>2020</v>
      </c>
      <c r="G640" s="188">
        <v>20710100000</v>
      </c>
      <c r="H640" s="188">
        <v>667100000</v>
      </c>
      <c r="I640" s="211">
        <v>304600000</v>
      </c>
      <c r="J640" s="211">
        <v>130500000</v>
      </c>
      <c r="K640" s="188">
        <v>1414000000</v>
      </c>
      <c r="L640" s="211">
        <v>2557182000</v>
      </c>
      <c r="M640" s="208">
        <f>L640/P640</f>
        <v>10.378173701298701</v>
      </c>
      <c r="N640" s="190">
        <f>J640/L640</f>
        <v>5.1032738381546559E-2</v>
      </c>
      <c r="O640" s="190">
        <f>(I640*0.6666)/(K640+L640)</f>
        <v>5.1129955766318444E-2</v>
      </c>
      <c r="P640" s="188">
        <v>246400000</v>
      </c>
      <c r="Q640" s="188">
        <f>E640*P640</f>
        <v>10856384000</v>
      </c>
      <c r="R640" s="195">
        <f>Q640/L640</f>
        <v>4.2454483098973794</v>
      </c>
      <c r="S640" s="197">
        <f>(Q640+K640)/H640</f>
        <v>18.393620146904514</v>
      </c>
      <c r="T640" s="180"/>
      <c r="U640" s="189">
        <f>IFERROR(IF(Tableau3[[#This Row],[Dettes]]=0,"",(Tableau3[[#This Row],[Dettes]]/Tableau3[[#This Row],[EBE]])),"")</f>
        <v>2.1196222455403988</v>
      </c>
      <c r="V640" s="190" t="str">
        <f>IFERROR(Tableau3[[#This Row],[Fonds propres]]/Tableau3[[#This Row],[Total Bilan]],"")</f>
        <v/>
      </c>
      <c r="W640" s="180"/>
      <c r="X640" s="191"/>
      <c r="Y640" s="180">
        <v>11006</v>
      </c>
      <c r="Z640" s="192">
        <f>IFERROR(Tableau3[[#This Row],[Chiffre d''affaires]]/Tableau3[[#This Row],[Salariés]],"")</f>
        <v>1881709.9763765219</v>
      </c>
      <c r="AA640" s="197"/>
      <c r="AB640" s="197"/>
      <c r="AC640" s="177" t="s">
        <v>528</v>
      </c>
    </row>
    <row r="641" spans="1:29" ht="20.25" customHeight="1">
      <c r="A641" s="217"/>
      <c r="E641" s="187"/>
      <c r="G641" s="202">
        <f>(G640/G642)-1</f>
        <v>0.18444410892029084</v>
      </c>
      <c r="H641" s="203">
        <f>(H640/H642)-1</f>
        <v>-0.14255711037504615</v>
      </c>
      <c r="I641" s="203">
        <f>(I640/I642)-1</f>
        <v>-0.35252654938738726</v>
      </c>
      <c r="J641" s="203">
        <f>(J640/J642)-1</f>
        <v>-0.54654593090124437</v>
      </c>
      <c r="K641" s="188"/>
      <c r="L641" s="211"/>
      <c r="M641" s="208"/>
      <c r="N641" s="190"/>
      <c r="O641" s="190"/>
      <c r="P641" s="188"/>
      <c r="Q641" s="188"/>
      <c r="R641" s="195"/>
      <c r="S641" s="197"/>
      <c r="T641" s="180"/>
      <c r="U641" s="189" t="str">
        <f>IFERROR(IF(Tableau3[[#This Row],[Dettes]]=0,"",(Tableau3[[#This Row],[Dettes]]/Tableau3[[#This Row],[EBE]])),"")</f>
        <v/>
      </c>
      <c r="V641" s="190" t="str">
        <f>IFERROR(Tableau3[[#This Row],[Fonds propres]]/Tableau3[[#This Row],[Total Bilan]],"")</f>
        <v/>
      </c>
      <c r="W641" s="180"/>
      <c r="X641" s="191"/>
      <c r="Y641" s="180"/>
      <c r="Z641" s="192" t="str">
        <f>IFERROR(Tableau3[[#This Row],[Chiffre d''affaires]]/Tableau3[[#This Row],[Salariés]],"")</f>
        <v/>
      </c>
      <c r="AA641" s="197"/>
      <c r="AB641" s="197"/>
      <c r="AC641" s="177" t="s">
        <v>529</v>
      </c>
    </row>
    <row r="642" spans="1:29" ht="20.25" customHeight="1">
      <c r="A642" s="217"/>
      <c r="E642" s="187">
        <v>43.35</v>
      </c>
      <c r="F642" s="178">
        <v>2019</v>
      </c>
      <c r="G642" s="188">
        <v>17485080000</v>
      </c>
      <c r="H642" s="188">
        <v>778011000</v>
      </c>
      <c r="I642" s="211">
        <v>470444000</v>
      </c>
      <c r="J642" s="211">
        <v>287791000</v>
      </c>
      <c r="K642" s="188">
        <v>1443000000</v>
      </c>
      <c r="L642" s="211">
        <v>2593467474</v>
      </c>
      <c r="M642" s="208">
        <f>L642/P642</f>
        <v>10.525436176948052</v>
      </c>
      <c r="N642" s="190">
        <f>J642/L642</f>
        <v>0.11096765349292366</v>
      </c>
      <c r="O642" s="190">
        <f>(I642*0.6666)/(K642+L642)</f>
        <v>7.7691192216949839E-2</v>
      </c>
      <c r="P642" s="188">
        <v>246400000</v>
      </c>
      <c r="Q642" s="188">
        <f>E642*P642</f>
        <v>10681440000</v>
      </c>
      <c r="R642" s="195">
        <f>Q642/L642</f>
        <v>4.1185941628662972</v>
      </c>
      <c r="S642" s="197">
        <f>(Q642+K642)/H642</f>
        <v>15.583892772724294</v>
      </c>
      <c r="T642" s="180"/>
      <c r="U642" s="189">
        <f>IFERROR(IF(Tableau3[[#This Row],[Dettes]]=0,"",(Tableau3[[#This Row],[Dettes]]/Tableau3[[#This Row],[EBE]])),"")</f>
        <v>1.8547295603789664</v>
      </c>
      <c r="V642" s="190" t="str">
        <f>IFERROR(Tableau3[[#This Row],[Fonds propres]]/Tableau3[[#This Row],[Total Bilan]],"")</f>
        <v/>
      </c>
      <c r="W642" s="180"/>
      <c r="X642" s="191"/>
      <c r="Y642" s="180">
        <v>11152</v>
      </c>
      <c r="Z642" s="192">
        <f>IFERROR(Tableau3[[#This Row],[Chiffre d''affaires]]/Tableau3[[#This Row],[Salariés]],"")</f>
        <v>1567887.3744619798</v>
      </c>
      <c r="AA642" s="197"/>
      <c r="AB642" s="197"/>
      <c r="AC642" s="177" t="s">
        <v>530</v>
      </c>
    </row>
    <row r="643" spans="1:29" ht="20.25" customHeight="1">
      <c r="A643" s="217"/>
      <c r="E643" s="187"/>
      <c r="G643" s="202">
        <f>(G642/G644)-1</f>
        <v>0.2747259060226932</v>
      </c>
      <c r="H643" s="203">
        <f>(H642/H644)-1</f>
        <v>7.9958856647899479E-2</v>
      </c>
      <c r="I643" s="203">
        <f>(I642/I644)-1</f>
        <v>-4.622845395603814E-2</v>
      </c>
      <c r="J643" s="203">
        <f>(J642/J644)-1</f>
        <v>-9.2096131035004913E-2</v>
      </c>
      <c r="K643" s="188"/>
      <c r="L643" s="211"/>
      <c r="M643" s="208"/>
      <c r="N643" s="190"/>
      <c r="O643" s="190"/>
      <c r="P643" s="188"/>
      <c r="Q643" s="188"/>
      <c r="R643" s="195"/>
      <c r="S643" s="197"/>
      <c r="T643" s="180"/>
      <c r="U643" s="189" t="str">
        <f>IFERROR(IF(Tableau3[[#This Row],[Dettes]]=0,"",(Tableau3[[#This Row],[Dettes]]/Tableau3[[#This Row],[EBE]])),"")</f>
        <v/>
      </c>
      <c r="V643" s="190" t="str">
        <f>IFERROR(Tableau3[[#This Row],[Fonds propres]]/Tableau3[[#This Row],[Total Bilan]],"")</f>
        <v/>
      </c>
      <c r="W643" s="180"/>
      <c r="X643" s="191"/>
      <c r="Y643" s="180"/>
      <c r="Z643" s="192"/>
      <c r="AA643" s="197"/>
      <c r="AB643" s="197"/>
      <c r="AC643" s="177" t="s">
        <v>531</v>
      </c>
    </row>
    <row r="644" spans="1:29" ht="20.25" customHeight="1">
      <c r="A644" s="217"/>
      <c r="E644" s="187">
        <v>36.36</v>
      </c>
      <c r="F644" s="178">
        <v>2018</v>
      </c>
      <c r="G644" s="188">
        <v>13716737000</v>
      </c>
      <c r="H644" s="188">
        <v>720408000</v>
      </c>
      <c r="I644" s="211">
        <v>493246000</v>
      </c>
      <c r="J644" s="211">
        <v>316984000</v>
      </c>
      <c r="K644" s="188">
        <v>861000000</v>
      </c>
      <c r="L644" s="211">
        <v>2609408000</v>
      </c>
      <c r="M644" s="208">
        <f>L644/P644</f>
        <v>10.59012987012987</v>
      </c>
      <c r="N644" s="190">
        <f>J644/L644</f>
        <v>0.12147736191503973</v>
      </c>
      <c r="O644" s="190">
        <f>(I644*0.6666)/(K644+L644)</f>
        <v>9.4743264653608439E-2</v>
      </c>
      <c r="P644" s="188">
        <v>246400000</v>
      </c>
      <c r="Q644" s="188">
        <f>E644*P644</f>
        <v>8959104000</v>
      </c>
      <c r="R644" s="195">
        <f>Q644/L644</f>
        <v>3.4333856568233103</v>
      </c>
      <c r="S644" s="197">
        <f>(Q644+K644)/H644</f>
        <v>13.631308924942532</v>
      </c>
      <c r="T644" s="180"/>
      <c r="U644" s="189">
        <f>IFERROR(IF(Tableau3[[#This Row],[Dettes]]=0,"",(Tableau3[[#This Row],[Dettes]]/Tableau3[[#This Row],[EBE]])),"")</f>
        <v>1.1951560782223407</v>
      </c>
      <c r="V644" s="190" t="str">
        <f>IFERROR(Tableau3[[#This Row],[Fonds propres]]/Tableau3[[#This Row],[Total Bilan]],"")</f>
        <v/>
      </c>
      <c r="W644" s="180"/>
      <c r="X644" s="191"/>
      <c r="Y644" s="180">
        <v>10420</v>
      </c>
      <c r="Z644" s="192">
        <f>IFERROR(Tableau3[[#This Row],[Chiffre d''affaires]]/Tableau3[[#This Row],[Salariés]],"")</f>
        <v>1316385.5086372362</v>
      </c>
      <c r="AA644" s="197"/>
      <c r="AB644" s="197"/>
      <c r="AC644" s="177" t="s">
        <v>532</v>
      </c>
    </row>
    <row r="645" spans="1:29" ht="20.25" customHeight="1">
      <c r="A645" s="217"/>
      <c r="E645" s="187"/>
      <c r="G645" s="202">
        <f>(G644/G646)-1</f>
        <v>0.1481069640714392</v>
      </c>
      <c r="H645" s="203">
        <f>(H644/H646)-1</f>
        <v>0.39669983888885652</v>
      </c>
      <c r="I645" s="203">
        <f>(I644/I646)-1</f>
        <v>0.58046076452305417</v>
      </c>
      <c r="J645" s="203">
        <f>(J644/J646)-1</f>
        <v>0.49560966863732236</v>
      </c>
      <c r="K645" s="188"/>
      <c r="L645" s="211"/>
      <c r="M645" s="208"/>
      <c r="N645" s="190"/>
      <c r="O645" s="190"/>
      <c r="P645" s="188"/>
      <c r="Q645" s="188"/>
      <c r="R645" s="195"/>
      <c r="S645" s="197"/>
      <c r="T645" s="180"/>
      <c r="U645" s="189" t="str">
        <f>IFERROR(IF(Tableau3[[#This Row],[Dettes]]=0,"",(Tableau3[[#This Row],[Dettes]]/Tableau3[[#This Row],[EBE]])),"")</f>
        <v/>
      </c>
      <c r="V645" s="190" t="str">
        <f>IFERROR(Tableau3[[#This Row],[Fonds propres]]/Tableau3[[#This Row],[Total Bilan]],"")</f>
        <v/>
      </c>
      <c r="W645" s="180"/>
      <c r="X645" s="191"/>
      <c r="Y645" s="180"/>
      <c r="Z645" s="192" t="str">
        <f>IFERROR(Tableau3[[#This Row],[Chiffre d''affaires]]/Tableau3[[#This Row],[Salariés]],"")</f>
        <v/>
      </c>
      <c r="AA645" s="197"/>
      <c r="AB645" s="197"/>
    </row>
    <row r="646" spans="1:29" ht="20.25" customHeight="1">
      <c r="A646" s="217"/>
      <c r="E646" s="187">
        <v>45.1</v>
      </c>
      <c r="F646" s="178">
        <v>2017</v>
      </c>
      <c r="G646" s="188">
        <v>11947264000</v>
      </c>
      <c r="H646" s="188">
        <v>515793000</v>
      </c>
      <c r="I646" s="211">
        <v>312090000</v>
      </c>
      <c r="J646" s="211">
        <v>211943000</v>
      </c>
      <c r="K646" s="188">
        <v>840000000</v>
      </c>
      <c r="L646" s="211">
        <v>1803000000</v>
      </c>
      <c r="M646" s="208">
        <f>L646/P646</f>
        <v>8.0491071428571423</v>
      </c>
      <c r="N646" s="190">
        <f>J646/L646</f>
        <v>0.1175501941209096</v>
      </c>
      <c r="O646" s="190">
        <f>(I646*0.6666)/(K646+L646)</f>
        <v>7.8713278093076045E-2</v>
      </c>
      <c r="P646" s="188">
        <v>224000000</v>
      </c>
      <c r="Q646" s="188">
        <f>E646*P646</f>
        <v>10102400000</v>
      </c>
      <c r="R646" s="195">
        <f>Q646/L646</f>
        <v>5.6031059345535219</v>
      </c>
      <c r="S646" s="197">
        <f>(Q646+K646)/H646</f>
        <v>21.214712103498883</v>
      </c>
      <c r="T646" s="180"/>
      <c r="U646" s="189">
        <f>IFERROR(IF(Tableau3[[#This Row],[Dettes]]=0,"",(Tableau3[[#This Row],[Dettes]]/Tableau3[[#This Row],[EBE]])),"")</f>
        <v>1.6285602945367619</v>
      </c>
      <c r="V646" s="190" t="str">
        <f>IFERROR(Tableau3[[#This Row],[Fonds propres]]/Tableau3[[#This Row],[Total Bilan]],"")</f>
        <v/>
      </c>
      <c r="W646" s="180"/>
      <c r="X646" s="191"/>
      <c r="Y646" s="180">
        <v>9769</v>
      </c>
      <c r="Z646" s="192">
        <f>IFERROR(Tableau3[[#This Row],[Chiffre d''affaires]]/Tableau3[[#This Row],[Salariés]],"")</f>
        <v>1222977.1726891187</v>
      </c>
      <c r="AA646" s="197"/>
      <c r="AB646" s="197"/>
    </row>
    <row r="647" spans="1:29" ht="20.25" customHeight="1">
      <c r="A647" s="217"/>
      <c r="E647" s="187"/>
      <c r="G647" s="202">
        <f>(G646/G648)-1</f>
        <v>0.14398593350665267</v>
      </c>
      <c r="H647" s="203">
        <f>(H646/H648)-1</f>
        <v>0.16895187243339294</v>
      </c>
      <c r="I647" s="203">
        <f>(I646/I648)-1</f>
        <v>0.25354466071672443</v>
      </c>
      <c r="J647" s="203">
        <f>(J646/J648)-1</f>
        <v>0.62130136776720413</v>
      </c>
      <c r="K647" s="188"/>
      <c r="L647" s="211"/>
      <c r="M647" s="208"/>
      <c r="N647" s="190"/>
      <c r="O647" s="190"/>
      <c r="P647" s="188"/>
      <c r="Q647" s="188"/>
      <c r="R647" s="195"/>
      <c r="S647" s="197"/>
      <c r="T647" s="180"/>
      <c r="U647" s="189" t="str">
        <f>IFERROR(IF(Tableau3[[#This Row],[Dettes]]=0,"",(Tableau3[[#This Row],[Dettes]]/Tableau3[[#This Row],[EBE]])),"")</f>
        <v/>
      </c>
      <c r="V647" s="190" t="str">
        <f>IFERROR(Tableau3[[#This Row],[Fonds propres]]/Tableau3[[#This Row],[Total Bilan]],"")</f>
        <v/>
      </c>
      <c r="W647" s="180"/>
      <c r="X647" s="191"/>
      <c r="Y647" s="180"/>
      <c r="Z647" s="192" t="str">
        <f>IFERROR(Tableau3[[#This Row],[Chiffre d''affaires]]/Tableau3[[#This Row],[Salariés]],"")</f>
        <v/>
      </c>
      <c r="AA647" s="197"/>
      <c r="AB647" s="197"/>
    </row>
    <row r="648" spans="1:29" ht="20.25" customHeight="1">
      <c r="A648" s="217"/>
      <c r="E648" s="187">
        <v>27.2</v>
      </c>
      <c r="F648" s="178">
        <v>2016</v>
      </c>
      <c r="G648" s="188">
        <v>10443541000</v>
      </c>
      <c r="H648" s="188">
        <v>441244000</v>
      </c>
      <c r="I648" s="211">
        <v>248966000</v>
      </c>
      <c r="J648" s="211">
        <v>130724000</v>
      </c>
      <c r="K648" s="188">
        <v>296000000</v>
      </c>
      <c r="L648" s="211">
        <v>1790000000</v>
      </c>
      <c r="M648" s="208">
        <f>L648/P648</f>
        <v>7.9910714285714288</v>
      </c>
      <c r="N648" s="190">
        <f>J648/L648</f>
        <v>7.3030167597765358E-2</v>
      </c>
      <c r="O648" s="190">
        <f>(I648*0.6666)/(K648+L648)</f>
        <v>7.95593171620326E-2</v>
      </c>
      <c r="P648" s="188">
        <v>224000000</v>
      </c>
      <c r="Q648" s="188">
        <f>E648*P648</f>
        <v>6092800000</v>
      </c>
      <c r="R648" s="195">
        <f>Q648/L648</f>
        <v>3.4037988826815644</v>
      </c>
      <c r="S648" s="197">
        <f>(Q648+K648)/H648</f>
        <v>14.479063737977174</v>
      </c>
      <c r="T648" s="180"/>
      <c r="U648" s="189">
        <f>IFERROR(IF(Tableau3[[#This Row],[Dettes]]=0,"",(Tableau3[[#This Row],[Dettes]]/Tableau3[[#This Row],[EBE]])),"")</f>
        <v>0.67083065152160715</v>
      </c>
      <c r="V648" s="190" t="str">
        <f>IFERROR(Tableau3[[#This Row],[Fonds propres]]/Tableau3[[#This Row],[Total Bilan]],"")</f>
        <v/>
      </c>
      <c r="W648" s="180"/>
      <c r="X648" s="191"/>
      <c r="Y648" s="180">
        <v>9921</v>
      </c>
      <c r="Z648" s="192">
        <f>IFERROR(Tableau3[[#This Row],[Chiffre d''affaires]]/Tableau3[[#This Row],[Salariés]],"")</f>
        <v>1052670.194536841</v>
      </c>
      <c r="AA648" s="197"/>
      <c r="AB648" s="197"/>
    </row>
    <row r="649" spans="1:29" ht="20.25" customHeight="1">
      <c r="A649" s="217"/>
      <c r="E649" s="187"/>
      <c r="G649" s="202">
        <f>(G648/G650)-1</f>
        <v>7.6910726632180682E-2</v>
      </c>
      <c r="H649" s="203">
        <f>(H648/H650)-1</f>
        <v>-1.8775137194225744E-3</v>
      </c>
      <c r="I649" s="203">
        <f>(I648/I650)-1</f>
        <v>0.11527917144495414</v>
      </c>
      <c r="J649" s="203">
        <f>(J648/J650)-1</f>
        <v>-0.22751366523858763</v>
      </c>
      <c r="K649" s="188"/>
      <c r="L649" s="211"/>
      <c r="M649" s="208"/>
      <c r="N649" s="190"/>
      <c r="O649" s="190"/>
      <c r="P649" s="188"/>
      <c r="Q649" s="188"/>
      <c r="R649" s="195"/>
      <c r="S649" s="197"/>
      <c r="T649" s="180"/>
      <c r="U649" s="189" t="str">
        <f>IFERROR(IF(Tableau3[[#This Row],[Dettes]]=0,"",(Tableau3[[#This Row],[Dettes]]/Tableau3[[#This Row],[EBE]])),"")</f>
        <v/>
      </c>
      <c r="V649" s="190" t="str">
        <f>IFERROR(Tableau3[[#This Row],[Fonds propres]]/Tableau3[[#This Row],[Total Bilan]],"")</f>
        <v/>
      </c>
      <c r="W649" s="180"/>
      <c r="X649" s="191"/>
      <c r="Y649" s="180"/>
      <c r="Z649" s="192" t="str">
        <f>IFERROR(Tableau3[[#This Row],[Chiffre d''affaires]]/Tableau3[[#This Row],[Salariés]],"")</f>
        <v/>
      </c>
      <c r="AA649" s="197"/>
      <c r="AB649" s="197"/>
    </row>
    <row r="650" spans="1:29" ht="20.25" customHeight="1">
      <c r="A650" s="217"/>
      <c r="E650" s="187">
        <v>16.96</v>
      </c>
      <c r="F650" s="178">
        <v>2015</v>
      </c>
      <c r="G650" s="188">
        <v>9697685000</v>
      </c>
      <c r="H650" s="188">
        <v>442074000</v>
      </c>
      <c r="I650" s="211">
        <v>223232000</v>
      </c>
      <c r="J650" s="211">
        <v>169225000</v>
      </c>
      <c r="K650" s="188">
        <v>321000000</v>
      </c>
      <c r="L650" s="211">
        <v>1732000000</v>
      </c>
      <c r="M650" s="208">
        <f>L650/P650</f>
        <v>7.7321428571428568</v>
      </c>
      <c r="N650" s="190">
        <f>J650/L650</f>
        <v>9.7704965357967674E-2</v>
      </c>
      <c r="O650" s="190">
        <f>(I650*0.6666)/(K650+L650)</f>
        <v>7.2482440915733068E-2</v>
      </c>
      <c r="P650" s="188">
        <v>224000000</v>
      </c>
      <c r="Q650" s="188">
        <f>E650*P650</f>
        <v>3799040000</v>
      </c>
      <c r="R650" s="195">
        <f>Q650/L650</f>
        <v>2.1934411085450347</v>
      </c>
      <c r="S650" s="197">
        <f>(Q650+K650)/H650</f>
        <v>9.3197971380357139</v>
      </c>
      <c r="T650" s="180"/>
      <c r="U650" s="189">
        <f>IFERROR(IF(Tableau3[[#This Row],[Dettes]]=0,"",(Tableau3[[#This Row],[Dettes]]/Tableau3[[#This Row],[EBE]])),"")</f>
        <v>0.72612277582486195</v>
      </c>
      <c r="V650" s="190" t="str">
        <f>IFERROR(Tableau3[[#This Row],[Fonds propres]]/Tableau3[[#This Row],[Total Bilan]],"")</f>
        <v/>
      </c>
      <c r="W650" s="180"/>
      <c r="X650" s="191"/>
      <c r="Y650" s="180"/>
      <c r="Z650" s="192" t="str">
        <f>IFERROR(Tableau3[[#This Row],[Chiffre d''affaires]]/Tableau3[[#This Row],[Salariés]],"")</f>
        <v/>
      </c>
      <c r="AA650" s="197"/>
      <c r="AB650" s="197"/>
    </row>
    <row r="651" spans="1:29" ht="20.25" customHeight="1">
      <c r="A651" s="217"/>
      <c r="E651" s="187"/>
      <c r="G651" s="188"/>
      <c r="H651" s="188"/>
      <c r="I651" s="211"/>
      <c r="J651" s="211"/>
      <c r="K651" s="188"/>
      <c r="L651" s="211"/>
      <c r="M651" s="208"/>
      <c r="N651" s="190"/>
      <c r="O651" s="190"/>
      <c r="P651" s="188"/>
      <c r="Q651" s="188"/>
      <c r="R651" s="195"/>
      <c r="S651" s="197"/>
      <c r="T651" s="180"/>
      <c r="U651" s="189" t="str">
        <f>IFERROR(IF(Tableau3[[#This Row],[Dettes]]=0,"",(Tableau3[[#This Row],[Dettes]]/Tableau3[[#This Row],[EBE]])),"")</f>
        <v/>
      </c>
      <c r="V651" s="190" t="str">
        <f>IFERROR(Tableau3[[#This Row],[Fonds propres]]/Tableau3[[#This Row],[Total Bilan]],"")</f>
        <v/>
      </c>
      <c r="W651" s="180"/>
      <c r="X651" s="191"/>
      <c r="Y651" s="180"/>
      <c r="Z651" s="192" t="str">
        <f>IFERROR(Tableau3[[#This Row],[Chiffre d''affaires]]/Tableau3[[#This Row],[Salariés]],"")</f>
        <v/>
      </c>
      <c r="AA651" s="197"/>
      <c r="AB651" s="197"/>
    </row>
    <row r="652" spans="1:29" ht="20.25" customHeight="1">
      <c r="A652" s="217"/>
      <c r="E652" s="187"/>
      <c r="G652" s="188"/>
      <c r="H652" s="188"/>
      <c r="I652" s="211"/>
      <c r="J652" s="211"/>
      <c r="K652" s="188"/>
      <c r="L652" s="211"/>
      <c r="M652" s="208"/>
      <c r="N652" s="190"/>
      <c r="O652" s="190"/>
      <c r="P652" s="188"/>
      <c r="Q652" s="188"/>
      <c r="R652" s="195"/>
      <c r="S652" s="197"/>
      <c r="T652" s="180"/>
      <c r="U652" s="189" t="str">
        <f>IFERROR(IF(Tableau3[[#This Row],[Dettes]]=0,"",(Tableau3[[#This Row],[Dettes]]/Tableau3[[#This Row],[EBE]])),"")</f>
        <v/>
      </c>
      <c r="V652" s="190" t="str">
        <f>IFERROR(Tableau3[[#This Row],[Fonds propres]]/Tableau3[[#This Row],[Total Bilan]],"")</f>
        <v/>
      </c>
      <c r="W652" s="180"/>
      <c r="X652" s="191"/>
      <c r="Y652" s="180"/>
      <c r="Z652" s="192" t="str">
        <f>IFERROR(Tableau3[[#This Row],[Chiffre d''affaires]]/Tableau3[[#This Row],[Salariés]],"")</f>
        <v/>
      </c>
      <c r="AA652" s="197"/>
      <c r="AB652" s="197"/>
    </row>
    <row r="653" spans="1:29" ht="20.25" customHeight="1">
      <c r="A653" s="217"/>
      <c r="E653" s="187"/>
      <c r="G653" s="188"/>
      <c r="H653" s="188"/>
      <c r="I653" s="211"/>
      <c r="J653" s="211"/>
      <c r="K653" s="188"/>
      <c r="L653" s="211"/>
      <c r="M653" s="208"/>
      <c r="N653" s="190"/>
      <c r="O653" s="190"/>
      <c r="P653" s="188"/>
      <c r="Q653" s="188"/>
      <c r="R653" s="195"/>
      <c r="S653" s="197"/>
      <c r="T653" s="180"/>
      <c r="U653" s="189" t="str">
        <f>IFERROR(IF(Tableau3[[#This Row],[Dettes]]=0,"",(Tableau3[[#This Row],[Dettes]]/Tableau3[[#This Row],[EBE]])),"")</f>
        <v/>
      </c>
      <c r="V653" s="190" t="str">
        <f>IFERROR(Tableau3[[#This Row],[Fonds propres]]/Tableau3[[#This Row],[Total Bilan]],"")</f>
        <v/>
      </c>
      <c r="W653" s="180"/>
      <c r="Y653" s="180"/>
      <c r="Z653" s="192" t="str">
        <f>IFERROR(Tableau3[[#This Row],[Chiffre d''affaires]]/Tableau3[[#This Row],[Salariés]],"")</f>
        <v/>
      </c>
      <c r="AA653" s="197"/>
      <c r="AB653" s="197"/>
    </row>
    <row r="654" spans="1:29" ht="20.25" customHeight="1">
      <c r="A654" s="217" t="s">
        <v>533</v>
      </c>
      <c r="B654" s="216" t="s">
        <v>534</v>
      </c>
      <c r="C654" s="178" t="s">
        <v>84</v>
      </c>
      <c r="D654" s="178" t="s">
        <v>85</v>
      </c>
      <c r="E654" s="187">
        <v>21.14</v>
      </c>
      <c r="F654" s="178">
        <v>2025</v>
      </c>
      <c r="G654" s="188">
        <f>4573700000*1.04</f>
        <v>4756648000</v>
      </c>
      <c r="H654" s="188">
        <f>Tableau3[[#This Row],[Chiffre d''affaires]]*0.352</f>
        <v>1674340096</v>
      </c>
      <c r="I654" s="211">
        <f>I656*1.04</f>
        <v>620256000</v>
      </c>
      <c r="J654" s="211">
        <f>J656*1.04</f>
        <v>351312000</v>
      </c>
      <c r="K654" s="188">
        <v>3013000000</v>
      </c>
      <c r="L654" s="211">
        <v>3750000000</v>
      </c>
      <c r="M654" s="208">
        <f>L654/P654</f>
        <v>15.8965663416702</v>
      </c>
      <c r="N654" s="190">
        <f>J654/L656</f>
        <v>9.7640911617565315E-2</v>
      </c>
      <c r="O654" s="190">
        <f>(I654*0.72)/(K654+L654)</f>
        <v>6.6033464438858491E-2</v>
      </c>
      <c r="P654" s="188">
        <v>235900000</v>
      </c>
      <c r="Q654" s="188">
        <f>E654*P654</f>
        <v>4986926000</v>
      </c>
      <c r="R654" s="195">
        <f>Q654/L654</f>
        <v>1.3298469333333334</v>
      </c>
      <c r="S654" s="197">
        <f>(Q654+K654)/H654</f>
        <v>4.7779576079625823</v>
      </c>
      <c r="T654" s="180">
        <v>350000000</v>
      </c>
      <c r="U654" s="189">
        <f>IFERROR(IF(Tableau3[[#This Row],[Dettes]]=0,"",(Tableau3[[#This Row],[Dettes]]/Tableau3[[#This Row],[EBE]])),"")</f>
        <v>1.7995149296120063</v>
      </c>
      <c r="V654" s="190">
        <f>IFERROR(Tableau3[[#This Row],[Fonds propres]]/Tableau3[[#This Row],[Total Bilan]],"")</f>
        <v>0.39893617021276595</v>
      </c>
      <c r="W654" s="180">
        <v>9400000000</v>
      </c>
      <c r="X654" s="191" t="s">
        <v>535</v>
      </c>
      <c r="Y654" s="180"/>
      <c r="Z654" s="192" t="str">
        <f>IFERROR(Tableau3[[#This Row],[Chiffre d''affaires]]/Tableau3[[#This Row],[Salariés]],"")</f>
        <v/>
      </c>
      <c r="AA654" s="197" t="s">
        <v>540</v>
      </c>
      <c r="AB654" s="197"/>
      <c r="AC654" s="177" t="s">
        <v>534</v>
      </c>
    </row>
    <row r="655" spans="1:29" ht="20.25" customHeight="1">
      <c r="A655" s="217"/>
      <c r="E655" s="187"/>
      <c r="G655" s="202">
        <f>(G654/G656)-1</f>
        <v>4.0000000000000036E-2</v>
      </c>
      <c r="H655" s="203">
        <f>(H654/H656)-1</f>
        <v>4.0000000000000036E-2</v>
      </c>
      <c r="I655" s="203">
        <f>(I654/I656)-1</f>
        <v>4.0000000000000036E-2</v>
      </c>
      <c r="J655" s="203">
        <f>(J654/J656)-1</f>
        <v>4.0000000000000036E-2</v>
      </c>
      <c r="K655" s="188"/>
      <c r="L655" s="211"/>
      <c r="M655" s="208"/>
      <c r="N655" s="190"/>
      <c r="O655" s="190"/>
      <c r="P655" s="188"/>
      <c r="Q655" s="188"/>
      <c r="R655" s="195"/>
      <c r="S655" s="197"/>
      <c r="T655" s="180"/>
      <c r="U655" s="189" t="str">
        <f>IFERROR(IF(Tableau3[[#This Row],[Dettes]]=0,"",(Tableau3[[#This Row],[Dettes]]/Tableau3[[#This Row],[EBE]])),"")</f>
        <v/>
      </c>
      <c r="V655" s="190" t="str">
        <f>IFERROR(Tableau3[[#This Row],[Fonds propres]]/Tableau3[[#This Row],[Total Bilan]],"")</f>
        <v/>
      </c>
      <c r="W655" s="180"/>
      <c r="X655" s="191" t="s">
        <v>538</v>
      </c>
      <c r="Y655" s="180"/>
      <c r="Z655" s="192" t="str">
        <f>IFERROR(Tableau3[[#This Row],[Chiffre d''affaires]]/Tableau3[[#This Row],[Salariés]],"")</f>
        <v/>
      </c>
      <c r="AA655" s="197" t="s">
        <v>541</v>
      </c>
      <c r="AB655" s="197"/>
      <c r="AC655" s="177" t="s">
        <v>539</v>
      </c>
    </row>
    <row r="656" spans="1:29" ht="20.25" customHeight="1">
      <c r="A656" s="217"/>
      <c r="E656" s="187">
        <v>18.899999999999999</v>
      </c>
      <c r="F656" s="178">
        <v>2024</v>
      </c>
      <c r="G656" s="188">
        <v>4573700000</v>
      </c>
      <c r="H656" s="188">
        <f>Tableau3[[#This Row],[Chiffre d''affaires]]*0.352</f>
        <v>1609942400</v>
      </c>
      <c r="I656" s="211">
        <v>596400000</v>
      </c>
      <c r="J656" s="211">
        <v>337800000</v>
      </c>
      <c r="K656" s="188">
        <v>3038000000</v>
      </c>
      <c r="L656" s="211">
        <v>3598000000</v>
      </c>
      <c r="M656" s="208">
        <f>L656/P656</f>
        <v>15.633468966349662</v>
      </c>
      <c r="N656" s="190">
        <f>J656/L658</f>
        <v>9.7200241705752019E-2</v>
      </c>
      <c r="O656" s="190">
        <f>(I656*0.72)/(K656+L656)</f>
        <v>6.4708860759493669E-2</v>
      </c>
      <c r="P656" s="188">
        <v>230147257</v>
      </c>
      <c r="Q656" s="188">
        <f>E656*P656</f>
        <v>4349783157.2999992</v>
      </c>
      <c r="R656" s="195">
        <f>Q656/L656</f>
        <v>1.2089447352140075</v>
      </c>
      <c r="S656" s="197">
        <f>(Q656+K656)/H656</f>
        <v>4.5888493633685279</v>
      </c>
      <c r="T656" s="180">
        <v>346400000</v>
      </c>
      <c r="U656" s="189">
        <f>IFERROR(IF(Tableau3[[#This Row],[Dettes]]=0,"",(Tableau3[[#This Row],[Dettes]]/Tableau3[[#This Row],[EBE]])),"")</f>
        <v>1.8870240326610443</v>
      </c>
      <c r="V656" s="190">
        <f>IFERROR(Tableau3[[#This Row],[Fonds propres]]/Tableau3[[#This Row],[Total Bilan]],"")</f>
        <v>0.38327971536314637</v>
      </c>
      <c r="W656" s="180">
        <v>9387400000</v>
      </c>
      <c r="Y656" s="180">
        <v>49070</v>
      </c>
      <c r="Z656" s="192">
        <f>IFERROR(Tableau3[[#This Row],[Chiffre d''affaires]]/Tableau3[[#This Row],[Salariés]],"")</f>
        <v>93207.662522926432</v>
      </c>
      <c r="AA656" s="197" t="s">
        <v>55</v>
      </c>
      <c r="AB656" s="197"/>
      <c r="AC656" s="177" t="s">
        <v>5036</v>
      </c>
    </row>
    <row r="657" spans="1:29" ht="20.25" customHeight="1">
      <c r="A657" s="217"/>
      <c r="E657" s="187"/>
      <c r="G657" s="202">
        <f>(G656/G658)-1</f>
        <v>6.1331043764793147E-2</v>
      </c>
      <c r="H657" s="203">
        <f>(H656/H658)-1</f>
        <v>9.1634391103878388E-2</v>
      </c>
      <c r="I657" s="203">
        <f>(I656/I658)-1</f>
        <v>0.20048309178743962</v>
      </c>
      <c r="J657" s="203">
        <f>(J656/J658)-1</f>
        <v>0.28734756097560976</v>
      </c>
      <c r="K657" s="188"/>
      <c r="L657" s="211"/>
      <c r="M657" s="208"/>
      <c r="N657" s="190"/>
      <c r="O657" s="190"/>
      <c r="P657" s="188"/>
      <c r="Q657" s="188"/>
      <c r="R657" s="195"/>
      <c r="S657" s="197"/>
      <c r="T657" s="180"/>
      <c r="U657" s="189" t="str">
        <f>IFERROR(IF(Tableau3[[#This Row],[Dettes]]=0,"",(Tableau3[[#This Row],[Dettes]]/Tableau3[[#This Row],[EBE]])),"")</f>
        <v/>
      </c>
      <c r="V657" s="190" t="str">
        <f>IFERROR(Tableau3[[#This Row],[Fonds propres]]/Tableau3[[#This Row],[Total Bilan]],"")</f>
        <v/>
      </c>
      <c r="W657" s="180"/>
      <c r="Y657" s="180"/>
      <c r="Z657" s="192" t="str">
        <f>IFERROR(Tableau3[[#This Row],[Chiffre d''affaires]]/Tableau3[[#This Row],[Salariés]],"")</f>
        <v/>
      </c>
      <c r="AB657" s="197"/>
      <c r="AC657" s="177" t="s">
        <v>536</v>
      </c>
    </row>
    <row r="658" spans="1:29" ht="20.25" customHeight="1">
      <c r="A658" s="217"/>
      <c r="E658" s="187">
        <v>18.89</v>
      </c>
      <c r="F658" s="178">
        <v>2023</v>
      </c>
      <c r="G658" s="188">
        <v>4309400000</v>
      </c>
      <c r="H658" s="188">
        <v>1474800000</v>
      </c>
      <c r="I658" s="211">
        <v>496800000</v>
      </c>
      <c r="J658" s="211">
        <v>262400000</v>
      </c>
      <c r="K658" s="188">
        <v>3025400000</v>
      </c>
      <c r="L658" s="211">
        <v>3475300000</v>
      </c>
      <c r="M658" s="208">
        <f>L658/P658</f>
        <v>15.100332045234847</v>
      </c>
      <c r="N658" s="190">
        <f>J658/L660</f>
        <v>8.1744548286604365E-2</v>
      </c>
      <c r="O658" s="190">
        <f>(I658*0.72)/(K658+L658)</f>
        <v>5.5024228160044306E-2</v>
      </c>
      <c r="P658" s="188">
        <v>230147257</v>
      </c>
      <c r="Q658" s="188">
        <f>E658*P658</f>
        <v>4347481684.7300005</v>
      </c>
      <c r="R658" s="195">
        <f>Q658/L658</f>
        <v>1.2509658690559089</v>
      </c>
      <c r="S658" s="197">
        <f>(Q658+K658)/H658</f>
        <v>4.9992417173379442</v>
      </c>
      <c r="T658" s="180">
        <v>303000000</v>
      </c>
      <c r="U658" s="189">
        <f>IFERROR(IF(Tableau3[[#This Row],[Dettes]]=0,"",(Tableau3[[#This Row],[Dettes]]/Tableau3[[#This Row],[EBE]])),"")</f>
        <v>2.0513967995660427</v>
      </c>
      <c r="V658" s="190">
        <f>IFERROR(Tableau3[[#This Row],[Fonds propres]]/Tableau3[[#This Row],[Total Bilan]],"")</f>
        <v>0.37348737238044061</v>
      </c>
      <c r="W658" s="180">
        <v>9305000000</v>
      </c>
      <c r="Y658" s="180">
        <v>49070</v>
      </c>
      <c r="Z658" s="192">
        <f>IFERROR(Tableau3[[#This Row],[Chiffre d''affaires]]/Tableau3[[#This Row],[Salariés]],"")</f>
        <v>87821.47951905441</v>
      </c>
      <c r="AB658" s="197"/>
      <c r="AC658" s="177" t="s">
        <v>5035</v>
      </c>
    </row>
    <row r="659" spans="1:29" ht="20.25" customHeight="1">
      <c r="A659" s="217"/>
      <c r="E659" s="187"/>
      <c r="G659" s="202">
        <f>(G658/G660)-1</f>
        <v>0.12784945955141458</v>
      </c>
      <c r="H659" s="203">
        <f>(H658/H660)-1</f>
        <v>0.16964351568764147</v>
      </c>
      <c r="I659" s="203">
        <f>(I658/I660)-1</f>
        <v>0.33620225927918246</v>
      </c>
      <c r="J659" s="203">
        <f>(J658/J660)-1</f>
        <v>0.28250244379276634</v>
      </c>
      <c r="K659" s="188"/>
      <c r="L659" s="211"/>
      <c r="M659" s="208"/>
      <c r="N659" s="190"/>
      <c r="O659" s="190"/>
      <c r="P659" s="188"/>
      <c r="Q659" s="188"/>
      <c r="R659" s="195"/>
      <c r="S659" s="197"/>
      <c r="T659" s="180"/>
      <c r="U659" s="189" t="str">
        <f>IFERROR(IF(Tableau3[[#This Row],[Dettes]]=0,"",(Tableau3[[#This Row],[Dettes]]/Tableau3[[#This Row],[EBE]])),"")</f>
        <v/>
      </c>
      <c r="V659" s="190" t="str">
        <f>IFERROR(Tableau3[[#This Row],[Fonds propres]]/Tableau3[[#This Row],[Total Bilan]],"")</f>
        <v/>
      </c>
      <c r="W659" s="180"/>
      <c r="Y659" s="180"/>
      <c r="Z659" s="192" t="str">
        <f>IFERROR(Tableau3[[#This Row],[Chiffre d''affaires]]/Tableau3[[#This Row],[Salariés]],"")</f>
        <v/>
      </c>
      <c r="AB659" s="197"/>
      <c r="AC659" s="177" t="s">
        <v>5046</v>
      </c>
    </row>
    <row r="660" spans="1:29" ht="20.25" customHeight="1">
      <c r="A660" s="217"/>
      <c r="E660" s="187">
        <v>13.82</v>
      </c>
      <c r="F660" s="178">
        <v>2022</v>
      </c>
      <c r="G660" s="188">
        <v>3820900000</v>
      </c>
      <c r="H660" s="188">
        <f>G660*0.33</f>
        <v>1260897000</v>
      </c>
      <c r="I660" s="211">
        <v>371800000</v>
      </c>
      <c r="J660" s="211">
        <v>204600000</v>
      </c>
      <c r="K660" s="188">
        <v>3177600000</v>
      </c>
      <c r="L660" s="188">
        <v>3210000000</v>
      </c>
      <c r="M660" s="208">
        <f>L660/P660</f>
        <v>13.984010838836902</v>
      </c>
      <c r="N660" s="190">
        <f>J660/L662</f>
        <v>6.7907995618838993E-2</v>
      </c>
      <c r="O660" s="190">
        <f>(I660*0.72)/(K660+L660)</f>
        <v>4.1908698102573735E-2</v>
      </c>
      <c r="P660" s="188">
        <v>229547877</v>
      </c>
      <c r="Q660" s="188">
        <f>E660*P660</f>
        <v>3172351660.1399999</v>
      </c>
      <c r="R660" s="195">
        <f>Q660/L660</f>
        <v>0.9882715452149532</v>
      </c>
      <c r="S660" s="197">
        <f>(Q660+K660)/H660</f>
        <v>5.0360589803449445</v>
      </c>
      <c r="T660" s="180">
        <v>225000000</v>
      </c>
      <c r="U660" s="189">
        <f>IFERROR(IF(Tableau3[[#This Row],[Dettes]]=0,"",(Tableau3[[#This Row],[Dettes]]/Tableau3[[#This Row],[EBE]])),"")</f>
        <v>2.5201106831089297</v>
      </c>
      <c r="V660" s="190">
        <f>IFERROR(Tableau3[[#This Row],[Fonds propres]]/Tableau3[[#This Row],[Total Bilan]],"")</f>
        <v>0.39925373134328357</v>
      </c>
      <c r="W660" s="180">
        <v>8040000000</v>
      </c>
      <c r="X660" s="191"/>
      <c r="Y660" s="180">
        <v>49070</v>
      </c>
      <c r="Z660" s="192">
        <f>IFERROR(Tableau3[[#This Row],[Chiffre d''affaires]]/Tableau3[[#This Row],[Salariés]],"")</f>
        <v>77866.313429794172</v>
      </c>
      <c r="AB660" s="197"/>
      <c r="AC660" s="177" t="s">
        <v>5032</v>
      </c>
    </row>
    <row r="661" spans="1:29" ht="20.25" customHeight="1">
      <c r="A661" s="217"/>
      <c r="E661" s="187"/>
      <c r="G661" s="202">
        <f>(G660/G662)-1</f>
        <v>0.25345274415247854</v>
      </c>
      <c r="H661" s="203">
        <f>(H660/H662)-1</f>
        <v>0.19845737097234095</v>
      </c>
      <c r="I661" s="203">
        <f>(I660/I662)-1</f>
        <v>0.42179732313575524</v>
      </c>
      <c r="J661" s="203">
        <f>(J660/J662)-1</f>
        <v>0.79002624671916011</v>
      </c>
      <c r="K661" s="188"/>
      <c r="L661" s="211"/>
      <c r="M661" s="208"/>
      <c r="N661" s="190"/>
      <c r="O661" s="190"/>
      <c r="P661" s="188"/>
      <c r="Q661" s="188"/>
      <c r="R661" s="195"/>
      <c r="S661" s="197"/>
      <c r="T661" s="180"/>
      <c r="U661" s="189" t="str">
        <f>IFERROR(IF(Tableau3[[#This Row],[Dettes]]=0,"",(Tableau3[[#This Row],[Dettes]]/Tableau3[[#This Row],[EBE]])),"")</f>
        <v/>
      </c>
      <c r="V661" s="190" t="str">
        <f>IFERROR(Tableau3[[#This Row],[Fonds propres]]/Tableau3[[#This Row],[Total Bilan]],"")</f>
        <v/>
      </c>
      <c r="W661" s="180"/>
      <c r="X661" s="191"/>
      <c r="Y661" s="180"/>
      <c r="Z661" s="192" t="str">
        <f>IFERROR(Tableau3[[#This Row],[Chiffre d''affaires]]/Tableau3[[#This Row],[Salariés]],"")</f>
        <v/>
      </c>
      <c r="AA661" s="197"/>
      <c r="AB661" s="197"/>
      <c r="AC661" s="177" t="s">
        <v>542</v>
      </c>
    </row>
    <row r="662" spans="1:29" ht="20.25" customHeight="1">
      <c r="A662" s="217"/>
      <c r="E662" s="187">
        <v>15.22</v>
      </c>
      <c r="F662" s="178">
        <v>2021</v>
      </c>
      <c r="G662" s="188">
        <v>3048300000</v>
      </c>
      <c r="H662" s="188">
        <v>1052100000</v>
      </c>
      <c r="I662" s="211">
        <v>261500000</v>
      </c>
      <c r="J662" s="211">
        <v>114300000</v>
      </c>
      <c r="K662" s="188">
        <f>K664-135400000</f>
        <v>3145600000</v>
      </c>
      <c r="L662" s="188">
        <v>3012900000</v>
      </c>
      <c r="M662" s="208">
        <f>L662/P662</f>
        <v>13.44588401202633</v>
      </c>
      <c r="N662" s="190">
        <f>J662/L664</f>
        <v>4.0715278025148717E-2</v>
      </c>
      <c r="O662" s="190">
        <f>(I662*0.72)/(K662+L662)</f>
        <v>3.0572379637898838E-2</v>
      </c>
      <c r="P662" s="188">
        <v>224076007</v>
      </c>
      <c r="Q662" s="188">
        <f>E662*P662</f>
        <v>3410436826.54</v>
      </c>
      <c r="R662" s="195">
        <f>Q662/L662</f>
        <v>1.131944912390056</v>
      </c>
      <c r="S662" s="197">
        <f>(Q662+K662)/H662</f>
        <v>6.2313818330386841</v>
      </c>
      <c r="T662" s="180">
        <v>228000000</v>
      </c>
      <c r="U662" s="189">
        <f>IFERROR(IF(Tableau3[[#This Row],[Dettes]]=0,"",(Tableau3[[#This Row],[Dettes]]/Tableau3[[#This Row],[EBE]])),"")</f>
        <v>2.989829864081361</v>
      </c>
      <c r="V662" s="190">
        <f>IFERROR(Tableau3[[#This Row],[Fonds propres]]/Tableau3[[#This Row],[Total Bilan]],"")</f>
        <v>0.38332061068702289</v>
      </c>
      <c r="W662" s="180">
        <v>7860000000</v>
      </c>
      <c r="X662" s="191"/>
      <c r="Y662" s="180">
        <v>46668</v>
      </c>
      <c r="Z662" s="192">
        <f>IFERROR(Tableau3[[#This Row],[Chiffre d''affaires]]/Tableau3[[#This Row],[Salariés]],"")</f>
        <v>65318.848032913345</v>
      </c>
      <c r="AA662" s="197"/>
      <c r="AB662" s="197"/>
      <c r="AC662" s="177" t="s">
        <v>543</v>
      </c>
    </row>
    <row r="663" spans="1:29" ht="20.25" customHeight="1">
      <c r="A663" s="217"/>
      <c r="E663" s="187"/>
      <c r="G663" s="202">
        <f>(G662/G664)-1</f>
        <v>8.6234543705234756E-2</v>
      </c>
      <c r="H663" s="203">
        <f>(H662/H664)-1</f>
        <v>0.11039577836411607</v>
      </c>
      <c r="I663" s="203">
        <f>(I662/I664)-1</f>
        <v>-0.10291595197255576</v>
      </c>
      <c r="J663" s="203">
        <f>(J662/J664)-1</f>
        <v>-0.17591925018024512</v>
      </c>
      <c r="K663" s="188"/>
      <c r="L663" s="211"/>
      <c r="M663" s="208"/>
      <c r="N663" s="190"/>
      <c r="O663" s="190"/>
      <c r="P663" s="188"/>
      <c r="Q663" s="188"/>
      <c r="R663" s="195"/>
      <c r="S663" s="197"/>
      <c r="T663" s="180"/>
      <c r="U663" s="189" t="str">
        <f>IFERROR(IF(Tableau3[[#This Row],[Dettes]]=0,"",(Tableau3[[#This Row],[Dettes]]/Tableau3[[#This Row],[EBE]])),"")</f>
        <v/>
      </c>
      <c r="V663" s="190" t="str">
        <f>IFERROR(Tableau3[[#This Row],[Fonds propres]]/Tableau3[[#This Row],[Total Bilan]],"")</f>
        <v/>
      </c>
      <c r="W663" s="180"/>
      <c r="X663" s="191"/>
      <c r="Y663" s="180"/>
      <c r="Z663" s="192" t="str">
        <f>IFERROR(Tableau3[[#This Row],[Chiffre d''affaires]]/Tableau3[[#This Row],[Salariés]],"")</f>
        <v/>
      </c>
      <c r="AA663" s="197"/>
      <c r="AB663" s="197"/>
      <c r="AC663" s="177" t="s">
        <v>544</v>
      </c>
    </row>
    <row r="664" spans="1:29" ht="20.25" customHeight="1">
      <c r="A664" s="217"/>
      <c r="E664" s="187">
        <v>12.34</v>
      </c>
      <c r="F664" s="178">
        <v>2020</v>
      </c>
      <c r="G664" s="188">
        <v>2806300000</v>
      </c>
      <c r="H664" s="188">
        <v>947500000</v>
      </c>
      <c r="I664" s="188">
        <v>291500000</v>
      </c>
      <c r="J664" s="188">
        <v>138700000</v>
      </c>
      <c r="K664" s="188">
        <v>3281000000</v>
      </c>
      <c r="L664" s="188">
        <v>2807300000</v>
      </c>
      <c r="M664" s="208">
        <f>L664/P664</f>
        <v>12.655789440988105</v>
      </c>
      <c r="N664" s="190">
        <f>J664/L666</f>
        <v>4.6926278039043208E-2</v>
      </c>
      <c r="O664" s="190">
        <f>(I664*0.72)/(K664+L664)</f>
        <v>3.4472677101982492E-2</v>
      </c>
      <c r="P664" s="188">
        <v>221819430</v>
      </c>
      <c r="Q664" s="188">
        <f>E664*P664</f>
        <v>2737251766.1999998</v>
      </c>
      <c r="R664" s="195">
        <f>Q664/L664</f>
        <v>0.97504782752110564</v>
      </c>
      <c r="S664" s="197">
        <f>(Q664+K664)/H664</f>
        <v>6.3517169036411607</v>
      </c>
      <c r="T664" s="180">
        <v>216800000</v>
      </c>
      <c r="U664" s="189">
        <f>IFERROR(IF(Tableau3[[#This Row],[Dettes]]=0,"",(Tableau3[[#This Row],[Dettes]]/Tableau3[[#This Row],[EBE]])),"")</f>
        <v>3.462796833773087</v>
      </c>
      <c r="V664" s="190">
        <f>IFERROR(Tableau3[[#This Row],[Fonds propres]]/Tableau3[[#This Row],[Total Bilan]],"")</f>
        <v>0.34235365853658539</v>
      </c>
      <c r="W664" s="180">
        <v>8200000000</v>
      </c>
      <c r="X664" s="191"/>
      <c r="Y664" s="180">
        <v>45774</v>
      </c>
      <c r="Z664" s="192">
        <f>IFERROR(Tableau3[[#This Row],[Chiffre d''affaires]]/Tableau3[[#This Row],[Salariés]],"")</f>
        <v>61307.729278629791</v>
      </c>
      <c r="AA664" s="197"/>
      <c r="AB664" s="197"/>
      <c r="AC664" s="177" t="s">
        <v>5040</v>
      </c>
    </row>
    <row r="665" spans="1:29" ht="20.25" customHeight="1">
      <c r="A665" s="217"/>
      <c r="E665" s="187"/>
      <c r="G665" s="202">
        <f>(G664/G666)-1</f>
        <v>-0.14488999939057834</v>
      </c>
      <c r="H665" s="203">
        <f>(H664/H666)-1</f>
        <v>-0.14097914777878517</v>
      </c>
      <c r="I665" s="203">
        <f>(I664/I666)-1</f>
        <v>-0.359199824137173</v>
      </c>
      <c r="J665" s="203">
        <f>(J664/J666)-1</f>
        <v>-2.186177715091675E-2</v>
      </c>
      <c r="K665" s="188"/>
      <c r="L665" s="211"/>
      <c r="M665" s="208"/>
      <c r="N665" s="190"/>
      <c r="O665" s="190"/>
      <c r="P665" s="188"/>
      <c r="Q665" s="188"/>
      <c r="R665" s="195"/>
      <c r="S665" s="197"/>
      <c r="T665" s="180"/>
      <c r="U665" s="189" t="str">
        <f>IFERROR(IF(Tableau3[[#This Row],[Dettes]]=0,"",(Tableau3[[#This Row],[Dettes]]/Tableau3[[#This Row],[EBE]])),"")</f>
        <v/>
      </c>
      <c r="V665" s="190" t="str">
        <f>IFERROR(Tableau3[[#This Row],[Fonds propres]]/Tableau3[[#This Row],[Total Bilan]],"")</f>
        <v/>
      </c>
      <c r="W665" s="180"/>
      <c r="X665" s="191"/>
      <c r="Y665" s="180"/>
      <c r="Z665" s="192" t="str">
        <f>IFERROR(Tableau3[[#This Row],[Chiffre d''affaires]]/Tableau3[[#This Row],[Salariés]],"")</f>
        <v/>
      </c>
      <c r="AA665" s="197"/>
      <c r="AB665" s="197"/>
      <c r="AC665" s="177" t="s">
        <v>5038</v>
      </c>
    </row>
    <row r="666" spans="1:29" ht="20.25" customHeight="1">
      <c r="A666" s="217"/>
      <c r="E666" s="187">
        <v>16</v>
      </c>
      <c r="F666" s="178">
        <v>2019</v>
      </c>
      <c r="G666" s="188">
        <v>3281800000</v>
      </c>
      <c r="H666" s="188">
        <v>1103000000</v>
      </c>
      <c r="I666" s="188">
        <v>454900000</v>
      </c>
      <c r="J666" s="188">
        <v>141800000</v>
      </c>
      <c r="K666" s="188">
        <v>3372100000</v>
      </c>
      <c r="L666" s="188">
        <v>2955700000</v>
      </c>
      <c r="M666" s="208">
        <f>L666/P666</f>
        <v>13.35621068112124</v>
      </c>
      <c r="N666" s="190">
        <f>J666/L668</f>
        <v>4.9438672338051742E-2</v>
      </c>
      <c r="O666" s="190">
        <f>(I666*0.72)/(K666+L666)</f>
        <v>5.176016941116976E-2</v>
      </c>
      <c r="P666" s="188">
        <v>221297797</v>
      </c>
      <c r="Q666" s="188">
        <f>E666*P666</f>
        <v>3540764752</v>
      </c>
      <c r="R666" s="195">
        <f>Q666/L666</f>
        <v>1.1979445654159759</v>
      </c>
      <c r="S666" s="197">
        <f>(Q666+K666)/H666</f>
        <v>6.2673297842248417</v>
      </c>
      <c r="T666" s="180">
        <v>247500000</v>
      </c>
      <c r="U666" s="189">
        <f>IFERROR(IF(Tableau3[[#This Row],[Dettes]]=0,"",(Tableau3[[#This Row],[Dettes]]/Tableau3[[#This Row],[EBE]])),"")</f>
        <v>3.057207615593835</v>
      </c>
      <c r="V666" s="190">
        <f>IFERROR(Tableau3[[#This Row],[Fonds propres]]/Tableau3[[#This Row],[Total Bilan]],"")</f>
        <v>0.37893589743589745</v>
      </c>
      <c r="W666" s="180">
        <v>7800000000</v>
      </c>
      <c r="X666" s="191"/>
      <c r="Y666" s="180">
        <v>48973</v>
      </c>
      <c r="Z666" s="192">
        <f>IFERROR(Tableau3[[#This Row],[Chiffre d''affaires]]/Tableau3[[#This Row],[Salariés]],"")</f>
        <v>67012.435423600764</v>
      </c>
      <c r="AA666" s="197"/>
      <c r="AB666" s="197"/>
      <c r="AC666" s="177" t="s">
        <v>5039</v>
      </c>
    </row>
    <row r="667" spans="1:29" ht="20.25" customHeight="1">
      <c r="A667" s="217"/>
      <c r="E667" s="187"/>
      <c r="F667" s="214"/>
      <c r="G667" s="202">
        <f>(G666/G668)-1</f>
        <v>4.7394121214055396E-2</v>
      </c>
      <c r="H667" s="203">
        <f>(H666/H668)-1</f>
        <v>0.11911525974025983</v>
      </c>
      <c r="I667" s="203">
        <f>(I666/I668)-1</f>
        <v>6.6838649155722241E-2</v>
      </c>
      <c r="J667" s="203">
        <f>(J666/J668)-1</f>
        <v>0.73349633251833746</v>
      </c>
      <c r="K667" s="188"/>
      <c r="L667" s="178"/>
      <c r="M667" s="177"/>
      <c r="N667" s="178"/>
      <c r="O667" s="177"/>
      <c r="P667" s="188"/>
      <c r="Q667" s="188"/>
      <c r="R667" s="195"/>
      <c r="S667" s="197"/>
      <c r="T667" s="180"/>
      <c r="U667" s="189" t="str">
        <f>IFERROR(IF(Tableau3[[#This Row],[Dettes]]=0,"",(Tableau3[[#This Row],[Dettes]]/Tableau3[[#This Row],[EBE]])),"")</f>
        <v/>
      </c>
      <c r="V667" s="190" t="str">
        <f>IFERROR(Tableau3[[#This Row],[Fonds propres]]/Tableau3[[#This Row],[Total Bilan]],"")</f>
        <v/>
      </c>
      <c r="W667" s="180"/>
      <c r="X667" s="191"/>
      <c r="Y667" s="180"/>
      <c r="Z667" s="192" t="str">
        <f>IFERROR(Tableau3[[#This Row],[Chiffre d''affaires]]/Tableau3[[#This Row],[Salariés]],"")</f>
        <v/>
      </c>
      <c r="AA667" s="197"/>
      <c r="AB667" s="197"/>
      <c r="AC667" s="177" t="s">
        <v>5034</v>
      </c>
    </row>
    <row r="668" spans="1:29" ht="20.25" customHeight="1">
      <c r="A668" s="217"/>
      <c r="E668" s="187">
        <v>14.68</v>
      </c>
      <c r="F668" s="178">
        <v>2018</v>
      </c>
      <c r="G668" s="188">
        <v>3133300000</v>
      </c>
      <c r="H668" s="188">
        <v>985600000</v>
      </c>
      <c r="I668" s="188">
        <v>426400000</v>
      </c>
      <c r="J668" s="188">
        <v>81800000</v>
      </c>
      <c r="K668" s="188">
        <v>3378400000</v>
      </c>
      <c r="L668" s="188">
        <v>2868200000</v>
      </c>
      <c r="M668" s="208">
        <f>L668/P668</f>
        <v>13.074701616158844</v>
      </c>
      <c r="N668" s="190">
        <f>J668/L670</f>
        <v>2.8011780015067461E-2</v>
      </c>
      <c r="O668" s="190">
        <f>(I668*0.72)/(K668+L668)</f>
        <v>4.9148016520987416E-2</v>
      </c>
      <c r="P668" s="188">
        <v>219370207</v>
      </c>
      <c r="Q668" s="188">
        <f>E668*P668</f>
        <v>3220354638.7599998</v>
      </c>
      <c r="R668" s="195">
        <f>Q668/L668</f>
        <v>1.1227789689561396</v>
      </c>
      <c r="S668" s="197">
        <f>(Q668+K668)/H668</f>
        <v>6.6951650149756494</v>
      </c>
      <c r="T668" s="180">
        <v>153700000</v>
      </c>
      <c r="U668" s="189">
        <f>IFERROR(IF(Tableau3[[#This Row],[Dettes]]=0,"",(Tableau3[[#This Row],[Dettes]]/Tableau3[[#This Row],[EBE]])),"")</f>
        <v>3.4277597402597402</v>
      </c>
      <c r="V668" s="190">
        <f>IFERROR(Tableau3[[#This Row],[Fonds propres]]/Tableau3[[#This Row],[Total Bilan]],"")</f>
        <v>0.35987452948557092</v>
      </c>
      <c r="W668" s="180">
        <v>7970000000</v>
      </c>
      <c r="X668" s="191"/>
      <c r="Y668" s="180">
        <v>48191</v>
      </c>
      <c r="Z668" s="192">
        <f>IFERROR(Tableau3[[#This Row],[Chiffre d''affaires]]/Tableau3[[#This Row],[Salariés]],"")</f>
        <v>65018.364424892614</v>
      </c>
      <c r="AA668" s="197"/>
      <c r="AB668" s="197"/>
      <c r="AC668" s="177" t="s">
        <v>5033</v>
      </c>
    </row>
    <row r="669" spans="1:29" ht="20.25" customHeight="1">
      <c r="A669" s="217"/>
      <c r="E669" s="187"/>
      <c r="F669" s="214"/>
      <c r="G669" s="202">
        <f>(G668/G670)-1</f>
        <v>0.41464625942480482</v>
      </c>
      <c r="H669" s="203">
        <f>(H668/H670)-1</f>
        <v>0.52616909259832756</v>
      </c>
      <c r="I669" s="203">
        <f>(I668/I670)-1</f>
        <v>0.47798960138648172</v>
      </c>
      <c r="J669" s="203">
        <f>(J668/J670)-1</f>
        <v>0.2356495468277946</v>
      </c>
      <c r="K669" s="188"/>
      <c r="L669" s="178"/>
      <c r="M669" s="177"/>
      <c r="N669" s="178"/>
      <c r="O669" s="177"/>
      <c r="P669" s="188"/>
      <c r="Q669" s="188"/>
      <c r="R669" s="195"/>
      <c r="S669" s="197"/>
      <c r="T669" s="180"/>
      <c r="U669" s="189" t="str">
        <f>IFERROR(IF(Tableau3[[#This Row],[Dettes]]=0,"",(Tableau3[[#This Row],[Dettes]]/Tableau3[[#This Row],[EBE]])),"")</f>
        <v/>
      </c>
      <c r="V669" s="190" t="str">
        <f>IFERROR(Tableau3[[#This Row],[Fonds propres]]/Tableau3[[#This Row],[Total Bilan]],"")</f>
        <v/>
      </c>
      <c r="W669" s="180"/>
      <c r="X669" s="191"/>
      <c r="Y669" s="180"/>
      <c r="Z669" s="192" t="str">
        <f>IFERROR(Tableau3[[#This Row],[Chiffre d''affaires]]/Tableau3[[#This Row],[Salariés]],"")</f>
        <v/>
      </c>
      <c r="AA669" s="197"/>
      <c r="AB669" s="197"/>
      <c r="AC669" s="177" t="s">
        <v>545</v>
      </c>
    </row>
    <row r="670" spans="1:29" ht="20.25" customHeight="1">
      <c r="A670" s="217"/>
      <c r="E670" s="187">
        <v>22.574999999999999</v>
      </c>
      <c r="F670" s="178">
        <v>2017</v>
      </c>
      <c r="G670" s="188">
        <v>2214900000</v>
      </c>
      <c r="H670" s="188">
        <v>645800000</v>
      </c>
      <c r="I670" s="188">
        <v>288500000</v>
      </c>
      <c r="J670" s="188">
        <v>66200000</v>
      </c>
      <c r="K670" s="188">
        <v>3296600000</v>
      </c>
      <c r="L670" s="188">
        <v>2920200000</v>
      </c>
      <c r="M670" s="208">
        <f>L670/P670</f>
        <v>13.312914666040554</v>
      </c>
      <c r="N670" s="190">
        <f>J670/L672</f>
        <v>4.4994222796166654E-2</v>
      </c>
      <c r="O670" s="190">
        <f>(I670*0.72)/(K670+L670)</f>
        <v>3.3412688199716899E-2</v>
      </c>
      <c r="P670" s="188">
        <v>219350914</v>
      </c>
      <c r="Q670" s="188">
        <f>E670*P670</f>
        <v>4951846883.5500002</v>
      </c>
      <c r="R670" s="195">
        <f>Q670/L670</f>
        <v>1.6957218284877749</v>
      </c>
      <c r="S670" s="197">
        <f>(Q670+K670)/H670</f>
        <v>12.772447946035925</v>
      </c>
      <c r="T670" s="180">
        <v>42600000</v>
      </c>
      <c r="U670" s="189">
        <f>IFERROR(IF(Tableau3[[#This Row],[Dettes]]=0,"",(Tableau3[[#This Row],[Dettes]]/Tableau3[[#This Row],[EBE]])),"")</f>
        <v>5.1046763703933102</v>
      </c>
      <c r="V670" s="190" t="str">
        <f>IFERROR(Tableau3[[#This Row],[Fonds propres]]/Tableau3[[#This Row],[Total Bilan]],"")</f>
        <v/>
      </c>
      <c r="W670" s="180"/>
      <c r="X670" s="191"/>
      <c r="Y670" s="180">
        <v>24321</v>
      </c>
      <c r="Z670" s="192">
        <f>IFERROR(Tableau3[[#This Row],[Chiffre d''affaires]]/Tableau3[[#This Row],[Salariés]],"")</f>
        <v>91069.446157641549</v>
      </c>
      <c r="AA670" s="197"/>
      <c r="AB670" s="197"/>
      <c r="AC670" s="177" t="s">
        <v>5037</v>
      </c>
    </row>
    <row r="671" spans="1:29" ht="20.25" customHeight="1">
      <c r="A671" s="217"/>
      <c r="E671" s="187"/>
      <c r="G671" s="202">
        <f>(G670/G672)-1</f>
        <v>0.26565714285714281</v>
      </c>
      <c r="H671" s="203">
        <f>(H670/H672)-1</f>
        <v>0.19592592592592584</v>
      </c>
      <c r="I671" s="203">
        <f>(I670/I672)-1</f>
        <v>0.15399999999999991</v>
      </c>
      <c r="J671" s="203">
        <f>(J670/J672)-1</f>
        <v>-0.44833333333333336</v>
      </c>
      <c r="K671" s="188"/>
      <c r="L671" s="178"/>
      <c r="M671" s="177"/>
      <c r="N671" s="178"/>
      <c r="O671" s="177"/>
      <c r="P671" s="188"/>
      <c r="Q671" s="188"/>
      <c r="R671" s="195"/>
      <c r="S671" s="197"/>
      <c r="T671" s="180"/>
      <c r="U671" s="189" t="str">
        <f>IFERROR(IF(Tableau3[[#This Row],[Dettes]]=0,"",(Tableau3[[#This Row],[Dettes]]/Tableau3[[#This Row],[EBE]])),"")</f>
        <v/>
      </c>
      <c r="V671" s="190" t="str">
        <f>IFERROR(Tableau3[[#This Row],[Fonds propres]]/Tableau3[[#This Row],[Total Bilan]],"")</f>
        <v/>
      </c>
      <c r="W671" s="180"/>
      <c r="X671" s="191"/>
      <c r="Y671" s="180"/>
      <c r="Z671" s="192" t="str">
        <f>IFERROR(Tableau3[[#This Row],[Chiffre d''affaires]]/Tableau3[[#This Row],[Salariés]],"")</f>
        <v/>
      </c>
      <c r="AA671" s="197"/>
      <c r="AB671" s="197"/>
      <c r="AC671" s="177" t="s">
        <v>546</v>
      </c>
    </row>
    <row r="672" spans="1:29" ht="20.25" customHeight="1">
      <c r="A672" s="217"/>
      <c r="E672" s="187">
        <v>20.399999999999999</v>
      </c>
      <c r="F672" s="178">
        <v>2017</v>
      </c>
      <c r="G672" s="188">
        <v>1750000000</v>
      </c>
      <c r="H672" s="188">
        <v>540000000</v>
      </c>
      <c r="I672" s="188">
        <v>250000000</v>
      </c>
      <c r="J672" s="188">
        <v>120000000</v>
      </c>
      <c r="K672" s="188">
        <v>1800000000</v>
      </c>
      <c r="L672" s="188">
        <f>L674+325000000</f>
        <v>1471300000</v>
      </c>
      <c r="M672" s="208">
        <f>L672/P672</f>
        <v>10.496760904197961</v>
      </c>
      <c r="N672" s="190">
        <f>J672/L674</f>
        <v>0.10468463752944256</v>
      </c>
      <c r="O672" s="190">
        <f>(I672*0.72)/(K672+L672)</f>
        <v>5.5023996576284658E-2</v>
      </c>
      <c r="P672" s="188">
        <v>140167049</v>
      </c>
      <c r="Q672" s="188">
        <f>E672*P672</f>
        <v>2859407799.5999999</v>
      </c>
      <c r="R672" s="195">
        <f>Q672/L672</f>
        <v>1.9434566706993814</v>
      </c>
      <c r="S672" s="197">
        <f>(Q672+K672)/H672</f>
        <v>8.6285329622222235</v>
      </c>
      <c r="T672" s="180">
        <v>42600000</v>
      </c>
      <c r="U672" s="189">
        <f>IFERROR(IF(Tableau3[[#This Row],[Dettes]]=0,"",(Tableau3[[#This Row],[Dettes]]/Tableau3[[#This Row],[EBE]])),"")</f>
        <v>3.3333333333333335</v>
      </c>
      <c r="V672" s="190" t="str">
        <f>IFERROR(Tableau3[[#This Row],[Fonds propres]]/Tableau3[[#This Row],[Total Bilan]],"")</f>
        <v/>
      </c>
      <c r="W672" s="180"/>
      <c r="X672" s="191"/>
      <c r="Y672" s="180">
        <v>24321</v>
      </c>
      <c r="Z672" s="192">
        <f>IFERROR(Tableau3[[#This Row],[Chiffre d''affaires]]/Tableau3[[#This Row],[Salariés]],"")</f>
        <v>71954.278195797873</v>
      </c>
      <c r="AA672" s="197"/>
      <c r="AB672" s="197"/>
      <c r="AC672" s="177" t="s">
        <v>547</v>
      </c>
    </row>
    <row r="673" spans="1:29" ht="20.25" customHeight="1">
      <c r="A673" s="217"/>
      <c r="E673" s="187"/>
      <c r="G673" s="202">
        <f>(G672/G674)-1</f>
        <v>0.15664243225380048</v>
      </c>
      <c r="H673" s="203">
        <f>(H672/H674)-1</f>
        <v>0.18110236220472431</v>
      </c>
      <c r="I673" s="203">
        <f>(I672/I674)-1</f>
        <v>0.20250120250120252</v>
      </c>
      <c r="J673" s="203">
        <f>(J672/J674)-1</f>
        <v>0.29032258064516125</v>
      </c>
      <c r="K673" s="188"/>
      <c r="L673" s="188"/>
      <c r="M673" s="226"/>
      <c r="N673" s="188"/>
      <c r="O673" s="226"/>
      <c r="P673" s="188"/>
      <c r="Q673" s="188"/>
      <c r="R673" s="195"/>
      <c r="S673" s="197"/>
      <c r="T673" s="180"/>
      <c r="U673" s="189" t="str">
        <f>IFERROR(IF(Tableau3[[#This Row],[Dettes]]=0,"",(Tableau3[[#This Row],[Dettes]]/Tableau3[[#This Row],[EBE]])),"")</f>
        <v/>
      </c>
      <c r="V673" s="190" t="str">
        <f>IFERROR(Tableau3[[#This Row],[Fonds propres]]/Tableau3[[#This Row],[Total Bilan]],"")</f>
        <v/>
      </c>
      <c r="W673" s="180"/>
      <c r="X673" s="191"/>
      <c r="Y673" s="180"/>
      <c r="Z673" s="192" t="str">
        <f>IFERROR(Tableau3[[#This Row],[Chiffre d''affaires]]/Tableau3[[#This Row],[Salariés]],"")</f>
        <v/>
      </c>
      <c r="AA673" s="197"/>
      <c r="AB673" s="197"/>
      <c r="AC673" s="177" t="s">
        <v>5042</v>
      </c>
    </row>
    <row r="674" spans="1:29" ht="20.25" customHeight="1">
      <c r="A674" s="217"/>
      <c r="E674" s="187">
        <v>16.95</v>
      </c>
      <c r="F674" s="178">
        <v>2016</v>
      </c>
      <c r="G674" s="188">
        <v>1513000000</v>
      </c>
      <c r="H674" s="188">
        <v>457200000</v>
      </c>
      <c r="I674" s="188">
        <v>207900000</v>
      </c>
      <c r="J674" s="188">
        <v>93000000</v>
      </c>
      <c r="K674" s="188">
        <v>1595800000</v>
      </c>
      <c r="L674" s="188">
        <v>1146300000</v>
      </c>
      <c r="M674" s="208">
        <f>L674/P674</f>
        <v>10.054719232863956</v>
      </c>
      <c r="N674" s="190">
        <f>J674/L676</f>
        <v>8.8244922358701378E-2</v>
      </c>
      <c r="O674" s="190">
        <f>(I674*0.72)/(K674+L674)</f>
        <v>5.4588818788519747E-2</v>
      </c>
      <c r="P674" s="188">
        <v>114006167</v>
      </c>
      <c r="Q674" s="188">
        <f>P674*E674</f>
        <v>1932404530.6499999</v>
      </c>
      <c r="R674" s="195">
        <f>Q674/L674</f>
        <v>1.6857755654278983</v>
      </c>
      <c r="S674" s="197">
        <f>(Q674+K672)/H672</f>
        <v>6.9118602419444439</v>
      </c>
      <c r="T674" s="180">
        <v>104500000</v>
      </c>
      <c r="U674" s="189">
        <f>IFERROR(IF(Tableau3[[#This Row],[Dettes]]=0,"",(Tableau3[[#This Row],[Dettes]]/Tableau3[[#This Row],[EBE]])),"")</f>
        <v>3.4903762029746281</v>
      </c>
      <c r="V674" s="190" t="str">
        <f>IFERROR(Tableau3[[#This Row],[Fonds propres]]/Tableau3[[#This Row],[Total Bilan]],"")</f>
        <v/>
      </c>
      <c r="W674" s="180"/>
      <c r="X674" s="191"/>
      <c r="Y674" s="180">
        <v>21729</v>
      </c>
      <c r="Z674" s="192">
        <f>IFERROR(Tableau3[[#This Row],[Chiffre d''affaires]]/Tableau3[[#This Row],[Salariés]],"")</f>
        <v>69630.447788669524</v>
      </c>
      <c r="AA674" s="197"/>
      <c r="AB674" s="197"/>
      <c r="AC674" s="177" t="s">
        <v>548</v>
      </c>
    </row>
    <row r="675" spans="1:29" ht="20.25" customHeight="1">
      <c r="A675" s="217"/>
      <c r="E675" s="187"/>
      <c r="G675" s="202">
        <f>(G674/G676)-1</f>
        <v>6.8955772219867262E-2</v>
      </c>
      <c r="H675" s="203">
        <f>(H674/H676)-1</f>
        <v>2.486393429393785E-2</v>
      </c>
      <c r="I675" s="203">
        <f>(I674/I676)-1</f>
        <v>-4.8076923076922906E-4</v>
      </c>
      <c r="J675" s="203">
        <f>(J674/J676)-1</f>
        <v>0.27747252747252737</v>
      </c>
      <c r="K675" s="188"/>
      <c r="L675" s="188"/>
      <c r="M675" s="226"/>
      <c r="N675" s="188"/>
      <c r="O675" s="226"/>
      <c r="P675" s="188"/>
      <c r="Q675" s="188"/>
      <c r="R675" s="195"/>
      <c r="S675" s="197"/>
      <c r="T675" s="180"/>
      <c r="U675" s="189" t="str">
        <f>IFERROR(IF(Tableau3[[#This Row],[Dettes]]=0,"",(Tableau3[[#This Row],[Dettes]]/Tableau3[[#This Row],[EBE]])),"")</f>
        <v/>
      </c>
      <c r="V675" s="190" t="str">
        <f>IFERROR(Tableau3[[#This Row],[Fonds propres]]/Tableau3[[#This Row],[Total Bilan]],"")</f>
        <v/>
      </c>
      <c r="W675" s="180"/>
      <c r="X675" s="191"/>
      <c r="Y675" s="180"/>
      <c r="Z675" s="192" t="str">
        <f>IFERROR(Tableau3[[#This Row],[Chiffre d''affaires]]/Tableau3[[#This Row],[Salariés]],"")</f>
        <v/>
      </c>
      <c r="AA675" s="197"/>
      <c r="AB675" s="197"/>
      <c r="AC675" s="177" t="s">
        <v>5041</v>
      </c>
    </row>
    <row r="676" spans="1:29" ht="20.25" customHeight="1">
      <c r="A676" s="217"/>
      <c r="E676" s="187">
        <v>15.17</v>
      </c>
      <c r="F676" s="178">
        <v>2015</v>
      </c>
      <c r="G676" s="188">
        <v>1415400000</v>
      </c>
      <c r="H676" s="188">
        <v>446108000</v>
      </c>
      <c r="I676" s="188">
        <v>208000000</v>
      </c>
      <c r="J676" s="188">
        <v>72800000</v>
      </c>
      <c r="K676" s="188">
        <v>1440700000</v>
      </c>
      <c r="L676" s="188">
        <v>1053885000</v>
      </c>
      <c r="M676" s="208">
        <f>L676/P676</f>
        <v>9.2441051895025996</v>
      </c>
      <c r="N676" s="190">
        <f>J676/L676</f>
        <v>6.9077745674338276E-2</v>
      </c>
      <c r="O676" s="190">
        <f>(I676*0.7)/(K676+L676)</f>
        <v>5.8366421669335783E-2</v>
      </c>
      <c r="P676" s="188">
        <v>114006167</v>
      </c>
      <c r="Q676" s="188">
        <f>P676*E676</f>
        <v>1729473553.3900001</v>
      </c>
      <c r="R676" s="195">
        <f>Q676/L676</f>
        <v>1.6410458004336337</v>
      </c>
      <c r="S676" s="197">
        <v>6.7</v>
      </c>
      <c r="T676" s="180">
        <v>56600000</v>
      </c>
      <c r="U676" s="189">
        <f>IFERROR(IF(Tableau3[[#This Row],[Dettes]]=0,"",(Tableau3[[#This Row],[Dettes]]/Tableau3[[#This Row],[EBE]])),"")</f>
        <v>3.2294870300465357</v>
      </c>
      <c r="V676" s="190" t="str">
        <f>IFERROR(Tableau3[[#This Row],[Fonds propres]]/Tableau3[[#This Row],[Total Bilan]],"")</f>
        <v/>
      </c>
      <c r="W676" s="180"/>
      <c r="X676" s="191"/>
      <c r="Y676" s="180">
        <v>20008</v>
      </c>
      <c r="Z676" s="192">
        <f>IFERROR(Tableau3[[#This Row],[Chiffre d''affaires]]/Tableau3[[#This Row],[Salariés]],"")</f>
        <v>70741.703318672531</v>
      </c>
      <c r="AA676" s="197"/>
      <c r="AB676" s="197"/>
      <c r="AC676" s="177" t="s">
        <v>549</v>
      </c>
    </row>
    <row r="677" spans="1:29" ht="20.25" customHeight="1">
      <c r="A677" s="217"/>
      <c r="F677" s="214"/>
      <c r="G677" s="188"/>
      <c r="H677" s="188"/>
      <c r="I677" s="178"/>
      <c r="J677" s="178"/>
      <c r="K677" s="188"/>
      <c r="L677" s="178"/>
      <c r="M677" s="177"/>
      <c r="N677" s="178"/>
      <c r="O677" s="177"/>
      <c r="P677" s="188"/>
      <c r="Q677" s="188"/>
      <c r="R677" s="195"/>
      <c r="S677" s="197"/>
      <c r="T677" s="180"/>
      <c r="U677" s="189" t="str">
        <f>IFERROR(IF(Tableau3[[#This Row],[Dettes]]=0,"",(Tableau3[[#This Row],[Dettes]]/Tableau3[[#This Row],[EBE]])),"")</f>
        <v/>
      </c>
      <c r="V677" s="190" t="str">
        <f>IFERROR(Tableau3[[#This Row],[Fonds propres]]/Tableau3[[#This Row],[Total Bilan]],"")</f>
        <v/>
      </c>
      <c r="W677" s="180"/>
      <c r="X677" s="191"/>
      <c r="Y677" s="180"/>
      <c r="Z677" s="192" t="str">
        <f>IFERROR(Tableau3[[#This Row],[Chiffre d''affaires]]/Tableau3[[#This Row],[Salariés]],"")</f>
        <v/>
      </c>
      <c r="AA677" s="197"/>
      <c r="AB677" s="197"/>
      <c r="AC677" s="177" t="s">
        <v>550</v>
      </c>
    </row>
    <row r="678" spans="1:29" ht="20.25" customHeight="1">
      <c r="A678" s="217"/>
      <c r="F678" s="217" t="s">
        <v>552</v>
      </c>
      <c r="G678" s="188"/>
      <c r="H678" s="188"/>
      <c r="I678" s="178"/>
      <c r="J678" s="178"/>
      <c r="K678" s="188"/>
      <c r="L678" s="178"/>
      <c r="M678" s="177"/>
      <c r="N678" s="178"/>
      <c r="O678" s="177"/>
      <c r="P678" s="188"/>
      <c r="Q678" s="188"/>
      <c r="R678" s="195"/>
      <c r="S678" s="197"/>
      <c r="T678" s="180"/>
      <c r="U678" s="189" t="str">
        <f>IFERROR(IF(Tableau3[[#This Row],[Dettes]]=0,"",(Tableau3[[#This Row],[Dettes]]/Tableau3[[#This Row],[EBE]])),"")</f>
        <v/>
      </c>
      <c r="V678" s="190" t="str">
        <f>IFERROR(Tableau3[[#This Row],[Fonds propres]]/Tableau3[[#This Row],[Total Bilan]],"")</f>
        <v/>
      </c>
      <c r="W678" s="180"/>
      <c r="X678" s="191"/>
      <c r="Y678" s="180"/>
      <c r="Z678" s="192" t="str">
        <f>IFERROR(Tableau3[[#This Row],[Chiffre d''affaires]]/Tableau3[[#This Row],[Salariés]],"")</f>
        <v/>
      </c>
      <c r="AA678" s="197"/>
      <c r="AB678" s="197"/>
      <c r="AC678" s="177" t="s">
        <v>5031</v>
      </c>
    </row>
    <row r="679" spans="1:29" ht="20.25" customHeight="1">
      <c r="A679" s="217"/>
      <c r="F679" s="214"/>
      <c r="G679" s="188"/>
      <c r="H679" s="188"/>
      <c r="I679" s="178"/>
      <c r="J679" s="178"/>
      <c r="K679" s="188"/>
      <c r="L679" s="178"/>
      <c r="M679" s="177"/>
      <c r="N679" s="178"/>
      <c r="O679" s="177"/>
      <c r="P679" s="188"/>
      <c r="Q679" s="188"/>
      <c r="R679" s="195"/>
      <c r="S679" s="197"/>
      <c r="T679" s="180"/>
      <c r="U679" s="189" t="str">
        <f>IFERROR(IF(Tableau3[[#This Row],[Dettes]]=0,"",(Tableau3[[#This Row],[Dettes]]/Tableau3[[#This Row],[EBE]])),"")</f>
        <v/>
      </c>
      <c r="V679" s="190" t="str">
        <f>IFERROR(Tableau3[[#This Row],[Fonds propres]]/Tableau3[[#This Row],[Total Bilan]],"")</f>
        <v/>
      </c>
      <c r="W679" s="180"/>
      <c r="X679" s="191"/>
      <c r="Y679" s="180"/>
      <c r="Z679" s="192" t="str">
        <f>IFERROR(Tableau3[[#This Row],[Chiffre d''affaires]]/Tableau3[[#This Row],[Salariés]],"")</f>
        <v/>
      </c>
      <c r="AA679" s="197"/>
      <c r="AB679" s="197"/>
      <c r="AC679" s="177" t="s">
        <v>551</v>
      </c>
    </row>
    <row r="680" spans="1:29" ht="20.25" customHeight="1">
      <c r="A680" s="217"/>
      <c r="F680" s="214"/>
      <c r="G680" s="188"/>
      <c r="H680" s="188"/>
      <c r="I680" s="178"/>
      <c r="J680" s="178"/>
      <c r="K680" s="188"/>
      <c r="L680" s="178"/>
      <c r="M680" s="177"/>
      <c r="N680" s="178"/>
      <c r="O680" s="177"/>
      <c r="P680" s="188"/>
      <c r="Q680" s="188"/>
      <c r="R680" s="195"/>
      <c r="S680" s="197"/>
      <c r="T680" s="180"/>
      <c r="U680" s="189" t="str">
        <f>IFERROR(IF(Tableau3[[#This Row],[Dettes]]=0,"",(Tableau3[[#This Row],[Dettes]]/Tableau3[[#This Row],[EBE]])),"")</f>
        <v/>
      </c>
      <c r="V680" s="190" t="str">
        <f>IFERROR(Tableau3[[#This Row],[Fonds propres]]/Tableau3[[#This Row],[Total Bilan]],"")</f>
        <v/>
      </c>
      <c r="W680" s="180"/>
      <c r="X680" s="191"/>
      <c r="Y680" s="180"/>
      <c r="Z680" s="192" t="str">
        <f>IFERROR(Tableau3[[#This Row],[Chiffre d''affaires]]/Tableau3[[#This Row],[Salariés]],"")</f>
        <v/>
      </c>
      <c r="AA680" s="197"/>
      <c r="AB680" s="197"/>
      <c r="AC680" s="177" t="s">
        <v>5045</v>
      </c>
    </row>
    <row r="681" spans="1:29" ht="20.25" customHeight="1">
      <c r="A681" s="217"/>
      <c r="F681" s="214"/>
      <c r="G681" s="188"/>
      <c r="H681" s="188"/>
      <c r="I681" s="178"/>
      <c r="J681" s="178"/>
      <c r="K681" s="188"/>
      <c r="L681" s="178"/>
      <c r="M681" s="177"/>
      <c r="N681" s="178"/>
      <c r="O681" s="177"/>
      <c r="P681" s="188"/>
      <c r="Q681" s="188"/>
      <c r="R681" s="195"/>
      <c r="S681" s="197"/>
      <c r="T681" s="180"/>
      <c r="U681" s="189" t="str">
        <f>IFERROR(IF(Tableau3[[#This Row],[Dettes]]=0,"",(Tableau3[[#This Row],[Dettes]]/Tableau3[[#This Row],[EBE]])),"")</f>
        <v/>
      </c>
      <c r="V681" s="190" t="str">
        <f>IFERROR(Tableau3[[#This Row],[Fonds propres]]/Tableau3[[#This Row],[Total Bilan]],"")</f>
        <v/>
      </c>
      <c r="W681" s="180"/>
      <c r="X681" s="191"/>
      <c r="Y681" s="180"/>
      <c r="Z681" s="192" t="str">
        <f>IFERROR(Tableau3[[#This Row],[Chiffre d''affaires]]/Tableau3[[#This Row],[Salariés]],"")</f>
        <v/>
      </c>
      <c r="AA681" s="197"/>
      <c r="AB681" s="197"/>
      <c r="AC681" s="177" t="s">
        <v>5028</v>
      </c>
    </row>
    <row r="682" spans="1:29" ht="20.25" customHeight="1">
      <c r="A682" s="217"/>
      <c r="F682" s="214"/>
      <c r="G682" s="188"/>
      <c r="H682" s="188"/>
      <c r="I682" s="178"/>
      <c r="J682" s="178"/>
      <c r="K682" s="188"/>
      <c r="L682" s="178"/>
      <c r="M682" s="177"/>
      <c r="N682" s="178"/>
      <c r="O682" s="177"/>
      <c r="P682" s="188"/>
      <c r="Q682" s="188"/>
      <c r="R682" s="195"/>
      <c r="S682" s="197"/>
      <c r="T682" s="180"/>
      <c r="U682" s="189" t="str">
        <f>IFERROR(IF(Tableau3[[#This Row],[Dettes]]=0,"",(Tableau3[[#This Row],[Dettes]]/Tableau3[[#This Row],[EBE]])),"")</f>
        <v/>
      </c>
      <c r="V682" s="190" t="str">
        <f>IFERROR(Tableau3[[#This Row],[Fonds propres]]/Tableau3[[#This Row],[Total Bilan]],"")</f>
        <v/>
      </c>
      <c r="W682" s="180"/>
      <c r="X682" s="191"/>
      <c r="Y682" s="180"/>
      <c r="Z682" s="192" t="str">
        <f>IFERROR(Tableau3[[#This Row],[Chiffre d''affaires]]/Tableau3[[#This Row],[Salariés]],"")</f>
        <v/>
      </c>
      <c r="AA682" s="177"/>
      <c r="AC682" s="177" t="s">
        <v>5029</v>
      </c>
    </row>
    <row r="683" spans="1:29" ht="20.25" customHeight="1">
      <c r="A683" s="217"/>
      <c r="F683" s="214"/>
      <c r="G683" s="188"/>
      <c r="H683" s="188"/>
      <c r="I683" s="178"/>
      <c r="J683" s="178"/>
      <c r="K683" s="188"/>
      <c r="L683" s="178"/>
      <c r="M683" s="177"/>
      <c r="N683" s="178"/>
      <c r="O683" s="177"/>
      <c r="P683" s="188"/>
      <c r="Q683" s="188"/>
      <c r="R683" s="195"/>
      <c r="S683" s="197"/>
      <c r="T683" s="180"/>
      <c r="U683" s="189" t="str">
        <f>IFERROR(IF(Tableau3[[#This Row],[Dettes]]=0,"",(Tableau3[[#This Row],[Dettes]]/Tableau3[[#This Row],[EBE]])),"")</f>
        <v/>
      </c>
      <c r="V683" s="190" t="str">
        <f>IFERROR(Tableau3[[#This Row],[Fonds propres]]/Tableau3[[#This Row],[Total Bilan]],"")</f>
        <v/>
      </c>
      <c r="W683" s="180"/>
      <c r="X683" s="191"/>
      <c r="Y683" s="180"/>
      <c r="Z683" s="192" t="str">
        <f>IFERROR(Tableau3[[#This Row],[Chiffre d''affaires]]/Tableau3[[#This Row],[Salariés]],"")</f>
        <v/>
      </c>
      <c r="AA683" s="177"/>
      <c r="AC683" s="177" t="s">
        <v>5030</v>
      </c>
    </row>
    <row r="684" spans="1:29" ht="20.25" customHeight="1">
      <c r="A684" s="217"/>
      <c r="F684" s="214"/>
      <c r="G684" s="188"/>
      <c r="H684" s="188"/>
      <c r="I684" s="178"/>
      <c r="J684" s="178"/>
      <c r="K684" s="188"/>
      <c r="L684" s="178"/>
      <c r="M684" s="177"/>
      <c r="N684" s="178"/>
      <c r="O684" s="177"/>
      <c r="P684" s="188"/>
      <c r="Q684" s="188"/>
      <c r="R684" s="195"/>
      <c r="S684" s="197"/>
      <c r="T684" s="180"/>
      <c r="U684" s="189" t="str">
        <f>IFERROR(IF(Tableau3[[#This Row],[Dettes]]=0,"",(Tableau3[[#This Row],[Dettes]]/Tableau3[[#This Row],[EBE]])),"")</f>
        <v/>
      </c>
      <c r="V684" s="190" t="str">
        <f>IFERROR(Tableau3[[#This Row],[Fonds propres]]/Tableau3[[#This Row],[Total Bilan]],"")</f>
        <v/>
      </c>
      <c r="W684" s="180"/>
      <c r="Y684" s="180"/>
      <c r="Z684" s="192" t="str">
        <f>IFERROR(Tableau3[[#This Row],[Chiffre d''affaires]]/Tableau3[[#This Row],[Salariés]],"")</f>
        <v/>
      </c>
      <c r="AA684" s="177"/>
      <c r="AC684" s="177" t="s">
        <v>553</v>
      </c>
    </row>
    <row r="685" spans="1:29" ht="20.25" customHeight="1">
      <c r="A685" s="217"/>
      <c r="F685" s="214"/>
      <c r="G685" s="188"/>
      <c r="H685" s="188"/>
      <c r="I685" s="178"/>
      <c r="J685" s="178"/>
      <c r="K685" s="188"/>
      <c r="L685" s="178"/>
      <c r="M685" s="177"/>
      <c r="N685" s="178"/>
      <c r="O685" s="177"/>
      <c r="P685" s="188"/>
      <c r="Q685" s="188"/>
      <c r="R685" s="195"/>
      <c r="S685" s="197"/>
      <c r="T685" s="180"/>
      <c r="U685" s="189" t="str">
        <f>IFERROR(IF(Tableau3[[#This Row],[Dettes]]=0,"",(Tableau3[[#This Row],[Dettes]]/Tableau3[[#This Row],[EBE]])),"")</f>
        <v/>
      </c>
      <c r="V685" s="190" t="str">
        <f>IFERROR(Tableau3[[#This Row],[Fonds propres]]/Tableau3[[#This Row],[Total Bilan]],"")</f>
        <v/>
      </c>
      <c r="W685" s="180"/>
      <c r="Y685" s="180"/>
      <c r="Z685" s="192" t="str">
        <f>IFERROR(Tableau3[[#This Row],[Chiffre d''affaires]]/Tableau3[[#This Row],[Salariés]],"")</f>
        <v/>
      </c>
      <c r="AA685" s="177"/>
      <c r="AC685" s="177" t="s">
        <v>554</v>
      </c>
    </row>
    <row r="686" spans="1:29" ht="20.25" customHeight="1">
      <c r="A686" s="217"/>
      <c r="F686" s="214"/>
      <c r="G686" s="188"/>
      <c r="H686" s="188"/>
      <c r="I686" s="178"/>
      <c r="J686" s="178"/>
      <c r="K686" s="188"/>
      <c r="L686" s="178"/>
      <c r="M686" s="177"/>
      <c r="N686" s="178"/>
      <c r="O686" s="177"/>
      <c r="P686" s="188"/>
      <c r="Q686" s="188"/>
      <c r="R686" s="195"/>
      <c r="S686" s="197"/>
      <c r="T686" s="180"/>
      <c r="U686" s="189" t="str">
        <f>IFERROR(IF(Tableau3[[#This Row],[Dettes]]=0,"",(Tableau3[[#This Row],[Dettes]]/Tableau3[[#This Row],[EBE]])),"")</f>
        <v/>
      </c>
      <c r="V686" s="190" t="str">
        <f>IFERROR(Tableau3[[#This Row],[Fonds propres]]/Tableau3[[#This Row],[Total Bilan]],"")</f>
        <v/>
      </c>
      <c r="W686" s="180"/>
      <c r="Y686" s="180"/>
      <c r="Z686" s="192" t="str">
        <f>IFERROR(Tableau3[[#This Row],[Chiffre d''affaires]]/Tableau3[[#This Row],[Salariés]],"")</f>
        <v/>
      </c>
      <c r="AA686" s="177"/>
      <c r="AC686" s="177" t="s">
        <v>555</v>
      </c>
    </row>
    <row r="687" spans="1:29" ht="20.25" customHeight="1">
      <c r="A687" s="217"/>
      <c r="F687" s="214"/>
      <c r="G687" s="188"/>
      <c r="H687" s="188"/>
      <c r="I687" s="178"/>
      <c r="J687" s="178"/>
      <c r="K687" s="188"/>
      <c r="L687" s="178"/>
      <c r="M687" s="177"/>
      <c r="N687" s="178"/>
      <c r="O687" s="177"/>
      <c r="P687" s="188"/>
      <c r="Q687" s="188"/>
      <c r="R687" s="195"/>
      <c r="S687" s="197"/>
      <c r="T687" s="180"/>
      <c r="U687" s="189" t="str">
        <f>IFERROR(IF(Tableau3[[#This Row],[Dettes]]=0,"",(Tableau3[[#This Row],[Dettes]]/Tableau3[[#This Row],[EBE]])),"")</f>
        <v/>
      </c>
      <c r="V687" s="190" t="str">
        <f>IFERROR(Tableau3[[#This Row],[Fonds propres]]/Tableau3[[#This Row],[Total Bilan]],"")</f>
        <v/>
      </c>
      <c r="W687" s="180"/>
      <c r="Y687" s="180"/>
      <c r="Z687" s="192" t="str">
        <f>IFERROR(Tableau3[[#This Row],[Chiffre d''affaires]]/Tableau3[[#This Row],[Salariés]],"")</f>
        <v/>
      </c>
      <c r="AA687" s="177"/>
      <c r="AC687" s="177" t="s">
        <v>556</v>
      </c>
    </row>
    <row r="688" spans="1:29" ht="20.25" customHeight="1">
      <c r="A688" s="217"/>
      <c r="F688" s="214"/>
      <c r="G688" s="188"/>
      <c r="H688" s="188"/>
      <c r="I688" s="178"/>
      <c r="J688" s="178"/>
      <c r="K688" s="188"/>
      <c r="L688" s="178"/>
      <c r="M688" s="177"/>
      <c r="N688" s="178"/>
      <c r="O688" s="177"/>
      <c r="P688" s="188"/>
      <c r="Q688" s="188"/>
      <c r="R688" s="195"/>
      <c r="S688" s="197"/>
      <c r="T688" s="180"/>
      <c r="U688" s="189" t="str">
        <f>IFERROR(IF(Tableau3[[#This Row],[Dettes]]=0,"",(Tableau3[[#This Row],[Dettes]]/Tableau3[[#This Row],[EBE]])),"")</f>
        <v/>
      </c>
      <c r="V688" s="190" t="str">
        <f>IFERROR(Tableau3[[#This Row],[Fonds propres]]/Tableau3[[#This Row],[Total Bilan]],"")</f>
        <v/>
      </c>
      <c r="W688" s="180"/>
      <c r="Y688" s="180"/>
      <c r="Z688" s="192" t="str">
        <f>IFERROR(Tableau3[[#This Row],[Chiffre d''affaires]]/Tableau3[[#This Row],[Salariés]],"")</f>
        <v/>
      </c>
      <c r="AA688" s="177"/>
      <c r="AC688" s="177" t="s">
        <v>557</v>
      </c>
    </row>
    <row r="689" spans="1:29" ht="20.25" customHeight="1">
      <c r="A689" s="217"/>
      <c r="F689" s="214"/>
      <c r="G689" s="188"/>
      <c r="H689" s="188"/>
      <c r="I689" s="178"/>
      <c r="J689" s="178"/>
      <c r="K689" s="188"/>
      <c r="L689" s="178"/>
      <c r="M689" s="177"/>
      <c r="N689" s="178"/>
      <c r="O689" s="177"/>
      <c r="P689" s="188"/>
      <c r="Q689" s="188"/>
      <c r="R689" s="195"/>
      <c r="S689" s="197"/>
      <c r="T689" s="180"/>
      <c r="U689" s="189" t="str">
        <f>IFERROR(IF(Tableau3[[#This Row],[Dettes]]=0,"",(Tableau3[[#This Row],[Dettes]]/Tableau3[[#This Row],[EBE]])),"")</f>
        <v/>
      </c>
      <c r="V689" s="190" t="str">
        <f>IFERROR(Tableau3[[#This Row],[Fonds propres]]/Tableau3[[#This Row],[Total Bilan]],"")</f>
        <v/>
      </c>
      <c r="W689" s="180"/>
      <c r="Y689" s="180"/>
      <c r="Z689" s="192" t="str">
        <f>IFERROR(Tableau3[[#This Row],[Chiffre d''affaires]]/Tableau3[[#This Row],[Salariés]],"")</f>
        <v/>
      </c>
      <c r="AA689" s="177"/>
      <c r="AC689" s="177" t="s">
        <v>558</v>
      </c>
    </row>
    <row r="690" spans="1:29" ht="20.25" customHeight="1">
      <c r="A690" s="217"/>
      <c r="F690" s="214"/>
      <c r="G690" s="188"/>
      <c r="H690" s="188"/>
      <c r="I690" s="178"/>
      <c r="J690" s="178"/>
      <c r="K690" s="188"/>
      <c r="L690" s="178"/>
      <c r="M690" s="177"/>
      <c r="N690" s="178"/>
      <c r="O690" s="177"/>
      <c r="P690" s="188"/>
      <c r="Q690" s="188"/>
      <c r="R690" s="195"/>
      <c r="S690" s="197"/>
      <c r="T690" s="180"/>
      <c r="U690" s="189" t="str">
        <f>IFERROR(IF(Tableau3[[#This Row],[Dettes]]=0,"",(Tableau3[[#This Row],[Dettes]]/Tableau3[[#This Row],[EBE]])),"")</f>
        <v/>
      </c>
      <c r="V690" s="190" t="str">
        <f>IFERROR(Tableau3[[#This Row],[Fonds propres]]/Tableau3[[#This Row],[Total Bilan]],"")</f>
        <v/>
      </c>
      <c r="W690" s="180"/>
      <c r="Y690" s="180"/>
      <c r="Z690" s="192" t="str">
        <f>IFERROR(Tableau3[[#This Row],[Chiffre d''affaires]]/Tableau3[[#This Row],[Salariés]],"")</f>
        <v/>
      </c>
      <c r="AA690" s="177"/>
      <c r="AC690" s="177" t="s">
        <v>559</v>
      </c>
    </row>
    <row r="691" spans="1:29" ht="20.25" customHeight="1">
      <c r="A691" s="217"/>
      <c r="F691" s="214"/>
      <c r="G691" s="188"/>
      <c r="H691" s="188"/>
      <c r="I691" s="178"/>
      <c r="J691" s="178"/>
      <c r="K691" s="188"/>
      <c r="L691" s="178"/>
      <c r="M691" s="177"/>
      <c r="N691" s="178"/>
      <c r="O691" s="177"/>
      <c r="P691" s="188"/>
      <c r="Q691" s="188"/>
      <c r="R691" s="195"/>
      <c r="S691" s="197"/>
      <c r="T691" s="180"/>
      <c r="U691" s="189" t="str">
        <f>IFERROR(IF(Tableau3[[#This Row],[Dettes]]=0,"",(Tableau3[[#This Row],[Dettes]]/Tableau3[[#This Row],[EBE]])),"")</f>
        <v/>
      </c>
      <c r="V691" s="190" t="str">
        <f>IFERROR(Tableau3[[#This Row],[Fonds propres]]/Tableau3[[#This Row],[Total Bilan]],"")</f>
        <v/>
      </c>
      <c r="W691" s="180"/>
      <c r="Y691" s="180"/>
      <c r="Z691" s="192" t="str">
        <f>IFERROR(Tableau3[[#This Row],[Chiffre d''affaires]]/Tableau3[[#This Row],[Salariés]],"")</f>
        <v/>
      </c>
      <c r="AA691" s="177"/>
      <c r="AC691" s="177" t="s">
        <v>560</v>
      </c>
    </row>
    <row r="692" spans="1:29" ht="20.25" customHeight="1">
      <c r="A692" s="217"/>
      <c r="F692" s="214"/>
      <c r="G692" s="188"/>
      <c r="H692" s="188"/>
      <c r="I692" s="178"/>
      <c r="J692" s="178"/>
      <c r="K692" s="188"/>
      <c r="L692" s="178"/>
      <c r="M692" s="177"/>
      <c r="N692" s="178"/>
      <c r="O692" s="177"/>
      <c r="P692" s="188"/>
      <c r="Q692" s="188"/>
      <c r="R692" s="195"/>
      <c r="S692" s="197"/>
      <c r="T692" s="180"/>
      <c r="U692" s="189" t="str">
        <f>IFERROR(IF(Tableau3[[#This Row],[Dettes]]=0,"",(Tableau3[[#This Row],[Dettes]]/Tableau3[[#This Row],[EBE]])),"")</f>
        <v/>
      </c>
      <c r="V692" s="190" t="str">
        <f>IFERROR(Tableau3[[#This Row],[Fonds propres]]/Tableau3[[#This Row],[Total Bilan]],"")</f>
        <v/>
      </c>
      <c r="W692" s="180"/>
      <c r="Y692" s="180"/>
      <c r="Z692" s="192" t="str">
        <f>IFERROR(Tableau3[[#This Row],[Chiffre d''affaires]]/Tableau3[[#This Row],[Salariés]],"")</f>
        <v/>
      </c>
      <c r="AA692" s="177"/>
      <c r="AC692" s="177" t="s">
        <v>4651</v>
      </c>
    </row>
    <row r="693" spans="1:29" ht="20.25" customHeight="1">
      <c r="A693" s="217"/>
      <c r="F693" s="214"/>
      <c r="G693" s="188"/>
      <c r="H693" s="188"/>
      <c r="I693" s="178"/>
      <c r="J693" s="178"/>
      <c r="K693" s="188"/>
      <c r="L693" s="178"/>
      <c r="M693" s="177"/>
      <c r="N693" s="178"/>
      <c r="O693" s="177"/>
      <c r="P693" s="188"/>
      <c r="Q693" s="188"/>
      <c r="R693" s="195"/>
      <c r="S693" s="197"/>
      <c r="T693" s="180"/>
      <c r="U693" s="189" t="str">
        <f>IFERROR(IF(Tableau3[[#This Row],[Dettes]]=0,"",(Tableau3[[#This Row],[Dettes]]/Tableau3[[#This Row],[EBE]])),"")</f>
        <v/>
      </c>
      <c r="V693" s="190" t="str">
        <f>IFERROR(Tableau3[[#This Row],[Fonds propres]]/Tableau3[[#This Row],[Total Bilan]],"")</f>
        <v/>
      </c>
      <c r="W693" s="180"/>
      <c r="Y693" s="180"/>
      <c r="Z693" s="192" t="str">
        <f>IFERROR(Tableau3[[#This Row],[Chiffre d''affaires]]/Tableau3[[#This Row],[Salariés]],"")</f>
        <v/>
      </c>
      <c r="AA693" s="177"/>
      <c r="AC693" s="177" t="s">
        <v>5043</v>
      </c>
    </row>
    <row r="694" spans="1:29" ht="20.25" customHeight="1">
      <c r="A694" s="217"/>
      <c r="F694" s="214"/>
      <c r="G694" s="188"/>
      <c r="H694" s="188"/>
      <c r="I694" s="178"/>
      <c r="J694" s="178"/>
      <c r="K694" s="188"/>
      <c r="L694" s="178"/>
      <c r="M694" s="177"/>
      <c r="N694" s="178"/>
      <c r="O694" s="177"/>
      <c r="P694" s="188"/>
      <c r="Q694" s="188"/>
      <c r="R694" s="195"/>
      <c r="S694" s="197"/>
      <c r="T694" s="180"/>
      <c r="U694" s="189" t="str">
        <f>IFERROR(IF(Tableau3[[#This Row],[Dettes]]=0,"",(Tableau3[[#This Row],[Dettes]]/Tableau3[[#This Row],[EBE]])),"")</f>
        <v/>
      </c>
      <c r="V694" s="190" t="str">
        <f>IFERROR(Tableau3[[#This Row],[Fonds propres]]/Tableau3[[#This Row],[Total Bilan]],"")</f>
        <v/>
      </c>
      <c r="W694" s="180"/>
      <c r="Y694" s="180"/>
      <c r="Z694" s="192" t="str">
        <f>IFERROR(Tableau3[[#This Row],[Chiffre d''affaires]]/Tableau3[[#This Row],[Salariés]],"")</f>
        <v/>
      </c>
      <c r="AA694" s="177"/>
      <c r="AC694" s="177" t="s">
        <v>561</v>
      </c>
    </row>
    <row r="695" spans="1:29" ht="20.25" customHeight="1">
      <c r="A695" s="217"/>
      <c r="F695" s="214"/>
      <c r="G695" s="188"/>
      <c r="H695" s="188"/>
      <c r="I695" s="178"/>
      <c r="J695" s="178"/>
      <c r="K695" s="188"/>
      <c r="L695" s="178"/>
      <c r="M695" s="177"/>
      <c r="N695" s="178"/>
      <c r="O695" s="177"/>
      <c r="P695" s="188"/>
      <c r="Q695" s="188"/>
      <c r="R695" s="195"/>
      <c r="S695" s="197"/>
      <c r="T695" s="180"/>
      <c r="U695" s="189" t="str">
        <f>IFERROR(IF(Tableau3[[#This Row],[Dettes]]=0,"",(Tableau3[[#This Row],[Dettes]]/Tableau3[[#This Row],[EBE]])),"")</f>
        <v/>
      </c>
      <c r="V695" s="190" t="str">
        <f>IFERROR(Tableau3[[#This Row],[Fonds propres]]/Tableau3[[#This Row],[Total Bilan]],"")</f>
        <v/>
      </c>
      <c r="W695" s="180"/>
      <c r="Y695" s="180"/>
      <c r="Z695" s="192" t="str">
        <f>IFERROR(Tableau3[[#This Row],[Chiffre d''affaires]]/Tableau3[[#This Row],[Salariés]],"")</f>
        <v/>
      </c>
      <c r="AA695" s="177"/>
      <c r="AC695" s="177" t="s">
        <v>191</v>
      </c>
    </row>
    <row r="696" spans="1:29" ht="20.25" customHeight="1">
      <c r="A696" s="217"/>
      <c r="F696" s="214"/>
      <c r="G696" s="188"/>
      <c r="H696" s="188"/>
      <c r="I696" s="178"/>
      <c r="J696" s="178"/>
      <c r="K696" s="188"/>
      <c r="L696" s="178"/>
      <c r="M696" s="177"/>
      <c r="N696" s="178"/>
      <c r="O696" s="177"/>
      <c r="P696" s="188"/>
      <c r="Q696" s="188"/>
      <c r="R696" s="195"/>
      <c r="S696" s="197"/>
      <c r="T696" s="180"/>
      <c r="U696" s="189" t="str">
        <f>IFERROR(IF(Tableau3[[#This Row],[Dettes]]=0,"",(Tableau3[[#This Row],[Dettes]]/Tableau3[[#This Row],[EBE]])),"")</f>
        <v/>
      </c>
      <c r="V696" s="190" t="str">
        <f>IFERROR(Tableau3[[#This Row],[Fonds propres]]/Tableau3[[#This Row],[Total Bilan]],"")</f>
        <v/>
      </c>
      <c r="W696" s="180"/>
      <c r="Y696" s="180"/>
      <c r="Z696" s="192" t="str">
        <f>IFERROR(Tableau3[[#This Row],[Chiffre d''affaires]]/Tableau3[[#This Row],[Salariés]],"")</f>
        <v/>
      </c>
      <c r="AA696" s="177"/>
      <c r="AC696" s="177" t="s">
        <v>81</v>
      </c>
    </row>
    <row r="697" spans="1:29" ht="20.25" customHeight="1">
      <c r="A697" s="217"/>
      <c r="F697" s="214"/>
      <c r="G697" s="188"/>
      <c r="H697" s="188"/>
      <c r="I697" s="178"/>
      <c r="J697" s="178"/>
      <c r="K697" s="188"/>
      <c r="L697" s="178"/>
      <c r="M697" s="177"/>
      <c r="N697" s="178"/>
      <c r="O697" s="177"/>
      <c r="P697" s="188"/>
      <c r="Q697" s="188"/>
      <c r="R697" s="195"/>
      <c r="S697" s="197"/>
      <c r="T697" s="180"/>
      <c r="U697" s="189" t="str">
        <f>IFERROR(IF(Tableau3[[#This Row],[Dettes]]=0,"",(Tableau3[[#This Row],[Dettes]]/Tableau3[[#This Row],[EBE]])),"")</f>
        <v/>
      </c>
      <c r="V697" s="190" t="str">
        <f>IFERROR(Tableau3[[#This Row],[Fonds propres]]/Tableau3[[#This Row],[Total Bilan]],"")</f>
        <v/>
      </c>
      <c r="W697" s="180"/>
      <c r="Y697" s="180"/>
      <c r="Z697" s="192" t="str">
        <f>IFERROR(Tableau3[[#This Row],[Chiffre d''affaires]]/Tableau3[[#This Row],[Salariés]],"")</f>
        <v/>
      </c>
      <c r="AC697" s="177" t="s">
        <v>5044</v>
      </c>
    </row>
    <row r="698" spans="1:29" ht="20.25" customHeight="1">
      <c r="A698" s="217"/>
      <c r="F698" s="214"/>
      <c r="G698" s="188"/>
      <c r="H698" s="188"/>
      <c r="I698" s="178"/>
      <c r="J698" s="178"/>
      <c r="K698" s="188"/>
      <c r="L698" s="178"/>
      <c r="M698" s="178"/>
      <c r="N698" s="178"/>
      <c r="O698" s="178"/>
      <c r="P698" s="188"/>
      <c r="Q698" s="188"/>
      <c r="R698" s="195"/>
      <c r="S698" s="197"/>
      <c r="T698" s="180"/>
      <c r="U698" s="189" t="str">
        <f>IFERROR(IF(Tableau3[[#This Row],[Dettes]]=0,"",(Tableau3[[#This Row],[Dettes]]/Tableau3[[#This Row],[EBE]])),"")</f>
        <v/>
      </c>
      <c r="V698" s="190" t="str">
        <f>IFERROR(Tableau3[[#This Row],[Fonds propres]]/Tableau3[[#This Row],[Total Bilan]],"")</f>
        <v/>
      </c>
      <c r="W698" s="180"/>
      <c r="Y698" s="180"/>
      <c r="Z698" s="192" t="str">
        <f>IFERROR(Tableau3[[#This Row],[Chiffre d''affaires]]/Tableau3[[#This Row],[Salariés]],"")</f>
        <v/>
      </c>
    </row>
    <row r="699" spans="1:29" ht="20.25" customHeight="1">
      <c r="A699" s="217"/>
      <c r="F699" s="214"/>
      <c r="G699" s="188"/>
      <c r="H699" s="188"/>
      <c r="I699" s="178"/>
      <c r="J699" s="178"/>
      <c r="K699" s="188"/>
      <c r="L699" s="178"/>
      <c r="M699" s="178"/>
      <c r="N699" s="178"/>
      <c r="O699" s="178"/>
      <c r="P699" s="188"/>
      <c r="Q699" s="188"/>
      <c r="R699" s="195"/>
      <c r="S699" s="197"/>
      <c r="T699" s="180"/>
      <c r="U699" s="189" t="str">
        <f>IFERROR(IF(Tableau3[[#This Row],[Dettes]]=0,"",(Tableau3[[#This Row],[Dettes]]/Tableau3[[#This Row],[EBE]])),"")</f>
        <v/>
      </c>
      <c r="V699" s="190" t="str">
        <f>IFERROR(Tableau3[[#This Row],[Fonds propres]]/Tableau3[[#This Row],[Total Bilan]],"")</f>
        <v/>
      </c>
      <c r="W699" s="180"/>
      <c r="Y699" s="180"/>
      <c r="Z699" s="192" t="str">
        <f>IFERROR(Tableau3[[#This Row],[Chiffre d''affaires]]/Tableau3[[#This Row],[Salariés]],"")</f>
        <v/>
      </c>
      <c r="AA699" s="177"/>
    </row>
    <row r="700" spans="1:29" ht="20.25" customHeight="1">
      <c r="A700" s="217"/>
      <c r="F700" s="214"/>
      <c r="G700" s="188"/>
      <c r="H700" s="188"/>
      <c r="I700" s="178"/>
      <c r="J700" s="178"/>
      <c r="K700" s="188"/>
      <c r="L700" s="178"/>
      <c r="M700" s="177"/>
      <c r="N700" s="178"/>
      <c r="O700" s="177"/>
      <c r="P700" s="188"/>
      <c r="Q700" s="188"/>
      <c r="R700" s="195"/>
      <c r="S700" s="197"/>
      <c r="T700" s="180"/>
      <c r="U700" s="189" t="str">
        <f>IFERROR(IF(Tableau3[[#This Row],[Dettes]]=0,"",(Tableau3[[#This Row],[Dettes]]/Tableau3[[#This Row],[EBE]])),"")</f>
        <v/>
      </c>
      <c r="V700" s="190" t="str">
        <f>IFERROR(Tableau3[[#This Row],[Fonds propres]]/Tableau3[[#This Row],[Total Bilan]],"")</f>
        <v/>
      </c>
      <c r="W700" s="180"/>
      <c r="Y700" s="180"/>
      <c r="Z700" s="192" t="str">
        <f>IFERROR(Tableau3[[#This Row],[Chiffre d''affaires]]/Tableau3[[#This Row],[Salariés]],"")</f>
        <v/>
      </c>
      <c r="AA700" s="177"/>
    </row>
    <row r="701" spans="1:29" ht="20.25" customHeight="1">
      <c r="A701" s="217" t="s">
        <v>562</v>
      </c>
      <c r="B701" s="216" t="s">
        <v>563</v>
      </c>
      <c r="C701" s="178" t="s">
        <v>564</v>
      </c>
      <c r="D701" s="178" t="s">
        <v>85</v>
      </c>
      <c r="E701" s="187">
        <v>22.75</v>
      </c>
      <c r="F701" s="227">
        <v>2025</v>
      </c>
      <c r="G701" s="188">
        <f>G703*1.03</f>
        <v>9081716000</v>
      </c>
      <c r="H701" s="188"/>
      <c r="I701" s="188">
        <v>520000000</v>
      </c>
      <c r="J701" s="188">
        <v>200000000</v>
      </c>
      <c r="K701" s="188">
        <v>150000000</v>
      </c>
      <c r="L701" s="188">
        <v>2950000000</v>
      </c>
      <c r="M701" s="208">
        <f>L701/P701</f>
        <v>19.717933293229063</v>
      </c>
      <c r="N701" s="190">
        <f>J701/L703</f>
        <v>7.0706356501449477E-2</v>
      </c>
      <c r="O701" s="190">
        <f>(I701*0.75)/(K703+L703)</f>
        <v>0.13227513227513227</v>
      </c>
      <c r="P701" s="188">
        <v>149610000</v>
      </c>
      <c r="Q701" s="188">
        <f>P701*E701</f>
        <v>3403627500</v>
      </c>
      <c r="R701" s="195">
        <f>Q701/L701</f>
        <v>1.1537720338983051</v>
      </c>
      <c r="S701" s="197"/>
      <c r="T701" s="180">
        <v>200000000</v>
      </c>
      <c r="U701" s="189" t="str">
        <f>IFERROR(IF(Tableau3[[#This Row],[Dettes]]=0,"",(Tableau3[[#This Row],[Dettes]]/Tableau3[[#This Row],[EBE]])),"")</f>
        <v/>
      </c>
      <c r="V701" s="190">
        <f>IFERROR(Tableau3[[#This Row],[Fonds propres]]/Tableau3[[#This Row],[Total Bilan]],"")</f>
        <v>0.42142857142857143</v>
      </c>
      <c r="W701" s="180">
        <v>7000000000</v>
      </c>
      <c r="Y701" s="180">
        <v>22214</v>
      </c>
      <c r="Z701" s="192">
        <f>IFERROR(Tableau3[[#This Row],[Chiffre d''affaires]]/Tableau3[[#This Row],[Salariés]],"")</f>
        <v>408828.4865400198</v>
      </c>
      <c r="AA701" s="177"/>
      <c r="AC701" s="177" t="s">
        <v>5092</v>
      </c>
    </row>
    <row r="702" spans="1:29" ht="20.25" customHeight="1">
      <c r="A702" s="217"/>
      <c r="F702" s="214"/>
      <c r="G702" s="202">
        <f>(G701/G703)-1</f>
        <v>3.0000000000000027E-2</v>
      </c>
      <c r="H702" s="203"/>
      <c r="I702" s="203">
        <f>(I701/I703)-1</f>
        <v>-0.16398713826366562</v>
      </c>
      <c r="J702" s="203">
        <f>(J701/J703)-1</f>
        <v>-0.29078014184397161</v>
      </c>
      <c r="K702" s="188"/>
      <c r="L702" s="178"/>
      <c r="M702" s="177"/>
      <c r="N702" s="178"/>
      <c r="O702" s="177"/>
      <c r="P702" s="188"/>
      <c r="Q702" s="188"/>
      <c r="R702" s="195"/>
      <c r="S702" s="197"/>
      <c r="T702" s="180"/>
      <c r="U702" s="189" t="str">
        <f>IFERROR(IF(Tableau3[[#This Row],[Dettes]]=0,"",(Tableau3[[#This Row],[Dettes]]/Tableau3[[#This Row],[EBE]])),"")</f>
        <v/>
      </c>
      <c r="V702" s="190" t="str">
        <f>IFERROR(Tableau3[[#This Row],[Fonds propres]]/Tableau3[[#This Row],[Total Bilan]],"")</f>
        <v/>
      </c>
      <c r="W702" s="180"/>
      <c r="Y702" s="180"/>
      <c r="Z702" s="192" t="str">
        <f>IFERROR(Tableau3[[#This Row],[Chiffre d''affaires]]/Tableau3[[#This Row],[Salariés]],"")</f>
        <v/>
      </c>
      <c r="AA702" s="177"/>
      <c r="AC702" s="177" t="s">
        <v>566</v>
      </c>
    </row>
    <row r="703" spans="1:29" ht="20.25" customHeight="1">
      <c r="A703" s="217"/>
      <c r="E703" s="187">
        <v>44.36</v>
      </c>
      <c r="F703" s="227">
        <v>2024</v>
      </c>
      <c r="G703" s="188">
        <v>8817200000</v>
      </c>
      <c r="H703" s="188"/>
      <c r="I703" s="188">
        <v>622000000</v>
      </c>
      <c r="J703" s="188">
        <v>282000000</v>
      </c>
      <c r="K703" s="188">
        <v>119800000</v>
      </c>
      <c r="L703" s="188">
        <v>2828600000</v>
      </c>
      <c r="M703" s="208">
        <f>L703/P703</f>
        <v>18.906490207873805</v>
      </c>
      <c r="N703" s="190">
        <f>J703/L705</f>
        <v>0.11044098065324665</v>
      </c>
      <c r="O703" s="190">
        <f>(I703*0.75)/(K705+L705)</f>
        <v>0.18134110787172011</v>
      </c>
      <c r="P703" s="188">
        <v>149610000</v>
      </c>
      <c r="Q703" s="188">
        <f>P703*E703</f>
        <v>6636699600</v>
      </c>
      <c r="R703" s="195">
        <f>Q703/L703</f>
        <v>2.3462842395531358</v>
      </c>
      <c r="S703" s="197"/>
      <c r="T703" s="180">
        <v>464300000</v>
      </c>
      <c r="U703" s="189" t="str">
        <f>IFERROR(IF(Tableau3[[#This Row],[Dettes]]=0,"",(Tableau3[[#This Row],[Dettes]]/Tableau3[[#This Row],[EBE]])),"")</f>
        <v/>
      </c>
      <c r="V703" s="190">
        <f>IFERROR(Tableau3[[#This Row],[Fonds propres]]/Tableau3[[#This Row],[Total Bilan]],"")</f>
        <v>0.40605799598047659</v>
      </c>
      <c r="W703" s="180">
        <v>6966000000</v>
      </c>
      <c r="X703" s="191"/>
      <c r="Y703" s="180">
        <v>22214</v>
      </c>
      <c r="Z703" s="192">
        <f>IFERROR(Tableau3[[#This Row],[Chiffre d''affaires]]/Tableau3[[#This Row],[Salariés]],"")</f>
        <v>396920.86071846582</v>
      </c>
      <c r="AA703" s="197"/>
      <c r="AB703" s="197"/>
      <c r="AC703" s="177" t="s">
        <v>5096</v>
      </c>
    </row>
    <row r="704" spans="1:29" ht="20.25" customHeight="1">
      <c r="A704" s="217"/>
      <c r="F704" s="214"/>
      <c r="G704" s="202">
        <f>(G703/G705)-1</f>
        <v>2.5053187160677615E-2</v>
      </c>
      <c r="H704" s="203"/>
      <c r="I704" s="203">
        <f>(I703/I705)-1</f>
        <v>6.4350064350060521E-4</v>
      </c>
      <c r="J704" s="203">
        <f>(J703/J705)-1</f>
        <v>-7.510659232535255E-2</v>
      </c>
      <c r="K704" s="188"/>
      <c r="L704" s="178"/>
      <c r="M704" s="177"/>
      <c r="N704" s="178"/>
      <c r="O704" s="177"/>
      <c r="P704" s="188"/>
      <c r="Q704" s="188"/>
      <c r="R704" s="195"/>
      <c r="S704" s="197"/>
      <c r="T704" s="180"/>
      <c r="U704" s="189" t="str">
        <f>IFERROR(IF(Tableau3[[#This Row],[Dettes]]=0,"",(Tableau3[[#This Row],[Dettes]]/Tableau3[[#This Row],[EBE]])),"")</f>
        <v/>
      </c>
      <c r="V704" s="190" t="str">
        <f>IFERROR(Tableau3[[#This Row],[Fonds propres]]/Tableau3[[#This Row],[Total Bilan]],"")</f>
        <v/>
      </c>
      <c r="W704" s="180"/>
      <c r="X704" s="191"/>
      <c r="Y704" s="180"/>
      <c r="Z704" s="192" t="str">
        <f>IFERROR(Tableau3[[#This Row],[Chiffre d''affaires]]/Tableau3[[#This Row],[Salariés]],"")</f>
        <v/>
      </c>
      <c r="AA704" s="197"/>
      <c r="AB704" s="197"/>
      <c r="AC704" s="177" t="s">
        <v>5095</v>
      </c>
    </row>
    <row r="705" spans="1:44" ht="20.25" customHeight="1">
      <c r="A705" s="217"/>
      <c r="E705" s="187">
        <v>50.38</v>
      </c>
      <c r="F705" s="178">
        <v>2023</v>
      </c>
      <c r="G705" s="188">
        <v>8601700000</v>
      </c>
      <c r="H705" s="188"/>
      <c r="I705" s="188">
        <v>621600000</v>
      </c>
      <c r="J705" s="188">
        <v>304900000</v>
      </c>
      <c r="K705" s="188">
        <v>19100000</v>
      </c>
      <c r="L705" s="188">
        <v>2553400000</v>
      </c>
      <c r="M705" s="208">
        <f>L705/P705</f>
        <v>17.067040973196978</v>
      </c>
      <c r="N705" s="190">
        <f>J705/L707</f>
        <v>0.12335639438443177</v>
      </c>
      <c r="O705" s="190">
        <f>(I705*0.75)/(K707+L707)</f>
        <v>0.18861512319456245</v>
      </c>
      <c r="P705" s="188">
        <v>149610000</v>
      </c>
      <c r="Q705" s="188">
        <f>P705*E705</f>
        <v>7537351800</v>
      </c>
      <c r="R705" s="195">
        <f>Q705/L705</f>
        <v>2.9518883841152972</v>
      </c>
      <c r="S705" s="195"/>
      <c r="T705" s="180">
        <v>369000000</v>
      </c>
      <c r="U705" s="189" t="str">
        <f>IFERROR(IF(Tableau3[[#This Row],[Dettes]]=0,"",(Tableau3[[#This Row],[Dettes]]/Tableau3[[#This Row],[EBE]])),"")</f>
        <v/>
      </c>
      <c r="V705" s="190">
        <f>IFERROR(Tableau3[[#This Row],[Fonds propres]]/Tableau3[[#This Row],[Total Bilan]],"")</f>
        <v>0.38452502861273419</v>
      </c>
      <c r="W705" s="180">
        <v>6640400000</v>
      </c>
      <c r="X705" s="191"/>
      <c r="Y705" s="180">
        <v>18023</v>
      </c>
      <c r="Z705" s="192">
        <f>IFERROR(Tableau3[[#This Row],[Chiffre d''affaires]]/Tableau3[[#This Row],[Salariés]],"")</f>
        <v>477262.38695000834</v>
      </c>
      <c r="AA705" s="197"/>
      <c r="AB705" s="197"/>
      <c r="AC705" s="177" t="s">
        <v>567</v>
      </c>
    </row>
    <row r="706" spans="1:44" ht="20.25" customHeight="1">
      <c r="A706" s="217"/>
      <c r="F706" s="214"/>
      <c r="G706" s="202">
        <f>(G705/G707)-1</f>
        <v>1.6136844219206026E-2</v>
      </c>
      <c r="H706" s="203"/>
      <c r="I706" s="203">
        <f>(I705/I707)-1</f>
        <v>-2.9659694036840434E-2</v>
      </c>
      <c r="J706" s="203">
        <f>(J705/J707)-1</f>
        <v>-0.13748231966053748</v>
      </c>
      <c r="K706" s="188"/>
      <c r="L706" s="178"/>
      <c r="M706" s="188"/>
      <c r="N706" s="208"/>
      <c r="O706" s="190"/>
      <c r="P706" s="190"/>
      <c r="Q706" s="188"/>
      <c r="R706" s="188"/>
      <c r="S706" s="195"/>
      <c r="T706" s="180"/>
      <c r="U706" s="189" t="str">
        <f>IFERROR(IF(Tableau3[[#This Row],[Dettes]]=0,"",(Tableau3[[#This Row],[Dettes]]/Tableau3[[#This Row],[EBE]])),"")</f>
        <v/>
      </c>
      <c r="V706" s="190" t="str">
        <f>IFERROR(Tableau3[[#This Row],[Fonds propres]]/Tableau3[[#This Row],[Total Bilan]],"")</f>
        <v/>
      </c>
      <c r="W706" s="180"/>
      <c r="X706" s="191"/>
      <c r="Y706" s="180"/>
      <c r="Z706" s="192" t="str">
        <f>IFERROR(Tableau3[[#This Row],[Chiffre d''affaires]]/Tableau3[[#This Row],[Salariés]],"")</f>
        <v/>
      </c>
      <c r="AA706" s="197"/>
      <c r="AB706" s="197"/>
      <c r="AC706" s="177" t="s">
        <v>5094</v>
      </c>
    </row>
    <row r="707" spans="1:44" ht="20.25" customHeight="1">
      <c r="A707" s="217"/>
      <c r="E707" s="178">
        <v>56.7</v>
      </c>
      <c r="F707" s="178">
        <v>2022</v>
      </c>
      <c r="G707" s="188">
        <v>8465100000</v>
      </c>
      <c r="H707" s="188"/>
      <c r="I707" s="188">
        <v>640600000</v>
      </c>
      <c r="J707" s="188">
        <v>353500000</v>
      </c>
      <c r="K707" s="178"/>
      <c r="L707" s="188">
        <v>2471700000</v>
      </c>
      <c r="M707" s="208">
        <f>L707/P707</f>
        <v>16.520954481652296</v>
      </c>
      <c r="N707" s="190">
        <f>J707/L709</f>
        <v>0.15971626078706005</v>
      </c>
      <c r="O707" s="190">
        <f>(I707*0.75)/(K709+L709)</f>
        <v>0.21707405232006505</v>
      </c>
      <c r="P707" s="188">
        <v>149610000</v>
      </c>
      <c r="Q707" s="188">
        <f>P707*E707</f>
        <v>8482887000</v>
      </c>
      <c r="R707" s="195">
        <f>Q707/L707</f>
        <v>3.4320050977060323</v>
      </c>
      <c r="S707" s="197"/>
      <c r="T707" s="180">
        <v>177500000</v>
      </c>
      <c r="U707" s="189" t="str">
        <f>IFERROR(IF(Tableau3[[#This Row],[Dettes]]=0,"",(Tableau3[[#This Row],[Dettes]]/Tableau3[[#This Row],[EBE]])),"")</f>
        <v/>
      </c>
      <c r="V707" s="190">
        <f>IFERROR(Tableau3[[#This Row],[Fonds propres]]/Tableau3[[#This Row],[Total Bilan]],"")</f>
        <v>0.36495046288777</v>
      </c>
      <c r="W707" s="180">
        <v>6772700000</v>
      </c>
      <c r="X707" s="191"/>
      <c r="Y707" s="180">
        <v>16669</v>
      </c>
      <c r="Z707" s="192">
        <f>IFERROR(Tableau3[[#This Row],[Chiffre d''affaires]]/Tableau3[[#This Row],[Salariés]],"")</f>
        <v>507834.90311356413</v>
      </c>
      <c r="AA707" s="197"/>
      <c r="AB707" s="197"/>
      <c r="AC707" s="177" t="s">
        <v>5093</v>
      </c>
    </row>
    <row r="708" spans="1:44" ht="20.25" customHeight="1">
      <c r="A708" s="217"/>
      <c r="F708" s="214"/>
      <c r="G708" s="202">
        <f>(G707/G709)-1</f>
        <v>0.24387986011108831</v>
      </c>
      <c r="H708" s="203"/>
      <c r="I708" s="203">
        <f>(I707/I709)-1</f>
        <v>0.149883324358284</v>
      </c>
      <c r="J708" s="203">
        <f>(J707/J709)-1</f>
        <v>0.14179586563307489</v>
      </c>
      <c r="K708" s="178"/>
      <c r="L708" s="188"/>
      <c r="M708" s="208"/>
      <c r="N708" s="190"/>
      <c r="O708" s="190"/>
      <c r="P708" s="188"/>
      <c r="Q708" s="188"/>
      <c r="R708" s="195"/>
      <c r="S708" s="197"/>
      <c r="T708" s="180"/>
      <c r="U708" s="189" t="str">
        <f>IFERROR(IF(Tableau3[[#This Row],[Dettes]]=0,"",(Tableau3[[#This Row],[Dettes]]/Tableau3[[#This Row],[EBE]])),"")</f>
        <v/>
      </c>
      <c r="V708" s="190" t="str">
        <f>IFERROR(Tableau3[[#This Row],[Fonds propres]]/Tableau3[[#This Row],[Total Bilan]],"")</f>
        <v/>
      </c>
      <c r="W708" s="180"/>
      <c r="X708" s="191"/>
      <c r="Y708" s="180"/>
      <c r="Z708" s="192" t="str">
        <f>IFERROR(Tableau3[[#This Row],[Chiffre d''affaires]]/Tableau3[[#This Row],[Salariés]],"")</f>
        <v/>
      </c>
      <c r="AA708" s="197"/>
      <c r="AB708" s="197"/>
      <c r="AC708" s="6" t="s">
        <v>1110</v>
      </c>
    </row>
    <row r="709" spans="1:44" ht="20.25" customHeight="1">
      <c r="A709" s="217"/>
      <c r="E709" s="178">
        <v>107.5</v>
      </c>
      <c r="F709" s="178">
        <v>2021</v>
      </c>
      <c r="G709" s="188">
        <v>6805400000</v>
      </c>
      <c r="H709" s="188"/>
      <c r="I709" s="188">
        <v>557100000</v>
      </c>
      <c r="J709" s="188">
        <v>309600000</v>
      </c>
      <c r="K709" s="178"/>
      <c r="L709" s="188">
        <v>2213300000</v>
      </c>
      <c r="M709" s="208">
        <f>L709/P709</f>
        <v>14.793797206069113</v>
      </c>
      <c r="N709" s="190">
        <f>J709/L711</f>
        <v>0.17552015420375305</v>
      </c>
      <c r="O709" s="190">
        <f>(I709*0.75)/(K711+L711)</f>
        <v>0.23687567322410569</v>
      </c>
      <c r="P709" s="188">
        <v>149610000</v>
      </c>
      <c r="Q709" s="188">
        <f>P709*E709</f>
        <v>16083075000</v>
      </c>
      <c r="R709" s="195">
        <f>Q709/L709</f>
        <v>7.266558984322053</v>
      </c>
      <c r="S709" s="197"/>
      <c r="T709" s="180">
        <v>276200000</v>
      </c>
      <c r="U709" s="189" t="str">
        <f>IFERROR(IF(Tableau3[[#This Row],[Dettes]]=0,"",(Tableau3[[#This Row],[Dettes]]/Tableau3[[#This Row],[EBE]])),"")</f>
        <v/>
      </c>
      <c r="V709" s="190" t="str">
        <f>IFERROR(Tableau3[[#This Row],[Fonds propres]]/Tableau3[[#This Row],[Total Bilan]],"")</f>
        <v/>
      </c>
      <c r="W709" s="180"/>
      <c r="X709" s="191"/>
      <c r="Y709" s="180">
        <v>14846</v>
      </c>
      <c r="Z709" s="192">
        <f>IFERROR(Tableau3[[#This Row],[Chiffre d''affaires]]/Tableau3[[#This Row],[Salariés]],"")</f>
        <v>458399.56890744984</v>
      </c>
      <c r="AA709" s="197"/>
      <c r="AB709" s="197"/>
      <c r="AC709" s="10" t="s">
        <v>3155</v>
      </c>
    </row>
    <row r="710" spans="1:44" ht="20.25" customHeight="1">
      <c r="A710" s="217"/>
      <c r="F710" s="214"/>
      <c r="G710" s="202">
        <f>(G709/G711)-1</f>
        <v>0.30012990982729626</v>
      </c>
      <c r="H710" s="203"/>
      <c r="I710" s="203">
        <f>(I709/I711)-1</f>
        <v>1.663001912045889</v>
      </c>
      <c r="J710" s="203">
        <f>(J709/J711)-1</f>
        <v>2.9239543726235739</v>
      </c>
      <c r="K710" s="188"/>
      <c r="L710" s="178"/>
      <c r="M710" s="208"/>
      <c r="N710" s="190"/>
      <c r="O710" s="190"/>
      <c r="P710" s="188"/>
      <c r="Q710" s="188"/>
      <c r="R710" s="195"/>
      <c r="S710" s="197"/>
      <c r="T710" s="180"/>
      <c r="U710" s="189" t="str">
        <f>IFERROR(IF(Tableau3[[#This Row],[Dettes]]=0,"",(Tableau3[[#This Row],[Dettes]]/Tableau3[[#This Row],[EBE]])),"")</f>
        <v/>
      </c>
      <c r="V710" s="190" t="str">
        <f>IFERROR(Tableau3[[#This Row],[Fonds propres]]/Tableau3[[#This Row],[Total Bilan]],"")</f>
        <v/>
      </c>
      <c r="W710" s="180"/>
      <c r="X710" s="191"/>
      <c r="Y710" s="180"/>
      <c r="Z710" s="192" t="str">
        <f>IFERROR(Tableau3[[#This Row],[Chiffre d''affaires]]/Tableau3[[#This Row],[Salariés]],"")</f>
        <v/>
      </c>
      <c r="AA710" s="197"/>
      <c r="AB710" s="197"/>
      <c r="AC710" s="10" t="s">
        <v>5090</v>
      </c>
    </row>
    <row r="711" spans="1:44" ht="20.25" customHeight="1">
      <c r="A711" s="217"/>
      <c r="E711" s="187">
        <v>92.28</v>
      </c>
      <c r="F711" s="178">
        <v>2020</v>
      </c>
      <c r="G711" s="188">
        <v>5234400000</v>
      </c>
      <c r="H711" s="188"/>
      <c r="I711" s="188">
        <v>209200000</v>
      </c>
      <c r="J711" s="188">
        <v>78900000</v>
      </c>
      <c r="K711" s="188"/>
      <c r="L711" s="188">
        <v>1763900000</v>
      </c>
      <c r="M711" s="208">
        <f>L711/P711</f>
        <v>11.792351918705709</v>
      </c>
      <c r="N711" s="190">
        <f>J711/L713</f>
        <v>4.1087330104671145E-2</v>
      </c>
      <c r="O711" s="190">
        <f>(I711*0.75)/(K713+L713)</f>
        <v>8.170598344008749E-2</v>
      </c>
      <c r="P711" s="188">
        <v>149580000</v>
      </c>
      <c r="Q711" s="188">
        <f>P711*E711</f>
        <v>13803242400</v>
      </c>
      <c r="R711" s="195"/>
      <c r="S711" s="197"/>
      <c r="T711" s="180">
        <v>276000000</v>
      </c>
      <c r="U711" s="189" t="str">
        <f>IFERROR(IF(Tableau3[[#This Row],[Dettes]]=0,"",(Tableau3[[#This Row],[Dettes]]/Tableau3[[#This Row],[EBE]])),"")</f>
        <v/>
      </c>
      <c r="V711" s="190" t="str">
        <f>IFERROR(Tableau3[[#This Row],[Fonds propres]]/Tableau3[[#This Row],[Total Bilan]],"")</f>
        <v/>
      </c>
      <c r="W711" s="180"/>
      <c r="X711" s="191"/>
      <c r="Y711" s="180">
        <v>13016</v>
      </c>
      <c r="Z711" s="192">
        <f>IFERROR(Tableau3[[#This Row],[Chiffre d''affaires]]/Tableau3[[#This Row],[Salariés]],"")</f>
        <v>402151.19852489245</v>
      </c>
      <c r="AA711" s="197"/>
      <c r="AB711" s="197"/>
      <c r="AC711" s="177" t="s">
        <v>568</v>
      </c>
    </row>
    <row r="712" spans="1:44" ht="20.25" customHeight="1">
      <c r="A712" s="217"/>
      <c r="F712" s="214"/>
      <c r="G712" s="202">
        <f>(G711/G713)-1</f>
        <v>-4.8671440514703179E-2</v>
      </c>
      <c r="H712" s="203"/>
      <c r="I712" s="203">
        <f>(I711/I713)-1</f>
        <v>-0.52476147205815538</v>
      </c>
      <c r="J712" s="203">
        <f>(J711/J713)-1</f>
        <v>-0.69931402439024393</v>
      </c>
      <c r="K712" s="188"/>
      <c r="L712" s="188"/>
      <c r="M712" s="178"/>
      <c r="N712" s="178"/>
      <c r="O712" s="178"/>
      <c r="P712" s="188"/>
      <c r="Q712" s="188"/>
      <c r="R712" s="195"/>
      <c r="S712" s="197"/>
      <c r="T712" s="180"/>
      <c r="U712" s="189" t="str">
        <f>IFERROR(IF(Tableau3[[#This Row],[Dettes]]=0,"",(Tableau3[[#This Row],[Dettes]]/Tableau3[[#This Row],[EBE]])),"")</f>
        <v/>
      </c>
      <c r="V712" s="190" t="str">
        <f>IFERROR(Tableau3[[#This Row],[Fonds propres]]/Tableau3[[#This Row],[Total Bilan]],"")</f>
        <v/>
      </c>
      <c r="W712" s="180"/>
      <c r="X712" s="191"/>
      <c r="Y712" s="180"/>
      <c r="Z712" s="192" t="str">
        <f>IFERROR(Tableau3[[#This Row],[Chiffre d''affaires]]/Tableau3[[#This Row],[Salariés]],"")</f>
        <v/>
      </c>
      <c r="AA712" s="197"/>
      <c r="AB712" s="197"/>
      <c r="AC712" s="177" t="s">
        <v>569</v>
      </c>
      <c r="AD712" s="188"/>
      <c r="AE712" s="188"/>
      <c r="AF712" s="188"/>
      <c r="AG712" s="188"/>
      <c r="AH712" s="188"/>
      <c r="AI712" s="188"/>
      <c r="AJ712" s="188"/>
      <c r="AK712" s="188"/>
      <c r="AL712" s="188"/>
      <c r="AM712" s="188"/>
      <c r="AN712" s="188"/>
      <c r="AO712" s="188"/>
      <c r="AP712" s="188"/>
      <c r="AQ712" s="188"/>
      <c r="AR712" s="188"/>
    </row>
    <row r="713" spans="1:44" ht="20.25" customHeight="1">
      <c r="A713" s="217"/>
      <c r="E713" s="187">
        <v>92.28</v>
      </c>
      <c r="F713" s="178">
        <v>2019</v>
      </c>
      <c r="G713" s="188">
        <v>5502200000</v>
      </c>
      <c r="H713" s="188"/>
      <c r="I713" s="188">
        <v>440200000</v>
      </c>
      <c r="J713" s="188">
        <v>262400000</v>
      </c>
      <c r="K713" s="188"/>
      <c r="L713" s="188">
        <v>1920300000</v>
      </c>
      <c r="M713" s="208">
        <f>L715/P713</f>
        <v>11.475022988691393</v>
      </c>
      <c r="N713" s="190">
        <f>J713/L715</f>
        <v>0.1523632563000813</v>
      </c>
      <c r="O713" s="190">
        <f>(I713*0.75)/(K715+L715)</f>
        <v>0.19170247358030426</v>
      </c>
      <c r="P713" s="188">
        <v>150082488</v>
      </c>
      <c r="Q713" s="188">
        <f>P713*E713</f>
        <v>13849611992.639999</v>
      </c>
      <c r="R713" s="195"/>
      <c r="S713" s="197"/>
      <c r="T713" s="180">
        <v>330000000</v>
      </c>
      <c r="U713" s="189" t="str">
        <f>IFERROR(IF(Tableau3[[#This Row],[Dettes]]=0,"",(Tableau3[[#This Row],[Dettes]]/Tableau3[[#This Row],[EBE]])),"")</f>
        <v/>
      </c>
      <c r="V713" s="190" t="str">
        <f>IFERROR(Tableau3[[#This Row],[Fonds propres]]/Tableau3[[#This Row],[Total Bilan]],"")</f>
        <v/>
      </c>
      <c r="W713" s="180"/>
      <c r="X713" s="191"/>
      <c r="Y713" s="180">
        <v>13348</v>
      </c>
      <c r="Z713" s="192">
        <f>IFERROR(Tableau3[[#This Row],[Chiffre d''affaires]]/Tableau3[[#This Row],[Salariés]],"")</f>
        <v>412211.56727599638</v>
      </c>
      <c r="AA713" s="197"/>
      <c r="AB713" s="197"/>
      <c r="AC713" s="177" t="s">
        <v>570</v>
      </c>
      <c r="AD713" s="188"/>
      <c r="AE713" s="188"/>
      <c r="AF713" s="188"/>
      <c r="AG713" s="188"/>
      <c r="AH713" s="188"/>
      <c r="AI713" s="188"/>
      <c r="AJ713" s="188"/>
      <c r="AK713" s="188"/>
      <c r="AL713" s="188"/>
      <c r="AM713" s="188"/>
      <c r="AN713" s="188"/>
      <c r="AO713" s="188"/>
      <c r="AP713" s="188"/>
      <c r="AQ713" s="188"/>
      <c r="AR713" s="188"/>
    </row>
    <row r="714" spans="1:44" ht="20.25" customHeight="1">
      <c r="A714" s="217"/>
      <c r="E714" s="187"/>
      <c r="F714" s="214"/>
      <c r="G714" s="202">
        <f>(G713/G715)-1</f>
        <v>0.18370156831529805</v>
      </c>
      <c r="H714" s="203"/>
      <c r="I714" s="203">
        <f>(I713/I715)-1</f>
        <v>0.30468286899822172</v>
      </c>
      <c r="J714" s="203">
        <f>(J713/J715)-1</f>
        <v>0.40021344717182505</v>
      </c>
      <c r="K714" s="188"/>
      <c r="L714" s="188"/>
      <c r="M714" s="177"/>
      <c r="N714" s="178"/>
      <c r="O714" s="177"/>
      <c r="P714" s="188"/>
      <c r="Q714" s="188"/>
      <c r="R714" s="195"/>
      <c r="S714" s="197"/>
      <c r="T714" s="180"/>
      <c r="U714" s="189" t="str">
        <f>IFERROR(IF(Tableau3[[#This Row],[Dettes]]=0,"",(Tableau3[[#This Row],[Dettes]]/Tableau3[[#This Row],[EBE]])),"")</f>
        <v/>
      </c>
      <c r="V714" s="190" t="str">
        <f>IFERROR(Tableau3[[#This Row],[Fonds propres]]/Tableau3[[#This Row],[Total Bilan]],"")</f>
        <v/>
      </c>
      <c r="W714" s="180"/>
      <c r="X714" s="191"/>
      <c r="Y714" s="180"/>
      <c r="Z714" s="192" t="str">
        <f>IFERROR(Tableau3[[#This Row],[Chiffre d''affaires]]/Tableau3[[#This Row],[Salariés]],"")</f>
        <v/>
      </c>
      <c r="AA714" s="197"/>
      <c r="AB714" s="197"/>
      <c r="AC714" s="177" t="s">
        <v>571</v>
      </c>
      <c r="AD714" s="188"/>
      <c r="AE714" s="188"/>
      <c r="AF714" s="188"/>
      <c r="AG714" s="188"/>
      <c r="AH714" s="188"/>
      <c r="AI714" s="188"/>
      <c r="AJ714" s="188"/>
      <c r="AK714" s="188"/>
      <c r="AL714" s="188"/>
      <c r="AM714" s="188"/>
      <c r="AN714" s="188"/>
      <c r="AO714" s="188"/>
      <c r="AP714" s="188"/>
      <c r="AQ714" s="188"/>
      <c r="AR714" s="188"/>
    </row>
    <row r="715" spans="1:44" ht="20.25" customHeight="1">
      <c r="A715" s="217"/>
      <c r="C715" s="178" t="s">
        <v>573</v>
      </c>
      <c r="E715" s="187">
        <v>505</v>
      </c>
      <c r="F715" s="178">
        <v>2018</v>
      </c>
      <c r="G715" s="188">
        <v>4648300000</v>
      </c>
      <c r="H715" s="188"/>
      <c r="I715" s="188">
        <v>337400000</v>
      </c>
      <c r="J715" s="188">
        <v>187400000</v>
      </c>
      <c r="K715" s="188"/>
      <c r="L715" s="188">
        <v>1722200000</v>
      </c>
      <c r="M715" s="208">
        <f>L717/(P715*10)</f>
        <v>10.98426201300475</v>
      </c>
      <c r="N715" s="190">
        <f>J715/L717</f>
        <v>0.11311643628900826</v>
      </c>
      <c r="O715" s="190">
        <f>(I715*0.75)/(K717+L717)</f>
        <v>0.15274340556528038</v>
      </c>
      <c r="P715" s="188">
        <v>15082488</v>
      </c>
      <c r="Q715" s="188">
        <f>P715*E715</f>
        <v>7616656440</v>
      </c>
      <c r="R715" s="195"/>
      <c r="S715" s="197"/>
      <c r="T715" s="180">
        <v>172900000</v>
      </c>
      <c r="U715" s="189" t="str">
        <f>IFERROR(IF(Tableau3[[#This Row],[Dettes]]=0,"",(Tableau3[[#This Row],[Dettes]]/Tableau3[[#This Row],[EBE]])),"")</f>
        <v/>
      </c>
      <c r="V715" s="190" t="str">
        <f>IFERROR(Tableau3[[#This Row],[Fonds propres]]/Tableau3[[#This Row],[Total Bilan]],"")</f>
        <v/>
      </c>
      <c r="W715" s="180"/>
      <c r="X715" s="191"/>
      <c r="Y715" s="180">
        <v>12192</v>
      </c>
      <c r="Z715" s="192">
        <f>IFERROR(Tableau3[[#This Row],[Chiffre d''affaires]]/Tableau3[[#This Row],[Salariés]],"")</f>
        <v>381258.20209973754</v>
      </c>
      <c r="AA715" s="197"/>
      <c r="AB715" s="197"/>
      <c r="AC715" s="177" t="s">
        <v>4662</v>
      </c>
    </row>
    <row r="716" spans="1:44" ht="20.25" customHeight="1">
      <c r="A716" s="217"/>
      <c r="E716" s="187"/>
      <c r="G716" s="202">
        <f>(G715/G717)-1</f>
        <v>0.12389080973911359</v>
      </c>
      <c r="H716" s="203"/>
      <c r="I716" s="203">
        <f>(I715/I717)-1</f>
        <v>0.3793949304987736</v>
      </c>
      <c r="J716" s="203">
        <f>(J715/J717)-1</f>
        <v>0.37997054491899851</v>
      </c>
      <c r="K716" s="188"/>
      <c r="L716" s="188"/>
      <c r="M716" s="188"/>
      <c r="N716" s="188"/>
      <c r="O716" s="188"/>
      <c r="P716" s="188"/>
      <c r="Q716" s="188"/>
      <c r="R716" s="195"/>
      <c r="S716" s="188"/>
      <c r="T716" s="180"/>
      <c r="U716" s="189" t="str">
        <f>IFERROR(IF(Tableau3[[#This Row],[Dettes]]=0,"",(Tableau3[[#This Row],[Dettes]]/Tableau3[[#This Row],[EBE]])),"")</f>
        <v/>
      </c>
      <c r="V716" s="190" t="str">
        <f>IFERROR(Tableau3[[#This Row],[Fonds propres]]/Tableau3[[#This Row],[Total Bilan]],"")</f>
        <v/>
      </c>
      <c r="W716" s="180"/>
      <c r="X716" s="192"/>
      <c r="Y716" s="180"/>
      <c r="Z716" s="192" t="str">
        <f>IFERROR(Tableau3[[#This Row],[Chiffre d''affaires]]/Tableau3[[#This Row],[Salariés]],"")</f>
        <v/>
      </c>
      <c r="AA716" s="188"/>
      <c r="AB716" s="188"/>
      <c r="AC716" s="177" t="s">
        <v>4664</v>
      </c>
    </row>
    <row r="717" spans="1:44" ht="20.25" customHeight="1">
      <c r="A717" s="217"/>
      <c r="E717" s="187">
        <v>310</v>
      </c>
      <c r="F717" s="178">
        <v>2017</v>
      </c>
      <c r="G717" s="188">
        <v>4135900000</v>
      </c>
      <c r="H717" s="188"/>
      <c r="I717" s="188">
        <v>244600000</v>
      </c>
      <c r="J717" s="188">
        <v>135800000</v>
      </c>
      <c r="K717" s="188"/>
      <c r="L717" s="188">
        <v>1656700000</v>
      </c>
      <c r="M717" s="208">
        <f>L719/(P717*10)</f>
        <v>11.418540495440805</v>
      </c>
      <c r="N717" s="190">
        <f>J717/L719</f>
        <v>7.8852630356520723E-2</v>
      </c>
      <c r="O717" s="190">
        <f>(I717*0.75)/(K719+L719)</f>
        <v>0.1065207292997329</v>
      </c>
      <c r="P717" s="188">
        <v>15082488</v>
      </c>
      <c r="Q717" s="188">
        <f>P717*E717</f>
        <v>4675571280</v>
      </c>
      <c r="R717" s="195"/>
      <c r="S717" s="197"/>
      <c r="T717" s="180">
        <v>128500000</v>
      </c>
      <c r="U717" s="189" t="str">
        <f>IFERROR(IF(Tableau3[[#This Row],[Dettes]]=0,"",(Tableau3[[#This Row],[Dettes]]/Tableau3[[#This Row],[EBE]])),"")</f>
        <v/>
      </c>
      <c r="V717" s="190" t="str">
        <f>IFERROR(Tableau3[[#This Row],[Fonds propres]]/Tableau3[[#This Row],[Total Bilan]],"")</f>
        <v/>
      </c>
      <c r="W717" s="180"/>
      <c r="X717" s="191"/>
      <c r="Y717" s="180">
        <v>11389</v>
      </c>
      <c r="Z717" s="192">
        <f>IFERROR(Tableau3[[#This Row],[Chiffre d''affaires]]/Tableau3[[#This Row],[Salariés]],"")</f>
        <v>363148.65220827115</v>
      </c>
      <c r="AA717" s="197"/>
      <c r="AB717" s="197"/>
      <c r="AC717" s="216">
        <v>2025</v>
      </c>
    </row>
    <row r="718" spans="1:44" ht="20.25" customHeight="1">
      <c r="A718" s="217"/>
      <c r="E718" s="187"/>
      <c r="G718" s="202">
        <f>(G717/G719)-1</f>
        <v>0.14040312129484112</v>
      </c>
      <c r="H718" s="203"/>
      <c r="I718" s="203">
        <f>(I717/I719)-1</f>
        <v>0.91692789968652044</v>
      </c>
      <c r="J718" s="203">
        <f>(J717/J719)-1</f>
        <v>1.1762820512820511</v>
      </c>
      <c r="K718" s="188"/>
      <c r="L718" s="188"/>
      <c r="M718" s="188"/>
      <c r="N718" s="188"/>
      <c r="O718" s="188"/>
      <c r="P718" s="188"/>
      <c r="Q718" s="188"/>
      <c r="R718" s="195"/>
      <c r="S718" s="188"/>
      <c r="T718" s="180"/>
      <c r="U718" s="189" t="str">
        <f>IFERROR(IF(Tableau3[[#This Row],[Dettes]]=0,"",(Tableau3[[#This Row],[Dettes]]/Tableau3[[#This Row],[EBE]])),"")</f>
        <v/>
      </c>
      <c r="V718" s="190" t="str">
        <f>IFERROR(Tableau3[[#This Row],[Fonds propres]]/Tableau3[[#This Row],[Total Bilan]],"")</f>
        <v/>
      </c>
      <c r="W718" s="180"/>
      <c r="X718" s="192"/>
      <c r="Y718" s="180"/>
      <c r="Z718" s="192" t="str">
        <f>IFERROR(Tableau3[[#This Row],[Chiffre d''affaires]]/Tableau3[[#This Row],[Salariés]],"")</f>
        <v/>
      </c>
      <c r="AA718" s="188"/>
      <c r="AB718" s="188"/>
      <c r="AC718" s="177" t="s">
        <v>4663</v>
      </c>
    </row>
    <row r="719" spans="1:44" ht="20.25" customHeight="1">
      <c r="A719" s="217"/>
      <c r="E719" s="187">
        <v>281.5</v>
      </c>
      <c r="F719" s="178">
        <v>2016</v>
      </c>
      <c r="G719" s="188">
        <v>3626700000</v>
      </c>
      <c r="H719" s="188"/>
      <c r="I719" s="188">
        <v>127600000</v>
      </c>
      <c r="J719" s="188">
        <v>62400000</v>
      </c>
      <c r="K719" s="188"/>
      <c r="L719" s="188">
        <v>1722200000</v>
      </c>
      <c r="M719" s="208">
        <f>L721/(P719*10)</f>
        <v>10.736292314636684</v>
      </c>
      <c r="N719" s="190">
        <f>J719/L721</f>
        <v>3.8535169517692827E-2</v>
      </c>
      <c r="O719" s="190">
        <f>(I719*0.6666)/(K719+L721)</f>
        <v>5.2527734206138453E-2</v>
      </c>
      <c r="P719" s="188">
        <v>15082488</v>
      </c>
      <c r="Q719" s="188">
        <f>P719*E719</f>
        <v>4245720372</v>
      </c>
      <c r="R719" s="195"/>
      <c r="S719" s="197"/>
      <c r="T719" s="180">
        <v>49700000</v>
      </c>
      <c r="U719" s="189" t="str">
        <f>IFERROR(IF(Tableau3[[#This Row],[Dettes]]=0,"",(Tableau3[[#This Row],[Dettes]]/Tableau3[[#This Row],[EBE]])),"")</f>
        <v/>
      </c>
      <c r="V719" s="190" t="str">
        <f>IFERROR(Tableau3[[#This Row],[Fonds propres]]/Tableau3[[#This Row],[Total Bilan]],"")</f>
        <v/>
      </c>
      <c r="W719" s="180"/>
      <c r="X719" s="191"/>
      <c r="Y719" s="180">
        <v>11128</v>
      </c>
      <c r="Z719" s="192">
        <f>IFERROR(Tableau3[[#This Row],[Chiffre d''affaires]]/Tableau3[[#This Row],[Salariés]],"")</f>
        <v>325907.62041696621</v>
      </c>
      <c r="AA719" s="197"/>
      <c r="AB719" s="197"/>
      <c r="AC719" s="177" t="s">
        <v>572</v>
      </c>
    </row>
    <row r="720" spans="1:44" ht="20.25" customHeight="1">
      <c r="A720" s="217"/>
      <c r="E720" s="187"/>
      <c r="G720" s="202">
        <f>(G719/G721)-1</f>
        <v>7.0644151856881443E-2</v>
      </c>
      <c r="H720" s="203"/>
      <c r="I720" s="203">
        <f>(I719/I721)-1</f>
        <v>0.32502596053997923</v>
      </c>
      <c r="J720" s="203">
        <f>(J719/J721)-1</f>
        <v>0.68194070080862534</v>
      </c>
      <c r="K720" s="188"/>
      <c r="L720" s="188"/>
      <c r="M720" s="208"/>
      <c r="N720" s="190"/>
      <c r="O720" s="190"/>
      <c r="P720" s="188"/>
      <c r="Q720" s="188"/>
      <c r="R720" s="195"/>
      <c r="S720" s="197"/>
      <c r="T720" s="180"/>
      <c r="U720" s="189" t="str">
        <f>IFERROR(IF(Tableau3[[#This Row],[Dettes]]=0,"",(Tableau3[[#This Row],[Dettes]]/Tableau3[[#This Row],[EBE]])),"")</f>
        <v/>
      </c>
      <c r="V720" s="190" t="str">
        <f>IFERROR(Tableau3[[#This Row],[Fonds propres]]/Tableau3[[#This Row],[Total Bilan]],"")</f>
        <v/>
      </c>
      <c r="W720" s="180"/>
      <c r="X720" s="191"/>
      <c r="Y720" s="180"/>
      <c r="Z720" s="192" t="str">
        <f>IFERROR(Tableau3[[#This Row],[Chiffre d''affaires]]/Tableau3[[#This Row],[Salariés]],"")</f>
        <v/>
      </c>
      <c r="AA720" s="197"/>
      <c r="AB720" s="197"/>
      <c r="AC720" s="177" t="s">
        <v>5088</v>
      </c>
    </row>
    <row r="721" spans="1:29" ht="20.25" customHeight="1">
      <c r="A721" s="217"/>
      <c r="E721" s="187">
        <v>186.2</v>
      </c>
      <c r="F721" s="178">
        <v>2015</v>
      </c>
      <c r="G721" s="188">
        <v>3387400000</v>
      </c>
      <c r="H721" s="188"/>
      <c r="I721" s="188">
        <v>96300000</v>
      </c>
      <c r="J721" s="188">
        <v>37100000</v>
      </c>
      <c r="K721" s="188"/>
      <c r="L721" s="188">
        <v>1619300000</v>
      </c>
      <c r="M721" s="208"/>
      <c r="N721" s="190"/>
      <c r="O721" s="190"/>
      <c r="P721" s="188"/>
      <c r="Q721" s="188"/>
      <c r="R721" s="195"/>
      <c r="S721" s="197"/>
      <c r="T721" s="180">
        <v>-98900000</v>
      </c>
      <c r="U721" s="189" t="str">
        <f>IFERROR(IF(Tableau3[[#This Row],[Dettes]]=0,"",(Tableau3[[#This Row],[Dettes]]/Tableau3[[#This Row],[EBE]])),"")</f>
        <v/>
      </c>
      <c r="V721" s="190" t="str">
        <f>IFERROR(Tableau3[[#This Row],[Fonds propres]]/Tableau3[[#This Row],[Total Bilan]],"")</f>
        <v/>
      </c>
      <c r="W721" s="180"/>
      <c r="X721" s="191"/>
      <c r="Y721" s="180">
        <v>10988</v>
      </c>
      <c r="Z721" s="192">
        <f>IFERROR(Tableau3[[#This Row],[Chiffre d''affaires]]/Tableau3[[#This Row],[Salariés]],"")</f>
        <v>308281.76192209683</v>
      </c>
      <c r="AA721" s="197"/>
      <c r="AB721" s="197"/>
      <c r="AC721" s="177" t="s">
        <v>5091</v>
      </c>
    </row>
    <row r="722" spans="1:29" ht="20.25" customHeight="1">
      <c r="A722" s="217"/>
      <c r="E722" s="187"/>
      <c r="G722" s="188"/>
      <c r="H722" s="188"/>
      <c r="I722" s="188"/>
      <c r="J722" s="188"/>
      <c r="K722" s="188"/>
      <c r="L722" s="188"/>
      <c r="M722" s="208"/>
      <c r="N722" s="190"/>
      <c r="O722" s="190"/>
      <c r="P722" s="188"/>
      <c r="Q722" s="188"/>
      <c r="R722" s="195"/>
      <c r="S722" s="197"/>
      <c r="T722" s="180"/>
      <c r="U722" s="189" t="str">
        <f>IFERROR(IF(Tableau3[[#This Row],[Dettes]]=0,"",(Tableau3[[#This Row],[Dettes]]/Tableau3[[#This Row],[EBE]])),"")</f>
        <v/>
      </c>
      <c r="V722" s="190" t="str">
        <f>IFERROR(Tableau3[[#This Row],[Fonds propres]]/Tableau3[[#This Row],[Total Bilan]],"")</f>
        <v/>
      </c>
      <c r="W722" s="180"/>
      <c r="X722" s="191"/>
      <c r="Y722" s="180"/>
      <c r="Z722" s="192" t="str">
        <f>IFERROR(Tableau3[[#This Row],[Chiffre d''affaires]]/Tableau3[[#This Row],[Salariés]],"")</f>
        <v/>
      </c>
      <c r="AA722" s="197"/>
      <c r="AB722" s="197"/>
      <c r="AC722" s="177" t="s">
        <v>5089</v>
      </c>
    </row>
    <row r="723" spans="1:29" ht="20.25" customHeight="1">
      <c r="A723" s="217"/>
      <c r="E723" s="187"/>
      <c r="G723" s="188"/>
      <c r="H723" s="188"/>
      <c r="I723" s="188"/>
      <c r="J723" s="188"/>
      <c r="K723" s="188"/>
      <c r="L723" s="188"/>
      <c r="M723" s="208"/>
      <c r="N723" s="190"/>
      <c r="O723" s="190"/>
      <c r="P723" s="188"/>
      <c r="Q723" s="188"/>
      <c r="R723" s="195"/>
      <c r="S723" s="197"/>
      <c r="T723" s="180"/>
      <c r="U723" s="189" t="str">
        <f>IFERROR(IF(Tableau3[[#This Row],[Dettes]]=0,"",(Tableau3[[#This Row],[Dettes]]/Tableau3[[#This Row],[EBE]])),"")</f>
        <v/>
      </c>
      <c r="V723" s="190" t="str">
        <f>IFERROR(Tableau3[[#This Row],[Fonds propres]]/Tableau3[[#This Row],[Total Bilan]],"")</f>
        <v/>
      </c>
      <c r="W723" s="180"/>
      <c r="X723" s="191"/>
      <c r="Y723" s="180"/>
      <c r="Z723" s="192" t="str">
        <f>IFERROR(Tableau3[[#This Row],[Chiffre d''affaires]]/Tableau3[[#This Row],[Salariés]],"")</f>
        <v/>
      </c>
      <c r="AA723" s="197"/>
      <c r="AB723" s="197"/>
      <c r="AC723" s="188"/>
    </row>
    <row r="724" spans="1:29" ht="20.25" customHeight="1">
      <c r="A724" s="217"/>
      <c r="E724" s="187"/>
      <c r="G724" s="188"/>
      <c r="H724" s="188"/>
      <c r="I724" s="188"/>
      <c r="J724" s="188"/>
      <c r="K724" s="188"/>
      <c r="L724" s="188"/>
      <c r="M724" s="208"/>
      <c r="N724" s="190"/>
      <c r="O724" s="190"/>
      <c r="P724" s="188"/>
      <c r="Q724" s="188"/>
      <c r="R724" s="195"/>
      <c r="S724" s="197"/>
      <c r="T724" s="180"/>
      <c r="U724" s="189" t="str">
        <f>IFERROR(IF(Tableau3[[#This Row],[Dettes]]=0,"",(Tableau3[[#This Row],[Dettes]]/Tableau3[[#This Row],[EBE]])),"")</f>
        <v/>
      </c>
      <c r="V724" s="190" t="str">
        <f>IFERROR(Tableau3[[#This Row],[Fonds propres]]/Tableau3[[#This Row],[Total Bilan]],"")</f>
        <v/>
      </c>
      <c r="W724" s="180"/>
      <c r="X724" s="191"/>
      <c r="Y724" s="180"/>
      <c r="Z724" s="192" t="str">
        <f>IFERROR(Tableau3[[#This Row],[Chiffre d''affaires]]/Tableau3[[#This Row],[Salariés]],"")</f>
        <v/>
      </c>
      <c r="AA724" s="197"/>
      <c r="AB724" s="197"/>
      <c r="AC724" s="188"/>
    </row>
    <row r="725" spans="1:29" ht="20.25" customHeight="1">
      <c r="A725" s="217" t="s">
        <v>574</v>
      </c>
      <c r="B725" s="216" t="s">
        <v>575</v>
      </c>
      <c r="C725" s="178" t="s">
        <v>84</v>
      </c>
      <c r="D725" s="178" t="s">
        <v>85</v>
      </c>
      <c r="E725" s="187">
        <v>250</v>
      </c>
      <c r="F725" s="178">
        <v>2025</v>
      </c>
      <c r="G725" s="188"/>
      <c r="H725" s="188"/>
      <c r="I725" s="188"/>
      <c r="J725" s="188"/>
      <c r="K725" s="188"/>
      <c r="L725" s="188"/>
      <c r="M725" s="208"/>
      <c r="N725" s="190"/>
      <c r="O725" s="190"/>
      <c r="P725" s="188">
        <v>122601693</v>
      </c>
      <c r="Q725" s="188">
        <f>P725*E725</f>
        <v>30650423250</v>
      </c>
      <c r="R725" s="195"/>
      <c r="S725" s="197"/>
      <c r="T725" s="180"/>
      <c r="U725" s="189" t="str">
        <f>IFERROR(IF(Tableau3[[#This Row],[Dettes]]=0,"",(Tableau3[[#This Row],[Dettes]]/Tableau3[[#This Row],[EBE]])),"")</f>
        <v/>
      </c>
      <c r="V725" s="190" t="str">
        <f>IFERROR(Tableau3[[#This Row],[Fonds propres]]/Tableau3[[#This Row],[Total Bilan]],"")</f>
        <v/>
      </c>
      <c r="W725" s="180"/>
      <c r="X725" s="191" t="s">
        <v>372</v>
      </c>
      <c r="Y725" s="180">
        <v>47000</v>
      </c>
      <c r="Z725" s="192">
        <f>IFERROR(Tableau3[[#This Row],[Chiffre d''affaires]]/Tableau3[[#This Row],[Salariés]],"")</f>
        <v>0</v>
      </c>
      <c r="AA725" s="197" t="s">
        <v>579</v>
      </c>
      <c r="AB725" s="197"/>
      <c r="AC725" s="177" t="s">
        <v>576</v>
      </c>
    </row>
    <row r="726" spans="1:29" ht="20.25" customHeight="1">
      <c r="A726" s="217"/>
      <c r="E726" s="187"/>
      <c r="G726" s="188"/>
      <c r="H726" s="188"/>
      <c r="I726" s="188"/>
      <c r="J726" s="188"/>
      <c r="K726" s="188"/>
      <c r="L726" s="188"/>
      <c r="M726" s="208"/>
      <c r="N726" s="190"/>
      <c r="O726" s="190"/>
      <c r="P726" s="188"/>
      <c r="Q726" s="188"/>
      <c r="R726" s="195"/>
      <c r="S726" s="197"/>
      <c r="T726" s="180"/>
      <c r="U726" s="189" t="str">
        <f>IFERROR(IF(Tableau3[[#This Row],[Dettes]]=0,"",(Tableau3[[#This Row],[Dettes]]/Tableau3[[#This Row],[EBE]])),"")</f>
        <v/>
      </c>
      <c r="V726" s="190" t="str">
        <f>IFERROR(Tableau3[[#This Row],[Fonds propres]]/Tableau3[[#This Row],[Total Bilan]],"")</f>
        <v/>
      </c>
      <c r="W726" s="180"/>
      <c r="X726" s="191"/>
      <c r="Y726" s="180"/>
      <c r="Z726" s="192" t="str">
        <f>IFERROR(Tableau3[[#This Row],[Chiffre d''affaires]]/Tableau3[[#This Row],[Salariés]],"")</f>
        <v/>
      </c>
      <c r="AA726" s="197" t="s">
        <v>168</v>
      </c>
      <c r="AB726" s="197"/>
      <c r="AC726" s="177" t="s">
        <v>578</v>
      </c>
    </row>
    <row r="727" spans="1:29" ht="20.25" customHeight="1">
      <c r="A727" s="217"/>
      <c r="E727" s="187">
        <v>238.25</v>
      </c>
      <c r="F727" s="178">
        <v>2024</v>
      </c>
      <c r="G727" s="188">
        <v>17194000000</v>
      </c>
      <c r="H727" s="188">
        <v>4667000000</v>
      </c>
      <c r="I727" s="188">
        <v>2554000000</v>
      </c>
      <c r="J727" s="188">
        <v>1133000000</v>
      </c>
      <c r="K727" s="188">
        <v>10500000000</v>
      </c>
      <c r="L727" s="188">
        <v>14904000000</v>
      </c>
      <c r="M727" s="208">
        <f>L727/P727</f>
        <v>121.58572355183584</v>
      </c>
      <c r="N727" s="190">
        <f>J727/L729</f>
        <v>7.4480673152774124E-2</v>
      </c>
      <c r="O727" s="190">
        <f>(I727*0.73)/(K729+L729)</f>
        <v>7.8627699055330638E-2</v>
      </c>
      <c r="P727" s="188">
        <v>122580181</v>
      </c>
      <c r="Q727" s="188">
        <f>P727*E727</f>
        <v>29204728123.25</v>
      </c>
      <c r="R727" s="195">
        <f>Q727/L727</f>
        <v>1.9595228209373323</v>
      </c>
      <c r="S727" s="197">
        <f>(Q727+K727)/H727</f>
        <v>8.507548344386116</v>
      </c>
      <c r="T727" s="180"/>
      <c r="U727" s="189">
        <f>IFERROR(IF(Tableau3[[#This Row],[Dettes]]=0,"",(Tableau3[[#This Row],[Dettes]]/Tableau3[[#This Row],[EBE]])),"")</f>
        <v>2.2498392971930574</v>
      </c>
      <c r="V727" s="190">
        <f>IFERROR(Tableau3[[#This Row],[Fonds propres]]/Tableau3[[#This Row],[Total Bilan]],"")</f>
        <v>0.34383795505929038</v>
      </c>
      <c r="W727" s="180">
        <v>43346000000</v>
      </c>
      <c r="Y727" s="180">
        <v>47000</v>
      </c>
      <c r="Z727" s="192">
        <f>IFERROR(Tableau3[[#This Row],[Chiffre d''affaires]]/Tableau3[[#This Row],[Salariés]],"")</f>
        <v>365829.78723404254</v>
      </c>
      <c r="AA727" s="197" t="s">
        <v>107</v>
      </c>
      <c r="AB727" s="197"/>
      <c r="AC727" s="177" t="s">
        <v>580</v>
      </c>
    </row>
    <row r="728" spans="1:29" ht="20.25" customHeight="1">
      <c r="A728" s="217"/>
      <c r="E728" s="187"/>
      <c r="G728" s="202">
        <f>(G727/G729)-1</f>
        <v>-0.12123070632730248</v>
      </c>
      <c r="H728" s="203">
        <f>(H727/H729)-1</f>
        <v>-0.28954178718221957</v>
      </c>
      <c r="I728" s="203">
        <f>(I727/I729)-1</f>
        <v>-0.46186262115465659</v>
      </c>
      <c r="J728" s="203">
        <f>(J727/J729)-1</f>
        <v>-0.62985952303168902</v>
      </c>
      <c r="K728" s="188"/>
      <c r="L728" s="188"/>
      <c r="M728" s="208"/>
      <c r="N728" s="190"/>
      <c r="O728" s="190"/>
      <c r="P728" s="188"/>
      <c r="Q728" s="188"/>
      <c r="R728" s="195"/>
      <c r="S728" s="197"/>
      <c r="T728" s="180"/>
      <c r="U728" s="189" t="str">
        <f>IFERROR(IF(Tableau3[[#This Row],[Dettes]]=0,"",(Tableau3[[#This Row],[Dettes]]/Tableau3[[#This Row],[EBE]])),"")</f>
        <v/>
      </c>
      <c r="V728" s="190" t="str">
        <f>IFERROR(Tableau3[[#This Row],[Fonds propres]]/Tableau3[[#This Row],[Total Bilan]],"")</f>
        <v/>
      </c>
      <c r="W728" s="180"/>
      <c r="X728" s="191"/>
      <c r="Y728" s="180"/>
      <c r="Z728" s="192" t="str">
        <f>IFERROR(Tableau3[[#This Row],[Chiffre d''affaires]]/Tableau3[[#This Row],[Salariés]],"")</f>
        <v/>
      </c>
      <c r="AB728" s="197"/>
      <c r="AC728" s="177" t="s">
        <v>581</v>
      </c>
    </row>
    <row r="729" spans="1:29" ht="20.25" customHeight="1">
      <c r="A729" s="217"/>
      <c r="E729" s="187">
        <v>399</v>
      </c>
      <c r="F729" s="178">
        <v>2023</v>
      </c>
      <c r="G729" s="188">
        <v>19566000000</v>
      </c>
      <c r="H729" s="188">
        <v>6569000000</v>
      </c>
      <c r="I729" s="188">
        <v>4746000000</v>
      </c>
      <c r="J729" s="188">
        <v>3061000000</v>
      </c>
      <c r="K729" s="188">
        <v>8500000000</v>
      </c>
      <c r="L729" s="188">
        <v>15212000000</v>
      </c>
      <c r="M729" s="208">
        <f>L729/P729</f>
        <v>124.46370437268354</v>
      </c>
      <c r="N729" s="190">
        <f>J729/L731</f>
        <v>0.21867409629947135</v>
      </c>
      <c r="O729" s="190">
        <f>(I729*0.73)/(K731+L731)</f>
        <v>0.21257700331328996</v>
      </c>
      <c r="P729" s="188">
        <v>122220370</v>
      </c>
      <c r="Q729" s="188">
        <f>P729*E729</f>
        <v>48765927630</v>
      </c>
      <c r="R729" s="195">
        <f>Q729/L729</f>
        <v>3.2057538541940573</v>
      </c>
      <c r="S729" s="197">
        <f>(Q729+K729)/H729</f>
        <v>8.7176020140051751</v>
      </c>
      <c r="T729" s="180">
        <v>2000000000</v>
      </c>
      <c r="U729" s="189">
        <f>IFERROR(IF(Tableau3[[#This Row],[Dettes]]=0,"",(Tableau3[[#This Row],[Dettes]]/Tableau3[[#This Row],[EBE]])),"")</f>
        <v>1.2939564621708022</v>
      </c>
      <c r="V729" s="190">
        <f>IFERROR(Tableau3[[#This Row],[Fonds propres]]/Tableau3[[#This Row],[Total Bilan]],"")</f>
        <v>0.36773273382164529</v>
      </c>
      <c r="W729" s="180">
        <v>41367000000</v>
      </c>
      <c r="Y729" s="180">
        <v>47000</v>
      </c>
      <c r="Z729" s="192">
        <f>IFERROR(Tableau3[[#This Row],[Chiffre d''affaires]]/Tableau3[[#This Row],[Salariés]],"")</f>
        <v>416297.87234042556</v>
      </c>
      <c r="AB729" s="197"/>
      <c r="AC729" s="177" t="s">
        <v>4729</v>
      </c>
    </row>
    <row r="730" spans="1:29" ht="20.25" customHeight="1">
      <c r="A730" s="217"/>
      <c r="E730" s="187"/>
      <c r="G730" s="202">
        <f>(G729/G731)-1</f>
        <v>-3.8573043093705461E-2</v>
      </c>
      <c r="H730" s="203">
        <f>(H729/H731)-1</f>
        <v>-9.4555478980013818E-2</v>
      </c>
      <c r="I730" s="203">
        <f>(I729/I731)-1</f>
        <v>-0.15083199141170156</v>
      </c>
      <c r="J730" s="203">
        <f>(J729/J731)-1</f>
        <v>-0.15301604869950192</v>
      </c>
      <c r="K730" s="188"/>
      <c r="L730" s="188"/>
      <c r="M730" s="208"/>
      <c r="N730" s="190"/>
      <c r="O730" s="190"/>
      <c r="P730" s="188"/>
      <c r="Q730" s="188"/>
      <c r="R730" s="195"/>
      <c r="S730" s="197"/>
      <c r="T730" s="180"/>
      <c r="U730" s="189" t="str">
        <f>IFERROR(IF(Tableau3[[#This Row],[Dettes]]=0,"",(Tableau3[[#This Row],[Dettes]]/Tableau3[[#This Row],[EBE]])),"")</f>
        <v/>
      </c>
      <c r="V730" s="190" t="str">
        <f>IFERROR(Tableau3[[#This Row],[Fonds propres]]/Tableau3[[#This Row],[Total Bilan]],"")</f>
        <v/>
      </c>
      <c r="W730" s="180"/>
      <c r="X730" s="191"/>
      <c r="Y730" s="180"/>
      <c r="Z730" s="192" t="str">
        <f>IFERROR(Tableau3[[#This Row],[Chiffre d''affaires]]/Tableau3[[#This Row],[Salariés]],"")</f>
        <v/>
      </c>
      <c r="AB730" s="197"/>
      <c r="AC730" s="177" t="s">
        <v>4730</v>
      </c>
    </row>
    <row r="731" spans="1:29" ht="20.25" customHeight="1">
      <c r="A731" s="217"/>
      <c r="E731" s="187">
        <v>475.5</v>
      </c>
      <c r="F731" s="178">
        <v>2022</v>
      </c>
      <c r="G731" s="188">
        <v>20351000000</v>
      </c>
      <c r="H731" s="188">
        <v>7255000000</v>
      </c>
      <c r="I731" s="188">
        <v>5589000000</v>
      </c>
      <c r="J731" s="188">
        <v>3614000000</v>
      </c>
      <c r="K731" s="188">
        <v>2300000000</v>
      </c>
      <c r="L731" s="188">
        <v>13998000000</v>
      </c>
      <c r="M731" s="208">
        <f>L731/P731</f>
        <v>114.53082657170813</v>
      </c>
      <c r="N731" s="190">
        <f>J731/L733</f>
        <v>0.2707765157191237</v>
      </c>
      <c r="O731" s="190">
        <f>(I731*0.73)/(K733+L733)</f>
        <v>0.3018801053628507</v>
      </c>
      <c r="P731" s="188">
        <v>122220370</v>
      </c>
      <c r="Q731" s="188">
        <f>P731*E731</f>
        <v>58115785935</v>
      </c>
      <c r="R731" s="195">
        <f>Q731/L731</f>
        <v>4.151720669738534</v>
      </c>
      <c r="S731" s="197">
        <f>(Q731+K731)/H731</f>
        <v>8.3274687711922812</v>
      </c>
      <c r="T731" s="180">
        <v>3200000000</v>
      </c>
      <c r="U731" s="189">
        <f>IFERROR(IF(Tableau3[[#This Row],[Dettes]]=0,"",(Tableau3[[#This Row],[Dettes]]/Tableau3[[#This Row],[EBE]])),"")</f>
        <v>0.31702274293590627</v>
      </c>
      <c r="V731" s="190">
        <f>IFERROR(Tableau3[[#This Row],[Fonds propres]]/Tableau3[[#This Row],[Total Bilan]],"")</f>
        <v>0.41243370654095463</v>
      </c>
      <c r="W731" s="180">
        <v>33940000000</v>
      </c>
      <c r="Y731" s="180">
        <v>47000</v>
      </c>
      <c r="Z731" s="192">
        <f>IFERROR(Tableau3[[#This Row],[Chiffre d''affaires]]/Tableau3[[#This Row],[Salariés]],"")</f>
        <v>433000</v>
      </c>
      <c r="AB731" s="197"/>
      <c r="AC731" s="177" t="s">
        <v>4731</v>
      </c>
    </row>
    <row r="732" spans="1:29" ht="20.25" customHeight="1">
      <c r="A732" s="217"/>
      <c r="E732" s="187"/>
      <c r="G732" s="202">
        <f>(G731/G733)-1</f>
        <v>0.15334481898760011</v>
      </c>
      <c r="H732" s="203">
        <f>(H731/H733)-1</f>
        <v>0.12125989119683478</v>
      </c>
      <c r="I732" s="203">
        <f>(I731/I733)-1</f>
        <v>0.11396795025113615</v>
      </c>
      <c r="J732" s="203">
        <f>(J731/J733)-1</f>
        <v>0.1380168151903518</v>
      </c>
      <c r="K732" s="188"/>
      <c r="L732" s="188"/>
      <c r="M732" s="208"/>
      <c r="N732" s="190"/>
      <c r="O732" s="190"/>
      <c r="P732" s="188"/>
      <c r="Q732" s="188"/>
      <c r="R732" s="195"/>
      <c r="S732" s="197"/>
      <c r="T732" s="180"/>
      <c r="U732" s="189" t="str">
        <f>IFERROR(IF(Tableau3[[#This Row],[Dettes]]=0,"",(Tableau3[[#This Row],[Dettes]]/Tableau3[[#This Row],[EBE]])),"")</f>
        <v/>
      </c>
      <c r="V732" s="190" t="str">
        <f>IFERROR(Tableau3[[#This Row],[Fonds propres]]/Tableau3[[#This Row],[Total Bilan]],"")</f>
        <v/>
      </c>
      <c r="W732" s="180"/>
      <c r="X732" s="191"/>
      <c r="Y732" s="180"/>
      <c r="Z732" s="192" t="str">
        <f>IFERROR(Tableau3[[#This Row],[Chiffre d''affaires]]/Tableau3[[#This Row],[Salariés]],"")</f>
        <v/>
      </c>
      <c r="AB732" s="197"/>
      <c r="AC732" s="177" t="s">
        <v>582</v>
      </c>
    </row>
    <row r="733" spans="1:29" ht="20.25" customHeight="1">
      <c r="A733" s="217"/>
      <c r="E733" s="187">
        <v>706.9</v>
      </c>
      <c r="F733" s="178">
        <v>2021</v>
      </c>
      <c r="G733" s="188">
        <v>17645200000</v>
      </c>
      <c r="H733" s="188">
        <v>6470400000</v>
      </c>
      <c r="I733" s="188">
        <v>5017200000</v>
      </c>
      <c r="J733" s="188">
        <v>3175700000</v>
      </c>
      <c r="K733" s="188">
        <v>168400000</v>
      </c>
      <c r="L733" s="188">
        <v>13346800000</v>
      </c>
      <c r="M733" s="208">
        <f>L733/P733</f>
        <v>107.5758790260606</v>
      </c>
      <c r="N733" s="190">
        <f>J733/L735</f>
        <v>0.26865128712703773</v>
      </c>
      <c r="O733" s="190">
        <f>(I733*0.73)/(K735+L735)</f>
        <v>0.26218044897491694</v>
      </c>
      <c r="P733" s="188">
        <v>124068705</v>
      </c>
      <c r="Q733" s="188">
        <f>P733*E733</f>
        <v>87704167564.5</v>
      </c>
      <c r="R733" s="195">
        <f>Q733/L733</f>
        <v>6.5711756799007999</v>
      </c>
      <c r="S733" s="197">
        <f>(Q733+K733)/H733</f>
        <v>13.580700971269165</v>
      </c>
      <c r="T733" s="180">
        <v>4424000000</v>
      </c>
      <c r="U733" s="189">
        <f>IFERROR(IF(Tableau3[[#This Row],[Dettes]]=0,"",(Tableau3[[#This Row],[Dettes]]/Tableau3[[#This Row],[EBE]])),"")</f>
        <v>2.6026211671612266E-2</v>
      </c>
      <c r="V733" s="190">
        <f>IFERROR(Tableau3[[#This Row],[Fonds propres]]/Tableau3[[#This Row],[Total Bilan]],"")</f>
        <v>0.42957193434180879</v>
      </c>
      <c r="W733" s="180">
        <v>31070000000</v>
      </c>
      <c r="Y733" s="180">
        <v>42000</v>
      </c>
      <c r="Z733" s="192">
        <f>IFERROR(Tableau3[[#This Row],[Chiffre d''affaires]]/Tableau3[[#This Row],[Salariés]],"")</f>
        <v>420123.80952380953</v>
      </c>
      <c r="AB733" s="197"/>
      <c r="AC733" s="177" t="s">
        <v>583</v>
      </c>
    </row>
    <row r="734" spans="1:29" ht="20.25" customHeight="1">
      <c r="A734" s="217"/>
      <c r="E734" s="187"/>
      <c r="G734" s="202">
        <f>(G733/G735)-1</f>
        <v>0.34694126807224324</v>
      </c>
      <c r="H734" s="203">
        <f>(H733/H735)-1</f>
        <v>0.41454243364959997</v>
      </c>
      <c r="I734" s="203">
        <f>(I733/I735)-1</f>
        <v>0.60028068384792044</v>
      </c>
      <c r="J734" s="203">
        <f>(J733/J735)-1</f>
        <v>0.47679501488095233</v>
      </c>
      <c r="K734" s="188"/>
      <c r="L734" s="188"/>
      <c r="M734" s="188"/>
      <c r="N734" s="188"/>
      <c r="O734" s="188"/>
      <c r="P734" s="188"/>
      <c r="Q734" s="188"/>
      <c r="R734" s="195"/>
      <c r="S734" s="188"/>
      <c r="T734" s="180"/>
      <c r="U734" s="189" t="str">
        <f>IFERROR(IF(Tableau3[[#This Row],[Dettes]]=0,"",(Tableau3[[#This Row],[Dettes]]/Tableau3[[#This Row],[EBE]])),"")</f>
        <v/>
      </c>
      <c r="V734" s="190" t="str">
        <f>IFERROR(Tableau3[[#This Row],[Fonds propres]]/Tableau3[[#This Row],[Total Bilan]],"")</f>
        <v/>
      </c>
      <c r="W734" s="180"/>
      <c r="X734" s="192"/>
      <c r="Y734" s="180"/>
      <c r="Z734" s="192" t="str">
        <f>IFERROR(Tableau3[[#This Row],[Chiffre d''affaires]]/Tableau3[[#This Row],[Salariés]],"")</f>
        <v/>
      </c>
      <c r="AA734" s="188"/>
      <c r="AB734" s="188"/>
      <c r="AC734" s="177" t="s">
        <v>584</v>
      </c>
    </row>
    <row r="735" spans="1:29" ht="20.25" customHeight="1">
      <c r="A735" s="217"/>
      <c r="E735" s="187">
        <v>530</v>
      </c>
      <c r="F735" s="178">
        <v>2020</v>
      </c>
      <c r="G735" s="188">
        <v>13100200000</v>
      </c>
      <c r="H735" s="188">
        <v>4574200000</v>
      </c>
      <c r="I735" s="188">
        <v>3135200000</v>
      </c>
      <c r="J735" s="188">
        <v>2150400000</v>
      </c>
      <c r="K735" s="188">
        <v>2148700000</v>
      </c>
      <c r="L735" s="188">
        <v>11820900000</v>
      </c>
      <c r="M735" s="208">
        <f>L735/P735</f>
        <v>94.625552928975821</v>
      </c>
      <c r="N735" s="190">
        <f>J735/L737</f>
        <v>0.2092215487298236</v>
      </c>
      <c r="O735" s="190">
        <f>(I735*0.73)/(K737+L737)</f>
        <v>0.17483907931827383</v>
      </c>
      <c r="P735" s="188">
        <v>124922916</v>
      </c>
      <c r="Q735" s="188">
        <f>P735*E735</f>
        <v>66209145480</v>
      </c>
      <c r="R735" s="195">
        <f>Q735/L735</f>
        <v>5.6010240743090627</v>
      </c>
      <c r="S735" s="197">
        <f>(Q735+K735)/H735</f>
        <v>14.944218766123038</v>
      </c>
      <c r="T735" s="180">
        <v>2692000000</v>
      </c>
      <c r="U735" s="189">
        <f>IFERROR(IF(Tableau3[[#This Row],[Dettes]]=0,"",(Tableau3[[#This Row],[Dettes]]/Tableau3[[#This Row],[EBE]])),"")</f>
        <v>0.46974334309824667</v>
      </c>
      <c r="V735" s="190">
        <f>IFERROR(Tableau3[[#This Row],[Fonds propres]]/Tableau3[[#This Row],[Total Bilan]],"")</f>
        <v>0.42202427704391288</v>
      </c>
      <c r="W735" s="180">
        <v>28010000000</v>
      </c>
      <c r="X735" s="191"/>
      <c r="Y735" s="180"/>
      <c r="Z735" s="192" t="str">
        <f>IFERROR(Tableau3[[#This Row],[Chiffre d''affaires]]/Tableau3[[#This Row],[Salariés]],"")</f>
        <v/>
      </c>
      <c r="AA735" s="197"/>
      <c r="AB735" s="197"/>
      <c r="AC735" s="177" t="s">
        <v>585</v>
      </c>
    </row>
    <row r="736" spans="1:29" ht="20.25" customHeight="1">
      <c r="A736" s="217"/>
      <c r="E736" s="187"/>
      <c r="G736" s="202">
        <f>(G735/G737)-1</f>
        <v>-0.14837543718227086</v>
      </c>
      <c r="H736" s="203">
        <f>(H735/H737)-1</f>
        <v>-0.2406202271067136</v>
      </c>
      <c r="I736" s="203">
        <f>(I735/I737)-1</f>
        <v>-0.34386706569281966</v>
      </c>
      <c r="J736" s="203">
        <f>(J735/J737)-1</f>
        <v>-7.614564585352368E-3</v>
      </c>
      <c r="K736" s="188"/>
      <c r="L736" s="188"/>
      <c r="M736" s="188"/>
      <c r="N736" s="188"/>
      <c r="O736" s="188"/>
      <c r="P736" s="188"/>
      <c r="Q736" s="188"/>
      <c r="R736" s="195"/>
      <c r="S736" s="188"/>
      <c r="T736" s="180"/>
      <c r="U736" s="189" t="str">
        <f>IFERROR(IF(Tableau3[[#This Row],[Dettes]]=0,"",(Tableau3[[#This Row],[Dettes]]/Tableau3[[#This Row],[EBE]])),"")</f>
        <v/>
      </c>
      <c r="V736" s="190" t="str">
        <f>IFERROR(Tableau3[[#This Row],[Fonds propres]]/Tableau3[[#This Row],[Total Bilan]],"")</f>
        <v/>
      </c>
      <c r="W736" s="180"/>
      <c r="X736" s="191"/>
      <c r="Y736" s="180"/>
      <c r="Z736" s="192" t="str">
        <f>IFERROR(Tableau3[[#This Row],[Chiffre d''affaires]]/Tableau3[[#This Row],[Salariés]],"")</f>
        <v/>
      </c>
      <c r="AA736" s="197"/>
      <c r="AB736" s="197"/>
      <c r="AC736" s="177" t="s">
        <v>586</v>
      </c>
    </row>
    <row r="737" spans="1:29" ht="20.25" customHeight="1">
      <c r="A737" s="217"/>
      <c r="E737" s="187">
        <v>540</v>
      </c>
      <c r="F737" s="178">
        <v>2019</v>
      </c>
      <c r="G737" s="188">
        <v>15382600000</v>
      </c>
      <c r="H737" s="188">
        <v>6023600000</v>
      </c>
      <c r="I737" s="188">
        <v>4778300000</v>
      </c>
      <c r="J737" s="188">
        <v>2166900000</v>
      </c>
      <c r="K737" s="188">
        <v>2812200000</v>
      </c>
      <c r="L737" s="188">
        <v>10278100000</v>
      </c>
      <c r="M737" s="208">
        <f>L737/P737</f>
        <v>82.213016572760665</v>
      </c>
      <c r="N737" s="190">
        <f>J737/L739</f>
        <v>0.21874842265720429</v>
      </c>
      <c r="O737" s="190">
        <f>(I737*0.73)/(K739+L739)</f>
        <v>0.30025556712833446</v>
      </c>
      <c r="P737" s="188">
        <v>125017916</v>
      </c>
      <c r="Q737" s="188">
        <f>P737*E737</f>
        <v>67509674640</v>
      </c>
      <c r="R737" s="195">
        <f>Q737/L737</f>
        <v>6.5683029587180508</v>
      </c>
      <c r="S737" s="197">
        <f>(Q737+K737)/H737</f>
        <v>11.674393160236404</v>
      </c>
      <c r="T737" s="180"/>
      <c r="U737" s="189">
        <f>IFERROR(IF(Tableau3[[#This Row],[Dettes]]=0,"",(Tableau3[[#This Row],[Dettes]]/Tableau3[[#This Row],[EBE]])),"")</f>
        <v>0.46686366956637226</v>
      </c>
      <c r="V737" s="190">
        <f>IFERROR(Tableau3[[#This Row],[Fonds propres]]/Tableau3[[#This Row],[Total Bilan]],"")</f>
        <v>0.37856721915285452</v>
      </c>
      <c r="W737" s="180">
        <v>27150000000</v>
      </c>
      <c r="X737" s="191"/>
      <c r="Y737" s="180"/>
      <c r="Z737" s="192" t="str">
        <f>IFERROR(Tableau3[[#This Row],[Chiffre d''affaires]]/Tableau3[[#This Row],[Salariés]],"")</f>
        <v/>
      </c>
      <c r="AA737" s="197"/>
      <c r="AB737" s="197"/>
      <c r="AC737" s="177" t="s">
        <v>4626</v>
      </c>
    </row>
    <row r="738" spans="1:29" ht="20.25" customHeight="1">
      <c r="A738" s="217"/>
      <c r="E738" s="187"/>
      <c r="F738" s="214"/>
      <c r="G738" s="202">
        <f>(G737/G739)-1</f>
        <v>0.16124015792612489</v>
      </c>
      <c r="H738" s="203">
        <f>(H737/H739)-1</f>
        <v>0.36899999999999999</v>
      </c>
      <c r="I738" s="203">
        <f>(I737/I739)-1</f>
        <v>0.21159795121456471</v>
      </c>
      <c r="J738" s="203">
        <f>(J737/J739)-1</f>
        <v>-0.2306954947278731</v>
      </c>
      <c r="K738" s="188"/>
      <c r="L738" s="178"/>
      <c r="M738" s="177"/>
      <c r="N738" s="178"/>
      <c r="O738" s="177"/>
      <c r="P738" s="188"/>
      <c r="Q738" s="188"/>
      <c r="R738" s="195"/>
      <c r="S738" s="197"/>
      <c r="T738" s="180"/>
      <c r="U738" s="189" t="str">
        <f>IFERROR(IF(Tableau3[[#This Row],[Dettes]]=0,"",(Tableau3[[#This Row],[Dettes]]/Tableau3[[#This Row],[EBE]])),"")</f>
        <v/>
      </c>
      <c r="V738" s="190" t="str">
        <f>IFERROR(Tableau3[[#This Row],[Fonds propres]]/Tableau3[[#This Row],[Total Bilan]],"")</f>
        <v/>
      </c>
      <c r="W738" s="180"/>
      <c r="X738" s="191"/>
      <c r="Y738" s="180"/>
      <c r="Z738" s="192" t="str">
        <f>IFERROR(Tableau3[[#This Row],[Chiffre d''affaires]]/Tableau3[[#This Row],[Salariés]],"")</f>
        <v/>
      </c>
      <c r="AA738" s="197"/>
      <c r="AB738" s="197"/>
      <c r="AC738" s="177" t="s">
        <v>587</v>
      </c>
    </row>
    <row r="739" spans="1:29" ht="20.25" customHeight="1">
      <c r="A739" s="217"/>
      <c r="E739" s="187">
        <v>375</v>
      </c>
      <c r="F739" s="178">
        <v>2018</v>
      </c>
      <c r="G739" s="188">
        <v>13246700000</v>
      </c>
      <c r="H739" s="188">
        <v>4400000000</v>
      </c>
      <c r="I739" s="188">
        <v>3943800000</v>
      </c>
      <c r="J739" s="188">
        <v>2816700000</v>
      </c>
      <c r="K739" s="188">
        <v>1711400000</v>
      </c>
      <c r="L739" s="188">
        <v>9905900000</v>
      </c>
      <c r="M739" s="208">
        <f>L739/P739</f>
        <v>78.444355284074135</v>
      </c>
      <c r="N739" s="190">
        <f>J739/L741</f>
        <v>0.22308021288728377</v>
      </c>
      <c r="O739" s="190">
        <f>(I739*0.73)/(K741+L741)</f>
        <v>0.18366660287081341</v>
      </c>
      <c r="P739" s="188">
        <v>126279322</v>
      </c>
      <c r="Q739" s="188">
        <f>P739*E739</f>
        <v>47354745750</v>
      </c>
      <c r="R739" s="195">
        <f>Q739/L739</f>
        <v>4.7804586912849913</v>
      </c>
      <c r="S739" s="197">
        <f>(Q739+K739)/H739</f>
        <v>11.151396761363637</v>
      </c>
      <c r="T739" s="180"/>
      <c r="U739" s="189">
        <f>IFERROR(IF(Tableau3[[#This Row],[Dettes]]=0,"",(Tableau3[[#This Row],[Dettes]]/Tableau3[[#This Row],[EBE]])),"")</f>
        <v>0.38895454545454544</v>
      </c>
      <c r="V739" s="190">
        <f>IFERROR(Tableau3[[#This Row],[Fonds propres]]/Tableau3[[#This Row],[Total Bilan]],"")</f>
        <v>0.46354234908750586</v>
      </c>
      <c r="W739" s="180">
        <v>21370000000</v>
      </c>
      <c r="X739" s="191"/>
      <c r="Y739" s="180"/>
      <c r="Z739" s="192" t="str">
        <f>IFERROR(Tableau3[[#This Row],[Chiffre d''affaires]]/Tableau3[[#This Row],[Salariés]],"")</f>
        <v/>
      </c>
      <c r="AA739" s="197"/>
      <c r="AB739" s="197"/>
      <c r="AC739" s="177" t="s">
        <v>588</v>
      </c>
    </row>
    <row r="740" spans="1:29" ht="20.25" customHeight="1">
      <c r="A740" s="217"/>
      <c r="E740" s="187"/>
      <c r="F740" s="214"/>
      <c r="G740" s="202">
        <f>(G739/G741)-1</f>
        <v>-0.14414286360376538</v>
      </c>
      <c r="H740" s="203">
        <f>(H739/H741)-1</f>
        <v>0.27006119385752214</v>
      </c>
      <c r="I740" s="203">
        <f>(I739/I741)-1</f>
        <v>0.33778833107191319</v>
      </c>
      <c r="J740" s="203">
        <f>(J739/J741)-1</f>
        <v>0.57745295698924726</v>
      </c>
      <c r="K740" s="188"/>
      <c r="L740" s="178"/>
      <c r="M740" s="177"/>
      <c r="N740" s="178"/>
      <c r="O740" s="177"/>
      <c r="P740" s="188"/>
      <c r="Q740" s="188"/>
      <c r="R740" s="195"/>
      <c r="S740" s="197"/>
      <c r="T740" s="180"/>
      <c r="U740" s="189" t="str">
        <f>IFERROR(IF(Tableau3[[#This Row],[Dettes]]=0,"",(Tableau3[[#This Row],[Dettes]]/Tableau3[[#This Row],[EBE]])),"")</f>
        <v/>
      </c>
      <c r="V740" s="190" t="str">
        <f>IFERROR(Tableau3[[#This Row],[Fonds propres]]/Tableau3[[#This Row],[Total Bilan]],"")</f>
        <v/>
      </c>
      <c r="W740" s="180"/>
      <c r="X740" s="191"/>
      <c r="Y740" s="180"/>
      <c r="Z740" s="192" t="str">
        <f>IFERROR(Tableau3[[#This Row],[Chiffre d''affaires]]/Tableau3[[#This Row],[Salariés]],"")</f>
        <v/>
      </c>
      <c r="AA740" s="197"/>
      <c r="AB740" s="197"/>
      <c r="AC740" s="177" t="s">
        <v>4627</v>
      </c>
    </row>
    <row r="741" spans="1:29" ht="20.25" customHeight="1">
      <c r="A741" s="217"/>
      <c r="E741" s="187">
        <v>393</v>
      </c>
      <c r="F741" s="178">
        <v>2017</v>
      </c>
      <c r="G741" s="188">
        <v>15477700000</v>
      </c>
      <c r="H741" s="188">
        <v>3464400000</v>
      </c>
      <c r="I741" s="188">
        <v>2948000000</v>
      </c>
      <c r="J741" s="188">
        <v>1785600000</v>
      </c>
      <c r="K741" s="188">
        <v>3048600000</v>
      </c>
      <c r="L741" s="188">
        <v>12626400000</v>
      </c>
      <c r="M741" s="208">
        <f>L741/P741</f>
        <v>99.987866580404983</v>
      </c>
      <c r="N741" s="190">
        <f>J741/L743</f>
        <v>0.15844254949111333</v>
      </c>
      <c r="O741" s="190">
        <f>(I741*0.73)/(K743+L743)</f>
        <v>0.13759230724967553</v>
      </c>
      <c r="P741" s="188">
        <v>126279322</v>
      </c>
      <c r="Q741" s="188">
        <f>P741*E741</f>
        <v>49627773546</v>
      </c>
      <c r="R741" s="195">
        <f>Q741/L741</f>
        <v>3.9304769012545142</v>
      </c>
      <c r="S741" s="197">
        <f>(Q741+K741)/H741</f>
        <v>15.205049516799447</v>
      </c>
      <c r="T741" s="180"/>
      <c r="U741" s="189">
        <f>IFERROR(IF(Tableau3[[#This Row],[Dettes]]=0,"",(Tableau3[[#This Row],[Dettes]]/Tableau3[[#This Row],[EBE]])),"")</f>
        <v>0.87997921718046412</v>
      </c>
      <c r="V741" s="190" t="str">
        <f>IFERROR(Tableau3[[#This Row],[Fonds propres]]/Tableau3[[#This Row],[Total Bilan]],"")</f>
        <v/>
      </c>
      <c r="W741" s="180"/>
      <c r="X741" s="191"/>
      <c r="Y741" s="180"/>
      <c r="Z741" s="192" t="str">
        <f>IFERROR(Tableau3[[#This Row],[Chiffre d''affaires]]/Tableau3[[#This Row],[Salariés]],"")</f>
        <v/>
      </c>
      <c r="AA741" s="197"/>
      <c r="AB741" s="197"/>
      <c r="AC741" s="177" t="s">
        <v>589</v>
      </c>
    </row>
    <row r="742" spans="1:29" ht="20.25" customHeight="1">
      <c r="A742" s="217"/>
      <c r="E742" s="187"/>
      <c r="G742" s="202">
        <f>(G741/G743)-1</f>
        <v>0.24971336293903912</v>
      </c>
      <c r="H742" s="203">
        <f>(H741/H743)-1</f>
        <v>0.49456427955133742</v>
      </c>
      <c r="I742" s="203">
        <f>(I741/I743)-1</f>
        <v>0.56309650053022264</v>
      </c>
      <c r="J742" s="203">
        <f>(J741/J743)-1</f>
        <v>1.1949600491702519</v>
      </c>
      <c r="K742" s="188"/>
      <c r="L742" s="188"/>
      <c r="M742" s="208"/>
      <c r="N742" s="190"/>
      <c r="O742" s="190"/>
      <c r="P742" s="188"/>
      <c r="Q742" s="188"/>
      <c r="R742" s="195"/>
      <c r="S742" s="197"/>
      <c r="T742" s="180"/>
      <c r="U742" s="189" t="str">
        <f>IFERROR(IF(Tableau3[[#This Row],[Dettes]]=0,"",(Tableau3[[#This Row],[Dettes]]/Tableau3[[#This Row],[EBE]])),"")</f>
        <v/>
      </c>
      <c r="V742" s="190" t="str">
        <f>IFERROR(Tableau3[[#This Row],[Fonds propres]]/Tableau3[[#This Row],[Total Bilan]],"")</f>
        <v/>
      </c>
      <c r="W742" s="180"/>
      <c r="X742" s="191"/>
      <c r="Y742" s="180"/>
      <c r="Z742" s="192" t="str">
        <f>IFERROR(Tableau3[[#This Row],[Chiffre d''affaires]]/Tableau3[[#This Row],[Salariés]],"")</f>
        <v/>
      </c>
      <c r="AA742" s="197"/>
      <c r="AB742" s="197"/>
      <c r="AC742" s="177" t="s">
        <v>590</v>
      </c>
    </row>
    <row r="743" spans="1:29" ht="20.25" customHeight="1">
      <c r="A743" s="217"/>
      <c r="E743" s="187">
        <v>213.6</v>
      </c>
      <c r="F743" s="178">
        <v>2016</v>
      </c>
      <c r="G743" s="188">
        <v>12385000000</v>
      </c>
      <c r="H743" s="188">
        <v>2318000000</v>
      </c>
      <c r="I743" s="188">
        <v>1886000000</v>
      </c>
      <c r="J743" s="188">
        <v>813500000</v>
      </c>
      <c r="K743" s="188">
        <v>4371000000</v>
      </c>
      <c r="L743" s="188">
        <v>11269700000</v>
      </c>
      <c r="M743" s="208">
        <f>L743/P743</f>
        <v>89.252529370764009</v>
      </c>
      <c r="N743" s="190">
        <f>J743/L745</f>
        <v>7.4303773188531555E-2</v>
      </c>
      <c r="O743" s="190">
        <f>(I743*0.73)/(K745+L745)</f>
        <v>8.8100951539933317E-2</v>
      </c>
      <c r="P743" s="188">
        <v>126267570</v>
      </c>
      <c r="Q743" s="188">
        <f>P743*E743</f>
        <v>26970752952</v>
      </c>
      <c r="R743" s="195">
        <f>Q743/L743</f>
        <v>2.393209486676664</v>
      </c>
      <c r="S743" s="197">
        <f>(Q743+K743)/H743</f>
        <v>13.521032334771355</v>
      </c>
      <c r="T743" s="180"/>
      <c r="U743" s="189">
        <f>IFERROR(IF(Tableau3[[#This Row],[Dettes]]=0,"",(Tableau3[[#This Row],[Dettes]]/Tableau3[[#This Row],[EBE]])),"")</f>
        <v>1.8856773080241587</v>
      </c>
      <c r="V743" s="190" t="str">
        <f>IFERROR(Tableau3[[#This Row],[Fonds propres]]/Tableau3[[#This Row],[Total Bilan]],"")</f>
        <v/>
      </c>
      <c r="W743" s="180"/>
      <c r="X743" s="191"/>
      <c r="Y743" s="180"/>
      <c r="Z743" s="192" t="str">
        <f>IFERROR(Tableau3[[#This Row],[Chiffre d''affaires]]/Tableau3[[#This Row],[Salariés]],"")</f>
        <v/>
      </c>
      <c r="AA743" s="197"/>
      <c r="AB743" s="197"/>
      <c r="AC743" s="177" t="s">
        <v>591</v>
      </c>
    </row>
    <row r="744" spans="1:29" ht="20.25" customHeight="1">
      <c r="A744" s="217"/>
      <c r="E744" s="187"/>
      <c r="G744" s="202">
        <f>(G743/G745)-1</f>
        <v>6.9147099447513849E-2</v>
      </c>
      <c r="H744" s="203">
        <f>(H743/H745)-1</f>
        <v>0.12743190661478598</v>
      </c>
      <c r="I744" s="203">
        <f>(I743/I745)-1</f>
        <v>0.14511232544019426</v>
      </c>
      <c r="J744" s="203">
        <f>(J743/J745)-1</f>
        <v>0.16882183908045967</v>
      </c>
      <c r="K744" s="188"/>
      <c r="L744" s="188"/>
      <c r="M744" s="208"/>
      <c r="N744" s="190"/>
      <c r="O744" s="190"/>
      <c r="P744" s="188"/>
      <c r="Q744" s="188"/>
      <c r="R744" s="195"/>
      <c r="S744" s="197"/>
      <c r="T744" s="180"/>
      <c r="U744" s="189" t="str">
        <f>IFERROR(IF(Tableau3[[#This Row],[Dettes]]=0,"",(Tableau3[[#This Row],[Dettes]]/Tableau3[[#This Row],[EBE]])),"")</f>
        <v/>
      </c>
      <c r="V744" s="190" t="str">
        <f>IFERROR(Tableau3[[#This Row],[Fonds propres]]/Tableau3[[#This Row],[Total Bilan]],"")</f>
        <v/>
      </c>
      <c r="W744" s="180"/>
      <c r="X744" s="191"/>
      <c r="Y744" s="180"/>
      <c r="Z744" s="192" t="str">
        <f>IFERROR(Tableau3[[#This Row],[Chiffre d''affaires]]/Tableau3[[#This Row],[Salariés]],"")</f>
        <v/>
      </c>
      <c r="AA744" s="197"/>
      <c r="AB744" s="197"/>
      <c r="AC744" s="177" t="s">
        <v>592</v>
      </c>
    </row>
    <row r="745" spans="1:29" ht="20.25" customHeight="1">
      <c r="A745" s="217"/>
      <c r="E745" s="187">
        <v>157.94999999999999</v>
      </c>
      <c r="F745" s="178">
        <v>2015</v>
      </c>
      <c r="G745" s="188">
        <v>11584000000</v>
      </c>
      <c r="H745" s="188">
        <v>2056000000</v>
      </c>
      <c r="I745" s="188">
        <v>1647000000</v>
      </c>
      <c r="J745" s="188">
        <v>696000000</v>
      </c>
      <c r="K745" s="188">
        <v>4679000000</v>
      </c>
      <c r="L745" s="188">
        <v>10948300000</v>
      </c>
      <c r="M745" s="208">
        <f>L745/P745</f>
        <v>86.707141033917097</v>
      </c>
      <c r="N745" s="190">
        <f>J745/L745</f>
        <v>6.357151338563978E-2</v>
      </c>
      <c r="O745" s="190">
        <f>(I745*0.73)/(K745+L745)</f>
        <v>7.693651494500009E-2</v>
      </c>
      <c r="P745" s="188">
        <v>126267570</v>
      </c>
      <c r="Q745" s="188">
        <f>P745*E745</f>
        <v>19943962681.5</v>
      </c>
      <c r="R745" s="195">
        <f>Q745/L745</f>
        <v>1.8216492680598815</v>
      </c>
      <c r="S745" s="197">
        <f>(Q745+K745)/H745</f>
        <v>11.976149164153696</v>
      </c>
      <c r="T745" s="180"/>
      <c r="U745" s="189">
        <f>IFERROR(IF(Tableau3[[#This Row],[Dettes]]=0,"",(Tableau3[[#This Row],[Dettes]]/Tableau3[[#This Row],[EBE]])),"")</f>
        <v>2.2757782101167314</v>
      </c>
      <c r="V745" s="190" t="str">
        <f>IFERROR(Tableau3[[#This Row],[Fonds propres]]/Tableau3[[#This Row],[Total Bilan]],"")</f>
        <v/>
      </c>
      <c r="W745" s="180"/>
      <c r="X745" s="191"/>
      <c r="Y745" s="180"/>
      <c r="Z745" s="192" t="str">
        <f>IFERROR(Tableau3[[#This Row],[Chiffre d''affaires]]/Tableau3[[#This Row],[Salariés]],"")</f>
        <v/>
      </c>
      <c r="AA745" s="197"/>
      <c r="AB745" s="197"/>
      <c r="AC745" s="177" t="s">
        <v>593</v>
      </c>
    </row>
    <row r="746" spans="1:29" ht="20.25" customHeight="1">
      <c r="A746" s="217"/>
      <c r="E746" s="187"/>
      <c r="G746" s="188"/>
      <c r="H746" s="188"/>
      <c r="I746" s="188"/>
      <c r="J746" s="188"/>
      <c r="K746" s="188"/>
      <c r="L746" s="188"/>
      <c r="M746" s="208"/>
      <c r="N746" s="190"/>
      <c r="O746" s="190"/>
      <c r="P746" s="188"/>
      <c r="Q746" s="188"/>
      <c r="R746" s="195"/>
      <c r="S746" s="197"/>
      <c r="T746" s="180"/>
      <c r="U746" s="189" t="str">
        <f>IFERROR(IF(Tableau3[[#This Row],[Dettes]]=0,"",(Tableau3[[#This Row],[Dettes]]/Tableau3[[#This Row],[EBE]])),"")</f>
        <v/>
      </c>
      <c r="V746" s="190" t="str">
        <f>IFERROR(Tableau3[[#This Row],[Fonds propres]]/Tableau3[[#This Row],[Total Bilan]],"")</f>
        <v/>
      </c>
      <c r="W746" s="180"/>
      <c r="X746" s="191"/>
      <c r="Y746" s="180"/>
      <c r="Z746" s="192" t="str">
        <f>IFERROR(Tableau3[[#This Row],[Chiffre d''affaires]]/Tableau3[[#This Row],[Salariés]],"")</f>
        <v/>
      </c>
      <c r="AA746" s="197"/>
      <c r="AB746" s="197"/>
      <c r="AC746" s="177" t="s">
        <v>594</v>
      </c>
    </row>
    <row r="747" spans="1:29" ht="20.25" customHeight="1">
      <c r="A747" s="217"/>
      <c r="E747" s="187">
        <v>159.65</v>
      </c>
      <c r="F747" s="178">
        <v>2014</v>
      </c>
      <c r="G747" s="188">
        <v>13000000000</v>
      </c>
      <c r="H747" s="188"/>
      <c r="I747" s="188">
        <v>2000000000</v>
      </c>
      <c r="J747" s="188"/>
      <c r="K747" s="188"/>
      <c r="L747" s="188"/>
      <c r="M747" s="208"/>
      <c r="N747" s="190"/>
      <c r="O747" s="190"/>
      <c r="P747" s="188"/>
      <c r="Q747" s="188"/>
      <c r="R747" s="195"/>
      <c r="S747" s="197"/>
      <c r="T747" s="180"/>
      <c r="U747" s="189" t="str">
        <f>IFERROR(IF(Tableau3[[#This Row],[Dettes]]=0,"",(Tableau3[[#This Row],[Dettes]]/Tableau3[[#This Row],[EBE]])),"")</f>
        <v/>
      </c>
      <c r="V747" s="190" t="str">
        <f>IFERROR(Tableau3[[#This Row],[Fonds propres]]/Tableau3[[#This Row],[Total Bilan]],"")</f>
        <v/>
      </c>
      <c r="W747" s="180"/>
      <c r="Y747" s="180"/>
      <c r="Z747" s="192" t="str">
        <f>IFERROR(Tableau3[[#This Row],[Chiffre d''affaires]]/Tableau3[[#This Row],[Salariés]],"")</f>
        <v/>
      </c>
      <c r="AA747" s="177"/>
      <c r="AC747" s="177" t="s">
        <v>595</v>
      </c>
    </row>
    <row r="748" spans="1:29" ht="20.25" customHeight="1">
      <c r="A748" s="217"/>
      <c r="E748" s="187"/>
      <c r="G748" s="188"/>
      <c r="H748" s="188"/>
      <c r="I748" s="188"/>
      <c r="J748" s="188"/>
      <c r="K748" s="188"/>
      <c r="L748" s="188"/>
      <c r="M748" s="208"/>
      <c r="N748" s="190"/>
      <c r="O748" s="190"/>
      <c r="P748" s="188"/>
      <c r="Q748" s="188"/>
      <c r="R748" s="195"/>
      <c r="S748" s="197"/>
      <c r="T748" s="180"/>
      <c r="U748" s="189" t="str">
        <f>IFERROR(IF(Tableau3[[#This Row],[Dettes]]=0,"",(Tableau3[[#This Row],[Dettes]]/Tableau3[[#This Row],[EBE]])),"")</f>
        <v/>
      </c>
      <c r="V748" s="190" t="str">
        <f>IFERROR(Tableau3[[#This Row],[Fonds propres]]/Tableau3[[#This Row],[Total Bilan]],"")</f>
        <v/>
      </c>
      <c r="W748" s="180"/>
      <c r="Y748" s="180"/>
      <c r="Z748" s="192" t="str">
        <f>IFERROR(Tableau3[[#This Row],[Chiffre d''affaires]]/Tableau3[[#This Row],[Salariés]],"")</f>
        <v/>
      </c>
      <c r="AA748" s="177"/>
      <c r="AC748" s="177" t="s">
        <v>596</v>
      </c>
    </row>
    <row r="749" spans="1:29" ht="20.25" customHeight="1">
      <c r="A749" s="217"/>
      <c r="E749" s="187">
        <v>153.69999999999999</v>
      </c>
      <c r="F749" s="178">
        <v>2013</v>
      </c>
      <c r="G749" s="188">
        <v>10000000000</v>
      </c>
      <c r="H749" s="188"/>
      <c r="I749" s="188">
        <v>1780000000</v>
      </c>
      <c r="J749" s="188"/>
      <c r="K749" s="188"/>
      <c r="L749" s="188"/>
      <c r="M749" s="208"/>
      <c r="N749" s="190"/>
      <c r="O749" s="190"/>
      <c r="P749" s="188"/>
      <c r="Q749" s="188"/>
      <c r="R749" s="195"/>
      <c r="S749" s="197"/>
      <c r="T749" s="180"/>
      <c r="U749" s="189" t="str">
        <f>IFERROR(IF(Tableau3[[#This Row],[Dettes]]=0,"",(Tableau3[[#This Row],[Dettes]]/Tableau3[[#This Row],[EBE]])),"")</f>
        <v/>
      </c>
      <c r="V749" s="190" t="str">
        <f>IFERROR(Tableau3[[#This Row],[Fonds propres]]/Tableau3[[#This Row],[Total Bilan]],"")</f>
        <v/>
      </c>
      <c r="W749" s="180"/>
      <c r="X749" s="191"/>
      <c r="Y749" s="180"/>
      <c r="Z749" s="192" t="str">
        <f>IFERROR(Tableau3[[#This Row],[Chiffre d''affaires]]/Tableau3[[#This Row],[Salariés]],"")</f>
        <v/>
      </c>
      <c r="AA749" s="197"/>
      <c r="AB749" s="197"/>
      <c r="AC749" s="177" t="s">
        <v>597</v>
      </c>
    </row>
    <row r="750" spans="1:29" ht="20.25" customHeight="1">
      <c r="A750" s="217"/>
      <c r="E750" s="187"/>
      <c r="G750" s="188"/>
      <c r="H750" s="188"/>
      <c r="I750" s="188"/>
      <c r="J750" s="188"/>
      <c r="K750" s="188"/>
      <c r="L750" s="188"/>
      <c r="M750" s="208"/>
      <c r="N750" s="190"/>
      <c r="O750" s="190"/>
      <c r="P750" s="188"/>
      <c r="Q750" s="188"/>
      <c r="R750" s="195"/>
      <c r="S750" s="197"/>
      <c r="T750" s="180"/>
      <c r="U750" s="189" t="str">
        <f>IFERROR(IF(Tableau3[[#This Row],[Dettes]]=0,"",(Tableau3[[#This Row],[Dettes]]/Tableau3[[#This Row],[EBE]])),"")</f>
        <v/>
      </c>
      <c r="V750" s="190" t="str">
        <f>IFERROR(Tableau3[[#This Row],[Fonds propres]]/Tableau3[[#This Row],[Total Bilan]],"")</f>
        <v/>
      </c>
      <c r="W750" s="180"/>
      <c r="X750" s="191"/>
      <c r="Y750" s="180"/>
      <c r="Z750" s="192" t="str">
        <f>IFERROR(Tableau3[[#This Row],[Chiffre d''affaires]]/Tableau3[[#This Row],[Salariés]],"")</f>
        <v/>
      </c>
      <c r="AA750" s="197"/>
      <c r="AB750" s="197"/>
      <c r="AC750" s="177" t="s">
        <v>4728</v>
      </c>
    </row>
    <row r="751" spans="1:29" ht="20.25" customHeight="1">
      <c r="A751" s="217"/>
      <c r="E751" s="187">
        <v>140.9</v>
      </c>
      <c r="F751" s="178">
        <v>2012</v>
      </c>
      <c r="G751" s="188">
        <v>13492000000</v>
      </c>
      <c r="H751" s="188"/>
      <c r="I751" s="188">
        <v>1800000000</v>
      </c>
      <c r="J751" s="188"/>
      <c r="K751" s="188"/>
      <c r="L751" s="188"/>
      <c r="M751" s="208"/>
      <c r="N751" s="190"/>
      <c r="O751" s="190"/>
      <c r="P751" s="188"/>
      <c r="Q751" s="188"/>
      <c r="R751" s="195"/>
      <c r="S751" s="197"/>
      <c r="T751" s="180"/>
      <c r="U751" s="189" t="str">
        <f>IFERROR(IF(Tableau3[[#This Row],[Dettes]]=0,"",(Tableau3[[#This Row],[Dettes]]/Tableau3[[#This Row],[EBE]])),"")</f>
        <v/>
      </c>
      <c r="V751" s="190" t="str">
        <f>IFERROR(Tableau3[[#This Row],[Fonds propres]]/Tableau3[[#This Row],[Total Bilan]],"")</f>
        <v/>
      </c>
      <c r="W751" s="180"/>
      <c r="X751" s="191"/>
      <c r="Y751" s="180"/>
      <c r="Z751" s="192" t="str">
        <f>IFERROR(Tableau3[[#This Row],[Chiffre d''affaires]]/Tableau3[[#This Row],[Salariés]],"")</f>
        <v/>
      </c>
      <c r="AA751" s="197"/>
      <c r="AB751" s="197"/>
      <c r="AC751" s="177" t="s">
        <v>4734</v>
      </c>
    </row>
    <row r="752" spans="1:29" ht="20.25" customHeight="1">
      <c r="A752" s="217"/>
      <c r="E752" s="187"/>
      <c r="G752" s="188"/>
      <c r="H752" s="188"/>
      <c r="I752" s="188"/>
      <c r="J752" s="188"/>
      <c r="K752" s="188"/>
      <c r="L752" s="188"/>
      <c r="M752" s="208"/>
      <c r="N752" s="190"/>
      <c r="O752" s="190"/>
      <c r="P752" s="188"/>
      <c r="Q752" s="188"/>
      <c r="R752" s="195"/>
      <c r="S752" s="197"/>
      <c r="T752" s="180"/>
      <c r="U752" s="189" t="str">
        <f>IFERROR(IF(Tableau3[[#This Row],[Dettes]]=0,"",(Tableau3[[#This Row],[Dettes]]/Tableau3[[#This Row],[EBE]])),"")</f>
        <v/>
      </c>
      <c r="V752" s="190" t="str">
        <f>IFERROR(Tableau3[[#This Row],[Fonds propres]]/Tableau3[[#This Row],[Total Bilan]],"")</f>
        <v/>
      </c>
      <c r="W752" s="180"/>
      <c r="X752" s="191"/>
      <c r="Y752" s="180"/>
      <c r="Z752" s="192" t="str">
        <f>IFERROR(Tableau3[[#This Row],[Chiffre d''affaires]]/Tableau3[[#This Row],[Salariés]],"")</f>
        <v/>
      </c>
      <c r="AA752" s="197"/>
      <c r="AB752" s="197"/>
      <c r="AC752" s="177" t="s">
        <v>4659</v>
      </c>
    </row>
    <row r="753" spans="1:29" ht="20.25" customHeight="1">
      <c r="A753" s="217"/>
      <c r="E753" s="187">
        <v>110.65</v>
      </c>
      <c r="F753" s="178">
        <v>2011</v>
      </c>
      <c r="G753" s="188">
        <v>12227000000</v>
      </c>
      <c r="H753" s="178"/>
      <c r="I753" s="188">
        <v>1602000000</v>
      </c>
      <c r="J753" s="178"/>
      <c r="K753" s="188"/>
      <c r="L753" s="188"/>
      <c r="M753" s="208"/>
      <c r="N753" s="190"/>
      <c r="O753" s="190"/>
      <c r="P753" s="188"/>
      <c r="Q753" s="188"/>
      <c r="R753" s="195"/>
      <c r="S753" s="197"/>
      <c r="T753" s="180"/>
      <c r="U753" s="189" t="str">
        <f>IFERROR(IF(Tableau3[[#This Row],[Dettes]]=0,"",(Tableau3[[#This Row],[Dettes]]/Tableau3[[#This Row],[EBE]])),"")</f>
        <v/>
      </c>
      <c r="V753" s="190" t="str">
        <f>IFERROR(Tableau3[[#This Row],[Fonds propres]]/Tableau3[[#This Row],[Total Bilan]],"")</f>
        <v/>
      </c>
      <c r="W753" s="180"/>
      <c r="X753" s="191"/>
      <c r="Y753" s="180"/>
      <c r="Z753" s="192" t="str">
        <f>IFERROR(Tableau3[[#This Row],[Chiffre d''affaires]]/Tableau3[[#This Row],[Salariés]],"")</f>
        <v/>
      </c>
      <c r="AA753" s="197"/>
      <c r="AB753" s="197"/>
      <c r="AC753" s="177" t="s">
        <v>598</v>
      </c>
    </row>
    <row r="754" spans="1:29" ht="20.25" customHeight="1">
      <c r="A754" s="217"/>
      <c r="E754" s="187"/>
      <c r="G754" s="188"/>
      <c r="H754" s="188"/>
      <c r="I754" s="188"/>
      <c r="J754" s="188"/>
      <c r="K754" s="188"/>
      <c r="L754" s="188"/>
      <c r="M754" s="208"/>
      <c r="N754" s="190"/>
      <c r="O754" s="190"/>
      <c r="P754" s="188"/>
      <c r="Q754" s="188"/>
      <c r="R754" s="195"/>
      <c r="S754" s="197"/>
      <c r="T754" s="180"/>
      <c r="U754" s="189" t="str">
        <f>IFERROR(IF(Tableau3[[#This Row],[Dettes]]=0,"",(Tableau3[[#This Row],[Dettes]]/Tableau3[[#This Row],[EBE]])),"")</f>
        <v/>
      </c>
      <c r="V754" s="190" t="str">
        <f>IFERROR(Tableau3[[#This Row],[Fonds propres]]/Tableau3[[#This Row],[Total Bilan]],"")</f>
        <v/>
      </c>
      <c r="W754" s="180"/>
      <c r="X754" s="191"/>
      <c r="Y754" s="180"/>
      <c r="Z754" s="192" t="str">
        <f>IFERROR(Tableau3[[#This Row],[Chiffre d''affaires]]/Tableau3[[#This Row],[Salariés]],"")</f>
        <v/>
      </c>
      <c r="AA754" s="197"/>
      <c r="AB754" s="197"/>
      <c r="AC754" s="177" t="s">
        <v>4733</v>
      </c>
    </row>
    <row r="755" spans="1:29" ht="20.25" customHeight="1">
      <c r="A755" s="217"/>
      <c r="E755" s="187">
        <v>119</v>
      </c>
      <c r="F755" s="178">
        <v>2010</v>
      </c>
      <c r="G755" s="188">
        <v>14605000000</v>
      </c>
      <c r="H755" s="188"/>
      <c r="I755" s="188">
        <v>1337000000</v>
      </c>
      <c r="J755" s="178"/>
      <c r="K755" s="178"/>
      <c r="L755" s="178"/>
      <c r="M755" s="178"/>
      <c r="N755" s="190"/>
      <c r="O755" s="190"/>
      <c r="P755" s="188"/>
      <c r="Q755" s="188"/>
      <c r="R755" s="195"/>
      <c r="S755" s="197"/>
      <c r="T755" s="180"/>
      <c r="U755" s="189" t="str">
        <f>IFERROR(IF(Tableau3[[#This Row],[Dettes]]=0,"",(Tableau3[[#This Row],[Dettes]]/Tableau3[[#This Row],[EBE]])),"")</f>
        <v/>
      </c>
      <c r="V755" s="190" t="str">
        <f>IFERROR(Tableau3[[#This Row],[Fonds propres]]/Tableau3[[#This Row],[Total Bilan]],"")</f>
        <v/>
      </c>
      <c r="W755" s="180"/>
      <c r="X755" s="191"/>
      <c r="Y755" s="180"/>
      <c r="Z755" s="192" t="str">
        <f>IFERROR(Tableau3[[#This Row],[Chiffre d''affaires]]/Tableau3[[#This Row],[Salariés]],"")</f>
        <v/>
      </c>
      <c r="AA755" s="197"/>
      <c r="AB755" s="197"/>
      <c r="AC755" s="177" t="s">
        <v>4732</v>
      </c>
    </row>
    <row r="756" spans="1:29" ht="20.25" customHeight="1">
      <c r="A756" s="217"/>
      <c r="E756" s="187"/>
      <c r="G756" s="188"/>
      <c r="H756" s="188"/>
      <c r="I756" s="188"/>
      <c r="J756" s="188"/>
      <c r="K756" s="188"/>
      <c r="L756" s="188"/>
      <c r="M756" s="208"/>
      <c r="N756" s="190"/>
      <c r="O756" s="190"/>
      <c r="P756" s="188"/>
      <c r="Q756" s="188"/>
      <c r="R756" s="195"/>
      <c r="S756" s="197"/>
      <c r="T756" s="180"/>
      <c r="U756" s="189" t="str">
        <f>IFERROR(IF(Tableau3[[#This Row],[Dettes]]=0,"",(Tableau3[[#This Row],[Dettes]]/Tableau3[[#This Row],[EBE]])),"")</f>
        <v/>
      </c>
      <c r="V756" s="190" t="str">
        <f>IFERROR(Tableau3[[#This Row],[Fonds propres]]/Tableau3[[#This Row],[Total Bilan]],"")</f>
        <v/>
      </c>
      <c r="W756" s="180"/>
      <c r="X756" s="191"/>
      <c r="Y756" s="180"/>
      <c r="Z756" s="192" t="str">
        <f>IFERROR(Tableau3[[#This Row],[Chiffre d''affaires]]/Tableau3[[#This Row],[Salariés]],"")</f>
        <v/>
      </c>
      <c r="AA756" s="197"/>
      <c r="AB756" s="197"/>
      <c r="AC756" s="177" t="s">
        <v>600</v>
      </c>
    </row>
    <row r="757" spans="1:29" ht="20.25" customHeight="1">
      <c r="A757" s="217"/>
      <c r="E757" s="187"/>
      <c r="G757" s="188"/>
      <c r="H757" s="188"/>
      <c r="I757" s="188"/>
      <c r="J757" s="188"/>
      <c r="K757" s="188"/>
      <c r="L757" s="188"/>
      <c r="M757" s="208"/>
      <c r="N757" s="190"/>
      <c r="O757" s="190"/>
      <c r="P757" s="188"/>
      <c r="Q757" s="188"/>
      <c r="R757" s="195"/>
      <c r="S757" s="197"/>
      <c r="T757" s="180"/>
      <c r="U757" s="189" t="str">
        <f>IFERROR(IF(Tableau3[[#This Row],[Dettes]]=0,"",(Tableau3[[#This Row],[Dettes]]/Tableau3[[#This Row],[EBE]])),"")</f>
        <v/>
      </c>
      <c r="V757" s="190" t="str">
        <f>IFERROR(Tableau3[[#This Row],[Fonds propres]]/Tableau3[[#This Row],[Total Bilan]],"")</f>
        <v/>
      </c>
      <c r="W757" s="180"/>
      <c r="X757" s="191"/>
      <c r="Y757" s="180"/>
      <c r="Z757" s="192" t="str">
        <f>IFERROR(Tableau3[[#This Row],[Chiffre d''affaires]]/Tableau3[[#This Row],[Salariés]],"")</f>
        <v/>
      </c>
      <c r="AA757" s="197"/>
      <c r="AB757" s="197"/>
    </row>
    <row r="758" spans="1:29" ht="20.25" customHeight="1">
      <c r="A758" s="217"/>
      <c r="E758" s="187"/>
      <c r="G758" s="188"/>
      <c r="H758" s="188"/>
      <c r="I758" s="188"/>
      <c r="J758" s="188"/>
      <c r="K758" s="188"/>
      <c r="L758" s="188"/>
      <c r="M758" s="208"/>
      <c r="N758" s="190"/>
      <c r="O758" s="190"/>
      <c r="P758" s="188"/>
      <c r="Q758" s="188"/>
      <c r="R758" s="195"/>
      <c r="S758" s="197"/>
      <c r="T758" s="180"/>
      <c r="U758" s="189" t="str">
        <f>IFERROR(IF(Tableau3[[#This Row],[Dettes]]=0,"",(Tableau3[[#This Row],[Dettes]]/Tableau3[[#This Row],[EBE]])),"")</f>
        <v/>
      </c>
      <c r="V758" s="190" t="str">
        <f>IFERROR(Tableau3[[#This Row],[Fonds propres]]/Tableau3[[#This Row],[Total Bilan]],"")</f>
        <v/>
      </c>
      <c r="W758" s="180"/>
      <c r="X758" s="191"/>
      <c r="Y758" s="180"/>
      <c r="Z758" s="192" t="str">
        <f>IFERROR(Tableau3[[#This Row],[Chiffre d''affaires]]/Tableau3[[#This Row],[Salariés]],"")</f>
        <v/>
      </c>
      <c r="AA758" s="197"/>
      <c r="AB758" s="197"/>
    </row>
    <row r="759" spans="1:29" ht="20.25" customHeight="1">
      <c r="A759" s="217" t="s">
        <v>601</v>
      </c>
      <c r="B759" s="216" t="s">
        <v>575</v>
      </c>
      <c r="C759" s="178" t="s">
        <v>84</v>
      </c>
      <c r="D759" s="178" t="s">
        <v>85</v>
      </c>
      <c r="E759" s="187">
        <v>700</v>
      </c>
      <c r="F759" s="178">
        <v>2025</v>
      </c>
      <c r="G759" s="188">
        <v>85000000000</v>
      </c>
      <c r="H759" s="188"/>
      <c r="I759" s="188">
        <v>20000000000</v>
      </c>
      <c r="J759" s="188">
        <v>13500000000</v>
      </c>
      <c r="K759" s="188">
        <v>8000000000</v>
      </c>
      <c r="L759" s="188">
        <v>74000000000</v>
      </c>
      <c r="M759" s="208">
        <f>L759/P759</f>
        <v>147.89892587405768</v>
      </c>
      <c r="N759" s="190">
        <f>(Tableau3[[#This Row],[Résultat Net (PdG)]]/L761)</f>
        <v>0.19994964231230652</v>
      </c>
      <c r="O759" s="190">
        <f>(I759*0.72)/(K759+L759)</f>
        <v>0.17560975609756097</v>
      </c>
      <c r="P759" s="188">
        <v>500341700</v>
      </c>
      <c r="Q759" s="188">
        <f>P759*E759</f>
        <v>350239190000</v>
      </c>
      <c r="R759" s="195">
        <f>Q759/L759</f>
        <v>4.7329620270270274</v>
      </c>
      <c r="S759" s="188"/>
      <c r="T759" s="180"/>
      <c r="U759" s="189" t="str">
        <f>IFERROR(IF(Tableau3[[#This Row],[Dettes]]=0,"",(Tableau3[[#This Row],[Dettes]]/Tableau3[[#This Row],[EBE]])),"")</f>
        <v/>
      </c>
      <c r="V759" s="190" t="str">
        <f>IFERROR(Tableau3[[#This Row],[Fonds propres]]/Tableau3[[#This Row],[Total Bilan]],"")</f>
        <v/>
      </c>
      <c r="W759" s="180"/>
      <c r="X759" s="191"/>
      <c r="Y759" s="180"/>
      <c r="Z759" s="192" t="str">
        <f>IFERROR(Tableau3[[#This Row],[Chiffre d''affaires]]/Tableau3[[#This Row],[Salariés]],"")</f>
        <v/>
      </c>
      <c r="AA759" s="197"/>
      <c r="AB759" s="197"/>
      <c r="AC759" s="177" t="s">
        <v>602</v>
      </c>
    </row>
    <row r="760" spans="1:29" ht="20.25" customHeight="1">
      <c r="A760" s="217"/>
      <c r="E760" s="187"/>
      <c r="G760" s="202">
        <f>(G759/G761)-1</f>
        <v>3.7433723415560838E-3</v>
      </c>
      <c r="H760" s="188"/>
      <c r="I760" s="203">
        <f>(I759/I761)-1</f>
        <v>2.1920188033314636E-2</v>
      </c>
      <c r="J760" s="203">
        <f>(J759/J761)-1</f>
        <v>7.5697211155378419E-2</v>
      </c>
      <c r="K760" s="188"/>
      <c r="L760" s="188"/>
      <c r="M760" s="208"/>
      <c r="N760" s="190"/>
      <c r="O760" s="190"/>
      <c r="P760" s="188"/>
      <c r="Q760" s="188"/>
      <c r="R760" s="195"/>
      <c r="S760" s="197"/>
      <c r="T760" s="180"/>
      <c r="U760" s="189" t="str">
        <f>IFERROR(IF(Tableau3[[#This Row],[Dettes]]=0,"",(Tableau3[[#This Row],[Dettes]]/Tableau3[[#This Row],[EBE]])),"")</f>
        <v/>
      </c>
      <c r="V760" s="190" t="str">
        <f>IFERROR(Tableau3[[#This Row],[Fonds propres]]/Tableau3[[#This Row],[Total Bilan]],"")</f>
        <v/>
      </c>
      <c r="W760" s="180"/>
      <c r="X760" s="191"/>
      <c r="Y760" s="180"/>
      <c r="Z760" s="192" t="str">
        <f>IFERROR(Tableau3[[#This Row],[Chiffre d''affaires]]/Tableau3[[#This Row],[Salariés]],"")</f>
        <v/>
      </c>
      <c r="AA760" s="197"/>
      <c r="AB760" s="197"/>
      <c r="AC760" s="177" t="s">
        <v>5160</v>
      </c>
    </row>
    <row r="761" spans="1:29" ht="20.25" customHeight="1">
      <c r="A761" s="217"/>
      <c r="E761" s="187">
        <v>635.5</v>
      </c>
      <c r="F761" s="178">
        <v>2024</v>
      </c>
      <c r="G761" s="188">
        <v>84683000000</v>
      </c>
      <c r="H761" s="188"/>
      <c r="I761" s="188">
        <v>19571000000</v>
      </c>
      <c r="J761" s="188">
        <v>12550000000</v>
      </c>
      <c r="K761" s="188">
        <v>9228000000</v>
      </c>
      <c r="L761" s="188">
        <v>67517000000</v>
      </c>
      <c r="M761" s="208">
        <f>L761/P761</f>
        <v>134.94178078701015</v>
      </c>
      <c r="N761" s="190">
        <f>(Tableau3[[#This Row],[Résultat Net (PdG)]]/L763)</f>
        <v>0.20568038415523543</v>
      </c>
      <c r="O761" s="190">
        <f>(I761*0.72)/(K761+L761)</f>
        <v>0.18360961626164571</v>
      </c>
      <c r="P761" s="188">
        <v>500341700</v>
      </c>
      <c r="Q761" s="188">
        <f>P761*E761</f>
        <v>317967150350</v>
      </c>
      <c r="R761" s="195">
        <f>Q761/L761</f>
        <v>4.7094383688552517</v>
      </c>
      <c r="S761" s="197"/>
      <c r="T761" s="180"/>
      <c r="U761" s="189" t="str">
        <f>IFERROR(IF(Tableau3[[#This Row],[Dettes]]=0,"",(Tableau3[[#This Row],[Dettes]]/Tableau3[[#This Row],[EBE]])),"")</f>
        <v/>
      </c>
      <c r="V761" s="190">
        <f>IFERROR(Tableau3[[#This Row],[Fonds propres]]/Tableau3[[#This Row],[Total Bilan]],"")</f>
        <v>0.45255714189959112</v>
      </c>
      <c r="W761" s="180">
        <v>149190000000</v>
      </c>
      <c r="X761" s="191"/>
      <c r="Y761" s="180">
        <v>213000</v>
      </c>
      <c r="Z761" s="192">
        <f>IFERROR(Tableau3[[#This Row],[Chiffre d''affaires]]/Tableau3[[#This Row],[Salariés]],"")</f>
        <v>397572.76995305164</v>
      </c>
      <c r="AA761" s="197"/>
      <c r="AB761" s="197"/>
      <c r="AC761" s="177" t="s">
        <v>5161</v>
      </c>
    </row>
    <row r="762" spans="1:29" ht="20.25" customHeight="1">
      <c r="A762" s="217"/>
      <c r="E762" s="187"/>
      <c r="G762" s="202">
        <f>(G761/G763)-1</f>
        <v>-1.7062667579770818E-2</v>
      </c>
      <c r="H762" s="203"/>
      <c r="I762" s="203">
        <f>(I761/I763)-1</f>
        <v>-0.14169809665818789</v>
      </c>
      <c r="J762" s="203">
        <f>(J761/J763)-1</f>
        <v>-0.17292737577435091</v>
      </c>
      <c r="K762" s="188"/>
      <c r="L762" s="188"/>
      <c r="M762" s="208"/>
      <c r="N762" s="190"/>
      <c r="O762" s="190"/>
      <c r="P762" s="188"/>
      <c r="Q762" s="188"/>
      <c r="R762" s="195"/>
      <c r="S762" s="197"/>
      <c r="T762" s="180"/>
      <c r="U762" s="189" t="str">
        <f>IFERROR(IF(Tableau3[[#This Row],[Dettes]]=0,"",(Tableau3[[#This Row],[Dettes]]/Tableau3[[#This Row],[EBE]])),"")</f>
        <v/>
      </c>
      <c r="V762" s="190" t="str">
        <f>IFERROR(Tableau3[[#This Row],[Fonds propres]]/Tableau3[[#This Row],[Total Bilan]],"")</f>
        <v/>
      </c>
      <c r="W762" s="180"/>
      <c r="X762" s="191"/>
      <c r="Y762" s="180"/>
      <c r="Z762" s="192" t="str">
        <f>IFERROR(Tableau3[[#This Row],[Chiffre d''affaires]]/Tableau3[[#This Row],[Salariés]],"")</f>
        <v/>
      </c>
      <c r="AA762" s="197"/>
      <c r="AB762" s="197"/>
      <c r="AC762" s="177" t="s">
        <v>604</v>
      </c>
    </row>
    <row r="763" spans="1:29" ht="20.25" customHeight="1">
      <c r="A763" s="217"/>
      <c r="E763" s="187">
        <v>733.6</v>
      </c>
      <c r="F763" s="178">
        <v>2023</v>
      </c>
      <c r="G763" s="188">
        <v>86153000000</v>
      </c>
      <c r="H763" s="188"/>
      <c r="I763" s="188">
        <v>22802000000</v>
      </c>
      <c r="J763" s="188">
        <v>15174000000</v>
      </c>
      <c r="K763" s="188">
        <v>10746000000</v>
      </c>
      <c r="L763" s="188">
        <v>61017000000</v>
      </c>
      <c r="M763" s="208">
        <f>L763/P763</f>
        <v>121.95065891969428</v>
      </c>
      <c r="N763" s="190">
        <f>(Tableau3[[#This Row],[Résultat Net (PdG)]]/L765)</f>
        <v>0.27533523253071074</v>
      </c>
      <c r="O763" s="190">
        <f>(I763*0.72)/(K763+L763)</f>
        <v>0.22877304460515865</v>
      </c>
      <c r="P763" s="188">
        <v>500341700</v>
      </c>
      <c r="Q763" s="188">
        <f>P763*E763</f>
        <v>367050671120</v>
      </c>
      <c r="R763" s="195">
        <f>Q763/L763</f>
        <v>6.0155476526214002</v>
      </c>
      <c r="S763" s="197" t="e">
        <f>(Q763+K763)/H763</f>
        <v>#DIV/0!</v>
      </c>
      <c r="T763" s="180"/>
      <c r="U763" s="189" t="str">
        <f>IFERROR(IF(Tableau3[[#This Row],[Dettes]]=0,"",(Tableau3[[#This Row],[Dettes]]/Tableau3[[#This Row],[EBE]])),"")</f>
        <v/>
      </c>
      <c r="V763" s="190">
        <f>IFERROR(Tableau3[[#This Row],[Fonds propres]]/Tableau3[[#This Row],[Total Bilan]],"")</f>
        <v>0.42463150862248944</v>
      </c>
      <c r="W763" s="180">
        <v>143694000000</v>
      </c>
      <c r="X763" s="191"/>
      <c r="Y763" s="180">
        <v>213000</v>
      </c>
      <c r="Z763" s="192">
        <f>IFERROR(Tableau3[[#This Row],[Chiffre d''affaires]]/Tableau3[[#This Row],[Salariés]],"")</f>
        <v>404474.17840375588</v>
      </c>
      <c r="AA763" s="197"/>
      <c r="AB763" s="197"/>
      <c r="AC763" s="177" t="s">
        <v>605</v>
      </c>
    </row>
    <row r="764" spans="1:29" ht="20.25" customHeight="1">
      <c r="A764" s="217"/>
      <c r="E764" s="187"/>
      <c r="G764" s="202">
        <f>(G763/G765)-1</f>
        <v>8.8010204081632626E-2</v>
      </c>
      <c r="H764" s="203"/>
      <c r="I764" s="203">
        <f>(I763/I765)-1</f>
        <v>8.2973165518879233E-2</v>
      </c>
      <c r="J764" s="203">
        <f>(J763/J765)-1</f>
        <v>7.7392786140300984E-2</v>
      </c>
      <c r="K764" s="188"/>
      <c r="L764" s="188"/>
      <c r="M764" s="208"/>
      <c r="N764" s="190"/>
      <c r="O764" s="190"/>
      <c r="P764" s="188"/>
      <c r="Q764" s="188"/>
      <c r="R764" s="195"/>
      <c r="S764" s="197"/>
      <c r="T764" s="180"/>
      <c r="U764" s="189" t="str">
        <f>IFERROR(IF(Tableau3[[#This Row],[Dettes]]=0,"",(Tableau3[[#This Row],[Dettes]]/Tableau3[[#This Row],[EBE]])),"")</f>
        <v/>
      </c>
      <c r="V764" s="190" t="str">
        <f>IFERROR(Tableau3[[#This Row],[Fonds propres]]/Tableau3[[#This Row],[Total Bilan]],"")</f>
        <v/>
      </c>
      <c r="W764" s="180"/>
      <c r="X764" s="191"/>
      <c r="Y764" s="180"/>
      <c r="Z764" s="192" t="str">
        <f>IFERROR(Tableau3[[#This Row],[Chiffre d''affaires]]/Tableau3[[#This Row],[Salariés]],"")</f>
        <v/>
      </c>
      <c r="AA764" s="197"/>
      <c r="AB764" s="197"/>
      <c r="AC764" s="177" t="s">
        <v>606</v>
      </c>
    </row>
    <row r="765" spans="1:29" ht="20.25" customHeight="1">
      <c r="A765" s="217"/>
      <c r="E765" s="187">
        <v>679.9</v>
      </c>
      <c r="F765" s="178">
        <v>2022</v>
      </c>
      <c r="G765" s="188">
        <v>79184000000</v>
      </c>
      <c r="H765" s="188">
        <v>23000000000</v>
      </c>
      <c r="I765" s="188">
        <v>21055000000</v>
      </c>
      <c r="J765" s="188">
        <v>14084000000</v>
      </c>
      <c r="K765" s="188">
        <v>9201000000</v>
      </c>
      <c r="L765" s="188">
        <v>55111000000</v>
      </c>
      <c r="M765" s="208">
        <f>L765/P765</f>
        <v>109.6779753068828</v>
      </c>
      <c r="N765" s="190">
        <f>(Tableau3[[#This Row],[Résultat Net (PdG)]]/L767)</f>
        <v>0.28796336052669241</v>
      </c>
      <c r="O765" s="190">
        <f>(I765*0.72)/(K765+L765)</f>
        <v>0.23571961686776963</v>
      </c>
      <c r="P765" s="188">
        <v>502480100</v>
      </c>
      <c r="Q765" s="188">
        <f>P765*E765</f>
        <v>341636219990</v>
      </c>
      <c r="R765" s="195">
        <f>Q765/L765</f>
        <v>6.1990568124330894</v>
      </c>
      <c r="S765" s="197">
        <f>(Q765+K765)/H765</f>
        <v>15.25379217347826</v>
      </c>
      <c r="T765" s="180">
        <v>10113000000</v>
      </c>
      <c r="U765" s="189">
        <f>IFERROR(IF(Tableau3[[#This Row],[Dettes]]=0,"",(Tableau3[[#This Row],[Dettes]]/Tableau3[[#This Row],[EBE]])),"")</f>
        <v>0.40004347826086956</v>
      </c>
      <c r="V765" s="190" t="str">
        <f>IFERROR(Tableau3[[#This Row],[Fonds propres]]/Tableau3[[#This Row],[Total Bilan]],"")</f>
        <v/>
      </c>
      <c r="W765" s="180"/>
      <c r="X765" s="191"/>
      <c r="Y765" s="180"/>
      <c r="Z765" s="192" t="str">
        <f>IFERROR(Tableau3[[#This Row],[Chiffre d''affaires]]/Tableau3[[#This Row],[Salariés]],"")</f>
        <v/>
      </c>
      <c r="AA765" s="197"/>
      <c r="AB765" s="197"/>
      <c r="AC765" s="177" t="s">
        <v>607</v>
      </c>
    </row>
    <row r="766" spans="1:29" ht="20.25" customHeight="1">
      <c r="A766" s="217"/>
      <c r="E766" s="187"/>
      <c r="G766" s="202">
        <f>(G765/G767)-1</f>
        <v>0.23310752939344392</v>
      </c>
      <c r="H766" s="203">
        <f>(H765/H767)-1</f>
        <v>0.12195121951219523</v>
      </c>
      <c r="I766" s="203">
        <f>(I765/I767)-1</f>
        <v>0.22762521135793823</v>
      </c>
      <c r="J766" s="203">
        <f>(J765/J767)-1</f>
        <v>0.17015619807244931</v>
      </c>
      <c r="K766" s="188"/>
      <c r="L766" s="188"/>
      <c r="M766" s="208"/>
      <c r="N766" s="190"/>
      <c r="O766" s="190"/>
      <c r="P766" s="188"/>
      <c r="Q766" s="188"/>
      <c r="R766" s="195"/>
      <c r="S766" s="197"/>
      <c r="T766" s="180"/>
      <c r="U766" s="189" t="str">
        <f>IFERROR(IF(Tableau3[[#This Row],[Dettes]]=0,"",(Tableau3[[#This Row],[Dettes]]/Tableau3[[#This Row],[EBE]])),"")</f>
        <v/>
      </c>
      <c r="V766" s="190" t="str">
        <f>IFERROR(Tableau3[[#This Row],[Fonds propres]]/Tableau3[[#This Row],[Total Bilan]],"")</f>
        <v/>
      </c>
      <c r="W766" s="180"/>
      <c r="X766" s="191"/>
      <c r="Y766" s="180"/>
      <c r="Z766" s="192" t="str">
        <f>IFERROR(Tableau3[[#This Row],[Chiffre d''affaires]]/Tableau3[[#This Row],[Salariés]],"")</f>
        <v/>
      </c>
      <c r="AA766" s="197"/>
      <c r="AB766" s="197"/>
      <c r="AC766" s="177" t="s">
        <v>608</v>
      </c>
    </row>
    <row r="767" spans="1:29" ht="20.25" customHeight="1">
      <c r="A767" s="217"/>
      <c r="E767" s="187">
        <v>727</v>
      </c>
      <c r="F767" s="178">
        <v>2021</v>
      </c>
      <c r="G767" s="188">
        <v>64215000000</v>
      </c>
      <c r="H767" s="188">
        <v>20500000000</v>
      </c>
      <c r="I767" s="188">
        <v>17151000000</v>
      </c>
      <c r="J767" s="188">
        <v>12036000000</v>
      </c>
      <c r="K767" s="188">
        <v>9607000000</v>
      </c>
      <c r="L767" s="188">
        <v>48909000000</v>
      </c>
      <c r="M767" s="208">
        <f>L767/P767</f>
        <v>97.061773860486554</v>
      </c>
      <c r="N767" s="190">
        <f>(Tableau3[[#This Row],[Résultat Net (PdG)]]/L769)</f>
        <v>0.3217149577675612</v>
      </c>
      <c r="O767" s="190">
        <f>(I767*0.72)/(K767+L767)</f>
        <v>0.21103151274864995</v>
      </c>
      <c r="P767" s="188">
        <v>503895592</v>
      </c>
      <c r="Q767" s="188">
        <f>P767*E767</f>
        <v>366332095384</v>
      </c>
      <c r="R767" s="195">
        <f>Q767/L767</f>
        <v>7.4900753518575316</v>
      </c>
      <c r="S767" s="197">
        <f>(Q767+K767)/H767</f>
        <v>18.338492457756097</v>
      </c>
      <c r="T767" s="180">
        <v>13531000000</v>
      </c>
      <c r="U767" s="189">
        <f>IFERROR(IF(Tableau3[[#This Row],[Dettes]]=0,"",(Tableau3[[#This Row],[Dettes]]/Tableau3[[#This Row],[EBE]])),"")</f>
        <v>0.46863414634146344</v>
      </c>
      <c r="V767" s="190" t="str">
        <f>IFERROR(Tableau3[[#This Row],[Fonds propres]]/Tableau3[[#This Row],[Total Bilan]],"")</f>
        <v/>
      </c>
      <c r="W767" s="180"/>
      <c r="X767" s="191"/>
      <c r="Y767" s="180"/>
      <c r="Z767" s="192" t="str">
        <f>IFERROR(Tableau3[[#This Row],[Chiffre d''affaires]]/Tableau3[[#This Row],[Salariés]],"")</f>
        <v/>
      </c>
      <c r="AA767" s="188"/>
      <c r="AB767" s="188"/>
      <c r="AC767" s="177" t="s">
        <v>609</v>
      </c>
    </row>
    <row r="768" spans="1:29" ht="20.25" customHeight="1">
      <c r="A768" s="217"/>
      <c r="E768" s="187"/>
      <c r="G768" s="202">
        <f>(G767/G769)-1</f>
        <v>0.43815368076862771</v>
      </c>
      <c r="H768" s="203">
        <f>(H767/H769)-1</f>
        <v>0.79039301310043664</v>
      </c>
      <c r="I768" s="203">
        <f>(I767/I769)-1</f>
        <v>1.1514049172102356</v>
      </c>
      <c r="J768" s="203">
        <f>(J767/J769)-1</f>
        <v>1.5597618034878775</v>
      </c>
      <c r="K768" s="188"/>
      <c r="L768" s="188"/>
      <c r="M768" s="208"/>
      <c r="N768" s="190"/>
      <c r="O768" s="190"/>
      <c r="P768" s="188"/>
      <c r="Q768" s="188"/>
      <c r="R768" s="195"/>
      <c r="S768" s="197"/>
      <c r="T768" s="180"/>
      <c r="U768" s="189" t="str">
        <f>IFERROR(IF(Tableau3[[#This Row],[Dettes]]=0,"",(Tableau3[[#This Row],[Dettes]]/Tableau3[[#This Row],[EBE]])),"")</f>
        <v/>
      </c>
      <c r="V768" s="190" t="str">
        <f>IFERROR(Tableau3[[#This Row],[Fonds propres]]/Tableau3[[#This Row],[Total Bilan]],"")</f>
        <v/>
      </c>
      <c r="W768" s="180"/>
      <c r="X768" s="191"/>
      <c r="Y768" s="180"/>
      <c r="Z768" s="192" t="str">
        <f>IFERROR(Tableau3[[#This Row],[Chiffre d''affaires]]/Tableau3[[#This Row],[Salariés]],"")</f>
        <v/>
      </c>
      <c r="AA768" s="197"/>
      <c r="AB768" s="197"/>
      <c r="AC768" s="177" t="s">
        <v>610</v>
      </c>
    </row>
    <row r="769" spans="1:29" ht="20.25" customHeight="1">
      <c r="A769" s="217"/>
      <c r="E769" s="187">
        <v>502</v>
      </c>
      <c r="F769" s="178">
        <v>2020</v>
      </c>
      <c r="G769" s="188">
        <v>44651000000</v>
      </c>
      <c r="H769" s="188">
        <f>I769+3478000000</f>
        <v>11450000000</v>
      </c>
      <c r="I769" s="188">
        <v>7972000000</v>
      </c>
      <c r="J769" s="188">
        <v>4702000000</v>
      </c>
      <c r="K769" s="188">
        <v>4241000000</v>
      </c>
      <c r="L769" s="188">
        <v>37412000000</v>
      </c>
      <c r="M769" s="208">
        <f>L769/P769</f>
        <v>74.199222806972031</v>
      </c>
      <c r="N769" s="190">
        <f>(Tableau3[[#This Row],[Résultat Net (PdG)]]/L771)</f>
        <v>0.12851910566883507</v>
      </c>
      <c r="O769" s="190">
        <f>(I769*0.72)/(K769+L769)</f>
        <v>0.13780135884570138</v>
      </c>
      <c r="P769" s="188">
        <v>504210133</v>
      </c>
      <c r="Q769" s="188">
        <f>P769*E769</f>
        <v>253113486766</v>
      </c>
      <c r="R769" s="195">
        <f>Q769/L769</f>
        <v>6.7655695168929757</v>
      </c>
      <c r="S769" s="197">
        <f>(Q769+K769)/H769</f>
        <v>22.476374390043667</v>
      </c>
      <c r="T769" s="180">
        <v>6117000000</v>
      </c>
      <c r="U769" s="189">
        <f>IFERROR(IF(Tableau3[[#This Row],[Dettes]]=0,"",(Tableau3[[#This Row],[Dettes]]/Tableau3[[#This Row],[EBE]])),"")</f>
        <v>0.37039301310043671</v>
      </c>
      <c r="V769" s="190" t="str">
        <f>IFERROR(Tableau3[[#This Row],[Fonds propres]]/Tableau3[[#This Row],[Total Bilan]],"")</f>
        <v/>
      </c>
      <c r="W769" s="180"/>
      <c r="X769" s="191"/>
      <c r="Y769" s="180"/>
      <c r="Z769" s="192" t="str">
        <f>IFERROR(Tableau3[[#This Row],[Chiffre d''affaires]]/Tableau3[[#This Row],[Salariés]],"")</f>
        <v/>
      </c>
      <c r="AA769" s="188"/>
      <c r="AB769" s="188"/>
      <c r="AC769" s="177" t="s">
        <v>611</v>
      </c>
    </row>
    <row r="770" spans="1:29" ht="20.25" customHeight="1">
      <c r="A770" s="217"/>
      <c r="E770" s="187"/>
      <c r="G770" s="202">
        <f>(G769/G771)-1</f>
        <v>-0.16804546301471956</v>
      </c>
      <c r="H770" s="203">
        <f>(H769/H771)-1</f>
        <v>-0.18056251341873608</v>
      </c>
      <c r="I770" s="203">
        <f>(I769/I771)-1</f>
        <v>-0.29282356072030513</v>
      </c>
      <c r="J770" s="203">
        <f>(J769/J771)-1</f>
        <v>-0.34430344442894989</v>
      </c>
      <c r="K770" s="188"/>
      <c r="L770" s="188"/>
      <c r="M770" s="208"/>
      <c r="N770" s="190"/>
      <c r="O770" s="190"/>
      <c r="P770" s="188"/>
      <c r="Q770" s="188"/>
      <c r="R770" s="195"/>
      <c r="S770" s="197"/>
      <c r="T770" s="180"/>
      <c r="U770" s="189" t="str">
        <f>IFERROR(IF(Tableau3[[#This Row],[Dettes]]=0,"",(Tableau3[[#This Row],[Dettes]]/Tableau3[[#This Row],[EBE]])),"")</f>
        <v/>
      </c>
      <c r="V770" s="190" t="str">
        <f>IFERROR(Tableau3[[#This Row],[Fonds propres]]/Tableau3[[#This Row],[Total Bilan]],"")</f>
        <v/>
      </c>
      <c r="W770" s="180"/>
      <c r="X770" s="191"/>
      <c r="Y770" s="180"/>
      <c r="Z770" s="192" t="str">
        <f>IFERROR(Tableau3[[#This Row],[Chiffre d''affaires]]/Tableau3[[#This Row],[Salariés]],"")</f>
        <v/>
      </c>
      <c r="AA770" s="197"/>
      <c r="AB770" s="197"/>
      <c r="AC770" s="177" t="s">
        <v>612</v>
      </c>
    </row>
    <row r="771" spans="1:29" ht="20.25" customHeight="1">
      <c r="A771" s="217"/>
      <c r="E771" s="187">
        <v>419.1</v>
      </c>
      <c r="F771" s="178">
        <v>2019</v>
      </c>
      <c r="G771" s="188">
        <v>53670000000</v>
      </c>
      <c r="H771" s="188">
        <f>I771+2700000000</f>
        <v>13973000000</v>
      </c>
      <c r="I771" s="188">
        <v>11273000000</v>
      </c>
      <c r="J771" s="188">
        <v>7171000000</v>
      </c>
      <c r="K771" s="188">
        <v>6206000000</v>
      </c>
      <c r="L771" s="188">
        <v>36586000000</v>
      </c>
      <c r="M771" s="208">
        <f>L771/P771</f>
        <v>72.614388014825565</v>
      </c>
      <c r="N771" s="190">
        <f>(Tableau3[[#This Row],[Résultat Net (PdG)]]/L773)</f>
        <v>0.22206050846932771</v>
      </c>
      <c r="O771" s="190">
        <f>(I771*0.72)/(K771+L771)</f>
        <v>0.1896747055524397</v>
      </c>
      <c r="P771" s="188">
        <v>503839542</v>
      </c>
      <c r="Q771" s="188">
        <f>P771*E771</f>
        <v>211159152052.20001</v>
      </c>
      <c r="R771" s="195">
        <f>Q771/L771</f>
        <v>5.7715834486470241</v>
      </c>
      <c r="S771" s="197">
        <f>(Q771+K771)/H771</f>
        <v>15.556083307249697</v>
      </c>
      <c r="T771" s="180"/>
      <c r="U771" s="189">
        <f>IFERROR(IF(Tableau3[[#This Row],[Dettes]]=0,"",(Tableau3[[#This Row],[Dettes]]/Tableau3[[#This Row],[EBE]])),"")</f>
        <v>0.44414227438631648</v>
      </c>
      <c r="V771" s="190" t="str">
        <f>IFERROR(Tableau3[[#This Row],[Fonds propres]]/Tableau3[[#This Row],[Total Bilan]],"")</f>
        <v/>
      </c>
      <c r="W771" s="180"/>
      <c r="X771" s="191"/>
      <c r="Y771" s="180"/>
      <c r="Z771" s="192" t="str">
        <f>IFERROR(Tableau3[[#This Row],[Chiffre d''affaires]]/Tableau3[[#This Row],[Salariés]],"")</f>
        <v/>
      </c>
      <c r="AA771" s="197"/>
      <c r="AB771" s="197"/>
      <c r="AC771" s="177" t="s">
        <v>5162</v>
      </c>
    </row>
    <row r="772" spans="1:29" ht="20.25" customHeight="1">
      <c r="A772" s="217"/>
      <c r="E772" s="187"/>
      <c r="G772" s="202">
        <f>(G771/G773)-1</f>
        <v>0.14615811728526884</v>
      </c>
      <c r="H772" s="203">
        <f>(H771/H773)-1</f>
        <v>0.1473027342146318</v>
      </c>
      <c r="I772" s="203">
        <f>(I771/I773)-1</f>
        <v>0.14133846309608189</v>
      </c>
      <c r="J772" s="203">
        <f>(J771/J773)-1</f>
        <v>0.12858042178155493</v>
      </c>
      <c r="K772" s="188"/>
      <c r="L772" s="188"/>
      <c r="M772" s="208"/>
      <c r="N772" s="190"/>
      <c r="O772" s="190"/>
      <c r="P772" s="188"/>
      <c r="Q772" s="188"/>
      <c r="R772" s="195"/>
      <c r="S772" s="197"/>
      <c r="T772" s="180"/>
      <c r="U772" s="189" t="str">
        <f>IFERROR(IF(Tableau3[[#This Row],[Dettes]]=0,"",(Tableau3[[#This Row],[Dettes]]/Tableau3[[#This Row],[EBE]])),"")</f>
        <v/>
      </c>
      <c r="V772" s="190" t="str">
        <f>IFERROR(Tableau3[[#This Row],[Fonds propres]]/Tableau3[[#This Row],[Total Bilan]],"")</f>
        <v/>
      </c>
      <c r="W772" s="180"/>
      <c r="X772" s="191"/>
      <c r="Y772" s="180"/>
      <c r="Z772" s="192" t="str">
        <f>IFERROR(Tableau3[[#This Row],[Chiffre d''affaires]]/Tableau3[[#This Row],[Salariés]],"")</f>
        <v/>
      </c>
      <c r="AA772" s="197"/>
      <c r="AB772" s="197"/>
      <c r="AC772" s="177" t="s">
        <v>613</v>
      </c>
    </row>
    <row r="773" spans="1:29" ht="20.25" customHeight="1">
      <c r="A773" s="217"/>
      <c r="E773" s="187">
        <v>251.15</v>
      </c>
      <c r="F773" s="178">
        <v>2018</v>
      </c>
      <c r="G773" s="188">
        <v>46826000000</v>
      </c>
      <c r="H773" s="188">
        <f>I773+2302000000</f>
        <v>12179000000</v>
      </c>
      <c r="I773" s="188">
        <v>9877000000</v>
      </c>
      <c r="J773" s="188">
        <v>6354000000</v>
      </c>
      <c r="K773" s="188">
        <v>5487000000</v>
      </c>
      <c r="L773" s="188">
        <v>32293000000</v>
      </c>
      <c r="M773" s="208">
        <f>L773/P773</f>
        <v>64.08382123334556</v>
      </c>
      <c r="N773" s="190">
        <f>(Tableau3[[#This Row],[Résultat Net (PdG)]]/L775)</f>
        <v>0.20917141258188762</v>
      </c>
      <c r="O773" s="190">
        <f>(I773*0.72)/(K773+L773)</f>
        <v>0.18823292747485443</v>
      </c>
      <c r="P773" s="188">
        <v>503918140</v>
      </c>
      <c r="Q773" s="188">
        <f>P773*E773</f>
        <v>126559040861</v>
      </c>
      <c r="R773" s="195">
        <f>Q773/L773</f>
        <v>3.919085896664912</v>
      </c>
      <c r="S773" s="197">
        <f>(Q773+K773)/H773</f>
        <v>10.842108618195255</v>
      </c>
      <c r="T773" s="180"/>
      <c r="U773" s="189">
        <f>IFERROR(IF(Tableau3[[#This Row],[Dettes]]=0,"",(Tableau3[[#This Row],[Dettes]]/Tableau3[[#This Row],[EBE]])),"")</f>
        <v>0.45052960013137366</v>
      </c>
      <c r="V773" s="190" t="str">
        <f>IFERROR(Tableau3[[#This Row],[Fonds propres]]/Tableau3[[#This Row],[Total Bilan]],"")</f>
        <v/>
      </c>
      <c r="W773" s="180"/>
      <c r="X773" s="191"/>
      <c r="Y773" s="180"/>
      <c r="Z773" s="192" t="str">
        <f>IFERROR(Tableau3[[#This Row],[Chiffre d''affaires]]/Tableau3[[#This Row],[Salariés]],"")</f>
        <v/>
      </c>
      <c r="AA773" s="197"/>
      <c r="AB773" s="197"/>
      <c r="AC773" s="254" t="s">
        <v>4669</v>
      </c>
    </row>
    <row r="774" spans="1:29" ht="20.25" customHeight="1">
      <c r="A774" s="217"/>
      <c r="E774" s="187"/>
      <c r="G774" s="202">
        <f>(G773/G775)-1</f>
        <v>9.827375926447135E-2</v>
      </c>
      <c r="H774" s="203">
        <f>(H773/H775)-1</f>
        <v>0.18242718446601947</v>
      </c>
      <c r="I774" s="203">
        <f>(I773/I775)-1</f>
        <v>0.19100446159411555</v>
      </c>
      <c r="J774" s="203">
        <f>(J773/J775)-1</f>
        <v>0.18434296365330849</v>
      </c>
      <c r="K774" s="188"/>
      <c r="L774" s="188"/>
      <c r="M774" s="208"/>
      <c r="N774" s="190"/>
      <c r="O774" s="190"/>
      <c r="P774" s="188"/>
      <c r="Q774" s="188"/>
      <c r="R774" s="195"/>
      <c r="S774" s="197"/>
      <c r="T774" s="180"/>
      <c r="U774" s="189" t="str">
        <f>IFERROR(IF(Tableau3[[#This Row],[Dettes]]=0,"",(Tableau3[[#This Row],[Dettes]]/Tableau3[[#This Row],[EBE]])),"")</f>
        <v/>
      </c>
      <c r="V774" s="190" t="str">
        <f>IFERROR(Tableau3[[#This Row],[Fonds propres]]/Tableau3[[#This Row],[Total Bilan]],"")</f>
        <v/>
      </c>
      <c r="W774" s="180"/>
      <c r="X774" s="191"/>
      <c r="Y774" s="180"/>
      <c r="Z774" s="192" t="str">
        <f>IFERROR(Tableau3[[#This Row],[Chiffre d''affaires]]/Tableau3[[#This Row],[Salariés]],"")</f>
        <v/>
      </c>
      <c r="AA774" s="197"/>
      <c r="AB774" s="197"/>
      <c r="AC774" s="177" t="s">
        <v>614</v>
      </c>
    </row>
    <row r="775" spans="1:29" ht="20.25" customHeight="1">
      <c r="A775" s="217"/>
      <c r="E775" s="187">
        <v>250</v>
      </c>
      <c r="F775" s="178">
        <v>2017</v>
      </c>
      <c r="G775" s="188">
        <v>42636000000</v>
      </c>
      <c r="H775" s="188">
        <v>10300000000</v>
      </c>
      <c r="I775" s="188">
        <v>8293000000</v>
      </c>
      <c r="J775" s="188">
        <v>5365000000</v>
      </c>
      <c r="K775" s="188">
        <v>7153000000</v>
      </c>
      <c r="L775" s="188">
        <v>30377000000</v>
      </c>
      <c r="M775" s="208">
        <f>L775/P775</f>
        <v>59.910153978463775</v>
      </c>
      <c r="N775" s="190">
        <f>(Tableau3[[#This Row],[Résultat Net (PdG)]]/L777)</f>
        <v>0.19227323226893164</v>
      </c>
      <c r="O775" s="190">
        <f>(I775*0.72)/(K775+L775)</f>
        <v>0.15909832134292565</v>
      </c>
      <c r="P775" s="188">
        <v>507042596</v>
      </c>
      <c r="Q775" s="188">
        <f>P775*E775</f>
        <v>126760649000</v>
      </c>
      <c r="R775" s="195">
        <f>Q775/L775</f>
        <v>4.1729153306778155</v>
      </c>
      <c r="S775" s="197">
        <f>(Q775+K775)/H775</f>
        <v>13.001325145631068</v>
      </c>
      <c r="T775" s="180"/>
      <c r="U775" s="189">
        <f>IFERROR(IF(Tableau3[[#This Row],[Dettes]]=0,"",(Tableau3[[#This Row],[Dettes]]/Tableau3[[#This Row],[EBE]])),"")</f>
        <v>0.69446601941747577</v>
      </c>
      <c r="V775" s="190" t="str">
        <f>IFERROR(Tableau3[[#This Row],[Fonds propres]]/Tableau3[[#This Row],[Total Bilan]],"")</f>
        <v/>
      </c>
      <c r="W775" s="180"/>
      <c r="X775" s="191"/>
      <c r="Y775" s="180"/>
      <c r="Z775" s="192" t="str">
        <f>IFERROR(Tableau3[[#This Row],[Chiffre d''affaires]]/Tableau3[[#This Row],[Salariés]],"")</f>
        <v/>
      </c>
      <c r="AA775" s="197"/>
      <c r="AB775" s="197"/>
      <c r="AC775" s="177" t="s">
        <v>615</v>
      </c>
    </row>
    <row r="776" spans="1:29" ht="20.25" customHeight="1">
      <c r="A776" s="217"/>
      <c r="E776" s="187"/>
      <c r="G776" s="202">
        <f>(G775/G777)-1</f>
        <v>0.13393617021276594</v>
      </c>
      <c r="H776" s="203"/>
      <c r="I776" s="203">
        <f>(I775/I777)-1</f>
        <v>0.18033020210646167</v>
      </c>
      <c r="J776" s="203">
        <f>(J775/J777)-1</f>
        <v>0.34765134388344632</v>
      </c>
      <c r="K776" s="188"/>
      <c r="L776" s="188"/>
      <c r="M776" s="208"/>
      <c r="N776" s="190"/>
      <c r="O776" s="190"/>
      <c r="P776" s="188"/>
      <c r="Q776" s="188"/>
      <c r="R776" s="195"/>
      <c r="S776" s="197"/>
      <c r="T776" s="180"/>
      <c r="U776" s="189" t="str">
        <f>IFERROR(IF(Tableau3[[#This Row],[Dettes]]=0,"",(Tableau3[[#This Row],[Dettes]]/Tableau3[[#This Row],[EBE]])),"")</f>
        <v/>
      </c>
      <c r="V776" s="190" t="str">
        <f>IFERROR(Tableau3[[#This Row],[Fonds propres]]/Tableau3[[#This Row],[Total Bilan]],"")</f>
        <v/>
      </c>
      <c r="W776" s="180"/>
      <c r="X776" s="191"/>
      <c r="Y776" s="180"/>
      <c r="Z776" s="192" t="str">
        <f>IFERROR(Tableau3[[#This Row],[Chiffre d''affaires]]/Tableau3[[#This Row],[Salariés]],"")</f>
        <v/>
      </c>
      <c r="AA776" s="197"/>
      <c r="AB776" s="197"/>
      <c r="AC776" s="177" t="s">
        <v>4668</v>
      </c>
    </row>
    <row r="777" spans="1:29" ht="20.25" customHeight="1">
      <c r="A777" s="217"/>
      <c r="E777" s="187">
        <v>181.4</v>
      </c>
      <c r="F777" s="178">
        <v>2016</v>
      </c>
      <c r="G777" s="188">
        <v>37600000000</v>
      </c>
      <c r="H777" s="188"/>
      <c r="I777" s="188">
        <v>7026000000</v>
      </c>
      <c r="J777" s="188">
        <v>3981000000</v>
      </c>
      <c r="K777" s="188">
        <v>3265000000</v>
      </c>
      <c r="L777" s="188">
        <v>27903000000</v>
      </c>
      <c r="M777" s="208">
        <f>L777/P777</f>
        <v>55.03087949636484</v>
      </c>
      <c r="N777" s="190">
        <f>Tableau3[[#This Row],[Résultat Net (PdG)]]/Tableau3[[#This Row],[Fonds propres]]</f>
        <v>0.14267283087840016</v>
      </c>
      <c r="O777" s="190">
        <f>(I777*0.72)/(K777+L777)</f>
        <v>0.16230492813141684</v>
      </c>
      <c r="P777" s="188">
        <v>507042596</v>
      </c>
      <c r="Q777" s="188">
        <f>P777*E777</f>
        <v>91977526914.400009</v>
      </c>
      <c r="R777" s="195">
        <f>Q777/L777</f>
        <v>3.2963311082822639</v>
      </c>
      <c r="S777" s="197"/>
      <c r="T777" s="180"/>
      <c r="U777" s="189" t="str">
        <f>IFERROR(IF(Tableau3[[#This Row],[Dettes]]=0,"",(Tableau3[[#This Row],[Dettes]]/Tableau3[[#This Row],[EBE]])),"")</f>
        <v/>
      </c>
      <c r="V777" s="190" t="str">
        <f>IFERROR(Tableau3[[#This Row],[Fonds propres]]/Tableau3[[#This Row],[Total Bilan]],"")</f>
        <v/>
      </c>
      <c r="W777" s="180"/>
      <c r="X777" s="191"/>
      <c r="Y777" s="180"/>
      <c r="Z777" s="192" t="str">
        <f>IFERROR(Tableau3[[#This Row],[Chiffre d''affaires]]/Tableau3[[#This Row],[Salariés]],"")</f>
        <v/>
      </c>
      <c r="AA777" s="197"/>
      <c r="AB777" s="197"/>
      <c r="AC777" s="177" t="s">
        <v>616</v>
      </c>
    </row>
    <row r="778" spans="1:29" ht="20.25" customHeight="1">
      <c r="A778" s="217"/>
      <c r="E778" s="187"/>
      <c r="G778" s="188"/>
      <c r="H778" s="188"/>
      <c r="I778" s="188"/>
      <c r="J778" s="188"/>
      <c r="K778" s="188"/>
      <c r="L778" s="188"/>
      <c r="M778" s="208"/>
      <c r="N778" s="190"/>
      <c r="O778" s="190"/>
      <c r="P778" s="188"/>
      <c r="Q778" s="188"/>
      <c r="R778" s="195"/>
      <c r="S778" s="197"/>
      <c r="T778" s="180"/>
      <c r="U778" s="189" t="str">
        <f>IFERROR(IF(Tableau3[[#This Row],[Dettes]]=0,"",(Tableau3[[#This Row],[Dettes]]/Tableau3[[#This Row],[EBE]])),"")</f>
        <v/>
      </c>
      <c r="V778" s="190" t="str">
        <f>IFERROR(Tableau3[[#This Row],[Fonds propres]]/Tableau3[[#This Row],[Total Bilan]],"")</f>
        <v/>
      </c>
      <c r="W778" s="180"/>
      <c r="X778" s="191"/>
      <c r="Y778" s="180"/>
      <c r="Z778" s="192" t="str">
        <f>IFERROR(Tableau3[[#This Row],[Chiffre d''affaires]]/Tableau3[[#This Row],[Salariés]],"")</f>
        <v/>
      </c>
      <c r="AA778" s="197"/>
      <c r="AB778" s="197"/>
      <c r="AC778" s="177" t="s">
        <v>617</v>
      </c>
    </row>
    <row r="779" spans="1:29" ht="20.25" customHeight="1">
      <c r="A779" s="217"/>
      <c r="E779" s="187">
        <v>146</v>
      </c>
      <c r="F779" s="178">
        <v>2015</v>
      </c>
      <c r="G779" s="188"/>
      <c r="H779" s="188"/>
      <c r="I779" s="188"/>
      <c r="J779" s="188"/>
      <c r="K779" s="188"/>
      <c r="L779" s="188"/>
      <c r="M779" s="208"/>
      <c r="N779" s="190"/>
      <c r="O779" s="190"/>
      <c r="P779" s="188">
        <v>507042596</v>
      </c>
      <c r="Q779" s="188">
        <f>P779*E779</f>
        <v>74028219016</v>
      </c>
      <c r="R779" s="195"/>
      <c r="S779" s="197"/>
      <c r="T779" s="180"/>
      <c r="U779" s="189" t="str">
        <f>IFERROR(IF(Tableau3[[#This Row],[Dettes]]=0,"",(Tableau3[[#This Row],[Dettes]]/Tableau3[[#This Row],[EBE]])),"")</f>
        <v/>
      </c>
      <c r="V779" s="190" t="str">
        <f>IFERROR(Tableau3[[#This Row],[Fonds propres]]/Tableau3[[#This Row],[Total Bilan]],"")</f>
        <v/>
      </c>
      <c r="W779" s="180"/>
      <c r="X779" s="191"/>
      <c r="Y779" s="180"/>
      <c r="Z779" s="192" t="str">
        <f>IFERROR(Tableau3[[#This Row],[Chiffre d''affaires]]/Tableau3[[#This Row],[Salariés]],"")</f>
        <v/>
      </c>
      <c r="AA779" s="197"/>
      <c r="AB779" s="197"/>
    </row>
    <row r="780" spans="1:29" ht="20.25" customHeight="1">
      <c r="A780" s="217"/>
      <c r="E780" s="187"/>
      <c r="G780" s="188"/>
      <c r="H780" s="188"/>
      <c r="I780" s="188"/>
      <c r="J780" s="188"/>
      <c r="K780" s="188"/>
      <c r="L780" s="188"/>
      <c r="M780" s="208"/>
      <c r="N780" s="190"/>
      <c r="O780" s="190"/>
      <c r="P780" s="188"/>
      <c r="Q780" s="188"/>
      <c r="R780" s="195"/>
      <c r="S780" s="197"/>
      <c r="T780" s="180"/>
      <c r="U780" s="189" t="str">
        <f>IFERROR(IF(Tableau3[[#This Row],[Dettes]]=0,"",(Tableau3[[#This Row],[Dettes]]/Tableau3[[#This Row],[EBE]])),"")</f>
        <v/>
      </c>
      <c r="V780" s="190" t="str">
        <f>IFERROR(Tableau3[[#This Row],[Fonds propres]]/Tableau3[[#This Row],[Total Bilan]],"")</f>
        <v/>
      </c>
      <c r="W780" s="180"/>
      <c r="X780" s="191"/>
      <c r="Y780" s="180"/>
      <c r="Z780" s="192" t="str">
        <f>IFERROR(Tableau3[[#This Row],[Chiffre d''affaires]]/Tableau3[[#This Row],[Salariés]],"")</f>
        <v/>
      </c>
      <c r="AA780" s="197"/>
      <c r="AB780" s="197"/>
    </row>
    <row r="781" spans="1:29" ht="20.25" customHeight="1">
      <c r="A781" s="217"/>
      <c r="E781" s="187">
        <v>131</v>
      </c>
      <c r="F781" s="178">
        <v>2014</v>
      </c>
      <c r="G781" s="188"/>
      <c r="H781" s="188"/>
      <c r="I781" s="188"/>
      <c r="J781" s="188"/>
      <c r="K781" s="188"/>
      <c r="L781" s="188"/>
      <c r="M781" s="208"/>
      <c r="N781" s="190"/>
      <c r="O781" s="190"/>
      <c r="P781" s="188">
        <v>507042596</v>
      </c>
      <c r="Q781" s="188">
        <f>P781*E781</f>
        <v>66422580076</v>
      </c>
      <c r="R781" s="195"/>
      <c r="S781" s="197"/>
      <c r="T781" s="180"/>
      <c r="U781" s="189" t="str">
        <f>IFERROR(IF(Tableau3[[#This Row],[Dettes]]=0,"",(Tableau3[[#This Row],[Dettes]]/Tableau3[[#This Row],[EBE]])),"")</f>
        <v/>
      </c>
      <c r="V781" s="190" t="str">
        <f>IFERROR(Tableau3[[#This Row],[Fonds propres]]/Tableau3[[#This Row],[Total Bilan]],"")</f>
        <v/>
      </c>
      <c r="W781" s="180"/>
      <c r="X781" s="191"/>
      <c r="Y781" s="180"/>
      <c r="Z781" s="192" t="str">
        <f>IFERROR(Tableau3[[#This Row],[Chiffre d''affaires]]/Tableau3[[#This Row],[Salariés]],"")</f>
        <v/>
      </c>
      <c r="AA781" s="197"/>
      <c r="AB781" s="197"/>
    </row>
    <row r="782" spans="1:29" ht="20.25" customHeight="1">
      <c r="A782" s="217"/>
      <c r="E782" s="187"/>
      <c r="G782" s="188"/>
      <c r="H782" s="188"/>
      <c r="I782" s="188"/>
      <c r="J782" s="188"/>
      <c r="K782" s="188"/>
      <c r="L782" s="188"/>
      <c r="M782" s="208"/>
      <c r="N782" s="190"/>
      <c r="O782" s="190"/>
      <c r="P782" s="188"/>
      <c r="Q782" s="188"/>
      <c r="R782" s="195"/>
      <c r="S782" s="197"/>
      <c r="T782" s="180"/>
      <c r="U782" s="189" t="str">
        <f>IFERROR(IF(Tableau3[[#This Row],[Dettes]]=0,"",(Tableau3[[#This Row],[Dettes]]/Tableau3[[#This Row],[EBE]])),"")</f>
        <v/>
      </c>
      <c r="V782" s="190" t="str">
        <f>IFERROR(Tableau3[[#This Row],[Fonds propres]]/Tableau3[[#This Row],[Total Bilan]],"")</f>
        <v/>
      </c>
      <c r="W782" s="180"/>
      <c r="X782" s="191"/>
      <c r="Y782" s="180"/>
      <c r="Z782" s="192" t="str">
        <f>IFERROR(Tableau3[[#This Row],[Chiffre d''affaires]]/Tableau3[[#This Row],[Salariés]],"")</f>
        <v/>
      </c>
      <c r="AA782" s="197"/>
      <c r="AB782" s="197"/>
    </row>
    <row r="783" spans="1:29" ht="20.25" customHeight="1">
      <c r="A783" s="217"/>
      <c r="E783" s="187">
        <v>131</v>
      </c>
      <c r="F783" s="178">
        <v>2013</v>
      </c>
      <c r="G783" s="188"/>
      <c r="H783" s="188"/>
      <c r="I783" s="188"/>
      <c r="J783" s="188"/>
      <c r="K783" s="188"/>
      <c r="L783" s="188"/>
      <c r="M783" s="208"/>
      <c r="N783" s="190"/>
      <c r="O783" s="190"/>
      <c r="P783" s="188">
        <v>507042596</v>
      </c>
      <c r="Q783" s="188">
        <f>P783*E783</f>
        <v>66422580076</v>
      </c>
      <c r="R783" s="195"/>
      <c r="S783" s="197"/>
      <c r="T783" s="180"/>
      <c r="U783" s="189" t="str">
        <f>IFERROR(IF(Tableau3[[#This Row],[Dettes]]=0,"",(Tableau3[[#This Row],[Dettes]]/Tableau3[[#This Row],[EBE]])),"")</f>
        <v/>
      </c>
      <c r="V783" s="190" t="str">
        <f>IFERROR(Tableau3[[#This Row],[Fonds propres]]/Tableau3[[#This Row],[Total Bilan]],"")</f>
        <v/>
      </c>
      <c r="W783" s="180"/>
      <c r="X783" s="191"/>
      <c r="Y783" s="180"/>
      <c r="Z783" s="192" t="str">
        <f>IFERROR(Tableau3[[#This Row],[Chiffre d''affaires]]/Tableau3[[#This Row],[Salariés]],"")</f>
        <v/>
      </c>
      <c r="AA783" s="197"/>
      <c r="AB783" s="197"/>
    </row>
    <row r="784" spans="1:29" ht="20.25" customHeight="1">
      <c r="A784" s="217"/>
      <c r="E784" s="187"/>
      <c r="G784" s="188"/>
      <c r="H784" s="188"/>
      <c r="I784" s="188"/>
      <c r="J784" s="188"/>
      <c r="K784" s="188"/>
      <c r="L784" s="188"/>
      <c r="M784" s="208"/>
      <c r="N784" s="190"/>
      <c r="O784" s="190"/>
      <c r="P784" s="188"/>
      <c r="Q784" s="188"/>
      <c r="R784" s="195"/>
      <c r="S784" s="197"/>
      <c r="T784" s="180"/>
      <c r="U784" s="189" t="str">
        <f>IFERROR(IF(Tableau3[[#This Row],[Dettes]]=0,"",(Tableau3[[#This Row],[Dettes]]/Tableau3[[#This Row],[EBE]])),"")</f>
        <v/>
      </c>
      <c r="V784" s="190" t="str">
        <f>IFERROR(Tableau3[[#This Row],[Fonds propres]]/Tableau3[[#This Row],[Total Bilan]],"")</f>
        <v/>
      </c>
      <c r="W784" s="180"/>
      <c r="X784" s="191"/>
      <c r="Y784" s="180"/>
      <c r="Z784" s="192" t="str">
        <f>IFERROR(Tableau3[[#This Row],[Chiffre d''affaires]]/Tableau3[[#This Row],[Salariés]],"")</f>
        <v/>
      </c>
      <c r="AA784" s="197"/>
      <c r="AB784" s="197"/>
    </row>
    <row r="785" spans="1:29" ht="20.25" customHeight="1">
      <c r="A785" s="217"/>
      <c r="E785" s="187">
        <v>46</v>
      </c>
      <c r="F785" s="178">
        <v>2008</v>
      </c>
      <c r="G785" s="188"/>
      <c r="H785" s="188"/>
      <c r="I785" s="188"/>
      <c r="J785" s="188"/>
      <c r="K785" s="188"/>
      <c r="L785" s="188"/>
      <c r="M785" s="208"/>
      <c r="N785" s="190"/>
      <c r="O785" s="190"/>
      <c r="P785" s="188">
        <v>507042596</v>
      </c>
      <c r="Q785" s="188">
        <f>P785*E785</f>
        <v>23323959416</v>
      </c>
      <c r="R785" s="195"/>
      <c r="S785" s="197"/>
      <c r="T785" s="180"/>
      <c r="U785" s="189" t="str">
        <f>IFERROR(IF(Tableau3[[#This Row],[Dettes]]=0,"",(Tableau3[[#This Row],[Dettes]]/Tableau3[[#This Row],[EBE]])),"")</f>
        <v/>
      </c>
      <c r="V785" s="190" t="str">
        <f>IFERROR(Tableau3[[#This Row],[Fonds propres]]/Tableau3[[#This Row],[Total Bilan]],"")</f>
        <v/>
      </c>
      <c r="W785" s="180"/>
      <c r="X785" s="191"/>
      <c r="Y785" s="180"/>
      <c r="Z785" s="192" t="str">
        <f>IFERROR(Tableau3[[#This Row],[Chiffre d''affaires]]/Tableau3[[#This Row],[Salariés]],"")</f>
        <v/>
      </c>
      <c r="AA785" s="197"/>
      <c r="AB785" s="197"/>
    </row>
    <row r="786" spans="1:29" ht="20.25" customHeight="1">
      <c r="A786" s="217"/>
      <c r="E786" s="187"/>
      <c r="G786" s="188"/>
      <c r="H786" s="188"/>
      <c r="I786" s="188"/>
      <c r="J786" s="188"/>
      <c r="K786" s="188"/>
      <c r="L786" s="188"/>
      <c r="M786" s="208"/>
      <c r="N786" s="190"/>
      <c r="O786" s="190"/>
      <c r="P786" s="188"/>
      <c r="Q786" s="188"/>
      <c r="R786" s="195"/>
      <c r="S786" s="197"/>
      <c r="T786" s="180"/>
      <c r="U786" s="189" t="str">
        <f>IFERROR(IF(Tableau3[[#This Row],[Dettes]]=0,"",(Tableau3[[#This Row],[Dettes]]/Tableau3[[#This Row],[EBE]])),"")</f>
        <v/>
      </c>
      <c r="V786" s="190" t="str">
        <f>IFERROR(Tableau3[[#This Row],[Fonds propres]]/Tableau3[[#This Row],[Total Bilan]],"")</f>
        <v/>
      </c>
      <c r="W786" s="180"/>
      <c r="X786" s="191"/>
      <c r="Y786" s="180"/>
      <c r="Z786" s="192" t="str">
        <f>IFERROR(Tableau3[[#This Row],[Chiffre d''affaires]]/Tableau3[[#This Row],[Salariés]],"")</f>
        <v/>
      </c>
      <c r="AA786" s="197"/>
      <c r="AB786" s="197"/>
    </row>
    <row r="787" spans="1:29" ht="20.25" customHeight="1">
      <c r="A787" s="217"/>
      <c r="E787" s="187"/>
      <c r="G787" s="188"/>
      <c r="H787" s="188"/>
      <c r="I787" s="188"/>
      <c r="J787" s="188"/>
      <c r="K787" s="188"/>
      <c r="L787" s="188"/>
      <c r="M787" s="208"/>
      <c r="N787" s="190"/>
      <c r="O787" s="190"/>
      <c r="P787" s="188"/>
      <c r="Q787" s="188"/>
      <c r="R787" s="195"/>
      <c r="S787" s="197"/>
      <c r="T787" s="180"/>
      <c r="U787" s="189" t="str">
        <f>IFERROR(IF(Tableau3[[#This Row],[Dettes]]=0,"",(Tableau3[[#This Row],[Dettes]]/Tableau3[[#This Row],[EBE]])),"")</f>
        <v/>
      </c>
      <c r="V787" s="190" t="str">
        <f>IFERROR(Tableau3[[#This Row],[Fonds propres]]/Tableau3[[#This Row],[Total Bilan]],"")</f>
        <v/>
      </c>
      <c r="W787" s="180"/>
      <c r="X787" s="191"/>
      <c r="Y787" s="180"/>
      <c r="Z787" s="192" t="str">
        <f>IFERROR(Tableau3[[#This Row],[Chiffre d''affaires]]/Tableau3[[#This Row],[Salariés]],"")</f>
        <v/>
      </c>
      <c r="AA787" s="197"/>
      <c r="AB787" s="197"/>
    </row>
    <row r="788" spans="1:29" ht="20.25" customHeight="1">
      <c r="A788" s="217"/>
      <c r="E788" s="187"/>
      <c r="G788" s="188"/>
      <c r="H788" s="188"/>
      <c r="I788" s="188"/>
      <c r="J788" s="188"/>
      <c r="K788" s="188"/>
      <c r="L788" s="188"/>
      <c r="M788" s="208"/>
      <c r="N788" s="190"/>
      <c r="O788" s="190"/>
      <c r="P788" s="188"/>
      <c r="Q788" s="188"/>
      <c r="R788" s="195"/>
      <c r="S788" s="197"/>
      <c r="T788" s="180"/>
      <c r="U788" s="189" t="str">
        <f>IFERROR(IF(Tableau3[[#This Row],[Dettes]]=0,"",(Tableau3[[#This Row],[Dettes]]/Tableau3[[#This Row],[EBE]])),"")</f>
        <v/>
      </c>
      <c r="V788" s="190" t="str">
        <f>IFERROR(Tableau3[[#This Row],[Fonds propres]]/Tableau3[[#This Row],[Total Bilan]],"")</f>
        <v/>
      </c>
      <c r="W788" s="180"/>
      <c r="X788" s="191"/>
      <c r="Y788" s="180"/>
      <c r="Z788" s="192" t="str">
        <f>IFERROR(Tableau3[[#This Row],[Chiffre d''affaires]]/Tableau3[[#This Row],[Salariés]],"")</f>
        <v/>
      </c>
      <c r="AA788" s="197"/>
      <c r="AB788" s="197"/>
    </row>
    <row r="789" spans="1:29" ht="20.25" customHeight="1">
      <c r="A789" s="217" t="s">
        <v>2140</v>
      </c>
      <c r="B789" s="216" t="s">
        <v>575</v>
      </c>
      <c r="C789" s="178" t="s">
        <v>84</v>
      </c>
      <c r="D789" s="178" t="s">
        <v>85</v>
      </c>
      <c r="E789" s="250">
        <v>2700</v>
      </c>
      <c r="F789" s="178">
        <v>2025</v>
      </c>
      <c r="G789" s="188"/>
      <c r="H789" s="178"/>
      <c r="I789" s="178"/>
      <c r="J789" s="178"/>
      <c r="K789" s="178"/>
      <c r="L789" s="178"/>
      <c r="M789" s="194"/>
      <c r="N789" s="178"/>
      <c r="O789" s="178"/>
      <c r="P789" s="188">
        <v>105569412</v>
      </c>
      <c r="Q789" s="211">
        <f>P789*E789</f>
        <v>285037412400</v>
      </c>
      <c r="R789" s="178"/>
      <c r="S789" s="178"/>
      <c r="T789" s="180"/>
      <c r="U789" s="189" t="str">
        <f>IFERROR(IF(Tableau3[[#This Row],[Dettes]]=0,"",(Tableau3[[#This Row],[Dettes]]/Tableau3[[#This Row],[EBE]])),"")</f>
        <v/>
      </c>
      <c r="V789" s="190" t="str">
        <f>IFERROR(Tableau3[[#This Row],[Fonds propres]]/Tableau3[[#This Row],[Total Bilan]],"")</f>
        <v/>
      </c>
      <c r="W789" s="180"/>
      <c r="Y789" s="180"/>
      <c r="Z789" s="192" t="str">
        <f>IFERROR(Tableau3[[#This Row],[Chiffre d''affaires]]/Tableau3[[#This Row],[Salariés]],"")</f>
        <v/>
      </c>
      <c r="AA789" s="177"/>
      <c r="AC789" s="177" t="s">
        <v>2141</v>
      </c>
    </row>
    <row r="790" spans="1:29" ht="20.25" customHeight="1">
      <c r="A790" s="217"/>
      <c r="E790" s="187"/>
      <c r="G790" s="188"/>
      <c r="H790" s="178"/>
      <c r="I790" s="178"/>
      <c r="J790" s="178"/>
      <c r="K790" s="178"/>
      <c r="L790" s="178"/>
      <c r="M790" s="194"/>
      <c r="N790" s="178"/>
      <c r="O790" s="178"/>
      <c r="P790" s="178"/>
      <c r="Q790" s="178"/>
      <c r="R790" s="178"/>
      <c r="S790" s="178"/>
      <c r="T790" s="180"/>
      <c r="U790" s="189" t="str">
        <f>IFERROR(IF(Tableau3[[#This Row],[Dettes]]=0,"",(Tableau3[[#This Row],[Dettes]]/Tableau3[[#This Row],[EBE]])),"")</f>
        <v/>
      </c>
      <c r="V790" s="190" t="str">
        <f>IFERROR(Tableau3[[#This Row],[Fonds propres]]/Tableau3[[#This Row],[Total Bilan]],"")</f>
        <v/>
      </c>
      <c r="W790" s="180"/>
      <c r="Y790" s="180"/>
      <c r="Z790" s="192" t="str">
        <f>IFERROR(Tableau3[[#This Row],[Chiffre d''affaires]]/Tableau3[[#This Row],[Salariés]],"")</f>
        <v/>
      </c>
      <c r="AA790" s="177"/>
      <c r="AC790" s="177" t="s">
        <v>2143</v>
      </c>
    </row>
    <row r="791" spans="1:29" ht="20.25" customHeight="1">
      <c r="A791" s="217"/>
      <c r="E791" s="250">
        <v>2322</v>
      </c>
      <c r="F791" s="178">
        <v>2024</v>
      </c>
      <c r="G791" s="188">
        <v>15170000000</v>
      </c>
      <c r="H791" s="178"/>
      <c r="I791" s="188">
        <v>6150000000</v>
      </c>
      <c r="J791" s="188">
        <v>4603000000</v>
      </c>
      <c r="K791" s="188">
        <v>-12039000000</v>
      </c>
      <c r="L791" s="188">
        <v>17327000000</v>
      </c>
      <c r="M791" s="194">
        <f>L791/P791</f>
        <v>164.12898084532287</v>
      </c>
      <c r="N791" s="190">
        <f>J791/L793</f>
        <v>0.30276919029138988</v>
      </c>
      <c r="O791" s="190">
        <f>(I791*0.7)/(K793+L793)</f>
        <v>1.0658578856152514</v>
      </c>
      <c r="P791" s="188">
        <v>105569412</v>
      </c>
      <c r="Q791" s="211">
        <f>P791*E791</f>
        <v>245132174664</v>
      </c>
      <c r="R791" s="195">
        <f>Q791/L791</f>
        <v>14.147410091995152</v>
      </c>
      <c r="S791" s="197" t="e">
        <f t="shared" ref="S791" si="58">(Q791+K791)/H791</f>
        <v>#DIV/0!</v>
      </c>
      <c r="T791" s="180">
        <v>3800000000</v>
      </c>
      <c r="U791" s="189" t="str">
        <f>IFERROR(IF(Tableau3[[#This Row],[Dettes]]=0,"",(Tableau3[[#This Row],[Dettes]]/Tableau3[[#This Row],[EBE]])),"")</f>
        <v/>
      </c>
      <c r="V791" s="190">
        <f>IFERROR(Tableau3[[#This Row],[Fonds propres]]/Tableau3[[#This Row],[Total Bilan]],"")</f>
        <v>0.75060648067925839</v>
      </c>
      <c r="W791" s="180">
        <v>23084000000</v>
      </c>
      <c r="Y791" s="180">
        <v>25185</v>
      </c>
      <c r="Z791" s="192">
        <f>IFERROR(Tableau3[[#This Row],[Chiffre d''affaires]]/Tableau3[[#This Row],[Salariés]],"")</f>
        <v>602342.66428429622</v>
      </c>
      <c r="AA791" s="177"/>
      <c r="AC791" s="177" t="s">
        <v>2144</v>
      </c>
    </row>
    <row r="792" spans="1:29" ht="20.25" customHeight="1">
      <c r="A792" s="217"/>
      <c r="E792" s="250"/>
      <c r="G792" s="202">
        <f>(G791/G793)-1</f>
        <v>0.12981306323080366</v>
      </c>
      <c r="H792" s="202">
        <f>(H791/H793)-1</f>
        <v>-1</v>
      </c>
      <c r="I792" s="203">
        <f>(I791/I793)-1</f>
        <v>8.8688263409453016E-2</v>
      </c>
      <c r="J792" s="203">
        <f>(J791/J793)-1</f>
        <v>6.773370447691951E-2</v>
      </c>
      <c r="K792" s="178"/>
      <c r="L792" s="178"/>
      <c r="M792" s="194"/>
      <c r="N792" s="178"/>
      <c r="O792" s="178"/>
      <c r="P792" s="178"/>
      <c r="Q792" s="178"/>
      <c r="R792" s="178"/>
      <c r="S792" s="178"/>
      <c r="T792" s="180"/>
      <c r="U792" s="189" t="str">
        <f>IFERROR(IF(Tableau3[[#This Row],[Dettes]]=0,"",(Tableau3[[#This Row],[Dettes]]/Tableau3[[#This Row],[EBE]])),"")</f>
        <v/>
      </c>
      <c r="V792" s="190" t="str">
        <f>IFERROR(Tableau3[[#This Row],[Fonds propres]]/Tableau3[[#This Row],[Total Bilan]],"")</f>
        <v/>
      </c>
      <c r="W792" s="180"/>
      <c r="Y792" s="180"/>
      <c r="Z792" s="192" t="str">
        <f>IFERROR(Tableau3[[#This Row],[Chiffre d''affaires]]/Tableau3[[#This Row],[Salariés]],"")</f>
        <v/>
      </c>
      <c r="AA792" s="177"/>
      <c r="AC792" s="177" t="s">
        <v>2147</v>
      </c>
    </row>
    <row r="793" spans="1:29" ht="20.25" customHeight="1">
      <c r="A793" s="217"/>
      <c r="E793" s="250">
        <v>1918.8</v>
      </c>
      <c r="F793" s="178">
        <v>2023</v>
      </c>
      <c r="G793" s="188">
        <v>13427000000</v>
      </c>
      <c r="H793" s="188">
        <v>6421000000</v>
      </c>
      <c r="I793" s="188">
        <v>5649000000</v>
      </c>
      <c r="J793" s="188">
        <v>4311000000</v>
      </c>
      <c r="K793" s="188">
        <v>-11164000000</v>
      </c>
      <c r="L793" s="188">
        <v>15203000000</v>
      </c>
      <c r="M793" s="194">
        <f>L793/P793</f>
        <v>144.00951669599144</v>
      </c>
      <c r="N793" s="190">
        <f>J793/L795</f>
        <v>0.34651555341210516</v>
      </c>
      <c r="O793" s="190">
        <f>(I793*0.7)/(K795+L795)</f>
        <v>1.4650981845127824</v>
      </c>
      <c r="P793" s="188">
        <v>105569412</v>
      </c>
      <c r="Q793" s="211">
        <f>P793*E793</f>
        <v>202566587745.60001</v>
      </c>
      <c r="R793" s="195">
        <f>Q793/L793</f>
        <v>13.324119433374992</v>
      </c>
      <c r="S793" s="197">
        <f t="shared" ref="S793" si="59">(Q793+K793)/H793</f>
        <v>29.808844065659557</v>
      </c>
      <c r="T793" s="180">
        <v>3220000000</v>
      </c>
      <c r="U793" s="189">
        <f>IFERROR(IF(Tableau3[[#This Row],[Dettes]]=0,"",(Tableau3[[#This Row],[Dettes]]/Tableau3[[#This Row],[EBE]])),"")</f>
        <v>-1.7386699890982713</v>
      </c>
      <c r="V793" s="190">
        <f>IFERROR(Tableau3[[#This Row],[Fonds propres]]/Tableau3[[#This Row],[Total Bilan]],"")</f>
        <v>0.74353205849268844</v>
      </c>
      <c r="W793" s="180">
        <v>20447000000</v>
      </c>
      <c r="Y793" s="180">
        <v>22040</v>
      </c>
      <c r="Z793" s="192">
        <f>IFERROR(Tableau3[[#This Row],[Chiffre d''affaires]]/Tableau3[[#This Row],[Salariés]],"")</f>
        <v>609210.52631578944</v>
      </c>
      <c r="AA793" s="177"/>
      <c r="AC793" s="177" t="s">
        <v>4823</v>
      </c>
    </row>
    <row r="794" spans="1:29" ht="20.25" customHeight="1">
      <c r="A794" s="217"/>
      <c r="E794" s="250"/>
      <c r="G794" s="202">
        <f>(G793/G795)-1</f>
        <v>0.15730046543699361</v>
      </c>
      <c r="H794" s="202">
        <f>(H793/H795)-1</f>
        <v>0.18315828266077028</v>
      </c>
      <c r="I794" s="203">
        <f>(I793/I795)-1</f>
        <v>0.20268256333830115</v>
      </c>
      <c r="J794" s="203">
        <f>(J793/J795)-1</f>
        <v>0.28036828036828032</v>
      </c>
      <c r="K794" s="188"/>
      <c r="L794" s="188"/>
      <c r="M794" s="194"/>
      <c r="N794" s="178"/>
      <c r="O794" s="178"/>
      <c r="P794" s="178"/>
      <c r="Q794" s="178"/>
      <c r="R794" s="178"/>
      <c r="S794" s="178"/>
      <c r="T794" s="180"/>
      <c r="U794" s="189" t="str">
        <f>IFERROR(IF(Tableau3[[#This Row],[Dettes]]=0,"",(Tableau3[[#This Row],[Dettes]]/Tableau3[[#This Row],[EBE]])),"")</f>
        <v/>
      </c>
      <c r="V794" s="190" t="str">
        <f>IFERROR(Tableau3[[#This Row],[Fonds propres]]/Tableau3[[#This Row],[Total Bilan]],"")</f>
        <v/>
      </c>
      <c r="W794" s="180"/>
      <c r="Y794" s="180"/>
      <c r="Z794" s="192" t="str">
        <f>IFERROR(Tableau3[[#This Row],[Chiffre d''affaires]]/Tableau3[[#This Row],[Salariés]],"")</f>
        <v/>
      </c>
      <c r="AA794" s="177"/>
      <c r="AC794" s="177" t="s">
        <v>2145</v>
      </c>
    </row>
    <row r="795" spans="1:29" ht="20.25" customHeight="1">
      <c r="A795" s="217"/>
      <c r="E795" s="250">
        <v>1445.6</v>
      </c>
      <c r="F795" s="178">
        <v>2022</v>
      </c>
      <c r="G795" s="188">
        <v>11602000000</v>
      </c>
      <c r="H795" s="188">
        <v>5427000000</v>
      </c>
      <c r="I795" s="188">
        <v>4697000000</v>
      </c>
      <c r="J795" s="188">
        <v>3367000000</v>
      </c>
      <c r="K795" s="188">
        <v>-9742000000</v>
      </c>
      <c r="L795" s="188">
        <v>12441000000</v>
      </c>
      <c r="M795" s="194">
        <f>L795/P795</f>
        <v>117.84663534926196</v>
      </c>
      <c r="N795" s="190">
        <f>J795/L797</f>
        <v>0.35815338793745344</v>
      </c>
      <c r="O795" s="190">
        <f>(I795*0.7)/(K797+L797)</f>
        <v>1.4105105105105105</v>
      </c>
      <c r="P795" s="188">
        <v>105569412</v>
      </c>
      <c r="Q795" s="211">
        <f>P795*E795</f>
        <v>152611141987.19998</v>
      </c>
      <c r="R795" s="195">
        <f>Q795/L795</f>
        <v>12.266790610658306</v>
      </c>
      <c r="S795" s="197">
        <f>(Q795+K795)/H795</f>
        <v>26.325620414077758</v>
      </c>
      <c r="T795" s="180">
        <v>3404000000</v>
      </c>
      <c r="U795" s="189">
        <f>IFERROR(IF(Tableau3[[#This Row],[Dettes]]=0,"",(Tableau3[[#This Row],[Dettes]]/Tableau3[[#This Row],[EBE]])),"")</f>
        <v>-1.795098581168233</v>
      </c>
      <c r="V795" s="190">
        <f>IFERROR(Tableau3[[#This Row],[Fonds propres]]/Tableau3[[#This Row],[Total Bilan]],"")</f>
        <v>0.71258376768428888</v>
      </c>
      <c r="W795" s="180">
        <v>17459000000</v>
      </c>
      <c r="Y795" s="180">
        <v>19686</v>
      </c>
      <c r="Z795" s="192">
        <f>IFERROR(Tableau3[[#This Row],[Chiffre d''affaires]]/Tableau3[[#This Row],[Salariés]],"")</f>
        <v>589352.83958142844</v>
      </c>
      <c r="AA795" s="177"/>
      <c r="AC795" s="177" t="s">
        <v>4819</v>
      </c>
    </row>
    <row r="796" spans="1:29" ht="20.25" customHeight="1">
      <c r="A796" s="217"/>
      <c r="E796" s="250"/>
      <c r="G796" s="202">
        <f>(G795/G797)-1</f>
        <v>0.30359550561797755</v>
      </c>
      <c r="H796" s="202">
        <f>(H795/H797)-1</f>
        <v>0.34665012406947882</v>
      </c>
      <c r="I796" s="203">
        <f>(I795/I797)-1</f>
        <v>0.35477357946351318</v>
      </c>
      <c r="J796" s="203">
        <f>(J795/J797)-1</f>
        <v>0.37709611451942737</v>
      </c>
      <c r="K796" s="188"/>
      <c r="L796" s="188"/>
      <c r="M796" s="194"/>
      <c r="N796" s="178"/>
      <c r="O796" s="178"/>
      <c r="P796" s="178"/>
      <c r="Q796" s="178"/>
      <c r="R796" s="178"/>
      <c r="S796" s="178"/>
      <c r="T796" s="180"/>
      <c r="U796" s="189" t="str">
        <f>IFERROR(IF(Tableau3[[#This Row],[Dettes]]=0,"",(Tableau3[[#This Row],[Dettes]]/Tableau3[[#This Row],[EBE]])),"")</f>
        <v/>
      </c>
      <c r="V796" s="190" t="str">
        <f>IFERROR(Tableau3[[#This Row],[Fonds propres]]/Tableau3[[#This Row],[Total Bilan]],"")</f>
        <v/>
      </c>
      <c r="W796" s="180"/>
      <c r="Y796" s="180"/>
      <c r="Z796" s="192" t="str">
        <f>IFERROR(Tableau3[[#This Row],[Chiffre d''affaires]]/Tableau3[[#This Row],[Salariés]],"")</f>
        <v/>
      </c>
      <c r="AA796" s="177"/>
      <c r="AC796" s="177" t="s">
        <v>4821</v>
      </c>
    </row>
    <row r="797" spans="1:29" ht="20.25" customHeight="1">
      <c r="A797" s="217"/>
      <c r="E797" s="250">
        <v>1536</v>
      </c>
      <c r="F797" s="178">
        <v>2021</v>
      </c>
      <c r="G797" s="188">
        <v>8900000000</v>
      </c>
      <c r="H797" s="188">
        <v>4030000000</v>
      </c>
      <c r="I797" s="188">
        <v>3467000000</v>
      </c>
      <c r="J797" s="188">
        <v>2445000000</v>
      </c>
      <c r="K797" s="188">
        <v>-7070000000</v>
      </c>
      <c r="L797" s="188">
        <v>9401000000</v>
      </c>
      <c r="M797" s="194">
        <f>L797/P797</f>
        <v>89.050415474512633</v>
      </c>
      <c r="N797" s="190">
        <f>J797/L799</f>
        <v>0.37225377201930543</v>
      </c>
      <c r="O797" s="190">
        <f>(I797*0.7)/(K799+L799)</f>
        <v>1.1050953963844998</v>
      </c>
      <c r="P797" s="188">
        <v>105569412</v>
      </c>
      <c r="Q797" s="188">
        <f>P797*E797</f>
        <v>162154616832</v>
      </c>
      <c r="R797" s="195">
        <f>Q797/L797</f>
        <v>17.248656188916073</v>
      </c>
      <c r="S797" s="197">
        <f t="shared" ref="S797" si="60">(Q797+K797)/H797</f>
        <v>38.482535194044665</v>
      </c>
      <c r="T797" s="180">
        <v>2661000000</v>
      </c>
      <c r="U797" s="189">
        <f>IFERROR(IF(Tableau3[[#This Row],[Dettes]]=0,"",(Tableau3[[#This Row],[Dettes]]/Tableau3[[#This Row],[EBE]])),"")</f>
        <v>-1.7543424317617866</v>
      </c>
      <c r="V797" s="190">
        <f>IFERROR(Tableau3[[#This Row],[Fonds propres]]/Tableau3[[#This Row],[Total Bilan]],"")</f>
        <v>0.67891962157868135</v>
      </c>
      <c r="W797" s="180">
        <v>13847000000</v>
      </c>
      <c r="Y797" s="180">
        <v>17595</v>
      </c>
      <c r="Z797" s="192">
        <f>IFERROR(Tableau3[[#This Row],[Chiffre d''affaires]]/Tableau3[[#This Row],[Salariés]],"")</f>
        <v>505825.51861324237</v>
      </c>
      <c r="AA797" s="177"/>
      <c r="AC797" s="177" t="s">
        <v>4820</v>
      </c>
    </row>
    <row r="798" spans="1:29" ht="20.25" customHeight="1">
      <c r="A798" s="217"/>
      <c r="E798" s="250"/>
      <c r="G798" s="202">
        <f>(G797/G799)-1</f>
        <v>0.4366285395137417</v>
      </c>
      <c r="H798" s="202">
        <f>(H797/H799)-1</f>
        <v>0.5909988156336361</v>
      </c>
      <c r="I798" s="203">
        <f>(I797/I799)-1</f>
        <v>0.48232074907007561</v>
      </c>
      <c r="J798" s="203">
        <f>(J797/J799)-1</f>
        <v>0.59992147624656456</v>
      </c>
      <c r="K798" s="178"/>
      <c r="L798" s="178"/>
      <c r="M798" s="194"/>
      <c r="N798" s="178"/>
      <c r="O798" s="178"/>
      <c r="P798" s="178"/>
      <c r="Q798" s="178"/>
      <c r="R798" s="178"/>
      <c r="S798" s="178"/>
      <c r="T798" s="180"/>
      <c r="U798" s="189" t="str">
        <f>IFERROR(IF(Tableau3[[#This Row],[Dettes]]=0,"",(Tableau3[[#This Row],[Dettes]]/Tableau3[[#This Row],[EBE]])),"")</f>
        <v/>
      </c>
      <c r="V798" s="190" t="str">
        <f>IFERROR(Tableau3[[#This Row],[Fonds propres]]/Tableau3[[#This Row],[Total Bilan]],"")</f>
        <v/>
      </c>
      <c r="W798" s="180"/>
      <c r="Y798" s="180"/>
      <c r="Z798" s="192" t="str">
        <f>IFERROR(Tableau3[[#This Row],[Chiffre d''affaires]]/Tableau3[[#This Row],[Salariés]],"")</f>
        <v/>
      </c>
      <c r="AA798" s="177"/>
      <c r="AC798" s="177" t="s">
        <v>4822</v>
      </c>
    </row>
    <row r="799" spans="1:29" ht="20.25" customHeight="1">
      <c r="A799" s="217"/>
      <c r="E799" s="250">
        <v>879.6</v>
      </c>
      <c r="F799" s="178">
        <v>2020</v>
      </c>
      <c r="G799" s="188">
        <f>G801*0.9</f>
        <v>6195060000</v>
      </c>
      <c r="H799" s="188">
        <v>2533000000</v>
      </c>
      <c r="I799" s="188">
        <v>2338900000</v>
      </c>
      <c r="J799" s="188">
        <v>1528200000</v>
      </c>
      <c r="K799" s="188">
        <v>-4372000000</v>
      </c>
      <c r="L799" s="188">
        <v>6568100000</v>
      </c>
      <c r="M799" s="194">
        <f>L799/P799</f>
        <v>62.215938078730609</v>
      </c>
      <c r="N799" s="190">
        <f>J799/L801</f>
        <v>0.23267002633942846</v>
      </c>
      <c r="O799" s="190">
        <f>(I799*0.7)/(K801+L801)</f>
        <v>0.74551705295751558</v>
      </c>
      <c r="P799" s="188">
        <v>105569412</v>
      </c>
      <c r="Q799" s="188">
        <f>P799*E799</f>
        <v>92858854795.199997</v>
      </c>
      <c r="R799" s="195">
        <f>Q799/L799</f>
        <v>14.13785642654649</v>
      </c>
      <c r="S799" s="197">
        <f t="shared" ref="S799" si="61">(Q799+K799)/H799</f>
        <v>34.933618158389258</v>
      </c>
      <c r="T799" s="180"/>
      <c r="U799" s="189">
        <f>IFERROR(IF(Tableau3[[#This Row],[Dettes]]=0,"",(Tableau3[[#This Row],[Dettes]]/Tableau3[[#This Row],[EBE]])),"")</f>
        <v>-1.726016581129096</v>
      </c>
      <c r="V799" s="190">
        <f>IFERROR(Tableau3[[#This Row],[Fonds propres]]/Tableau3[[#This Row],[Total Bilan]],"")</f>
        <v>0.5943444032214279</v>
      </c>
      <c r="W799" s="180">
        <v>11051000000</v>
      </c>
      <c r="X799" s="191"/>
      <c r="Y799" s="180">
        <v>16600</v>
      </c>
      <c r="Z799" s="192">
        <f>IFERROR(Tableau3[[#This Row],[Chiffre d''affaires]]/Tableau3[[#This Row],[Salariés]],"")</f>
        <v>373196.38554216869</v>
      </c>
      <c r="AA799" s="197"/>
      <c r="AB799" s="197"/>
      <c r="AC799" s="177" t="s">
        <v>2146</v>
      </c>
    </row>
    <row r="800" spans="1:29" ht="20.25" customHeight="1">
      <c r="A800" s="217"/>
      <c r="E800" s="250"/>
      <c r="G800" s="202">
        <f>(G799/G801)-1</f>
        <v>-9.9999999999999978E-2</v>
      </c>
      <c r="H800" s="202">
        <f>(H799/H801)-1</f>
        <v>-7.6221735959153936E-2</v>
      </c>
      <c r="I800" s="203">
        <f>(I799/I801)-1</f>
        <v>0</v>
      </c>
      <c r="J800" s="203">
        <f>(J799/J801)-1</f>
        <v>0</v>
      </c>
      <c r="K800" s="178"/>
      <c r="L800" s="178"/>
      <c r="M800" s="194"/>
      <c r="N800" s="178"/>
      <c r="O800" s="178"/>
      <c r="P800" s="178"/>
      <c r="Q800" s="178"/>
      <c r="R800" s="178"/>
      <c r="S800" s="178"/>
      <c r="T800" s="180"/>
      <c r="U800" s="189" t="str">
        <f>IFERROR(IF(Tableau3[[#This Row],[Dettes]]=0,"",(Tableau3[[#This Row],[Dettes]]/Tableau3[[#This Row],[EBE]])),"")</f>
        <v/>
      </c>
      <c r="V800" s="190" t="str">
        <f>IFERROR(Tableau3[[#This Row],[Fonds propres]]/Tableau3[[#This Row],[Total Bilan]],"")</f>
        <v/>
      </c>
      <c r="W800" s="180"/>
      <c r="Y800" s="180"/>
      <c r="Z800" s="192" t="str">
        <f>IFERROR(Tableau3[[#This Row],[Chiffre d''affaires]]/Tableau3[[#This Row],[Salariés]],"")</f>
        <v/>
      </c>
      <c r="AA800" s="177"/>
      <c r="AC800" s="177" t="s">
        <v>2148</v>
      </c>
    </row>
    <row r="801" spans="1:29" ht="20.25" customHeight="1">
      <c r="A801" s="217"/>
      <c r="E801" s="250">
        <v>677.2</v>
      </c>
      <c r="F801" s="178">
        <v>2019</v>
      </c>
      <c r="G801" s="188">
        <v>6883400000</v>
      </c>
      <c r="H801" s="188">
        <v>2742000000</v>
      </c>
      <c r="I801" s="188">
        <v>2338900000</v>
      </c>
      <c r="J801" s="188">
        <v>1528200000</v>
      </c>
      <c r="K801" s="188">
        <v>-4372000000</v>
      </c>
      <c r="L801" s="188">
        <v>6568100000</v>
      </c>
      <c r="M801" s="194">
        <f>L801/P801</f>
        <v>62.215938078730609</v>
      </c>
      <c r="N801" s="190">
        <f>J801/L803</f>
        <v>0.27938864309481148</v>
      </c>
      <c r="O801" s="190">
        <f>(I801*0.7)/(K803+L803)</f>
        <v>0.81665502793296085</v>
      </c>
      <c r="P801" s="188">
        <v>105569412</v>
      </c>
      <c r="Q801" s="188">
        <f>P801*E801</f>
        <v>71491605806.400009</v>
      </c>
      <c r="R801" s="195">
        <f>Q801/L801</f>
        <v>10.884670727668581</v>
      </c>
      <c r="S801" s="197">
        <f t="shared" ref="S801" si="62">(Q801+K801)/H801</f>
        <v>24.47833909788476</v>
      </c>
      <c r="T801" s="180"/>
      <c r="U801" s="189">
        <f>IFERROR(IF(Tableau3[[#This Row],[Dettes]]=0,"",(Tableau3[[#This Row],[Dettes]]/Tableau3[[#This Row],[EBE]])),"")</f>
        <v>-1.5944566010211525</v>
      </c>
      <c r="V801" s="190">
        <f>IFERROR(Tableau3[[#This Row],[Fonds propres]]/Tableau3[[#This Row],[Total Bilan]],"")</f>
        <v>0.66472017002327699</v>
      </c>
      <c r="W801" s="180">
        <v>9881000000</v>
      </c>
      <c r="X801" s="191"/>
      <c r="Y801" s="180">
        <v>15417</v>
      </c>
      <c r="Z801" s="192">
        <f>IFERROR(Tableau3[[#This Row],[Chiffre d''affaires]]/Tableau3[[#This Row],[Salariés]],"")</f>
        <v>446481.15716416942</v>
      </c>
      <c r="AA801" s="197"/>
      <c r="AB801" s="197"/>
      <c r="AC801" s="177" t="s">
        <v>191</v>
      </c>
    </row>
    <row r="802" spans="1:29" ht="20.25" customHeight="1">
      <c r="A802" s="217"/>
      <c r="E802" s="250"/>
      <c r="G802" s="202">
        <f>(G801/G803)-1</f>
        <v>0.15375203231591827</v>
      </c>
      <c r="H802" s="202">
        <f>(H801/H803)-1</f>
        <v>9.767814251401119E-2</v>
      </c>
      <c r="I802" s="203">
        <f>(I801/I803)-1</f>
        <v>0.12701778056184643</v>
      </c>
      <c r="J802" s="203">
        <f>(J801/J803)-1</f>
        <v>8.7299893276414187E-2</v>
      </c>
      <c r="K802" s="188"/>
      <c r="L802" s="188"/>
      <c r="M802" s="194"/>
      <c r="N802" s="178"/>
      <c r="O802" s="178"/>
      <c r="P802" s="178"/>
      <c r="Q802" s="178"/>
      <c r="R802" s="178"/>
      <c r="S802" s="178"/>
      <c r="T802" s="180"/>
      <c r="U802" s="189" t="str">
        <f>IFERROR(IF(Tableau3[[#This Row],[Dettes]]=0,"",(Tableau3[[#This Row],[Dettes]]/Tableau3[[#This Row],[EBE]])),"")</f>
        <v/>
      </c>
      <c r="V802" s="190" t="str">
        <f>IFERROR(Tableau3[[#This Row],[Fonds propres]]/Tableau3[[#This Row],[Total Bilan]],"")</f>
        <v/>
      </c>
      <c r="W802" s="180"/>
      <c r="Y802" s="180"/>
      <c r="Z802" s="192" t="str">
        <f>IFERROR(Tableau3[[#This Row],[Chiffre d''affaires]]/Tableau3[[#This Row],[Salariés]],"")</f>
        <v/>
      </c>
      <c r="AA802" s="177"/>
      <c r="AC802" s="177" t="s">
        <v>3046</v>
      </c>
    </row>
    <row r="803" spans="1:29" ht="20.25" customHeight="1">
      <c r="A803" s="217"/>
      <c r="E803" s="250">
        <v>471.4</v>
      </c>
      <c r="F803" s="178">
        <v>2018</v>
      </c>
      <c r="G803" s="188">
        <v>5966100000</v>
      </c>
      <c r="H803" s="188">
        <v>2498000000</v>
      </c>
      <c r="I803" s="188">
        <v>2075300000</v>
      </c>
      <c r="J803" s="188">
        <v>1405500000</v>
      </c>
      <c r="K803" s="188">
        <v>-3465000000</v>
      </c>
      <c r="L803" s="188">
        <v>5469800000</v>
      </c>
      <c r="M803" s="194">
        <f>L803/P803</f>
        <v>51.812356404902587</v>
      </c>
      <c r="N803" s="190">
        <f>J803/L803</f>
        <v>0.2569563786610114</v>
      </c>
      <c r="O803" s="190">
        <f>(I803*0.7)/(K803+L803)</f>
        <v>0.7246159217877095</v>
      </c>
      <c r="P803" s="188">
        <v>105569412</v>
      </c>
      <c r="Q803" s="188">
        <f>P803*E803</f>
        <v>49765420816.799995</v>
      </c>
      <c r="R803" s="195">
        <f>Q803/L803</f>
        <v>9.0982158062086356</v>
      </c>
      <c r="S803" s="197">
        <f t="shared" ref="S803" si="63">(Q803+K803)/H803</f>
        <v>18.534996323779023</v>
      </c>
      <c r="T803" s="180"/>
      <c r="U803" s="189">
        <f>IFERROR(IF(Tableau3[[#This Row],[Dettes]]=0,"",(Tableau3[[#This Row],[Dettes]]/Tableau3[[#This Row],[EBE]])),"")</f>
        <v>-1.3871096877502003</v>
      </c>
      <c r="V803" s="190">
        <f>IFERROR(Tableau3[[#This Row],[Fonds propres]]/Tableau3[[#This Row],[Total Bilan]],"")</f>
        <v>0.64716043539990531</v>
      </c>
      <c r="W803" s="180">
        <v>8452000000</v>
      </c>
      <c r="X803" s="191"/>
      <c r="Y803" s="180">
        <v>14284</v>
      </c>
      <c r="Z803" s="192">
        <f>IFERROR(Tableau3[[#This Row],[Chiffre d''affaires]]/Tableau3[[#This Row],[Salariés]],"")</f>
        <v>417677.12125455053</v>
      </c>
      <c r="AA803" s="197"/>
      <c r="AB803" s="197"/>
      <c r="AC803" s="177" t="s">
        <v>4824</v>
      </c>
    </row>
    <row r="804" spans="1:29" ht="20.25" customHeight="1">
      <c r="A804" s="217"/>
      <c r="E804" s="250"/>
      <c r="G804" s="188"/>
      <c r="H804" s="178"/>
      <c r="I804" s="178"/>
      <c r="J804" s="178"/>
      <c r="K804" s="178"/>
      <c r="L804" s="178"/>
      <c r="M804" s="194"/>
      <c r="N804" s="178"/>
      <c r="O804" s="178"/>
      <c r="P804" s="178"/>
      <c r="Q804" s="178"/>
      <c r="R804" s="178"/>
      <c r="S804" s="178"/>
      <c r="T804" s="180"/>
      <c r="U804" s="189" t="str">
        <f>IFERROR(IF(Tableau3[[#This Row],[Dettes]]=0,"",(Tableau3[[#This Row],[Dettes]]/Tableau3[[#This Row],[EBE]])),"")</f>
        <v/>
      </c>
      <c r="V804" s="190" t="str">
        <f>IFERROR(Tableau3[[#This Row],[Fonds propres]]/Tableau3[[#This Row],[Total Bilan]],"")</f>
        <v/>
      </c>
      <c r="W804" s="180"/>
      <c r="Y804" s="180"/>
      <c r="Z804" s="192" t="str">
        <f>IFERROR(Tableau3[[#This Row],[Chiffre d''affaires]]/Tableau3[[#This Row],[Salariés]],"")</f>
        <v/>
      </c>
      <c r="AA804" s="177"/>
    </row>
    <row r="805" spans="1:29" ht="20.25" customHeight="1">
      <c r="A805" s="217"/>
      <c r="E805" s="250">
        <v>445</v>
      </c>
      <c r="F805" s="178">
        <v>2017</v>
      </c>
      <c r="G805" s="188"/>
      <c r="H805" s="178"/>
      <c r="I805" s="178"/>
      <c r="J805" s="178"/>
      <c r="K805" s="178"/>
      <c r="L805" s="178"/>
      <c r="M805" s="194">
        <f>L805/P805</f>
        <v>0</v>
      </c>
      <c r="N805" s="190"/>
      <c r="O805" s="190"/>
      <c r="P805" s="188">
        <v>105569412</v>
      </c>
      <c r="Q805" s="188">
        <f>P805*E805</f>
        <v>46978388340</v>
      </c>
      <c r="R805" s="195"/>
      <c r="S805" s="197" t="e">
        <f t="shared" ref="S805" si="64">(Q805+K805)/H805</f>
        <v>#DIV/0!</v>
      </c>
      <c r="T805" s="180"/>
      <c r="U805" s="189" t="str">
        <f>IFERROR(IF(Tableau3[[#This Row],[Dettes]]=0,"",(Tableau3[[#This Row],[Dettes]]/Tableau3[[#This Row],[EBE]])),"")</f>
        <v/>
      </c>
      <c r="V805" s="190">
        <f>IFERROR(Tableau3[[#This Row],[Fonds propres]]/Tableau3[[#This Row],[Total Bilan]],"")</f>
        <v>0</v>
      </c>
      <c r="W805" s="180">
        <v>7686000000</v>
      </c>
      <c r="X805" s="191"/>
      <c r="Y805" s="180">
        <v>13483</v>
      </c>
      <c r="Z805" s="192">
        <f>IFERROR(Tableau3[[#This Row],[Chiffre d''affaires]]/Tableau3[[#This Row],[Salariés]],"")</f>
        <v>0</v>
      </c>
      <c r="AA805" s="197"/>
      <c r="AB805" s="197"/>
    </row>
    <row r="806" spans="1:29" ht="20.25" customHeight="1">
      <c r="A806" s="217"/>
      <c r="E806" s="250"/>
      <c r="G806" s="188"/>
      <c r="H806" s="178"/>
      <c r="I806" s="178"/>
      <c r="J806" s="178"/>
      <c r="K806" s="178"/>
      <c r="L806" s="178"/>
      <c r="M806" s="194"/>
      <c r="N806" s="178"/>
      <c r="O806" s="178"/>
      <c r="P806" s="178"/>
      <c r="Q806" s="178"/>
      <c r="R806" s="178"/>
      <c r="S806" s="178"/>
      <c r="T806" s="180"/>
      <c r="U806" s="189" t="str">
        <f>IFERROR(IF(Tableau3[[#This Row],[Dettes]]=0,"",(Tableau3[[#This Row],[Dettes]]/Tableau3[[#This Row],[EBE]])),"")</f>
        <v/>
      </c>
      <c r="V806" s="190" t="str">
        <f>IFERROR(Tableau3[[#This Row],[Fonds propres]]/Tableau3[[#This Row],[Total Bilan]],"")</f>
        <v/>
      </c>
      <c r="W806" s="180"/>
      <c r="Y806" s="180"/>
      <c r="Z806" s="192" t="str">
        <f>IFERROR(Tableau3[[#This Row],[Chiffre d''affaires]]/Tableau3[[#This Row],[Salariés]],"")</f>
        <v/>
      </c>
      <c r="AA806" s="177"/>
    </row>
    <row r="807" spans="1:29" ht="20.25" customHeight="1">
      <c r="A807" s="217"/>
      <c r="E807" s="250">
        <v>390.6</v>
      </c>
      <c r="F807" s="178">
        <v>2016</v>
      </c>
      <c r="G807" s="188"/>
      <c r="H807" s="178"/>
      <c r="I807" s="178"/>
      <c r="J807" s="178"/>
      <c r="K807" s="178"/>
      <c r="L807" s="178"/>
      <c r="M807" s="194">
        <f>L807/P807</f>
        <v>0</v>
      </c>
      <c r="N807" s="190"/>
      <c r="O807" s="190"/>
      <c r="P807" s="188">
        <v>105569412</v>
      </c>
      <c r="Q807" s="188">
        <f>P807*E807</f>
        <v>41235412327.200005</v>
      </c>
      <c r="R807" s="195"/>
      <c r="S807" s="197" t="e">
        <f t="shared" ref="S807" si="65">(Q807+K807)/H807</f>
        <v>#DIV/0!</v>
      </c>
      <c r="T807" s="180"/>
      <c r="U807" s="189" t="str">
        <f>IFERROR(IF(Tableau3[[#This Row],[Dettes]]=0,"",(Tableau3[[#This Row],[Dettes]]/Tableau3[[#This Row],[EBE]])),"")</f>
        <v/>
      </c>
      <c r="V807" s="190" t="str">
        <f>IFERROR(Tableau3[[#This Row],[Fonds propres]]/Tableau3[[#This Row],[Total Bilan]],"")</f>
        <v/>
      </c>
      <c r="W807" s="180"/>
      <c r="X807" s="191"/>
      <c r="Y807" s="180">
        <v>12834</v>
      </c>
      <c r="Z807" s="192">
        <f>IFERROR(Tableau3[[#This Row],[Chiffre d''affaires]]/Tableau3[[#This Row],[Salariés]],"")</f>
        <v>0</v>
      </c>
      <c r="AA807" s="197"/>
      <c r="AB807" s="197"/>
    </row>
    <row r="808" spans="1:29" ht="20.25" customHeight="1">
      <c r="A808" s="217"/>
      <c r="E808" s="187"/>
      <c r="G808" s="188"/>
      <c r="H808" s="178"/>
      <c r="I808" s="178"/>
      <c r="J808" s="178"/>
      <c r="K808" s="178"/>
      <c r="L808" s="178"/>
      <c r="M808" s="194"/>
      <c r="N808" s="190"/>
      <c r="O808" s="190"/>
      <c r="P808" s="188"/>
      <c r="Q808" s="188"/>
      <c r="R808" s="195"/>
      <c r="S808" s="178"/>
      <c r="T808" s="180"/>
      <c r="U808" s="189" t="str">
        <f>IFERROR(IF(Tableau3[[#This Row],[Dettes]]=0,"",(Tableau3[[#This Row],[Dettes]]/Tableau3[[#This Row],[EBE]])),"")</f>
        <v/>
      </c>
      <c r="V808" s="190" t="str">
        <f>IFERROR(Tableau3[[#This Row],[Fonds propres]]/Tableau3[[#This Row],[Total Bilan]],"")</f>
        <v/>
      </c>
      <c r="W808" s="180"/>
      <c r="X808" s="191"/>
      <c r="Y808" s="180"/>
      <c r="Z808" s="192" t="str">
        <f>IFERROR(Tableau3[[#This Row],[Chiffre d''affaires]]/Tableau3[[#This Row],[Salariés]],"")</f>
        <v/>
      </c>
      <c r="AA808" s="197"/>
      <c r="AB808" s="197"/>
    </row>
    <row r="809" spans="1:29" ht="20.25" customHeight="1">
      <c r="A809" s="217"/>
      <c r="E809" s="187"/>
      <c r="G809" s="188"/>
      <c r="H809" s="178"/>
      <c r="I809" s="178"/>
      <c r="J809" s="178"/>
      <c r="K809" s="178"/>
      <c r="L809" s="178"/>
      <c r="M809" s="194"/>
      <c r="N809" s="190"/>
      <c r="O809" s="190"/>
      <c r="P809" s="188"/>
      <c r="Q809" s="188"/>
      <c r="R809" s="195"/>
      <c r="S809" s="197"/>
      <c r="T809" s="180"/>
      <c r="U809" s="189" t="str">
        <f>IFERROR(IF(Tableau3[[#This Row],[Dettes]]=0,"",(Tableau3[[#This Row],[Dettes]]/Tableau3[[#This Row],[EBE]])),"")</f>
        <v/>
      </c>
      <c r="V809" s="190" t="str">
        <f>IFERROR(Tableau3[[#This Row],[Fonds propres]]/Tableau3[[#This Row],[Total Bilan]],"")</f>
        <v/>
      </c>
      <c r="W809" s="180"/>
      <c r="X809" s="191"/>
      <c r="Y809" s="180"/>
      <c r="Z809" s="192" t="str">
        <f>IFERROR(Tableau3[[#This Row],[Chiffre d''affaires]]/Tableau3[[#This Row],[Salariés]],"")</f>
        <v/>
      </c>
      <c r="AA809" s="197"/>
      <c r="AB809" s="197"/>
    </row>
    <row r="810" spans="1:29" ht="20.25" customHeight="1">
      <c r="A810" s="217"/>
      <c r="B810" s="217"/>
      <c r="E810" s="187"/>
      <c r="G810" s="188"/>
      <c r="H810" s="178"/>
      <c r="I810" s="178"/>
      <c r="J810" s="178"/>
      <c r="K810" s="178"/>
      <c r="L810" s="178"/>
      <c r="M810" s="194"/>
      <c r="N810" s="178"/>
      <c r="O810" s="178"/>
      <c r="P810" s="178"/>
      <c r="Q810" s="178"/>
      <c r="R810" s="178"/>
      <c r="S810" s="178"/>
      <c r="T810" s="180"/>
      <c r="U810" s="189" t="str">
        <f>IFERROR(IF(Tableau3[[#This Row],[Dettes]]=0,"",(Tableau3[[#This Row],[Dettes]]/Tableau3[[#This Row],[EBE]])),"")</f>
        <v/>
      </c>
      <c r="V810" s="190" t="str">
        <f>IFERROR(Tableau3[[#This Row],[Fonds propres]]/Tableau3[[#This Row],[Total Bilan]],"")</f>
        <v/>
      </c>
      <c r="W810" s="180"/>
      <c r="Y810" s="180"/>
      <c r="Z810" s="192" t="str">
        <f>IFERROR(Tableau3[[#This Row],[Chiffre d''affaires]]/Tableau3[[#This Row],[Salariés]],"")</f>
        <v/>
      </c>
      <c r="AA810" s="177"/>
    </row>
    <row r="811" spans="1:29" ht="20.25" customHeight="1">
      <c r="A811" s="217" t="s">
        <v>618</v>
      </c>
      <c r="B811" s="216" t="s">
        <v>575</v>
      </c>
      <c r="C811" s="178" t="s">
        <v>619</v>
      </c>
      <c r="D811" s="178" t="s">
        <v>85</v>
      </c>
      <c r="E811" s="187">
        <v>49.28</v>
      </c>
      <c r="F811" s="178">
        <v>2021</v>
      </c>
      <c r="G811" s="188"/>
      <c r="H811" s="188"/>
      <c r="I811" s="188"/>
      <c r="J811" s="188"/>
      <c r="K811" s="188"/>
      <c r="L811" s="188"/>
      <c r="M811" s="208"/>
      <c r="N811" s="190"/>
      <c r="O811" s="190"/>
      <c r="P811" s="188">
        <v>33000000</v>
      </c>
      <c r="Q811" s="188">
        <f>P811*E811</f>
        <v>1626240000</v>
      </c>
      <c r="R811" s="195" t="e">
        <f>Q811/L811</f>
        <v>#DIV/0!</v>
      </c>
      <c r="S811" s="197" t="e">
        <f>(Q811+K811)/H811</f>
        <v>#DIV/0!</v>
      </c>
      <c r="T811" s="180"/>
      <c r="U811" s="189" t="str">
        <f>IFERROR(IF(Tableau3[[#This Row],[Dettes]]=0,"",(Tableau3[[#This Row],[Dettes]]/Tableau3[[#This Row],[EBE]])),"")</f>
        <v/>
      </c>
      <c r="V811" s="190" t="str">
        <f>IFERROR(Tableau3[[#This Row],[Fonds propres]]/Tableau3[[#This Row],[Total Bilan]],"")</f>
        <v/>
      </c>
      <c r="W811" s="180"/>
      <c r="X811" s="191"/>
      <c r="Y811" s="180"/>
      <c r="Z811" s="192" t="str">
        <f>IFERROR(Tableau3[[#This Row],[Chiffre d''affaires]]/Tableau3[[#This Row],[Salariés]],"")</f>
        <v/>
      </c>
      <c r="AA811" s="197"/>
      <c r="AB811" s="197"/>
      <c r="AC811" s="228" t="s">
        <v>620</v>
      </c>
    </row>
    <row r="812" spans="1:29" ht="20.25" customHeight="1">
      <c r="A812" s="217"/>
      <c r="E812" s="187"/>
      <c r="G812" s="188"/>
      <c r="H812" s="188"/>
      <c r="I812" s="188"/>
      <c r="J812" s="188"/>
      <c r="K812" s="188"/>
      <c r="L812" s="188"/>
      <c r="M812" s="208"/>
      <c r="N812" s="190"/>
      <c r="O812" s="190"/>
      <c r="P812" s="188"/>
      <c r="Q812" s="188"/>
      <c r="R812" s="195"/>
      <c r="S812" s="197"/>
      <c r="T812" s="180"/>
      <c r="U812" s="189" t="str">
        <f>IFERROR(IF(Tableau3[[#This Row],[Dettes]]=0,"",(Tableau3[[#This Row],[Dettes]]/Tableau3[[#This Row],[EBE]])),"")</f>
        <v/>
      </c>
      <c r="V812" s="190" t="str">
        <f>IFERROR(Tableau3[[#This Row],[Fonds propres]]/Tableau3[[#This Row],[Total Bilan]],"")</f>
        <v/>
      </c>
      <c r="W812" s="180"/>
      <c r="X812" s="191"/>
      <c r="Y812" s="180"/>
      <c r="Z812" s="192" t="str">
        <f>IFERROR(Tableau3[[#This Row],[Chiffre d''affaires]]/Tableau3[[#This Row],[Salariés]],"")</f>
        <v/>
      </c>
      <c r="AA812" s="197"/>
      <c r="AB812" s="197"/>
      <c r="AC812" s="177" t="s">
        <v>622</v>
      </c>
    </row>
    <row r="813" spans="1:29" ht="20.25" customHeight="1">
      <c r="A813" s="217"/>
      <c r="E813" s="187">
        <v>28.46</v>
      </c>
      <c r="F813" s="178">
        <v>2019</v>
      </c>
      <c r="G813" s="188">
        <v>940499000</v>
      </c>
      <c r="H813" s="188">
        <v>118300000</v>
      </c>
      <c r="I813" s="188">
        <v>71800000</v>
      </c>
      <c r="J813" s="188">
        <v>47100000</v>
      </c>
      <c r="K813" s="188">
        <v>75300000</v>
      </c>
      <c r="L813" s="188">
        <v>1064700000</v>
      </c>
      <c r="M813" s="208">
        <f>L813/P813</f>
        <v>32.263636363636365</v>
      </c>
      <c r="N813" s="190">
        <f>J813/L813</f>
        <v>4.4237813468582701E-2</v>
      </c>
      <c r="O813" s="190">
        <f>(I813*0.6666)/(K813+L813)</f>
        <v>4.1984105263157892E-2</v>
      </c>
      <c r="P813" s="188">
        <v>33000000</v>
      </c>
      <c r="Q813" s="188">
        <f>P813*E813</f>
        <v>939180000</v>
      </c>
      <c r="R813" s="195">
        <f>Q813/L813</f>
        <v>0.88210763595378983</v>
      </c>
      <c r="S813" s="197">
        <f>(Q813+K813)/H813</f>
        <v>8.5754860524091292</v>
      </c>
      <c r="T813" s="180"/>
      <c r="U813" s="189">
        <f>IFERROR(IF(Tableau3[[#This Row],[Dettes]]=0,"",(Tableau3[[#This Row],[Dettes]]/Tableau3[[#This Row],[EBE]])),"")</f>
        <v>0.6365173288250211</v>
      </c>
      <c r="V813" s="190" t="str">
        <f>IFERROR(Tableau3[[#This Row],[Fonds propres]]/Tableau3[[#This Row],[Total Bilan]],"")</f>
        <v/>
      </c>
      <c r="W813" s="180"/>
      <c r="X813" s="191"/>
      <c r="Y813" s="180">
        <v>4750</v>
      </c>
      <c r="Z813" s="192">
        <f>IFERROR(Tableau3[[#This Row],[Chiffre d''affaires]]/Tableau3[[#This Row],[Salariés]],"")</f>
        <v>197999.78947368421</v>
      </c>
      <c r="AA813" s="197"/>
      <c r="AB813" s="197"/>
      <c r="AC813" s="177" t="s">
        <v>623</v>
      </c>
    </row>
    <row r="814" spans="1:29" ht="20.25" customHeight="1">
      <c r="A814" s="217"/>
      <c r="E814" s="187"/>
      <c r="G814" s="188"/>
      <c r="H814" s="188"/>
      <c r="I814" s="188"/>
      <c r="J814" s="188"/>
      <c r="K814" s="188"/>
      <c r="L814" s="188"/>
      <c r="M814" s="208"/>
      <c r="N814" s="190"/>
      <c r="O814" s="190"/>
      <c r="P814" s="188"/>
      <c r="Q814" s="188"/>
      <c r="R814" s="195"/>
      <c r="S814" s="197"/>
      <c r="T814" s="180"/>
      <c r="U814" s="189" t="str">
        <f>IFERROR(IF(Tableau3[[#This Row],[Dettes]]=0,"",(Tableau3[[#This Row],[Dettes]]/Tableau3[[#This Row],[EBE]])),"")</f>
        <v/>
      </c>
      <c r="V814" s="190" t="str">
        <f>IFERROR(Tableau3[[#This Row],[Fonds propres]]/Tableau3[[#This Row],[Total Bilan]],"")</f>
        <v/>
      </c>
      <c r="W814" s="180"/>
      <c r="X814" s="191"/>
      <c r="Y814" s="180"/>
      <c r="Z814" s="192" t="str">
        <f>IFERROR(Tableau3[[#This Row],[Chiffre d''affaires]]/Tableau3[[#This Row],[Salariés]],"")</f>
        <v/>
      </c>
      <c r="AA814" s="197"/>
      <c r="AB814" s="197"/>
      <c r="AC814" s="177" t="s">
        <v>624</v>
      </c>
    </row>
    <row r="815" spans="1:29" ht="20.25" customHeight="1">
      <c r="A815" s="217"/>
      <c r="E815" s="187">
        <v>42.56</v>
      </c>
      <c r="F815" s="178">
        <v>2018</v>
      </c>
      <c r="G815" s="188">
        <v>940499000</v>
      </c>
      <c r="H815" s="188">
        <v>118335000</v>
      </c>
      <c r="I815" s="188">
        <v>71760000</v>
      </c>
      <c r="J815" s="188">
        <v>47146000</v>
      </c>
      <c r="K815" s="188">
        <v>75300000</v>
      </c>
      <c r="L815" s="188">
        <v>1065151000</v>
      </c>
      <c r="M815" s="208">
        <f>L815/P815</f>
        <v>32.277303030303031</v>
      </c>
      <c r="N815" s="190">
        <f>J815/L815</f>
        <v>4.4262268917740301E-2</v>
      </c>
      <c r="O815" s="190">
        <f>(I815*0.6666)/(K815+L815)</f>
        <v>4.1944122106079083E-2</v>
      </c>
      <c r="P815" s="188">
        <v>33000000</v>
      </c>
      <c r="Q815" s="188">
        <f>P815*E815</f>
        <v>1404480000</v>
      </c>
      <c r="R815" s="195">
        <f>Q815/L815</f>
        <v>1.3185736106899397</v>
      </c>
      <c r="S815" s="197">
        <f>(Q815+K815)/H815</f>
        <v>12.505006971732792</v>
      </c>
      <c r="T815" s="180"/>
      <c r="U815" s="189">
        <f>IFERROR(IF(Tableau3[[#This Row],[Dettes]]=0,"",(Tableau3[[#This Row],[Dettes]]/Tableau3[[#This Row],[EBE]])),"")</f>
        <v>0.63632906578780579</v>
      </c>
      <c r="V815" s="190" t="str">
        <f>IFERROR(Tableau3[[#This Row],[Fonds propres]]/Tableau3[[#This Row],[Total Bilan]],"")</f>
        <v/>
      </c>
      <c r="W815" s="180"/>
      <c r="X815" s="191"/>
      <c r="Y815" s="180"/>
      <c r="Z815" s="192" t="str">
        <f>IFERROR(Tableau3[[#This Row],[Chiffre d''affaires]]/Tableau3[[#This Row],[Salariés]],"")</f>
        <v/>
      </c>
      <c r="AA815" s="197"/>
      <c r="AB815" s="197"/>
      <c r="AC815" s="177" t="s">
        <v>625</v>
      </c>
    </row>
    <row r="816" spans="1:29" ht="20.25" customHeight="1">
      <c r="A816" s="217"/>
      <c r="E816" s="187"/>
      <c r="G816" s="202">
        <f>(G815/G817)-1</f>
        <v>-4.2980936933343372E-2</v>
      </c>
      <c r="H816" s="203">
        <f>(H815/H817)-1</f>
        <v>-0.26267352889863671</v>
      </c>
      <c r="I816" s="203">
        <f>(I815/I817)-1</f>
        <v>-0.35790980672870432</v>
      </c>
      <c r="J816" s="203">
        <f>(J815/J817)-1</f>
        <v>-0.33603729209796218</v>
      </c>
      <c r="K816" s="188"/>
      <c r="L816" s="188"/>
      <c r="M816" s="208"/>
      <c r="N816" s="190"/>
      <c r="O816" s="190"/>
      <c r="P816" s="188"/>
      <c r="Q816" s="188"/>
      <c r="R816" s="195"/>
      <c r="S816" s="197"/>
      <c r="T816" s="180"/>
      <c r="U816" s="189" t="str">
        <f>IFERROR(IF(Tableau3[[#This Row],[Dettes]]=0,"",(Tableau3[[#This Row],[Dettes]]/Tableau3[[#This Row],[EBE]])),"")</f>
        <v/>
      </c>
      <c r="V816" s="190" t="str">
        <f>IFERROR(Tableau3[[#This Row],[Fonds propres]]/Tableau3[[#This Row],[Total Bilan]],"")</f>
        <v/>
      </c>
      <c r="W816" s="180"/>
      <c r="X816" s="191"/>
      <c r="Y816" s="180"/>
      <c r="Z816" s="192" t="str">
        <f>IFERROR(Tableau3[[#This Row],[Chiffre d''affaires]]/Tableau3[[#This Row],[Salariés]],"")</f>
        <v/>
      </c>
      <c r="AA816" s="197"/>
      <c r="AB816" s="197"/>
      <c r="AC816" s="177" t="s">
        <v>626</v>
      </c>
    </row>
    <row r="817" spans="1:29" ht="20.25" customHeight="1">
      <c r="A817" s="217"/>
      <c r="E817" s="187">
        <v>60.75</v>
      </c>
      <c r="F817" s="178">
        <v>2017</v>
      </c>
      <c r="G817" s="188">
        <v>982738000</v>
      </c>
      <c r="H817" s="188">
        <v>160492000</v>
      </c>
      <c r="I817" s="188">
        <v>111760000</v>
      </c>
      <c r="J817" s="188">
        <v>71007000</v>
      </c>
      <c r="K817" s="188">
        <v>-9300000</v>
      </c>
      <c r="L817" s="188">
        <v>1086272000</v>
      </c>
      <c r="M817" s="208">
        <f>L817/P817</f>
        <v>32.917333333333332</v>
      </c>
      <c r="N817" s="190">
        <f>J817/L817</f>
        <v>6.5367605903493789E-2</v>
      </c>
      <c r="O817" s="190">
        <f>(I817*0.6666)/(K817+L817)</f>
        <v>6.9174700920729595E-2</v>
      </c>
      <c r="P817" s="188">
        <v>33000000</v>
      </c>
      <c r="Q817" s="188">
        <f>P817*E817</f>
        <v>2004750000</v>
      </c>
      <c r="R817" s="195">
        <f>Q817/L817</f>
        <v>1.8455322423849643</v>
      </c>
      <c r="S817" s="197">
        <f>(Q817+K817)/H817</f>
        <v>12.433330010218578</v>
      </c>
      <c r="T817" s="180"/>
      <c r="U817" s="189">
        <f>IFERROR(IF(Tableau3[[#This Row],[Dettes]]=0,"",(Tableau3[[#This Row],[Dettes]]/Tableau3[[#This Row],[EBE]])),"")</f>
        <v>-5.794681354833886E-2</v>
      </c>
      <c r="V817" s="190" t="str">
        <f>IFERROR(Tableau3[[#This Row],[Fonds propres]]/Tableau3[[#This Row],[Total Bilan]],"")</f>
        <v/>
      </c>
      <c r="W817" s="180"/>
      <c r="X817" s="191"/>
      <c r="Y817" s="180"/>
      <c r="Z817" s="192" t="str">
        <f>IFERROR(Tableau3[[#This Row],[Chiffre d''affaires]]/Tableau3[[#This Row],[Salariés]],"")</f>
        <v/>
      </c>
      <c r="AA817" s="197"/>
      <c r="AB817" s="197"/>
      <c r="AC817" s="177" t="s">
        <v>627</v>
      </c>
    </row>
    <row r="818" spans="1:29" ht="20.25" customHeight="1">
      <c r="A818" s="217"/>
      <c r="E818" s="187"/>
      <c r="G818" s="202">
        <f>(G817/G819)-1</f>
        <v>-2.1223110073532392E-2</v>
      </c>
      <c r="H818" s="203">
        <f>(H817/H819)-1</f>
        <v>-0.11285294182678485</v>
      </c>
      <c r="I818" s="203">
        <f>(I817/I819)-1</f>
        <v>-0.12933055990526721</v>
      </c>
      <c r="J818" s="203">
        <f>(J817/J819)-1</f>
        <v>-0.17713113614240017</v>
      </c>
      <c r="K818" s="188"/>
      <c r="L818" s="188"/>
      <c r="M818" s="208"/>
      <c r="N818" s="190"/>
      <c r="O818" s="190"/>
      <c r="P818" s="188"/>
      <c r="Q818" s="188"/>
      <c r="R818" s="195"/>
      <c r="S818" s="197"/>
      <c r="T818" s="180"/>
      <c r="U818" s="189" t="str">
        <f>IFERROR(IF(Tableau3[[#This Row],[Dettes]]=0,"",(Tableau3[[#This Row],[Dettes]]/Tableau3[[#This Row],[EBE]])),"")</f>
        <v/>
      </c>
      <c r="V818" s="190" t="str">
        <f>IFERROR(Tableau3[[#This Row],[Fonds propres]]/Tableau3[[#This Row],[Total Bilan]],"")</f>
        <v/>
      </c>
      <c r="W818" s="180"/>
      <c r="X818" s="191"/>
      <c r="Y818" s="180"/>
      <c r="Z818" s="192" t="str">
        <f>IFERROR(Tableau3[[#This Row],[Chiffre d''affaires]]/Tableau3[[#This Row],[Salariés]],"")</f>
        <v/>
      </c>
      <c r="AA818" s="197"/>
      <c r="AB818" s="197"/>
      <c r="AC818" s="177" t="s">
        <v>628</v>
      </c>
    </row>
    <row r="819" spans="1:29" ht="20.25" customHeight="1">
      <c r="A819" s="217"/>
      <c r="E819" s="187">
        <v>61.8</v>
      </c>
      <c r="F819" s="178">
        <v>2016</v>
      </c>
      <c r="G819" s="188">
        <v>1004047000</v>
      </c>
      <c r="H819" s="188">
        <v>180908000</v>
      </c>
      <c r="I819" s="188">
        <v>128361000</v>
      </c>
      <c r="J819" s="188">
        <v>86292000</v>
      </c>
      <c r="K819" s="188"/>
      <c r="L819" s="188">
        <v>1087212000</v>
      </c>
      <c r="M819" s="208">
        <f>L819/P819</f>
        <v>32.945818181818183</v>
      </c>
      <c r="N819" s="190">
        <f>J819/L819</f>
        <v>7.9369984878754102E-2</v>
      </c>
      <c r="O819" s="190">
        <f>(I819*0.6666)/(K819+L819)</f>
        <v>7.8701709142283194E-2</v>
      </c>
      <c r="P819" s="188">
        <v>33000000</v>
      </c>
      <c r="Q819" s="188">
        <f>P819*E819</f>
        <v>2039400000</v>
      </c>
      <c r="R819" s="195">
        <f>Q819/L819</f>
        <v>1.8758071102967959</v>
      </c>
      <c r="S819" s="197">
        <f>(Q819+K819)/H819</f>
        <v>11.273133305326464</v>
      </c>
      <c r="T819" s="180"/>
      <c r="U819" s="189" t="str">
        <f>IFERROR(IF(Tableau3[[#This Row],[Dettes]]=0,"",(Tableau3[[#This Row],[Dettes]]/Tableau3[[#This Row],[EBE]])),"")</f>
        <v/>
      </c>
      <c r="V819" s="190" t="str">
        <f>IFERROR(Tableau3[[#This Row],[Fonds propres]]/Tableau3[[#This Row],[Total Bilan]],"")</f>
        <v/>
      </c>
      <c r="W819" s="180"/>
      <c r="X819" s="191"/>
      <c r="Y819" s="180"/>
      <c r="Z819" s="192" t="str">
        <f>IFERROR(Tableau3[[#This Row],[Chiffre d''affaires]]/Tableau3[[#This Row],[Salariés]],"")</f>
        <v/>
      </c>
      <c r="AA819" s="197"/>
      <c r="AB819" s="197"/>
      <c r="AC819" s="177" t="s">
        <v>629</v>
      </c>
    </row>
    <row r="820" spans="1:29" ht="20.25" customHeight="1">
      <c r="A820" s="217"/>
      <c r="E820" s="187"/>
      <c r="G820" s="188"/>
      <c r="H820" s="188"/>
      <c r="I820" s="188"/>
      <c r="J820" s="188"/>
      <c r="K820" s="188"/>
      <c r="L820" s="188"/>
      <c r="M820" s="208"/>
      <c r="N820" s="190"/>
      <c r="O820" s="190"/>
      <c r="P820" s="188"/>
      <c r="Q820" s="188"/>
      <c r="R820" s="195"/>
      <c r="S820" s="197"/>
      <c r="T820" s="180"/>
      <c r="U820" s="189" t="str">
        <f>IFERROR(IF(Tableau3[[#This Row],[Dettes]]=0,"",(Tableau3[[#This Row],[Dettes]]/Tableau3[[#This Row],[EBE]])),"")</f>
        <v/>
      </c>
      <c r="V820" s="190" t="str">
        <f>IFERROR(Tableau3[[#This Row],[Fonds propres]]/Tableau3[[#This Row],[Total Bilan]],"")</f>
        <v/>
      </c>
      <c r="W820" s="180"/>
      <c r="X820" s="191"/>
      <c r="Y820" s="180"/>
      <c r="Z820" s="192" t="str">
        <f>IFERROR(Tableau3[[#This Row],[Chiffre d''affaires]]/Tableau3[[#This Row],[Salariés]],"")</f>
        <v/>
      </c>
      <c r="AA820" s="197"/>
      <c r="AB820" s="197"/>
    </row>
    <row r="821" spans="1:29" ht="20.25" customHeight="1">
      <c r="A821" s="217"/>
      <c r="E821" s="187">
        <v>73.05</v>
      </c>
      <c r="F821" s="178">
        <v>2015</v>
      </c>
      <c r="G821" s="188"/>
      <c r="H821" s="188"/>
      <c r="I821" s="188"/>
      <c r="J821" s="188"/>
      <c r="K821" s="188"/>
      <c r="L821" s="188"/>
      <c r="M821" s="208"/>
      <c r="N821" s="190"/>
      <c r="O821" s="190"/>
      <c r="P821" s="188"/>
      <c r="Q821" s="188">
        <f>P821*E821</f>
        <v>0</v>
      </c>
      <c r="R821" s="195"/>
      <c r="S821" s="197"/>
      <c r="T821" s="180"/>
      <c r="U821" s="189" t="str">
        <f>IFERROR(IF(Tableau3[[#This Row],[Dettes]]=0,"",(Tableau3[[#This Row],[Dettes]]/Tableau3[[#This Row],[EBE]])),"")</f>
        <v/>
      </c>
      <c r="V821" s="190" t="str">
        <f>IFERROR(Tableau3[[#This Row],[Fonds propres]]/Tableau3[[#This Row],[Total Bilan]],"")</f>
        <v/>
      </c>
      <c r="W821" s="180"/>
      <c r="X821" s="191"/>
      <c r="Y821" s="180"/>
      <c r="Z821" s="192" t="str">
        <f>IFERROR(Tableau3[[#This Row],[Chiffre d''affaires]]/Tableau3[[#This Row],[Salariés]],"")</f>
        <v/>
      </c>
      <c r="AA821" s="197"/>
      <c r="AB821" s="197"/>
    </row>
    <row r="822" spans="1:29" ht="20.25" customHeight="1">
      <c r="A822" s="217"/>
      <c r="E822" s="187"/>
      <c r="G822" s="188"/>
      <c r="H822" s="188"/>
      <c r="I822" s="188"/>
      <c r="J822" s="188"/>
      <c r="K822" s="188"/>
      <c r="L822" s="188"/>
      <c r="M822" s="208"/>
      <c r="N822" s="190"/>
      <c r="O822" s="190"/>
      <c r="P822" s="188"/>
      <c r="Q822" s="188"/>
      <c r="R822" s="195"/>
      <c r="S822" s="197"/>
      <c r="T822" s="180"/>
      <c r="U822" s="189" t="str">
        <f>IFERROR(IF(Tableau3[[#This Row],[Dettes]]=0,"",(Tableau3[[#This Row],[Dettes]]/Tableau3[[#This Row],[EBE]])),"")</f>
        <v/>
      </c>
      <c r="V822" s="190" t="str">
        <f>IFERROR(Tableau3[[#This Row],[Fonds propres]]/Tableau3[[#This Row],[Total Bilan]],"")</f>
        <v/>
      </c>
      <c r="W822" s="180"/>
      <c r="X822" s="191"/>
      <c r="Y822" s="180"/>
      <c r="Z822" s="192" t="str">
        <f>IFERROR(Tableau3[[#This Row],[Chiffre d''affaires]]/Tableau3[[#This Row],[Salariés]],"")</f>
        <v/>
      </c>
      <c r="AA822" s="197"/>
      <c r="AB822" s="197"/>
    </row>
    <row r="823" spans="1:29" ht="20.25" customHeight="1">
      <c r="A823" s="217"/>
      <c r="E823" s="187">
        <v>72.05</v>
      </c>
      <c r="F823" s="178">
        <v>2014</v>
      </c>
      <c r="G823" s="188"/>
      <c r="H823" s="188"/>
      <c r="I823" s="188"/>
      <c r="J823" s="188"/>
      <c r="K823" s="188"/>
      <c r="L823" s="188"/>
      <c r="M823" s="208"/>
      <c r="N823" s="190"/>
      <c r="O823" s="190"/>
      <c r="P823" s="188"/>
      <c r="Q823" s="188">
        <f>P823*E823</f>
        <v>0</v>
      </c>
      <c r="R823" s="195"/>
      <c r="S823" s="197"/>
      <c r="T823" s="180"/>
      <c r="U823" s="189" t="str">
        <f>IFERROR(IF(Tableau3[[#This Row],[Dettes]]=0,"",(Tableau3[[#This Row],[Dettes]]/Tableau3[[#This Row],[EBE]])),"")</f>
        <v/>
      </c>
      <c r="V823" s="190" t="str">
        <f>IFERROR(Tableau3[[#This Row],[Fonds propres]]/Tableau3[[#This Row],[Total Bilan]],"")</f>
        <v/>
      </c>
      <c r="W823" s="180"/>
      <c r="X823" s="191"/>
      <c r="Y823" s="180"/>
      <c r="Z823" s="192" t="str">
        <f>IFERROR(Tableau3[[#This Row],[Chiffre d''affaires]]/Tableau3[[#This Row],[Salariés]],"")</f>
        <v/>
      </c>
      <c r="AA823" s="197"/>
      <c r="AB823" s="197"/>
    </row>
    <row r="824" spans="1:29" ht="20.25" customHeight="1">
      <c r="A824" s="217"/>
      <c r="E824" s="187"/>
      <c r="G824" s="188"/>
      <c r="H824" s="188"/>
      <c r="I824" s="188"/>
      <c r="J824" s="188"/>
      <c r="K824" s="188"/>
      <c r="L824" s="188"/>
      <c r="M824" s="208"/>
      <c r="N824" s="190"/>
      <c r="O824" s="190"/>
      <c r="P824" s="188"/>
      <c r="Q824" s="188"/>
      <c r="R824" s="195"/>
      <c r="S824" s="197"/>
      <c r="T824" s="180"/>
      <c r="U824" s="189" t="str">
        <f>IFERROR(IF(Tableau3[[#This Row],[Dettes]]=0,"",(Tableau3[[#This Row],[Dettes]]/Tableau3[[#This Row],[EBE]])),"")</f>
        <v/>
      </c>
      <c r="V824" s="190" t="str">
        <f>IFERROR(Tableau3[[#This Row],[Fonds propres]]/Tableau3[[#This Row],[Total Bilan]],"")</f>
        <v/>
      </c>
      <c r="W824" s="180"/>
      <c r="X824" s="191"/>
      <c r="Y824" s="180"/>
      <c r="Z824" s="192" t="str">
        <f>IFERROR(Tableau3[[#This Row],[Chiffre d''affaires]]/Tableau3[[#This Row],[Salariés]],"")</f>
        <v/>
      </c>
      <c r="AA824" s="197"/>
      <c r="AB824" s="197"/>
    </row>
    <row r="825" spans="1:29" ht="20.25" customHeight="1">
      <c r="A825" s="217"/>
      <c r="E825" s="187">
        <v>120</v>
      </c>
      <c r="F825" s="178">
        <v>2013</v>
      </c>
      <c r="G825" s="188"/>
      <c r="H825" s="188"/>
      <c r="I825" s="188"/>
      <c r="J825" s="188"/>
      <c r="K825" s="188"/>
      <c r="L825" s="188"/>
      <c r="M825" s="208"/>
      <c r="N825" s="190"/>
      <c r="O825" s="190"/>
      <c r="P825" s="188"/>
      <c r="Q825" s="188"/>
      <c r="R825" s="195"/>
      <c r="S825" s="197"/>
      <c r="T825" s="180"/>
      <c r="U825" s="189" t="str">
        <f>IFERROR(IF(Tableau3[[#This Row],[Dettes]]=0,"",(Tableau3[[#This Row],[Dettes]]/Tableau3[[#This Row],[EBE]])),"")</f>
        <v/>
      </c>
      <c r="V825" s="190" t="str">
        <f>IFERROR(Tableau3[[#This Row],[Fonds propres]]/Tableau3[[#This Row],[Total Bilan]],"")</f>
        <v/>
      </c>
      <c r="W825" s="180"/>
      <c r="X825" s="191"/>
      <c r="Y825" s="180"/>
      <c r="Z825" s="192" t="str">
        <f>IFERROR(Tableau3[[#This Row],[Chiffre d''affaires]]/Tableau3[[#This Row],[Salariés]],"")</f>
        <v/>
      </c>
      <c r="AA825" s="197"/>
      <c r="AB825" s="197"/>
    </row>
    <row r="826" spans="1:29" ht="20.25" customHeight="1">
      <c r="A826" s="217"/>
      <c r="E826" s="187"/>
      <c r="G826" s="188"/>
      <c r="H826" s="188"/>
      <c r="I826" s="188"/>
      <c r="J826" s="188"/>
      <c r="K826" s="188"/>
      <c r="L826" s="188"/>
      <c r="M826" s="208"/>
      <c r="N826" s="190"/>
      <c r="O826" s="190"/>
      <c r="P826" s="188"/>
      <c r="Q826" s="188"/>
      <c r="R826" s="195"/>
      <c r="S826" s="197"/>
      <c r="T826" s="180"/>
      <c r="U826" s="189" t="str">
        <f>IFERROR(IF(Tableau3[[#This Row],[Dettes]]=0,"",(Tableau3[[#This Row],[Dettes]]/Tableau3[[#This Row],[EBE]])),"")</f>
        <v/>
      </c>
      <c r="V826" s="190" t="str">
        <f>IFERROR(Tableau3[[#This Row],[Fonds propres]]/Tableau3[[#This Row],[Total Bilan]],"")</f>
        <v/>
      </c>
      <c r="W826" s="180"/>
      <c r="X826" s="191"/>
      <c r="Y826" s="180"/>
      <c r="Z826" s="192" t="str">
        <f>IFERROR(Tableau3[[#This Row],[Chiffre d''affaires]]/Tableau3[[#This Row],[Salariés]],"")</f>
        <v/>
      </c>
      <c r="AA826" s="197"/>
      <c r="AB826" s="197"/>
    </row>
    <row r="827" spans="1:29" ht="20.25" customHeight="1">
      <c r="A827" s="217"/>
      <c r="E827" s="187"/>
      <c r="G827" s="188"/>
      <c r="H827" s="188"/>
      <c r="I827" s="188"/>
      <c r="J827" s="188"/>
      <c r="K827" s="188"/>
      <c r="L827" s="188"/>
      <c r="M827" s="208"/>
      <c r="N827" s="190"/>
      <c r="O827" s="190"/>
      <c r="P827" s="188"/>
      <c r="Q827" s="188"/>
      <c r="R827" s="195"/>
      <c r="S827" s="197"/>
      <c r="T827" s="180"/>
      <c r="U827" s="189" t="str">
        <f>IFERROR(IF(Tableau3[[#This Row],[Dettes]]=0,"",(Tableau3[[#This Row],[Dettes]]/Tableau3[[#This Row],[EBE]])),"")</f>
        <v/>
      </c>
      <c r="V827" s="190" t="str">
        <f>IFERROR(Tableau3[[#This Row],[Fonds propres]]/Tableau3[[#This Row],[Total Bilan]],"")</f>
        <v/>
      </c>
      <c r="W827" s="180"/>
      <c r="X827" s="191"/>
      <c r="Y827" s="180"/>
      <c r="Z827" s="192" t="str">
        <f>IFERROR(Tableau3[[#This Row],[Chiffre d''affaires]]/Tableau3[[#This Row],[Salariés]],"")</f>
        <v/>
      </c>
      <c r="AA827" s="197"/>
      <c r="AB827" s="197"/>
    </row>
    <row r="828" spans="1:29" ht="20.25" customHeight="1">
      <c r="A828" s="217"/>
      <c r="E828" s="187"/>
      <c r="G828" s="188"/>
      <c r="H828" s="188"/>
      <c r="I828" s="188"/>
      <c r="J828" s="188"/>
      <c r="K828" s="188"/>
      <c r="L828" s="188"/>
      <c r="M828" s="208"/>
      <c r="N828" s="190"/>
      <c r="O828" s="190"/>
      <c r="P828" s="188"/>
      <c r="Q828" s="188"/>
      <c r="R828" s="195"/>
      <c r="S828" s="197"/>
      <c r="T828" s="180"/>
      <c r="U828" s="189" t="str">
        <f>IFERROR(IF(Tableau3[[#This Row],[Dettes]]=0,"",(Tableau3[[#This Row],[Dettes]]/Tableau3[[#This Row],[EBE]])),"")</f>
        <v/>
      </c>
      <c r="V828" s="190" t="str">
        <f>IFERROR(Tableau3[[#This Row],[Fonds propres]]/Tableau3[[#This Row],[Total Bilan]],"")</f>
        <v/>
      </c>
      <c r="W828" s="180"/>
      <c r="X828" s="191"/>
      <c r="Y828" s="180"/>
      <c r="Z828" s="192" t="str">
        <f>IFERROR(Tableau3[[#This Row],[Chiffre d''affaires]]/Tableau3[[#This Row],[Salariés]],"")</f>
        <v/>
      </c>
      <c r="AA828" s="197"/>
      <c r="AB828" s="197"/>
    </row>
    <row r="829" spans="1:29" ht="20.25" customHeight="1">
      <c r="A829" s="217" t="s">
        <v>630</v>
      </c>
      <c r="B829" s="216" t="s">
        <v>575</v>
      </c>
      <c r="C829" s="178" t="s">
        <v>619</v>
      </c>
      <c r="D829" s="178" t="s">
        <v>85</v>
      </c>
      <c r="E829" s="187">
        <v>49.9</v>
      </c>
      <c r="F829" s="178">
        <v>2021</v>
      </c>
      <c r="G829" s="188"/>
      <c r="H829" s="188"/>
      <c r="I829" s="188"/>
      <c r="J829" s="188"/>
      <c r="K829" s="188"/>
      <c r="L829" s="188"/>
      <c r="M829" s="208"/>
      <c r="N829" s="190"/>
      <c r="O829" s="190"/>
      <c r="P829" s="188">
        <v>2558824000</v>
      </c>
      <c r="Q829" s="188">
        <f>P829*E829</f>
        <v>127685317600</v>
      </c>
      <c r="R829" s="195"/>
      <c r="S829" s="197"/>
      <c r="T829" s="180"/>
      <c r="U829" s="189" t="str">
        <f>IFERROR(IF(Tableau3[[#This Row],[Dettes]]=0,"",(Tableau3[[#This Row],[Dettes]]/Tableau3[[#This Row],[EBE]])),"")</f>
        <v/>
      </c>
      <c r="V829" s="190" t="str">
        <f>IFERROR(Tableau3[[#This Row],[Fonds propres]]/Tableau3[[#This Row],[Total Bilan]],"")</f>
        <v/>
      </c>
      <c r="W829" s="180"/>
      <c r="X829" s="191"/>
      <c r="Y829" s="180"/>
      <c r="Z829" s="192" t="str">
        <f>IFERROR(Tableau3[[#This Row],[Chiffre d''affaires]]/Tableau3[[#This Row],[Salariés]],"")</f>
        <v/>
      </c>
      <c r="AA829" s="197"/>
      <c r="AB829" s="197"/>
      <c r="AC829" s="177" t="s">
        <v>631</v>
      </c>
    </row>
    <row r="830" spans="1:29" ht="20.25" customHeight="1">
      <c r="A830" s="217"/>
      <c r="E830" s="187"/>
      <c r="G830" s="188"/>
      <c r="H830" s="188"/>
      <c r="I830" s="188"/>
      <c r="J830" s="188"/>
      <c r="K830" s="188"/>
      <c r="L830" s="188"/>
      <c r="M830" s="208"/>
      <c r="N830" s="190"/>
      <c r="O830" s="190"/>
      <c r="P830" s="188"/>
      <c r="Q830" s="188"/>
      <c r="R830" s="195"/>
      <c r="S830" s="197"/>
      <c r="T830" s="180"/>
      <c r="U830" s="189" t="str">
        <f>IFERROR(IF(Tableau3[[#This Row],[Dettes]]=0,"",(Tableau3[[#This Row],[Dettes]]/Tableau3[[#This Row],[EBE]])),"")</f>
        <v/>
      </c>
      <c r="V830" s="190" t="str">
        <f>IFERROR(Tableau3[[#This Row],[Fonds propres]]/Tableau3[[#This Row],[Total Bilan]],"")</f>
        <v/>
      </c>
      <c r="W830" s="180"/>
      <c r="X830" s="191"/>
      <c r="Y830" s="180"/>
      <c r="Z830" s="192" t="str">
        <f>IFERROR(Tableau3[[#This Row],[Chiffre d''affaires]]/Tableau3[[#This Row],[Salariés]],"")</f>
        <v/>
      </c>
      <c r="AA830" s="197"/>
      <c r="AB830" s="197"/>
      <c r="AC830" s="177" t="s">
        <v>633</v>
      </c>
    </row>
    <row r="831" spans="1:29" ht="20.25" customHeight="1">
      <c r="A831" s="217"/>
      <c r="E831" s="187">
        <v>51.2</v>
      </c>
      <c r="F831" s="178">
        <v>2018</v>
      </c>
      <c r="G831" s="188">
        <f t="shared" ref="G831:L831" si="66">G833</f>
        <v>3100000000</v>
      </c>
      <c r="H831" s="188">
        <f t="shared" si="66"/>
        <v>588000000</v>
      </c>
      <c r="I831" s="188">
        <f t="shared" si="66"/>
        <v>360000000</v>
      </c>
      <c r="J831" s="188">
        <f t="shared" si="66"/>
        <v>249000000</v>
      </c>
      <c r="K831" s="188">
        <f t="shared" si="66"/>
        <v>-104000000</v>
      </c>
      <c r="L831" s="211">
        <f t="shared" si="66"/>
        <v>3086089000</v>
      </c>
      <c r="M831" s="208">
        <f>L833/P831</f>
        <v>1.2060575483112554</v>
      </c>
      <c r="N831" s="190">
        <f>J831/L833</f>
        <v>8.0684646489456391E-2</v>
      </c>
      <c r="O831" s="190">
        <f>(I831*0.6666)/(K831+L833)</f>
        <v>8.047244733473749E-2</v>
      </c>
      <c r="P831" s="188">
        <v>2558824000</v>
      </c>
      <c r="Q831" s="188">
        <f>P831*E831</f>
        <v>131011788800</v>
      </c>
      <c r="R831" s="195">
        <f>Q831/L831</f>
        <v>42.452368936864751</v>
      </c>
      <c r="S831" s="197">
        <f>(Q831+K831)/H831</f>
        <v>222.63229387755101</v>
      </c>
      <c r="T831" s="180"/>
      <c r="U831" s="189">
        <f>IFERROR(IF(Tableau3[[#This Row],[Dettes]]=0,"",(Tableau3[[#This Row],[Dettes]]/Tableau3[[#This Row],[EBE]])),"")</f>
        <v>-0.17687074829931973</v>
      </c>
      <c r="V831" s="190" t="str">
        <f>IFERROR(Tableau3[[#This Row],[Fonds propres]]/Tableau3[[#This Row],[Total Bilan]],"")</f>
        <v/>
      </c>
      <c r="W831" s="180"/>
      <c r="X831" s="191"/>
      <c r="Y831" s="180">
        <v>12000</v>
      </c>
      <c r="Z831" s="192">
        <f>IFERROR(Tableau3[[#This Row],[Chiffre d''affaires]]/Tableau3[[#This Row],[Salariés]],"")</f>
        <v>258333.33333333334</v>
      </c>
      <c r="AA831" s="197"/>
      <c r="AB831" s="197"/>
      <c r="AC831" s="177" t="s">
        <v>634</v>
      </c>
    </row>
    <row r="832" spans="1:29" ht="20.25" customHeight="1">
      <c r="A832" s="217"/>
      <c r="E832" s="187"/>
      <c r="G832" s="188"/>
      <c r="H832" s="203"/>
      <c r="I832" s="203"/>
      <c r="J832" s="203"/>
      <c r="K832" s="188"/>
      <c r="L832" s="178"/>
      <c r="M832" s="208"/>
      <c r="N832" s="190"/>
      <c r="O832" s="190"/>
      <c r="P832" s="188"/>
      <c r="Q832" s="188"/>
      <c r="R832" s="195"/>
      <c r="S832" s="197"/>
      <c r="T832" s="180"/>
      <c r="U832" s="189" t="str">
        <f>IFERROR(IF(Tableau3[[#This Row],[Dettes]]=0,"",(Tableau3[[#This Row],[Dettes]]/Tableau3[[#This Row],[EBE]])),"")</f>
        <v/>
      </c>
      <c r="V832" s="190" t="str">
        <f>IFERROR(Tableau3[[#This Row],[Fonds propres]]/Tableau3[[#This Row],[Total Bilan]],"")</f>
        <v/>
      </c>
      <c r="W832" s="180"/>
      <c r="X832" s="191"/>
      <c r="Y832" s="180"/>
      <c r="Z832" s="192" t="str">
        <f>IFERROR(Tableau3[[#This Row],[Chiffre d''affaires]]/Tableau3[[#This Row],[Salariés]],"")</f>
        <v/>
      </c>
      <c r="AA832" s="197"/>
      <c r="AB832" s="197"/>
      <c r="AC832" s="177" t="s">
        <v>635</v>
      </c>
    </row>
    <row r="833" spans="1:29" ht="20.25" customHeight="1">
      <c r="A833" s="217"/>
      <c r="E833" s="187">
        <f>32.6*0.109</f>
        <v>3.5534000000000003</v>
      </c>
      <c r="F833" s="178">
        <v>2017</v>
      </c>
      <c r="G833" s="188">
        <v>3100000000</v>
      </c>
      <c r="H833" s="188">
        <v>588000000</v>
      </c>
      <c r="I833" s="188">
        <v>360000000</v>
      </c>
      <c r="J833" s="188">
        <v>249000000</v>
      </c>
      <c r="K833" s="188">
        <v>-104000000</v>
      </c>
      <c r="L833" s="188">
        <v>3086089000</v>
      </c>
      <c r="M833" s="208">
        <f>L835/P833</f>
        <v>1.2038741234254486</v>
      </c>
      <c r="N833" s="190">
        <f>J833/L835</f>
        <v>8.0830981443933483E-2</v>
      </c>
      <c r="O833" s="190">
        <f>(I833*0.6666)/(K833+L835)</f>
        <v>8.0623496977324391E-2</v>
      </c>
      <c r="P833" s="188">
        <v>2558824000</v>
      </c>
      <c r="Q833" s="188">
        <f>P833*E833</f>
        <v>9092525201.6000004</v>
      </c>
      <c r="R833" s="195">
        <f>Q833/L833</f>
        <v>2.9462939019581094</v>
      </c>
      <c r="S833" s="197">
        <f>(Q833+K833)/H833</f>
        <v>15.286607485714287</v>
      </c>
      <c r="T833" s="180"/>
      <c r="U833" s="189">
        <f>IFERROR(IF(Tableau3[[#This Row],[Dettes]]=0,"",(Tableau3[[#This Row],[Dettes]]/Tableau3[[#This Row],[EBE]])),"")</f>
        <v>-0.17687074829931973</v>
      </c>
      <c r="V833" s="190" t="str">
        <f>IFERROR(Tableau3[[#This Row],[Fonds propres]]/Tableau3[[#This Row],[Total Bilan]],"")</f>
        <v/>
      </c>
      <c r="W833" s="180"/>
      <c r="X833" s="191"/>
      <c r="Y833" s="180"/>
      <c r="Z833" s="192" t="str">
        <f>IFERROR(Tableau3[[#This Row],[Chiffre d''affaires]]/Tableau3[[#This Row],[Salariés]],"")</f>
        <v/>
      </c>
      <c r="AA833" s="197"/>
      <c r="AB833" s="197"/>
      <c r="AC833" s="177" t="s">
        <v>636</v>
      </c>
    </row>
    <row r="834" spans="1:29" ht="20.25" customHeight="1">
      <c r="A834" s="217"/>
      <c r="E834" s="187"/>
      <c r="G834" s="202">
        <f>(G833/G835)-1</f>
        <v>-2.2222362405396101E-2</v>
      </c>
      <c r="H834" s="203">
        <f>(H833/H835)-1</f>
        <v>-7.3305038667450417E-2</v>
      </c>
      <c r="I834" s="203">
        <f>(I833/I835)-1</f>
        <v>-0.11239539826325362</v>
      </c>
      <c r="J834" s="203">
        <f>(J833/J835)-1</f>
        <v>-4.315413288245018E-2</v>
      </c>
      <c r="K834" s="188"/>
      <c r="L834" s="188"/>
      <c r="M834" s="208"/>
      <c r="N834" s="190"/>
      <c r="O834" s="190"/>
      <c r="P834" s="188"/>
      <c r="Q834" s="188"/>
      <c r="R834" s="195"/>
      <c r="S834" s="197"/>
      <c r="T834" s="180"/>
      <c r="U834" s="189" t="str">
        <f>IFERROR(IF(Tableau3[[#This Row],[Dettes]]=0,"",(Tableau3[[#This Row],[Dettes]]/Tableau3[[#This Row],[EBE]])),"")</f>
        <v/>
      </c>
      <c r="V834" s="190" t="str">
        <f>IFERROR(Tableau3[[#This Row],[Fonds propres]]/Tableau3[[#This Row],[Total Bilan]],"")</f>
        <v/>
      </c>
      <c r="W834" s="180"/>
      <c r="X834" s="191"/>
      <c r="Y834" s="180"/>
      <c r="Z834" s="192" t="str">
        <f>IFERROR(Tableau3[[#This Row],[Chiffre d''affaires]]/Tableau3[[#This Row],[Salariés]],"")</f>
        <v/>
      </c>
      <c r="AA834" s="197"/>
      <c r="AB834" s="197"/>
      <c r="AC834" s="177" t="s">
        <v>637</v>
      </c>
    </row>
    <row r="835" spans="1:29" ht="20.25" customHeight="1">
      <c r="A835" s="217"/>
      <c r="E835" s="187">
        <f>32.3*0.109</f>
        <v>3.5206999999999997</v>
      </c>
      <c r="F835" s="178">
        <v>2016</v>
      </c>
      <c r="G835" s="188">
        <v>3170455000</v>
      </c>
      <c r="H835" s="188">
        <v>634513000</v>
      </c>
      <c r="I835" s="188">
        <v>405586000</v>
      </c>
      <c r="J835" s="188">
        <v>260230000</v>
      </c>
      <c r="K835" s="188"/>
      <c r="L835" s="188">
        <v>3080502000</v>
      </c>
      <c r="M835" s="208">
        <f>L839/P835</f>
        <v>1.1727016004226942</v>
      </c>
      <c r="N835" s="190">
        <f>J835/L839</f>
        <v>8.6722028621635291E-2</v>
      </c>
      <c r="O835" s="190">
        <f>(I835*0.6666)/(K835+L839)</f>
        <v>9.0099074860609238E-2</v>
      </c>
      <c r="P835" s="188">
        <v>2558824000</v>
      </c>
      <c r="Q835" s="188">
        <f>P835*E835</f>
        <v>9008851656.7999992</v>
      </c>
      <c r="R835" s="195">
        <f>Q835/L835</f>
        <v>2.9244751851483946</v>
      </c>
      <c r="S835" s="197">
        <f>(Q835+K835)/H835</f>
        <v>14.198056866919982</v>
      </c>
      <c r="T835" s="180"/>
      <c r="U835" s="189" t="str">
        <f>IFERROR(IF(Tableau3[[#This Row],[Dettes]]=0,"",(Tableau3[[#This Row],[Dettes]]/Tableau3[[#This Row],[EBE]])),"")</f>
        <v/>
      </c>
      <c r="V835" s="190" t="str">
        <f>IFERROR(Tableau3[[#This Row],[Fonds propres]]/Tableau3[[#This Row],[Total Bilan]],"")</f>
        <v/>
      </c>
      <c r="W835" s="180"/>
      <c r="X835" s="191"/>
      <c r="Y835" s="180"/>
      <c r="Z835" s="192" t="str">
        <f>IFERROR(Tableau3[[#This Row],[Chiffre d''affaires]]/Tableau3[[#This Row],[Salariés]],"")</f>
        <v/>
      </c>
      <c r="AA835" s="197"/>
      <c r="AB835" s="197"/>
      <c r="AC835" s="177" t="s">
        <v>638</v>
      </c>
    </row>
    <row r="836" spans="1:29" ht="20.25" customHeight="1">
      <c r="A836" s="217"/>
      <c r="E836" s="187"/>
      <c r="G836" s="202">
        <f>(G835/G837)-1</f>
        <v>-0.10635297486788187</v>
      </c>
      <c r="H836" s="203">
        <f>(H835/H837)-1</f>
        <v>-0.20958371015922606</v>
      </c>
      <c r="I836" s="203">
        <f>(I835/I837)-1</f>
        <v>-0.1934944411634284</v>
      </c>
      <c r="J836" s="203">
        <f>(J835/J837)-1</f>
        <v>-0.2135405333526752</v>
      </c>
      <c r="K836" s="188"/>
      <c r="L836" s="188"/>
      <c r="M836" s="208"/>
      <c r="N836" s="190"/>
      <c r="O836" s="190"/>
      <c r="P836" s="188"/>
      <c r="Q836" s="188"/>
      <c r="R836" s="195"/>
      <c r="S836" s="197"/>
      <c r="T836" s="180"/>
      <c r="U836" s="189" t="str">
        <f>IFERROR(IF(Tableau3[[#This Row],[Dettes]]=0,"",(Tableau3[[#This Row],[Dettes]]/Tableau3[[#This Row],[EBE]])),"")</f>
        <v/>
      </c>
      <c r="V836" s="190" t="str">
        <f>IFERROR(Tableau3[[#This Row],[Fonds propres]]/Tableau3[[#This Row],[Total Bilan]],"")</f>
        <v/>
      </c>
      <c r="W836" s="180"/>
      <c r="X836" s="191"/>
      <c r="Y836" s="180"/>
      <c r="Z836" s="192" t="str">
        <f>IFERROR(Tableau3[[#This Row],[Chiffre d''affaires]]/Tableau3[[#This Row],[Salariés]],"")</f>
        <v/>
      </c>
      <c r="AA836" s="197"/>
      <c r="AB836" s="197"/>
    </row>
    <row r="837" spans="1:29" ht="20.25" customHeight="1">
      <c r="A837" s="217"/>
      <c r="E837" s="187">
        <f>23.95*0.109</f>
        <v>2.6105499999999999</v>
      </c>
      <c r="F837" s="178">
        <v>2015</v>
      </c>
      <c r="G837" s="188">
        <v>3547771000</v>
      </c>
      <c r="H837" s="188">
        <v>802758000</v>
      </c>
      <c r="I837" s="188">
        <v>502893000</v>
      </c>
      <c r="J837" s="188">
        <v>330888000</v>
      </c>
      <c r="K837" s="188"/>
      <c r="L837" s="188">
        <v>3080340000</v>
      </c>
      <c r="M837" s="208">
        <f>L841/P837</f>
        <v>1.0503082666099739</v>
      </c>
      <c r="N837" s="190">
        <f>J837/L841</f>
        <v>0.12311864245332373</v>
      </c>
      <c r="O837" s="190">
        <f>(I837*0.6666)/(K837+L841)</f>
        <v>0.1247336700211419</v>
      </c>
      <c r="P837" s="188">
        <v>2558824000</v>
      </c>
      <c r="Q837" s="188">
        <f>P837*E837</f>
        <v>6679937993.1999998</v>
      </c>
      <c r="R837" s="195">
        <f>Q837/L839</f>
        <v>2.2260991193830049</v>
      </c>
      <c r="S837" s="197">
        <f>(Q837+K837)/H837</f>
        <v>8.321235033721246</v>
      </c>
      <c r="T837" s="180"/>
      <c r="U837" s="189" t="str">
        <f>IFERROR(IF(Tableau3[[#This Row],[Dettes]]=0,"",(Tableau3[[#This Row],[Dettes]]/Tableau3[[#This Row],[EBE]])),"")</f>
        <v/>
      </c>
      <c r="V837" s="190" t="str">
        <f>IFERROR(Tableau3[[#This Row],[Fonds propres]]/Tableau3[[#This Row],[Total Bilan]],"")</f>
        <v/>
      </c>
      <c r="W837" s="180"/>
      <c r="X837" s="191"/>
      <c r="Y837" s="180"/>
      <c r="Z837" s="192" t="str">
        <f>IFERROR(Tableau3[[#This Row],[Chiffre d''affaires]]/Tableau3[[#This Row],[Salariés]],"")</f>
        <v/>
      </c>
      <c r="AA837" s="197"/>
      <c r="AB837" s="197"/>
    </row>
    <row r="838" spans="1:29" ht="20.25" customHeight="1">
      <c r="A838" s="217"/>
      <c r="E838" s="187"/>
      <c r="G838" s="202">
        <f>(G837/G839)-1</f>
        <v>-1.1051058423918736E-3</v>
      </c>
      <c r="H838" s="203">
        <f>(H837/H839)-1</f>
        <v>-0.1587541616496323</v>
      </c>
      <c r="I838" s="203">
        <f>(I837/I839)-1</f>
        <v>-0.28316971966400162</v>
      </c>
      <c r="J838" s="203">
        <f>(J837/J839)-1</f>
        <v>-0.26588423224546842</v>
      </c>
      <c r="K838" s="188"/>
      <c r="L838" s="188"/>
      <c r="M838" s="208"/>
      <c r="N838" s="190"/>
      <c r="O838" s="190"/>
      <c r="P838" s="188"/>
      <c r="Q838" s="188"/>
      <c r="R838" s="195"/>
      <c r="S838" s="197"/>
      <c r="T838" s="180"/>
      <c r="U838" s="189" t="str">
        <f>IFERROR(IF(Tableau3[[#This Row],[Dettes]]=0,"",(Tableau3[[#This Row],[Dettes]]/Tableau3[[#This Row],[EBE]])),"")</f>
        <v/>
      </c>
      <c r="V838" s="190" t="str">
        <f>IFERROR(Tableau3[[#This Row],[Fonds propres]]/Tableau3[[#This Row],[Total Bilan]],"")</f>
        <v/>
      </c>
      <c r="W838" s="180"/>
      <c r="X838" s="191"/>
      <c r="Y838" s="180"/>
      <c r="Z838" s="192" t="str">
        <f>IFERROR(Tableau3[[#This Row],[Chiffre d''affaires]]/Tableau3[[#This Row],[Salariés]],"")</f>
        <v/>
      </c>
      <c r="AA838" s="197"/>
      <c r="AB838" s="197"/>
    </row>
    <row r="839" spans="1:29" ht="20.25" customHeight="1">
      <c r="A839" s="217"/>
      <c r="E839" s="187">
        <f>45.55*0.109</f>
        <v>4.96495</v>
      </c>
      <c r="F839" s="178">
        <v>2014</v>
      </c>
      <c r="G839" s="188">
        <v>3551696000</v>
      </c>
      <c r="H839" s="188">
        <v>954249000</v>
      </c>
      <c r="I839" s="188">
        <v>701551000</v>
      </c>
      <c r="J839" s="188">
        <v>450730000</v>
      </c>
      <c r="K839" s="188"/>
      <c r="L839" s="188">
        <v>3000737000</v>
      </c>
      <c r="M839" s="208">
        <f>L843/P839</f>
        <v>0.9066750976229706</v>
      </c>
      <c r="N839" s="190">
        <f>J839/L843</f>
        <v>0.19427833011928336</v>
      </c>
      <c r="O839" s="190">
        <f>(I839*0.6666)/(K839+L843)</f>
        <v>0.20157304396251413</v>
      </c>
      <c r="P839" s="188">
        <v>2558824000</v>
      </c>
      <c r="Q839" s="188">
        <f>P839*E839</f>
        <v>12704433218.799999</v>
      </c>
      <c r="R839" s="195">
        <f>Q839/L841</f>
        <v>4.7271359826816504</v>
      </c>
      <c r="S839" s="197">
        <f>(Q839+K839)/H839</f>
        <v>13.313541034677531</v>
      </c>
      <c r="T839" s="180"/>
      <c r="U839" s="189" t="str">
        <f>IFERROR(IF(Tableau3[[#This Row],[Dettes]]=0,"",(Tableau3[[#This Row],[Dettes]]/Tableau3[[#This Row],[EBE]])),"")</f>
        <v/>
      </c>
      <c r="V839" s="190" t="str">
        <f>IFERROR(Tableau3[[#This Row],[Fonds propres]]/Tableau3[[#This Row],[Total Bilan]],"")</f>
        <v/>
      </c>
      <c r="W839" s="180"/>
      <c r="X839" s="191"/>
      <c r="Y839" s="180"/>
      <c r="Z839" s="192" t="str">
        <f>IFERROR(Tableau3[[#This Row],[Chiffre d''affaires]]/Tableau3[[#This Row],[Salariés]],"")</f>
        <v/>
      </c>
      <c r="AA839" s="197"/>
      <c r="AB839" s="197"/>
    </row>
    <row r="840" spans="1:29" ht="20.25" customHeight="1">
      <c r="A840" s="217"/>
      <c r="E840" s="187"/>
      <c r="G840" s="202">
        <f>(G839/G841)-1</f>
        <v>-9.9379848116170066E-3</v>
      </c>
      <c r="H840" s="203">
        <f>(H839/H841)-1</f>
        <v>-0.16527231789052699</v>
      </c>
      <c r="I840" s="203">
        <f>(I839/I841)-1</f>
        <v>-0.25306285846916166</v>
      </c>
      <c r="J840" s="203">
        <f>(J839/J841)-1</f>
        <v>-0.2820312686668206</v>
      </c>
      <c r="K840" s="188"/>
      <c r="L840" s="188"/>
      <c r="M840" s="208"/>
      <c r="N840" s="190"/>
      <c r="O840" s="190"/>
      <c r="P840" s="188"/>
      <c r="Q840" s="188"/>
      <c r="R840" s="195"/>
      <c r="S840" s="197"/>
      <c r="T840" s="180"/>
      <c r="U840" s="189" t="str">
        <f>IFERROR(IF(Tableau3[[#This Row],[Dettes]]=0,"",(Tableau3[[#This Row],[Dettes]]/Tableau3[[#This Row],[EBE]])),"")</f>
        <v/>
      </c>
      <c r="V840" s="190" t="str">
        <f>IFERROR(Tableau3[[#This Row],[Fonds propres]]/Tableau3[[#This Row],[Total Bilan]],"")</f>
        <v/>
      </c>
      <c r="W840" s="180"/>
      <c r="X840" s="191"/>
      <c r="Y840" s="180"/>
      <c r="Z840" s="192" t="str">
        <f>IFERROR(Tableau3[[#This Row],[Chiffre d''affaires]]/Tableau3[[#This Row],[Salariés]],"")</f>
        <v/>
      </c>
      <c r="AA840" s="197"/>
      <c r="AB840" s="197"/>
    </row>
    <row r="841" spans="1:29" ht="20.25" customHeight="1">
      <c r="A841" s="217"/>
      <c r="E841" s="187">
        <f>56.95*0.109</f>
        <v>6.2075500000000003</v>
      </c>
      <c r="F841" s="178">
        <v>2013</v>
      </c>
      <c r="G841" s="188">
        <v>3587347000</v>
      </c>
      <c r="H841" s="188">
        <v>1143186000</v>
      </c>
      <c r="I841" s="188">
        <v>939237000</v>
      </c>
      <c r="J841" s="188">
        <v>627785000</v>
      </c>
      <c r="K841" s="188"/>
      <c r="L841" s="188">
        <v>2687554000</v>
      </c>
      <c r="M841" s="208">
        <f>L845/P841</f>
        <v>0.7123362138232251</v>
      </c>
      <c r="N841" s="190">
        <f>J841/L845</f>
        <v>0.34441772647048979</v>
      </c>
      <c r="O841" s="190">
        <f>(I841*0.6666)/(K841+L845)</f>
        <v>0.34349076320688104</v>
      </c>
      <c r="P841" s="188">
        <v>2558824000</v>
      </c>
      <c r="Q841" s="188">
        <f>P841*E841</f>
        <v>15884027921.200001</v>
      </c>
      <c r="R841" s="195">
        <f>Q841/L843</f>
        <v>6.8464988354420777</v>
      </c>
      <c r="S841" s="197">
        <f>(Q841+K841)/H841</f>
        <v>13.894526281112611</v>
      </c>
      <c r="T841" s="180"/>
      <c r="U841" s="189" t="str">
        <f>IFERROR(IF(Tableau3[[#This Row],[Dettes]]=0,"",(Tableau3[[#This Row],[Dettes]]/Tableau3[[#This Row],[EBE]])),"")</f>
        <v/>
      </c>
      <c r="V841" s="190" t="str">
        <f>IFERROR(Tableau3[[#This Row],[Fonds propres]]/Tableau3[[#This Row],[Total Bilan]],"")</f>
        <v/>
      </c>
      <c r="W841" s="180"/>
      <c r="X841" s="191"/>
      <c r="Y841" s="180"/>
      <c r="Z841" s="192" t="str">
        <f>IFERROR(Tableau3[[#This Row],[Chiffre d''affaires]]/Tableau3[[#This Row],[Salariés]],"")</f>
        <v/>
      </c>
      <c r="AA841" s="197"/>
      <c r="AB841" s="197"/>
    </row>
    <row r="842" spans="1:29" ht="20.25" customHeight="1">
      <c r="A842" s="217"/>
      <c r="E842" s="187"/>
      <c r="G842" s="202">
        <f>(G841/G843)-1</f>
        <v>8.7991728787199186E-2</v>
      </c>
      <c r="H842" s="203">
        <f>(H841/H843)-1</f>
        <v>8.6194462734769495E-2</v>
      </c>
      <c r="I842" s="203">
        <f>(I841/I843)-1</f>
        <v>5.5582216298167841E-2</v>
      </c>
      <c r="J842" s="203">
        <f>(J841/J843)-1</f>
        <v>3.362735962894936E-3</v>
      </c>
      <c r="K842" s="188"/>
      <c r="L842" s="188"/>
      <c r="M842" s="208"/>
      <c r="N842" s="190"/>
      <c r="O842" s="190"/>
      <c r="P842" s="188"/>
      <c r="Q842" s="188"/>
      <c r="R842" s="195"/>
      <c r="S842" s="197"/>
      <c r="T842" s="180"/>
      <c r="U842" s="189" t="str">
        <f>IFERROR(IF(Tableau3[[#This Row],[Dettes]]=0,"",(Tableau3[[#This Row],[Dettes]]/Tableau3[[#This Row],[EBE]])),"")</f>
        <v/>
      </c>
      <c r="V842" s="190" t="str">
        <f>IFERROR(Tableau3[[#This Row],[Fonds propres]]/Tableau3[[#This Row],[Total Bilan]],"")</f>
        <v/>
      </c>
      <c r="W842" s="180"/>
      <c r="X842" s="191"/>
      <c r="Y842" s="180"/>
      <c r="Z842" s="192" t="str">
        <f>IFERROR(Tableau3[[#This Row],[Chiffre d''affaires]]/Tableau3[[#This Row],[Salariés]],"")</f>
        <v/>
      </c>
      <c r="AA842" s="197"/>
      <c r="AB842" s="197"/>
    </row>
    <row r="843" spans="1:29" ht="20.25" customHeight="1">
      <c r="A843" s="217"/>
      <c r="E843" s="187">
        <f>71.2*0.109</f>
        <v>7.7608000000000006</v>
      </c>
      <c r="F843" s="178">
        <v>2012</v>
      </c>
      <c r="G843" s="188">
        <v>3297219000</v>
      </c>
      <c r="H843" s="188">
        <v>1052469000</v>
      </c>
      <c r="I843" s="188">
        <v>889781000</v>
      </c>
      <c r="J843" s="188">
        <v>625681000</v>
      </c>
      <c r="K843" s="188"/>
      <c r="L843" s="188">
        <v>2320022000</v>
      </c>
      <c r="M843" s="208">
        <f>L847/P843</f>
        <v>0.47066543068221967</v>
      </c>
      <c r="N843" s="190">
        <f>J843/L847</f>
        <v>0.51951758209822729</v>
      </c>
      <c r="O843" s="190">
        <f>(I843*0.6666)/(K843+L847)</f>
        <v>0.49248807622368912</v>
      </c>
      <c r="P843" s="188">
        <v>2558824000</v>
      </c>
      <c r="Q843" s="188">
        <f>P843*E843</f>
        <v>19858521299.200001</v>
      </c>
      <c r="R843" s="195">
        <f>Q843/L845</f>
        <v>10.894855335722042</v>
      </c>
      <c r="S843" s="197">
        <f>(Q843+K843)/H843</f>
        <v>18.868509475528494</v>
      </c>
      <c r="T843" s="180"/>
      <c r="U843" s="189" t="str">
        <f>IFERROR(IF(Tableau3[[#This Row],[Dettes]]=0,"",(Tableau3[[#This Row],[Dettes]]/Tableau3[[#This Row],[EBE]])),"")</f>
        <v/>
      </c>
      <c r="V843" s="190" t="str">
        <f>IFERROR(Tableau3[[#This Row],[Fonds propres]]/Tableau3[[#This Row],[Total Bilan]],"")</f>
        <v/>
      </c>
      <c r="W843" s="180"/>
      <c r="X843" s="191"/>
      <c r="Y843" s="180"/>
      <c r="Z843" s="192" t="str">
        <f>IFERROR(Tableau3[[#This Row],[Chiffre d''affaires]]/Tableau3[[#This Row],[Salariés]],"")</f>
        <v/>
      </c>
      <c r="AA843" s="197"/>
      <c r="AB843" s="197"/>
    </row>
    <row r="844" spans="1:29" ht="20.25" customHeight="1">
      <c r="A844" s="217"/>
      <c r="E844" s="187"/>
      <c r="G844" s="202">
        <f>(G843/G845)-1</f>
        <v>0.29019066319299602</v>
      </c>
      <c r="H844" s="203">
        <f>(H843/H845)-1</f>
        <v>0.3861919362741224</v>
      </c>
      <c r="I844" s="203">
        <f>(I843/I845)-1</f>
        <v>0.41474238196315993</v>
      </c>
      <c r="J844" s="203">
        <f>(J843/J845)-1</f>
        <v>0.43365068453915345</v>
      </c>
      <c r="K844" s="188"/>
      <c r="L844" s="188"/>
      <c r="M844" s="208"/>
      <c r="N844" s="190"/>
      <c r="O844" s="190"/>
      <c r="P844" s="188"/>
      <c r="Q844" s="188"/>
      <c r="R844" s="195"/>
      <c r="S844" s="197"/>
      <c r="T844" s="180"/>
      <c r="U844" s="189" t="str">
        <f>IFERROR(IF(Tableau3[[#This Row],[Dettes]]=0,"",(Tableau3[[#This Row],[Dettes]]/Tableau3[[#This Row],[EBE]])),"")</f>
        <v/>
      </c>
      <c r="V844" s="190" t="str">
        <f>IFERROR(Tableau3[[#This Row],[Fonds propres]]/Tableau3[[#This Row],[Total Bilan]],"")</f>
        <v/>
      </c>
      <c r="W844" s="180"/>
      <c r="X844" s="191"/>
      <c r="Y844" s="180"/>
      <c r="Z844" s="192" t="str">
        <f>IFERROR(Tableau3[[#This Row],[Chiffre d''affaires]]/Tableau3[[#This Row],[Salariés]],"")</f>
        <v/>
      </c>
      <c r="AA844" s="197"/>
      <c r="AB844" s="197"/>
    </row>
    <row r="845" spans="1:29" ht="20.25" customHeight="1">
      <c r="A845" s="217"/>
      <c r="E845" s="187">
        <f>39.75*0.109</f>
        <v>4.3327499999999999</v>
      </c>
      <c r="F845" s="178">
        <v>2011</v>
      </c>
      <c r="G845" s="188">
        <v>2555606000</v>
      </c>
      <c r="H845" s="188">
        <v>759252000</v>
      </c>
      <c r="I845" s="188">
        <v>628935000</v>
      </c>
      <c r="J845" s="188">
        <v>436425000</v>
      </c>
      <c r="K845" s="188"/>
      <c r="L845" s="188">
        <v>1822743000</v>
      </c>
      <c r="M845" s="208">
        <f>L849/P845</f>
        <v>0</v>
      </c>
      <c r="N845" s="190" t="e">
        <f>J845/L849</f>
        <v>#DIV/0!</v>
      </c>
      <c r="O845" s="190" t="e">
        <f>(I845*0.6666)/(K845+L849)</f>
        <v>#DIV/0!</v>
      </c>
      <c r="P845" s="188">
        <v>2558824000</v>
      </c>
      <c r="Q845" s="188">
        <f>P845*E845</f>
        <v>11086744686</v>
      </c>
      <c r="R845" s="195">
        <f>Q845/L847</f>
        <v>9.2055836642172117</v>
      </c>
      <c r="S845" s="197">
        <f>(Q845+K845)/H845</f>
        <v>14.60219358789967</v>
      </c>
      <c r="T845" s="180"/>
      <c r="U845" s="189" t="str">
        <f>IFERROR(IF(Tableau3[[#This Row],[Dettes]]=0,"",(Tableau3[[#This Row],[Dettes]]/Tableau3[[#This Row],[EBE]])),"")</f>
        <v/>
      </c>
      <c r="V845" s="190" t="str">
        <f>IFERROR(Tableau3[[#This Row],[Fonds propres]]/Tableau3[[#This Row],[Total Bilan]],"")</f>
        <v/>
      </c>
      <c r="W845" s="180"/>
      <c r="X845" s="191"/>
      <c r="Y845" s="180"/>
      <c r="Z845" s="192" t="str">
        <f>IFERROR(Tableau3[[#This Row],[Chiffre d''affaires]]/Tableau3[[#This Row],[Salariés]],"")</f>
        <v/>
      </c>
      <c r="AA845" s="197"/>
      <c r="AB845" s="197"/>
    </row>
    <row r="846" spans="1:29" ht="20.25" customHeight="1">
      <c r="A846" s="217"/>
      <c r="E846" s="187"/>
      <c r="G846" s="202">
        <f>(G845/G847)-1</f>
        <v>0.24867698498669299</v>
      </c>
      <c r="H846" s="203">
        <f>(H845/H847)-1</f>
        <v>0.41669994215662487</v>
      </c>
      <c r="I846" s="203">
        <f>(I845/I847)-1</f>
        <v>0.50323743328545101</v>
      </c>
      <c r="J846" s="203">
        <f>(J845/J847)-1</f>
        <v>0.72125134588307671</v>
      </c>
      <c r="K846" s="188"/>
      <c r="L846" s="188"/>
      <c r="M846" s="208"/>
      <c r="N846" s="190"/>
      <c r="O846" s="190"/>
      <c r="P846" s="188"/>
      <c r="Q846" s="188"/>
      <c r="R846" s="195"/>
      <c r="S846" s="197"/>
      <c r="T846" s="180"/>
      <c r="U846" s="189" t="str">
        <f>IFERROR(IF(Tableau3[[#This Row],[Dettes]]=0,"",(Tableau3[[#This Row],[Dettes]]/Tableau3[[#This Row],[EBE]])),"")</f>
        <v/>
      </c>
      <c r="V846" s="190" t="str">
        <f>IFERROR(Tableau3[[#This Row],[Fonds propres]]/Tableau3[[#This Row],[Total Bilan]],"")</f>
        <v/>
      </c>
      <c r="W846" s="180"/>
      <c r="X846" s="191"/>
      <c r="Y846" s="180"/>
      <c r="Z846" s="192" t="str">
        <f>IFERROR(Tableau3[[#This Row],[Chiffre d''affaires]]/Tableau3[[#This Row],[Salariés]],"")</f>
        <v/>
      </c>
      <c r="AA846" s="197"/>
      <c r="AB846" s="197"/>
    </row>
    <row r="847" spans="1:29" ht="20.25" customHeight="1">
      <c r="A847" s="217"/>
      <c r="E847" s="187"/>
      <c r="F847" s="178">
        <v>2010</v>
      </c>
      <c r="G847" s="188">
        <v>2046651000</v>
      </c>
      <c r="H847" s="188">
        <v>535930000</v>
      </c>
      <c r="I847" s="188">
        <v>418387000</v>
      </c>
      <c r="J847" s="188">
        <v>253551000</v>
      </c>
      <c r="K847" s="188"/>
      <c r="L847" s="188">
        <v>1204350000</v>
      </c>
      <c r="M847" s="208">
        <f>L856/P847</f>
        <v>0</v>
      </c>
      <c r="N847" s="190" t="e">
        <f>J847/L856</f>
        <v>#DIV/0!</v>
      </c>
      <c r="O847" s="190" t="e">
        <f>(I847*0.6666)/(K847+L856)</f>
        <v>#DIV/0!</v>
      </c>
      <c r="P847" s="188">
        <v>2500000000</v>
      </c>
      <c r="Q847" s="188">
        <f>P847*E847</f>
        <v>0</v>
      </c>
      <c r="R847" s="195" t="e">
        <f>Q847/L849</f>
        <v>#DIV/0!</v>
      </c>
      <c r="S847" s="197">
        <f>(Q847+K847)/H847</f>
        <v>0</v>
      </c>
      <c r="T847" s="180"/>
      <c r="U847" s="189" t="str">
        <f>IFERROR(IF(Tableau3[[#This Row],[Dettes]]=0,"",(Tableau3[[#This Row],[Dettes]]/Tableau3[[#This Row],[EBE]])),"")</f>
        <v/>
      </c>
      <c r="V847" s="190" t="str">
        <f>IFERROR(Tableau3[[#This Row],[Fonds propres]]/Tableau3[[#This Row],[Total Bilan]],"")</f>
        <v/>
      </c>
      <c r="W847" s="180"/>
      <c r="X847" s="191"/>
      <c r="Y847" s="180"/>
      <c r="Z847" s="192" t="str">
        <f>IFERROR(Tableau3[[#This Row],[Chiffre d''affaires]]/Tableau3[[#This Row],[Salariés]],"")</f>
        <v/>
      </c>
      <c r="AA847" s="197"/>
      <c r="AB847" s="197"/>
    </row>
    <row r="848" spans="1:29" ht="20.25" customHeight="1">
      <c r="A848" s="217"/>
      <c r="E848" s="187"/>
      <c r="G848" s="188"/>
      <c r="H848" s="188"/>
      <c r="I848" s="188"/>
      <c r="J848" s="188"/>
      <c r="K848" s="188"/>
      <c r="L848" s="188"/>
      <c r="M848" s="208"/>
      <c r="N848" s="190"/>
      <c r="O848" s="190"/>
      <c r="P848" s="188"/>
      <c r="Q848" s="188"/>
      <c r="R848" s="195"/>
      <c r="S848" s="197"/>
      <c r="T848" s="180"/>
      <c r="U848" s="189" t="str">
        <f>IFERROR(IF(Tableau3[[#This Row],[Dettes]]=0,"",(Tableau3[[#This Row],[Dettes]]/Tableau3[[#This Row],[EBE]])),"")</f>
        <v/>
      </c>
      <c r="V848" s="190" t="str">
        <f>IFERROR(Tableau3[[#This Row],[Fonds propres]]/Tableau3[[#This Row],[Total Bilan]],"")</f>
        <v/>
      </c>
      <c r="W848" s="180"/>
      <c r="X848" s="191"/>
      <c r="Y848" s="180"/>
      <c r="Z848" s="192" t="str">
        <f>IFERROR(Tableau3[[#This Row],[Chiffre d''affaires]]/Tableau3[[#This Row],[Salariés]],"")</f>
        <v/>
      </c>
      <c r="AA848" s="197"/>
      <c r="AB848" s="197"/>
    </row>
    <row r="849" spans="1:29" ht="20.25" customHeight="1">
      <c r="A849" s="217"/>
      <c r="F849" s="229" t="s">
        <v>639</v>
      </c>
      <c r="G849" s="188"/>
      <c r="H849" s="188"/>
      <c r="I849" s="188"/>
      <c r="J849" s="188"/>
      <c r="K849" s="188"/>
      <c r="L849" s="188"/>
      <c r="M849" s="208"/>
      <c r="N849" s="190"/>
      <c r="O849" s="190"/>
      <c r="P849" s="188"/>
      <c r="Q849" s="188"/>
      <c r="R849" s="195"/>
      <c r="S849" s="197"/>
      <c r="T849" s="180"/>
      <c r="U849" s="189" t="str">
        <f>IFERROR(IF(Tableau3[[#This Row],[Dettes]]=0,"",(Tableau3[[#This Row],[Dettes]]/Tableau3[[#This Row],[EBE]])),"")</f>
        <v/>
      </c>
      <c r="V849" s="190" t="str">
        <f>IFERROR(Tableau3[[#This Row],[Fonds propres]]/Tableau3[[#This Row],[Total Bilan]],"")</f>
        <v/>
      </c>
      <c r="W849" s="180"/>
      <c r="X849" s="191"/>
      <c r="Y849" s="180"/>
      <c r="Z849" s="192" t="str">
        <f>IFERROR(Tableau3[[#This Row],[Chiffre d''affaires]]/Tableau3[[#This Row],[Salariés]],"")</f>
        <v/>
      </c>
      <c r="AA849" s="197"/>
      <c r="AB849" s="197"/>
    </row>
    <row r="850" spans="1:29" ht="20.25" customHeight="1">
      <c r="A850" s="217"/>
      <c r="E850" s="187"/>
      <c r="G850" s="188"/>
      <c r="H850" s="188"/>
      <c r="I850" s="188"/>
      <c r="J850" s="188"/>
      <c r="K850" s="188"/>
      <c r="L850" s="188"/>
      <c r="M850" s="208"/>
      <c r="N850" s="190"/>
      <c r="O850" s="190"/>
      <c r="P850" s="188"/>
      <c r="Q850" s="188"/>
      <c r="R850" s="195"/>
      <c r="S850" s="197"/>
      <c r="T850" s="180"/>
      <c r="U850" s="189" t="str">
        <f>IFERROR(IF(Tableau3[[#This Row],[Dettes]]=0,"",(Tableau3[[#This Row],[Dettes]]/Tableau3[[#This Row],[EBE]])),"")</f>
        <v/>
      </c>
      <c r="V850" s="190" t="str">
        <f>IFERROR(Tableau3[[#This Row],[Fonds propres]]/Tableau3[[#This Row],[Total Bilan]],"")</f>
        <v/>
      </c>
      <c r="W850" s="180"/>
      <c r="X850" s="191"/>
      <c r="Y850" s="180"/>
      <c r="Z850" s="192" t="str">
        <f>IFERROR(Tableau3[[#This Row],[Chiffre d''affaires]]/Tableau3[[#This Row],[Salariés]],"")</f>
        <v/>
      </c>
      <c r="AA850" s="197"/>
      <c r="AB850" s="197"/>
    </row>
    <row r="851" spans="1:29" ht="20.25" customHeight="1">
      <c r="A851" s="217"/>
      <c r="E851" s="187"/>
      <c r="G851" s="188"/>
      <c r="H851" s="188"/>
      <c r="I851" s="188"/>
      <c r="J851" s="188"/>
      <c r="K851" s="188"/>
      <c r="L851" s="188"/>
      <c r="M851" s="208"/>
      <c r="N851" s="190"/>
      <c r="O851" s="190"/>
      <c r="P851" s="188"/>
      <c r="Q851" s="188"/>
      <c r="R851" s="195"/>
      <c r="S851" s="197"/>
      <c r="T851" s="180"/>
      <c r="U851" s="189" t="str">
        <f>IFERROR(IF(Tableau3[[#This Row],[Dettes]]=0,"",(Tableau3[[#This Row],[Dettes]]/Tableau3[[#This Row],[EBE]])),"")</f>
        <v/>
      </c>
      <c r="V851" s="190" t="str">
        <f>IFERROR(Tableau3[[#This Row],[Fonds propres]]/Tableau3[[#This Row],[Total Bilan]],"")</f>
        <v/>
      </c>
      <c r="W851" s="180"/>
      <c r="X851" s="191"/>
      <c r="Y851" s="180"/>
      <c r="Z851" s="192" t="str">
        <f>IFERROR(Tableau3[[#This Row],[Chiffre d''affaires]]/Tableau3[[#This Row],[Salariés]],"")</f>
        <v/>
      </c>
      <c r="AA851" s="197"/>
      <c r="AB851" s="197"/>
    </row>
    <row r="852" spans="1:29" ht="20.25" customHeight="1">
      <c r="A852" s="217"/>
      <c r="E852" s="187"/>
      <c r="G852" s="188"/>
      <c r="H852" s="188"/>
      <c r="I852" s="188"/>
      <c r="J852" s="188"/>
      <c r="K852" s="188"/>
      <c r="L852" s="188"/>
      <c r="M852" s="208"/>
      <c r="N852" s="190"/>
      <c r="O852" s="190"/>
      <c r="P852" s="188"/>
      <c r="Q852" s="188"/>
      <c r="R852" s="195"/>
      <c r="S852" s="197"/>
      <c r="T852" s="180"/>
      <c r="U852" s="189" t="str">
        <f>IFERROR(IF(Tableau3[[#This Row],[Dettes]]=0,"",(Tableau3[[#This Row],[Dettes]]/Tableau3[[#This Row],[EBE]])),"")</f>
        <v/>
      </c>
      <c r="V852" s="190" t="str">
        <f>IFERROR(Tableau3[[#This Row],[Fonds propres]]/Tableau3[[#This Row],[Total Bilan]],"")</f>
        <v/>
      </c>
      <c r="W852" s="180"/>
      <c r="X852" s="191"/>
      <c r="Y852" s="180"/>
      <c r="Z852" s="192" t="str">
        <f>IFERROR(Tableau3[[#This Row],[Chiffre d''affaires]]/Tableau3[[#This Row],[Salariés]],"")</f>
        <v/>
      </c>
      <c r="AA852" s="197"/>
      <c r="AB852" s="197"/>
    </row>
    <row r="853" spans="1:29" ht="20.25" customHeight="1">
      <c r="A853" s="217" t="s">
        <v>640</v>
      </c>
      <c r="B853" s="216" t="s">
        <v>575</v>
      </c>
      <c r="C853" s="178" t="s">
        <v>47</v>
      </c>
      <c r="D853" s="178" t="s">
        <v>48</v>
      </c>
      <c r="E853" s="187">
        <v>3.2</v>
      </c>
      <c r="F853" s="178">
        <v>2021</v>
      </c>
      <c r="G853" s="188"/>
      <c r="H853" s="188"/>
      <c r="I853" s="188"/>
      <c r="J853" s="188"/>
      <c r="K853" s="188"/>
      <c r="L853" s="188"/>
      <c r="M853" s="208"/>
      <c r="N853" s="190"/>
      <c r="O853" s="190"/>
      <c r="P853" s="188">
        <v>59700000</v>
      </c>
      <c r="Q853" s="188">
        <f>E853*P853</f>
        <v>191040000</v>
      </c>
      <c r="R853" s="195"/>
      <c r="S853" s="197"/>
      <c r="T853" s="180"/>
      <c r="U853" s="189" t="str">
        <f>IFERROR(IF(Tableau3[[#This Row],[Dettes]]=0,"",(Tableau3[[#This Row],[Dettes]]/Tableau3[[#This Row],[EBE]])),"")</f>
        <v/>
      </c>
      <c r="V853" s="190" t="str">
        <f>IFERROR(Tableau3[[#This Row],[Fonds propres]]/Tableau3[[#This Row],[Total Bilan]],"")</f>
        <v/>
      </c>
      <c r="W853" s="180"/>
      <c r="X853" s="191"/>
      <c r="Y853" s="180"/>
      <c r="Z853" s="192" t="str">
        <f>IFERROR(Tableau3[[#This Row],[Chiffre d''affaires]]/Tableau3[[#This Row],[Salariés]],"")</f>
        <v/>
      </c>
      <c r="AA853" s="197"/>
      <c r="AB853" s="197"/>
      <c r="AC853" s="177" t="s">
        <v>641</v>
      </c>
    </row>
    <row r="854" spans="1:29" ht="20.25" customHeight="1">
      <c r="A854" s="217"/>
      <c r="E854" s="187"/>
      <c r="G854" s="188"/>
      <c r="H854" s="188"/>
      <c r="I854" s="188"/>
      <c r="J854" s="188"/>
      <c r="K854" s="188"/>
      <c r="L854" s="188"/>
      <c r="M854" s="208"/>
      <c r="N854" s="190"/>
      <c r="O854" s="190"/>
      <c r="P854" s="188"/>
      <c r="Q854" s="188"/>
      <c r="R854" s="195"/>
      <c r="S854" s="197"/>
      <c r="T854" s="180"/>
      <c r="U854" s="189" t="str">
        <f>IFERROR(IF(Tableau3[[#This Row],[Dettes]]=0,"",(Tableau3[[#This Row],[Dettes]]/Tableau3[[#This Row],[EBE]])),"")</f>
        <v/>
      </c>
      <c r="V854" s="190" t="str">
        <f>IFERROR(Tableau3[[#This Row],[Fonds propres]]/Tableau3[[#This Row],[Total Bilan]],"")</f>
        <v/>
      </c>
      <c r="W854" s="180"/>
      <c r="X854" s="191"/>
      <c r="Y854" s="180"/>
      <c r="Z854" s="192" t="str">
        <f>IFERROR(Tableau3[[#This Row],[Chiffre d''affaires]]/Tableau3[[#This Row],[Salariés]],"")</f>
        <v/>
      </c>
      <c r="AA854" s="197"/>
      <c r="AB854" s="197"/>
      <c r="AC854" s="177" t="s">
        <v>643</v>
      </c>
    </row>
    <row r="855" spans="1:29" ht="20.25" customHeight="1">
      <c r="A855" s="217"/>
      <c r="E855" s="187">
        <v>2.2799999999999998</v>
      </c>
      <c r="F855" s="178">
        <v>2020</v>
      </c>
      <c r="G855" s="188">
        <v>149300000</v>
      </c>
      <c r="H855" s="188"/>
      <c r="I855" s="188">
        <v>-43000000</v>
      </c>
      <c r="J855" s="188">
        <v>-46868000</v>
      </c>
      <c r="K855" s="188">
        <v>-7200000</v>
      </c>
      <c r="L855" s="188">
        <v>13521000</v>
      </c>
      <c r="M855" s="208">
        <f>L855/P855</f>
        <v>0.22648241206030151</v>
      </c>
      <c r="N855" s="190">
        <f>J855/L855</f>
        <v>-3.4663116633385105</v>
      </c>
      <c r="O855" s="190">
        <f>(I855*0.6666)/(K855+L855)</f>
        <v>-4.5346938775510202</v>
      </c>
      <c r="P855" s="188">
        <v>59700000</v>
      </c>
      <c r="Q855" s="188">
        <f>E855*P855</f>
        <v>136116000</v>
      </c>
      <c r="R855" s="195">
        <f>Q855/L855</f>
        <v>10.067006878189483</v>
      </c>
      <c r="S855" s="197">
        <f>(Q855+K855)/I855</f>
        <v>-2.9980465116279071</v>
      </c>
      <c r="T855" s="180"/>
      <c r="U855" s="189" t="str">
        <f>IFERROR(IF(Tableau3[[#This Row],[Dettes]]=0,"",(Tableau3[[#This Row],[Dettes]]/Tableau3[[#This Row],[EBE]])),"")</f>
        <v/>
      </c>
      <c r="V855" s="190" t="str">
        <f>IFERROR(Tableau3[[#This Row],[Fonds propres]]/Tableau3[[#This Row],[Total Bilan]],"")</f>
        <v/>
      </c>
      <c r="W855" s="180"/>
      <c r="X855" s="191" t="s">
        <v>106</v>
      </c>
      <c r="Y855" s="180"/>
      <c r="Z855" s="192" t="str">
        <f>IFERROR(Tableau3[[#This Row],[Chiffre d''affaires]]/Tableau3[[#This Row],[Salariés]],"")</f>
        <v/>
      </c>
      <c r="AA855" s="197"/>
      <c r="AB855" s="197"/>
      <c r="AC855" s="177" t="s">
        <v>644</v>
      </c>
    </row>
    <row r="856" spans="1:29" ht="20.25" customHeight="1">
      <c r="A856" s="217"/>
      <c r="E856" s="187"/>
      <c r="G856" s="188"/>
      <c r="H856" s="188"/>
      <c r="I856" s="188"/>
      <c r="J856" s="188"/>
      <c r="K856" s="188"/>
      <c r="L856" s="188"/>
      <c r="M856" s="208"/>
      <c r="N856" s="190"/>
      <c r="O856" s="190"/>
      <c r="P856" s="188"/>
      <c r="Q856" s="188"/>
      <c r="R856" s="195"/>
      <c r="S856" s="197"/>
      <c r="T856" s="180"/>
      <c r="U856" s="189" t="str">
        <f>IFERROR(IF(Tableau3[[#This Row],[Dettes]]=0,"",(Tableau3[[#This Row],[Dettes]]/Tableau3[[#This Row],[EBE]])),"")</f>
        <v/>
      </c>
      <c r="V856" s="190" t="str">
        <f>IFERROR(Tableau3[[#This Row],[Fonds propres]]/Tableau3[[#This Row],[Total Bilan]],"")</f>
        <v/>
      </c>
      <c r="W856" s="180"/>
      <c r="X856" s="191"/>
      <c r="Y856" s="180"/>
      <c r="Z856" s="192" t="str">
        <f>IFERROR(Tableau3[[#This Row],[Chiffre d''affaires]]/Tableau3[[#This Row],[Salariés]],"")</f>
        <v/>
      </c>
      <c r="AA856" s="197"/>
      <c r="AB856" s="197"/>
      <c r="AC856" s="177" t="s">
        <v>645</v>
      </c>
    </row>
    <row r="857" spans="1:29" ht="20.25" customHeight="1">
      <c r="A857" s="217"/>
      <c r="E857" s="187">
        <v>2.76</v>
      </c>
      <c r="F857" s="178">
        <v>2019</v>
      </c>
      <c r="G857" s="188">
        <v>166300000</v>
      </c>
      <c r="H857" s="188">
        <v>8400000</v>
      </c>
      <c r="I857" s="188">
        <v>-4980000</v>
      </c>
      <c r="J857" s="188">
        <v>-4851000</v>
      </c>
      <c r="K857" s="188">
        <v>-11100000</v>
      </c>
      <c r="L857" s="188">
        <v>82126000</v>
      </c>
      <c r="M857" s="208">
        <f>L857/P857</f>
        <v>1.3756448911222781</v>
      </c>
      <c r="N857" s="190">
        <f>J857/L857</f>
        <v>-5.9067773908384677E-2</v>
      </c>
      <c r="O857" s="190">
        <f>(I857*0.6666)/(K857+L857)</f>
        <v>-4.6738771717399263E-2</v>
      </c>
      <c r="P857" s="188">
        <v>59700000</v>
      </c>
      <c r="Q857" s="188">
        <f>E857*P857</f>
        <v>164772000</v>
      </c>
      <c r="R857" s="195">
        <f>Q857/L857</f>
        <v>2.0063317341645766</v>
      </c>
      <c r="S857" s="197">
        <f>(Q857+K857)/I857</f>
        <v>-30.857831325301206</v>
      </c>
      <c r="T857" s="180"/>
      <c r="U857" s="189">
        <f>IFERROR(IF(Tableau3[[#This Row],[Dettes]]=0,"",(Tableau3[[#This Row],[Dettes]]/Tableau3[[#This Row],[EBE]])),"")</f>
        <v>-1.3214285714285714</v>
      </c>
      <c r="V857" s="190" t="str">
        <f>IFERROR(Tableau3[[#This Row],[Fonds propres]]/Tableau3[[#This Row],[Total Bilan]],"")</f>
        <v/>
      </c>
      <c r="W857" s="180"/>
      <c r="X857" s="191"/>
      <c r="Y857" s="180"/>
      <c r="Z857" s="192" t="str">
        <f>IFERROR(Tableau3[[#This Row],[Chiffre d''affaires]]/Tableau3[[#This Row],[Salariés]],"")</f>
        <v/>
      </c>
      <c r="AA857" s="197"/>
      <c r="AB857" s="197"/>
      <c r="AC857" s="177" t="s">
        <v>646</v>
      </c>
    </row>
    <row r="858" spans="1:29" ht="20.25" customHeight="1">
      <c r="A858" s="217"/>
      <c r="E858" s="187"/>
      <c r="G858" s="202">
        <f>(G857/G859)-1</f>
        <v>-2.0139289880861222E-2</v>
      </c>
      <c r="H858" s="203">
        <f>(H857/H859)-1</f>
        <v>-0.45454545454545459</v>
      </c>
      <c r="I858" s="203">
        <f>(I857/I859)-1</f>
        <v>-1.7393111638954868</v>
      </c>
      <c r="J858" s="203">
        <f>(J857/J859)-1</f>
        <v>-1.9887892376681613</v>
      </c>
      <c r="K858" s="188"/>
      <c r="L858" s="188"/>
      <c r="M858" s="208"/>
      <c r="N858" s="190"/>
      <c r="O858" s="190"/>
      <c r="P858" s="188"/>
      <c r="Q858" s="188"/>
      <c r="R858" s="195"/>
      <c r="S858" s="197"/>
      <c r="T858" s="180"/>
      <c r="U858" s="189" t="str">
        <f>IFERROR(IF(Tableau3[[#This Row],[Dettes]]=0,"",(Tableau3[[#This Row],[Dettes]]/Tableau3[[#This Row],[EBE]])),"")</f>
        <v/>
      </c>
      <c r="V858" s="190" t="str">
        <f>IFERROR(Tableau3[[#This Row],[Fonds propres]]/Tableau3[[#This Row],[Total Bilan]],"")</f>
        <v/>
      </c>
      <c r="W858" s="180"/>
      <c r="X858" s="191"/>
      <c r="Y858" s="180"/>
      <c r="Z858" s="192" t="str">
        <f>IFERROR(Tableau3[[#This Row],[Chiffre d''affaires]]/Tableau3[[#This Row],[Salariés]],"")</f>
        <v/>
      </c>
      <c r="AA858" s="197"/>
      <c r="AB858" s="197"/>
      <c r="AC858" s="177" t="s">
        <v>647</v>
      </c>
    </row>
    <row r="859" spans="1:29" ht="20.25" customHeight="1">
      <c r="A859" s="217"/>
      <c r="E859" s="187">
        <v>2.85</v>
      </c>
      <c r="F859" s="178">
        <v>2018</v>
      </c>
      <c r="G859" s="188">
        <v>169718000</v>
      </c>
      <c r="H859" s="188">
        <v>15400000</v>
      </c>
      <c r="I859" s="188">
        <v>6736000</v>
      </c>
      <c r="J859" s="188">
        <v>4906000</v>
      </c>
      <c r="K859" s="188">
        <v>-25071000</v>
      </c>
      <c r="L859" s="188">
        <v>87496000</v>
      </c>
      <c r="M859" s="208">
        <f>L859/P859</f>
        <v>1.4680536912751678</v>
      </c>
      <c r="N859" s="190">
        <f>J859/L859</f>
        <v>5.6071134680442537E-2</v>
      </c>
      <c r="O859" s="190">
        <f>(I859*0.6666)/(K859+L859)</f>
        <v>7.1929797356828182E-2</v>
      </c>
      <c r="P859" s="188">
        <v>59600000</v>
      </c>
      <c r="Q859" s="188">
        <f>E859*P859</f>
        <v>169860000</v>
      </c>
      <c r="R859" s="195">
        <f>Q859/L859</f>
        <v>1.9413458900978331</v>
      </c>
      <c r="S859" s="197">
        <f>(Q859+K859)/I859</f>
        <v>21.494804038004752</v>
      </c>
      <c r="T859" s="180"/>
      <c r="U859" s="189">
        <f>IFERROR(IF(Tableau3[[#This Row],[Dettes]]=0,"",(Tableau3[[#This Row],[Dettes]]/Tableau3[[#This Row],[EBE]])),"")</f>
        <v>-1.6279870129870131</v>
      </c>
      <c r="V859" s="190" t="str">
        <f>IFERROR(Tableau3[[#This Row],[Fonds propres]]/Tableau3[[#This Row],[Total Bilan]],"")</f>
        <v/>
      </c>
      <c r="W859" s="180"/>
      <c r="X859" s="191"/>
      <c r="Y859" s="180"/>
      <c r="Z859" s="192" t="str">
        <f>IFERROR(Tableau3[[#This Row],[Chiffre d''affaires]]/Tableau3[[#This Row],[Salariés]],"")</f>
        <v/>
      </c>
      <c r="AA859" s="197"/>
      <c r="AB859" s="197"/>
      <c r="AC859" s="177" t="s">
        <v>648</v>
      </c>
    </row>
    <row r="860" spans="1:29" ht="20.25" customHeight="1">
      <c r="A860" s="217"/>
      <c r="E860" s="187"/>
      <c r="G860" s="202">
        <f>(G859/G861)-1</f>
        <v>9.4991107595125968E-3</v>
      </c>
      <c r="H860" s="203" t="e">
        <f>(H859/H861)-1</f>
        <v>#DIV/0!</v>
      </c>
      <c r="I860" s="203">
        <f>(I859/I861)-1</f>
        <v>-5.220205431264946E-2</v>
      </c>
      <c r="J860" s="203">
        <f>(J859/J861)-1</f>
        <v>-1.6833667334669289E-2</v>
      </c>
      <c r="K860" s="188"/>
      <c r="L860" s="188"/>
      <c r="M860" s="208"/>
      <c r="N860" s="190"/>
      <c r="O860" s="190"/>
      <c r="P860" s="188"/>
      <c r="Q860" s="188"/>
      <c r="R860" s="195"/>
      <c r="S860" s="197"/>
      <c r="T860" s="180"/>
      <c r="U860" s="189" t="str">
        <f>IFERROR(IF(Tableau3[[#This Row],[Dettes]]=0,"",(Tableau3[[#This Row],[Dettes]]/Tableau3[[#This Row],[EBE]])),"")</f>
        <v/>
      </c>
      <c r="V860" s="190" t="str">
        <f>IFERROR(Tableau3[[#This Row],[Fonds propres]]/Tableau3[[#This Row],[Total Bilan]],"")</f>
        <v/>
      </c>
      <c r="W860" s="180"/>
      <c r="X860" s="191"/>
      <c r="Y860" s="180"/>
      <c r="Z860" s="192" t="str">
        <f>IFERROR(Tableau3[[#This Row],[Chiffre d''affaires]]/Tableau3[[#This Row],[Salariés]],"")</f>
        <v/>
      </c>
      <c r="AA860" s="197"/>
      <c r="AB860" s="197"/>
      <c r="AC860" s="177" t="s">
        <v>649</v>
      </c>
    </row>
    <row r="861" spans="1:29" ht="20.25" customHeight="1">
      <c r="A861" s="217"/>
      <c r="E861" s="187">
        <v>10.52</v>
      </c>
      <c r="F861" s="178">
        <v>2017</v>
      </c>
      <c r="G861" s="188">
        <v>168121000</v>
      </c>
      <c r="H861" s="188"/>
      <c r="I861" s="188">
        <v>7107000</v>
      </c>
      <c r="J861" s="188">
        <v>4990000</v>
      </c>
      <c r="K861" s="188">
        <v>-21093000</v>
      </c>
      <c r="L861" s="188">
        <v>84669000</v>
      </c>
      <c r="M861" s="208">
        <f>L861/P861</f>
        <v>1.4230084033613446</v>
      </c>
      <c r="N861" s="190">
        <f>J861/L861</f>
        <v>5.8935383670528765E-2</v>
      </c>
      <c r="O861" s="190">
        <f>(I861*0.6666)/(K861+L861)</f>
        <v>7.4517525481313712E-2</v>
      </c>
      <c r="P861" s="188">
        <v>59500000</v>
      </c>
      <c r="Q861" s="188">
        <f>E861*P861</f>
        <v>625940000</v>
      </c>
      <c r="R861" s="195">
        <f>Q861/L861</f>
        <v>7.3927883877215983</v>
      </c>
      <c r="S861" s="197">
        <f>(Q861+K861)/I861</f>
        <v>85.105811172083861</v>
      </c>
      <c r="T861" s="180"/>
      <c r="U861" s="189" t="str">
        <f>IFERROR(IF(Tableau3[[#This Row],[Dettes]]=0,"",(Tableau3[[#This Row],[Dettes]]/Tableau3[[#This Row],[EBE]])),"")</f>
        <v/>
      </c>
      <c r="V861" s="190" t="str">
        <f>IFERROR(Tableau3[[#This Row],[Fonds propres]]/Tableau3[[#This Row],[Total Bilan]],"")</f>
        <v/>
      </c>
      <c r="W861" s="180"/>
      <c r="X861" s="191"/>
      <c r="Y861" s="180"/>
      <c r="Z861" s="192" t="str">
        <f>IFERROR(Tableau3[[#This Row],[Chiffre d''affaires]]/Tableau3[[#This Row],[Salariés]],"")</f>
        <v/>
      </c>
      <c r="AA861" s="197"/>
      <c r="AB861" s="197"/>
      <c r="AC861" s="177" t="s">
        <v>650</v>
      </c>
    </row>
    <row r="862" spans="1:29" ht="20.25" customHeight="1">
      <c r="A862" s="217"/>
      <c r="E862" s="187"/>
      <c r="G862" s="202">
        <f>(G861/G863)-1</f>
        <v>7.8389993585631812E-2</v>
      </c>
      <c r="H862" s="203" t="e">
        <f>(H861/H863)-1</f>
        <v>#DIV/0!</v>
      </c>
      <c r="I862" s="203">
        <f>(I861/I863)-1</f>
        <v>0.16508196721311474</v>
      </c>
      <c r="J862" s="203">
        <f>(J861/J863)-1</f>
        <v>0.8481481481481481</v>
      </c>
      <c r="K862" s="188"/>
      <c r="L862" s="188"/>
      <c r="M862" s="208"/>
      <c r="N862" s="190"/>
      <c r="O862" s="190"/>
      <c r="P862" s="188"/>
      <c r="Q862" s="188"/>
      <c r="R862" s="195"/>
      <c r="S862" s="197"/>
      <c r="T862" s="180"/>
      <c r="U862" s="189" t="str">
        <f>IFERROR(IF(Tableau3[[#This Row],[Dettes]]=0,"",(Tableau3[[#This Row],[Dettes]]/Tableau3[[#This Row],[EBE]])),"")</f>
        <v/>
      </c>
      <c r="V862" s="190" t="str">
        <f>IFERROR(Tableau3[[#This Row],[Fonds propres]]/Tableau3[[#This Row],[Total Bilan]],"")</f>
        <v/>
      </c>
      <c r="W862" s="180"/>
      <c r="X862" s="191"/>
      <c r="Y862" s="180"/>
      <c r="Z862" s="192" t="str">
        <f>IFERROR(Tableau3[[#This Row],[Chiffre d''affaires]]/Tableau3[[#This Row],[Salariés]],"")</f>
        <v/>
      </c>
      <c r="AA862" s="197"/>
      <c r="AB862" s="197"/>
      <c r="AC862" s="177" t="s">
        <v>651</v>
      </c>
    </row>
    <row r="863" spans="1:29" ht="20.25" customHeight="1">
      <c r="A863" s="217"/>
      <c r="E863" s="187">
        <v>10.95</v>
      </c>
      <c r="F863" s="178">
        <v>2016</v>
      </c>
      <c r="G863" s="188">
        <v>155900000</v>
      </c>
      <c r="H863" s="188"/>
      <c r="I863" s="188">
        <v>6100000</v>
      </c>
      <c r="J863" s="188">
        <v>2700000</v>
      </c>
      <c r="K863" s="188"/>
      <c r="L863" s="188"/>
      <c r="M863" s="208"/>
      <c r="N863" s="190"/>
      <c r="O863" s="190"/>
      <c r="P863" s="188">
        <v>59500000</v>
      </c>
      <c r="Q863" s="188">
        <f>E863*P863</f>
        <v>651525000</v>
      </c>
      <c r="R863" s="195"/>
      <c r="S863" s="197"/>
      <c r="T863" s="180"/>
      <c r="U863" s="189" t="str">
        <f>IFERROR(IF(Tableau3[[#This Row],[Dettes]]=0,"",(Tableau3[[#This Row],[Dettes]]/Tableau3[[#This Row],[EBE]])),"")</f>
        <v/>
      </c>
      <c r="V863" s="190" t="str">
        <f>IFERROR(Tableau3[[#This Row],[Fonds propres]]/Tableau3[[#This Row],[Total Bilan]],"")</f>
        <v/>
      </c>
      <c r="W863" s="180"/>
      <c r="X863" s="191"/>
      <c r="Y863" s="180"/>
      <c r="Z863" s="192" t="str">
        <f>IFERROR(Tableau3[[#This Row],[Chiffre d''affaires]]/Tableau3[[#This Row],[Salariés]],"")</f>
        <v/>
      </c>
      <c r="AA863" s="197"/>
      <c r="AB863" s="197"/>
      <c r="AC863" s="177" t="s">
        <v>652</v>
      </c>
    </row>
    <row r="864" spans="1:29" ht="20.25" customHeight="1">
      <c r="A864" s="217"/>
      <c r="E864" s="187"/>
      <c r="G864" s="202">
        <f>(G863/G865)-1</f>
        <v>4.8419636852723658E-2</v>
      </c>
      <c r="H864" s="203" t="e">
        <f>(H863/H865)-1</f>
        <v>#DIV/0!</v>
      </c>
      <c r="I864" s="203">
        <f>(I863/I865)-1</f>
        <v>2.5882352941176472</v>
      </c>
      <c r="J864" s="203">
        <f>(J863/J865)-1</f>
        <v>-2.9285714285714288</v>
      </c>
      <c r="K864" s="188"/>
      <c r="L864" s="188"/>
      <c r="M864" s="208"/>
      <c r="N864" s="190"/>
      <c r="O864" s="190"/>
      <c r="P864" s="188"/>
      <c r="Q864" s="188"/>
      <c r="R864" s="195"/>
      <c r="S864" s="197"/>
      <c r="T864" s="180"/>
      <c r="U864" s="189" t="str">
        <f>IFERROR(IF(Tableau3[[#This Row],[Dettes]]=0,"",(Tableau3[[#This Row],[Dettes]]/Tableau3[[#This Row],[EBE]])),"")</f>
        <v/>
      </c>
      <c r="V864" s="190" t="str">
        <f>IFERROR(Tableau3[[#This Row],[Fonds propres]]/Tableau3[[#This Row],[Total Bilan]],"")</f>
        <v/>
      </c>
      <c r="W864" s="180"/>
      <c r="X864" s="191"/>
      <c r="Y864" s="180"/>
      <c r="Z864" s="192" t="str">
        <f>IFERROR(Tableau3[[#This Row],[Chiffre d''affaires]]/Tableau3[[#This Row],[Salariés]],"")</f>
        <v/>
      </c>
      <c r="AA864" s="197"/>
      <c r="AB864" s="197"/>
      <c r="AC864" s="177" t="s">
        <v>653</v>
      </c>
    </row>
    <row r="865" spans="1:29" ht="20.25" customHeight="1">
      <c r="A865" s="217"/>
      <c r="E865" s="187">
        <v>9.4499999999999993</v>
      </c>
      <c r="F865" s="178">
        <v>2015</v>
      </c>
      <c r="G865" s="188">
        <v>148700000</v>
      </c>
      <c r="H865" s="188"/>
      <c r="I865" s="188">
        <v>1700000</v>
      </c>
      <c r="J865" s="188">
        <v>-1400000</v>
      </c>
      <c r="K865" s="188"/>
      <c r="L865" s="188"/>
      <c r="M865" s="208"/>
      <c r="N865" s="190"/>
      <c r="O865" s="190"/>
      <c r="P865" s="188">
        <v>59500000</v>
      </c>
      <c r="Q865" s="188">
        <f>E865*P865</f>
        <v>562275000</v>
      </c>
      <c r="R865" s="195"/>
      <c r="S865" s="197"/>
      <c r="T865" s="180"/>
      <c r="U865" s="189" t="str">
        <f>IFERROR(IF(Tableau3[[#This Row],[Dettes]]=0,"",(Tableau3[[#This Row],[Dettes]]/Tableau3[[#This Row],[EBE]])),"")</f>
        <v/>
      </c>
      <c r="V865" s="190" t="str">
        <f>IFERROR(Tableau3[[#This Row],[Fonds propres]]/Tableau3[[#This Row],[Total Bilan]],"")</f>
        <v/>
      </c>
      <c r="W865" s="180"/>
      <c r="X865" s="191"/>
      <c r="Y865" s="180"/>
      <c r="Z865" s="192" t="str">
        <f>IFERROR(Tableau3[[#This Row],[Chiffre d''affaires]]/Tableau3[[#This Row],[Salariés]],"")</f>
        <v/>
      </c>
      <c r="AA865" s="197"/>
      <c r="AB865" s="197"/>
      <c r="AC865" s="177" t="s">
        <v>654</v>
      </c>
    </row>
    <row r="866" spans="1:29" ht="20.25" customHeight="1">
      <c r="A866" s="217"/>
      <c r="E866" s="187"/>
      <c r="G866" s="202">
        <f>(G865/G867)-1</f>
        <v>-9.0519877675841021E-2</v>
      </c>
      <c r="H866" s="203" t="e">
        <f>(H865/H867)-1</f>
        <v>#DIV/0!</v>
      </c>
      <c r="I866" s="203">
        <f>(I865/I867)-1</f>
        <v>-0.87591240875912413</v>
      </c>
      <c r="J866" s="203">
        <f>(J865/J867)-1</f>
        <v>-1.1627906976744187</v>
      </c>
      <c r="K866" s="188"/>
      <c r="L866" s="188"/>
      <c r="M866" s="208"/>
      <c r="N866" s="190"/>
      <c r="O866" s="190"/>
      <c r="P866" s="188"/>
      <c r="Q866" s="188"/>
      <c r="R866" s="195"/>
      <c r="S866" s="197"/>
      <c r="T866" s="180"/>
      <c r="U866" s="189" t="str">
        <f>IFERROR(IF(Tableau3[[#This Row],[Dettes]]=0,"",(Tableau3[[#This Row],[Dettes]]/Tableau3[[#This Row],[EBE]])),"")</f>
        <v/>
      </c>
      <c r="V866" s="190" t="str">
        <f>IFERROR(Tableau3[[#This Row],[Fonds propres]]/Tableau3[[#This Row],[Total Bilan]],"")</f>
        <v/>
      </c>
      <c r="W866" s="180"/>
      <c r="X866" s="191"/>
      <c r="Y866" s="180"/>
      <c r="Z866" s="192" t="str">
        <f>IFERROR(Tableau3[[#This Row],[Chiffre d''affaires]]/Tableau3[[#This Row],[Salariés]],"")</f>
        <v/>
      </c>
      <c r="AA866" s="197"/>
      <c r="AB866" s="197"/>
      <c r="AC866" s="177" t="s">
        <v>655</v>
      </c>
    </row>
    <row r="867" spans="1:29" ht="20.25" customHeight="1">
      <c r="A867" s="217"/>
      <c r="E867" s="187">
        <v>8.4499999999999993</v>
      </c>
      <c r="F867" s="178">
        <v>2014</v>
      </c>
      <c r="G867" s="188">
        <v>163500000</v>
      </c>
      <c r="H867" s="188"/>
      <c r="I867" s="188">
        <v>13700000</v>
      </c>
      <c r="J867" s="188">
        <v>8600000</v>
      </c>
      <c r="K867" s="188"/>
      <c r="L867" s="188"/>
      <c r="M867" s="208"/>
      <c r="N867" s="190"/>
      <c r="O867" s="190"/>
      <c r="P867" s="188">
        <v>59500000</v>
      </c>
      <c r="Q867" s="188">
        <f>E867*P867</f>
        <v>502774999.99999994</v>
      </c>
      <c r="R867" s="195"/>
      <c r="S867" s="197"/>
      <c r="T867" s="180"/>
      <c r="U867" s="189" t="str">
        <f>IFERROR(IF(Tableau3[[#This Row],[Dettes]]=0,"",(Tableau3[[#This Row],[Dettes]]/Tableau3[[#This Row],[EBE]])),"")</f>
        <v/>
      </c>
      <c r="V867" s="190" t="str">
        <f>IFERROR(Tableau3[[#This Row],[Fonds propres]]/Tableau3[[#This Row],[Total Bilan]],"")</f>
        <v/>
      </c>
      <c r="W867" s="180"/>
      <c r="X867" s="191"/>
      <c r="Y867" s="180"/>
      <c r="Z867" s="192" t="str">
        <f>IFERROR(Tableau3[[#This Row],[Chiffre d''affaires]]/Tableau3[[#This Row],[Salariés]],"")</f>
        <v/>
      </c>
      <c r="AA867" s="197"/>
      <c r="AB867" s="197"/>
    </row>
    <row r="868" spans="1:29" ht="20.25" customHeight="1">
      <c r="A868" s="217"/>
      <c r="E868" s="187"/>
      <c r="G868" s="202">
        <f>(G867/G869)-1</f>
        <v>-9.691096305269542E-3</v>
      </c>
      <c r="H868" s="203" t="e">
        <f>(H867/H869)-1</f>
        <v>#DIV/0!</v>
      </c>
      <c r="I868" s="203">
        <f>(I867/I869)-1</f>
        <v>-0.46274509803921571</v>
      </c>
      <c r="J868" s="203">
        <f>(J867/J869)-1</f>
        <v>-0.54010695187165769</v>
      </c>
      <c r="K868" s="188"/>
      <c r="L868" s="188"/>
      <c r="M868" s="208"/>
      <c r="N868" s="190"/>
      <c r="O868" s="190"/>
      <c r="P868" s="188"/>
      <c r="Q868" s="188"/>
      <c r="R868" s="195"/>
      <c r="S868" s="197"/>
      <c r="T868" s="180"/>
      <c r="U868" s="189" t="str">
        <f>IFERROR(IF(Tableau3[[#This Row],[Dettes]]=0,"",(Tableau3[[#This Row],[Dettes]]/Tableau3[[#This Row],[EBE]])),"")</f>
        <v/>
      </c>
      <c r="V868" s="190" t="str">
        <f>IFERROR(Tableau3[[#This Row],[Fonds propres]]/Tableau3[[#This Row],[Total Bilan]],"")</f>
        <v/>
      </c>
      <c r="W868" s="180"/>
      <c r="X868" s="191"/>
      <c r="Y868" s="180"/>
      <c r="Z868" s="192" t="str">
        <f>IFERROR(Tableau3[[#This Row],[Chiffre d''affaires]]/Tableau3[[#This Row],[Salariés]],"")</f>
        <v/>
      </c>
      <c r="AA868" s="197"/>
      <c r="AB868" s="197"/>
    </row>
    <row r="869" spans="1:29" ht="20.25" customHeight="1">
      <c r="A869" s="217"/>
      <c r="E869" s="187">
        <v>9.5950000000000006</v>
      </c>
      <c r="F869" s="178">
        <v>2013</v>
      </c>
      <c r="G869" s="188">
        <v>165100000</v>
      </c>
      <c r="H869" s="188"/>
      <c r="I869" s="188">
        <v>25500000</v>
      </c>
      <c r="J869" s="188">
        <v>18700000</v>
      </c>
      <c r="K869" s="188"/>
      <c r="L869" s="188"/>
      <c r="M869" s="208"/>
      <c r="N869" s="190"/>
      <c r="O869" s="190"/>
      <c r="P869" s="188">
        <v>59500000</v>
      </c>
      <c r="Q869" s="188">
        <f>E869*P869</f>
        <v>570902500</v>
      </c>
      <c r="R869" s="195"/>
      <c r="S869" s="197"/>
      <c r="T869" s="180"/>
      <c r="U869" s="189" t="str">
        <f>IFERROR(IF(Tableau3[[#This Row],[Dettes]]=0,"",(Tableau3[[#This Row],[Dettes]]/Tableau3[[#This Row],[EBE]])),"")</f>
        <v/>
      </c>
      <c r="V869" s="190" t="str">
        <f>IFERROR(Tableau3[[#This Row],[Fonds propres]]/Tableau3[[#This Row],[Total Bilan]],"")</f>
        <v/>
      </c>
      <c r="W869" s="180"/>
      <c r="X869" s="191"/>
      <c r="Y869" s="180"/>
      <c r="Z869" s="192" t="str">
        <f>IFERROR(Tableau3[[#This Row],[Chiffre d''affaires]]/Tableau3[[#This Row],[Salariés]],"")</f>
        <v/>
      </c>
      <c r="AA869" s="197"/>
      <c r="AB869" s="197"/>
    </row>
    <row r="870" spans="1:29" ht="20.25" customHeight="1">
      <c r="A870" s="217"/>
      <c r="E870" s="187"/>
      <c r="G870" s="188"/>
      <c r="H870" s="188"/>
      <c r="I870" s="188"/>
      <c r="J870" s="188"/>
      <c r="K870" s="188"/>
      <c r="L870" s="188"/>
      <c r="M870" s="208"/>
      <c r="N870" s="190"/>
      <c r="O870" s="190"/>
      <c r="P870" s="188"/>
      <c r="Q870" s="188"/>
      <c r="R870" s="195"/>
      <c r="S870" s="197"/>
      <c r="T870" s="180"/>
      <c r="U870" s="189" t="str">
        <f>IFERROR(IF(Tableau3[[#This Row],[Dettes]]=0,"",(Tableau3[[#This Row],[Dettes]]/Tableau3[[#This Row],[EBE]])),"")</f>
        <v/>
      </c>
      <c r="V870" s="190" t="str">
        <f>IFERROR(Tableau3[[#This Row],[Fonds propres]]/Tableau3[[#This Row],[Total Bilan]],"")</f>
        <v/>
      </c>
      <c r="W870" s="180"/>
      <c r="X870" s="191"/>
      <c r="Y870" s="180"/>
      <c r="Z870" s="192" t="str">
        <f>IFERROR(Tableau3[[#This Row],[Chiffre d''affaires]]/Tableau3[[#This Row],[Salariés]],"")</f>
        <v/>
      </c>
      <c r="AA870" s="197"/>
      <c r="AB870" s="197"/>
    </row>
    <row r="871" spans="1:29" ht="20.25" customHeight="1">
      <c r="A871" s="217"/>
      <c r="E871" s="187"/>
      <c r="G871" s="188"/>
      <c r="H871" s="188"/>
      <c r="I871" s="188"/>
      <c r="J871" s="188"/>
      <c r="K871" s="188"/>
      <c r="L871" s="188"/>
      <c r="M871" s="208"/>
      <c r="N871" s="190"/>
      <c r="O871" s="190"/>
      <c r="P871" s="188"/>
      <c r="Q871" s="188"/>
      <c r="R871" s="195"/>
      <c r="S871" s="197"/>
      <c r="T871" s="180"/>
      <c r="U871" s="189" t="str">
        <f>IFERROR(IF(Tableau3[[#This Row],[Dettes]]=0,"",(Tableau3[[#This Row],[Dettes]]/Tableau3[[#This Row],[EBE]])),"")</f>
        <v/>
      </c>
      <c r="V871" s="190" t="str">
        <f>IFERROR(Tableau3[[#This Row],[Fonds propres]]/Tableau3[[#This Row],[Total Bilan]],"")</f>
        <v/>
      </c>
      <c r="W871" s="180"/>
      <c r="X871" s="191"/>
      <c r="Y871" s="180"/>
      <c r="Z871" s="192" t="str">
        <f>IFERROR(Tableau3[[#This Row],[Chiffre d''affaires]]/Tableau3[[#This Row],[Salariés]],"")</f>
        <v/>
      </c>
      <c r="AA871" s="197"/>
      <c r="AB871" s="197"/>
    </row>
    <row r="872" spans="1:29" ht="20.25" customHeight="1">
      <c r="A872" s="217"/>
      <c r="E872" s="187"/>
      <c r="G872" s="188"/>
      <c r="H872" s="188"/>
      <c r="I872" s="188"/>
      <c r="J872" s="188"/>
      <c r="K872" s="188"/>
      <c r="L872" s="188"/>
      <c r="M872" s="208"/>
      <c r="N872" s="190"/>
      <c r="O872" s="190"/>
      <c r="P872" s="188"/>
      <c r="Q872" s="188"/>
      <c r="R872" s="195"/>
      <c r="S872" s="197"/>
      <c r="T872" s="180"/>
      <c r="U872" s="189" t="str">
        <f>IFERROR(IF(Tableau3[[#This Row],[Dettes]]=0,"",(Tableau3[[#This Row],[Dettes]]/Tableau3[[#This Row],[EBE]])),"")</f>
        <v/>
      </c>
      <c r="V872" s="190" t="str">
        <f>IFERROR(Tableau3[[#This Row],[Fonds propres]]/Tableau3[[#This Row],[Total Bilan]],"")</f>
        <v/>
      </c>
      <c r="W872" s="180"/>
      <c r="X872" s="191"/>
      <c r="Y872" s="180"/>
      <c r="Z872" s="192" t="str">
        <f>IFERROR(Tableau3[[#This Row],[Chiffre d''affaires]]/Tableau3[[#This Row],[Salariés]],"")</f>
        <v/>
      </c>
      <c r="AA872" s="197"/>
      <c r="AB872" s="197"/>
    </row>
    <row r="873" spans="1:29" ht="20.25" customHeight="1">
      <c r="A873" s="217" t="s">
        <v>656</v>
      </c>
      <c r="B873" s="216" t="s">
        <v>575</v>
      </c>
      <c r="C873" s="178" t="s">
        <v>382</v>
      </c>
      <c r="D873" s="178" t="s">
        <v>383</v>
      </c>
      <c r="E873" s="187">
        <v>118.86</v>
      </c>
      <c r="F873" s="178">
        <v>2021</v>
      </c>
      <c r="G873" s="188"/>
      <c r="H873" s="188"/>
      <c r="I873" s="188"/>
      <c r="J873" s="188"/>
      <c r="K873" s="188"/>
      <c r="L873" s="188"/>
      <c r="M873" s="208"/>
      <c r="N873" s="190"/>
      <c r="O873" s="190"/>
      <c r="P873" s="188"/>
      <c r="Q873" s="188"/>
      <c r="R873" s="195"/>
      <c r="S873" s="197"/>
      <c r="T873" s="180"/>
      <c r="U873" s="189" t="str">
        <f>IFERROR(IF(Tableau3[[#This Row],[Dettes]]=0,"",(Tableau3[[#This Row],[Dettes]]/Tableau3[[#This Row],[EBE]])),"")</f>
        <v/>
      </c>
      <c r="V873" s="190" t="str">
        <f>IFERROR(Tableau3[[#This Row],[Fonds propres]]/Tableau3[[#This Row],[Total Bilan]],"")</f>
        <v/>
      </c>
      <c r="W873" s="180"/>
      <c r="X873" s="191"/>
      <c r="Y873" s="180"/>
      <c r="Z873" s="192" t="str">
        <f>IFERROR(Tableau3[[#This Row],[Chiffre d''affaires]]/Tableau3[[#This Row],[Salariés]],"")</f>
        <v/>
      </c>
      <c r="AA873" s="197"/>
      <c r="AB873" s="197"/>
      <c r="AC873" s="177" t="s">
        <v>657</v>
      </c>
    </row>
    <row r="874" spans="1:29" ht="20.25" customHeight="1">
      <c r="A874" s="217"/>
      <c r="E874" s="187"/>
      <c r="G874" s="188"/>
      <c r="H874" s="188"/>
      <c r="I874" s="188"/>
      <c r="J874" s="188"/>
      <c r="K874" s="188"/>
      <c r="L874" s="188"/>
      <c r="M874" s="208"/>
      <c r="N874" s="190"/>
      <c r="O874" s="190"/>
      <c r="P874" s="188"/>
      <c r="Q874" s="188"/>
      <c r="R874" s="195"/>
      <c r="S874" s="197"/>
      <c r="T874" s="180"/>
      <c r="U874" s="189" t="str">
        <f>IFERROR(IF(Tableau3[[#This Row],[Dettes]]=0,"",(Tableau3[[#This Row],[Dettes]]/Tableau3[[#This Row],[EBE]])),"")</f>
        <v/>
      </c>
      <c r="V874" s="190" t="str">
        <f>IFERROR(Tableau3[[#This Row],[Fonds propres]]/Tableau3[[#This Row],[Total Bilan]],"")</f>
        <v/>
      </c>
      <c r="W874" s="180"/>
      <c r="X874" s="191"/>
      <c r="Y874" s="180"/>
      <c r="Z874" s="192" t="str">
        <f>IFERROR(Tableau3[[#This Row],[Chiffre d''affaires]]/Tableau3[[#This Row],[Salariés]],"")</f>
        <v/>
      </c>
      <c r="AA874" s="197"/>
      <c r="AB874" s="197"/>
    </row>
    <row r="875" spans="1:29" ht="20.25" customHeight="1">
      <c r="A875" s="217"/>
      <c r="E875" s="187">
        <v>103.74</v>
      </c>
      <c r="F875" s="178">
        <v>2019</v>
      </c>
      <c r="G875" s="188">
        <v>6313000000</v>
      </c>
      <c r="H875" s="188">
        <v>1006000000</v>
      </c>
      <c r="I875" s="188">
        <v>725000000</v>
      </c>
      <c r="J875" s="188">
        <v>450000000</v>
      </c>
      <c r="K875" s="188">
        <v>919000000</v>
      </c>
      <c r="L875" s="188">
        <v>3270000000</v>
      </c>
      <c r="M875" s="208">
        <f>L875/P875</f>
        <v>42.314266895620925</v>
      </c>
      <c r="N875" s="190">
        <f>J875/L875</f>
        <v>0.13761467889908258</v>
      </c>
      <c r="O875" s="190">
        <f>(I875*0.6666)/(K875+L875)</f>
        <v>0.11537001671043208</v>
      </c>
      <c r="P875" s="188">
        <v>77278900</v>
      </c>
      <c r="Q875" s="188">
        <f>E875*P875</f>
        <v>8016913086</v>
      </c>
      <c r="R875" s="195">
        <f>Q875/L875</f>
        <v>2.4516553779816515</v>
      </c>
      <c r="S875" s="197">
        <f>(Q875+K875)/I875</f>
        <v>12.32539736</v>
      </c>
      <c r="T875" s="180"/>
      <c r="U875" s="189">
        <f>IFERROR(IF(Tableau3[[#This Row],[Dettes]]=0,"",(Tableau3[[#This Row],[Dettes]]/Tableau3[[#This Row],[EBE]])),"")</f>
        <v>0.91351888667992043</v>
      </c>
      <c r="V875" s="190" t="str">
        <f>IFERROR(Tableau3[[#This Row],[Fonds propres]]/Tableau3[[#This Row],[Total Bilan]],"")</f>
        <v/>
      </c>
      <c r="W875" s="180"/>
      <c r="X875" s="191"/>
      <c r="Y875" s="180"/>
      <c r="Z875" s="192" t="str">
        <f>IFERROR(Tableau3[[#This Row],[Chiffre d''affaires]]/Tableau3[[#This Row],[Salariés]],"")</f>
        <v/>
      </c>
      <c r="AA875" s="197"/>
      <c r="AB875" s="197"/>
    </row>
    <row r="876" spans="1:29" ht="20.25" customHeight="1">
      <c r="A876" s="217"/>
      <c r="E876" s="187"/>
      <c r="G876" s="188"/>
      <c r="H876" s="188"/>
      <c r="I876" s="188"/>
      <c r="J876" s="188"/>
      <c r="K876" s="188"/>
      <c r="L876" s="188"/>
      <c r="M876" s="208"/>
      <c r="N876" s="190"/>
      <c r="O876" s="190"/>
      <c r="P876" s="188"/>
      <c r="Q876" s="188"/>
      <c r="R876" s="195"/>
      <c r="S876" s="197"/>
      <c r="T876" s="180"/>
      <c r="U876" s="189" t="str">
        <f>IFERROR(IF(Tableau3[[#This Row],[Dettes]]=0,"",(Tableau3[[#This Row],[Dettes]]/Tableau3[[#This Row],[EBE]])),"")</f>
        <v/>
      </c>
      <c r="V876" s="190" t="str">
        <f>IFERROR(Tableau3[[#This Row],[Fonds propres]]/Tableau3[[#This Row],[Total Bilan]],"")</f>
        <v/>
      </c>
      <c r="W876" s="180"/>
      <c r="X876" s="191"/>
      <c r="Y876" s="180"/>
      <c r="Z876" s="192" t="str">
        <f>IFERROR(Tableau3[[#This Row],[Chiffre d''affaires]]/Tableau3[[#This Row],[Salariés]],"")</f>
        <v/>
      </c>
      <c r="AA876" s="197"/>
      <c r="AB876" s="197"/>
    </row>
    <row r="877" spans="1:29" ht="20.25" customHeight="1">
      <c r="A877" s="217"/>
      <c r="E877" s="187">
        <v>105</v>
      </c>
      <c r="F877" s="178">
        <v>2018</v>
      </c>
      <c r="G877" s="188">
        <v>6313000000</v>
      </c>
      <c r="H877" s="188">
        <v>1006000000</v>
      </c>
      <c r="I877" s="188">
        <v>725000000</v>
      </c>
      <c r="J877" s="188">
        <v>450000000</v>
      </c>
      <c r="K877" s="188">
        <v>919000000</v>
      </c>
      <c r="L877" s="188">
        <v>3270000000</v>
      </c>
      <c r="M877" s="208">
        <f>L877/P877</f>
        <v>42.314266895620925</v>
      </c>
      <c r="N877" s="190">
        <f>J877/L877</f>
        <v>0.13761467889908258</v>
      </c>
      <c r="O877" s="190">
        <f>(I877*0.6666)/(K877+L877)</f>
        <v>0.11537001671043208</v>
      </c>
      <c r="P877" s="188">
        <v>77278900</v>
      </c>
      <c r="Q877" s="188">
        <f>E877*P877</f>
        <v>8114284500</v>
      </c>
      <c r="R877" s="195">
        <f>Q877/L877</f>
        <v>2.4814325688073393</v>
      </c>
      <c r="S877" s="197">
        <f>(Q877+K877)/I877</f>
        <v>12.45970275862069</v>
      </c>
      <c r="T877" s="180"/>
      <c r="U877" s="189">
        <f>IFERROR(IF(Tableau3[[#This Row],[Dettes]]=0,"",(Tableau3[[#This Row],[Dettes]]/Tableau3[[#This Row],[EBE]])),"")</f>
        <v>0.91351888667992043</v>
      </c>
      <c r="V877" s="190" t="str">
        <f>IFERROR(Tableau3[[#This Row],[Fonds propres]]/Tableau3[[#This Row],[Total Bilan]],"")</f>
        <v/>
      </c>
      <c r="W877" s="180"/>
      <c r="X877" s="191"/>
      <c r="Y877" s="180"/>
      <c r="Z877" s="192" t="str">
        <f>IFERROR(Tableau3[[#This Row],[Chiffre d''affaires]]/Tableau3[[#This Row],[Salariés]],"")</f>
        <v/>
      </c>
      <c r="AA877" s="197"/>
      <c r="AB877" s="197"/>
    </row>
    <row r="878" spans="1:29" ht="20.25" customHeight="1">
      <c r="A878" s="217"/>
      <c r="E878" s="187"/>
      <c r="G878" s="188"/>
      <c r="H878" s="188"/>
      <c r="I878" s="188"/>
      <c r="J878" s="188"/>
      <c r="K878" s="188"/>
      <c r="L878" s="188"/>
      <c r="M878" s="208"/>
      <c r="N878" s="190"/>
      <c r="O878" s="190"/>
      <c r="P878" s="188"/>
      <c r="Q878" s="188"/>
      <c r="R878" s="195"/>
      <c r="S878" s="197"/>
      <c r="T878" s="180"/>
      <c r="U878" s="189" t="str">
        <f>IFERROR(IF(Tableau3[[#This Row],[Dettes]]=0,"",(Tableau3[[#This Row],[Dettes]]/Tableau3[[#This Row],[EBE]])),"")</f>
        <v/>
      </c>
      <c r="V878" s="190" t="str">
        <f>IFERROR(Tableau3[[#This Row],[Fonds propres]]/Tableau3[[#This Row],[Total Bilan]],"")</f>
        <v/>
      </c>
      <c r="W878" s="180"/>
      <c r="X878" s="191"/>
      <c r="Y878" s="180"/>
      <c r="Z878" s="192" t="str">
        <f>IFERROR(Tableau3[[#This Row],[Chiffre d''affaires]]/Tableau3[[#This Row],[Salariés]],"")</f>
        <v/>
      </c>
      <c r="AA878" s="197"/>
      <c r="AB878" s="197"/>
    </row>
    <row r="879" spans="1:29" ht="20.25" customHeight="1">
      <c r="A879" s="217"/>
      <c r="E879" s="187"/>
      <c r="G879" s="188"/>
      <c r="H879" s="188"/>
      <c r="I879" s="188"/>
      <c r="J879" s="188"/>
      <c r="K879" s="188"/>
      <c r="L879" s="188"/>
      <c r="M879" s="208"/>
      <c r="N879" s="190"/>
      <c r="O879" s="190"/>
      <c r="P879" s="188"/>
      <c r="Q879" s="188"/>
      <c r="R879" s="195"/>
      <c r="S879" s="197"/>
      <c r="T879" s="180"/>
      <c r="U879" s="189" t="str">
        <f>IFERROR(IF(Tableau3[[#This Row],[Dettes]]=0,"",(Tableau3[[#This Row],[Dettes]]/Tableau3[[#This Row],[EBE]])),"")</f>
        <v/>
      </c>
      <c r="V879" s="190" t="str">
        <f>IFERROR(Tableau3[[#This Row],[Fonds propres]]/Tableau3[[#This Row],[Total Bilan]],"")</f>
        <v/>
      </c>
      <c r="W879" s="180"/>
      <c r="X879" s="191"/>
      <c r="Y879" s="180"/>
      <c r="Z879" s="192" t="str">
        <f>IFERROR(Tableau3[[#This Row],[Chiffre d''affaires]]/Tableau3[[#This Row],[Salariés]],"")</f>
        <v/>
      </c>
      <c r="AA879" s="197"/>
      <c r="AB879" s="197"/>
    </row>
    <row r="880" spans="1:29" ht="20.25" customHeight="1">
      <c r="A880" s="217"/>
      <c r="E880" s="187"/>
      <c r="G880" s="188"/>
      <c r="H880" s="188"/>
      <c r="I880" s="188"/>
      <c r="J880" s="188"/>
      <c r="K880" s="188"/>
      <c r="L880" s="188"/>
      <c r="M880" s="208"/>
      <c r="N880" s="190"/>
      <c r="O880" s="190"/>
      <c r="P880" s="188"/>
      <c r="Q880" s="188"/>
      <c r="R880" s="195"/>
      <c r="S880" s="197"/>
      <c r="T880" s="180"/>
      <c r="U880" s="189" t="str">
        <f>IFERROR(IF(Tableau3[[#This Row],[Dettes]]=0,"",(Tableau3[[#This Row],[Dettes]]/Tableau3[[#This Row],[EBE]])),"")</f>
        <v/>
      </c>
      <c r="V880" s="190" t="str">
        <f>IFERROR(Tableau3[[#This Row],[Fonds propres]]/Tableau3[[#This Row],[Total Bilan]],"")</f>
        <v/>
      </c>
      <c r="W880" s="180"/>
      <c r="X880" s="191"/>
      <c r="Y880" s="180"/>
      <c r="Z880" s="192" t="str">
        <f>IFERROR(Tableau3[[#This Row],[Chiffre d''affaires]]/Tableau3[[#This Row],[Salariés]],"")</f>
        <v/>
      </c>
      <c r="AA880" s="197"/>
      <c r="AB880" s="197"/>
    </row>
    <row r="881" spans="1:29" ht="20.25" customHeight="1">
      <c r="A881" s="217" t="s">
        <v>2129</v>
      </c>
      <c r="B881" s="216" t="s">
        <v>2130</v>
      </c>
      <c r="C881" s="178" t="s">
        <v>84</v>
      </c>
      <c r="D881" s="178" t="s">
        <v>85</v>
      </c>
      <c r="E881" s="187"/>
      <c r="F881" s="178">
        <v>2025</v>
      </c>
      <c r="G881" s="188"/>
      <c r="H881" s="178"/>
      <c r="I881" s="188"/>
      <c r="J881" s="188"/>
      <c r="K881" s="188"/>
      <c r="L881" s="178"/>
      <c r="M881" s="178"/>
      <c r="N881" s="178"/>
      <c r="O881" s="178"/>
      <c r="P881" s="178"/>
      <c r="Q881" s="178"/>
      <c r="R881" s="178"/>
      <c r="S881" s="178"/>
      <c r="T881" s="180"/>
      <c r="U881" s="189" t="str">
        <f>IFERROR(IF(Tableau3[[#This Row],[Dettes]]=0,"",(Tableau3[[#This Row],[Dettes]]/Tableau3[[#This Row],[EBE]])),"")</f>
        <v/>
      </c>
      <c r="V881" s="190" t="str">
        <f>IFERROR(Tableau3[[#This Row],[Fonds propres]]/Tableau3[[#This Row],[Total Bilan]],"")</f>
        <v/>
      </c>
      <c r="W881" s="180"/>
      <c r="X881" s="182" t="s">
        <v>3865</v>
      </c>
      <c r="Y881" s="180"/>
      <c r="Z881" s="192" t="str">
        <f>IFERROR(Tableau3[[#This Row],[Chiffre d''affaires]]/Tableau3[[#This Row],[Salariés]],"")</f>
        <v/>
      </c>
      <c r="AA881" s="177"/>
      <c r="AC881" s="177" t="s">
        <v>2131</v>
      </c>
    </row>
    <row r="882" spans="1:29" ht="20.25" customHeight="1">
      <c r="A882" s="217"/>
      <c r="E882" s="187"/>
      <c r="G882" s="188"/>
      <c r="H882" s="178"/>
      <c r="I882" s="188"/>
      <c r="J882" s="188"/>
      <c r="K882" s="188"/>
      <c r="L882" s="178"/>
      <c r="M882" s="178"/>
      <c r="N882" s="178"/>
      <c r="O882" s="178"/>
      <c r="P882" s="178"/>
      <c r="Q882" s="178"/>
      <c r="R882" s="195"/>
      <c r="S882" s="178"/>
      <c r="T882" s="180"/>
      <c r="U882" s="189" t="str">
        <f>IFERROR(IF(Tableau3[[#This Row],[Dettes]]=0,"",(Tableau3[[#This Row],[Dettes]]/Tableau3[[#This Row],[EBE]])),"")</f>
        <v/>
      </c>
      <c r="V882" s="190" t="str">
        <f>IFERROR(Tableau3[[#This Row],[Fonds propres]]/Tableau3[[#This Row],[Total Bilan]],"")</f>
        <v/>
      </c>
      <c r="W882" s="180"/>
      <c r="Y882" s="180"/>
      <c r="Z882" s="192" t="str">
        <f>IFERROR(Tableau3[[#This Row],[Chiffre d''affaires]]/Tableau3[[#This Row],[Salariés]],"")</f>
        <v/>
      </c>
      <c r="AA882" s="177"/>
      <c r="AC882" s="177" t="s">
        <v>4496</v>
      </c>
    </row>
    <row r="883" spans="1:29" ht="20.25" customHeight="1">
      <c r="A883" s="217"/>
      <c r="E883" s="187">
        <v>341.85</v>
      </c>
      <c r="F883" s="178">
        <v>2024</v>
      </c>
      <c r="G883" s="188">
        <v>43490000000</v>
      </c>
      <c r="H883" s="178"/>
      <c r="I883" s="188">
        <v>8690000000</v>
      </c>
      <c r="J883" s="188">
        <v>6410000000</v>
      </c>
      <c r="K883" s="188">
        <v>4440000000</v>
      </c>
      <c r="L883" s="188">
        <v>33130000000</v>
      </c>
      <c r="M883" s="194">
        <f>L883/P883</f>
        <v>61.9570257055735</v>
      </c>
      <c r="N883" s="190">
        <f>J883/L883</f>
        <v>0.19348022939933596</v>
      </c>
      <c r="O883" s="190">
        <f>(I883*0.7)/(K883+L883)</f>
        <v>0.16191109928134151</v>
      </c>
      <c r="P883" s="188">
        <v>534725475</v>
      </c>
      <c r="Q883" s="211">
        <f>P883*E883</f>
        <v>182795903628.75</v>
      </c>
      <c r="R883" s="195">
        <f>Q883/L883</f>
        <v>5.5175340666691817</v>
      </c>
      <c r="S883" s="178"/>
      <c r="T883" s="180"/>
      <c r="U883" s="189" t="str">
        <f>IFERROR(IF(Tableau3[[#This Row],[Dettes]]=0,"",(Tableau3[[#This Row],[Dettes]]/Tableau3[[#This Row],[EBE]])),"")</f>
        <v/>
      </c>
      <c r="V883" s="190" t="str">
        <f>IFERROR(Tableau3[[#This Row],[Fonds propres]]/Tableau3[[#This Row],[Total Bilan]],"")</f>
        <v/>
      </c>
      <c r="W883" s="180"/>
      <c r="Y883" s="180"/>
      <c r="Z883" s="192" t="str">
        <f>IFERROR(Tableau3[[#This Row],[Chiffre d''affaires]]/Tableau3[[#This Row],[Salariés]],"")</f>
        <v/>
      </c>
      <c r="AA883" s="177"/>
      <c r="AC883" s="177" t="s">
        <v>4458</v>
      </c>
    </row>
    <row r="884" spans="1:29" ht="20.25" customHeight="1">
      <c r="A884" s="217"/>
      <c r="E884" s="187"/>
      <c r="G884" s="202">
        <f>(G883/G885)-1</f>
        <v>5.6031081163115504E-2</v>
      </c>
      <c r="H884" s="203"/>
      <c r="I884" s="203">
        <f>(I883/I885)-1</f>
        <v>0.1295396053760367</v>
      </c>
      <c r="J884" s="203">
        <f>(J883/J885)-1</f>
        <v>3.6545924967658516E-2</v>
      </c>
      <c r="K884" s="188"/>
      <c r="L884" s="188"/>
      <c r="M884" s="178"/>
      <c r="N884" s="178"/>
      <c r="O884" s="178"/>
      <c r="P884" s="178"/>
      <c r="Q884" s="178"/>
      <c r="R884" s="178"/>
      <c r="S884" s="178"/>
      <c r="T884" s="180"/>
      <c r="U884" s="189" t="str">
        <f>IFERROR(IF(Tableau3[[#This Row],[Dettes]]=0,"",(Tableau3[[#This Row],[Dettes]]/Tableau3[[#This Row],[EBE]])),"")</f>
        <v/>
      </c>
      <c r="V884" s="190" t="str">
        <f>IFERROR(Tableau3[[#This Row],[Fonds propres]]/Tableau3[[#This Row],[Total Bilan]],"")</f>
        <v/>
      </c>
      <c r="W884" s="180"/>
      <c r="Y884" s="180"/>
      <c r="Z884" s="192" t="str">
        <f>IFERROR(Tableau3[[#This Row],[Chiffre d''affaires]]/Tableau3[[#This Row],[Salariés]],"")</f>
        <v/>
      </c>
      <c r="AA884" s="177"/>
      <c r="AC884" s="177" t="s">
        <v>2133</v>
      </c>
    </row>
    <row r="885" spans="1:29" ht="20.25" customHeight="1">
      <c r="A885" s="217"/>
      <c r="E885" s="187">
        <v>450.65</v>
      </c>
      <c r="F885" s="178">
        <v>2023</v>
      </c>
      <c r="G885" s="188">
        <v>41182500000</v>
      </c>
      <c r="H885" s="178"/>
      <c r="I885" s="188">
        <v>7693400000</v>
      </c>
      <c r="J885" s="188">
        <v>6184000000</v>
      </c>
      <c r="K885" s="188">
        <v>4404000000</v>
      </c>
      <c r="L885" s="188">
        <v>29074300000</v>
      </c>
      <c r="M885" s="194">
        <f>L885/P885</f>
        <v>54.372386129536842</v>
      </c>
      <c r="N885" s="190">
        <f>J885/L885</f>
        <v>0.21269643637164093</v>
      </c>
      <c r="O885" s="190">
        <f>(I885*0.7)/(K885+L885)</f>
        <v>0.16086181197970029</v>
      </c>
      <c r="P885" s="188">
        <v>534725475</v>
      </c>
      <c r="Q885" s="211">
        <f>P885*E885</f>
        <v>240974035308.75</v>
      </c>
      <c r="R885" s="195">
        <f>Q885/L885</f>
        <v>8.2882145162136318</v>
      </c>
      <c r="S885" s="197"/>
      <c r="T885" s="180"/>
      <c r="U885" s="189" t="str">
        <f>IFERROR(IF(Tableau3[[#This Row],[Dettes]]=0,"",(Tableau3[[#This Row],[Dettes]]/Tableau3[[#This Row],[EBE]])),"")</f>
        <v/>
      </c>
      <c r="V885" s="190">
        <f>IFERROR(Tableau3[[#This Row],[Fonds propres]]/Tableau3[[#This Row],[Total Bilan]],"")</f>
        <v>0.56068352003949462</v>
      </c>
      <c r="W885" s="180">
        <v>51855100000</v>
      </c>
      <c r="Y885" s="180">
        <v>94605</v>
      </c>
      <c r="Z885" s="192">
        <f>IFERROR(Tableau3[[#This Row],[Chiffre d''affaires]]/Tableau3[[#This Row],[Salariés]],"")</f>
        <v>435309.97304582212</v>
      </c>
      <c r="AA885" s="177"/>
      <c r="AC885" s="177" t="s">
        <v>2134</v>
      </c>
    </row>
    <row r="886" spans="1:29" ht="20.25" customHeight="1">
      <c r="A886" s="217"/>
      <c r="E886" s="187"/>
      <c r="G886" s="202">
        <f>(G885/G887)-1</f>
        <v>7.6368378959033478E-2</v>
      </c>
      <c r="H886" s="203"/>
      <c r="I886" s="203">
        <f>(I885/I887)-1</f>
        <v>6.6247193502785739E-2</v>
      </c>
      <c r="J886" s="203">
        <f>(J885/J887)-1</f>
        <v>8.3657519363544042E-2</v>
      </c>
      <c r="K886" s="188"/>
      <c r="L886" s="188"/>
      <c r="M886" s="178"/>
      <c r="N886" s="178"/>
      <c r="O886" s="178"/>
      <c r="P886" s="178"/>
      <c r="Q886" s="178"/>
      <c r="R886" s="178"/>
      <c r="S886" s="178"/>
      <c r="T886" s="180"/>
      <c r="U886" s="189" t="str">
        <f>IFERROR(IF(Tableau3[[#This Row],[Dettes]]=0,"",(Tableau3[[#This Row],[Dettes]]/Tableau3[[#This Row],[EBE]])),"")</f>
        <v/>
      </c>
      <c r="V886" s="190" t="str">
        <f>IFERROR(Tableau3[[#This Row],[Fonds propres]]/Tableau3[[#This Row],[Total Bilan]],"")</f>
        <v/>
      </c>
      <c r="W886" s="180"/>
      <c r="Y886" s="180"/>
      <c r="Z886" s="192" t="str">
        <f>IFERROR(Tableau3[[#This Row],[Chiffre d''affaires]]/Tableau3[[#This Row],[Salariés]],"")</f>
        <v/>
      </c>
      <c r="AA886" s="177"/>
      <c r="AC886" s="177" t="s">
        <v>4448</v>
      </c>
    </row>
    <row r="887" spans="1:29" ht="20.25" customHeight="1">
      <c r="A887" s="217"/>
      <c r="E887" s="187">
        <v>333.6</v>
      </c>
      <c r="F887" s="178">
        <v>2022</v>
      </c>
      <c r="G887" s="188">
        <v>38260600000</v>
      </c>
      <c r="H887" s="178"/>
      <c r="I887" s="188">
        <v>7215400000</v>
      </c>
      <c r="J887" s="188">
        <v>5706600000</v>
      </c>
      <c r="K887" s="188">
        <v>3033200000</v>
      </c>
      <c r="L887" s="188">
        <v>27178500000</v>
      </c>
      <c r="M887" s="194">
        <f>L887/P887</f>
        <v>50.783225756703509</v>
      </c>
      <c r="N887" s="190">
        <f>J887/L887</f>
        <v>0.20996743749655059</v>
      </c>
      <c r="O887" s="190">
        <f>(I887*0.7)/(K887+L887)</f>
        <v>0.16717960260428907</v>
      </c>
      <c r="P887" s="188">
        <v>535186562</v>
      </c>
      <c r="Q887" s="211">
        <f>P887*E887</f>
        <v>178538237083.20001</v>
      </c>
      <c r="R887" s="195">
        <f>Q887/L887</f>
        <v>6.5690982608753243</v>
      </c>
      <c r="S887" s="197"/>
      <c r="T887" s="180"/>
      <c r="U887" s="189" t="str">
        <f>IFERROR(IF(Tableau3[[#This Row],[Dettes]]=0,"",(Tableau3[[#This Row],[Dettes]]/Tableau3[[#This Row],[EBE]])),"")</f>
        <v/>
      </c>
      <c r="V887" s="190">
        <f>IFERROR(Tableau3[[#This Row],[Fonds propres]]/Tableau3[[#This Row],[Total Bilan]],"")</f>
        <v>0.58018922299879172</v>
      </c>
      <c r="W887" s="180">
        <v>46844200000</v>
      </c>
      <c r="Y887" s="180">
        <v>87369</v>
      </c>
      <c r="Z887" s="192">
        <f>IFERROR(Tableau3[[#This Row],[Chiffre d''affaires]]/Tableau3[[#This Row],[Salariés]],"")</f>
        <v>437919.62824342732</v>
      </c>
      <c r="AA887" s="177"/>
      <c r="AC887" s="177" t="s">
        <v>2135</v>
      </c>
    </row>
    <row r="888" spans="1:29" ht="20.25" customHeight="1">
      <c r="A888" s="217"/>
      <c r="E888" s="187"/>
      <c r="G888" s="202">
        <f>(G887/G889)-1</f>
        <v>0.23724615185616349</v>
      </c>
      <c r="H888" s="203"/>
      <c r="I888" s="203">
        <f>(I887/I889)-1</f>
        <v>0.20256666666666656</v>
      </c>
      <c r="J888" s="203">
        <f>(J887/J889)-1</f>
        <v>0.24134780622566399</v>
      </c>
      <c r="K888" s="188"/>
      <c r="L888" s="188"/>
      <c r="M888" s="178"/>
      <c r="N888" s="178"/>
      <c r="O888" s="178"/>
      <c r="P888" s="178"/>
      <c r="Q888" s="178"/>
      <c r="R888" s="178"/>
      <c r="S888" s="178"/>
      <c r="T888" s="180"/>
      <c r="U888" s="189" t="str">
        <f>IFERROR(IF(Tableau3[[#This Row],[Dettes]]=0,"",(Tableau3[[#This Row],[Dettes]]/Tableau3[[#This Row],[EBE]])),"")</f>
        <v/>
      </c>
      <c r="V888" s="190" t="str">
        <f>IFERROR(Tableau3[[#This Row],[Fonds propres]]/Tableau3[[#This Row],[Total Bilan]],"")</f>
        <v/>
      </c>
      <c r="W888" s="180"/>
      <c r="Y888" s="180"/>
      <c r="Z888" s="192" t="str">
        <f>IFERROR(Tableau3[[#This Row],[Chiffre d''affaires]]/Tableau3[[#This Row],[Salariés]],"")</f>
        <v/>
      </c>
      <c r="AA888" s="177"/>
      <c r="AC888" s="177" t="s">
        <v>2136</v>
      </c>
    </row>
    <row r="889" spans="1:29" ht="20.25" customHeight="1">
      <c r="A889" s="217"/>
      <c r="E889" s="187">
        <v>416.95</v>
      </c>
      <c r="F889" s="178">
        <v>2021</v>
      </c>
      <c r="G889" s="188">
        <v>30924000000</v>
      </c>
      <c r="H889" s="178"/>
      <c r="I889" s="188">
        <v>6000000000</v>
      </c>
      <c r="J889" s="188">
        <v>4597100000</v>
      </c>
      <c r="K889" s="188">
        <v>3568400000</v>
      </c>
      <c r="L889" s="188">
        <v>23585700000</v>
      </c>
      <c r="M889" s="194">
        <f>L889/P889</f>
        <v>44.051467171956958</v>
      </c>
      <c r="N889" s="190">
        <f>J889/L889</f>
        <v>0.19491047541518802</v>
      </c>
      <c r="O889" s="190">
        <f>(I889*0.7)/(K889+L889)</f>
        <v>0.15467277501371798</v>
      </c>
      <c r="P889" s="188">
        <v>535412360</v>
      </c>
      <c r="Q889" s="211">
        <f>P889*E889</f>
        <v>223240183502</v>
      </c>
      <c r="R889" s="195">
        <f>Q889/L889</f>
        <v>9.4650649970956984</v>
      </c>
      <c r="S889" s="178"/>
      <c r="T889" s="180"/>
      <c r="U889" s="189" t="str">
        <f>IFERROR(IF(Tableau3[[#This Row],[Dettes]]=0,"",(Tableau3[[#This Row],[Dettes]]/Tableau3[[#This Row],[EBE]])),"")</f>
        <v/>
      </c>
      <c r="V889" s="190">
        <f>IFERROR(Tableau3[[#This Row],[Fonds propres]]/Tableau3[[#This Row],[Total Bilan]],"")</f>
        <v>0.54833377505614533</v>
      </c>
      <c r="W889" s="180">
        <v>43013400000</v>
      </c>
      <c r="Y889" s="180">
        <v>85412</v>
      </c>
      <c r="Z889" s="192">
        <f>IFERROR(Tableau3[[#This Row],[Chiffre d''affaires]]/Tableau3[[#This Row],[Salariés]],"")</f>
        <v>362056.8538378682</v>
      </c>
      <c r="AA889" s="177"/>
      <c r="AC889" s="177" t="s">
        <v>4497</v>
      </c>
    </row>
    <row r="890" spans="1:29" ht="20.25" customHeight="1">
      <c r="A890" s="217"/>
      <c r="E890" s="187"/>
      <c r="G890" s="202">
        <f>(G889/G891)-1</f>
        <v>0.10474026600362252</v>
      </c>
      <c r="H890" s="203"/>
      <c r="I890" s="203">
        <f>(I889/I891)-1</f>
        <v>0.15185256287195248</v>
      </c>
      <c r="J890" s="203">
        <f>(J889/J891)-1</f>
        <v>0.12151744327884839</v>
      </c>
      <c r="K890" s="178"/>
      <c r="L890" s="178"/>
      <c r="M890" s="178"/>
      <c r="N890" s="178"/>
      <c r="O890" s="178"/>
      <c r="P890" s="178"/>
      <c r="Q890" s="178"/>
      <c r="R890" s="178"/>
      <c r="S890" s="178"/>
      <c r="T890" s="180"/>
      <c r="U890" s="189" t="str">
        <f>IFERROR(IF(Tableau3[[#This Row],[Dettes]]=0,"",(Tableau3[[#This Row],[Dettes]]/Tableau3[[#This Row],[EBE]])),"")</f>
        <v/>
      </c>
      <c r="V890" s="190" t="str">
        <f>IFERROR(Tableau3[[#This Row],[Fonds propres]]/Tableau3[[#This Row],[Total Bilan]],"")</f>
        <v/>
      </c>
      <c r="W890" s="180"/>
      <c r="Y890" s="180"/>
      <c r="Z890" s="192" t="str">
        <f>IFERROR(Tableau3[[#This Row],[Chiffre d''affaires]]/Tableau3[[#This Row],[Salariés]],"")</f>
        <v/>
      </c>
      <c r="AA890" s="177"/>
      <c r="AC890" s="177" t="s">
        <v>4495</v>
      </c>
    </row>
    <row r="891" spans="1:29" ht="20.25" customHeight="1">
      <c r="A891" s="217"/>
      <c r="E891" s="187">
        <v>311</v>
      </c>
      <c r="F891" s="178">
        <v>2020</v>
      </c>
      <c r="G891" s="188">
        <v>27992100000</v>
      </c>
      <c r="H891" s="178"/>
      <c r="I891" s="188">
        <v>5209000000</v>
      </c>
      <c r="J891" s="188">
        <v>4099000000</v>
      </c>
      <c r="K891" s="188">
        <v>-3859000000</v>
      </c>
      <c r="L891" s="188">
        <v>29419300000</v>
      </c>
      <c r="M891" s="194">
        <f>L891/P891</f>
        <v>52.546514327446303</v>
      </c>
      <c r="N891" s="190">
        <f>J891/L891</f>
        <v>0.13933030357622378</v>
      </c>
      <c r="O891" s="190">
        <f>(I891*0.7)/(K891+L891)</f>
        <v>0.14265482017034228</v>
      </c>
      <c r="P891" s="188">
        <v>559871580</v>
      </c>
      <c r="Q891" s="211">
        <f>P891*E891</f>
        <v>174120061380</v>
      </c>
      <c r="R891" s="195">
        <f>Q891/L891</f>
        <v>5.9185657503747544</v>
      </c>
      <c r="S891" s="197"/>
      <c r="T891" s="180"/>
      <c r="U891" s="189" t="str">
        <f>IFERROR(IF(Tableau3[[#This Row],[Dettes]]=0,"",(Tableau3[[#This Row],[Dettes]]/Tableau3[[#This Row],[EBE]])),"")</f>
        <v/>
      </c>
      <c r="V891" s="190">
        <f>IFERROR(Tableau3[[#This Row],[Fonds propres]]/Tableau3[[#This Row],[Total Bilan]],"")</f>
        <v>0.67464627238746078</v>
      </c>
      <c r="W891" s="180">
        <v>43607000000</v>
      </c>
      <c r="X891" s="191"/>
      <c r="Y891" s="180">
        <v>85392</v>
      </c>
      <c r="Z891" s="192">
        <f>IFERROR(Tableau3[[#This Row],[Chiffre d''affaires]]/Tableau3[[#This Row],[Salariés]],"")</f>
        <v>327807.05452501407</v>
      </c>
      <c r="AA891" s="197"/>
      <c r="AB891" s="197"/>
      <c r="AC891" s="177" t="s">
        <v>4449</v>
      </c>
    </row>
    <row r="892" spans="1:29" ht="20.25" customHeight="1">
      <c r="A892" s="217"/>
      <c r="E892" s="187"/>
      <c r="G892" s="202">
        <f>(G891/G893)-1</f>
        <v>-6.29820309570992E-2</v>
      </c>
      <c r="H892" s="203"/>
      <c r="I892" s="203">
        <f>(I891/I893)-1</f>
        <v>-6.101847679134742E-2</v>
      </c>
      <c r="J892" s="203">
        <f>(J891/J893)-1</f>
        <v>-5.9193463242213529E-2</v>
      </c>
      <c r="K892" s="178"/>
      <c r="L892" s="178"/>
      <c r="M892" s="194"/>
      <c r="N892" s="178"/>
      <c r="O892" s="178"/>
      <c r="P892" s="178"/>
      <c r="Q892" s="178"/>
      <c r="R892" s="178"/>
      <c r="S892" s="178"/>
      <c r="T892" s="180"/>
      <c r="U892" s="189" t="str">
        <f>IFERROR(IF(Tableau3[[#This Row],[Dettes]]=0,"",(Tableau3[[#This Row],[Dettes]]/Tableau3[[#This Row],[EBE]])),"")</f>
        <v/>
      </c>
      <c r="V892" s="190" t="str">
        <f>IFERROR(Tableau3[[#This Row],[Fonds propres]]/Tableau3[[#This Row],[Total Bilan]],"")</f>
        <v/>
      </c>
      <c r="W892" s="180"/>
      <c r="Y892" s="180"/>
      <c r="Z892" s="192" t="str">
        <f>IFERROR(Tableau3[[#This Row],[Chiffre d''affaires]]/Tableau3[[#This Row],[Salariés]],"")</f>
        <v/>
      </c>
      <c r="AA892" s="177"/>
      <c r="AC892" s="177" t="s">
        <v>4454</v>
      </c>
    </row>
    <row r="893" spans="1:29" ht="20.25" customHeight="1">
      <c r="A893" s="217"/>
      <c r="E893" s="187">
        <v>270</v>
      </c>
      <c r="F893" s="178">
        <v>2019</v>
      </c>
      <c r="G893" s="188">
        <v>29873600000</v>
      </c>
      <c r="H893" s="178"/>
      <c r="I893" s="188">
        <v>5547500000</v>
      </c>
      <c r="J893" s="188">
        <v>4356900000</v>
      </c>
      <c r="K893" s="188">
        <v>-2399000000</v>
      </c>
      <c r="L893" s="188">
        <v>29419300000</v>
      </c>
      <c r="M893" s="194">
        <f>L893/P893</f>
        <v>52.245388127525949</v>
      </c>
      <c r="N893" s="190">
        <f>J893/L893</f>
        <v>0.14809665763631358</v>
      </c>
      <c r="O893" s="190">
        <f>(I893*0.7)/(K893+L893)</f>
        <v>0.14371602091760638</v>
      </c>
      <c r="P893" s="188">
        <v>563098506</v>
      </c>
      <c r="Q893" s="211">
        <f>P893*E893</f>
        <v>152036596620</v>
      </c>
      <c r="R893" s="195">
        <f>Q893/L893</f>
        <v>5.1679202639083863</v>
      </c>
      <c r="S893" s="197"/>
      <c r="T893" s="180"/>
      <c r="U893" s="189" t="str">
        <f>IFERROR(IF(Tableau3[[#This Row],[Dettes]]=0,"",(Tableau3[[#This Row],[Dettes]]/Tableau3[[#This Row],[EBE]])),"")</f>
        <v/>
      </c>
      <c r="V893" s="190">
        <f>IFERROR(Tableau3[[#This Row],[Fonds propres]]/Tableau3[[#This Row],[Total Bilan]],"")</f>
        <v>0.67152020086738184</v>
      </c>
      <c r="W893" s="180">
        <v>43810000000</v>
      </c>
      <c r="X893" s="191"/>
      <c r="Y893" s="180">
        <v>87974</v>
      </c>
      <c r="Z893" s="192">
        <f>IFERROR(Tableau3[[#This Row],[Chiffre d''affaires]]/Tableau3[[#This Row],[Salariés]],"")</f>
        <v>339573.05567554053</v>
      </c>
      <c r="AA893" s="197"/>
      <c r="AB893" s="197"/>
      <c r="AC893" s="177" t="s">
        <v>4455</v>
      </c>
    </row>
    <row r="894" spans="1:29" ht="20.25" customHeight="1">
      <c r="A894" s="217"/>
      <c r="E894" s="187"/>
      <c r="G894" s="202">
        <f>(G893/G895)-1</f>
        <v>0.1090008686807189</v>
      </c>
      <c r="H894" s="203"/>
      <c r="I894" s="203">
        <f>(I893/I895)-1</f>
        <v>0.12708248679398615</v>
      </c>
      <c r="J894" s="203">
        <f>(J893/J895)-1</f>
        <v>9.2612097502257074E-2</v>
      </c>
      <c r="K894" s="178"/>
      <c r="L894" s="178"/>
      <c r="M894" s="194"/>
      <c r="N894" s="178"/>
      <c r="O894" s="178"/>
      <c r="P894" s="188"/>
      <c r="Q894" s="178"/>
      <c r="R894" s="178"/>
      <c r="S894" s="178"/>
      <c r="T894" s="180"/>
      <c r="U894" s="189" t="str">
        <f>IFERROR(IF(Tableau3[[#This Row],[Dettes]]=0,"",(Tableau3[[#This Row],[Dettes]]/Tableau3[[#This Row],[EBE]])),"")</f>
        <v/>
      </c>
      <c r="V894" s="190" t="str">
        <f>IFERROR(Tableau3[[#This Row],[Fonds propres]]/Tableau3[[#This Row],[Total Bilan]],"")</f>
        <v/>
      </c>
      <c r="W894" s="180"/>
      <c r="Y894" s="180"/>
      <c r="Z894" s="192" t="str">
        <f>IFERROR(Tableau3[[#This Row],[Chiffre d''affaires]]/Tableau3[[#This Row],[Salariés]],"")</f>
        <v/>
      </c>
      <c r="AA894" s="177"/>
      <c r="AC894" s="177" t="s">
        <v>4456</v>
      </c>
    </row>
    <row r="895" spans="1:29" ht="20.25" customHeight="1">
      <c r="A895" s="217"/>
      <c r="E895" s="187">
        <v>201.2</v>
      </c>
      <c r="F895" s="178">
        <v>2018</v>
      </c>
      <c r="G895" s="188">
        <v>26937400000</v>
      </c>
      <c r="H895" s="178"/>
      <c r="I895" s="188">
        <v>4922000000</v>
      </c>
      <c r="J895" s="188">
        <v>3987600000</v>
      </c>
      <c r="K895" s="188">
        <v>-2751000000</v>
      </c>
      <c r="L895" s="188">
        <v>26928400000</v>
      </c>
      <c r="M895" s="194">
        <f>L895/P895</f>
        <v>47.821828175832522</v>
      </c>
      <c r="N895" s="190">
        <f>J895/L895</f>
        <v>0.14808157929917856</v>
      </c>
      <c r="O895" s="190">
        <f>(I895*0.7)/(K895+L895)</f>
        <v>0.14250498399331607</v>
      </c>
      <c r="P895" s="188">
        <v>563098506</v>
      </c>
      <c r="Q895" s="211">
        <f>P895*E895</f>
        <v>113295419407.2</v>
      </c>
      <c r="R895" s="195">
        <f>Q895/L895</f>
        <v>4.2072837378826815</v>
      </c>
      <c r="S895" s="197"/>
      <c r="T895" s="180"/>
      <c r="U895" s="189" t="str">
        <f>IFERROR(IF(Tableau3[[#This Row],[Dettes]]=0,"",(Tableau3[[#This Row],[Dettes]]/Tableau3[[#This Row],[EBE]])),"")</f>
        <v/>
      </c>
      <c r="V895" s="190">
        <f>IFERROR(Tableau3[[#This Row],[Fonds propres]]/Tableau3[[#This Row],[Total Bilan]],"")</f>
        <v>0.70020281865931666</v>
      </c>
      <c r="W895" s="180">
        <v>38458000000</v>
      </c>
      <c r="X895" s="191"/>
      <c r="Y895" s="180">
        <v>86030</v>
      </c>
      <c r="Z895" s="192">
        <f>IFERROR(Tableau3[[#This Row],[Chiffre d''affaires]]/Tableau3[[#This Row],[Salariés]],"")</f>
        <v>313116.35475996748</v>
      </c>
      <c r="AA895" s="197"/>
      <c r="AB895" s="197"/>
      <c r="AC895" s="177" t="s">
        <v>4457</v>
      </c>
    </row>
    <row r="896" spans="1:29" ht="20.25" customHeight="1">
      <c r="A896" s="217"/>
      <c r="E896" s="187"/>
      <c r="G896" s="202">
        <f>(G895/G897)-1</f>
        <v>3.511030330045295E-2</v>
      </c>
      <c r="H896" s="203"/>
      <c r="I896" s="203">
        <f>(I895/I897)-1</f>
        <v>5.2541539251117264E-2</v>
      </c>
      <c r="J896" s="203">
        <f>(J895/J897)-1</f>
        <v>0.11214614419188407</v>
      </c>
      <c r="K896" s="188"/>
      <c r="L896" s="178"/>
      <c r="M896" s="194"/>
      <c r="N896" s="178"/>
      <c r="O896" s="178"/>
      <c r="P896" s="178"/>
      <c r="Q896" s="178"/>
      <c r="R896" s="178"/>
      <c r="S896" s="178"/>
      <c r="T896" s="180"/>
      <c r="U896" s="189" t="str">
        <f>IFERROR(IF(Tableau3[[#This Row],[Dettes]]=0,"",(Tableau3[[#This Row],[Dettes]]/Tableau3[[#This Row],[EBE]])),"")</f>
        <v/>
      </c>
      <c r="V896" s="190" t="str">
        <f>IFERROR(Tableau3[[#This Row],[Fonds propres]]/Tableau3[[#This Row],[Total Bilan]],"")</f>
        <v/>
      </c>
      <c r="W896" s="180"/>
      <c r="Y896" s="180"/>
      <c r="Z896" s="192" t="str">
        <f>IFERROR(Tableau3[[#This Row],[Chiffre d''affaires]]/Tableau3[[#This Row],[Salariés]],"")</f>
        <v/>
      </c>
      <c r="AA896" s="177"/>
      <c r="AC896" s="177" t="s">
        <v>4450</v>
      </c>
    </row>
    <row r="897" spans="1:29" ht="20.25" customHeight="1">
      <c r="A897" s="217"/>
      <c r="E897" s="187">
        <v>184.95</v>
      </c>
      <c r="F897" s="178">
        <v>2017</v>
      </c>
      <c r="G897" s="188">
        <v>26023700000</v>
      </c>
      <c r="H897" s="178"/>
      <c r="I897" s="188">
        <v>4676300000</v>
      </c>
      <c r="J897" s="188">
        <v>3585500000</v>
      </c>
      <c r="K897" s="188">
        <v>-1872200000</v>
      </c>
      <c r="L897" s="188">
        <v>24815700000</v>
      </c>
      <c r="M897" s="194">
        <f>L897/P897</f>
        <v>44.069909146588998</v>
      </c>
      <c r="N897" s="190">
        <f>J897/L897</f>
        <v>0.14448514448514449</v>
      </c>
      <c r="O897" s="190">
        <f>(I897*0.7)/(K897+L897)</f>
        <v>0.14267265238520713</v>
      </c>
      <c r="P897" s="188">
        <v>563098506</v>
      </c>
      <c r="Q897" s="211">
        <f>P897*E897</f>
        <v>104145068684.7</v>
      </c>
      <c r="R897" s="195">
        <f>Q897/L897</f>
        <v>4.19674112294636</v>
      </c>
      <c r="S897" s="197"/>
      <c r="T897" s="180"/>
      <c r="U897" s="189" t="str">
        <f>IFERROR(IF(Tableau3[[#This Row],[Dettes]]=0,"",(Tableau3[[#This Row],[Dettes]]/Tableau3[[#This Row],[EBE]])),"")</f>
        <v/>
      </c>
      <c r="V897" s="190">
        <f>IFERROR(Tableau3[[#This Row],[Fonds propres]]/Tableau3[[#This Row],[Total Bilan]],"")</f>
        <v>0.70221851212541386</v>
      </c>
      <c r="W897" s="180">
        <v>35339000000</v>
      </c>
      <c r="X897" s="191"/>
      <c r="Y897" s="180">
        <v>82606</v>
      </c>
      <c r="Z897" s="192">
        <f>IFERROR(Tableau3[[#This Row],[Chiffre d''affaires]]/Tableau3[[#This Row],[Salariés]],"")</f>
        <v>315034.01689949882</v>
      </c>
      <c r="AA897" s="197"/>
      <c r="AB897" s="197"/>
      <c r="AC897" s="177" t="s">
        <v>4451</v>
      </c>
    </row>
    <row r="898" spans="1:29" ht="20.25" customHeight="1">
      <c r="A898" s="217"/>
      <c r="E898" s="187"/>
      <c r="G898" s="202">
        <f>(G897/G899)-1</f>
        <v>4.4457376786001035E-2</v>
      </c>
      <c r="H898" s="203"/>
      <c r="I898" s="203">
        <f>(I897/I899)-1</f>
        <v>3.7794052374611642E-2</v>
      </c>
      <c r="J898" s="203">
        <f>(J897/J899)-1</f>
        <v>0.15437862202189301</v>
      </c>
      <c r="K898" s="188"/>
      <c r="L898" s="188"/>
      <c r="M898" s="194"/>
      <c r="N898" s="190"/>
      <c r="O898" s="190"/>
      <c r="P898" s="188"/>
      <c r="Q898" s="211"/>
      <c r="R898" s="195"/>
      <c r="S898" s="197"/>
      <c r="T898" s="180"/>
      <c r="U898" s="189" t="str">
        <f>IFERROR(IF(Tableau3[[#This Row],[Dettes]]=0,"",(Tableau3[[#This Row],[Dettes]]/Tableau3[[#This Row],[EBE]])),"")</f>
        <v/>
      </c>
      <c r="V898" s="190" t="str">
        <f>IFERROR(Tableau3[[#This Row],[Fonds propres]]/Tableau3[[#This Row],[Total Bilan]],"")</f>
        <v/>
      </c>
      <c r="W898" s="180"/>
      <c r="X898" s="191"/>
      <c r="Y898" s="180"/>
      <c r="Z898" s="192" t="str">
        <f>IFERROR(Tableau3[[#This Row],[Chiffre d''affaires]]/Tableau3[[#This Row],[Salariés]],"")</f>
        <v/>
      </c>
      <c r="AA898" s="197"/>
      <c r="AB898" s="197"/>
      <c r="AC898" s="177" t="s">
        <v>4453</v>
      </c>
    </row>
    <row r="899" spans="1:29" ht="20.25" customHeight="1">
      <c r="A899" s="217"/>
      <c r="E899" s="187">
        <v>173.4</v>
      </c>
      <c r="F899" s="178">
        <v>2016</v>
      </c>
      <c r="G899" s="188">
        <v>24916000000</v>
      </c>
      <c r="H899" s="178"/>
      <c r="I899" s="188">
        <v>4506000000</v>
      </c>
      <c r="J899" s="188">
        <v>3106000000</v>
      </c>
      <c r="K899" s="188">
        <v>-481400000</v>
      </c>
      <c r="L899" s="188">
        <v>24504000000</v>
      </c>
      <c r="M899" s="194">
        <f t="shared" ref="M899" si="67">L899/P899</f>
        <v>43.819742489270389</v>
      </c>
      <c r="N899" s="190">
        <f t="shared" ref="N899" si="68">J899/L899</f>
        <v>0.12675481554031995</v>
      </c>
      <c r="O899" s="190">
        <f t="shared" ref="O899" si="69">(I899*0.7)/(K899+L899)</f>
        <v>0.1313013578879888</v>
      </c>
      <c r="P899" s="188">
        <v>559200000</v>
      </c>
      <c r="Q899" s="211">
        <f t="shared" ref="Q899" si="70">P899*E899</f>
        <v>96965280000</v>
      </c>
      <c r="R899" s="195">
        <f t="shared" ref="R899" si="71">Q899/L899</f>
        <v>3.9571204701273262</v>
      </c>
      <c r="S899" s="197"/>
      <c r="T899" s="180"/>
      <c r="U899" s="189" t="str">
        <f>IFERROR(IF(Tableau3[[#This Row],[Dettes]]=0,"",(Tableau3[[#This Row],[Dettes]]/Tableau3[[#This Row],[EBE]])),"")</f>
        <v/>
      </c>
      <c r="V899" s="190">
        <f>IFERROR(Tableau3[[#This Row],[Fonds propres]]/Tableau3[[#This Row],[Total Bilan]],"")</f>
        <v>0.68773505472916086</v>
      </c>
      <c r="W899" s="180">
        <v>35630000000</v>
      </c>
      <c r="X899" s="191"/>
      <c r="Y899" s="180">
        <v>89331</v>
      </c>
      <c r="Z899" s="192">
        <f>IFERROR(Tableau3[[#This Row],[Chiffre d''affaires]]/Tableau3[[#This Row],[Salariés]],"")</f>
        <v>278917.73292585998</v>
      </c>
      <c r="AA899" s="197"/>
      <c r="AB899" s="197"/>
      <c r="AC899" s="177" t="s">
        <v>378</v>
      </c>
    </row>
    <row r="900" spans="1:29" ht="20.25" customHeight="1">
      <c r="A900" s="217"/>
      <c r="E900" s="187"/>
      <c r="G900" s="202">
        <f>(G899/G901)-1</f>
        <v>2.577192260189376E-2</v>
      </c>
      <c r="H900" s="203"/>
      <c r="I900" s="203">
        <f>(I899/I901)-1</f>
        <v>3.9926148165243536E-2</v>
      </c>
      <c r="J900" s="203">
        <f>(J899/J901)-1</f>
        <v>-5.793145283591139E-2</v>
      </c>
      <c r="K900" s="178"/>
      <c r="L900" s="188"/>
      <c r="M900" s="194"/>
      <c r="N900" s="190"/>
      <c r="O900" s="190"/>
      <c r="P900" s="178"/>
      <c r="Q900" s="211"/>
      <c r="R900" s="195"/>
      <c r="S900" s="197"/>
      <c r="T900" s="180"/>
      <c r="U900" s="189" t="str">
        <f>IFERROR(IF(Tableau3[[#This Row],[Dettes]]=0,"",(Tableau3[[#This Row],[Dettes]]/Tableau3[[#This Row],[EBE]])),"")</f>
        <v/>
      </c>
      <c r="V900" s="190" t="str">
        <f>IFERROR(Tableau3[[#This Row],[Fonds propres]]/Tableau3[[#This Row],[Total Bilan]],"")</f>
        <v/>
      </c>
      <c r="W900" s="180"/>
      <c r="X900" s="191"/>
      <c r="Y900" s="180"/>
      <c r="Z900" s="192" t="str">
        <f>IFERROR(Tableau3[[#This Row],[Chiffre d''affaires]]/Tableau3[[#This Row],[Salariés]],"")</f>
        <v/>
      </c>
      <c r="AA900" s="197"/>
      <c r="AB900" s="197"/>
      <c r="AC900" s="177" t="s">
        <v>2138</v>
      </c>
    </row>
    <row r="901" spans="1:29" ht="20.25" customHeight="1">
      <c r="A901" s="217"/>
      <c r="E901" s="187">
        <v>155.30000000000001</v>
      </c>
      <c r="F901" s="178">
        <v>2015</v>
      </c>
      <c r="G901" s="188">
        <v>24290000000</v>
      </c>
      <c r="H901" s="178"/>
      <c r="I901" s="188">
        <v>4333000000</v>
      </c>
      <c r="J901" s="188">
        <v>3297000000</v>
      </c>
      <c r="K901" s="178"/>
      <c r="L901" s="188">
        <v>23617000000</v>
      </c>
      <c r="M901" s="194">
        <f t="shared" ref="M901" si="72">L901/P901</f>
        <v>42.369931826336561</v>
      </c>
      <c r="N901" s="190">
        <f t="shared" ref="N901" si="73">J901/L901</f>
        <v>0.13960282847101663</v>
      </c>
      <c r="O901" s="190">
        <f t="shared" ref="O901" si="74">(I901*0.7)/(K901+L901)</f>
        <v>0.12842867426006691</v>
      </c>
      <c r="P901" s="188">
        <v>557400000</v>
      </c>
      <c r="Q901" s="211">
        <f t="shared" ref="Q901" si="75">P901*E901</f>
        <v>86564220000</v>
      </c>
      <c r="R901" s="195">
        <f t="shared" ref="R901" si="76">Q901/L901</f>
        <v>3.6653351399415675</v>
      </c>
      <c r="S901" s="197"/>
      <c r="T901" s="180"/>
      <c r="U901" s="189" t="str">
        <f>IFERROR(IF(Tableau3[[#This Row],[Dettes]]=0,"",(Tableau3[[#This Row],[Dettes]]/Tableau3[[#This Row],[EBE]])),"")</f>
        <v/>
      </c>
      <c r="V901" s="190">
        <f>IFERROR(Tableau3[[#This Row],[Fonds propres]]/Tableau3[[#This Row],[Total Bilan]],"")</f>
        <v>0.70057251342291837</v>
      </c>
      <c r="W901" s="180">
        <v>33711000000</v>
      </c>
      <c r="X901" s="191"/>
      <c r="Y901" s="180">
        <v>82881</v>
      </c>
      <c r="Z901" s="192">
        <f>IFERROR(Tableau3[[#This Row],[Chiffre d''affaires]]/Tableau3[[#This Row],[Salariés]],"")</f>
        <v>293070.78823855892</v>
      </c>
      <c r="AA901" s="197"/>
      <c r="AB901" s="197"/>
      <c r="AC901" s="177" t="s">
        <v>4452</v>
      </c>
    </row>
    <row r="902" spans="1:29" ht="20.25" customHeight="1">
      <c r="A902" s="217"/>
      <c r="E902" s="187"/>
      <c r="G902" s="202">
        <f>(G901/G903)-1</f>
        <v>7.8022368187466773E-2</v>
      </c>
      <c r="H902" s="203"/>
      <c r="I902" s="203">
        <f>(I901/I903)-1</f>
        <v>0.11359547674119774</v>
      </c>
      <c r="J902" s="203">
        <f>(J901/J903)-1</f>
        <v>-0.32851323828920576</v>
      </c>
      <c r="K902" s="178"/>
      <c r="L902" s="178"/>
      <c r="M902" s="194"/>
      <c r="N902" s="190"/>
      <c r="O902" s="190"/>
      <c r="P902" s="188"/>
      <c r="Q902" s="211"/>
      <c r="R902" s="195"/>
      <c r="S902" s="197"/>
      <c r="T902" s="180"/>
      <c r="U902" s="189" t="str">
        <f>IFERROR(IF(Tableau3[[#This Row],[Dettes]]=0,"",(Tableau3[[#This Row],[Dettes]]/Tableau3[[#This Row],[EBE]])),"")</f>
        <v/>
      </c>
      <c r="V902" s="190" t="str">
        <f>IFERROR(Tableau3[[#This Row],[Fonds propres]]/Tableau3[[#This Row],[Total Bilan]],"")</f>
        <v/>
      </c>
      <c r="W902" s="180"/>
      <c r="Y902" s="180"/>
      <c r="Z902" s="192" t="str">
        <f>IFERROR(Tableau3[[#This Row],[Chiffre d''affaires]]/Tableau3[[#This Row],[Salariés]],"")</f>
        <v/>
      </c>
      <c r="AA902" s="177"/>
      <c r="AC902" s="177" t="s">
        <v>2139</v>
      </c>
    </row>
    <row r="903" spans="1:29" ht="20.25" customHeight="1">
      <c r="A903" s="217"/>
      <c r="E903" s="187">
        <v>139.30000000000001</v>
      </c>
      <c r="F903" s="178">
        <v>2014</v>
      </c>
      <c r="G903" s="188">
        <v>22532000000</v>
      </c>
      <c r="H903" s="178"/>
      <c r="I903" s="188">
        <v>3891000000</v>
      </c>
      <c r="J903" s="188">
        <v>4910000000</v>
      </c>
      <c r="K903" s="178"/>
      <c r="L903" s="188">
        <v>20197000000</v>
      </c>
      <c r="M903" s="194">
        <f t="shared" ref="M903" si="77">L903/P903</f>
        <v>34.98527628615971</v>
      </c>
      <c r="N903" s="190">
        <f t="shared" ref="N903" si="78">J903/L903</f>
        <v>0.24310541169480615</v>
      </c>
      <c r="O903" s="190">
        <f t="shared" ref="O903" si="79">(I903*0.7)/(K903+L903)</f>
        <v>0.13485666188047729</v>
      </c>
      <c r="P903" s="188">
        <v>577300000</v>
      </c>
      <c r="Q903" s="211">
        <f t="shared" ref="Q903" si="80">P903*E903</f>
        <v>80417890000</v>
      </c>
      <c r="R903" s="195">
        <f t="shared" ref="R903" si="81">Q903/L903</f>
        <v>3.9816750012378077</v>
      </c>
      <c r="S903" s="197"/>
      <c r="T903" s="180"/>
      <c r="U903" s="189" t="str">
        <f>IFERROR(IF(Tableau3[[#This Row],[Dettes]]=0,"",(Tableau3[[#This Row],[Dettes]]/Tableau3[[#This Row],[EBE]])),"")</f>
        <v/>
      </c>
      <c r="V903" s="190">
        <f>IFERROR(Tableau3[[#This Row],[Fonds propres]]/Tableau3[[#This Row],[Total Bilan]],"")</f>
        <v>0.62999469727689572</v>
      </c>
      <c r="W903" s="180">
        <v>32059000000</v>
      </c>
      <c r="Y903" s="180">
        <v>78611</v>
      </c>
      <c r="Z903" s="192">
        <f>IFERROR(Tableau3[[#This Row],[Chiffre d''affaires]]/Tableau3[[#This Row],[Salariés]],"")</f>
        <v>286626.55353576469</v>
      </c>
      <c r="AA903" s="177"/>
    </row>
    <row r="904" spans="1:29" ht="20.25" customHeight="1">
      <c r="A904" s="217"/>
      <c r="E904" s="187"/>
      <c r="G904" s="202">
        <f>(G903/G905)-1</f>
        <v>1.8441511480744799E-2</v>
      </c>
      <c r="H904" s="203"/>
      <c r="I904" s="203">
        <f>(I903/I905)-1</f>
        <v>3.4840425531914798E-2</v>
      </c>
      <c r="J904" s="203">
        <f>(J903/J905)-1</f>
        <v>0.65990534144692359</v>
      </c>
      <c r="K904" s="178"/>
      <c r="L904" s="188"/>
      <c r="M904" s="194"/>
      <c r="N904" s="190"/>
      <c r="O904" s="190"/>
      <c r="P904" s="178"/>
      <c r="Q904" s="211"/>
      <c r="R904" s="195"/>
      <c r="S904" s="197"/>
      <c r="T904" s="180"/>
      <c r="U904" s="189" t="str">
        <f>IFERROR(IF(Tableau3[[#This Row],[Dettes]]=0,"",(Tableau3[[#This Row],[Dettes]]/Tableau3[[#This Row],[EBE]])),"")</f>
        <v/>
      </c>
      <c r="V904" s="190" t="str">
        <f>IFERROR(Tableau3[[#This Row],[Fonds propres]]/Tableau3[[#This Row],[Total Bilan]],"")</f>
        <v/>
      </c>
      <c r="W904" s="180"/>
      <c r="Y904" s="180"/>
      <c r="Z904" s="192" t="str">
        <f>IFERROR(Tableau3[[#This Row],[Chiffre d''affaires]]/Tableau3[[#This Row],[Salariés]],"")</f>
        <v/>
      </c>
      <c r="AA904" s="177"/>
    </row>
    <row r="905" spans="1:29" ht="20.25" customHeight="1">
      <c r="A905" s="217"/>
      <c r="E905" s="187">
        <v>127.7</v>
      </c>
      <c r="F905" s="178">
        <v>2013</v>
      </c>
      <c r="G905" s="188">
        <v>22124000000</v>
      </c>
      <c r="H905" s="178"/>
      <c r="I905" s="188">
        <v>3760000000</v>
      </c>
      <c r="J905" s="188">
        <v>2958000000</v>
      </c>
      <c r="K905" s="178"/>
      <c r="L905" s="188">
        <v>22651000000</v>
      </c>
      <c r="M905" s="194">
        <f t="shared" ref="M905" si="82">L905/P905</f>
        <v>37.896938263342811</v>
      </c>
      <c r="N905" s="190">
        <f t="shared" ref="N905" si="83">J905/L905</f>
        <v>0.13059026091563286</v>
      </c>
      <c r="O905" s="190">
        <f t="shared" ref="O905" si="84">(I905*0.7)/(K905+L905)</f>
        <v>0.11619796035495121</v>
      </c>
      <c r="P905" s="188">
        <v>597700000</v>
      </c>
      <c r="Q905" s="211">
        <f t="shared" ref="Q905" si="85">P905*E905</f>
        <v>76326290000</v>
      </c>
      <c r="R905" s="195">
        <f t="shared" ref="R905" si="86">Q905/L905</f>
        <v>3.3696653569378836</v>
      </c>
      <c r="S905" s="197"/>
      <c r="T905" s="180"/>
      <c r="U905" s="189" t="str">
        <f>IFERROR(IF(Tableau3[[#This Row],[Dettes]]=0,"",(Tableau3[[#This Row],[Dettes]]/Tableau3[[#This Row],[EBE]])),"")</f>
        <v/>
      </c>
      <c r="V905" s="190">
        <f>IFERROR(Tableau3[[#This Row],[Fonds propres]]/Tableau3[[#This Row],[Total Bilan]],"")</f>
        <v>0.73363562753036438</v>
      </c>
      <c r="W905" s="180">
        <v>30875000000</v>
      </c>
      <c r="Y905" s="180">
        <v>77452</v>
      </c>
      <c r="Z905" s="192">
        <f>IFERROR(Tableau3[[#This Row],[Chiffre d''affaires]]/Tableau3[[#This Row],[Salariés]],"")</f>
        <v>285647.88514176523</v>
      </c>
      <c r="AA905" s="177"/>
    </row>
    <row r="906" spans="1:29" ht="20.25" customHeight="1">
      <c r="A906" s="217"/>
      <c r="E906" s="187"/>
      <c r="G906" s="202">
        <f>(G905/G907)-1</f>
        <v>2.2460486181717254E-2</v>
      </c>
      <c r="H906" s="203"/>
      <c r="I906" s="203">
        <f>(I905/I907)-1</f>
        <v>5.677346824058449E-2</v>
      </c>
      <c r="J906" s="203">
        <f>(J905/J907)-1</f>
        <v>3.1380753138075423E-2</v>
      </c>
      <c r="K906" s="178"/>
      <c r="L906" s="188"/>
      <c r="M906" s="194"/>
      <c r="N906" s="190"/>
      <c r="O906" s="190"/>
      <c r="P906" s="188"/>
      <c r="Q906" s="211"/>
      <c r="R906" s="195"/>
      <c r="S906" s="197"/>
      <c r="T906" s="180"/>
      <c r="U906" s="189" t="str">
        <f>IFERROR(IF(Tableau3[[#This Row],[Dettes]]=0,"",(Tableau3[[#This Row],[Dettes]]/Tableau3[[#This Row],[EBE]])),"")</f>
        <v/>
      </c>
      <c r="V906" s="190" t="str">
        <f>IFERROR(Tableau3[[#This Row],[Fonds propres]]/Tableau3[[#This Row],[Total Bilan]],"")</f>
        <v/>
      </c>
      <c r="W906" s="180"/>
      <c r="Y906" s="180"/>
      <c r="Z906" s="192" t="str">
        <f>IFERROR(Tableau3[[#This Row],[Chiffre d''affaires]]/Tableau3[[#This Row],[Salariés]],"")</f>
        <v/>
      </c>
      <c r="AA906" s="177"/>
    </row>
    <row r="907" spans="1:29" ht="20.25" customHeight="1">
      <c r="A907" s="217"/>
      <c r="E907" s="187">
        <v>104.9</v>
      </c>
      <c r="F907" s="178">
        <v>2012</v>
      </c>
      <c r="G907" s="188">
        <v>21638000000</v>
      </c>
      <c r="H907" s="178"/>
      <c r="I907" s="188">
        <v>3558000000</v>
      </c>
      <c r="J907" s="188">
        <v>2868000000</v>
      </c>
      <c r="K907" s="178"/>
      <c r="L907" s="188">
        <v>20926000000</v>
      </c>
      <c r="M907" s="194">
        <f t="shared" ref="M907" si="87">L907/P907</f>
        <v>34.964076858813698</v>
      </c>
      <c r="N907" s="190">
        <f t="shared" ref="N907" si="88">J907/L907</f>
        <v>0.13705438210838192</v>
      </c>
      <c r="O907" s="190">
        <f t="shared" ref="O907" si="89">(I907*0.7)/(K907+L907)</f>
        <v>0.11901940170123292</v>
      </c>
      <c r="P907" s="188">
        <v>598500000</v>
      </c>
      <c r="Q907" s="211">
        <f t="shared" ref="Q907" si="90">P907*E907</f>
        <v>62782650000</v>
      </c>
      <c r="R907" s="195">
        <f t="shared" ref="R907" si="91">Q907/L907</f>
        <v>3.0002222116027908</v>
      </c>
      <c r="S907" s="197"/>
      <c r="T907" s="180"/>
      <c r="U907" s="189" t="str">
        <f>IFERROR(IF(Tableau3[[#This Row],[Dettes]]=0,"",(Tableau3[[#This Row],[Dettes]]/Tableau3[[#This Row],[EBE]])),"")</f>
        <v/>
      </c>
      <c r="V907" s="190">
        <f>IFERROR(Tableau3[[#This Row],[Fonds propres]]/Tableau3[[#This Row],[Total Bilan]],"")</f>
        <v>0.71581035780255864</v>
      </c>
      <c r="W907" s="180">
        <v>29234000000</v>
      </c>
      <c r="Y907" s="180">
        <v>72637</v>
      </c>
      <c r="Z907" s="192">
        <f>IFERROR(Tableau3[[#This Row],[Chiffre d''affaires]]/Tableau3[[#This Row],[Salariés]],"")</f>
        <v>297892.25876619352</v>
      </c>
      <c r="AA907" s="177"/>
    </row>
    <row r="908" spans="1:29" ht="20.25" customHeight="1">
      <c r="A908" s="217"/>
      <c r="E908" s="187"/>
      <c r="G908" s="202">
        <f>(G907/G909)-1</f>
        <v>6.3658260826820134E-2</v>
      </c>
      <c r="H908" s="203"/>
      <c r="I908" s="203">
        <f>(I907/I909)-1</f>
        <v>8.0473732159125344E-2</v>
      </c>
      <c r="J908" s="203">
        <f>(J907/J909)-1</f>
        <v>0.17637407711238717</v>
      </c>
      <c r="K908" s="178"/>
      <c r="L908" s="188"/>
      <c r="M908" s="194"/>
      <c r="N908" s="190"/>
      <c r="O908" s="190"/>
      <c r="P908" s="188"/>
      <c r="Q908" s="211"/>
      <c r="R908" s="195"/>
      <c r="S908" s="197"/>
      <c r="T908" s="180"/>
      <c r="U908" s="189" t="str">
        <f>IFERROR(IF(Tableau3[[#This Row],[Dettes]]=0,"",(Tableau3[[#This Row],[Dettes]]/Tableau3[[#This Row],[EBE]])),"")</f>
        <v/>
      </c>
      <c r="V908" s="190" t="str">
        <f>IFERROR(Tableau3[[#This Row],[Fonds propres]]/Tableau3[[#This Row],[Total Bilan]],"")</f>
        <v/>
      </c>
      <c r="W908" s="180"/>
      <c r="Y908" s="180"/>
      <c r="Z908" s="192" t="str">
        <f>IFERROR(Tableau3[[#This Row],[Chiffre d''affaires]]/Tableau3[[#This Row],[Salariés]],"")</f>
        <v/>
      </c>
      <c r="AA908" s="177"/>
    </row>
    <row r="909" spans="1:29" ht="20.25" customHeight="1">
      <c r="A909" s="217"/>
      <c r="E909" s="187">
        <v>80.7</v>
      </c>
      <c r="F909" s="178">
        <v>2011</v>
      </c>
      <c r="G909" s="188">
        <v>20343000000</v>
      </c>
      <c r="H909" s="178"/>
      <c r="I909" s="188">
        <v>3293000000</v>
      </c>
      <c r="J909" s="188">
        <v>2438000000</v>
      </c>
      <c r="K909" s="178"/>
      <c r="L909" s="188">
        <v>17627000000</v>
      </c>
      <c r="M909" s="194">
        <f t="shared" ref="M909" si="92">L909/P909</f>
        <v>29.735155195681511</v>
      </c>
      <c r="N909" s="190">
        <f t="shared" ref="N909" si="93">J909/L909</f>
        <v>0.13831054632098486</v>
      </c>
      <c r="O909" s="190">
        <f t="shared" ref="O909" si="94">(I909*0.7)/(K909+L909)</f>
        <v>0.13077097634311</v>
      </c>
      <c r="P909" s="188">
        <v>592800000</v>
      </c>
      <c r="Q909" s="211">
        <f t="shared" ref="Q909" si="95">P909*E909</f>
        <v>47838960000</v>
      </c>
      <c r="R909" s="195">
        <f t="shared" ref="R909" si="96">Q909/L909</f>
        <v>2.7139592670335282</v>
      </c>
      <c r="S909" s="197"/>
      <c r="T909" s="180"/>
      <c r="U909" s="189" t="str">
        <f>IFERROR(IF(Tableau3[[#This Row],[Dettes]]=0,"",(Tableau3[[#This Row],[Dettes]]/Tableau3[[#This Row],[EBE]])),"")</f>
        <v/>
      </c>
      <c r="V909" s="190">
        <f>IFERROR(Tableau3[[#This Row],[Fonds propres]]/Tableau3[[#This Row],[Total Bilan]],"")</f>
        <v>0.65615693865396074</v>
      </c>
      <c r="W909" s="180">
        <v>26864000000</v>
      </c>
      <c r="Y909" s="180">
        <v>68886</v>
      </c>
      <c r="Z909" s="192">
        <f>IFERROR(Tableau3[[#This Row],[Chiffre d''affaires]]/Tableau3[[#This Row],[Salariés]],"")</f>
        <v>295313.99703858548</v>
      </c>
      <c r="AA909" s="177"/>
    </row>
    <row r="910" spans="1:29" ht="20.25" customHeight="1">
      <c r="A910" s="217"/>
      <c r="E910" s="187"/>
      <c r="G910" s="202">
        <f>(G909/G911)-1</f>
        <v>4.3444809191629075E-2</v>
      </c>
      <c r="H910" s="203"/>
      <c r="I910" s="203">
        <f>(I909/I911)-1</f>
        <v>7.7199869152764222E-2</v>
      </c>
      <c r="J910" s="203">
        <f>(J909/J911)-1</f>
        <v>8.8392857142857162E-2</v>
      </c>
      <c r="K910" s="178"/>
      <c r="L910" s="188"/>
      <c r="M910" s="194"/>
      <c r="N910" s="190"/>
      <c r="O910" s="190"/>
      <c r="P910" s="188"/>
      <c r="Q910" s="211"/>
      <c r="R910" s="195"/>
      <c r="S910" s="197"/>
      <c r="T910" s="180"/>
      <c r="U910" s="189" t="str">
        <f>IFERROR(IF(Tableau3[[#This Row],[Dettes]]=0,"",(Tableau3[[#This Row],[Dettes]]/Tableau3[[#This Row],[EBE]])),"")</f>
        <v/>
      </c>
      <c r="V910" s="190" t="str">
        <f>IFERROR(Tableau3[[#This Row],[Fonds propres]]/Tableau3[[#This Row],[Total Bilan]],"")</f>
        <v/>
      </c>
      <c r="W910" s="180"/>
      <c r="Y910" s="180"/>
      <c r="Z910" s="192" t="str">
        <f>IFERROR(Tableau3[[#This Row],[Chiffre d''affaires]]/Tableau3[[#This Row],[Salariés]],"")</f>
        <v/>
      </c>
      <c r="AA910" s="177"/>
    </row>
    <row r="911" spans="1:29" ht="20.25" customHeight="1">
      <c r="A911" s="217"/>
      <c r="E911" s="187">
        <v>83.08</v>
      </c>
      <c r="F911" s="178">
        <v>2010</v>
      </c>
      <c r="G911" s="188">
        <v>19496000000</v>
      </c>
      <c r="H911" s="178"/>
      <c r="I911" s="188">
        <v>3057000000</v>
      </c>
      <c r="J911" s="188">
        <v>2240000000</v>
      </c>
      <c r="K911" s="178"/>
      <c r="L911" s="188">
        <v>14866000000</v>
      </c>
      <c r="M911" s="194">
        <f t="shared" ref="M911" si="97">L911/P911</f>
        <v>25.342652574156155</v>
      </c>
      <c r="N911" s="190">
        <f t="shared" ref="N911" si="98">J911/L911</f>
        <v>0.15067940266379659</v>
      </c>
      <c r="O911" s="190">
        <f t="shared" ref="O911" si="99">(I911*0.7)/(K911+L911)</f>
        <v>0.14394591685725816</v>
      </c>
      <c r="P911" s="188">
        <v>586600000</v>
      </c>
      <c r="Q911" s="211">
        <f t="shared" ref="Q911" si="100">P911*E911</f>
        <v>48734728000</v>
      </c>
      <c r="R911" s="195">
        <f t="shared" ref="R911" si="101">Q911/L911</f>
        <v>3.2782677250100902</v>
      </c>
      <c r="S911" s="197"/>
      <c r="T911" s="180"/>
      <c r="U911" s="189" t="str">
        <f>IFERROR(IF(Tableau3[[#This Row],[Dettes]]=0,"",(Tableau3[[#This Row],[Dettes]]/Tableau3[[#This Row],[EBE]])),"")</f>
        <v/>
      </c>
      <c r="V911" s="190">
        <f>IFERROR(Tableau3[[#This Row],[Fonds propres]]/Tableau3[[#This Row],[Total Bilan]],"")</f>
        <v>0.61825743397795796</v>
      </c>
      <c r="W911" s="180">
        <v>24045000000</v>
      </c>
      <c r="Y911" s="180">
        <v>66619</v>
      </c>
      <c r="Z911" s="192">
        <f>IFERROR(Tableau3[[#This Row],[Chiffre d''affaires]]/Tableau3[[#This Row],[Salariés]],"")</f>
        <v>292649.24420960987</v>
      </c>
      <c r="AA911" s="177"/>
    </row>
    <row r="912" spans="1:29" ht="20.25" customHeight="1">
      <c r="A912" s="217"/>
      <c r="E912" s="187"/>
      <c r="G912" s="202">
        <f>(G911/G913)-1</f>
        <v>0.1157786298861101</v>
      </c>
      <c r="H912" s="203"/>
      <c r="I912" s="203">
        <f>(I911/I913)-1</f>
        <v>0.32913043478260873</v>
      </c>
      <c r="J912" s="203">
        <f>(J911/J913)-1</f>
        <v>0.25</v>
      </c>
      <c r="K912" s="178"/>
      <c r="L912" s="188"/>
      <c r="M912" s="194"/>
      <c r="N912" s="190"/>
      <c r="O912" s="190"/>
      <c r="P912" s="188"/>
      <c r="Q912" s="211"/>
      <c r="R912" s="195"/>
      <c r="S912" s="197"/>
      <c r="T912" s="180"/>
      <c r="U912" s="189" t="str">
        <f>IFERROR(IF(Tableau3[[#This Row],[Dettes]]=0,"",(Tableau3[[#This Row],[Dettes]]/Tableau3[[#This Row],[EBE]])),"")</f>
        <v/>
      </c>
      <c r="V912" s="190" t="str">
        <f>IFERROR(Tableau3[[#This Row],[Fonds propres]]/Tableau3[[#This Row],[Total Bilan]],"")</f>
        <v/>
      </c>
      <c r="W912" s="180"/>
      <c r="Y912" s="180"/>
      <c r="Z912" s="192" t="str">
        <f>IFERROR(Tableau3[[#This Row],[Chiffre d''affaires]]/Tableau3[[#This Row],[Salariés]],"")</f>
        <v/>
      </c>
      <c r="AA912" s="177"/>
    </row>
    <row r="913" spans="1:27" ht="20.25" customHeight="1">
      <c r="A913" s="217"/>
      <c r="E913" s="187">
        <v>78</v>
      </c>
      <c r="F913" s="178">
        <v>2009</v>
      </c>
      <c r="G913" s="188">
        <v>17473000000</v>
      </c>
      <c r="H913" s="178"/>
      <c r="I913" s="188">
        <v>2300000000</v>
      </c>
      <c r="J913" s="188">
        <v>1792000000</v>
      </c>
      <c r="K913" s="178"/>
      <c r="L913" s="188">
        <v>13598000000</v>
      </c>
      <c r="M913" s="194">
        <f t="shared" ref="M913" si="102">L913/P913</f>
        <v>23.308193349331503</v>
      </c>
      <c r="N913" s="190">
        <f t="shared" ref="N913" si="103">J913/L913</f>
        <v>0.13178408589498455</v>
      </c>
      <c r="O913" s="190">
        <f t="shared" ref="O913" si="104">(I913*0.7)/(K913+L913)</f>
        <v>0.11839976467127519</v>
      </c>
      <c r="P913" s="188">
        <v>583400000</v>
      </c>
      <c r="Q913" s="211">
        <f t="shared" ref="Q913" si="105">P913*E913</f>
        <v>45505200000</v>
      </c>
      <c r="R913" s="195">
        <f t="shared" ref="R913" si="106">Q913/L913</f>
        <v>3.3464627151051625</v>
      </c>
      <c r="S913" s="197"/>
      <c r="T913" s="180"/>
      <c r="U913" s="189" t="str">
        <f>IFERROR(IF(Tableau3[[#This Row],[Dettes]]=0,"",(Tableau3[[#This Row],[Dettes]]/Tableau3[[#This Row],[EBE]])),"")</f>
        <v/>
      </c>
      <c r="V913" s="190">
        <f>IFERROR(Tableau3[[#This Row],[Fonds propres]]/Tableau3[[#This Row],[Total Bilan]],"")</f>
        <v>0.58380559848875146</v>
      </c>
      <c r="W913" s="180">
        <v>23292000000</v>
      </c>
      <c r="Y913" s="180">
        <v>64600</v>
      </c>
      <c r="Z913" s="192">
        <f>IFERROR(Tableau3[[#This Row],[Chiffre d''affaires]]/Tableau3[[#This Row],[Salariés]],"")</f>
        <v>270479.87616099074</v>
      </c>
      <c r="AA913" s="177"/>
    </row>
    <row r="914" spans="1:27" ht="20.25" customHeight="1">
      <c r="A914" s="217"/>
      <c r="E914" s="187"/>
      <c r="G914" s="188"/>
      <c r="H914" s="178"/>
      <c r="I914" s="178"/>
      <c r="J914" s="178"/>
      <c r="K914" s="178"/>
      <c r="L914" s="178"/>
      <c r="M914" s="194"/>
      <c r="N914" s="190"/>
      <c r="O914" s="190"/>
      <c r="P914" s="178"/>
      <c r="Q914" s="211"/>
      <c r="R914" s="195"/>
      <c r="S914" s="197"/>
      <c r="T914" s="180"/>
      <c r="U914" s="189" t="str">
        <f>IFERROR(IF(Tableau3[[#This Row],[Dettes]]=0,"",(Tableau3[[#This Row],[Dettes]]/Tableau3[[#This Row],[EBE]])),"")</f>
        <v/>
      </c>
      <c r="V914" s="190" t="str">
        <f>IFERROR(Tableau3[[#This Row],[Fonds propres]]/Tableau3[[#This Row],[Total Bilan]],"")</f>
        <v/>
      </c>
      <c r="W914" s="180"/>
      <c r="Y914" s="180"/>
      <c r="Z914" s="192" t="str">
        <f>IFERROR(Tableau3[[#This Row],[Chiffre d''affaires]]/Tableau3[[#This Row],[Salariés]],"")</f>
        <v/>
      </c>
      <c r="AA914" s="177"/>
    </row>
    <row r="915" spans="1:27" ht="20.25" customHeight="1">
      <c r="A915" s="217"/>
      <c r="E915" s="187">
        <v>62.3</v>
      </c>
      <c r="F915" s="178">
        <v>2008</v>
      </c>
      <c r="G915" s="188"/>
      <c r="H915" s="178"/>
      <c r="I915" s="178"/>
      <c r="J915" s="178"/>
      <c r="K915" s="178"/>
      <c r="L915" s="178"/>
      <c r="M915" s="194"/>
      <c r="N915" s="178"/>
      <c r="O915" s="178"/>
      <c r="P915" s="178"/>
      <c r="Q915" s="178"/>
      <c r="R915" s="178"/>
      <c r="S915" s="178"/>
      <c r="T915" s="180"/>
      <c r="U915" s="189" t="str">
        <f>IFERROR(IF(Tableau3[[#This Row],[Dettes]]=0,"",(Tableau3[[#This Row],[Dettes]]/Tableau3[[#This Row],[EBE]])),"")</f>
        <v/>
      </c>
      <c r="V915" s="190" t="str">
        <f>IFERROR(Tableau3[[#This Row],[Fonds propres]]/Tableau3[[#This Row],[Total Bilan]],"")</f>
        <v/>
      </c>
      <c r="W915" s="180"/>
      <c r="Y915" s="180"/>
      <c r="Z915" s="192" t="str">
        <f>IFERROR(Tableau3[[#This Row],[Chiffre d''affaires]]/Tableau3[[#This Row],[Salariés]],"")</f>
        <v/>
      </c>
      <c r="AA915" s="177"/>
    </row>
    <row r="916" spans="1:27" ht="20.25" customHeight="1">
      <c r="A916" s="217"/>
      <c r="E916" s="187"/>
      <c r="G916" s="188"/>
      <c r="H916" s="178"/>
      <c r="I916" s="178"/>
      <c r="J916" s="178"/>
      <c r="K916" s="178"/>
      <c r="L916" s="178"/>
      <c r="M916" s="194"/>
      <c r="N916" s="178"/>
      <c r="O916" s="178"/>
      <c r="P916" s="178"/>
      <c r="Q916" s="178"/>
      <c r="R916" s="178"/>
      <c r="S916" s="178"/>
      <c r="T916" s="180"/>
      <c r="U916" s="189" t="str">
        <f>IFERROR(IF(Tableau3[[#This Row],[Dettes]]=0,"",(Tableau3[[#This Row],[Dettes]]/Tableau3[[#This Row],[EBE]])),"")</f>
        <v/>
      </c>
      <c r="V916" s="190" t="str">
        <f>IFERROR(Tableau3[[#This Row],[Fonds propres]]/Tableau3[[#This Row],[Total Bilan]],"")</f>
        <v/>
      </c>
      <c r="W916" s="180"/>
      <c r="Y916" s="180"/>
      <c r="Z916" s="192" t="str">
        <f>IFERROR(Tableau3[[#This Row],[Chiffre d''affaires]]/Tableau3[[#This Row],[Salariés]],"")</f>
        <v/>
      </c>
      <c r="AA916" s="177"/>
    </row>
    <row r="917" spans="1:27" ht="20.25" customHeight="1">
      <c r="A917" s="217"/>
      <c r="E917" s="187"/>
      <c r="G917" s="188"/>
      <c r="H917" s="178"/>
      <c r="I917" s="178"/>
      <c r="J917" s="178"/>
      <c r="K917" s="178"/>
      <c r="L917" s="178"/>
      <c r="M917" s="194"/>
      <c r="N917" s="178"/>
      <c r="O917" s="178"/>
      <c r="P917" s="178"/>
      <c r="Q917" s="178"/>
      <c r="R917" s="178"/>
      <c r="S917" s="178"/>
      <c r="T917" s="180"/>
      <c r="U917" s="189" t="str">
        <f>IFERROR(IF(Tableau3[[#This Row],[Dettes]]=0,"",(Tableau3[[#This Row],[Dettes]]/Tableau3[[#This Row],[EBE]])),"")</f>
        <v/>
      </c>
      <c r="V917" s="190" t="str">
        <f>IFERROR(Tableau3[[#This Row],[Fonds propres]]/Tableau3[[#This Row],[Total Bilan]],"")</f>
        <v/>
      </c>
      <c r="W917" s="180"/>
      <c r="Y917" s="180"/>
      <c r="Z917" s="192" t="str">
        <f>IFERROR(Tableau3[[#This Row],[Chiffre d''affaires]]/Tableau3[[#This Row],[Salariés]],"")</f>
        <v/>
      </c>
      <c r="AA917" s="177"/>
    </row>
    <row r="918" spans="1:27" ht="20.25" customHeight="1">
      <c r="A918" s="217"/>
      <c r="E918" s="187"/>
      <c r="G918" s="188"/>
      <c r="H918" s="178"/>
      <c r="I918" s="178"/>
      <c r="J918" s="178"/>
      <c r="K918" s="178"/>
      <c r="L918" s="178"/>
      <c r="M918" s="194"/>
      <c r="N918" s="178"/>
      <c r="O918" s="178"/>
      <c r="P918" s="178"/>
      <c r="Q918" s="178"/>
      <c r="R918" s="178"/>
      <c r="S918" s="178"/>
      <c r="T918" s="180"/>
      <c r="U918" s="189" t="str">
        <f>IFERROR(IF(Tableau3[[#This Row],[Dettes]]=0,"",(Tableau3[[#This Row],[Dettes]]/Tableau3[[#This Row],[EBE]])),"")</f>
        <v/>
      </c>
      <c r="V918" s="190" t="str">
        <f>IFERROR(Tableau3[[#This Row],[Fonds propres]]/Tableau3[[#This Row],[Total Bilan]],"")</f>
        <v/>
      </c>
      <c r="W918" s="180"/>
      <c r="Y918" s="180"/>
      <c r="Z918" s="192" t="str">
        <f>IFERROR(Tableau3[[#This Row],[Chiffre d''affaires]]/Tableau3[[#This Row],[Salariés]],"")</f>
        <v/>
      </c>
      <c r="AA918" s="177"/>
    </row>
    <row r="919" spans="1:27" ht="20.25" customHeight="1">
      <c r="A919" s="217" t="s">
        <v>5140</v>
      </c>
      <c r="E919" s="187"/>
      <c r="F919" s="178">
        <v>2025</v>
      </c>
      <c r="G919" s="188"/>
      <c r="H919" s="178"/>
      <c r="I919" s="178"/>
      <c r="J919" s="178"/>
      <c r="K919" s="178"/>
      <c r="L919" s="178"/>
      <c r="M919" s="194"/>
      <c r="N919" s="178"/>
      <c r="O919" s="178"/>
      <c r="P919" s="178"/>
      <c r="Q919" s="178"/>
      <c r="R919" s="178"/>
      <c r="S919" s="178"/>
      <c r="T919" s="180"/>
      <c r="U919" s="189" t="str">
        <f>IFERROR(IF(Tableau3[[#This Row],[Dettes]]=0,"",(Tableau3[[#This Row],[Dettes]]/Tableau3[[#This Row],[EBE]])),"")</f>
        <v/>
      </c>
      <c r="V919" s="190" t="str">
        <f>IFERROR(Tableau3[[#This Row],[Fonds propres]]/Tableau3[[#This Row],[Total Bilan]],"")</f>
        <v/>
      </c>
      <c r="W919" s="180"/>
      <c r="Y919" s="180"/>
      <c r="Z919" s="192" t="str">
        <f>IFERROR(Tableau3[[#This Row],[Chiffre d''affaires]]/Tableau3[[#This Row],[Salariés]],"")</f>
        <v/>
      </c>
      <c r="AA919" s="177"/>
    </row>
    <row r="920" spans="1:27" ht="20.25" customHeight="1">
      <c r="A920" s="217"/>
      <c r="E920" s="187"/>
      <c r="G920" s="188"/>
      <c r="H920" s="178"/>
      <c r="I920" s="178"/>
      <c r="J920" s="178"/>
      <c r="K920" s="178"/>
      <c r="L920" s="178"/>
      <c r="M920" s="194"/>
      <c r="N920" s="178"/>
      <c r="O920" s="178"/>
      <c r="P920" s="178"/>
      <c r="Q920" s="178"/>
      <c r="R920" s="178"/>
      <c r="S920" s="178"/>
      <c r="T920" s="180"/>
      <c r="U920" s="189" t="str">
        <f>IFERROR(IF(Tableau3[[#This Row],[Dettes]]=0,"",(Tableau3[[#This Row],[Dettes]]/Tableau3[[#This Row],[EBE]])),"")</f>
        <v/>
      </c>
      <c r="V920" s="190" t="str">
        <f>IFERROR(Tableau3[[#This Row],[Fonds propres]]/Tableau3[[#This Row],[Total Bilan]],"")</f>
        <v/>
      </c>
      <c r="W920" s="180"/>
      <c r="Y920" s="180"/>
      <c r="Z920" s="192" t="str">
        <f>IFERROR(Tableau3[[#This Row],[Chiffre d''affaires]]/Tableau3[[#This Row],[Salariés]],"")</f>
        <v/>
      </c>
      <c r="AA920" s="177"/>
    </row>
    <row r="921" spans="1:27" ht="20.25" customHeight="1">
      <c r="A921" s="217"/>
      <c r="E921" s="187"/>
      <c r="F921" s="178">
        <v>2024</v>
      </c>
      <c r="G921" s="188"/>
      <c r="H921" s="178"/>
      <c r="I921" s="178"/>
      <c r="J921" s="178"/>
      <c r="K921" s="178"/>
      <c r="L921" s="178"/>
      <c r="M921" s="194"/>
      <c r="N921" s="178"/>
      <c r="O921" s="178"/>
      <c r="P921" s="178"/>
      <c r="Q921" s="178"/>
      <c r="R921" s="178"/>
      <c r="S921" s="178"/>
      <c r="T921" s="180"/>
      <c r="U921" s="189" t="str">
        <f>IFERROR(IF(Tableau3[[#This Row],[Dettes]]=0,"",(Tableau3[[#This Row],[Dettes]]/Tableau3[[#This Row],[EBE]])),"")</f>
        <v/>
      </c>
      <c r="V921" s="190" t="str">
        <f>IFERROR(Tableau3[[#This Row],[Fonds propres]]/Tableau3[[#This Row],[Total Bilan]],"")</f>
        <v/>
      </c>
      <c r="W921" s="180"/>
      <c r="Y921" s="180"/>
      <c r="Z921" s="192" t="str">
        <f>IFERROR(Tableau3[[#This Row],[Chiffre d''affaires]]/Tableau3[[#This Row],[Salariés]],"")</f>
        <v/>
      </c>
      <c r="AA921" s="177"/>
    </row>
    <row r="922" spans="1:27" ht="20.25" customHeight="1">
      <c r="A922" s="217"/>
      <c r="E922" s="187"/>
      <c r="G922" s="188"/>
      <c r="H922" s="178"/>
      <c r="I922" s="178"/>
      <c r="J922" s="178"/>
      <c r="K922" s="178"/>
      <c r="L922" s="178"/>
      <c r="M922" s="194"/>
      <c r="N922" s="178"/>
      <c r="O922" s="178"/>
      <c r="P922" s="178"/>
      <c r="Q922" s="178"/>
      <c r="R922" s="178"/>
      <c r="S922" s="178"/>
      <c r="T922" s="180"/>
      <c r="U922" s="189" t="str">
        <f>IFERROR(IF(Tableau3[[#This Row],[Dettes]]=0,"",(Tableau3[[#This Row],[Dettes]]/Tableau3[[#This Row],[EBE]])),"")</f>
        <v/>
      </c>
      <c r="V922" s="190" t="str">
        <f>IFERROR(Tableau3[[#This Row],[Fonds propres]]/Tableau3[[#This Row],[Total Bilan]],"")</f>
        <v/>
      </c>
      <c r="W922" s="180"/>
      <c r="Y922" s="180"/>
      <c r="Z922" s="192" t="str">
        <f>IFERROR(Tableau3[[#This Row],[Chiffre d''affaires]]/Tableau3[[#This Row],[Salariés]],"")</f>
        <v/>
      </c>
      <c r="AA922" s="177"/>
    </row>
    <row r="923" spans="1:27" ht="20.25" customHeight="1">
      <c r="A923" s="217"/>
      <c r="E923" s="187"/>
      <c r="F923" s="178">
        <v>2023</v>
      </c>
      <c r="G923" s="188"/>
      <c r="H923" s="178"/>
      <c r="I923" s="178"/>
      <c r="J923" s="178"/>
      <c r="K923" s="178"/>
      <c r="L923" s="178"/>
      <c r="M923" s="194"/>
      <c r="N923" s="178"/>
      <c r="O923" s="178"/>
      <c r="P923" s="178"/>
      <c r="Q923" s="178"/>
      <c r="R923" s="178"/>
      <c r="S923" s="178"/>
      <c r="T923" s="180"/>
      <c r="U923" s="189" t="str">
        <f>IFERROR(IF(Tableau3[[#This Row],[Dettes]]=0,"",(Tableau3[[#This Row],[Dettes]]/Tableau3[[#This Row],[EBE]])),"")</f>
        <v/>
      </c>
      <c r="V923" s="190" t="str">
        <f>IFERROR(Tableau3[[#This Row],[Fonds propres]]/Tableau3[[#This Row],[Total Bilan]],"")</f>
        <v/>
      </c>
      <c r="W923" s="180"/>
      <c r="Y923" s="180"/>
      <c r="Z923" s="192" t="str">
        <f>IFERROR(Tableau3[[#This Row],[Chiffre d''affaires]]/Tableau3[[#This Row],[Salariés]],"")</f>
        <v/>
      </c>
      <c r="AA923" s="177"/>
    </row>
    <row r="924" spans="1:27" ht="20.25" customHeight="1">
      <c r="A924" s="217"/>
      <c r="E924" s="187"/>
      <c r="G924" s="188"/>
      <c r="H924" s="178"/>
      <c r="I924" s="178"/>
      <c r="J924" s="178"/>
      <c r="K924" s="178"/>
      <c r="L924" s="178"/>
      <c r="M924" s="194"/>
      <c r="N924" s="178"/>
      <c r="O924" s="178"/>
      <c r="P924" s="178"/>
      <c r="Q924" s="178"/>
      <c r="R924" s="178"/>
      <c r="S924" s="178"/>
      <c r="T924" s="180"/>
      <c r="U924" s="189" t="str">
        <f>IFERROR(IF(Tableau3[[#This Row],[Dettes]]=0,"",(Tableau3[[#This Row],[Dettes]]/Tableau3[[#This Row],[EBE]])),"")</f>
        <v/>
      </c>
      <c r="V924" s="190" t="str">
        <f>IFERROR(Tableau3[[#This Row],[Fonds propres]]/Tableau3[[#This Row],[Total Bilan]],"")</f>
        <v/>
      </c>
      <c r="W924" s="180"/>
      <c r="Y924" s="180"/>
      <c r="Z924" s="192" t="str">
        <f>IFERROR(Tableau3[[#This Row],[Chiffre d''affaires]]/Tableau3[[#This Row],[Salariés]],"")</f>
        <v/>
      </c>
      <c r="AA924" s="177"/>
    </row>
    <row r="925" spans="1:27" ht="20.25" customHeight="1">
      <c r="A925" s="217"/>
      <c r="E925" s="187"/>
      <c r="F925" s="178">
        <v>2022</v>
      </c>
      <c r="G925" s="188"/>
      <c r="H925" s="178"/>
      <c r="I925" s="178"/>
      <c r="J925" s="178"/>
      <c r="K925" s="178"/>
      <c r="L925" s="178"/>
      <c r="M925" s="194"/>
      <c r="N925" s="178"/>
      <c r="O925" s="178"/>
      <c r="P925" s="178"/>
      <c r="Q925" s="178"/>
      <c r="R925" s="178"/>
      <c r="S925" s="178"/>
      <c r="T925" s="180"/>
      <c r="U925" s="189" t="str">
        <f>IFERROR(IF(Tableau3[[#This Row],[Dettes]]=0,"",(Tableau3[[#This Row],[Dettes]]/Tableau3[[#This Row],[EBE]])),"")</f>
        <v/>
      </c>
      <c r="V925" s="190" t="str">
        <f>IFERROR(Tableau3[[#This Row],[Fonds propres]]/Tableau3[[#This Row],[Total Bilan]],"")</f>
        <v/>
      </c>
      <c r="W925" s="180"/>
      <c r="Y925" s="180"/>
      <c r="Z925" s="192" t="str">
        <f>IFERROR(Tableau3[[#This Row],[Chiffre d''affaires]]/Tableau3[[#This Row],[Salariés]],"")</f>
        <v/>
      </c>
      <c r="AA925" s="177"/>
    </row>
    <row r="926" spans="1:27" ht="20.25" customHeight="1">
      <c r="A926" s="217"/>
      <c r="E926" s="187"/>
      <c r="G926" s="188"/>
      <c r="H926" s="178"/>
      <c r="I926" s="178"/>
      <c r="J926" s="178"/>
      <c r="K926" s="178"/>
      <c r="L926" s="178"/>
      <c r="M926" s="194"/>
      <c r="N926" s="178"/>
      <c r="O926" s="178"/>
      <c r="P926" s="178"/>
      <c r="Q926" s="178"/>
      <c r="R926" s="178"/>
      <c r="S926" s="178"/>
      <c r="T926" s="180"/>
      <c r="U926" s="189" t="str">
        <f>IFERROR(IF(Tableau3[[#This Row],[Dettes]]=0,"",(Tableau3[[#This Row],[Dettes]]/Tableau3[[#This Row],[EBE]])),"")</f>
        <v/>
      </c>
      <c r="V926" s="190" t="str">
        <f>IFERROR(Tableau3[[#This Row],[Fonds propres]]/Tableau3[[#This Row],[Total Bilan]],"")</f>
        <v/>
      </c>
      <c r="W926" s="180"/>
      <c r="Y926" s="180"/>
      <c r="Z926" s="192" t="str">
        <f>IFERROR(Tableau3[[#This Row],[Chiffre d''affaires]]/Tableau3[[#This Row],[Salariés]],"")</f>
        <v/>
      </c>
      <c r="AA926" s="177"/>
    </row>
    <row r="927" spans="1:27" ht="20.25" customHeight="1">
      <c r="A927" s="217"/>
      <c r="E927" s="187"/>
      <c r="F927" s="178">
        <v>2021</v>
      </c>
      <c r="G927" s="188"/>
      <c r="H927" s="178"/>
      <c r="I927" s="178"/>
      <c r="J927" s="178"/>
      <c r="K927" s="178"/>
      <c r="L927" s="178"/>
      <c r="M927" s="194"/>
      <c r="N927" s="178"/>
      <c r="O927" s="178"/>
      <c r="P927" s="178"/>
      <c r="Q927" s="178"/>
      <c r="R927" s="178"/>
      <c r="S927" s="178"/>
      <c r="T927" s="180"/>
      <c r="U927" s="189" t="str">
        <f>IFERROR(IF(Tableau3[[#This Row],[Dettes]]=0,"",(Tableau3[[#This Row],[Dettes]]/Tableau3[[#This Row],[EBE]])),"")</f>
        <v/>
      </c>
      <c r="V927" s="190" t="str">
        <f>IFERROR(Tableau3[[#This Row],[Fonds propres]]/Tableau3[[#This Row],[Total Bilan]],"")</f>
        <v/>
      </c>
      <c r="W927" s="180"/>
      <c r="Y927" s="180"/>
      <c r="Z927" s="192" t="str">
        <f>IFERROR(Tableau3[[#This Row],[Chiffre d''affaires]]/Tableau3[[#This Row],[Salariés]],"")</f>
        <v/>
      </c>
      <c r="AA927" s="177"/>
    </row>
    <row r="928" spans="1:27" ht="20.25" customHeight="1">
      <c r="A928" s="217"/>
      <c r="E928" s="187"/>
      <c r="G928" s="188"/>
      <c r="H928" s="178"/>
      <c r="I928" s="178"/>
      <c r="J928" s="178"/>
      <c r="K928" s="178"/>
      <c r="L928" s="178"/>
      <c r="M928" s="194"/>
      <c r="N928" s="178"/>
      <c r="O928" s="178"/>
      <c r="P928" s="178"/>
      <c r="Q928" s="178"/>
      <c r="R928" s="178"/>
      <c r="S928" s="178"/>
      <c r="T928" s="180"/>
      <c r="U928" s="189" t="str">
        <f>IFERROR(IF(Tableau3[[#This Row],[Dettes]]=0,"",(Tableau3[[#This Row],[Dettes]]/Tableau3[[#This Row],[EBE]])),"")</f>
        <v/>
      </c>
      <c r="V928" s="190" t="str">
        <f>IFERROR(Tableau3[[#This Row],[Fonds propres]]/Tableau3[[#This Row],[Total Bilan]],"")</f>
        <v/>
      </c>
      <c r="W928" s="180"/>
      <c r="Y928" s="180"/>
      <c r="Z928" s="192" t="str">
        <f>IFERROR(Tableau3[[#This Row],[Chiffre d''affaires]]/Tableau3[[#This Row],[Salariés]],"")</f>
        <v/>
      </c>
      <c r="AA928" s="177"/>
    </row>
    <row r="929" spans="1:29" ht="20.25" customHeight="1">
      <c r="A929" s="217"/>
      <c r="E929" s="187"/>
      <c r="F929" s="178">
        <v>2020</v>
      </c>
      <c r="G929" s="188"/>
      <c r="H929" s="178"/>
      <c r="I929" s="178"/>
      <c r="J929" s="178"/>
      <c r="K929" s="178"/>
      <c r="L929" s="178"/>
      <c r="M929" s="194"/>
      <c r="N929" s="178"/>
      <c r="O929" s="178"/>
      <c r="P929" s="178"/>
      <c r="Q929" s="178"/>
      <c r="R929" s="178"/>
      <c r="S929" s="178"/>
      <c r="T929" s="180"/>
      <c r="U929" s="189" t="str">
        <f>IFERROR(IF(Tableau3[[#This Row],[Dettes]]=0,"",(Tableau3[[#This Row],[Dettes]]/Tableau3[[#This Row],[EBE]])),"")</f>
        <v/>
      </c>
      <c r="V929" s="190" t="str">
        <f>IFERROR(Tableau3[[#This Row],[Fonds propres]]/Tableau3[[#This Row],[Total Bilan]],"")</f>
        <v/>
      </c>
      <c r="W929" s="180"/>
      <c r="Y929" s="180"/>
      <c r="Z929" s="192" t="str">
        <f>IFERROR(Tableau3[[#This Row],[Chiffre d''affaires]]/Tableau3[[#This Row],[Salariés]],"")</f>
        <v/>
      </c>
      <c r="AA929" s="177"/>
    </row>
    <row r="930" spans="1:29" ht="20.25" customHeight="1">
      <c r="A930" s="217"/>
      <c r="E930" s="187"/>
      <c r="G930" s="188"/>
      <c r="H930" s="178"/>
      <c r="I930" s="178"/>
      <c r="J930" s="178"/>
      <c r="K930" s="178"/>
      <c r="L930" s="178"/>
      <c r="M930" s="194"/>
      <c r="N930" s="178"/>
      <c r="O930" s="178"/>
      <c r="P930" s="178"/>
      <c r="Q930" s="178"/>
      <c r="R930" s="178"/>
      <c r="S930" s="178"/>
      <c r="T930" s="180"/>
      <c r="U930" s="189" t="str">
        <f>IFERROR(IF(Tableau3[[#This Row],[Dettes]]=0,"",(Tableau3[[#This Row],[Dettes]]/Tableau3[[#This Row],[EBE]])),"")</f>
        <v/>
      </c>
      <c r="V930" s="190" t="str">
        <f>IFERROR(Tableau3[[#This Row],[Fonds propres]]/Tableau3[[#This Row],[Total Bilan]],"")</f>
        <v/>
      </c>
      <c r="W930" s="180"/>
      <c r="Y930" s="180"/>
      <c r="Z930" s="192" t="str">
        <f>IFERROR(Tableau3[[#This Row],[Chiffre d''affaires]]/Tableau3[[#This Row],[Salariés]],"")</f>
        <v/>
      </c>
      <c r="AA930" s="177"/>
    </row>
    <row r="931" spans="1:29" ht="20.25" customHeight="1">
      <c r="A931" s="217"/>
      <c r="E931" s="187"/>
      <c r="G931" s="188"/>
      <c r="H931" s="178"/>
      <c r="I931" s="178"/>
      <c r="J931" s="178"/>
      <c r="K931" s="178"/>
      <c r="L931" s="178"/>
      <c r="M931" s="194"/>
      <c r="N931" s="178"/>
      <c r="O931" s="178"/>
      <c r="P931" s="178"/>
      <c r="Q931" s="178"/>
      <c r="R931" s="178"/>
      <c r="S931" s="178"/>
      <c r="T931" s="180"/>
      <c r="U931" s="189" t="str">
        <f>IFERROR(IF(Tableau3[[#This Row],[Dettes]]=0,"",(Tableau3[[#This Row],[Dettes]]/Tableau3[[#This Row],[EBE]])),"")</f>
        <v/>
      </c>
      <c r="V931" s="190" t="str">
        <f>IFERROR(Tableau3[[#This Row],[Fonds propres]]/Tableau3[[#This Row],[Total Bilan]],"")</f>
        <v/>
      </c>
      <c r="W931" s="180"/>
      <c r="Y931" s="180"/>
      <c r="Z931" s="192" t="str">
        <f>IFERROR(Tableau3[[#This Row],[Chiffre d''affaires]]/Tableau3[[#This Row],[Salariés]],"")</f>
        <v/>
      </c>
      <c r="AA931" s="177"/>
    </row>
    <row r="932" spans="1:29" ht="20.25" customHeight="1">
      <c r="A932" s="217"/>
      <c r="E932" s="187"/>
      <c r="G932" s="188"/>
      <c r="H932" s="178"/>
      <c r="I932" s="178"/>
      <c r="J932" s="178"/>
      <c r="K932" s="178"/>
      <c r="L932" s="178"/>
      <c r="M932" s="194"/>
      <c r="N932" s="178"/>
      <c r="O932" s="178"/>
      <c r="P932" s="178"/>
      <c r="Q932" s="178"/>
      <c r="R932" s="178"/>
      <c r="S932" s="178"/>
      <c r="T932" s="180"/>
      <c r="U932" s="189" t="str">
        <f>IFERROR(IF(Tableau3[[#This Row],[Dettes]]=0,"",(Tableau3[[#This Row],[Dettes]]/Tableau3[[#This Row],[EBE]])),"")</f>
        <v/>
      </c>
      <c r="V932" s="190" t="str">
        <f>IFERROR(Tableau3[[#This Row],[Fonds propres]]/Tableau3[[#This Row],[Total Bilan]],"")</f>
        <v/>
      </c>
      <c r="W932" s="180"/>
      <c r="Y932" s="180"/>
      <c r="Z932" s="192" t="str">
        <f>IFERROR(Tableau3[[#This Row],[Chiffre d''affaires]]/Tableau3[[#This Row],[Salariés]],"")</f>
        <v/>
      </c>
      <c r="AA932" s="177"/>
    </row>
    <row r="933" spans="1:29" ht="20.25" customHeight="1">
      <c r="A933" s="217" t="s">
        <v>2992</v>
      </c>
      <c r="B933" s="216" t="s">
        <v>2993</v>
      </c>
      <c r="C933" s="178" t="s">
        <v>84</v>
      </c>
      <c r="D933" s="178" t="s">
        <v>85</v>
      </c>
      <c r="E933" s="178">
        <v>44.6</v>
      </c>
      <c r="F933" s="178">
        <v>2025</v>
      </c>
      <c r="G933" s="188">
        <v>930000000</v>
      </c>
      <c r="H933" s="188">
        <v>245000000</v>
      </c>
      <c r="I933" s="211">
        <f>Tableau3[[#This Row],[Chiffre d''affaires]]*0.2</f>
        <v>186000000</v>
      </c>
      <c r="J933" s="188">
        <v>140000000</v>
      </c>
      <c r="K933" s="188">
        <v>-60000000</v>
      </c>
      <c r="L933" s="188">
        <v>750000000</v>
      </c>
      <c r="M933" s="194">
        <f>L933/P933</f>
        <v>9.9471522390694851</v>
      </c>
      <c r="N933" s="190">
        <f>Tableau3[[#This Row],[Résultat Net (PdG)]]/L935</f>
        <v>0.20085449239765746</v>
      </c>
      <c r="O933" s="190">
        <f>(I933*0.75)/(K935+L935)</f>
        <v>0.21803211558359148</v>
      </c>
      <c r="P933" s="188">
        <v>75398464</v>
      </c>
      <c r="Q933" s="188">
        <f>P933*E933</f>
        <v>3362771494.4000001</v>
      </c>
      <c r="R933" s="195">
        <f>Q933/L933</f>
        <v>4.483695325866667</v>
      </c>
      <c r="S933" s="197">
        <f>(Q933+K933)/H933</f>
        <v>13.480699977142857</v>
      </c>
      <c r="T933" s="180"/>
      <c r="U933" s="189">
        <f>IFERROR(IF(Tableau3[[#This Row],[Dettes]]=0,"",(Tableau3[[#This Row],[Dettes]]/Tableau3[[#This Row],[EBE]])),"")</f>
        <v>-0.24489795918367346</v>
      </c>
      <c r="V933" s="190" t="str">
        <f>IFERROR(Tableau3[[#This Row],[Fonds propres]]/Tableau3[[#This Row],[Total Bilan]],"")</f>
        <v/>
      </c>
      <c r="W933" s="180"/>
      <c r="X933" s="182" t="s">
        <v>106</v>
      </c>
      <c r="Y933" s="180"/>
      <c r="Z933" s="192" t="str">
        <f>IFERROR(Tableau3[[#This Row],[Chiffre d''affaires]]/Tableau3[[#This Row],[Salariés]],"")</f>
        <v/>
      </c>
      <c r="AC933" s="177" t="s">
        <v>2994</v>
      </c>
    </row>
    <row r="934" spans="1:29" ht="20.25" customHeight="1">
      <c r="A934" s="217"/>
      <c r="G934" s="202">
        <f>(G933/G935)-1</f>
        <v>5.6226454951941784E-2</v>
      </c>
      <c r="H934" s="202" t="e">
        <f>(H933/H935)-1</f>
        <v>#DIV/0!</v>
      </c>
      <c r="I934" s="202">
        <f>(I933/I935)-1</f>
        <v>4.3302669957370421E-2</v>
      </c>
      <c r="J934" s="202">
        <f>(J933/J935)-1</f>
        <v>7.8017679489943648E-2</v>
      </c>
      <c r="K934" s="178"/>
      <c r="L934" s="178"/>
      <c r="M934" s="178"/>
      <c r="N934" s="178"/>
      <c r="O934" s="178"/>
      <c r="P934" s="178"/>
      <c r="Q934" s="178"/>
      <c r="R934" s="178"/>
      <c r="S934" s="178"/>
      <c r="T934" s="180"/>
      <c r="U934" s="189" t="str">
        <f>IFERROR(IF(Tableau3[[#This Row],[Dettes]]=0,"",(Tableau3[[#This Row],[Dettes]]/Tableau3[[#This Row],[EBE]])),"")</f>
        <v/>
      </c>
      <c r="V934" s="190" t="str">
        <f>IFERROR(Tableau3[[#This Row],[Fonds propres]]/Tableau3[[#This Row],[Total Bilan]],"")</f>
        <v/>
      </c>
      <c r="W934" s="180"/>
      <c r="Y934" s="180"/>
      <c r="Z934" s="192" t="str">
        <f>IFERROR(Tableau3[[#This Row],[Chiffre d''affaires]]/Tableau3[[#This Row],[Salariés]],"")</f>
        <v/>
      </c>
      <c r="AC934" s="177" t="s">
        <v>2996</v>
      </c>
    </row>
    <row r="935" spans="1:29" ht="20.25" customHeight="1">
      <c r="A935" s="217"/>
      <c r="E935" s="187">
        <v>40.799999999999997</v>
      </c>
      <c r="F935" s="178">
        <v>2024</v>
      </c>
      <c r="G935" s="188">
        <v>880493000</v>
      </c>
      <c r="H935" s="188"/>
      <c r="I935" s="211">
        <v>178280000</v>
      </c>
      <c r="J935" s="188">
        <v>129868000</v>
      </c>
      <c r="K935" s="188">
        <v>-57208000</v>
      </c>
      <c r="L935" s="188">
        <v>697022000</v>
      </c>
      <c r="M935" s="194">
        <f t="shared" ref="M935" si="107">L935/P935</f>
        <v>9.2445119306409218</v>
      </c>
      <c r="N935" s="190">
        <f>Tableau3[[#This Row],[Résultat Net (PdG)]]/L937</f>
        <v>0.20260155194523574</v>
      </c>
      <c r="O935" s="190">
        <f>(I935*0.75)/(K937+L937)</f>
        <v>0.2280666443790979</v>
      </c>
      <c r="P935" s="188">
        <v>75398464</v>
      </c>
      <c r="Q935" s="188">
        <f>P935*E935</f>
        <v>3076257331.1999998</v>
      </c>
      <c r="R935" s="195">
        <f>Q935/L935</f>
        <v>4.4134293195910601</v>
      </c>
      <c r="S935" s="197" t="e">
        <f>(Q935+K935)/H935</f>
        <v>#DIV/0!</v>
      </c>
      <c r="T935" s="180">
        <v>89547000</v>
      </c>
      <c r="U935" s="189" t="str">
        <f>IFERROR(IF(Tableau3[[#This Row],[Dettes]]=0,"",(Tableau3[[#This Row],[Dettes]]/Tableau3[[#This Row],[EBE]])),"")</f>
        <v/>
      </c>
      <c r="V935" s="190">
        <f>IFERROR(Tableau3[[#This Row],[Fonds propres]]/Tableau3[[#This Row],[Total Bilan]],"")</f>
        <v>0.6748079955930717</v>
      </c>
      <c r="W935" s="180">
        <v>1032919000</v>
      </c>
      <c r="Y935" s="180">
        <v>350</v>
      </c>
      <c r="Z935" s="192">
        <f>IFERROR(Tableau3[[#This Row],[Chiffre d''affaires]]/Tableau3[[#This Row],[Salariés]],"")</f>
        <v>2515694.2857142859</v>
      </c>
      <c r="AC935" s="177" t="s">
        <v>2997</v>
      </c>
    </row>
    <row r="936" spans="1:29" ht="20.25" customHeight="1">
      <c r="A936" s="217"/>
      <c r="E936" s="187"/>
      <c r="G936" s="202">
        <f>(G935/G937)-1</f>
        <v>0.10271002065171242</v>
      </c>
      <c r="H936" s="202">
        <f>(H935/H937)-1</f>
        <v>-1</v>
      </c>
      <c r="I936" s="202">
        <f>(I935/I937)-1</f>
        <v>0.11114573659837834</v>
      </c>
      <c r="J936" s="202">
        <f>(J935/J937)-1</f>
        <v>9.369894392885425E-2</v>
      </c>
      <c r="K936" s="178"/>
      <c r="L936" s="178"/>
      <c r="M936" s="194"/>
      <c r="N936" s="178"/>
      <c r="O936" s="178"/>
      <c r="P936" s="188"/>
      <c r="Q936" s="178"/>
      <c r="R936" s="195"/>
      <c r="S936" s="197"/>
      <c r="T936" s="180"/>
      <c r="U936" s="189" t="str">
        <f>IFERROR(IF(Tableau3[[#This Row],[Dettes]]=0,"",(Tableau3[[#This Row],[Dettes]]/Tableau3[[#This Row],[EBE]])),"")</f>
        <v/>
      </c>
      <c r="V936" s="190" t="str">
        <f>IFERROR(Tableau3[[#This Row],[Fonds propres]]/Tableau3[[#This Row],[Total Bilan]],"")</f>
        <v/>
      </c>
      <c r="W936" s="180"/>
      <c r="Y936" s="180"/>
      <c r="Z936" s="192" t="str">
        <f>IFERROR(Tableau3[[#This Row],[Chiffre d''affaires]]/Tableau3[[#This Row],[Salariés]],"")</f>
        <v/>
      </c>
      <c r="AC936" s="177" t="s">
        <v>2998</v>
      </c>
    </row>
    <row r="937" spans="1:29" ht="20.25" customHeight="1">
      <c r="A937" s="217"/>
      <c r="E937" s="187">
        <v>50.4</v>
      </c>
      <c r="F937" s="178">
        <v>2023</v>
      </c>
      <c r="G937" s="188">
        <v>798481000</v>
      </c>
      <c r="H937" s="188">
        <v>193100000</v>
      </c>
      <c r="I937" s="211">
        <v>160447000</v>
      </c>
      <c r="J937" s="188">
        <v>118742000</v>
      </c>
      <c r="K937" s="188">
        <v>-54726000</v>
      </c>
      <c r="L937" s="188">
        <v>641002000</v>
      </c>
      <c r="M937" s="194">
        <f>L937/P937</f>
        <v>9.2815164346183785</v>
      </c>
      <c r="N937" s="190">
        <f>Tableau3[[#This Row],[Résultat Net (PdG)]]/L939</f>
        <v>0.20042230770399302</v>
      </c>
      <c r="O937" s="190">
        <f>(I937*0.75)/(K939+L939)</f>
        <v>0.23889076380961835</v>
      </c>
      <c r="P937" s="188">
        <v>69062206</v>
      </c>
      <c r="Q937" s="188">
        <f>P937*E937</f>
        <v>3480735182.4000001</v>
      </c>
      <c r="R937" s="195">
        <f>Q937/L937</f>
        <v>5.4301471483708319</v>
      </c>
      <c r="S937" s="197">
        <f>(Q937+K937)/H937</f>
        <v>17.742150090108751</v>
      </c>
      <c r="T937" s="180">
        <v>118532000</v>
      </c>
      <c r="U937" s="189">
        <f>IFERROR(IF(Tableau3[[#This Row],[Dettes]]=0,"",(Tableau3[[#This Row],[Dettes]]/Tableau3[[#This Row],[EBE]])),"")</f>
        <v>-0.28340756084930085</v>
      </c>
      <c r="V937" s="190">
        <f>IFERROR(Tableau3[[#This Row],[Fonds propres]]/Tableau3[[#This Row],[Total Bilan]],"")</f>
        <v>0.66206014709877059</v>
      </c>
      <c r="W937" s="180">
        <v>968193000</v>
      </c>
      <c r="Y937" s="180">
        <v>334</v>
      </c>
      <c r="Z937" s="192">
        <f>IFERROR(Tableau3[[#This Row],[Chiffre d''affaires]]/Tableau3[[#This Row],[Salariés]],"")</f>
        <v>2390661.6766467066</v>
      </c>
      <c r="AC937" s="177" t="s">
        <v>2999</v>
      </c>
    </row>
    <row r="938" spans="1:29" ht="20.25" customHeight="1">
      <c r="A938" s="217"/>
      <c r="E938" s="187"/>
      <c r="G938" s="202">
        <f>(G937/G939)-1</f>
        <v>0.1300325502405888</v>
      </c>
      <c r="H938" s="202">
        <f>(H937/H939)-1</f>
        <v>0.18248622167789352</v>
      </c>
      <c r="I938" s="202">
        <f>(I937/I939)-1</f>
        <v>0.21735204855842194</v>
      </c>
      <c r="J938" s="202">
        <f>(J937/J939)-1</f>
        <v>0.19311114013846042</v>
      </c>
      <c r="K938" s="178"/>
      <c r="L938" s="178"/>
      <c r="M938" s="178"/>
      <c r="N938" s="178"/>
      <c r="O938" s="178"/>
      <c r="P938" s="178"/>
      <c r="Q938" s="178"/>
      <c r="R938" s="178"/>
      <c r="S938" s="178"/>
      <c r="T938" s="180"/>
      <c r="U938" s="189" t="str">
        <f>IFERROR(IF(Tableau3[[#This Row],[Dettes]]=0,"",(Tableau3[[#This Row],[Dettes]]/Tableau3[[#This Row],[EBE]])),"")</f>
        <v/>
      </c>
      <c r="V938" s="190" t="str">
        <f>IFERROR(Tableau3[[#This Row],[Fonds propres]]/Tableau3[[#This Row],[Total Bilan]],"")</f>
        <v/>
      </c>
      <c r="W938" s="180"/>
      <c r="Y938" s="180"/>
      <c r="Z938" s="192" t="str">
        <f>IFERROR(Tableau3[[#This Row],[Chiffre d''affaires]]/Tableau3[[#This Row],[Salariés]],"")</f>
        <v/>
      </c>
      <c r="AC938" s="177" t="s">
        <v>4896</v>
      </c>
    </row>
    <row r="939" spans="1:29" ht="20.25" customHeight="1">
      <c r="A939" s="217"/>
      <c r="E939" s="187">
        <v>55.6</v>
      </c>
      <c r="F939" s="178">
        <v>2022</v>
      </c>
      <c r="G939" s="188">
        <v>706600000</v>
      </c>
      <c r="H939" s="188">
        <v>163300000</v>
      </c>
      <c r="I939" s="188">
        <v>131800000</v>
      </c>
      <c r="J939" s="188">
        <v>99523000</v>
      </c>
      <c r="K939" s="188">
        <v>-88734000</v>
      </c>
      <c r="L939" s="188">
        <v>592459000</v>
      </c>
      <c r="M939" s="194">
        <f>L939/P939</f>
        <v>9.4316228555641928</v>
      </c>
      <c r="N939" s="190">
        <f>Tableau3[[#This Row],[Résultat Net (PdG)]]/L941</f>
        <v>0.18382526782415959</v>
      </c>
      <c r="O939" s="190">
        <f>(I939*0.75)/(K941+L941)</f>
        <v>0.25105590787759341</v>
      </c>
      <c r="P939" s="188">
        <v>62816231</v>
      </c>
      <c r="Q939" s="188">
        <f>P939*E939</f>
        <v>3492582443.5999999</v>
      </c>
      <c r="R939" s="195">
        <f>Q939/L939</f>
        <v>5.8950618415789107</v>
      </c>
      <c r="S939" s="197">
        <f>(Q939+K939)/H939</f>
        <v>20.844142336803429</v>
      </c>
      <c r="T939" s="180"/>
      <c r="U939" s="189">
        <f>IFERROR(IF(Tableau3[[#This Row],[Dettes]]=0,"",(Tableau3[[#This Row],[Dettes]]/Tableau3[[#This Row],[EBE]])),"")</f>
        <v>-0.54338028169014085</v>
      </c>
      <c r="V939" s="190">
        <f>IFERROR(Tableau3[[#This Row],[Fonds propres]]/Tableau3[[#This Row],[Total Bilan]],"")</f>
        <v>0.59966881820123341</v>
      </c>
      <c r="W939" s="180">
        <v>987977000</v>
      </c>
      <c r="X939" s="192"/>
      <c r="Y939" s="188">
        <v>317</v>
      </c>
      <c r="Z939" s="192">
        <f>IFERROR(Tableau3[[#This Row],[Chiffre d''affaires]]/Tableau3[[#This Row],[Salariés]],"")</f>
        <v>2229022.0820189277</v>
      </c>
      <c r="AC939" s="177" t="s">
        <v>4909</v>
      </c>
    </row>
    <row r="940" spans="1:29" ht="20.25" customHeight="1">
      <c r="A940" s="217"/>
      <c r="E940" s="187"/>
      <c r="G940" s="202">
        <f>(G939/G941)-1</f>
        <v>0.25998573466476471</v>
      </c>
      <c r="H940" s="202">
        <f>(H939/H941)-1</f>
        <v>0.39215686274509798</v>
      </c>
      <c r="I940" s="202">
        <f>(I939/I941)-1</f>
        <v>0.3326592517694642</v>
      </c>
      <c r="J940" s="202">
        <f>(J939/J941)-1</f>
        <v>0.39976090014064702</v>
      </c>
      <c r="K940" s="188"/>
      <c r="L940" s="188"/>
      <c r="M940" s="178"/>
      <c r="N940" s="190"/>
      <c r="O940" s="190"/>
      <c r="P940" s="188"/>
      <c r="Q940" s="188"/>
      <c r="R940" s="188"/>
      <c r="S940" s="188"/>
      <c r="T940" s="180"/>
      <c r="U940" s="189" t="str">
        <f>IFERROR(IF(Tableau3[[#This Row],[Dettes]]=0,"",(Tableau3[[#This Row],[Dettes]]/Tableau3[[#This Row],[EBE]])),"")</f>
        <v/>
      </c>
      <c r="V940" s="190" t="str">
        <f>IFERROR(Tableau3[[#This Row],[Fonds propres]]/Tableau3[[#This Row],[Total Bilan]],"")</f>
        <v/>
      </c>
      <c r="W940" s="180"/>
      <c r="X940" s="192"/>
      <c r="Y940" s="188"/>
      <c r="Z940" s="192" t="str">
        <f>IFERROR(Tableau3[[#This Row],[Chiffre d''affaires]]/Tableau3[[#This Row],[Salariés]],"")</f>
        <v/>
      </c>
      <c r="AC940" s="177" t="s">
        <v>4468</v>
      </c>
    </row>
    <row r="941" spans="1:29" ht="20.25" customHeight="1">
      <c r="A941" s="217"/>
      <c r="E941" s="187">
        <v>73.5</v>
      </c>
      <c r="F941" s="178">
        <v>2021</v>
      </c>
      <c r="G941" s="188">
        <v>560800000</v>
      </c>
      <c r="H941" s="188">
        <v>117300000</v>
      </c>
      <c r="I941" s="188">
        <v>98900000</v>
      </c>
      <c r="J941" s="188">
        <v>71100000</v>
      </c>
      <c r="K941" s="188">
        <v>-147663000</v>
      </c>
      <c r="L941" s="188">
        <v>541400000</v>
      </c>
      <c r="M941" s="194">
        <f>L941/P941</f>
        <v>9.4671453771102012</v>
      </c>
      <c r="N941" s="190">
        <f>Tableau3[[#This Row],[Résultat Net (PdG)]]/L943</f>
        <v>0.14436870671223115</v>
      </c>
      <c r="O941" s="190">
        <f>(I941*0.75)/(K943+L943)</f>
        <v>0.26940300946860324</v>
      </c>
      <c r="P941" s="188">
        <v>57187249</v>
      </c>
      <c r="Q941" s="188">
        <f>P941*E941</f>
        <v>4203262801.5</v>
      </c>
      <c r="R941" s="195">
        <f>Q941/L941</f>
        <v>7.7636919126339121</v>
      </c>
      <c r="S941" s="197">
        <f>(Q941+K941)/H941</f>
        <v>34.574593363171353</v>
      </c>
      <c r="T941" s="180"/>
      <c r="U941" s="189">
        <f>IFERROR(IF(Tableau3[[#This Row],[Dettes]]=0,"",(Tableau3[[#This Row],[Dettes]]/Tableau3[[#This Row],[EBE]])),"")</f>
        <v>-1.2588491048593351</v>
      </c>
      <c r="V941" s="190">
        <f>IFERROR(Tableau3[[#This Row],[Fonds propres]]/Tableau3[[#This Row],[Total Bilan]],"")</f>
        <v>0.65846203991880514</v>
      </c>
      <c r="W941" s="180">
        <v>822219000</v>
      </c>
      <c r="X941" s="192"/>
      <c r="Y941" s="188">
        <v>298</v>
      </c>
      <c r="Z941" s="192">
        <f>IFERROR(Tableau3[[#This Row],[Chiffre d''affaires]]/Tableau3[[#This Row],[Salariés]],"")</f>
        <v>1881879.1946308725</v>
      </c>
      <c r="AC941" s="177" t="s">
        <v>3000</v>
      </c>
    </row>
    <row r="942" spans="1:29" ht="20.25" customHeight="1">
      <c r="A942" s="217"/>
      <c r="E942" s="187"/>
      <c r="G942" s="202">
        <f>(G941/G943)-1</f>
        <v>0.52640174197060419</v>
      </c>
      <c r="H942" s="202">
        <f>(H941/H943)-1</f>
        <v>0.78810975609756095</v>
      </c>
      <c r="I942" s="202">
        <f>(I941/I943)-1</f>
        <v>1.1087420042643923</v>
      </c>
      <c r="J942" s="202">
        <f>(J941/J943)-1</f>
        <v>1.3159609120521174</v>
      </c>
      <c r="K942" s="188"/>
      <c r="L942" s="188"/>
      <c r="M942" s="178"/>
      <c r="N942" s="190"/>
      <c r="O942" s="190"/>
      <c r="P942" s="188"/>
      <c r="Q942" s="188"/>
      <c r="R942" s="178"/>
      <c r="S942" s="178"/>
      <c r="T942" s="180"/>
      <c r="U942" s="189" t="str">
        <f>IFERROR(IF(Tableau3[[#This Row],[Dettes]]=0,"",(Tableau3[[#This Row],[Dettes]]/Tableau3[[#This Row],[EBE]])),"")</f>
        <v/>
      </c>
      <c r="V942" s="190" t="str">
        <f>IFERROR(Tableau3[[#This Row],[Fonds propres]]/Tableau3[[#This Row],[Total Bilan]],"")</f>
        <v/>
      </c>
      <c r="W942" s="180"/>
      <c r="X942" s="192"/>
      <c r="Y942" s="188"/>
      <c r="Z942" s="192" t="str">
        <f>IFERROR(Tableau3[[#This Row],[Chiffre d''affaires]]/Tableau3[[#This Row],[Salariés]],"")</f>
        <v/>
      </c>
      <c r="AC942" s="177" t="s">
        <v>3001</v>
      </c>
    </row>
    <row r="943" spans="1:29" ht="20.25" customHeight="1">
      <c r="A943" s="217"/>
      <c r="E943" s="187">
        <v>42.95</v>
      </c>
      <c r="F943" s="178">
        <v>2020</v>
      </c>
      <c r="G943" s="188">
        <v>367400000</v>
      </c>
      <c r="H943" s="188">
        <v>65600000</v>
      </c>
      <c r="I943" s="188">
        <v>46900000</v>
      </c>
      <c r="J943" s="188">
        <v>30700000</v>
      </c>
      <c r="K943" s="188">
        <v>-217158000</v>
      </c>
      <c r="L943" s="188">
        <v>492489000</v>
      </c>
      <c r="M943" s="194">
        <f>L943/P943</f>
        <v>9.4730538878387289</v>
      </c>
      <c r="N943" s="190">
        <f>Tableau3[[#This Row],[Résultat Net (PdG)]]/L945</f>
        <v>6.6331193594178411E-2</v>
      </c>
      <c r="O943" s="190">
        <f>(I943*0.75)/(K945+L945)</f>
        <v>0.13165380383115377</v>
      </c>
      <c r="P943" s="188">
        <v>51988409</v>
      </c>
      <c r="Q943" s="188">
        <f>P943*E943</f>
        <v>2232902166.5500002</v>
      </c>
      <c r="R943" s="195">
        <f>Q943/L943</f>
        <v>4.5339127707420879</v>
      </c>
      <c r="S943" s="197">
        <f>(Q943+K943)/H943</f>
        <v>30.727807416920733</v>
      </c>
      <c r="T943" s="180"/>
      <c r="U943" s="189">
        <f>IFERROR(IF(Tableau3[[#This Row],[Dettes]]=0,"",(Tableau3[[#This Row],[Dettes]]/Tableau3[[#This Row],[EBE]])),"")</f>
        <v>-3.3103353658536587</v>
      </c>
      <c r="V943" s="190">
        <f>IFERROR(Tableau3[[#This Row],[Fonds propres]]/Tableau3[[#This Row],[Total Bilan]],"")</f>
        <v>0.79846593838461466</v>
      </c>
      <c r="W943" s="180">
        <v>616794000</v>
      </c>
      <c r="X943" s="192"/>
      <c r="Y943" s="188">
        <v>290</v>
      </c>
      <c r="Z943" s="192">
        <f>IFERROR(Tableau3[[#This Row],[Chiffre d''affaires]]/Tableau3[[#This Row],[Salariés]],"")</f>
        <v>1266896.551724138</v>
      </c>
      <c r="AC943" s="177" t="s">
        <v>5174</v>
      </c>
    </row>
    <row r="944" spans="1:29" ht="20.25" customHeight="1">
      <c r="A944" s="217"/>
      <c r="E944" s="187"/>
      <c r="G944" s="202">
        <f>(G943/G945)-1</f>
        <v>-0.24137931034482762</v>
      </c>
      <c r="H944" s="202">
        <f>(H943/H945)-1</f>
        <v>-0.26867335562987738</v>
      </c>
      <c r="I944" s="202">
        <f>(I943/I945)-1</f>
        <v>-0.35841313269493846</v>
      </c>
      <c r="J944" s="202">
        <f>(J943/J945)-1</f>
        <v>-0.39328063241106714</v>
      </c>
      <c r="K944" s="188"/>
      <c r="L944" s="188"/>
      <c r="M944" s="178"/>
      <c r="N944" s="190"/>
      <c r="O944" s="190"/>
      <c r="P944" s="188"/>
      <c r="Q944" s="188"/>
      <c r="R944" s="178"/>
      <c r="S944" s="178"/>
      <c r="T944" s="180"/>
      <c r="U944" s="189" t="str">
        <f>IFERROR(IF(Tableau3[[#This Row],[Dettes]]=0,"",(Tableau3[[#This Row],[Dettes]]/Tableau3[[#This Row],[EBE]])),"")</f>
        <v/>
      </c>
      <c r="V944" s="190" t="str">
        <f>IFERROR(Tableau3[[#This Row],[Fonds propres]]/Tableau3[[#This Row],[Total Bilan]],"")</f>
        <v/>
      </c>
      <c r="W944" s="180"/>
      <c r="X944" s="192"/>
      <c r="Y944" s="188"/>
      <c r="Z944" s="192" t="str">
        <f>IFERROR(Tableau3[[#This Row],[Chiffre d''affaires]]/Tableau3[[#This Row],[Salariés]],"")</f>
        <v/>
      </c>
      <c r="AC944" s="177" t="s">
        <v>4911</v>
      </c>
    </row>
    <row r="945" spans="1:29" ht="20.25" customHeight="1">
      <c r="A945" s="217"/>
      <c r="E945" s="187">
        <v>37</v>
      </c>
      <c r="F945" s="178">
        <v>2019</v>
      </c>
      <c r="G945" s="188">
        <v>484300000</v>
      </c>
      <c r="H945" s="188">
        <v>89700000</v>
      </c>
      <c r="I945" s="188">
        <v>73100000</v>
      </c>
      <c r="J945" s="188">
        <v>50600000</v>
      </c>
      <c r="K945" s="188">
        <v>-195651000</v>
      </c>
      <c r="L945" s="188">
        <v>462829000</v>
      </c>
      <c r="M945" s="194">
        <f>L945/P945</f>
        <v>9.7927963135013414</v>
      </c>
      <c r="N945" s="190">
        <f>Tableau3[[#This Row],[Résultat Net (PdG)]]/L947</f>
        <v>0.11381067841060913</v>
      </c>
      <c r="O945" s="190">
        <f>(I945*0.75)/(K947+L947)</f>
        <v>0.20925732257498147</v>
      </c>
      <c r="P945" s="188">
        <v>47262190</v>
      </c>
      <c r="Q945" s="188">
        <f>P945*E945</f>
        <v>1748701030</v>
      </c>
      <c r="R945" s="195">
        <f>Q945/L945</f>
        <v>3.7782875100739148</v>
      </c>
      <c r="S945" s="197">
        <f>(Q945+K945)/H945</f>
        <v>17.313824191750278</v>
      </c>
      <c r="T945" s="180"/>
      <c r="U945" s="189">
        <f>IFERROR(IF(Tableau3[[#This Row],[Dettes]]=0,"",(Tableau3[[#This Row],[Dettes]]/Tableau3[[#This Row],[EBE]])),"")</f>
        <v>-2.181170568561873</v>
      </c>
      <c r="V945" s="190">
        <f>IFERROR(Tableau3[[#This Row],[Fonds propres]]/Tableau3[[#This Row],[Total Bilan]],"")</f>
        <v>0.77009432565228464</v>
      </c>
      <c r="W945" s="180">
        <v>601003000</v>
      </c>
      <c r="X945" s="192"/>
      <c r="Y945" s="188">
        <v>300</v>
      </c>
      <c r="Z945" s="192">
        <f>IFERROR(Tableau3[[#This Row],[Chiffre d''affaires]]/Tableau3[[#This Row],[Salariés]],"")</f>
        <v>1614333.3333333333</v>
      </c>
      <c r="AC945" s="177" t="s">
        <v>4910</v>
      </c>
    </row>
    <row r="946" spans="1:29" ht="20.25" customHeight="1">
      <c r="A946" s="217"/>
      <c r="E946" s="187"/>
      <c r="G946" s="202">
        <f>(G945/G947)-1</f>
        <v>6.3694267515923553E-2</v>
      </c>
      <c r="H946" s="202">
        <f>(H945/H947)-1</f>
        <v>0.14705882352941169</v>
      </c>
      <c r="I946" s="202">
        <f>(I945/I947)-1</f>
        <v>0.10422960725075536</v>
      </c>
      <c r="J946" s="202">
        <f>(J945/J947)-1</f>
        <v>7.2033898305084776E-2</v>
      </c>
      <c r="K946" s="188"/>
      <c r="L946" s="188"/>
      <c r="M946" s="178"/>
      <c r="N946" s="190"/>
      <c r="O946" s="190"/>
      <c r="P946" s="188"/>
      <c r="Q946" s="188"/>
      <c r="R946" s="178"/>
      <c r="S946" s="178"/>
      <c r="T946" s="180"/>
      <c r="U946" s="189" t="str">
        <f>IFERROR(IF(Tableau3[[#This Row],[Dettes]]=0,"",(Tableau3[[#This Row],[Dettes]]/Tableau3[[#This Row],[EBE]])),"")</f>
        <v/>
      </c>
      <c r="V946" s="190" t="str">
        <f>IFERROR(Tableau3[[#This Row],[Fonds propres]]/Tableau3[[#This Row],[Total Bilan]],"")</f>
        <v/>
      </c>
      <c r="W946" s="180"/>
      <c r="X946" s="192"/>
      <c r="Y946" s="188"/>
      <c r="Z946" s="192" t="str">
        <f>IFERROR(Tableau3[[#This Row],[Chiffre d''affaires]]/Tableau3[[#This Row],[Salariés]],"")</f>
        <v/>
      </c>
      <c r="AC946" s="177" t="s">
        <v>3002</v>
      </c>
    </row>
    <row r="947" spans="1:29" ht="20.25" customHeight="1">
      <c r="A947" s="217"/>
      <c r="E947" s="187">
        <v>33.75</v>
      </c>
      <c r="F947" s="178">
        <v>2018</v>
      </c>
      <c r="G947" s="188">
        <v>455300000</v>
      </c>
      <c r="H947" s="188">
        <v>78200000</v>
      </c>
      <c r="I947" s="188">
        <v>66200000</v>
      </c>
      <c r="J947" s="188">
        <v>47200000</v>
      </c>
      <c r="K947" s="188">
        <v>-182600000</v>
      </c>
      <c r="L947" s="188">
        <v>444598000</v>
      </c>
      <c r="M947" s="194">
        <f>L947/P947</f>
        <v>10.34775984189036</v>
      </c>
      <c r="N947" s="190">
        <f>Tableau3[[#This Row],[Résultat Net (PdG)]]/L949</f>
        <v>0.11190137505926979</v>
      </c>
      <c r="O947" s="190">
        <f>(I947*0.75)/(K949+L949)</f>
        <v>0.19765127388535031</v>
      </c>
      <c r="P947" s="188">
        <v>42965628</v>
      </c>
      <c r="Q947" s="188">
        <f>P947*E947</f>
        <v>1450089945</v>
      </c>
      <c r="R947" s="195">
        <f>Q947/L947</f>
        <v>3.2615755019140886</v>
      </c>
      <c r="S947" s="197">
        <f>(Q947+K947)/H947</f>
        <v>16.20831131713555</v>
      </c>
      <c r="T947" s="180"/>
      <c r="U947" s="189">
        <f>IFERROR(IF(Tableau3[[#This Row],[Dettes]]=0,"",(Tableau3[[#This Row],[Dettes]]/Tableau3[[#This Row],[EBE]])),"")</f>
        <v>-2.3350383631713556</v>
      </c>
      <c r="V947" s="190">
        <f>IFERROR(Tableau3[[#This Row],[Fonds propres]]/Tableau3[[#This Row],[Total Bilan]],"")</f>
        <v>0.74484503266878876</v>
      </c>
      <c r="W947" s="180">
        <v>596900000</v>
      </c>
      <c r="X947" s="192"/>
      <c r="Y947" s="188">
        <v>276</v>
      </c>
      <c r="Z947" s="192">
        <f>IFERROR(Tableau3[[#This Row],[Chiffre d''affaires]]/Tableau3[[#This Row],[Salariés]],"")</f>
        <v>1649637.6811594204</v>
      </c>
      <c r="AC947" s="177" t="s">
        <v>3003</v>
      </c>
    </row>
    <row r="948" spans="1:29" ht="20.25" customHeight="1">
      <c r="A948" s="217"/>
      <c r="E948" s="187"/>
      <c r="G948" s="202">
        <f>(G947/G949)-1</f>
        <v>7.8909952606635025E-2</v>
      </c>
      <c r="H948" s="202">
        <f>(H947/H949)-1</f>
        <v>0.17771084337349397</v>
      </c>
      <c r="I948" s="202">
        <f>(I947/I949)-1</f>
        <v>0.10702341137123739</v>
      </c>
      <c r="J948" s="202">
        <f>(J947/J949)-1</f>
        <v>0.17999999999999994</v>
      </c>
      <c r="K948" s="188"/>
      <c r="L948" s="188"/>
      <c r="M948" s="178"/>
      <c r="N948" s="190"/>
      <c r="O948" s="190"/>
      <c r="P948" s="188"/>
      <c r="Q948" s="188"/>
      <c r="R948" s="178"/>
      <c r="S948" s="178"/>
      <c r="T948" s="180"/>
      <c r="U948" s="189" t="str">
        <f>IFERROR(IF(Tableau3[[#This Row],[Dettes]]=0,"",(Tableau3[[#This Row],[Dettes]]/Tableau3[[#This Row],[EBE]])),"")</f>
        <v/>
      </c>
      <c r="V948" s="190" t="str">
        <f>IFERROR(Tableau3[[#This Row],[Fonds propres]]/Tableau3[[#This Row],[Total Bilan]],"")</f>
        <v/>
      </c>
      <c r="W948" s="180"/>
      <c r="X948" s="192"/>
      <c r="Y948" s="188"/>
      <c r="Z948" s="192" t="str">
        <f>IFERROR(Tableau3[[#This Row],[Chiffre d''affaires]]/Tableau3[[#This Row],[Salariés]],"")</f>
        <v/>
      </c>
      <c r="AC948" s="177" t="s">
        <v>3004</v>
      </c>
    </row>
    <row r="949" spans="1:29" ht="20.25" customHeight="1">
      <c r="A949" s="217"/>
      <c r="E949" s="187">
        <v>34.549999999999997</v>
      </c>
      <c r="F949" s="178">
        <v>2017</v>
      </c>
      <c r="G949" s="188">
        <v>422000000</v>
      </c>
      <c r="H949" s="188">
        <v>66400000</v>
      </c>
      <c r="I949" s="188">
        <v>59800000</v>
      </c>
      <c r="J949" s="188">
        <v>40000000</v>
      </c>
      <c r="K949" s="188">
        <v>-170600000</v>
      </c>
      <c r="L949" s="188">
        <v>421800000</v>
      </c>
      <c r="M949" s="194">
        <f>L949/P949</f>
        <v>10.798864567747668</v>
      </c>
      <c r="N949" s="190">
        <f>Tableau3[[#This Row],[Résultat Net (PdG)]]/L951</f>
        <v>9.9108027750247768E-2</v>
      </c>
      <c r="O949" s="190">
        <f>(I949*0.75)/(K951+L951)</f>
        <v>0.18411330049261085</v>
      </c>
      <c r="P949" s="188">
        <v>39059662</v>
      </c>
      <c r="Q949" s="188">
        <f>P949*E949</f>
        <v>1349511322.0999999</v>
      </c>
      <c r="R949" s="195">
        <f>Q949/L949</f>
        <v>3.1994104364627782</v>
      </c>
      <c r="S949" s="197">
        <f>(Q949+K949)/H949</f>
        <v>17.754688585843372</v>
      </c>
      <c r="T949" s="180"/>
      <c r="U949" s="189">
        <f>IFERROR(IF(Tableau3[[#This Row],[Dettes]]=0,"",(Tableau3[[#This Row],[Dettes]]/Tableau3[[#This Row],[EBE]])),"")</f>
        <v>-2.5692771084337349</v>
      </c>
      <c r="V949" s="190">
        <f>IFERROR(Tableau3[[#This Row],[Fonds propres]]/Tableau3[[#This Row],[Total Bilan]],"")</f>
        <v>0.73026315789473684</v>
      </c>
      <c r="W949" s="180">
        <v>577600000</v>
      </c>
      <c r="X949" s="192"/>
      <c r="Y949" s="188">
        <v>266</v>
      </c>
      <c r="Z949" s="192">
        <f>IFERROR(Tableau3[[#This Row],[Chiffre d''affaires]]/Tableau3[[#This Row],[Salariés]],"")</f>
        <v>1586466.1654135338</v>
      </c>
      <c r="AC949" s="177" t="s">
        <v>3005</v>
      </c>
    </row>
    <row r="950" spans="1:29" ht="20.25" customHeight="1">
      <c r="A950" s="217"/>
      <c r="G950" s="202">
        <f>(G949/G951)-1</f>
        <v>0.15426695842450755</v>
      </c>
      <c r="H950" s="202">
        <f>(H949/H951)-1</f>
        <v>-4.3227665706051854E-2</v>
      </c>
      <c r="I950" s="202">
        <f>(I949/I951)-1</f>
        <v>0.14340344168260044</v>
      </c>
      <c r="J950" s="202">
        <f>(J949/J951)-1</f>
        <v>0.23456790123456783</v>
      </c>
      <c r="K950" s="188"/>
      <c r="L950" s="188"/>
      <c r="M950" s="178"/>
      <c r="N950" s="190"/>
      <c r="O950" s="190"/>
      <c r="P950" s="188"/>
      <c r="Q950" s="188"/>
      <c r="R950" s="178"/>
      <c r="S950" s="178"/>
      <c r="T950" s="180"/>
      <c r="U950" s="189" t="str">
        <f>IFERROR(IF(Tableau3[[#This Row],[Dettes]]=0,"",(Tableau3[[#This Row],[Dettes]]/Tableau3[[#This Row],[EBE]])),"")</f>
        <v/>
      </c>
      <c r="V950" s="190" t="str">
        <f>IFERROR(Tableau3[[#This Row],[Fonds propres]]/Tableau3[[#This Row],[Total Bilan]],"")</f>
        <v/>
      </c>
      <c r="W950" s="180"/>
      <c r="X950" s="192"/>
      <c r="Y950" s="188"/>
      <c r="Z950" s="192" t="str">
        <f>IFERROR(Tableau3[[#This Row],[Chiffre d''affaires]]/Tableau3[[#This Row],[Salariés]],"")</f>
        <v/>
      </c>
      <c r="AC950" s="177" t="s">
        <v>3006</v>
      </c>
    </row>
    <row r="951" spans="1:29" ht="20.25" customHeight="1">
      <c r="A951" s="217"/>
      <c r="E951" s="178">
        <v>27.4</v>
      </c>
      <c r="F951" s="178">
        <v>2016</v>
      </c>
      <c r="G951" s="188">
        <v>365600000</v>
      </c>
      <c r="H951" s="188">
        <v>69400000</v>
      </c>
      <c r="I951" s="188">
        <v>52300000</v>
      </c>
      <c r="J951" s="188">
        <v>32400000</v>
      </c>
      <c r="K951" s="188">
        <v>-160000000</v>
      </c>
      <c r="L951" s="188">
        <v>403600000</v>
      </c>
      <c r="M951" s="194">
        <f>L951/P951</f>
        <v>11.366201669986784</v>
      </c>
      <c r="N951" s="190">
        <f>Tableau3[[#This Row],[Résultat Net (PdG)]]/L953</f>
        <v>8.3699302505812451E-2</v>
      </c>
      <c r="O951" s="190">
        <f>(I951*0.75)/(K953+L953)</f>
        <v>0.15585267005721551</v>
      </c>
      <c r="P951" s="188">
        <v>35508784</v>
      </c>
      <c r="Q951" s="188">
        <f>P951*E951</f>
        <v>972940681.5999999</v>
      </c>
      <c r="R951" s="195">
        <f>Q951/L951</f>
        <v>2.4106558017839443</v>
      </c>
      <c r="S951" s="197">
        <f>(Q951+K951)/H951</f>
        <v>11.713842674351584</v>
      </c>
      <c r="T951" s="180"/>
      <c r="U951" s="189">
        <f>IFERROR(IF(Tableau3[[#This Row],[Dettes]]=0,"",(Tableau3[[#This Row],[Dettes]]/Tableau3[[#This Row],[EBE]])),"")</f>
        <v>-2.3054755043227666</v>
      </c>
      <c r="V951" s="190">
        <f>IFERROR(Tableau3[[#This Row],[Fonds propres]]/Tableau3[[#This Row],[Total Bilan]],"")</f>
        <v>0.70215727209464163</v>
      </c>
      <c r="W951" s="180">
        <v>574800000</v>
      </c>
      <c r="X951" s="192"/>
      <c r="Y951" s="188">
        <v>210</v>
      </c>
      <c r="Z951" s="192">
        <f>IFERROR(Tableau3[[#This Row],[Chiffre d''affaires]]/Tableau3[[#This Row],[Salariés]],"")</f>
        <v>1740952.3809523811</v>
      </c>
      <c r="AC951" s="177" t="s">
        <v>3007</v>
      </c>
    </row>
    <row r="952" spans="1:29" ht="20.25" customHeight="1">
      <c r="A952" s="217"/>
      <c r="G952" s="202">
        <f>(G951/G953)-1</f>
        <v>0.11667684789248622</v>
      </c>
      <c r="H952" s="202">
        <f>(H951/H953)-1</f>
        <v>0.1452145214521452</v>
      </c>
      <c r="I952" s="202">
        <f>(I951/I953)-1</f>
        <v>0.10570824524312905</v>
      </c>
      <c r="J952" s="202">
        <f>(J951/J953)-1</f>
        <v>0.1095890410958904</v>
      </c>
      <c r="K952" s="188"/>
      <c r="L952" s="188"/>
      <c r="M952" s="178"/>
      <c r="N952" s="190"/>
      <c r="O952" s="190"/>
      <c r="P952" s="188"/>
      <c r="Q952" s="188"/>
      <c r="R952" s="178"/>
      <c r="S952" s="178"/>
      <c r="T952" s="180"/>
      <c r="U952" s="189" t="str">
        <f>IFERROR(IF(Tableau3[[#This Row],[Dettes]]=0,"",(Tableau3[[#This Row],[Dettes]]/Tableau3[[#This Row],[EBE]])),"")</f>
        <v/>
      </c>
      <c r="V952" s="190" t="str">
        <f>IFERROR(Tableau3[[#This Row],[Fonds propres]]/Tableau3[[#This Row],[Total Bilan]],"")</f>
        <v/>
      </c>
      <c r="W952" s="180"/>
      <c r="X952" s="192"/>
      <c r="Y952" s="188"/>
      <c r="Z952" s="192" t="str">
        <f>IFERROR(Tableau3[[#This Row],[Chiffre d''affaires]]/Tableau3[[#This Row],[Salariés]],"")</f>
        <v/>
      </c>
      <c r="AC952" s="177" t="s">
        <v>4914</v>
      </c>
    </row>
    <row r="953" spans="1:29" ht="20.25" customHeight="1">
      <c r="A953" s="217"/>
      <c r="E953" s="178">
        <v>22.7</v>
      </c>
      <c r="F953" s="178">
        <v>2015</v>
      </c>
      <c r="G953" s="188">
        <v>327400000</v>
      </c>
      <c r="H953" s="188">
        <v>60600000</v>
      </c>
      <c r="I953" s="188">
        <v>47300000</v>
      </c>
      <c r="J953" s="188">
        <v>29200000</v>
      </c>
      <c r="K953" s="188">
        <v>-135420000</v>
      </c>
      <c r="L953" s="188">
        <v>387100000</v>
      </c>
      <c r="M953" s="194">
        <f>L953/P953</f>
        <v>12.032302146493077</v>
      </c>
      <c r="N953" s="190">
        <f>Tableau3[[#This Row],[Résultat Net (PdG)]]/L955</f>
        <v>7.9369393857026363E-2</v>
      </c>
      <c r="O953" s="190">
        <f>(I953*0.75)/(K955+L955)</f>
        <v>0.2472470030666295</v>
      </c>
      <c r="P953" s="188">
        <v>32171732</v>
      </c>
      <c r="Q953" s="188">
        <f>P953*E953</f>
        <v>730298316.39999998</v>
      </c>
      <c r="R953" s="195">
        <f>Q953/L953</f>
        <v>1.8865882624644794</v>
      </c>
      <c r="S953" s="197">
        <f>(Q953+K953)/H953</f>
        <v>9.8164738679867991</v>
      </c>
      <c r="T953" s="180"/>
      <c r="U953" s="189">
        <f>IFERROR(IF(Tableau3[[#This Row],[Dettes]]=0,"",(Tableau3[[#This Row],[Dettes]]/Tableau3[[#This Row],[EBE]])),"")</f>
        <v>-2.2346534653465349</v>
      </c>
      <c r="V953" s="190">
        <f>IFERROR(Tableau3[[#This Row],[Fonds propres]]/Tableau3[[#This Row],[Total Bilan]],"")</f>
        <v>0.68127419922562482</v>
      </c>
      <c r="W953" s="180">
        <v>568200000</v>
      </c>
      <c r="X953" s="192"/>
      <c r="Y953" s="180">
        <v>223</v>
      </c>
      <c r="Z953" s="192">
        <f>IFERROR(Tableau3[[#This Row],[Chiffre d''affaires]]/Tableau3[[#This Row],[Salariés]],"")</f>
        <v>1468161.4349775785</v>
      </c>
      <c r="AC953" s="177" t="s">
        <v>4912</v>
      </c>
    </row>
    <row r="954" spans="1:29" ht="20.25" customHeight="1">
      <c r="A954" s="217"/>
      <c r="G954" s="202">
        <f>(G953/G955)-1</f>
        <v>0.10198586334567494</v>
      </c>
      <c r="H954" s="202">
        <f>(H953/H955)-1</f>
        <v>0.40930232558139545</v>
      </c>
      <c r="I954" s="202">
        <f>(I953/I955)-1</f>
        <v>0.35142857142857142</v>
      </c>
      <c r="J954" s="202">
        <f>(J953/J955)-1</f>
        <v>0.25862068965517238</v>
      </c>
      <c r="K954" s="188"/>
      <c r="L954" s="188"/>
      <c r="M954" s="178"/>
      <c r="N954" s="190"/>
      <c r="O954" s="190"/>
      <c r="P954" s="188"/>
      <c r="Q954" s="188"/>
      <c r="R954" s="178"/>
      <c r="S954" s="178"/>
      <c r="T954" s="180"/>
      <c r="U954" s="189" t="str">
        <f>IFERROR(IF(Tableau3[[#This Row],[Dettes]]=0,"",(Tableau3[[#This Row],[Dettes]]/Tableau3[[#This Row],[EBE]])),"")</f>
        <v/>
      </c>
      <c r="V954" s="190" t="str">
        <f>IFERROR(Tableau3[[#This Row],[Fonds propres]]/Tableau3[[#This Row],[Total Bilan]],"")</f>
        <v/>
      </c>
      <c r="W954" s="180"/>
      <c r="X954" s="192"/>
      <c r="Y954" s="180"/>
      <c r="Z954" s="192" t="str">
        <f>IFERROR(Tableau3[[#This Row],[Chiffre d''affaires]]/Tableau3[[#This Row],[Salariés]],"")</f>
        <v/>
      </c>
      <c r="AC954" s="177" t="s">
        <v>5173</v>
      </c>
    </row>
    <row r="955" spans="1:29" ht="20.25" customHeight="1">
      <c r="A955" s="217"/>
      <c r="E955" s="187">
        <v>22.45</v>
      </c>
      <c r="F955" s="178">
        <v>2014</v>
      </c>
      <c r="G955" s="188">
        <v>297100000</v>
      </c>
      <c r="H955" s="188">
        <v>43000000</v>
      </c>
      <c r="I955" s="188">
        <v>35000000</v>
      </c>
      <c r="J955" s="188">
        <v>23200000</v>
      </c>
      <c r="K955" s="188">
        <v>-224420000</v>
      </c>
      <c r="L955" s="188">
        <v>367900000</v>
      </c>
      <c r="M955" s="194">
        <f>L955/P955</f>
        <v>12.57628668163378</v>
      </c>
      <c r="N955" s="190">
        <f>Tableau3[[#This Row],[Résultat Net (PdG)]]/L957</f>
        <v>6.5444287729196055E-2</v>
      </c>
      <c r="O955" s="190">
        <f>(I955*0.75)/(K957+L957)</f>
        <v>0.19848771266540643</v>
      </c>
      <c r="P955" s="188">
        <v>29253468</v>
      </c>
      <c r="Q955" s="188">
        <f>P955*E955</f>
        <v>656740356.60000002</v>
      </c>
      <c r="R955" s="195">
        <f>Q955/L955</f>
        <v>1.7851056172873063</v>
      </c>
      <c r="S955" s="197">
        <f>(Q955+K955)/H955</f>
        <v>10.053961781395349</v>
      </c>
      <c r="T955" s="180"/>
      <c r="U955" s="189">
        <f>IFERROR(IF(Tableau3[[#This Row],[Dettes]]=0,"",(Tableau3[[#This Row],[Dettes]]/Tableau3[[#This Row],[EBE]])),"")</f>
        <v>-5.2190697674418605</v>
      </c>
      <c r="V955" s="190">
        <f>IFERROR(Tableau3[[#This Row],[Fonds propres]]/Tableau3[[#This Row],[Total Bilan]],"")</f>
        <v>0.83442957586754363</v>
      </c>
      <c r="W955" s="180">
        <v>440900000</v>
      </c>
      <c r="X955" s="192"/>
      <c r="Y955" s="180">
        <v>208</v>
      </c>
      <c r="Z955" s="192">
        <f>IFERROR(Tableau3[[#This Row],[Chiffre d''affaires]]/Tableau3[[#This Row],[Salariés]],"")</f>
        <v>1428365.3846153845</v>
      </c>
      <c r="AC955" s="177" t="s">
        <v>4913</v>
      </c>
    </row>
    <row r="956" spans="1:29" ht="20.25" customHeight="1">
      <c r="A956" s="217"/>
      <c r="G956" s="202">
        <f>(G955/G957)-1</f>
        <v>-0.15211187214611877</v>
      </c>
      <c r="H956" s="202">
        <f>(H955/H957)-1</f>
        <v>-0.28807947019867552</v>
      </c>
      <c r="I956" s="202">
        <f>(I955/I957)-1</f>
        <v>-0.35543278084714547</v>
      </c>
      <c r="J956" s="202">
        <f>(J955/J957)-1</f>
        <v>-0.33333333333333337</v>
      </c>
      <c r="K956" s="188"/>
      <c r="L956" s="188"/>
      <c r="M956" s="178"/>
      <c r="N956" s="190"/>
      <c r="O956" s="190"/>
      <c r="P956" s="188"/>
      <c r="Q956" s="188"/>
      <c r="R956" s="178"/>
      <c r="S956" s="178"/>
      <c r="T956" s="180"/>
      <c r="U956" s="189" t="str">
        <f>IFERROR(IF(Tableau3[[#This Row],[Dettes]]=0,"",(Tableau3[[#This Row],[Dettes]]/Tableau3[[#This Row],[EBE]])),"")</f>
        <v/>
      </c>
      <c r="V956" s="190" t="str">
        <f>IFERROR(Tableau3[[#This Row],[Fonds propres]]/Tableau3[[#This Row],[Total Bilan]],"")</f>
        <v/>
      </c>
      <c r="W956" s="180"/>
      <c r="X956" s="192"/>
      <c r="Y956" s="180"/>
      <c r="Z956" s="192" t="str">
        <f>IFERROR(Tableau3[[#This Row],[Chiffre d''affaires]]/Tableau3[[#This Row],[Salariés]],"")</f>
        <v/>
      </c>
      <c r="AC956" s="177" t="s">
        <v>3008</v>
      </c>
    </row>
    <row r="957" spans="1:29" ht="20.25" customHeight="1">
      <c r="A957" s="217"/>
      <c r="E957" s="187">
        <v>31.35</v>
      </c>
      <c r="F957" s="178">
        <v>2013</v>
      </c>
      <c r="G957" s="188">
        <v>350400000</v>
      </c>
      <c r="H957" s="188">
        <v>60400000</v>
      </c>
      <c r="I957" s="188">
        <v>54300000</v>
      </c>
      <c r="J957" s="188">
        <v>34800000</v>
      </c>
      <c r="K957" s="188">
        <v>-222250000</v>
      </c>
      <c r="L957" s="188">
        <v>354500000</v>
      </c>
      <c r="M957" s="194">
        <f>L957/P957</f>
        <v>14.629767023952127</v>
      </c>
      <c r="N957" s="190">
        <f>Tableau3[[#This Row],[Résultat Net (PdG)]]/L959</f>
        <v>0.10104529616724739</v>
      </c>
      <c r="O957" s="190">
        <f>(I957*0.75)/(K959+L959)</f>
        <v>0.29804596018735363</v>
      </c>
      <c r="P957" s="188">
        <v>24231418</v>
      </c>
      <c r="Q957" s="188">
        <f>P957*E957</f>
        <v>759654954.30000007</v>
      </c>
      <c r="R957" s="195">
        <f>Q957/L957</f>
        <v>2.1428912674189</v>
      </c>
      <c r="S957" s="197">
        <f>(Q957+K957)/H957</f>
        <v>8.8974330182119221</v>
      </c>
      <c r="T957" s="180"/>
      <c r="U957" s="189">
        <f>IFERROR(IF(Tableau3[[#This Row],[Dettes]]=0,"",(Tableau3[[#This Row],[Dettes]]/Tableau3[[#This Row],[EBE]])),"")</f>
        <v>-3.6796357615894038</v>
      </c>
      <c r="V957" s="190">
        <f>IFERROR(Tableau3[[#This Row],[Fonds propres]]/Tableau3[[#This Row],[Total Bilan]],"")</f>
        <v>0.82003238491788111</v>
      </c>
      <c r="W957" s="180">
        <v>432300000</v>
      </c>
      <c r="X957" s="192"/>
      <c r="Y957" s="180">
        <v>205</v>
      </c>
      <c r="Z957" s="192">
        <f>IFERROR(Tableau3[[#This Row],[Chiffre d''affaires]]/Tableau3[[#This Row],[Salariés]],"")</f>
        <v>1709268.2926829269</v>
      </c>
      <c r="AC957" s="216" t="s">
        <v>2989</v>
      </c>
    </row>
    <row r="958" spans="1:29" ht="20.25" customHeight="1">
      <c r="A958" s="217"/>
      <c r="G958" s="202">
        <f>(G957/G959)-1</f>
        <v>-0.21346801346801347</v>
      </c>
      <c r="H958" s="202">
        <f>(H957/H959)-1</f>
        <v>-0.74600504625735908</v>
      </c>
      <c r="I958" s="202">
        <f>(I957/I959)-1</f>
        <v>-0.7431409649952696</v>
      </c>
      <c r="J958" s="202">
        <f>(J957/J959)-1</f>
        <v>-0.74449339207048459</v>
      </c>
      <c r="K958" s="188"/>
      <c r="L958" s="188"/>
      <c r="M958" s="178"/>
      <c r="N958" s="190"/>
      <c r="O958" s="190"/>
      <c r="P958" s="188"/>
      <c r="Q958" s="188"/>
      <c r="R958" s="178"/>
      <c r="S958" s="178"/>
      <c r="T958" s="180"/>
      <c r="U958" s="189" t="str">
        <f>IFERROR(IF(Tableau3[[#This Row],[Dettes]]=0,"",(Tableau3[[#This Row],[Dettes]]/Tableau3[[#This Row],[EBE]])),"")</f>
        <v/>
      </c>
      <c r="V958" s="190" t="str">
        <f>IFERROR(Tableau3[[#This Row],[Fonds propres]]/Tableau3[[#This Row],[Total Bilan]],"")</f>
        <v/>
      </c>
      <c r="W958" s="180"/>
      <c r="X958" s="192"/>
      <c r="Y958" s="180"/>
      <c r="Z958" s="192" t="str">
        <f>IFERROR(Tableau3[[#This Row],[Chiffre d''affaires]]/Tableau3[[#This Row],[Salariés]],"")</f>
        <v/>
      </c>
      <c r="AC958" s="177" t="s">
        <v>126</v>
      </c>
    </row>
    <row r="959" spans="1:29" ht="20.25" customHeight="1">
      <c r="A959" s="217"/>
      <c r="F959" s="178">
        <v>2012</v>
      </c>
      <c r="G959" s="188">
        <v>445500000</v>
      </c>
      <c r="H959" s="188">
        <v>237800000</v>
      </c>
      <c r="I959" s="188">
        <v>211400000</v>
      </c>
      <c r="J959" s="188">
        <v>136200000</v>
      </c>
      <c r="K959" s="188">
        <v>-207760000</v>
      </c>
      <c r="L959" s="188">
        <v>344400000</v>
      </c>
      <c r="M959" s="194"/>
      <c r="N959" s="190"/>
      <c r="O959" s="190"/>
      <c r="P959" s="188"/>
      <c r="Q959" s="188"/>
      <c r="R959" s="195"/>
      <c r="S959" s="197"/>
      <c r="T959" s="180"/>
      <c r="U959" s="189">
        <f>IFERROR(IF(Tableau3[[#This Row],[Dettes]]=0,"",(Tableau3[[#This Row],[Dettes]]/Tableau3[[#This Row],[EBE]])),"")</f>
        <v>-0.87367535744322955</v>
      </c>
      <c r="V959" s="190">
        <f>IFERROR(Tableau3[[#This Row],[Fonds propres]]/Tableau3[[#This Row],[Total Bilan]],"")</f>
        <v>0.64373831775700929</v>
      </c>
      <c r="W959" s="180">
        <v>535000000</v>
      </c>
      <c r="X959" s="192"/>
      <c r="Y959" s="180">
        <v>205</v>
      </c>
      <c r="Z959" s="192">
        <f>IFERROR(Tableau3[[#This Row],[Chiffre d''affaires]]/Tableau3[[#This Row],[Salariés]],"")</f>
        <v>2173170.7317073173</v>
      </c>
      <c r="AC959" s="177" t="s">
        <v>3102</v>
      </c>
    </row>
    <row r="960" spans="1:29" ht="20.25" customHeight="1">
      <c r="A960" s="217"/>
      <c r="G960" s="188"/>
      <c r="H960" s="188"/>
      <c r="I960" s="188"/>
      <c r="J960" s="188"/>
      <c r="K960" s="188"/>
      <c r="L960" s="188"/>
      <c r="M960" s="178"/>
      <c r="N960" s="190"/>
      <c r="O960" s="190"/>
      <c r="P960" s="188"/>
      <c r="Q960" s="188"/>
      <c r="R960" s="178"/>
      <c r="S960" s="178"/>
      <c r="T960" s="180"/>
      <c r="U960" s="189" t="str">
        <f>IFERROR(IF(Tableau3[[#This Row],[Dettes]]=0,"",(Tableau3[[#This Row],[Dettes]]/Tableau3[[#This Row],[EBE]])),"")</f>
        <v/>
      </c>
      <c r="V960" s="190" t="str">
        <f>IFERROR(Tableau3[[#This Row],[Fonds propres]]/Tableau3[[#This Row],[Total Bilan]],"")</f>
        <v/>
      </c>
      <c r="W960" s="180"/>
      <c r="X960" s="192"/>
      <c r="Y960" s="180"/>
      <c r="Z960" s="192" t="str">
        <f>IFERROR(Tableau3[[#This Row],[Chiffre d''affaires]]/Tableau3[[#This Row],[Salariés]],"")</f>
        <v/>
      </c>
      <c r="AC960" s="177" t="s">
        <v>4915</v>
      </c>
    </row>
    <row r="961" spans="1:29" ht="20.25" customHeight="1">
      <c r="A961" s="217"/>
      <c r="G961" s="188"/>
      <c r="H961" s="188"/>
      <c r="I961" s="188"/>
      <c r="J961" s="188"/>
      <c r="K961" s="188"/>
      <c r="L961" s="188"/>
      <c r="M961" s="188"/>
      <c r="N961" s="188"/>
      <c r="O961" s="188"/>
      <c r="P961" s="188"/>
      <c r="Q961" s="188"/>
      <c r="R961" s="188"/>
      <c r="S961" s="188"/>
      <c r="T961" s="180"/>
      <c r="U961" s="189" t="str">
        <f>IFERROR(IF(Tableau3[[#This Row],[Dettes]]=0,"",(Tableau3[[#This Row],[Dettes]]/Tableau3[[#This Row],[EBE]])),"")</f>
        <v/>
      </c>
      <c r="V961" s="190" t="str">
        <f>IFERROR(Tableau3[[#This Row],[Fonds propres]]/Tableau3[[#This Row],[Total Bilan]],"")</f>
        <v/>
      </c>
      <c r="W961" s="180"/>
      <c r="X961" s="192"/>
      <c r="Y961" s="180"/>
      <c r="Z961" s="192" t="str">
        <f>IFERROR(Tableau3[[#This Row],[Chiffre d''affaires]]/Tableau3[[#This Row],[Salariés]],"")</f>
        <v/>
      </c>
    </row>
    <row r="962" spans="1:29" ht="20.25" customHeight="1">
      <c r="A962" s="217"/>
      <c r="G962" s="188"/>
      <c r="H962" s="188"/>
      <c r="I962" s="188"/>
      <c r="J962" s="188"/>
      <c r="K962" s="188"/>
      <c r="L962" s="188"/>
      <c r="M962" s="188"/>
      <c r="N962" s="188"/>
      <c r="O962" s="188"/>
      <c r="P962" s="188"/>
      <c r="Q962" s="188"/>
      <c r="R962" s="188"/>
      <c r="S962" s="188"/>
      <c r="T962" s="180"/>
      <c r="U962" s="189" t="str">
        <f>IFERROR(IF(Tableau3[[#This Row],[Dettes]]=0,"",(Tableau3[[#This Row],[Dettes]]/Tableau3[[#This Row],[EBE]])),"")</f>
        <v/>
      </c>
      <c r="V962" s="190" t="str">
        <f>IFERROR(Tableau3[[#This Row],[Fonds propres]]/Tableau3[[#This Row],[Total Bilan]],"")</f>
        <v/>
      </c>
      <c r="W962" s="180"/>
      <c r="X962" s="192"/>
      <c r="Y962" s="180"/>
      <c r="Z962" s="192" t="str">
        <f>IFERROR(Tableau3[[#This Row],[Chiffre d''affaires]]/Tableau3[[#This Row],[Salariés]],"")</f>
        <v/>
      </c>
    </row>
    <row r="963" spans="1:29" ht="20.25" customHeight="1">
      <c r="A963" s="217" t="s">
        <v>659</v>
      </c>
      <c r="B963" s="216" t="s">
        <v>660</v>
      </c>
      <c r="C963" s="178" t="s">
        <v>382</v>
      </c>
      <c r="D963" s="178" t="s">
        <v>383</v>
      </c>
      <c r="E963" s="187">
        <v>216.71</v>
      </c>
      <c r="F963" s="178">
        <v>2021</v>
      </c>
      <c r="G963" s="188"/>
      <c r="H963" s="188"/>
      <c r="I963" s="188"/>
      <c r="J963" s="188"/>
      <c r="K963" s="188"/>
      <c r="L963" s="188"/>
      <c r="M963" s="208"/>
      <c r="N963" s="190"/>
      <c r="O963" s="190"/>
      <c r="P963" s="188"/>
      <c r="Q963" s="188"/>
      <c r="R963" s="195"/>
      <c r="S963" s="197"/>
      <c r="T963" s="180"/>
      <c r="U963" s="189" t="str">
        <f>IFERROR(IF(Tableau3[[#This Row],[Dettes]]=0,"",(Tableau3[[#This Row],[Dettes]]/Tableau3[[#This Row],[EBE]])),"")</f>
        <v/>
      </c>
      <c r="V963" s="190" t="str">
        <f>IFERROR(Tableau3[[#This Row],[Fonds propres]]/Tableau3[[#This Row],[Total Bilan]],"")</f>
        <v/>
      </c>
      <c r="W963" s="180"/>
      <c r="X963" s="191"/>
      <c r="Y963" s="180"/>
      <c r="Z963" s="192" t="str">
        <f>IFERROR(Tableau3[[#This Row],[Chiffre d''affaires]]/Tableau3[[#This Row],[Salariés]],"")</f>
        <v/>
      </c>
      <c r="AA963" s="197"/>
      <c r="AB963" s="197"/>
      <c r="AC963" s="177" t="s">
        <v>661</v>
      </c>
    </row>
    <row r="964" spans="1:29" ht="20.25" customHeight="1">
      <c r="A964" s="217"/>
      <c r="G964" s="188"/>
      <c r="H964" s="188"/>
      <c r="I964" s="188"/>
      <c r="J964" s="188"/>
      <c r="K964" s="188"/>
      <c r="L964" s="188"/>
      <c r="M964" s="208"/>
      <c r="N964" s="190"/>
      <c r="O964" s="190"/>
      <c r="P964" s="188"/>
      <c r="Q964" s="188"/>
      <c r="R964" s="195"/>
      <c r="S964" s="197"/>
      <c r="T964" s="180"/>
      <c r="U964" s="189" t="str">
        <f>IFERROR(IF(Tableau3[[#This Row],[Dettes]]=0,"",(Tableau3[[#This Row],[Dettes]]/Tableau3[[#This Row],[EBE]])),"")</f>
        <v/>
      </c>
      <c r="V964" s="190" t="str">
        <f>IFERROR(Tableau3[[#This Row],[Fonds propres]]/Tableau3[[#This Row],[Total Bilan]],"")</f>
        <v/>
      </c>
      <c r="W964" s="180"/>
      <c r="X964" s="191"/>
      <c r="Y964" s="180"/>
      <c r="Z964" s="192" t="str">
        <f>IFERROR(Tableau3[[#This Row],[Chiffre d''affaires]]/Tableau3[[#This Row],[Salariés]],"")</f>
        <v/>
      </c>
      <c r="AA964" s="197"/>
      <c r="AB964" s="197"/>
      <c r="AC964" s="177" t="s">
        <v>663</v>
      </c>
    </row>
    <row r="965" spans="1:29" ht="20.25" customHeight="1">
      <c r="A965" s="217"/>
      <c r="E965" s="187">
        <v>218.73</v>
      </c>
      <c r="F965" s="178">
        <v>2020</v>
      </c>
      <c r="G965" s="188"/>
      <c r="H965" s="188"/>
      <c r="I965" s="188"/>
      <c r="J965" s="188"/>
      <c r="K965" s="188"/>
      <c r="L965" s="188"/>
      <c r="M965" s="208" t="e">
        <f>L965/P965</f>
        <v>#DIV/0!</v>
      </c>
      <c r="N965" s="190" t="e">
        <f>J965/L965</f>
        <v>#DIV/0!</v>
      </c>
      <c r="O965" s="190" t="e">
        <f>(I965*0.6666)/(K965+L965)</f>
        <v>#DIV/0!</v>
      </c>
      <c r="P965" s="188"/>
      <c r="Q965" s="188">
        <f>E965*P965</f>
        <v>0</v>
      </c>
      <c r="R965" s="195" t="e">
        <f>Q965/L965</f>
        <v>#DIV/0!</v>
      </c>
      <c r="S965" s="197" t="e">
        <f>(Q965+K965)/I965</f>
        <v>#DIV/0!</v>
      </c>
      <c r="T965" s="180"/>
      <c r="U965" s="189" t="str">
        <f>IFERROR(IF(Tableau3[[#This Row],[Dettes]]=0,"",(Tableau3[[#This Row],[Dettes]]/Tableau3[[#This Row],[EBE]])),"")</f>
        <v/>
      </c>
      <c r="V965" s="190" t="str">
        <f>IFERROR(Tableau3[[#This Row],[Fonds propres]]/Tableau3[[#This Row],[Total Bilan]],"")</f>
        <v/>
      </c>
      <c r="W965" s="180"/>
      <c r="X965" s="191" t="s">
        <v>664</v>
      </c>
      <c r="Y965" s="180"/>
      <c r="Z965" s="192" t="str">
        <f>IFERROR(Tableau3[[#This Row],[Chiffre d''affaires]]/Tableau3[[#This Row],[Salariés]],"")</f>
        <v/>
      </c>
      <c r="AA965" s="197"/>
      <c r="AB965" s="197"/>
      <c r="AC965" s="177" t="s">
        <v>665</v>
      </c>
    </row>
    <row r="966" spans="1:29" ht="20.25" customHeight="1">
      <c r="A966" s="217"/>
      <c r="G966" s="188"/>
      <c r="H966" s="188"/>
      <c r="I966" s="188"/>
      <c r="J966" s="178"/>
      <c r="K966" s="188"/>
      <c r="L966" s="188"/>
      <c r="M966" s="208"/>
      <c r="N966" s="190"/>
      <c r="O966" s="190"/>
      <c r="P966" s="188"/>
      <c r="Q966" s="188"/>
      <c r="R966" s="195"/>
      <c r="S966" s="197"/>
      <c r="T966" s="180"/>
      <c r="U966" s="189" t="str">
        <f>IFERROR(IF(Tableau3[[#This Row],[Dettes]]=0,"",(Tableau3[[#This Row],[Dettes]]/Tableau3[[#This Row],[EBE]])),"")</f>
        <v/>
      </c>
      <c r="V966" s="190" t="str">
        <f>IFERROR(Tableau3[[#This Row],[Fonds propres]]/Tableau3[[#This Row],[Total Bilan]],"")</f>
        <v/>
      </c>
      <c r="W966" s="180"/>
      <c r="X966" s="191"/>
      <c r="Y966" s="180"/>
      <c r="Z966" s="192" t="str">
        <f>IFERROR(Tableau3[[#This Row],[Chiffre d''affaires]]/Tableau3[[#This Row],[Salariés]],"")</f>
        <v/>
      </c>
      <c r="AA966" s="197"/>
      <c r="AB966" s="197"/>
      <c r="AC966" s="177" t="s">
        <v>666</v>
      </c>
    </row>
    <row r="967" spans="1:29" ht="20.25" customHeight="1">
      <c r="A967" s="217"/>
      <c r="E967" s="178">
        <v>191.1</v>
      </c>
      <c r="F967" s="178">
        <v>2019</v>
      </c>
      <c r="G967" s="188">
        <v>22997000000</v>
      </c>
      <c r="H967" s="188">
        <v>15657000000</v>
      </c>
      <c r="I967" s="188">
        <v>15001000000</v>
      </c>
      <c r="J967" s="188">
        <v>12080000000</v>
      </c>
      <c r="K967" s="188">
        <v>8891000000</v>
      </c>
      <c r="L967" s="188">
        <v>34684000000</v>
      </c>
      <c r="M967" s="208">
        <f>L967/P967</f>
        <v>15.504693786320965</v>
      </c>
      <c r="N967" s="190">
        <f>J967/L967</f>
        <v>0.34828739476415638</v>
      </c>
      <c r="O967" s="190">
        <f>(I967*0.6666)/(K967+L967)</f>
        <v>0.22948173493975904</v>
      </c>
      <c r="P967" s="188">
        <v>2237000000</v>
      </c>
      <c r="Q967" s="188">
        <f>E967*P967</f>
        <v>427490700000</v>
      </c>
      <c r="R967" s="195">
        <f>Q967/L967</f>
        <v>12.325299850074963</v>
      </c>
      <c r="S967" s="197">
        <f>(Q967+K967)/I967</f>
        <v>29.090173988400775</v>
      </c>
      <c r="T967" s="180"/>
      <c r="U967" s="189">
        <f>IFERROR(IF(Tableau3[[#This Row],[Dettes]]=0,"",(Tableau3[[#This Row],[Dettes]]/Tableau3[[#This Row],[EBE]])),"")</f>
        <v>0.5678610206297503</v>
      </c>
      <c r="V967" s="190" t="str">
        <f>IFERROR(Tableau3[[#This Row],[Fonds propres]]/Tableau3[[#This Row],[Total Bilan]],"")</f>
        <v/>
      </c>
      <c r="W967" s="180"/>
      <c r="X967" s="191"/>
      <c r="Y967" s="180"/>
      <c r="Z967" s="192" t="str">
        <f>IFERROR(Tableau3[[#This Row],[Chiffre d''affaires]]/Tableau3[[#This Row],[Salariés]],"")</f>
        <v/>
      </c>
      <c r="AA967" s="197"/>
      <c r="AB967" s="197"/>
      <c r="AC967" s="177" t="s">
        <v>667</v>
      </c>
    </row>
    <row r="968" spans="1:29" ht="20.25" customHeight="1">
      <c r="A968" s="217"/>
      <c r="G968" s="202">
        <f>(G967/G969)-1</f>
        <v>0.11587170653597934</v>
      </c>
      <c r="H968" s="203">
        <f>(H967/H969)-1</f>
        <v>0.15405026903515884</v>
      </c>
      <c r="I968" s="203">
        <f>(I967/I969)-1</f>
        <v>0.15802068859039675</v>
      </c>
      <c r="J968" s="203">
        <f>(J967/J969)-1</f>
        <v>0.17270167944859716</v>
      </c>
      <c r="K968" s="188"/>
      <c r="L968" s="188"/>
      <c r="M968" s="208"/>
      <c r="N968" s="190"/>
      <c r="O968" s="190"/>
      <c r="P968" s="188"/>
      <c r="Q968" s="188"/>
      <c r="R968" s="195"/>
      <c r="S968" s="197"/>
      <c r="T968" s="180"/>
      <c r="U968" s="189" t="str">
        <f>IFERROR(IF(Tableau3[[#This Row],[Dettes]]=0,"",(Tableau3[[#This Row],[Dettes]]/Tableau3[[#This Row],[EBE]])),"")</f>
        <v/>
      </c>
      <c r="V968" s="190" t="str">
        <f>IFERROR(Tableau3[[#This Row],[Fonds propres]]/Tableau3[[#This Row],[Total Bilan]],"")</f>
        <v/>
      </c>
      <c r="W968" s="180"/>
      <c r="X968" s="191"/>
      <c r="Y968" s="180"/>
      <c r="Z968" s="192" t="str">
        <f>IFERROR(Tableau3[[#This Row],[Chiffre d''affaires]]/Tableau3[[#This Row],[Salariés]],"")</f>
        <v/>
      </c>
      <c r="AA968" s="197"/>
      <c r="AB968" s="197"/>
      <c r="AC968" s="177" t="s">
        <v>572</v>
      </c>
    </row>
    <row r="969" spans="1:29" ht="20.25" customHeight="1">
      <c r="A969" s="217"/>
      <c r="E969" s="178">
        <v>132.9</v>
      </c>
      <c r="F969" s="178">
        <v>2018</v>
      </c>
      <c r="G969" s="188">
        <v>20609000000</v>
      </c>
      <c r="H969" s="188">
        <v>13567000000</v>
      </c>
      <c r="I969" s="188">
        <v>12954000000</v>
      </c>
      <c r="J969" s="188">
        <v>10301000000</v>
      </c>
      <c r="K969" s="188">
        <v>8468000000</v>
      </c>
      <c r="L969" s="188">
        <v>34006000000</v>
      </c>
      <c r="M969" s="208">
        <f>L969/P969</f>
        <v>14.843299869052816</v>
      </c>
      <c r="N969" s="190">
        <f>J969/L969</f>
        <v>0.30291713227077577</v>
      </c>
      <c r="O969" s="190">
        <f>(I969*0.6666)/(K969+L969)</f>
        <v>0.20330405424494985</v>
      </c>
      <c r="P969" s="188">
        <v>2291000000</v>
      </c>
      <c r="Q969" s="188">
        <f>E969*P969</f>
        <v>304473900000</v>
      </c>
      <c r="R969" s="195">
        <f>Q969/L969</f>
        <v>8.9535346703522904</v>
      </c>
      <c r="S969" s="197">
        <f>(Q969+K969)/I969</f>
        <v>24.157935772734291</v>
      </c>
      <c r="T969" s="180"/>
      <c r="U969" s="189">
        <f>IFERROR(IF(Tableau3[[#This Row],[Dettes]]=0,"",(Tableau3[[#This Row],[Dettes]]/Tableau3[[#This Row],[EBE]])),"")</f>
        <v>0.62416156851183013</v>
      </c>
      <c r="V969" s="190" t="str">
        <f>IFERROR(Tableau3[[#This Row],[Fonds propres]]/Tableau3[[#This Row],[Total Bilan]],"")</f>
        <v/>
      </c>
      <c r="W969" s="180"/>
      <c r="X969" s="191"/>
      <c r="Y969" s="180"/>
      <c r="Z969" s="192" t="str">
        <f>IFERROR(Tableau3[[#This Row],[Chiffre d''affaires]]/Tableau3[[#This Row],[Salariés]],"")</f>
        <v/>
      </c>
      <c r="AA969" s="197"/>
      <c r="AB969" s="197"/>
      <c r="AC969" s="177" t="s">
        <v>668</v>
      </c>
    </row>
    <row r="970" spans="1:29" ht="20.25" customHeight="1">
      <c r="A970" s="217"/>
      <c r="G970" s="202">
        <f>(G969/G971)-1</f>
        <v>0.12261684279333251</v>
      </c>
      <c r="H970" s="203">
        <f>(H969/H971)-1</f>
        <v>6.8267716535433065E-2</v>
      </c>
      <c r="I970" s="203">
        <f>(I969/I971)-1</f>
        <v>6.6699604743083007E-2</v>
      </c>
      <c r="J970" s="203">
        <f>(J969/J971)-1</f>
        <v>0.53769219286460657</v>
      </c>
      <c r="K970" s="188"/>
      <c r="L970" s="188"/>
      <c r="M970" s="208"/>
      <c r="N970" s="190"/>
      <c r="O970" s="190"/>
      <c r="P970" s="188"/>
      <c r="Q970" s="188"/>
      <c r="R970" s="195"/>
      <c r="S970" s="197"/>
      <c r="T970" s="180"/>
      <c r="U970" s="189" t="str">
        <f>IFERROR(IF(Tableau3[[#This Row],[Dettes]]=0,"",(Tableau3[[#This Row],[Dettes]]/Tableau3[[#This Row],[EBE]])),"")</f>
        <v/>
      </c>
      <c r="V970" s="190" t="str">
        <f>IFERROR(Tableau3[[#This Row],[Fonds propres]]/Tableau3[[#This Row],[Total Bilan]],"")</f>
        <v/>
      </c>
      <c r="W970" s="180"/>
      <c r="X970" s="191"/>
      <c r="Y970" s="180"/>
      <c r="Z970" s="192" t="str">
        <f>IFERROR(Tableau3[[#This Row],[Chiffre d''affaires]]/Tableau3[[#This Row],[Salariés]],"")</f>
        <v/>
      </c>
      <c r="AA970" s="197"/>
      <c r="AB970" s="197"/>
    </row>
    <row r="971" spans="1:29" ht="20.25" customHeight="1">
      <c r="A971" s="217"/>
      <c r="E971" s="178">
        <v>114.6</v>
      </c>
      <c r="F971" s="178">
        <v>2017</v>
      </c>
      <c r="G971" s="188">
        <v>18358000000</v>
      </c>
      <c r="H971" s="188">
        <v>12700000000</v>
      </c>
      <c r="I971" s="188">
        <v>12144000000</v>
      </c>
      <c r="J971" s="188">
        <v>6699000000</v>
      </c>
      <c r="K971" s="188">
        <v>6744000000</v>
      </c>
      <c r="L971" s="188">
        <v>32760000000</v>
      </c>
      <c r="M971" s="208">
        <f>L971/P971</f>
        <v>13.940425531914894</v>
      </c>
      <c r="N971" s="190">
        <f>J971/L971</f>
        <v>0.20448717948717948</v>
      </c>
      <c r="O971" s="190">
        <f>(I971*0.6666)/(K971+L971)</f>
        <v>0.20492077764277036</v>
      </c>
      <c r="P971" s="188">
        <v>2350000000</v>
      </c>
      <c r="Q971" s="188">
        <f>E971*P971</f>
        <v>269310000000</v>
      </c>
      <c r="R971" s="195">
        <f>Q971/L971</f>
        <v>8.2206959706959708</v>
      </c>
      <c r="S971" s="197">
        <f>(Q971+K971)/I971</f>
        <v>22.731719367588934</v>
      </c>
      <c r="T971" s="180"/>
      <c r="U971" s="189">
        <f>IFERROR(IF(Tableau3[[#This Row],[Dettes]]=0,"",(Tableau3[[#This Row],[Dettes]]/Tableau3[[#This Row],[EBE]])),"")</f>
        <v>0.53102362204724407</v>
      </c>
      <c r="V971" s="190" t="str">
        <f>IFERROR(Tableau3[[#This Row],[Fonds propres]]/Tableau3[[#This Row],[Total Bilan]],"")</f>
        <v/>
      </c>
      <c r="W971" s="180"/>
      <c r="X971" s="191"/>
      <c r="Y971" s="180"/>
      <c r="Z971" s="192" t="str">
        <f>IFERROR(Tableau3[[#This Row],[Chiffre d''affaires]]/Tableau3[[#This Row],[Salariés]],"")</f>
        <v/>
      </c>
      <c r="AA971" s="197"/>
      <c r="AB971" s="197"/>
    </row>
    <row r="972" spans="1:29" ht="20.25" customHeight="1">
      <c r="A972" s="217"/>
      <c r="G972" s="202">
        <f>(G971/G973)-1</f>
        <v>0.21721257127701898</v>
      </c>
      <c r="H972" s="203">
        <f>(H971/H973)-1</f>
        <v>0.51460942158616585</v>
      </c>
      <c r="I972" s="203">
        <f>(I971/I973)-1</f>
        <v>0.54053025497906892</v>
      </c>
      <c r="J972" s="203">
        <f>(J971/J973)-1</f>
        <v>0.11817726589884825</v>
      </c>
      <c r="K972" s="188"/>
      <c r="L972" s="188"/>
      <c r="M972" s="208"/>
      <c r="N972" s="190"/>
      <c r="O972" s="190"/>
      <c r="P972" s="188"/>
      <c r="Q972" s="188"/>
      <c r="R972" s="195"/>
      <c r="S972" s="197"/>
      <c r="T972" s="180"/>
      <c r="U972" s="189" t="str">
        <f>IFERROR(IF(Tableau3[[#This Row],[Dettes]]=0,"",(Tableau3[[#This Row],[Dettes]]/Tableau3[[#This Row],[EBE]])),"")</f>
        <v/>
      </c>
      <c r="V972" s="190" t="str">
        <f>IFERROR(Tableau3[[#This Row],[Fonds propres]]/Tableau3[[#This Row],[Total Bilan]],"")</f>
        <v/>
      </c>
      <c r="W972" s="180"/>
      <c r="X972" s="191"/>
      <c r="Y972" s="180"/>
      <c r="Z972" s="192" t="str">
        <f>IFERROR(Tableau3[[#This Row],[Chiffre d''affaires]]/Tableau3[[#This Row],[Salariés]],"")</f>
        <v/>
      </c>
      <c r="AA972" s="197"/>
      <c r="AB972" s="197"/>
    </row>
    <row r="973" spans="1:29" ht="20.25" customHeight="1">
      <c r="A973" s="217"/>
      <c r="E973" s="178">
        <v>78.2</v>
      </c>
      <c r="F973" s="178">
        <v>2016</v>
      </c>
      <c r="G973" s="188">
        <v>15082000000</v>
      </c>
      <c r="H973" s="188">
        <v>8385000000</v>
      </c>
      <c r="I973" s="188">
        <v>7883000000</v>
      </c>
      <c r="J973" s="188">
        <v>5991000000</v>
      </c>
      <c r="K973" s="188">
        <v>10263000000</v>
      </c>
      <c r="L973" s="188">
        <v>32912000000</v>
      </c>
      <c r="M973" s="208">
        <f>L973/P973</f>
        <v>13.588769611890999</v>
      </c>
      <c r="N973" s="190">
        <f>J973/L973</f>
        <v>0.18203087019931941</v>
      </c>
      <c r="O973" s="190">
        <f>(I973*0.6666)/(K973+L973)</f>
        <v>0.12170950318471338</v>
      </c>
      <c r="P973" s="188">
        <v>2422000000</v>
      </c>
      <c r="Q973" s="188">
        <f>E973*P973</f>
        <v>189400400000</v>
      </c>
      <c r="R973" s="195">
        <f>Q973/L973</f>
        <v>5.7547520661157021</v>
      </c>
      <c r="S973" s="197">
        <f>(Q973+K973)/I973</f>
        <v>25.328352150196626</v>
      </c>
      <c r="T973" s="180"/>
      <c r="U973" s="189">
        <f>IFERROR(IF(Tableau3[[#This Row],[Dettes]]=0,"",(Tableau3[[#This Row],[Dettes]]/Tableau3[[#This Row],[EBE]])),"")</f>
        <v>1.2239713774597496</v>
      </c>
      <c r="V973" s="190" t="str">
        <f>IFERROR(Tableau3[[#This Row],[Fonds propres]]/Tableau3[[#This Row],[Total Bilan]],"")</f>
        <v/>
      </c>
      <c r="W973" s="180"/>
      <c r="X973" s="191"/>
      <c r="Y973" s="180"/>
      <c r="Z973" s="192" t="str">
        <f>IFERROR(Tableau3[[#This Row],[Chiffre d''affaires]]/Tableau3[[#This Row],[Salariés]],"")</f>
        <v/>
      </c>
      <c r="AA973" s="197"/>
      <c r="AB973" s="197"/>
    </row>
    <row r="974" spans="1:29" ht="20.25" customHeight="1">
      <c r="A974" s="217"/>
      <c r="G974" s="202">
        <f>(G973/G975)-1</f>
        <v>8.6599423631123829E-2</v>
      </c>
      <c r="H974" s="203">
        <f>(H973/H975)-1</f>
        <v>-0.12272441933458877</v>
      </c>
      <c r="I974" s="203">
        <f>(I973/I975)-1</f>
        <v>-0.13029567519858787</v>
      </c>
      <c r="J974" s="203">
        <f>(J973/J975)-1</f>
        <v>-5.3255372945638424E-2</v>
      </c>
      <c r="K974" s="188"/>
      <c r="L974" s="188"/>
      <c r="M974" s="208"/>
      <c r="N974" s="190"/>
      <c r="O974" s="190"/>
      <c r="P974" s="188"/>
      <c r="Q974" s="188"/>
      <c r="R974" s="195"/>
      <c r="S974" s="197"/>
      <c r="T974" s="180"/>
      <c r="U974" s="189" t="str">
        <f>IFERROR(IF(Tableau3[[#This Row],[Dettes]]=0,"",(Tableau3[[#This Row],[Dettes]]/Tableau3[[#This Row],[EBE]])),"")</f>
        <v/>
      </c>
      <c r="V974" s="190" t="str">
        <f>IFERROR(Tableau3[[#This Row],[Fonds propres]]/Tableau3[[#This Row],[Total Bilan]],"")</f>
        <v/>
      </c>
      <c r="W974" s="180"/>
      <c r="X974" s="191"/>
      <c r="Y974" s="180"/>
      <c r="Z974" s="192" t="str">
        <f>IFERROR(Tableau3[[#This Row],[Chiffre d''affaires]]/Tableau3[[#This Row],[Salariés]],"")</f>
        <v/>
      </c>
      <c r="AA974" s="197"/>
      <c r="AB974" s="197"/>
    </row>
    <row r="975" spans="1:29" ht="20.25" customHeight="1">
      <c r="A975" s="217"/>
      <c r="E975" s="178">
        <v>78.400000000000006</v>
      </c>
      <c r="F975" s="178">
        <v>2015</v>
      </c>
      <c r="G975" s="188">
        <v>13880000000</v>
      </c>
      <c r="H975" s="188">
        <v>9558000000</v>
      </c>
      <c r="I975" s="188">
        <v>9064000000</v>
      </c>
      <c r="J975" s="188">
        <v>6328000000</v>
      </c>
      <c r="K975" s="188"/>
      <c r="L975" s="188">
        <v>29842000000</v>
      </c>
      <c r="M975" s="208">
        <f>L975/P975</f>
        <v>12.260476581758422</v>
      </c>
      <c r="N975" s="190">
        <f>J975/L975</f>
        <v>0.21205013068829168</v>
      </c>
      <c r="O975" s="190">
        <f>(I975*0.6666)/(K975+L975)</f>
        <v>0.20246841364519805</v>
      </c>
      <c r="P975" s="188">
        <v>2434000000</v>
      </c>
      <c r="Q975" s="188">
        <f>E975*P975</f>
        <v>190825600000</v>
      </c>
      <c r="R975" s="195">
        <f>Q975/L975</f>
        <v>6.3945311976409087</v>
      </c>
      <c r="S975" s="197">
        <f>(Q975+K975)/I975</f>
        <v>21.053133274492499</v>
      </c>
      <c r="T975" s="180"/>
      <c r="U975" s="189" t="str">
        <f>IFERROR(IF(Tableau3[[#This Row],[Dettes]]=0,"",(Tableau3[[#This Row],[Dettes]]/Tableau3[[#This Row],[EBE]])),"")</f>
        <v/>
      </c>
      <c r="V975" s="190" t="str">
        <f>IFERROR(Tableau3[[#This Row],[Fonds propres]]/Tableau3[[#This Row],[Total Bilan]],"")</f>
        <v/>
      </c>
      <c r="W975" s="180"/>
      <c r="X975" s="191"/>
      <c r="Y975" s="180"/>
      <c r="Z975" s="192" t="str">
        <f>IFERROR(Tableau3[[#This Row],[Chiffre d''affaires]]/Tableau3[[#This Row],[Salariés]],"")</f>
        <v/>
      </c>
      <c r="AA975" s="197"/>
      <c r="AB975" s="197"/>
    </row>
    <row r="976" spans="1:29" ht="20.25" customHeight="1">
      <c r="A976" s="217"/>
      <c r="G976" s="188"/>
      <c r="H976" s="188"/>
      <c r="I976" s="188"/>
      <c r="J976" s="188"/>
      <c r="K976" s="188"/>
      <c r="L976" s="188"/>
      <c r="M976" s="208"/>
      <c r="N976" s="190"/>
      <c r="O976" s="190"/>
      <c r="P976" s="188"/>
      <c r="Q976" s="188"/>
      <c r="R976" s="195"/>
      <c r="S976" s="197"/>
      <c r="T976" s="180"/>
      <c r="U976" s="189" t="str">
        <f>IFERROR(IF(Tableau3[[#This Row],[Dettes]]=0,"",(Tableau3[[#This Row],[Dettes]]/Tableau3[[#This Row],[EBE]])),"")</f>
        <v/>
      </c>
      <c r="V976" s="190" t="str">
        <f>IFERROR(Tableau3[[#This Row],[Fonds propres]]/Tableau3[[#This Row],[Total Bilan]],"")</f>
        <v/>
      </c>
      <c r="W976" s="180"/>
      <c r="X976" s="191"/>
      <c r="Y976" s="180"/>
      <c r="Z976" s="192" t="str">
        <f>IFERROR(Tableau3[[#This Row],[Chiffre d''affaires]]/Tableau3[[#This Row],[Salariés]],"")</f>
        <v/>
      </c>
      <c r="AA976" s="197"/>
      <c r="AB976" s="197"/>
    </row>
    <row r="977" spans="1:29" ht="20.25" customHeight="1">
      <c r="A977" s="217"/>
      <c r="G977" s="188"/>
      <c r="H977" s="188"/>
      <c r="I977" s="188"/>
      <c r="J977" s="188"/>
      <c r="K977" s="188"/>
      <c r="L977" s="188"/>
      <c r="M977" s="208"/>
      <c r="N977" s="190"/>
      <c r="O977" s="190"/>
      <c r="P977" s="188"/>
      <c r="Q977" s="188"/>
      <c r="R977" s="195"/>
      <c r="S977" s="197"/>
      <c r="T977" s="180"/>
      <c r="U977" s="189" t="str">
        <f>IFERROR(IF(Tableau3[[#This Row],[Dettes]]=0,"",(Tableau3[[#This Row],[Dettes]]/Tableau3[[#This Row],[EBE]])),"")</f>
        <v/>
      </c>
      <c r="V977" s="190" t="str">
        <f>IFERROR(Tableau3[[#This Row],[Fonds propres]]/Tableau3[[#This Row],[Total Bilan]],"")</f>
        <v/>
      </c>
      <c r="W977" s="180"/>
      <c r="X977" s="191"/>
      <c r="Y977" s="180"/>
      <c r="Z977" s="192" t="str">
        <f>IFERROR(Tableau3[[#This Row],[Chiffre d''affaires]]/Tableau3[[#This Row],[Salariés]],"")</f>
        <v/>
      </c>
      <c r="AA977" s="197"/>
      <c r="AB977" s="197"/>
    </row>
    <row r="978" spans="1:29" ht="20.25" customHeight="1">
      <c r="A978" s="217"/>
      <c r="G978" s="188"/>
      <c r="H978" s="188"/>
      <c r="I978" s="188"/>
      <c r="J978" s="188"/>
      <c r="K978" s="188"/>
      <c r="L978" s="188"/>
      <c r="M978" s="208"/>
      <c r="N978" s="190"/>
      <c r="O978" s="190"/>
      <c r="P978" s="188"/>
      <c r="Q978" s="188"/>
      <c r="R978" s="195"/>
      <c r="S978" s="197"/>
      <c r="T978" s="180"/>
      <c r="U978" s="189" t="str">
        <f>IFERROR(IF(Tableau3[[#This Row],[Dettes]]=0,"",(Tableau3[[#This Row],[Dettes]]/Tableau3[[#This Row],[EBE]])),"")</f>
        <v/>
      </c>
      <c r="V978" s="190" t="str">
        <f>IFERROR(Tableau3[[#This Row],[Fonds propres]]/Tableau3[[#This Row],[Total Bilan]],"")</f>
        <v/>
      </c>
      <c r="W978" s="180"/>
      <c r="X978" s="191"/>
      <c r="Y978" s="180"/>
      <c r="Z978" s="192" t="str">
        <f>IFERROR(Tableau3[[#This Row],[Chiffre d''affaires]]/Tableau3[[#This Row],[Salariés]],"")</f>
        <v/>
      </c>
      <c r="AA978" s="197"/>
      <c r="AB978" s="197"/>
    </row>
    <row r="979" spans="1:29" ht="20.25" customHeight="1">
      <c r="A979" s="217" t="s">
        <v>669</v>
      </c>
      <c r="B979" s="216" t="s">
        <v>670</v>
      </c>
      <c r="C979" s="178" t="s">
        <v>84</v>
      </c>
      <c r="D979" s="178" t="s">
        <v>85</v>
      </c>
      <c r="F979" s="178">
        <v>2025</v>
      </c>
      <c r="G979" s="188"/>
      <c r="H979" s="188"/>
      <c r="I979" s="188"/>
      <c r="J979" s="188"/>
      <c r="K979" s="188"/>
      <c r="L979" s="188"/>
      <c r="M979" s="208"/>
      <c r="N979" s="190"/>
      <c r="O979" s="190"/>
      <c r="P979" s="188"/>
      <c r="Q979" s="188"/>
      <c r="R979" s="195"/>
      <c r="S979" s="197"/>
      <c r="T979" s="180"/>
      <c r="U979" s="189" t="str">
        <f>IFERROR(IF(Tableau3[[#This Row],[Dettes]]=0,"",(Tableau3[[#This Row],[Dettes]]/Tableau3[[#This Row],[EBE]])),"")</f>
        <v/>
      </c>
      <c r="V979" s="190" t="str">
        <f>IFERROR(Tableau3[[#This Row],[Fonds propres]]/Tableau3[[#This Row],[Total Bilan]],"")</f>
        <v/>
      </c>
      <c r="W979" s="180"/>
      <c r="X979" s="191"/>
      <c r="Y979" s="180"/>
      <c r="Z979" s="192" t="str">
        <f>IFERROR(Tableau3[[#This Row],[Chiffre d''affaires]]/Tableau3[[#This Row],[Salariés]],"")</f>
        <v/>
      </c>
      <c r="AA979" s="197"/>
      <c r="AB979" s="197"/>
      <c r="AC979" s="177" t="s">
        <v>671</v>
      </c>
    </row>
    <row r="980" spans="1:29" ht="20.25" customHeight="1">
      <c r="A980" s="217"/>
      <c r="G980" s="188"/>
      <c r="H980" s="188"/>
      <c r="I980" s="188"/>
      <c r="J980" s="188"/>
      <c r="K980" s="188"/>
      <c r="L980" s="188"/>
      <c r="M980" s="208"/>
      <c r="N980" s="190"/>
      <c r="O980" s="190"/>
      <c r="P980" s="188"/>
      <c r="Q980" s="188"/>
      <c r="R980" s="195"/>
      <c r="S980" s="197"/>
      <c r="T980" s="180"/>
      <c r="U980" s="189" t="str">
        <f>IFERROR(IF(Tableau3[[#This Row],[Dettes]]=0,"",(Tableau3[[#This Row],[Dettes]]/Tableau3[[#This Row],[EBE]])),"")</f>
        <v/>
      </c>
      <c r="V980" s="190" t="str">
        <f>IFERROR(Tableau3[[#This Row],[Fonds propres]]/Tableau3[[#This Row],[Total Bilan]],"")</f>
        <v/>
      </c>
      <c r="W980" s="180"/>
      <c r="X980" s="191"/>
      <c r="Y980" s="180"/>
      <c r="Z980" s="192" t="str">
        <f>IFERROR(Tableau3[[#This Row],[Chiffre d''affaires]]/Tableau3[[#This Row],[Salariés]],"")</f>
        <v/>
      </c>
      <c r="AA980" s="197"/>
      <c r="AB980" s="197"/>
      <c r="AC980" s="177" t="s">
        <v>673</v>
      </c>
    </row>
    <row r="981" spans="1:29" ht="20.25" customHeight="1">
      <c r="A981" s="217"/>
      <c r="E981" s="187">
        <v>8.48</v>
      </c>
      <c r="F981" s="178">
        <v>2024</v>
      </c>
      <c r="G981" s="188"/>
      <c r="H981" s="188"/>
      <c r="I981" s="188"/>
      <c r="J981" s="188"/>
      <c r="K981" s="188"/>
      <c r="L981" s="188"/>
      <c r="M981" s="208"/>
      <c r="N981" s="190"/>
      <c r="O981" s="190"/>
      <c r="P981" s="188"/>
      <c r="Q981" s="188"/>
      <c r="R981" s="195"/>
      <c r="S981" s="197"/>
      <c r="T981" s="180"/>
      <c r="U981" s="189" t="str">
        <f>IFERROR(IF(Tableau3[[#This Row],[Dettes]]=0,"",(Tableau3[[#This Row],[Dettes]]/Tableau3[[#This Row],[EBE]])),"")</f>
        <v/>
      </c>
      <c r="V981" s="190" t="str">
        <f>IFERROR(Tableau3[[#This Row],[Fonds propres]]/Tableau3[[#This Row],[Total Bilan]],"")</f>
        <v/>
      </c>
      <c r="W981" s="180"/>
      <c r="X981" s="191"/>
      <c r="Y981" s="180"/>
      <c r="Z981" s="192" t="str">
        <f>IFERROR(Tableau3[[#This Row],[Chiffre d''affaires]]/Tableau3[[#This Row],[Salariés]],"")</f>
        <v/>
      </c>
      <c r="AA981" s="197"/>
      <c r="AB981" s="197"/>
      <c r="AC981" s="177" t="s">
        <v>674</v>
      </c>
    </row>
    <row r="982" spans="1:29" ht="20.25" customHeight="1">
      <c r="A982" s="217"/>
      <c r="G982" s="188"/>
      <c r="H982" s="188"/>
      <c r="I982" s="188"/>
      <c r="J982" s="188"/>
      <c r="K982" s="188"/>
      <c r="L982" s="188"/>
      <c r="M982" s="208"/>
      <c r="N982" s="190"/>
      <c r="O982" s="190"/>
      <c r="P982" s="188"/>
      <c r="Q982" s="188"/>
      <c r="R982" s="195"/>
      <c r="S982" s="197"/>
      <c r="T982" s="180"/>
      <c r="U982" s="189" t="str">
        <f>IFERROR(IF(Tableau3[[#This Row],[Dettes]]=0,"",(Tableau3[[#This Row],[Dettes]]/Tableau3[[#This Row],[EBE]])),"")</f>
        <v/>
      </c>
      <c r="V982" s="190" t="str">
        <f>IFERROR(Tableau3[[#This Row],[Fonds propres]]/Tableau3[[#This Row],[Total Bilan]],"")</f>
        <v/>
      </c>
      <c r="W982" s="180"/>
      <c r="X982" s="191"/>
      <c r="Y982" s="180"/>
      <c r="Z982" s="192" t="str">
        <f>IFERROR(Tableau3[[#This Row],[Chiffre d''affaires]]/Tableau3[[#This Row],[Salariés]],"")</f>
        <v/>
      </c>
      <c r="AA982" s="197"/>
      <c r="AB982" s="197"/>
      <c r="AC982" s="177" t="s">
        <v>675</v>
      </c>
    </row>
    <row r="983" spans="1:29" ht="20.25" customHeight="1">
      <c r="A983" s="217"/>
      <c r="E983" s="187">
        <v>15.67</v>
      </c>
      <c r="F983" s="178">
        <v>2023</v>
      </c>
      <c r="G983" s="188"/>
      <c r="H983" s="188"/>
      <c r="I983" s="188"/>
      <c r="J983" s="188"/>
      <c r="K983" s="188"/>
      <c r="L983" s="188"/>
      <c r="M983" s="208"/>
      <c r="N983" s="190"/>
      <c r="O983" s="190"/>
      <c r="P983" s="188"/>
      <c r="Q983" s="188"/>
      <c r="R983" s="195"/>
      <c r="S983" s="197"/>
      <c r="T983" s="180"/>
      <c r="U983" s="189" t="str">
        <f>IFERROR(IF(Tableau3[[#This Row],[Dettes]]=0,"",(Tableau3[[#This Row],[Dettes]]/Tableau3[[#This Row],[EBE]])),"")</f>
        <v/>
      </c>
      <c r="V983" s="190" t="str">
        <f>IFERROR(Tableau3[[#This Row],[Fonds propres]]/Tableau3[[#This Row],[Total Bilan]],"")</f>
        <v/>
      </c>
      <c r="W983" s="180"/>
      <c r="X983" s="191"/>
      <c r="Y983" s="180"/>
      <c r="Z983" s="192" t="str">
        <f>IFERROR(Tableau3[[#This Row],[Chiffre d''affaires]]/Tableau3[[#This Row],[Salariés]],"")</f>
        <v/>
      </c>
      <c r="AA983" s="197"/>
      <c r="AB983" s="197"/>
      <c r="AC983" s="177" t="s">
        <v>676</v>
      </c>
    </row>
    <row r="984" spans="1:29" ht="20.25" customHeight="1">
      <c r="A984" s="217"/>
      <c r="G984" s="188"/>
      <c r="H984" s="188"/>
      <c r="I984" s="188"/>
      <c r="J984" s="188"/>
      <c r="K984" s="188"/>
      <c r="L984" s="188"/>
      <c r="M984" s="208"/>
      <c r="N984" s="190"/>
      <c r="O984" s="190"/>
      <c r="P984" s="188"/>
      <c r="Q984" s="188"/>
      <c r="R984" s="195"/>
      <c r="S984" s="197"/>
      <c r="T984" s="180"/>
      <c r="U984" s="189" t="str">
        <f>IFERROR(IF(Tableau3[[#This Row],[Dettes]]=0,"",(Tableau3[[#This Row],[Dettes]]/Tableau3[[#This Row],[EBE]])),"")</f>
        <v/>
      </c>
      <c r="V984" s="190" t="str">
        <f>IFERROR(Tableau3[[#This Row],[Fonds propres]]/Tableau3[[#This Row],[Total Bilan]],"")</f>
        <v/>
      </c>
      <c r="W984" s="180"/>
      <c r="X984" s="191"/>
      <c r="Y984" s="180"/>
      <c r="Z984" s="192" t="str">
        <f>IFERROR(Tableau3[[#This Row],[Chiffre d''affaires]]/Tableau3[[#This Row],[Salariés]],"")</f>
        <v/>
      </c>
      <c r="AA984" s="197"/>
      <c r="AB984" s="197"/>
      <c r="AC984" s="177" t="s">
        <v>677</v>
      </c>
    </row>
    <row r="985" spans="1:29" ht="20.25" customHeight="1">
      <c r="A985" s="217"/>
      <c r="E985" s="187">
        <v>36.53</v>
      </c>
      <c r="F985" s="178">
        <v>2022</v>
      </c>
      <c r="G985" s="188">
        <v>4050000000</v>
      </c>
      <c r="H985" s="188">
        <v>920000000</v>
      </c>
      <c r="I985" s="188">
        <v>250000000</v>
      </c>
      <c r="J985" s="188">
        <v>211000000</v>
      </c>
      <c r="K985" s="188">
        <v>2000000000</v>
      </c>
      <c r="L985" s="188">
        <v>9000000000</v>
      </c>
      <c r="M985" s="208">
        <f>L985/P985</f>
        <v>32.087300274382073</v>
      </c>
      <c r="N985" s="190">
        <f>J985/L985</f>
        <v>2.3444444444444445E-2</v>
      </c>
      <c r="O985" s="190">
        <f>(I985*0.6666)/(K985+L985)</f>
        <v>1.515E-2</v>
      </c>
      <c r="P985" s="188">
        <v>280484800</v>
      </c>
      <c r="Q985" s="188">
        <f>E985*P985</f>
        <v>10246109744</v>
      </c>
      <c r="R985" s="195">
        <f>Q985/L985</f>
        <v>1.1384566382222223</v>
      </c>
      <c r="S985" s="197">
        <f>(Q985+K985)/H985</f>
        <v>13.310988852173914</v>
      </c>
      <c r="T985" s="180">
        <v>450000000</v>
      </c>
      <c r="U985" s="189">
        <f>IFERROR(IF(Tableau3[[#This Row],[Dettes]]=0,"",(Tableau3[[#This Row],[Dettes]]/Tableau3[[#This Row],[EBE]])),"")</f>
        <v>2.1739130434782608</v>
      </c>
      <c r="V985" s="190" t="str">
        <f>IFERROR(Tableau3[[#This Row],[Fonds propres]]/Tableau3[[#This Row],[Total Bilan]],"")</f>
        <v/>
      </c>
      <c r="W985" s="180"/>
      <c r="X985" s="191" t="s">
        <v>678</v>
      </c>
      <c r="Y985" s="180">
        <v>20709</v>
      </c>
      <c r="Z985" s="192">
        <f>Tableau3[[#This Row],[Chiffre d''affaires]]/Tableau3[[#This Row],[Salariés]]</f>
        <v>195567.14471968709</v>
      </c>
      <c r="AA985" s="197" t="s">
        <v>679</v>
      </c>
      <c r="AB985" s="197"/>
      <c r="AC985" s="177" t="s">
        <v>680</v>
      </c>
    </row>
    <row r="986" spans="1:29" ht="20.25" customHeight="1">
      <c r="A986" s="217"/>
      <c r="G986" s="202">
        <f>(G985/G987)-1</f>
        <v>9.4594594594594517E-2</v>
      </c>
      <c r="H986" s="203">
        <f>(H985/H987)-1</f>
        <v>-5.4054054054053502E-3</v>
      </c>
      <c r="I986" s="203">
        <f>(I985/I987)-1</f>
        <v>-0.58333333333333326</v>
      </c>
      <c r="J986" s="203">
        <f>(J985/J987)-1</f>
        <v>-1.2808091562416821</v>
      </c>
      <c r="K986" s="188"/>
      <c r="L986" s="188"/>
      <c r="M986" s="208"/>
      <c r="N986" s="190"/>
      <c r="O986" s="190"/>
      <c r="P986" s="188"/>
      <c r="Q986" s="188"/>
      <c r="R986" s="195"/>
      <c r="S986" s="197"/>
      <c r="T986" s="180"/>
      <c r="U986" s="189" t="str">
        <f>IFERROR(IF(Tableau3[[#This Row],[Dettes]]=0,"",(Tableau3[[#This Row],[Dettes]]/Tableau3[[#This Row],[EBE]])),"")</f>
        <v/>
      </c>
      <c r="V986" s="190" t="str">
        <f>IFERROR(Tableau3[[#This Row],[Fonds propres]]/Tableau3[[#This Row],[Total Bilan]],"")</f>
        <v/>
      </c>
      <c r="W986" s="180"/>
      <c r="X986" s="191"/>
      <c r="Y986" s="180"/>
      <c r="Z986" s="192" t="str">
        <f>IFERROR(Tableau3[[#This Row],[Chiffre d''affaires]]/Tableau3[[#This Row],[Salariés]],"")</f>
        <v/>
      </c>
      <c r="AA986" s="197" t="s">
        <v>681</v>
      </c>
      <c r="AB986" s="197"/>
      <c r="AC986" s="177" t="s">
        <v>682</v>
      </c>
    </row>
    <row r="987" spans="1:29" ht="20.25" customHeight="1">
      <c r="A987" s="217"/>
      <c r="E987" s="187">
        <v>49</v>
      </c>
      <c r="F987" s="178">
        <v>2021</v>
      </c>
      <c r="G987" s="188">
        <v>3700000000</v>
      </c>
      <c r="H987" s="188">
        <f>G987*0.25</f>
        <v>925000000</v>
      </c>
      <c r="I987" s="188">
        <v>600000000</v>
      </c>
      <c r="J987" s="188">
        <v>-751400000</v>
      </c>
      <c r="K987" s="188">
        <v>2900000000</v>
      </c>
      <c r="L987" s="188">
        <v>9044000000</v>
      </c>
      <c r="M987" s="208">
        <f>L987/P987</f>
        <v>32.244171520167939</v>
      </c>
      <c r="N987" s="190">
        <f>J987/L987</f>
        <v>-8.30827067669173E-2</v>
      </c>
      <c r="O987" s="190">
        <f>(I987*0.6666)/(K987+L987)</f>
        <v>3.3486269256530476E-2</v>
      </c>
      <c r="P987" s="188">
        <v>280484800</v>
      </c>
      <c r="Q987" s="188">
        <f>E987*P987</f>
        <v>13743755200</v>
      </c>
      <c r="R987" s="195">
        <f>Q987/L987</f>
        <v>1.5196544891640866</v>
      </c>
      <c r="S987" s="197">
        <f>(Q987+K987)/H987</f>
        <v>17.993248864864864</v>
      </c>
      <c r="T987" s="180"/>
      <c r="U987" s="189">
        <f>IFERROR(IF(Tableau3[[#This Row],[Dettes]]=0,"",(Tableau3[[#This Row],[Dettes]]/Tableau3[[#This Row],[EBE]])),"")</f>
        <v>3.1351351351351351</v>
      </c>
      <c r="V987" s="190" t="str">
        <f>IFERROR(Tableau3[[#This Row],[Fonds propres]]/Tableau3[[#This Row],[Total Bilan]],"")</f>
        <v/>
      </c>
      <c r="W987" s="180"/>
      <c r="Y987" s="180"/>
      <c r="Z987" s="192"/>
      <c r="AA987" s="197" t="s">
        <v>107</v>
      </c>
      <c r="AB987" s="197"/>
      <c r="AC987" s="177" t="s">
        <v>683</v>
      </c>
    </row>
    <row r="988" spans="1:29" ht="20.25" customHeight="1">
      <c r="A988" s="217"/>
      <c r="E988" s="187"/>
      <c r="G988" s="202">
        <f>(G987/G989)-1</f>
        <v>0.34643377001455611</v>
      </c>
      <c r="H988" s="203">
        <f>(H987/H989)-1</f>
        <v>0.3214285714285714</v>
      </c>
      <c r="I988" s="203">
        <f>(I987/I989)-1</f>
        <v>1.4499795835034708</v>
      </c>
      <c r="J988" s="203">
        <f>(J987/J989)-1</f>
        <v>-5.5901038485033601</v>
      </c>
      <c r="K988" s="188"/>
      <c r="L988" s="188"/>
      <c r="M988" s="208"/>
      <c r="N988" s="190"/>
      <c r="O988" s="190"/>
      <c r="P988" s="188"/>
      <c r="Q988" s="188"/>
      <c r="R988" s="195"/>
      <c r="S988" s="197"/>
      <c r="T988" s="180"/>
      <c r="U988" s="189" t="str">
        <f>IFERROR(IF(Tableau3[[#This Row],[Dettes]]=0,"",(Tableau3[[#This Row],[Dettes]]/Tableau3[[#This Row],[EBE]])),"")</f>
        <v/>
      </c>
      <c r="V988" s="190" t="str">
        <f>IFERROR(Tableau3[[#This Row],[Fonds propres]]/Tableau3[[#This Row],[Total Bilan]],"")</f>
        <v/>
      </c>
      <c r="W988" s="180"/>
      <c r="Y988" s="180"/>
      <c r="Z988" s="192" t="str">
        <f>IFERROR(Tableau3[[#This Row],[Chiffre d''affaires]]/Tableau3[[#This Row],[Salariés]],"")</f>
        <v/>
      </c>
      <c r="AA988" s="177"/>
      <c r="AC988" s="177" t="s">
        <v>684</v>
      </c>
    </row>
    <row r="989" spans="1:29" ht="20.25" customHeight="1">
      <c r="A989" s="217"/>
      <c r="E989" s="187">
        <v>79.099999999999994</v>
      </c>
      <c r="F989" s="230">
        <v>2020</v>
      </c>
      <c r="G989" s="188">
        <v>2748000000</v>
      </c>
      <c r="H989" s="188">
        <v>700000000</v>
      </c>
      <c r="I989" s="188">
        <v>244900000</v>
      </c>
      <c r="J989" s="188">
        <v>163700000</v>
      </c>
      <c r="K989" s="188">
        <v>3165000000</v>
      </c>
      <c r="L989" s="188">
        <v>9480600000</v>
      </c>
      <c r="M989" s="194">
        <f>L989/P989</f>
        <v>33.964150027495606</v>
      </c>
      <c r="N989" s="190">
        <f>J989/L989</f>
        <v>1.726683965149885E-2</v>
      </c>
      <c r="O989" s="190">
        <f>(I989*0.64)/(K989+(M989*P989))</f>
        <v>1.2394508761940912E-2</v>
      </c>
      <c r="P989" s="188">
        <v>279135500</v>
      </c>
      <c r="Q989" s="231">
        <f>P989*E989</f>
        <v>22079618050</v>
      </c>
      <c r="R989" s="195">
        <f>Q989/L989</f>
        <v>2.3289262335717149</v>
      </c>
      <c r="S989" s="197">
        <f>(Q989+K989)/H989</f>
        <v>36.063740071428569</v>
      </c>
      <c r="T989" s="180"/>
      <c r="U989" s="189">
        <f>IFERROR(IF(Tableau3[[#This Row],[Dettes]]=0,"",(Tableau3[[#This Row],[Dettes]]/Tableau3[[#This Row],[EBE]])),"")</f>
        <v>4.5214285714285714</v>
      </c>
      <c r="V989" s="190" t="str">
        <f>IFERROR(Tableau3[[#This Row],[Fonds propres]]/Tableau3[[#This Row],[Total Bilan]],"")</f>
        <v/>
      </c>
      <c r="W989" s="180"/>
      <c r="X989" s="191"/>
      <c r="Y989" s="180"/>
      <c r="Z989" s="192" t="str">
        <f>IFERROR(Tableau3[[#This Row],[Chiffre d''affaires]]/Tableau3[[#This Row],[Salariés]],"")</f>
        <v/>
      </c>
      <c r="AA989" s="197"/>
      <c r="AB989" s="197"/>
      <c r="AC989" s="177" t="s">
        <v>685</v>
      </c>
    </row>
    <row r="990" spans="1:29" ht="20.25" customHeight="1">
      <c r="A990" s="217"/>
      <c r="E990" s="187"/>
      <c r="F990" s="230"/>
      <c r="G990" s="202">
        <f>(G989/G991)-1</f>
        <v>0.15384615384615374</v>
      </c>
      <c r="H990" s="203">
        <f>(H989/H991)-1</f>
        <v>0.16259757515362905</v>
      </c>
      <c r="I990" s="203">
        <f>(I989/I991)-1</f>
        <v>-0.16785592932381921</v>
      </c>
      <c r="J990" s="203">
        <f>(J989/J991)-1</f>
        <v>-0.45524126455906821</v>
      </c>
      <c r="K990" s="197"/>
      <c r="L990" s="178"/>
      <c r="M990" s="177"/>
      <c r="N990" s="178"/>
      <c r="O990" s="177"/>
      <c r="P990" s="177"/>
      <c r="Q990" s="177"/>
      <c r="R990" s="195"/>
      <c r="S990" s="178"/>
      <c r="T990" s="180"/>
      <c r="U990" s="189" t="str">
        <f>IFERROR(IF(Tableau3[[#This Row],[Dettes]]=0,"",(Tableau3[[#This Row],[Dettes]]/Tableau3[[#This Row],[EBE]])),"")</f>
        <v/>
      </c>
      <c r="V990" s="190" t="str">
        <f>IFERROR(Tableau3[[#This Row],[Fonds propres]]/Tableau3[[#This Row],[Total Bilan]],"")</f>
        <v/>
      </c>
      <c r="W990" s="180"/>
      <c r="Y990" s="180"/>
      <c r="Z990" s="192" t="str">
        <f>IFERROR(Tableau3[[#This Row],[Chiffre d''affaires]]/Tableau3[[#This Row],[Salariés]],"")</f>
        <v/>
      </c>
      <c r="AA990" s="177"/>
      <c r="AC990" s="177" t="s">
        <v>686</v>
      </c>
    </row>
    <row r="991" spans="1:29" ht="20.25" customHeight="1">
      <c r="A991" s="217"/>
      <c r="E991" s="187">
        <v>64</v>
      </c>
      <c r="F991" s="230">
        <v>2019</v>
      </c>
      <c r="G991" s="188">
        <v>2381600000</v>
      </c>
      <c r="H991" s="188">
        <v>602100000</v>
      </c>
      <c r="I991" s="188">
        <v>294300000</v>
      </c>
      <c r="J991" s="188">
        <v>300500000</v>
      </c>
      <c r="K991" s="188">
        <v>641300000</v>
      </c>
      <c r="L991" s="188">
        <v>3221100000</v>
      </c>
      <c r="M991" s="194">
        <f>L991/P991</f>
        <v>17.627506795395387</v>
      </c>
      <c r="N991" s="190">
        <f>J991/L991</f>
        <v>9.3291111732017012E-2</v>
      </c>
      <c r="O991" s="190">
        <f>(I991*0.64)/(K991+(M991*P991))</f>
        <v>4.8765534382767192E-2</v>
      </c>
      <c r="P991" s="188">
        <v>182731457</v>
      </c>
      <c r="Q991" s="231">
        <f>P991*E991</f>
        <v>11694813248</v>
      </c>
      <c r="R991" s="195">
        <f>Q991/L991</f>
        <v>3.6306892825432304</v>
      </c>
      <c r="S991" s="197">
        <f>(Q991+K991)/H991</f>
        <v>20.48847906992194</v>
      </c>
      <c r="T991" s="180"/>
      <c r="U991" s="189">
        <f>IFERROR(IF(Tableau3[[#This Row],[Dettes]]=0,"",(Tableau3[[#This Row],[Dettes]]/Tableau3[[#This Row],[EBE]])),"")</f>
        <v>1.0651054642086033</v>
      </c>
      <c r="V991" s="190" t="str">
        <f>IFERROR(Tableau3[[#This Row],[Fonds propres]]/Tableau3[[#This Row],[Total Bilan]],"")</f>
        <v/>
      </c>
      <c r="W991" s="180"/>
      <c r="X991" s="191"/>
      <c r="Y991" s="180"/>
      <c r="Z991" s="192" t="str">
        <f>IFERROR(Tableau3[[#This Row],[Chiffre d''affaires]]/Tableau3[[#This Row],[Salariés]],"")</f>
        <v/>
      </c>
      <c r="AA991" s="197"/>
      <c r="AB991" s="197"/>
      <c r="AC991" s="177" t="s">
        <v>687</v>
      </c>
    </row>
    <row r="992" spans="1:29" ht="20.25" customHeight="1">
      <c r="A992" s="217"/>
      <c r="E992" s="187"/>
      <c r="F992" s="230"/>
      <c r="G992" s="202">
        <f>(G991/G993)-1</f>
        <v>6.8892778600601501E-2</v>
      </c>
      <c r="H992" s="203">
        <f>(H991/H993)-1</f>
        <v>0.27590591226954864</v>
      </c>
      <c r="I992" s="203">
        <f>(I991/I993)-1</f>
        <v>0.42933462846041759</v>
      </c>
      <c r="J992" s="203">
        <f>(J991/J993)-1</f>
        <v>0.94876783398184172</v>
      </c>
      <c r="K992" s="197"/>
      <c r="L992" s="188"/>
      <c r="M992" s="177"/>
      <c r="N992" s="178"/>
      <c r="O992" s="177"/>
      <c r="P992" s="188"/>
      <c r="Q992" s="177"/>
      <c r="R992" s="195"/>
      <c r="S992" s="178"/>
      <c r="T992" s="180"/>
      <c r="U992" s="189" t="str">
        <f>IFERROR(IF(Tableau3[[#This Row],[Dettes]]=0,"",(Tableau3[[#This Row],[Dettes]]/Tableau3[[#This Row],[EBE]])),"")</f>
        <v/>
      </c>
      <c r="V992" s="190" t="str">
        <f>IFERROR(Tableau3[[#This Row],[Fonds propres]]/Tableau3[[#This Row],[Total Bilan]],"")</f>
        <v/>
      </c>
      <c r="W992" s="180"/>
      <c r="Y992" s="180"/>
      <c r="Z992" s="192" t="str">
        <f>IFERROR(Tableau3[[#This Row],[Chiffre d''affaires]]/Tableau3[[#This Row],[Salariés]],"")</f>
        <v/>
      </c>
      <c r="AA992" s="177"/>
      <c r="AC992" s="177" t="s">
        <v>688</v>
      </c>
    </row>
    <row r="993" spans="1:29" ht="20.25" customHeight="1">
      <c r="A993" s="217"/>
      <c r="E993" s="187">
        <v>42</v>
      </c>
      <c r="F993" s="230">
        <v>2018</v>
      </c>
      <c r="G993" s="188">
        <v>2228100000</v>
      </c>
      <c r="H993" s="188">
        <v>471900000</v>
      </c>
      <c r="I993" s="188">
        <v>205900000</v>
      </c>
      <c r="J993" s="188">
        <v>154200000</v>
      </c>
      <c r="K993" s="188">
        <v>35000000</v>
      </c>
      <c r="L993" s="188">
        <v>3599200000</v>
      </c>
      <c r="M993" s="194">
        <f>L993/P993</f>
        <v>19.715702117170167</v>
      </c>
      <c r="N993" s="190">
        <f>J993/L993</f>
        <v>4.2842853967548347E-2</v>
      </c>
      <c r="O993" s="190">
        <f>(I993*0.64)/(K993+(M993*P993))</f>
        <v>3.6259974684937538E-2</v>
      </c>
      <c r="P993" s="188">
        <v>182555000</v>
      </c>
      <c r="Q993" s="231">
        <f>P993*E993</f>
        <v>7667310000</v>
      </c>
      <c r="R993" s="195">
        <f>Q993/L993</f>
        <v>2.1302817292731717</v>
      </c>
      <c r="S993" s="197">
        <f>(Q993+K993)/H993</f>
        <v>16.321911421911423</v>
      </c>
      <c r="T993" s="180"/>
      <c r="U993" s="189">
        <f>IFERROR(IF(Tableau3[[#This Row],[Dettes]]=0,"",(Tableau3[[#This Row],[Dettes]]/Tableau3[[#This Row],[EBE]])),"")</f>
        <v>7.4168255986437809E-2</v>
      </c>
      <c r="V993" s="190" t="str">
        <f>IFERROR(Tableau3[[#This Row],[Fonds propres]]/Tableau3[[#This Row],[Total Bilan]],"")</f>
        <v/>
      </c>
      <c r="W993" s="180"/>
      <c r="X993" s="191"/>
      <c r="Y993" s="180"/>
      <c r="Z993" s="192" t="str">
        <f>IFERROR(Tableau3[[#This Row],[Chiffre d''affaires]]/Tableau3[[#This Row],[Salariés]],"")</f>
        <v/>
      </c>
      <c r="AA993" s="197"/>
      <c r="AB993" s="197"/>
      <c r="AC993" s="177" t="s">
        <v>689</v>
      </c>
    </row>
    <row r="994" spans="1:29" ht="20.25" customHeight="1">
      <c r="A994" s="217"/>
      <c r="E994" s="187"/>
      <c r="F994" s="230"/>
      <c r="G994" s="202">
        <f>(G993/G995)-1</f>
        <v>0.43526153053336758</v>
      </c>
      <c r="H994" s="203">
        <f>(H993/H995)-1</f>
        <v>0.40865671641791046</v>
      </c>
      <c r="I994" s="203">
        <f>(I993/I995)-1</f>
        <v>0.10997304582210243</v>
      </c>
      <c r="J994" s="203">
        <f>(J993/J995)-1</f>
        <v>0.15592203898050983</v>
      </c>
      <c r="K994" s="197"/>
      <c r="L994" s="188"/>
      <c r="M994" s="177"/>
      <c r="N994" s="178"/>
      <c r="O994" s="177"/>
      <c r="P994" s="188"/>
      <c r="Q994" s="177"/>
      <c r="R994" s="195"/>
      <c r="S994" s="178"/>
      <c r="T994" s="180"/>
      <c r="U994" s="189" t="str">
        <f>IFERROR(IF(Tableau3[[#This Row],[Dettes]]=0,"",(Tableau3[[#This Row],[Dettes]]/Tableau3[[#This Row],[EBE]])),"")</f>
        <v/>
      </c>
      <c r="V994" s="190" t="str">
        <f>IFERROR(Tableau3[[#This Row],[Fonds propres]]/Tableau3[[#This Row],[Total Bilan]],"")</f>
        <v/>
      </c>
      <c r="W994" s="180"/>
      <c r="Y994" s="180"/>
      <c r="Z994" s="192" t="str">
        <f>IFERROR(Tableau3[[#This Row],[Chiffre d''affaires]]/Tableau3[[#This Row],[Salariés]],"")</f>
        <v/>
      </c>
      <c r="AA994" s="177"/>
      <c r="AC994" s="177" t="s">
        <v>690</v>
      </c>
    </row>
    <row r="995" spans="1:29" ht="20.25" customHeight="1">
      <c r="A995" s="217"/>
      <c r="E995" s="187">
        <v>42.4</v>
      </c>
      <c r="F995" s="230">
        <v>2017</v>
      </c>
      <c r="G995" s="188">
        <v>1552400000</v>
      </c>
      <c r="H995" s="188">
        <v>335000000</v>
      </c>
      <c r="I995" s="188">
        <v>185500000</v>
      </c>
      <c r="J995" s="188">
        <v>133400000</v>
      </c>
      <c r="K995" s="188">
        <v>-309100000</v>
      </c>
      <c r="L995" s="188">
        <v>1251400000</v>
      </c>
      <c r="M995" s="194">
        <f>L995/P995</f>
        <v>9.4161731841473593</v>
      </c>
      <c r="N995" s="190">
        <f>J995/L995</f>
        <v>0.10660060731980182</v>
      </c>
      <c r="O995" s="190">
        <f>(I995*0.64)/(K995+(M995*P995))</f>
        <v>0.12598959991510134</v>
      </c>
      <c r="P995" s="188">
        <v>132899000</v>
      </c>
      <c r="Q995" s="231">
        <f>P995*E995</f>
        <v>5634917600</v>
      </c>
      <c r="R995" s="195">
        <f>Q995/L995</f>
        <v>4.5028908422566722</v>
      </c>
      <c r="S995" s="197">
        <f>(Q995+K995)/H995</f>
        <v>15.897962985074626</v>
      </c>
      <c r="T995" s="180"/>
      <c r="U995" s="189">
        <f>IFERROR(IF(Tableau3[[#This Row],[Dettes]]=0,"",(Tableau3[[#This Row],[Dettes]]/Tableau3[[#This Row],[EBE]])),"")</f>
        <v>-0.92268656716417907</v>
      </c>
      <c r="V995" s="190" t="str">
        <f>IFERROR(Tableau3[[#This Row],[Fonds propres]]/Tableau3[[#This Row],[Total Bilan]],"")</f>
        <v/>
      </c>
      <c r="W995" s="180"/>
      <c r="X995" s="191"/>
      <c r="Y995" s="180"/>
      <c r="Z995" s="192" t="str">
        <f>IFERROR(Tableau3[[#This Row],[Chiffre d''affaires]]/Tableau3[[#This Row],[Salariés]],"")</f>
        <v/>
      </c>
      <c r="AA995" s="197"/>
      <c r="AB995" s="197"/>
      <c r="AC995" s="177" t="s">
        <v>691</v>
      </c>
    </row>
    <row r="996" spans="1:29" ht="20.25" customHeight="1">
      <c r="A996" s="217"/>
      <c r="E996" s="187"/>
      <c r="F996" s="230"/>
      <c r="G996" s="202">
        <f>(G995/G997)-1</f>
        <v>0.1859434682964094</v>
      </c>
      <c r="H996" s="203">
        <f>(H995/H997)-1</f>
        <v>0.29343629343629352</v>
      </c>
      <c r="I996" s="203"/>
      <c r="J996" s="203"/>
      <c r="K996" s="197"/>
      <c r="L996" s="188"/>
      <c r="M996" s="177"/>
      <c r="N996" s="178"/>
      <c r="O996" s="177"/>
      <c r="P996" s="188"/>
      <c r="Q996" s="177"/>
      <c r="R996" s="195"/>
      <c r="S996" s="178"/>
      <c r="T996" s="180"/>
      <c r="U996" s="189" t="str">
        <f>IFERROR(IF(Tableau3[[#This Row],[Dettes]]=0,"",(Tableau3[[#This Row],[Dettes]]/Tableau3[[#This Row],[EBE]])),"")</f>
        <v/>
      </c>
      <c r="V996" s="190" t="str">
        <f>IFERROR(Tableau3[[#This Row],[Fonds propres]]/Tableau3[[#This Row],[Total Bilan]],"")</f>
        <v/>
      </c>
      <c r="W996" s="180"/>
      <c r="Y996" s="180"/>
      <c r="Z996" s="192" t="str">
        <f>IFERROR(Tableau3[[#This Row],[Chiffre d''affaires]]/Tableau3[[#This Row],[Salariés]],"")</f>
        <v/>
      </c>
      <c r="AA996" s="177"/>
      <c r="AC996" s="177" t="s">
        <v>692</v>
      </c>
    </row>
    <row r="997" spans="1:29" ht="20.25" customHeight="1">
      <c r="A997" s="217"/>
      <c r="E997" s="187">
        <v>25.8</v>
      </c>
      <c r="F997" s="230">
        <v>2016</v>
      </c>
      <c r="G997" s="188">
        <v>1309000000</v>
      </c>
      <c r="H997" s="188">
        <v>259000000</v>
      </c>
      <c r="I997" s="188"/>
      <c r="J997" s="188"/>
      <c r="K997" s="197"/>
      <c r="L997" s="188">
        <v>1131100000</v>
      </c>
      <c r="M997" s="194">
        <f>L997/P997</f>
        <v>8.5464725305447047</v>
      </c>
      <c r="N997" s="190">
        <f>J997/L997</f>
        <v>0</v>
      </c>
      <c r="O997" s="190">
        <f>(I997*0.64)/(K997+(M997*P997))</f>
        <v>0</v>
      </c>
      <c r="P997" s="188">
        <v>132347000</v>
      </c>
      <c r="Q997" s="231">
        <f>P997*E997</f>
        <v>3414552600</v>
      </c>
      <c r="R997" s="195">
        <f>Q997/L997</f>
        <v>3.0187893201308462</v>
      </c>
      <c r="S997" s="197">
        <f>(Q997+K997)/H997</f>
        <v>13.183600772200773</v>
      </c>
      <c r="T997" s="180"/>
      <c r="U997" s="189" t="str">
        <f>IFERROR(IF(Tableau3[[#This Row],[Dettes]]=0,"",(Tableau3[[#This Row],[Dettes]]/Tableau3[[#This Row],[EBE]])),"")</f>
        <v/>
      </c>
      <c r="V997" s="190" t="str">
        <f>IFERROR(Tableau3[[#This Row],[Fonds propres]]/Tableau3[[#This Row],[Total Bilan]],"")</f>
        <v/>
      </c>
      <c r="W997" s="180"/>
      <c r="Y997" s="180"/>
      <c r="Z997" s="192" t="str">
        <f>IFERROR(Tableau3[[#This Row],[Chiffre d''affaires]]/Tableau3[[#This Row],[Salariés]],"")</f>
        <v/>
      </c>
      <c r="AA997" s="177"/>
      <c r="AC997" s="177" t="s">
        <v>693</v>
      </c>
    </row>
    <row r="998" spans="1:29" ht="20.25" customHeight="1">
      <c r="A998" s="217"/>
      <c r="E998" s="187"/>
      <c r="F998" s="230"/>
      <c r="G998" s="188"/>
      <c r="H998" s="188"/>
      <c r="I998" s="188"/>
      <c r="J998" s="188"/>
      <c r="K998" s="197"/>
      <c r="L998" s="188"/>
      <c r="M998" s="177"/>
      <c r="N998" s="178"/>
      <c r="O998" s="177"/>
      <c r="P998" s="188"/>
      <c r="Q998" s="231"/>
      <c r="R998" s="195"/>
      <c r="S998" s="178"/>
      <c r="T998" s="180"/>
      <c r="U998" s="189" t="str">
        <f>IFERROR(IF(Tableau3[[#This Row],[Dettes]]=0,"",(Tableau3[[#This Row],[Dettes]]/Tableau3[[#This Row],[EBE]])),"")</f>
        <v/>
      </c>
      <c r="V998" s="190" t="str">
        <f>IFERROR(Tableau3[[#This Row],[Fonds propres]]/Tableau3[[#This Row],[Total Bilan]],"")</f>
        <v/>
      </c>
      <c r="W998" s="180"/>
      <c r="X998" s="191"/>
      <c r="Y998" s="180"/>
      <c r="Z998" s="192" t="str">
        <f>IFERROR(Tableau3[[#This Row],[Chiffre d''affaires]]/Tableau3[[#This Row],[Salariés]],"")</f>
        <v/>
      </c>
      <c r="AA998" s="197"/>
      <c r="AB998" s="197"/>
      <c r="AC998" s="177" t="s">
        <v>694</v>
      </c>
    </row>
    <row r="999" spans="1:29" ht="20.25" customHeight="1">
      <c r="A999" s="217"/>
      <c r="E999" s="187">
        <v>23.96</v>
      </c>
      <c r="F999" s="230">
        <v>2015</v>
      </c>
      <c r="G999" s="188">
        <v>1227000000</v>
      </c>
      <c r="H999" s="188">
        <v>235000000</v>
      </c>
      <c r="I999" s="188"/>
      <c r="J999" s="188"/>
      <c r="K999" s="197"/>
      <c r="L999" s="188"/>
      <c r="M999" s="177"/>
      <c r="N999" s="178"/>
      <c r="O999" s="177"/>
      <c r="P999" s="188"/>
      <c r="Q999" s="231"/>
      <c r="R999" s="195"/>
      <c r="S999" s="178"/>
      <c r="T999" s="180"/>
      <c r="U999" s="189" t="str">
        <f>IFERROR(IF(Tableau3[[#This Row],[Dettes]]=0,"",(Tableau3[[#This Row],[Dettes]]/Tableau3[[#This Row],[EBE]])),"")</f>
        <v/>
      </c>
      <c r="V999" s="190" t="str">
        <f>IFERROR(Tableau3[[#This Row],[Fonds propres]]/Tableau3[[#This Row],[Total Bilan]],"")</f>
        <v/>
      </c>
      <c r="W999" s="180"/>
      <c r="X999" s="191"/>
      <c r="Y999" s="180"/>
      <c r="Z999" s="192" t="str">
        <f>IFERROR(Tableau3[[#This Row],[Chiffre d''affaires]]/Tableau3[[#This Row],[Salariés]],"")</f>
        <v/>
      </c>
      <c r="AA999" s="197"/>
      <c r="AB999" s="197"/>
    </row>
    <row r="1000" spans="1:29" ht="20.25" customHeight="1">
      <c r="A1000" s="217"/>
      <c r="E1000" s="187"/>
      <c r="G1000" s="188"/>
      <c r="H1000" s="188"/>
      <c r="I1000" s="188"/>
      <c r="J1000" s="188"/>
      <c r="K1000" s="188"/>
      <c r="L1000" s="188"/>
      <c r="M1000" s="208"/>
      <c r="N1000" s="190"/>
      <c r="O1000" s="190"/>
      <c r="P1000" s="188"/>
      <c r="Q1000" s="188"/>
      <c r="R1000" s="195"/>
      <c r="S1000" s="197"/>
      <c r="T1000" s="180"/>
      <c r="U1000" s="189" t="str">
        <f>IFERROR(IF(Tableau3[[#This Row],[Dettes]]=0,"",(Tableau3[[#This Row],[Dettes]]/Tableau3[[#This Row],[EBE]])),"")</f>
        <v/>
      </c>
      <c r="V1000" s="190" t="str">
        <f>IFERROR(Tableau3[[#This Row],[Fonds propres]]/Tableau3[[#This Row],[Total Bilan]],"")</f>
        <v/>
      </c>
      <c r="W1000" s="180"/>
      <c r="X1000" s="191"/>
      <c r="Y1000" s="180"/>
      <c r="Z1000" s="192" t="str">
        <f>IFERROR(Tableau3[[#This Row],[Chiffre d''affaires]]/Tableau3[[#This Row],[Salariés]],"")</f>
        <v/>
      </c>
      <c r="AA1000" s="197"/>
      <c r="AB1000" s="197"/>
    </row>
    <row r="1001" spans="1:29" ht="20.25" customHeight="1">
      <c r="A1001" s="217"/>
      <c r="E1001" s="187">
        <v>16</v>
      </c>
      <c r="F1001" s="178">
        <v>2014</v>
      </c>
      <c r="G1001" s="188">
        <v>1149000000</v>
      </c>
      <c r="H1001" s="188">
        <v>215000000</v>
      </c>
      <c r="I1001" s="188"/>
      <c r="J1001" s="188"/>
      <c r="K1001" s="188"/>
      <c r="L1001" s="188"/>
      <c r="M1001" s="208"/>
      <c r="N1001" s="190"/>
      <c r="O1001" s="190"/>
      <c r="P1001" s="188"/>
      <c r="Q1001" s="188"/>
      <c r="R1001" s="195"/>
      <c r="S1001" s="197"/>
      <c r="T1001" s="180"/>
      <c r="U1001" s="189" t="str">
        <f>IFERROR(IF(Tableau3[[#This Row],[Dettes]]=0,"",(Tableau3[[#This Row],[Dettes]]/Tableau3[[#This Row],[EBE]])),"")</f>
        <v/>
      </c>
      <c r="V1001" s="190" t="str">
        <f>IFERROR(Tableau3[[#This Row],[Fonds propres]]/Tableau3[[#This Row],[Total Bilan]],"")</f>
        <v/>
      </c>
      <c r="W1001" s="180"/>
      <c r="Y1001" s="180"/>
      <c r="Z1001" s="192" t="str">
        <f>IFERROR(Tableau3[[#This Row],[Chiffre d''affaires]]/Tableau3[[#This Row],[Salariés]],"")</f>
        <v/>
      </c>
      <c r="AA1001" s="177"/>
    </row>
    <row r="1002" spans="1:29" ht="20.25" customHeight="1">
      <c r="A1002" s="217"/>
      <c r="E1002" s="187"/>
      <c r="G1002" s="188"/>
      <c r="H1002" s="188"/>
      <c r="I1002" s="188"/>
      <c r="J1002" s="188"/>
      <c r="K1002" s="188"/>
      <c r="L1002" s="188"/>
      <c r="M1002" s="208"/>
      <c r="N1002" s="190"/>
      <c r="O1002" s="190"/>
      <c r="P1002" s="188"/>
      <c r="Q1002" s="188"/>
      <c r="R1002" s="195"/>
      <c r="S1002" s="197"/>
      <c r="T1002" s="180"/>
      <c r="U1002" s="189" t="str">
        <f>IFERROR(IF(Tableau3[[#This Row],[Dettes]]=0,"",(Tableau3[[#This Row],[Dettes]]/Tableau3[[#This Row],[EBE]])),"")</f>
        <v/>
      </c>
      <c r="V1002" s="190" t="str">
        <f>IFERROR(Tableau3[[#This Row],[Fonds propres]]/Tableau3[[#This Row],[Total Bilan]],"")</f>
        <v/>
      </c>
      <c r="W1002" s="180"/>
      <c r="Y1002" s="180"/>
      <c r="Z1002" s="192" t="str">
        <f>IFERROR(Tableau3[[#This Row],[Chiffre d''affaires]]/Tableau3[[#This Row],[Salariés]],"")</f>
        <v/>
      </c>
      <c r="AA1002" s="177"/>
    </row>
    <row r="1003" spans="1:29" ht="20.25" customHeight="1">
      <c r="A1003" s="217"/>
      <c r="F1003" s="217" t="s">
        <v>695</v>
      </c>
      <c r="G1003" s="188"/>
      <c r="H1003" s="188"/>
      <c r="I1003" s="188"/>
      <c r="J1003" s="188"/>
      <c r="K1003" s="188"/>
      <c r="L1003" s="188"/>
      <c r="M1003" s="208"/>
      <c r="N1003" s="190"/>
      <c r="O1003" s="190"/>
      <c r="P1003" s="188"/>
      <c r="Q1003" s="188"/>
      <c r="R1003" s="195"/>
      <c r="S1003" s="197"/>
      <c r="T1003" s="180"/>
      <c r="U1003" s="189" t="str">
        <f>IFERROR(IF(Tableau3[[#This Row],[Dettes]]=0,"",(Tableau3[[#This Row],[Dettes]]/Tableau3[[#This Row],[EBE]])),"")</f>
        <v/>
      </c>
      <c r="V1003" s="190" t="str">
        <f>IFERROR(Tableau3[[#This Row],[Fonds propres]]/Tableau3[[#This Row],[Total Bilan]],"")</f>
        <v/>
      </c>
      <c r="W1003" s="180"/>
      <c r="X1003" s="191"/>
      <c r="Y1003" s="180"/>
      <c r="Z1003" s="192" t="str">
        <f>IFERROR(Tableau3[[#This Row],[Chiffre d''affaires]]/Tableau3[[#This Row],[Salariés]],"")</f>
        <v/>
      </c>
      <c r="AA1003" s="197"/>
      <c r="AB1003" s="197"/>
    </row>
    <row r="1004" spans="1:29" ht="20.25" customHeight="1">
      <c r="A1004" s="217"/>
      <c r="E1004" s="187"/>
      <c r="G1004" s="188"/>
      <c r="H1004" s="188"/>
      <c r="I1004" s="188"/>
      <c r="J1004" s="188"/>
      <c r="K1004" s="188"/>
      <c r="L1004" s="188"/>
      <c r="M1004" s="208"/>
      <c r="N1004" s="190"/>
      <c r="O1004" s="190"/>
      <c r="P1004" s="188"/>
      <c r="Q1004" s="188"/>
      <c r="R1004" s="195"/>
      <c r="S1004" s="197"/>
      <c r="T1004" s="180"/>
      <c r="U1004" s="189" t="str">
        <f>IFERROR(IF(Tableau3[[#This Row],[Dettes]]=0,"",(Tableau3[[#This Row],[Dettes]]/Tableau3[[#This Row],[EBE]])),"")</f>
        <v/>
      </c>
      <c r="V1004" s="190" t="str">
        <f>IFERROR(Tableau3[[#This Row],[Fonds propres]]/Tableau3[[#This Row],[Total Bilan]],"")</f>
        <v/>
      </c>
      <c r="W1004" s="180"/>
      <c r="X1004" s="191"/>
      <c r="Y1004" s="180"/>
      <c r="Z1004" s="192" t="str">
        <f>IFERROR(Tableau3[[#This Row],[Chiffre d''affaires]]/Tableau3[[#This Row],[Salariés]],"")</f>
        <v/>
      </c>
      <c r="AA1004" s="197"/>
      <c r="AB1004" s="197"/>
    </row>
    <row r="1005" spans="1:29" ht="20.25" customHeight="1">
      <c r="A1005" s="217"/>
      <c r="E1005" s="187"/>
      <c r="G1005" s="188"/>
      <c r="H1005" s="188"/>
      <c r="I1005" s="188"/>
      <c r="J1005" s="188"/>
      <c r="K1005" s="188"/>
      <c r="L1005" s="188"/>
      <c r="M1005" s="208"/>
      <c r="N1005" s="190"/>
      <c r="O1005" s="190"/>
      <c r="P1005" s="188"/>
      <c r="Q1005" s="188"/>
      <c r="R1005" s="195"/>
      <c r="S1005" s="197"/>
      <c r="T1005" s="180"/>
      <c r="U1005" s="189" t="str">
        <f>IFERROR(IF(Tableau3[[#This Row],[Dettes]]=0,"",(Tableau3[[#This Row],[Dettes]]/Tableau3[[#This Row],[EBE]])),"")</f>
        <v/>
      </c>
      <c r="V1005" s="190" t="str">
        <f>IFERROR(Tableau3[[#This Row],[Fonds propres]]/Tableau3[[#This Row],[Total Bilan]],"")</f>
        <v/>
      </c>
      <c r="W1005" s="180"/>
      <c r="X1005" s="191"/>
      <c r="Y1005" s="180"/>
      <c r="Z1005" s="192" t="str">
        <f>IFERROR(Tableau3[[#This Row],[Chiffre d''affaires]]/Tableau3[[#This Row],[Salariés]],"")</f>
        <v/>
      </c>
      <c r="AA1005" s="197"/>
      <c r="AB1005" s="197"/>
    </row>
    <row r="1006" spans="1:29" ht="20.25" customHeight="1">
      <c r="A1006" s="217"/>
      <c r="E1006" s="187"/>
      <c r="G1006" s="188"/>
      <c r="H1006" s="188"/>
      <c r="I1006" s="188"/>
      <c r="J1006" s="188"/>
      <c r="K1006" s="188"/>
      <c r="L1006" s="188"/>
      <c r="M1006" s="208"/>
      <c r="N1006" s="190"/>
      <c r="O1006" s="190"/>
      <c r="P1006" s="188"/>
      <c r="Q1006" s="188"/>
      <c r="R1006" s="195"/>
      <c r="S1006" s="197"/>
      <c r="T1006" s="180"/>
      <c r="U1006" s="189" t="str">
        <f>IFERROR(IF(Tableau3[[#This Row],[Dettes]]=0,"",(Tableau3[[#This Row],[Dettes]]/Tableau3[[#This Row],[EBE]])),"")</f>
        <v/>
      </c>
      <c r="V1006" s="190" t="str">
        <f>IFERROR(Tableau3[[#This Row],[Fonds propres]]/Tableau3[[#This Row],[Total Bilan]],"")</f>
        <v/>
      </c>
      <c r="W1006" s="180"/>
      <c r="X1006" s="191"/>
      <c r="Y1006" s="180"/>
      <c r="Z1006" s="192" t="str">
        <f>IFERROR(Tableau3[[#This Row],[Chiffre d''affaires]]/Tableau3[[#This Row],[Salariés]],"")</f>
        <v/>
      </c>
      <c r="AA1006" s="197"/>
      <c r="AB1006" s="197"/>
    </row>
    <row r="1007" spans="1:29" ht="20.25" customHeight="1">
      <c r="A1007" s="217" t="s">
        <v>696</v>
      </c>
      <c r="B1007" s="216" t="s">
        <v>670</v>
      </c>
      <c r="C1007" s="178" t="s">
        <v>427</v>
      </c>
      <c r="D1007" s="178" t="s">
        <v>85</v>
      </c>
      <c r="E1007" s="187"/>
      <c r="F1007" s="178">
        <v>2025</v>
      </c>
      <c r="G1007" s="188"/>
      <c r="H1007" s="188"/>
      <c r="I1007" s="188"/>
      <c r="J1007" s="188"/>
      <c r="K1007" s="188"/>
      <c r="L1007" s="188"/>
      <c r="M1007" s="208"/>
      <c r="N1007" s="190"/>
      <c r="O1007" s="190"/>
      <c r="P1007" s="188"/>
      <c r="Q1007" s="188"/>
      <c r="R1007" s="195"/>
      <c r="S1007" s="197"/>
      <c r="T1007" s="180"/>
      <c r="U1007" s="189" t="str">
        <f>IFERROR(IF(Tableau3[[#This Row],[Dettes]]=0,"",(Tableau3[[#This Row],[Dettes]]/Tableau3[[#This Row],[EBE]])),"")</f>
        <v/>
      </c>
      <c r="V1007" s="190" t="str">
        <f>IFERROR(Tableau3[[#This Row],[Fonds propres]]/Tableau3[[#This Row],[Total Bilan]],"")</f>
        <v/>
      </c>
      <c r="W1007" s="180"/>
      <c r="X1007" s="191"/>
      <c r="Y1007" s="180"/>
      <c r="Z1007" s="192" t="str">
        <f>IFERROR(Tableau3[[#This Row],[Chiffre d''affaires]]/Tableau3[[#This Row],[Salariés]],"")</f>
        <v/>
      </c>
      <c r="AA1007" s="197"/>
      <c r="AB1007" s="197"/>
      <c r="AC1007" s="177" t="s">
        <v>697</v>
      </c>
    </row>
    <row r="1008" spans="1:29" ht="20.25" customHeight="1">
      <c r="A1008" s="217"/>
      <c r="E1008" s="187"/>
      <c r="G1008" s="188"/>
      <c r="H1008" s="188"/>
      <c r="I1008" s="188"/>
      <c r="J1008" s="188"/>
      <c r="K1008" s="188"/>
      <c r="L1008" s="188"/>
      <c r="M1008" s="208"/>
      <c r="N1008" s="190"/>
      <c r="O1008" s="190"/>
      <c r="P1008" s="188"/>
      <c r="Q1008" s="188"/>
      <c r="R1008" s="195"/>
      <c r="S1008" s="197"/>
      <c r="T1008" s="180"/>
      <c r="U1008" s="189" t="str">
        <f>IFERROR(IF(Tableau3[[#This Row],[Dettes]]=0,"",(Tableau3[[#This Row],[Dettes]]/Tableau3[[#This Row],[EBE]])),"")</f>
        <v/>
      </c>
      <c r="V1008" s="190" t="str">
        <f>IFERROR(Tableau3[[#This Row],[Fonds propres]]/Tableau3[[#This Row],[Total Bilan]],"")</f>
        <v/>
      </c>
      <c r="W1008" s="180"/>
      <c r="X1008" s="191"/>
      <c r="Y1008" s="180"/>
      <c r="Z1008" s="192" t="str">
        <f>IFERROR(Tableau3[[#This Row],[Chiffre d''affaires]]/Tableau3[[#This Row],[Salariés]],"")</f>
        <v/>
      </c>
      <c r="AA1008" s="197"/>
      <c r="AB1008" s="197"/>
      <c r="AC1008" s="177" t="s">
        <v>699</v>
      </c>
    </row>
    <row r="1009" spans="1:29" ht="20.25" customHeight="1">
      <c r="A1009" s="217"/>
      <c r="E1009" s="233">
        <v>1437</v>
      </c>
      <c r="F1009" s="178">
        <v>2024</v>
      </c>
      <c r="G1009" s="188">
        <v>1940000000</v>
      </c>
      <c r="H1009" s="188">
        <v>850000000</v>
      </c>
      <c r="I1009" s="188">
        <v>1000000000</v>
      </c>
      <c r="J1009" s="188">
        <v>800000000</v>
      </c>
      <c r="K1009" s="188"/>
      <c r="L1009" s="188">
        <v>3575777000</v>
      </c>
      <c r="M1009" s="194">
        <f>L1009/P1009</f>
        <v>115.13760445782906</v>
      </c>
      <c r="N1009" s="190">
        <f>J1009/L1011</f>
        <v>0.25389837146410815</v>
      </c>
      <c r="O1009" s="190">
        <f>(I1009*0.81)/(K1011+L1011)</f>
        <v>0.25707210110740947</v>
      </c>
      <c r="P1009" s="188">
        <v>31056552</v>
      </c>
      <c r="Q1009" s="231">
        <f>P1009*E1009</f>
        <v>44628265224</v>
      </c>
      <c r="R1009" s="195">
        <f>Q1009/L1009</f>
        <v>12.480718239420412</v>
      </c>
      <c r="S1009" s="197">
        <f>(Q1009+K1009)/H1009</f>
        <v>52.503841440000002</v>
      </c>
      <c r="T1009" s="180"/>
      <c r="U1009" s="189" t="str">
        <f>IFERROR(IF(Tableau3[[#This Row],[Dettes]]=0,"",(Tableau3[[#This Row],[Dettes]]/Tableau3[[#This Row],[EBE]])),"")</f>
        <v/>
      </c>
      <c r="V1009" s="190">
        <f>IFERROR(Tableau3[[#This Row],[Fonds propres]]/Tableau3[[#This Row],[Total Bilan]],"")</f>
        <v>0.35474020405579848</v>
      </c>
      <c r="W1009" s="180">
        <v>10079988000</v>
      </c>
      <c r="X1009" s="191"/>
      <c r="Y1009" s="180">
        <v>4233</v>
      </c>
      <c r="Z1009" s="192">
        <f>IFERROR(Tableau3[[#This Row],[Chiffre d''affaires]]/Tableau3[[#This Row],[Salariés]],"")</f>
        <v>458303.80344909045</v>
      </c>
      <c r="AA1009" s="197"/>
      <c r="AB1009" s="197"/>
      <c r="AC1009" s="177" t="s">
        <v>700</v>
      </c>
    </row>
    <row r="1010" spans="1:29" ht="20.25" customHeight="1">
      <c r="A1010" s="217"/>
      <c r="E1010" s="232"/>
      <c r="G1010" s="202">
        <f>(G1009/G1011)-1</f>
        <v>0.19303855851423646</v>
      </c>
      <c r="H1010" s="203">
        <f>(H1009/H1011)-1</f>
        <v>0.14401076716016159</v>
      </c>
      <c r="I1010" s="203"/>
      <c r="J1010" s="203">
        <f>(J1009/J1011)-1</f>
        <v>0.14560331766720802</v>
      </c>
      <c r="K1010" s="188"/>
      <c r="L1010" s="188"/>
      <c r="M1010" s="208"/>
      <c r="N1010" s="190"/>
      <c r="O1010" s="190"/>
      <c r="P1010" s="188"/>
      <c r="Q1010" s="188"/>
      <c r="R1010" s="195"/>
      <c r="S1010" s="197"/>
      <c r="T1010" s="180"/>
      <c r="U1010" s="189" t="str">
        <f>IFERROR(IF(Tableau3[[#This Row],[Dettes]]=0,"",(Tableau3[[#This Row],[Dettes]]/Tableau3[[#This Row],[EBE]])),"")</f>
        <v/>
      </c>
      <c r="V1010" s="190" t="str">
        <f>IFERROR(Tableau3[[#This Row],[Fonds propres]]/Tableau3[[#This Row],[Total Bilan]],"")</f>
        <v/>
      </c>
      <c r="W1010" s="180"/>
      <c r="X1010" s="191"/>
      <c r="Y1010" s="180"/>
      <c r="Z1010" s="192" t="str">
        <f>IFERROR(Tableau3[[#This Row],[Chiffre d''affaires]]/Tableau3[[#This Row],[Salariés]],"")</f>
        <v/>
      </c>
      <c r="AA1010" s="197"/>
      <c r="AB1010" s="197"/>
      <c r="AC1010" s="177" t="s">
        <v>701</v>
      </c>
    </row>
    <row r="1011" spans="1:29" ht="20.25" customHeight="1">
      <c r="A1011" s="217"/>
      <c r="E1011" s="233">
        <v>1166.5999999999999</v>
      </c>
      <c r="F1011" s="178">
        <v>2023</v>
      </c>
      <c r="G1011" s="188">
        <v>1626100000</v>
      </c>
      <c r="H1011" s="188">
        <v>743000000</v>
      </c>
      <c r="I1011" s="188">
        <v>657582000</v>
      </c>
      <c r="J1011" s="188">
        <v>698322000</v>
      </c>
      <c r="K1011" s="188"/>
      <c r="L1011" s="188">
        <v>3150867000</v>
      </c>
      <c r="M1011" s="194">
        <f>L1011/P1011</f>
        <v>101.53246704534622</v>
      </c>
      <c r="N1011" s="190">
        <f>J1011/L1013</f>
        <v>0.28903386345349613</v>
      </c>
      <c r="O1011" s="190">
        <f>(I1011*0.81)/(K1013+L1013)</f>
        <v>0.22045905392921358</v>
      </c>
      <c r="P1011" s="188">
        <v>31033098</v>
      </c>
      <c r="Q1011" s="231">
        <f>P1011*E1011</f>
        <v>36203212126.799995</v>
      </c>
      <c r="R1011" s="195">
        <f>Q1011/L1011</f>
        <v>11.489920750955212</v>
      </c>
      <c r="S1011" s="197">
        <f>(Q1011+K1011)/H1011</f>
        <v>48.725722916285321</v>
      </c>
      <c r="T1011" s="180"/>
      <c r="U1011" s="189" t="str">
        <f>IFERROR(IF(Tableau3[[#This Row],[Dettes]]=0,"",(Tableau3[[#This Row],[Dettes]]/Tableau3[[#This Row],[EBE]])),"")</f>
        <v/>
      </c>
      <c r="V1011" s="190">
        <f>IFERROR(Tableau3[[#This Row],[Fonds propres]]/Tableau3[[#This Row],[Total Bilan]],"")</f>
        <v>0.32930025393037121</v>
      </c>
      <c r="W1011" s="180">
        <v>9568371000</v>
      </c>
      <c r="X1011" s="191"/>
      <c r="Y1011" s="180">
        <v>4196</v>
      </c>
      <c r="Z1011" s="192">
        <f>IFERROR(Tableau3[[#This Row],[Chiffre d''affaires]]/Tableau3[[#This Row],[Salariés]],"")</f>
        <v>387535.74833174451</v>
      </c>
      <c r="AA1011" s="197"/>
      <c r="AB1011" s="188">
        <v>970000000000</v>
      </c>
      <c r="AC1011" s="177" t="s">
        <v>702</v>
      </c>
    </row>
    <row r="1012" spans="1:29" ht="20.25" customHeight="1">
      <c r="A1012" s="217"/>
      <c r="E1012" s="233"/>
      <c r="G1012" s="202">
        <f>(G1011/G1013)-1</f>
        <v>0.22244775221771151</v>
      </c>
      <c r="H1012" s="203">
        <f>(H1011/H1013)-1</f>
        <v>2.018399011396399E-2</v>
      </c>
      <c r="I1012" s="203"/>
      <c r="J1012" s="203">
        <f>(J1011/J1013)-1</f>
        <v>0.16386999999999996</v>
      </c>
      <c r="K1012" s="188"/>
      <c r="L1012" s="188"/>
      <c r="M1012" s="208"/>
      <c r="N1012" s="190"/>
      <c r="O1012" s="190"/>
      <c r="P1012" s="188"/>
      <c r="Q1012" s="226"/>
      <c r="R1012" s="195"/>
      <c r="S1012" s="197"/>
      <c r="T1012" s="180"/>
      <c r="U1012" s="189" t="str">
        <f>IFERROR(IF(Tableau3[[#This Row],[Dettes]]=0,"",(Tableau3[[#This Row],[Dettes]]/Tableau3[[#This Row],[EBE]])),"")</f>
        <v/>
      </c>
      <c r="V1012" s="190" t="str">
        <f>IFERROR(Tableau3[[#This Row],[Fonds propres]]/Tableau3[[#This Row],[Total Bilan]],"")</f>
        <v/>
      </c>
      <c r="W1012" s="180"/>
      <c r="X1012" s="191"/>
      <c r="Y1012" s="180"/>
      <c r="Z1012" s="192" t="str">
        <f>IFERROR(Tableau3[[#This Row],[Chiffre d''affaires]]/Tableau3[[#This Row],[Salariés]],"")</f>
        <v/>
      </c>
      <c r="AA1012" s="197"/>
      <c r="AB1012" s="188"/>
      <c r="AC1012" s="177" t="s">
        <v>703</v>
      </c>
    </row>
    <row r="1013" spans="1:29" ht="20.25" customHeight="1">
      <c r="A1013" s="217"/>
      <c r="E1013" s="233">
        <v>1288.4000000000001</v>
      </c>
      <c r="F1013" s="178">
        <v>2022</v>
      </c>
      <c r="G1013" s="188">
        <v>1330200000</v>
      </c>
      <c r="H1013" s="188">
        <v>728300000</v>
      </c>
      <c r="I1013" s="188"/>
      <c r="J1013" s="188">
        <v>600000000</v>
      </c>
      <c r="K1013" s="188"/>
      <c r="L1013" s="188">
        <v>2416056000</v>
      </c>
      <c r="M1013" s="194">
        <f>L1013/P1013</f>
        <v>77.982570524820858</v>
      </c>
      <c r="N1013" s="190">
        <f>J1013/L1015</f>
        <v>0.33141590818453681</v>
      </c>
      <c r="O1013" s="190">
        <f>(I1013*0.81)/(K1015+L1015)</f>
        <v>0</v>
      </c>
      <c r="P1013" s="188">
        <v>30982000</v>
      </c>
      <c r="Q1013" s="231">
        <f>P1013*E1013</f>
        <v>39917208800</v>
      </c>
      <c r="R1013" s="195">
        <f>Q1013/L1013</f>
        <v>16.521640558000311</v>
      </c>
      <c r="S1013" s="197">
        <f>(Q1013+K1013)/H1013</f>
        <v>54.808744748043388</v>
      </c>
      <c r="T1013" s="180">
        <v>1932310000</v>
      </c>
      <c r="U1013" s="189" t="str">
        <f>IFERROR(IF(Tableau3[[#This Row],[Dettes]]=0,"",(Tableau3[[#This Row],[Dettes]]/Tableau3[[#This Row],[EBE]])),"")</f>
        <v/>
      </c>
      <c r="V1013" s="190">
        <f>IFERROR(Tableau3[[#This Row],[Fonds propres]]/Tableau3[[#This Row],[Total Bilan]],"")</f>
        <v>0.31706771653543309</v>
      </c>
      <c r="W1013" s="180">
        <v>7620000000</v>
      </c>
      <c r="X1013" s="191"/>
      <c r="Y1013" s="180">
        <v>3332</v>
      </c>
      <c r="Z1013" s="192">
        <f>IFERROR(Tableau3[[#This Row],[Chiffre d''affaires]]/Tableau3[[#This Row],[Salariés]],"")</f>
        <v>399219.68787515006</v>
      </c>
      <c r="AA1013" s="197"/>
      <c r="AB1013" s="188">
        <v>767500000000</v>
      </c>
      <c r="AC1013" s="177" t="s">
        <v>704</v>
      </c>
    </row>
    <row r="1014" spans="1:29" ht="20.25" customHeight="1">
      <c r="A1014" s="217"/>
      <c r="E1014" s="233"/>
      <c r="G1014" s="202">
        <f>(G1013/G1015)-1</f>
        <v>0.32818514313785996</v>
      </c>
      <c r="H1014" s="203">
        <f>(H1013/H1015)-1</f>
        <v>0.15604642598636165</v>
      </c>
      <c r="I1014" s="203"/>
      <c r="J1014" s="203">
        <f>(J1013/J1015)-1</f>
        <v>0.27736488140731552</v>
      </c>
      <c r="K1014" s="188"/>
      <c r="L1014" s="188"/>
      <c r="M1014" s="194"/>
      <c r="N1014" s="190"/>
      <c r="O1014" s="190"/>
      <c r="P1014" s="188"/>
      <c r="Q1014" s="226"/>
      <c r="R1014" s="195"/>
      <c r="S1014" s="197"/>
      <c r="T1014" s="180"/>
      <c r="U1014" s="189" t="str">
        <f>IFERROR(IF(Tableau3[[#This Row],[Dettes]]=0,"",(Tableau3[[#This Row],[Dettes]]/Tableau3[[#This Row],[EBE]])),"")</f>
        <v/>
      </c>
      <c r="V1014" s="190" t="str">
        <f>IFERROR(Tableau3[[#This Row],[Fonds propres]]/Tableau3[[#This Row],[Total Bilan]],"")</f>
        <v/>
      </c>
      <c r="W1014" s="180"/>
      <c r="X1014" s="191"/>
      <c r="Y1014" s="180"/>
      <c r="Z1014" s="192" t="str">
        <f>IFERROR(Tableau3[[#This Row],[Chiffre d''affaires]]/Tableau3[[#This Row],[Salariés]],"")</f>
        <v/>
      </c>
      <c r="AA1014" s="197"/>
      <c r="AB1014" s="188"/>
      <c r="AC1014" s="177" t="s">
        <v>705</v>
      </c>
    </row>
    <row r="1015" spans="1:29" ht="20.25" customHeight="1">
      <c r="A1015" s="217"/>
      <c r="E1015" s="233">
        <v>2311.5</v>
      </c>
      <c r="F1015" s="178">
        <v>2021</v>
      </c>
      <c r="G1015" s="188">
        <v>1001517000</v>
      </c>
      <c r="H1015" s="188">
        <v>629992000</v>
      </c>
      <c r="I1015" s="188">
        <v>594981000</v>
      </c>
      <c r="J1015" s="188">
        <v>469717000</v>
      </c>
      <c r="K1015" s="188"/>
      <c r="L1015" s="188">
        <v>1810414000</v>
      </c>
      <c r="M1015" s="194">
        <f>L1015/P1015</f>
        <v>58.508030895517564</v>
      </c>
      <c r="N1015" s="190">
        <f>J1015/L1017</f>
        <v>0.38560371847432218</v>
      </c>
      <c r="O1015" s="190">
        <f>(I1015*0.81)/(K1017+L1017)</f>
        <v>0.39563349352370103</v>
      </c>
      <c r="P1015" s="188">
        <v>30943000</v>
      </c>
      <c r="Q1015" s="231">
        <f>P1015*E1015</f>
        <v>71524744500</v>
      </c>
      <c r="R1015" s="195">
        <f>Q1015/L1015</f>
        <v>39.507396926890756</v>
      </c>
      <c r="S1015" s="197">
        <f>(Q1015+K1015)/H1015</f>
        <v>113.53278216231317</v>
      </c>
      <c r="T1015" s="180">
        <v>566601000</v>
      </c>
      <c r="U1015" s="189" t="str">
        <f>IFERROR(IF(Tableau3[[#This Row],[Dettes]]=0,"",(Tableau3[[#This Row],[Dettes]]/Tableau3[[#This Row],[EBE]])),"")</f>
        <v/>
      </c>
      <c r="V1015" s="190">
        <f>IFERROR(Tableau3[[#This Row],[Fonds propres]]/Tableau3[[#This Row],[Total Bilan]],"")</f>
        <v>0.31322041522491351</v>
      </c>
      <c r="W1015" s="180">
        <v>5780000000</v>
      </c>
      <c r="X1015" s="191"/>
      <c r="Y1015" s="180">
        <v>2180</v>
      </c>
      <c r="Z1015" s="192">
        <f>IFERROR(Tableau3[[#This Row],[Chiffre d''affaires]]/Tableau3[[#This Row],[Salariés]],"")</f>
        <v>459411.46788990824</v>
      </c>
      <c r="AA1015" s="197"/>
      <c r="AB1015" s="188">
        <v>516000000000</v>
      </c>
      <c r="AC1015" s="177" t="s">
        <v>706</v>
      </c>
    </row>
    <row r="1016" spans="1:29" ht="20.25" customHeight="1">
      <c r="A1016" s="217"/>
      <c r="E1016" s="233"/>
      <c r="G1016" s="202">
        <f>(G1015/G1017)-1</f>
        <v>0.46377813504823151</v>
      </c>
      <c r="H1016" s="203">
        <f>(H1015/H1017)-1</f>
        <v>0.56527529318226999</v>
      </c>
      <c r="I1016" s="203">
        <f>(I1015/I1017)-1</f>
        <v>0.5912284408405164</v>
      </c>
      <c r="J1016" s="203">
        <f>(J1015/J1017)-1</f>
        <v>0.79955099054091838</v>
      </c>
      <c r="K1016" s="188"/>
      <c r="L1016" s="188"/>
      <c r="M1016" s="194"/>
      <c r="N1016" s="190"/>
      <c r="O1016" s="190"/>
      <c r="P1016" s="188"/>
      <c r="Q1016" s="226"/>
      <c r="R1016" s="195"/>
      <c r="S1016" s="197"/>
      <c r="T1016" s="180"/>
      <c r="U1016" s="189" t="str">
        <f>IFERROR(IF(Tableau3[[#This Row],[Dettes]]=0,"",(Tableau3[[#This Row],[Dettes]]/Tableau3[[#This Row],[EBE]])),"")</f>
        <v/>
      </c>
      <c r="V1016" s="190" t="str">
        <f>IFERROR(Tableau3[[#This Row],[Fonds propres]]/Tableau3[[#This Row],[Total Bilan]],"")</f>
        <v/>
      </c>
      <c r="W1016" s="180"/>
      <c r="X1016" s="191"/>
      <c r="Y1016" s="180"/>
      <c r="Z1016" s="192" t="str">
        <f>IFERROR(Tableau3[[#This Row],[Chiffre d''affaires]]/Tableau3[[#This Row],[Salariés]],"")</f>
        <v/>
      </c>
      <c r="AA1016" s="197"/>
      <c r="AB1016" s="188"/>
      <c r="AC1016" s="177" t="s">
        <v>707</v>
      </c>
    </row>
    <row r="1017" spans="1:29" ht="20.25" customHeight="1">
      <c r="A1017" s="217"/>
      <c r="E1017" s="233">
        <v>1905</v>
      </c>
      <c r="F1017" s="178">
        <v>2020</v>
      </c>
      <c r="G1017" s="188">
        <v>684200000</v>
      </c>
      <c r="H1017" s="188">
        <v>402480000</v>
      </c>
      <c r="I1017" s="188">
        <v>373913000</v>
      </c>
      <c r="J1017" s="188">
        <v>261019000</v>
      </c>
      <c r="K1017" s="188"/>
      <c r="L1017" s="188">
        <v>1218134000</v>
      </c>
      <c r="M1017" s="194">
        <f>L1017/P1017</f>
        <v>40.191830539791475</v>
      </c>
      <c r="N1017" s="190">
        <f>J1017/L1019</f>
        <v>0.30060196632351399</v>
      </c>
      <c r="O1017" s="190">
        <f>(I1017*0.81)/(K1019+L1019)</f>
        <v>0.3487990386043871</v>
      </c>
      <c r="P1017" s="188">
        <v>30308000</v>
      </c>
      <c r="Q1017" s="231">
        <f>P1017*E1017</f>
        <v>57736740000</v>
      </c>
      <c r="R1017" s="195">
        <f>Q1017/L1017</f>
        <v>47.397691879546912</v>
      </c>
      <c r="S1017" s="197">
        <f>(Q1017+K1017)/H1017</f>
        <v>143.45244484197971</v>
      </c>
      <c r="T1017" s="180">
        <v>371149000</v>
      </c>
      <c r="U1017" s="189" t="str">
        <f>IFERROR(IF(Tableau3[[#This Row],[Dettes]]=0,"",(Tableau3[[#This Row],[Dettes]]/Tableau3[[#This Row],[EBE]])),"")</f>
        <v/>
      </c>
      <c r="V1017" s="190">
        <f>IFERROR(Tableau3[[#This Row],[Fonds propres]]/Tableau3[[#This Row],[Total Bilan]],"")</f>
        <v>0.29282067307692305</v>
      </c>
      <c r="W1017" s="180">
        <v>4160000000</v>
      </c>
      <c r="X1017" s="191"/>
      <c r="Y1017" s="180">
        <v>1747</v>
      </c>
      <c r="Z1017" s="192">
        <f>IFERROR(Tableau3[[#This Row],[Chiffre d''affaires]]/Tableau3[[#This Row],[Salariés]],"")</f>
        <v>391642.8162564396</v>
      </c>
      <c r="AA1017" s="197"/>
      <c r="AB1017" s="188">
        <v>303600000000</v>
      </c>
      <c r="AC1017" s="177" t="s">
        <v>708</v>
      </c>
    </row>
    <row r="1018" spans="1:29" ht="20.25" customHeight="1">
      <c r="A1018" s="217"/>
      <c r="E1018" s="233"/>
      <c r="G1018" s="202">
        <f>(G1017/G1019)-1</f>
        <v>0.37754413798796405</v>
      </c>
      <c r="H1018" s="203">
        <f>(H1017/H1019)-1</f>
        <v>0.44103114930182596</v>
      </c>
      <c r="I1018" s="203">
        <f>(I1017/I1019)-1</f>
        <v>0.4549313805219517</v>
      </c>
      <c r="J1018" s="203">
        <f>(J1017/J1019)-1</f>
        <v>0.27926033748450041</v>
      </c>
      <c r="K1018" s="188"/>
      <c r="L1018" s="188"/>
      <c r="M1018" s="194"/>
      <c r="N1018" s="190"/>
      <c r="O1018" s="190"/>
      <c r="P1018" s="188"/>
      <c r="Q1018" s="226"/>
      <c r="R1018" s="195"/>
      <c r="S1018" s="197"/>
      <c r="T1018" s="180"/>
      <c r="U1018" s="189" t="str">
        <f>IFERROR(IF(Tableau3[[#This Row],[Dettes]]=0,"",(Tableau3[[#This Row],[Dettes]]/Tableau3[[#This Row],[EBE]])),"")</f>
        <v/>
      </c>
      <c r="V1018" s="190" t="str">
        <f>IFERROR(Tableau3[[#This Row],[Fonds propres]]/Tableau3[[#This Row],[Total Bilan]],"")</f>
        <v/>
      </c>
      <c r="W1018" s="180"/>
      <c r="X1018" s="191"/>
      <c r="Y1018" s="180"/>
      <c r="Z1018" s="192" t="str">
        <f>IFERROR(Tableau3[[#This Row],[Chiffre d''affaires]]/Tableau3[[#This Row],[Salariés]],"")</f>
        <v/>
      </c>
      <c r="AA1018" s="197"/>
      <c r="AB1018" s="188"/>
      <c r="AC1018" s="177" t="s">
        <v>709</v>
      </c>
    </row>
    <row r="1019" spans="1:29" ht="20.25" customHeight="1">
      <c r="A1019" s="217"/>
      <c r="E1019" s="233">
        <v>731</v>
      </c>
      <c r="F1019" s="178">
        <v>2019</v>
      </c>
      <c r="G1019" s="188">
        <v>496681000</v>
      </c>
      <c r="H1019" s="188">
        <v>279300000</v>
      </c>
      <c r="I1019" s="188">
        <v>256997000</v>
      </c>
      <c r="J1019" s="188">
        <v>204039000</v>
      </c>
      <c r="K1019" s="188"/>
      <c r="L1019" s="188">
        <v>868321000</v>
      </c>
      <c r="M1019" s="194">
        <f>L1019/P1019</f>
        <v>29.04472170189992</v>
      </c>
      <c r="N1019" s="190">
        <f>J1019/L1021</f>
        <v>0.35033928338404269</v>
      </c>
      <c r="O1019" s="190">
        <f>(I1019*0.81)/(K1021+L1021)</f>
        <v>0.35742812549364361</v>
      </c>
      <c r="P1019" s="188">
        <v>29896000</v>
      </c>
      <c r="Q1019" s="231">
        <f>P1019*E1019</f>
        <v>21853976000</v>
      </c>
      <c r="R1019" s="195">
        <f>Q1019/L1019</f>
        <v>25.168084153210621</v>
      </c>
      <c r="S1019" s="197">
        <f>(Q1019+K1019)/H1019</f>
        <v>78.245528105979233</v>
      </c>
      <c r="T1019" s="180">
        <v>259364000</v>
      </c>
      <c r="U1019" s="189" t="str">
        <f>IFERROR(IF(Tableau3[[#This Row],[Dettes]]=0,"",(Tableau3[[#This Row],[Dettes]]/Tableau3[[#This Row],[EBE]])),"")</f>
        <v/>
      </c>
      <c r="V1019" s="190">
        <f>IFERROR(Tableau3[[#This Row],[Fonds propres]]/Tableau3[[#This Row],[Total Bilan]],"")</f>
        <v>0.33269003831417626</v>
      </c>
      <c r="W1019" s="180">
        <v>2610000000</v>
      </c>
      <c r="X1019" s="191"/>
      <c r="Y1019" s="180"/>
      <c r="Z1019" s="192" t="str">
        <f>IFERROR(Tableau3[[#This Row],[Chiffre d''affaires]]/Tableau3[[#This Row],[Salariés]],"")</f>
        <v/>
      </c>
      <c r="AA1019" s="197"/>
      <c r="AB1019" s="188">
        <v>239600000000</v>
      </c>
      <c r="AC1019" s="177" t="s">
        <v>710</v>
      </c>
    </row>
    <row r="1020" spans="1:29" ht="20.25" customHeight="1">
      <c r="A1020" s="217"/>
      <c r="E1020" s="233"/>
      <c r="G1020" s="202">
        <f>(G1019/G1021)-1</f>
        <v>0.42350958548406048</v>
      </c>
      <c r="H1020" s="203">
        <f>(H1019/H1021)-1</f>
        <v>0.53545904343045625</v>
      </c>
      <c r="I1020" s="203">
        <f>(I1019/I1021)-1</f>
        <v>0.48373073148201606</v>
      </c>
      <c r="J1020" s="203">
        <f>(J1019/J1021)-1</f>
        <v>0.55581565583395598</v>
      </c>
      <c r="K1020" s="188"/>
      <c r="L1020" s="188"/>
      <c r="M1020" s="194"/>
      <c r="N1020" s="190"/>
      <c r="O1020" s="190"/>
      <c r="P1020" s="188"/>
      <c r="Q1020" s="226"/>
      <c r="R1020" s="195"/>
      <c r="S1020" s="197"/>
      <c r="T1020" s="180"/>
      <c r="U1020" s="189" t="str">
        <f>IFERROR(IF(Tableau3[[#This Row],[Dettes]]=0,"",(Tableau3[[#This Row],[Dettes]]/Tableau3[[#This Row],[EBE]])),"")</f>
        <v/>
      </c>
      <c r="V1020" s="190" t="str">
        <f>IFERROR(Tableau3[[#This Row],[Fonds propres]]/Tableau3[[#This Row],[Total Bilan]],"")</f>
        <v/>
      </c>
      <c r="W1020" s="180"/>
      <c r="X1020" s="191"/>
      <c r="Y1020" s="180"/>
      <c r="Z1020" s="192" t="str">
        <f>IFERROR(Tableau3[[#This Row],[Chiffre d''affaires]]/Tableau3[[#This Row],[Salariés]],"")</f>
        <v/>
      </c>
      <c r="AA1020" s="197"/>
      <c r="AB1020" s="188"/>
      <c r="AC1020" s="177" t="s">
        <v>126</v>
      </c>
    </row>
    <row r="1021" spans="1:29" ht="20.25" customHeight="1">
      <c r="A1021" s="217"/>
      <c r="E1021" s="233">
        <v>475</v>
      </c>
      <c r="F1021" s="178">
        <v>2018</v>
      </c>
      <c r="G1021" s="188">
        <v>348913000</v>
      </c>
      <c r="H1021" s="188">
        <v>181900000</v>
      </c>
      <c r="I1021" s="188">
        <v>173210000</v>
      </c>
      <c r="J1021" s="188">
        <v>131146000</v>
      </c>
      <c r="K1021" s="188"/>
      <c r="L1021" s="188">
        <v>582404000</v>
      </c>
      <c r="M1021" s="194">
        <f>L1021/P1021</f>
        <v>19.48100080278298</v>
      </c>
      <c r="N1021" s="190">
        <f>J1021/L1021</f>
        <v>0.22518045892541946</v>
      </c>
      <c r="O1021" s="190">
        <f>(I1021*0.81)/(K1021+L1021)</f>
        <v>0.24089824245712599</v>
      </c>
      <c r="P1021" s="188">
        <v>29896000</v>
      </c>
      <c r="Q1021" s="231">
        <f>P1021*E1021</f>
        <v>14200600000</v>
      </c>
      <c r="R1021" s="195">
        <f>Q1021/L1021</f>
        <v>24.382730887837308</v>
      </c>
      <c r="S1021" s="197">
        <f>(Q1021+K1021)/H1021</f>
        <v>78.068169323804284</v>
      </c>
      <c r="T1021" s="180">
        <v>168136000</v>
      </c>
      <c r="U1021" s="189" t="str">
        <f>IFERROR(IF(Tableau3[[#This Row],[Dettes]]=0,"",(Tableau3[[#This Row],[Dettes]]/Tableau3[[#This Row],[EBE]])),"")</f>
        <v/>
      </c>
      <c r="V1021" s="190">
        <f>IFERROR(Tableau3[[#This Row],[Fonds propres]]/Tableau3[[#This Row],[Total Bilan]],"")</f>
        <v>0.31312043010752688</v>
      </c>
      <c r="W1021" s="180">
        <v>1860000000</v>
      </c>
      <c r="X1021" s="191"/>
      <c r="Y1021" s="180"/>
      <c r="Z1021" s="192" t="str">
        <f>IFERROR(Tableau3[[#This Row],[Chiffre d''affaires]]/Tableau3[[#This Row],[Salariés]],"")</f>
        <v/>
      </c>
      <c r="AA1021" s="197"/>
      <c r="AB1021" s="188">
        <v>159000000000</v>
      </c>
      <c r="AC1021" s="177" t="s">
        <v>81</v>
      </c>
    </row>
    <row r="1022" spans="1:29" ht="20.25" customHeight="1">
      <c r="A1022" s="217"/>
      <c r="E1022" s="187"/>
      <c r="G1022" s="188"/>
      <c r="H1022" s="188"/>
      <c r="I1022" s="188"/>
      <c r="J1022" s="188"/>
      <c r="K1022" s="188"/>
      <c r="L1022" s="188"/>
      <c r="M1022" s="208"/>
      <c r="N1022" s="190"/>
      <c r="O1022" s="190"/>
      <c r="P1022" s="188"/>
      <c r="Q1022" s="188"/>
      <c r="R1022" s="195"/>
      <c r="S1022" s="197"/>
      <c r="T1022" s="180"/>
      <c r="U1022" s="189" t="str">
        <f>IFERROR(IF(Tableau3[[#This Row],[Dettes]]=0,"",(Tableau3[[#This Row],[Dettes]]/Tableau3[[#This Row],[EBE]])),"")</f>
        <v/>
      </c>
      <c r="V1022" s="190" t="str">
        <f>IFERROR(Tableau3[[#This Row],[Fonds propres]]/Tableau3[[#This Row],[Total Bilan]],"")</f>
        <v/>
      </c>
      <c r="W1022" s="180"/>
      <c r="X1022" s="191"/>
      <c r="Y1022" s="180"/>
      <c r="Z1022" s="192" t="str">
        <f>IFERROR(Tableau3[[#This Row],[Chiffre d''affaires]]/Tableau3[[#This Row],[Salariés]],"")</f>
        <v/>
      </c>
      <c r="AA1022" s="197"/>
      <c r="AB1022" s="188"/>
      <c r="AC1022" s="177" t="s">
        <v>711</v>
      </c>
    </row>
    <row r="1023" spans="1:29" ht="20.25" customHeight="1">
      <c r="A1023" s="217"/>
      <c r="F1023" s="217" t="s">
        <v>712</v>
      </c>
      <c r="G1023" s="188"/>
      <c r="H1023" s="188"/>
      <c r="I1023" s="188"/>
      <c r="J1023" s="188"/>
      <c r="K1023" s="188"/>
      <c r="L1023" s="188"/>
      <c r="M1023" s="208"/>
      <c r="N1023" s="190"/>
      <c r="O1023" s="190"/>
      <c r="P1023" s="188"/>
      <c r="Q1023" s="188"/>
      <c r="R1023" s="195"/>
      <c r="S1023" s="197"/>
      <c r="T1023" s="180"/>
      <c r="U1023" s="189" t="str">
        <f>IFERROR(IF(Tableau3[[#This Row],[Dettes]]=0,"",(Tableau3[[#This Row],[Dettes]]/Tableau3[[#This Row],[EBE]])),"")</f>
        <v/>
      </c>
      <c r="V1023" s="190" t="str">
        <f>IFERROR(Tableau3[[#This Row],[Fonds propres]]/Tableau3[[#This Row],[Total Bilan]],"")</f>
        <v/>
      </c>
      <c r="W1023" s="180"/>
      <c r="X1023" s="191"/>
      <c r="Y1023" s="180"/>
      <c r="Z1023" s="192" t="str">
        <f>IFERROR(Tableau3[[#This Row],[Chiffre d''affaires]]/Tableau3[[#This Row],[Salariés]],"")</f>
        <v/>
      </c>
      <c r="AA1023" s="197"/>
      <c r="AB1023" s="188">
        <v>108400000000</v>
      </c>
    </row>
    <row r="1024" spans="1:29" ht="20.25" customHeight="1">
      <c r="A1024" s="217"/>
      <c r="E1024" s="187"/>
      <c r="G1024" s="188"/>
      <c r="H1024" s="188"/>
      <c r="I1024" s="188"/>
      <c r="J1024" s="188"/>
      <c r="K1024" s="188"/>
      <c r="L1024" s="188"/>
      <c r="M1024" s="208"/>
      <c r="N1024" s="190"/>
      <c r="O1024" s="190"/>
      <c r="P1024" s="188"/>
      <c r="Q1024" s="188"/>
      <c r="R1024" s="195"/>
      <c r="S1024" s="197"/>
      <c r="T1024" s="180"/>
      <c r="U1024" s="189" t="str">
        <f>IFERROR(IF(Tableau3[[#This Row],[Dettes]]=0,"",(Tableau3[[#This Row],[Dettes]]/Tableau3[[#This Row],[EBE]])),"")</f>
        <v/>
      </c>
      <c r="V1024" s="190" t="str">
        <f>IFERROR(Tableau3[[#This Row],[Fonds propres]]/Tableau3[[#This Row],[Total Bilan]],"")</f>
        <v/>
      </c>
      <c r="W1024" s="180"/>
      <c r="X1024" s="191"/>
      <c r="Y1024" s="180"/>
      <c r="Z1024" s="192" t="str">
        <f>IFERROR(Tableau3[[#This Row],[Chiffre d''affaires]]/Tableau3[[#This Row],[Salariés]],"")</f>
        <v/>
      </c>
      <c r="AA1024" s="197"/>
      <c r="AB1024" s="188"/>
    </row>
    <row r="1025" spans="1:29" ht="20.25" customHeight="1">
      <c r="A1025" s="217"/>
      <c r="E1025" s="187"/>
      <c r="G1025" s="188"/>
      <c r="H1025" s="188"/>
      <c r="I1025" s="188"/>
      <c r="J1025" s="188"/>
      <c r="K1025" s="188"/>
      <c r="L1025" s="188"/>
      <c r="M1025" s="208"/>
      <c r="N1025" s="190"/>
      <c r="O1025" s="190"/>
      <c r="P1025" s="188"/>
      <c r="Q1025" s="188"/>
      <c r="R1025" s="195"/>
      <c r="S1025" s="197"/>
      <c r="T1025" s="180"/>
      <c r="U1025" s="189" t="str">
        <f>IFERROR(IF(Tableau3[[#This Row],[Dettes]]=0,"",(Tableau3[[#This Row],[Dettes]]/Tableau3[[#This Row],[EBE]])),"")</f>
        <v/>
      </c>
      <c r="V1025" s="190" t="str">
        <f>IFERROR(Tableau3[[#This Row],[Fonds propres]]/Tableau3[[#This Row],[Total Bilan]],"")</f>
        <v/>
      </c>
      <c r="W1025" s="180"/>
      <c r="X1025" s="191"/>
      <c r="Y1025" s="180"/>
      <c r="Z1025" s="192" t="str">
        <f>IFERROR(Tableau3[[#This Row],[Chiffre d''affaires]]/Tableau3[[#This Row],[Salariés]],"")</f>
        <v/>
      </c>
      <c r="AA1025" s="197"/>
      <c r="AB1025" s="188"/>
    </row>
    <row r="1026" spans="1:29" ht="20.25" customHeight="1">
      <c r="A1026" s="217"/>
      <c r="E1026" s="187"/>
      <c r="G1026" s="188"/>
      <c r="H1026" s="188"/>
      <c r="I1026" s="188"/>
      <c r="J1026" s="188"/>
      <c r="K1026" s="188"/>
      <c r="L1026" s="188"/>
      <c r="M1026" s="208"/>
      <c r="N1026" s="190"/>
      <c r="O1026" s="190"/>
      <c r="P1026" s="188"/>
      <c r="Q1026" s="188"/>
      <c r="R1026" s="195"/>
      <c r="S1026" s="197"/>
      <c r="T1026" s="180"/>
      <c r="U1026" s="189" t="str">
        <f>IFERROR(IF(Tableau3[[#This Row],[Dettes]]=0,"",(Tableau3[[#This Row],[Dettes]]/Tableau3[[#This Row],[EBE]])),"")</f>
        <v/>
      </c>
      <c r="V1026" s="190" t="str">
        <f>IFERROR(Tableau3[[#This Row],[Fonds propres]]/Tableau3[[#This Row],[Total Bilan]],"")</f>
        <v/>
      </c>
      <c r="W1026" s="180"/>
      <c r="X1026" s="191"/>
      <c r="Y1026" s="180"/>
      <c r="Z1026" s="192" t="str">
        <f>IFERROR(Tableau3[[#This Row],[Chiffre d''affaires]]/Tableau3[[#This Row],[Salariés]],"")</f>
        <v/>
      </c>
      <c r="AA1026" s="197"/>
      <c r="AB1026" s="188"/>
    </row>
    <row r="1027" spans="1:29" ht="20.25" customHeight="1">
      <c r="A1027" s="217" t="s">
        <v>713</v>
      </c>
      <c r="B1027" s="216" t="s">
        <v>670</v>
      </c>
      <c r="C1027" s="178" t="s">
        <v>84</v>
      </c>
      <c r="D1027" s="178" t="s">
        <v>85</v>
      </c>
      <c r="E1027" s="187">
        <v>126.8</v>
      </c>
      <c r="F1027" s="230">
        <v>2019</v>
      </c>
      <c r="G1027" s="188">
        <v>3370100000</v>
      </c>
      <c r="H1027" s="188">
        <v>606000000</v>
      </c>
      <c r="I1027" s="188">
        <v>311200000</v>
      </c>
      <c r="J1027" s="188">
        <v>208000000</v>
      </c>
      <c r="K1027" s="188">
        <v>1307400000</v>
      </c>
      <c r="L1027" s="188">
        <v>2238300000</v>
      </c>
      <c r="M1027" s="194">
        <f>L1027/P1027</f>
        <v>35.891408501506191</v>
      </c>
      <c r="N1027" s="190">
        <f>J1027/L1029</f>
        <v>0.11276157432505693</v>
      </c>
      <c r="O1027" s="190">
        <f>(I1027*0.7)/(K1029+L1029)</f>
        <v>6.4787056864144654E-2</v>
      </c>
      <c r="P1027" s="188">
        <v>62363114</v>
      </c>
      <c r="Q1027" s="231">
        <f>P1027*E1027</f>
        <v>7907642855.1999998</v>
      </c>
      <c r="R1027" s="195">
        <f>Q1027/L1027</f>
        <v>3.5328789059554127</v>
      </c>
      <c r="S1027" s="197">
        <f>(Q1027+K1027)/H1027</f>
        <v>15.206341345214522</v>
      </c>
      <c r="T1027" s="180"/>
      <c r="U1027" s="189">
        <f>IFERROR(IF(Tableau3[[#This Row],[Dettes]]=0,"",(Tableau3[[#This Row],[Dettes]]/Tableau3[[#This Row],[EBE]])),"")</f>
        <v>2.1574257425742576</v>
      </c>
      <c r="V1027" s="190" t="str">
        <f>IFERROR(Tableau3[[#This Row],[Fonds propres]]/Tableau3[[#This Row],[Total Bilan]],"")</f>
        <v/>
      </c>
      <c r="W1027" s="180"/>
      <c r="X1027" s="191"/>
      <c r="Y1027" s="180"/>
      <c r="Z1027" s="192" t="str">
        <f>IFERROR(Tableau3[[#This Row],[Chiffre d''affaires]]/Tableau3[[#This Row],[Salariés]],"")</f>
        <v/>
      </c>
      <c r="AA1027" s="197"/>
      <c r="AB1027" s="197"/>
      <c r="AC1027" s="177" t="s">
        <v>714</v>
      </c>
    </row>
    <row r="1028" spans="1:29" ht="20.25" customHeight="1">
      <c r="A1028" s="217"/>
      <c r="E1028" s="187"/>
      <c r="F1028" s="214"/>
      <c r="G1028" s="202">
        <f>(G1027/G1029)-1</f>
        <v>0.27491109934175673</v>
      </c>
      <c r="H1028" s="203">
        <f>(H1027/H1029)-1</f>
        <v>0.24180327868852469</v>
      </c>
      <c r="I1028" s="203">
        <f>(I1027/I1029)-1</f>
        <v>0.11781609195402298</v>
      </c>
      <c r="J1028" s="203">
        <f>(J1027/J1029)-1</f>
        <v>0.10169491525423724</v>
      </c>
      <c r="K1028" s="197"/>
      <c r="L1028" s="178"/>
      <c r="M1028" s="177"/>
      <c r="N1028" s="178"/>
      <c r="O1028" s="177"/>
      <c r="P1028" s="177"/>
      <c r="Q1028" s="177"/>
      <c r="R1028" s="195"/>
      <c r="S1028" s="178"/>
      <c r="T1028" s="180"/>
      <c r="U1028" s="189" t="str">
        <f>IFERROR(IF(Tableau3[[#This Row],[Dettes]]=0,"",(Tableau3[[#This Row],[Dettes]]/Tableau3[[#This Row],[EBE]])),"")</f>
        <v/>
      </c>
      <c r="V1028" s="190" t="str">
        <f>IFERROR(Tableau3[[#This Row],[Fonds propres]]/Tableau3[[#This Row],[Total Bilan]],"")</f>
        <v/>
      </c>
      <c r="W1028" s="180"/>
      <c r="Y1028" s="180"/>
      <c r="Z1028" s="192" t="str">
        <f>IFERROR(Tableau3[[#This Row],[Chiffre d''affaires]]/Tableau3[[#This Row],[Salariés]],"")</f>
        <v/>
      </c>
      <c r="AA1028" s="177"/>
      <c r="AC1028" s="177" t="s">
        <v>715</v>
      </c>
    </row>
    <row r="1029" spans="1:29" ht="20.25" customHeight="1">
      <c r="A1029" s="217"/>
      <c r="E1029" s="187">
        <v>64</v>
      </c>
      <c r="F1029" s="230">
        <v>2018</v>
      </c>
      <c r="G1029" s="188">
        <v>2643400000</v>
      </c>
      <c r="H1029" s="188">
        <v>488000000</v>
      </c>
      <c r="I1029" s="188">
        <v>278400000</v>
      </c>
      <c r="J1029" s="188">
        <v>188800000</v>
      </c>
      <c r="K1029" s="188">
        <v>1517800000</v>
      </c>
      <c r="L1029" s="188">
        <v>1844600000</v>
      </c>
      <c r="M1029" s="194">
        <f>L1029/P1029</f>
        <v>29.578381862073147</v>
      </c>
      <c r="N1029" s="190">
        <f>J1029/L1031</f>
        <v>0.10307927495086264</v>
      </c>
      <c r="O1029" s="190">
        <f>(I1029*0.7)/(K1031+L1031)</f>
        <v>5.9008054260279781E-2</v>
      </c>
      <c r="P1029" s="188">
        <v>62363114</v>
      </c>
      <c r="Q1029" s="231">
        <f>P1029*E1029</f>
        <v>3991239296</v>
      </c>
      <c r="R1029" s="195">
        <f>Q1029/L1029</f>
        <v>2.163742435216307</v>
      </c>
      <c r="S1029" s="197">
        <f>(Q1029+K1029)/H1029</f>
        <v>11.289014950819672</v>
      </c>
      <c r="T1029" s="180"/>
      <c r="U1029" s="189">
        <f>IFERROR(IF(Tableau3[[#This Row],[Dettes]]=0,"",(Tableau3[[#This Row],[Dettes]]/Tableau3[[#This Row],[EBE]])),"")</f>
        <v>3.1102459016393444</v>
      </c>
      <c r="V1029" s="190" t="str">
        <f>IFERROR(Tableau3[[#This Row],[Fonds propres]]/Tableau3[[#This Row],[Total Bilan]],"")</f>
        <v/>
      </c>
      <c r="W1029" s="180"/>
      <c r="X1029" s="191"/>
      <c r="Y1029" s="180"/>
      <c r="Z1029" s="192" t="str">
        <f>IFERROR(Tableau3[[#This Row],[Chiffre d''affaires]]/Tableau3[[#This Row],[Salariés]],"")</f>
        <v/>
      </c>
      <c r="AA1029" s="197"/>
      <c r="AB1029" s="197"/>
      <c r="AC1029" s="177" t="s">
        <v>716</v>
      </c>
    </row>
    <row r="1030" spans="1:29" ht="20.25" customHeight="1">
      <c r="A1030" s="217"/>
      <c r="E1030" s="187"/>
      <c r="F1030" s="214"/>
      <c r="G1030" s="202">
        <f>(G1029/G1031)-1</f>
        <v>5.3147410358565628E-2</v>
      </c>
      <c r="H1030" s="203">
        <f>(H1029/H1031)-1</f>
        <v>-7.2243346007604514E-2</v>
      </c>
      <c r="I1030" s="203">
        <f>(I1029/I1031)-1</f>
        <v>-0.24959568733153636</v>
      </c>
      <c r="J1030" s="203">
        <f>(J1029/J1031)-1</f>
        <v>-0.26249999999999996</v>
      </c>
      <c r="K1030" s="188"/>
      <c r="L1030" s="188"/>
      <c r="M1030" s="177"/>
      <c r="N1030" s="178"/>
      <c r="O1030" s="177"/>
      <c r="P1030" s="177"/>
      <c r="Q1030" s="177"/>
      <c r="R1030" s="195"/>
      <c r="S1030" s="178"/>
      <c r="T1030" s="180"/>
      <c r="U1030" s="189" t="str">
        <f>IFERROR(IF(Tableau3[[#This Row],[Dettes]]=0,"",(Tableau3[[#This Row],[Dettes]]/Tableau3[[#This Row],[EBE]])),"")</f>
        <v/>
      </c>
      <c r="V1030" s="190" t="str">
        <f>IFERROR(Tableau3[[#This Row],[Fonds propres]]/Tableau3[[#This Row],[Total Bilan]],"")</f>
        <v/>
      </c>
      <c r="W1030" s="180"/>
      <c r="Y1030" s="180"/>
      <c r="Z1030" s="192" t="str">
        <f>IFERROR(Tableau3[[#This Row],[Chiffre d''affaires]]/Tableau3[[#This Row],[Salariés]],"")</f>
        <v/>
      </c>
      <c r="AA1030" s="177"/>
      <c r="AC1030" s="177" t="s">
        <v>717</v>
      </c>
    </row>
    <row r="1031" spans="1:29" ht="20.25" customHeight="1">
      <c r="A1031" s="217"/>
      <c r="E1031" s="187">
        <v>91.8</v>
      </c>
      <c r="F1031" s="230">
        <v>2017</v>
      </c>
      <c r="G1031" s="188">
        <v>2510000000</v>
      </c>
      <c r="H1031" s="188">
        <v>526000000</v>
      </c>
      <c r="I1031" s="188">
        <v>371000000</v>
      </c>
      <c r="J1031" s="188">
        <v>256000000</v>
      </c>
      <c r="K1031" s="188">
        <v>1471000000</v>
      </c>
      <c r="L1031" s="188">
        <v>1831600000</v>
      </c>
      <c r="M1031" s="194">
        <f>L1031/P1031</f>
        <v>29.369925305525957</v>
      </c>
      <c r="N1031" s="190">
        <f>J1031/L1033</f>
        <v>0.15032295948326482</v>
      </c>
      <c r="O1031" s="190">
        <f>(I1031*0.7)/(K1033+L1033)</f>
        <v>0.14199015855658828</v>
      </c>
      <c r="P1031" s="188">
        <v>62363114</v>
      </c>
      <c r="Q1031" s="231">
        <f>P1031*E1031</f>
        <v>5724933865.1999998</v>
      </c>
      <c r="R1031" s="195">
        <f>Q1031/L1031</f>
        <v>3.1256463557545313</v>
      </c>
      <c r="S1031" s="197">
        <f>(Q1031+K1031)/H1031</f>
        <v>13.680482633460075</v>
      </c>
      <c r="T1031" s="180"/>
      <c r="U1031" s="189">
        <f>IFERROR(IF(Tableau3[[#This Row],[Dettes]]=0,"",(Tableau3[[#This Row],[Dettes]]/Tableau3[[#This Row],[EBE]])),"")</f>
        <v>2.7965779467680609</v>
      </c>
      <c r="V1031" s="190" t="str">
        <f>IFERROR(Tableau3[[#This Row],[Fonds propres]]/Tableau3[[#This Row],[Total Bilan]],"")</f>
        <v/>
      </c>
      <c r="W1031" s="180"/>
      <c r="X1031" s="191"/>
      <c r="Y1031" s="180"/>
      <c r="Z1031" s="192" t="str">
        <f>IFERROR(Tableau3[[#This Row],[Chiffre d''affaires]]/Tableau3[[#This Row],[Salariés]],"")</f>
        <v/>
      </c>
      <c r="AA1031" s="197"/>
      <c r="AB1031" s="197"/>
      <c r="AC1031" s="177" t="s">
        <v>718</v>
      </c>
    </row>
    <row r="1032" spans="1:29" ht="20.25" customHeight="1">
      <c r="A1032" s="217"/>
      <c r="E1032" s="187"/>
      <c r="F1032" s="230"/>
      <c r="G1032" s="202">
        <f>(G1031/G1033)-1</f>
        <v>8.5640138408304534E-2</v>
      </c>
      <c r="H1032" s="203">
        <f>(H1031/H1033)-1</f>
        <v>0.10504201680672276</v>
      </c>
      <c r="I1032" s="203">
        <f>(I1031/I1033)-1</f>
        <v>3.9215686274509887E-2</v>
      </c>
      <c r="J1032" s="203">
        <f>(J1031/J1033)-1</f>
        <v>4.9180327868852514E-2</v>
      </c>
      <c r="K1032" s="197"/>
      <c r="L1032" s="188"/>
      <c r="M1032" s="177"/>
      <c r="N1032" s="178"/>
      <c r="O1032" s="177"/>
      <c r="P1032" s="177"/>
      <c r="Q1032" s="177"/>
      <c r="R1032" s="195"/>
      <c r="S1032" s="178"/>
      <c r="T1032" s="180"/>
      <c r="U1032" s="189" t="str">
        <f>IFERROR(IF(Tableau3[[#This Row],[Dettes]]=0,"",(Tableau3[[#This Row],[Dettes]]/Tableau3[[#This Row],[EBE]])),"")</f>
        <v/>
      </c>
      <c r="V1032" s="190" t="str">
        <f>IFERROR(Tableau3[[#This Row],[Fonds propres]]/Tableau3[[#This Row],[Total Bilan]],"")</f>
        <v/>
      </c>
      <c r="W1032" s="180"/>
      <c r="Y1032" s="180"/>
      <c r="Z1032" s="192" t="str">
        <f>IFERROR(Tableau3[[#This Row],[Chiffre d''affaires]]/Tableau3[[#This Row],[Salariés]],"")</f>
        <v/>
      </c>
      <c r="AA1032" s="177"/>
      <c r="AC1032" s="177" t="s">
        <v>719</v>
      </c>
    </row>
    <row r="1033" spans="1:29" ht="20.25" customHeight="1">
      <c r="A1033" s="217"/>
      <c r="E1033" s="187">
        <v>75.87</v>
      </c>
      <c r="F1033" s="230">
        <v>2016</v>
      </c>
      <c r="G1033" s="188">
        <v>2312000000</v>
      </c>
      <c r="H1033" s="188">
        <v>476000000</v>
      </c>
      <c r="I1033" s="188">
        <v>357000000</v>
      </c>
      <c r="J1033" s="188">
        <v>244000000</v>
      </c>
      <c r="K1033" s="188">
        <v>126000000</v>
      </c>
      <c r="L1033" s="188">
        <v>1703000000</v>
      </c>
      <c r="M1033" s="194">
        <f>L1033/P1033</f>
        <v>27.30780890768219</v>
      </c>
      <c r="N1033" s="190">
        <f>J1033/L1033</f>
        <v>0.14327657075748679</v>
      </c>
      <c r="O1033" s="190">
        <f>(I1033*0.64)/(K1033+(M1033*P1033))</f>
        <v>0.1249207217058502</v>
      </c>
      <c r="P1033" s="188">
        <v>62363114</v>
      </c>
      <c r="Q1033" s="231">
        <f>P1033*E1033</f>
        <v>4731489459.1800003</v>
      </c>
      <c r="R1033" s="195">
        <f>Q1033/L1033</f>
        <v>2.778326165108632</v>
      </c>
      <c r="S1033" s="197">
        <f>(Q1033+K1033)/H1033</f>
        <v>10.204809788193279</v>
      </c>
      <c r="T1033" s="180"/>
      <c r="U1033" s="189">
        <f>IFERROR(IF(Tableau3[[#This Row],[Dettes]]=0,"",(Tableau3[[#This Row],[Dettes]]/Tableau3[[#This Row],[EBE]])),"")</f>
        <v>0.26470588235294118</v>
      </c>
      <c r="V1033" s="190" t="str">
        <f>IFERROR(Tableau3[[#This Row],[Fonds propres]]/Tableau3[[#This Row],[Total Bilan]],"")</f>
        <v/>
      </c>
      <c r="W1033" s="180"/>
      <c r="X1033" s="191"/>
      <c r="Y1033" s="180"/>
      <c r="Z1033" s="192" t="str">
        <f>IFERROR(Tableau3[[#This Row],[Chiffre d''affaires]]/Tableau3[[#This Row],[Salariés]],"")</f>
        <v/>
      </c>
      <c r="AA1033" s="197"/>
      <c r="AB1033" s="197"/>
      <c r="AC1033" s="177" t="s">
        <v>720</v>
      </c>
    </row>
    <row r="1034" spans="1:29" ht="20.25" customHeight="1">
      <c r="A1034" s="217"/>
      <c r="E1034" s="187"/>
      <c r="F1034" s="230"/>
      <c r="G1034" s="188"/>
      <c r="H1034" s="188"/>
      <c r="I1034" s="188"/>
      <c r="J1034" s="188"/>
      <c r="K1034" s="197"/>
      <c r="L1034" s="178"/>
      <c r="M1034" s="177"/>
      <c r="N1034" s="178"/>
      <c r="O1034" s="177"/>
      <c r="P1034" s="177"/>
      <c r="Q1034" s="177"/>
      <c r="R1034" s="195"/>
      <c r="S1034" s="178"/>
      <c r="T1034" s="180"/>
      <c r="U1034" s="189" t="str">
        <f>IFERROR(IF(Tableau3[[#This Row],[Dettes]]=0,"",(Tableau3[[#This Row],[Dettes]]/Tableau3[[#This Row],[EBE]])),"")</f>
        <v/>
      </c>
      <c r="V1034" s="190" t="str">
        <f>IFERROR(Tableau3[[#This Row],[Fonds propres]]/Tableau3[[#This Row],[Total Bilan]],"")</f>
        <v/>
      </c>
      <c r="W1034" s="180"/>
      <c r="Y1034" s="180"/>
      <c r="Z1034" s="192" t="str">
        <f>IFERROR(Tableau3[[#This Row],[Chiffre d''affaires]]/Tableau3[[#This Row],[Salariés]],"")</f>
        <v/>
      </c>
      <c r="AA1034" s="177"/>
    </row>
    <row r="1035" spans="1:29" ht="20.25" customHeight="1">
      <c r="A1035" s="217"/>
      <c r="E1035" s="187">
        <v>117.55</v>
      </c>
      <c r="F1035" s="230">
        <v>2015</v>
      </c>
      <c r="G1035" s="188"/>
      <c r="H1035" s="188"/>
      <c r="I1035" s="188"/>
      <c r="J1035" s="188"/>
      <c r="K1035" s="197"/>
      <c r="L1035" s="178"/>
      <c r="M1035" s="177"/>
      <c r="N1035" s="178"/>
      <c r="O1035" s="177"/>
      <c r="P1035" s="188">
        <v>62363114</v>
      </c>
      <c r="Q1035" s="231">
        <f>P1035*E1035</f>
        <v>7330784050.6999998</v>
      </c>
      <c r="R1035" s="195"/>
      <c r="S1035" s="178"/>
      <c r="T1035" s="180"/>
      <c r="U1035" s="189" t="str">
        <f>IFERROR(IF(Tableau3[[#This Row],[Dettes]]=0,"",(Tableau3[[#This Row],[Dettes]]/Tableau3[[#This Row],[EBE]])),"")</f>
        <v/>
      </c>
      <c r="V1035" s="190" t="str">
        <f>IFERROR(Tableau3[[#This Row],[Fonds propres]]/Tableau3[[#This Row],[Total Bilan]],"")</f>
        <v/>
      </c>
      <c r="W1035" s="180"/>
      <c r="Y1035" s="180"/>
      <c r="Z1035" s="192" t="str">
        <f>IFERROR(Tableau3[[#This Row],[Chiffre d''affaires]]/Tableau3[[#This Row],[Salariés]],"")</f>
        <v/>
      </c>
      <c r="AA1035" s="177"/>
    </row>
    <row r="1036" spans="1:29" ht="20.25" customHeight="1">
      <c r="A1036" s="217"/>
      <c r="E1036" s="187"/>
      <c r="F1036" s="214"/>
      <c r="G1036" s="188"/>
      <c r="H1036" s="188"/>
      <c r="I1036" s="188"/>
      <c r="J1036" s="188"/>
      <c r="K1036" s="197"/>
      <c r="L1036" s="178"/>
      <c r="M1036" s="177"/>
      <c r="N1036" s="178"/>
      <c r="O1036" s="177"/>
      <c r="P1036" s="177"/>
      <c r="Q1036" s="177"/>
      <c r="R1036" s="195"/>
      <c r="S1036" s="178"/>
      <c r="T1036" s="180"/>
      <c r="U1036" s="189" t="str">
        <f>IFERROR(IF(Tableau3[[#This Row],[Dettes]]=0,"",(Tableau3[[#This Row],[Dettes]]/Tableau3[[#This Row],[EBE]])),"")</f>
        <v/>
      </c>
      <c r="V1036" s="190" t="str">
        <f>IFERROR(Tableau3[[#This Row],[Fonds propres]]/Tableau3[[#This Row],[Total Bilan]],"")</f>
        <v/>
      </c>
      <c r="W1036" s="180"/>
      <c r="Y1036" s="180"/>
      <c r="Z1036" s="192" t="str">
        <f>IFERROR(Tableau3[[#This Row],[Chiffre d''affaires]]/Tableau3[[#This Row],[Salariés]],"")</f>
        <v/>
      </c>
      <c r="AA1036" s="177"/>
    </row>
    <row r="1037" spans="1:29" ht="20.25" customHeight="1">
      <c r="A1037" s="217"/>
      <c r="E1037" s="187">
        <v>87.44</v>
      </c>
      <c r="F1037" s="230">
        <v>2014</v>
      </c>
      <c r="G1037" s="188"/>
      <c r="H1037" s="188"/>
      <c r="I1037" s="188"/>
      <c r="J1037" s="188"/>
      <c r="K1037" s="197"/>
      <c r="L1037" s="178"/>
      <c r="M1037" s="177"/>
      <c r="N1037" s="178"/>
      <c r="O1037" s="177"/>
      <c r="P1037" s="188">
        <v>62363114</v>
      </c>
      <c r="Q1037" s="231">
        <f>P1037*E1037</f>
        <v>5453030688.1599998</v>
      </c>
      <c r="R1037" s="195"/>
      <c r="S1037" s="178"/>
      <c r="T1037" s="180"/>
      <c r="U1037" s="189" t="str">
        <f>IFERROR(IF(Tableau3[[#This Row],[Dettes]]=0,"",(Tableau3[[#This Row],[Dettes]]/Tableau3[[#This Row],[EBE]])),"")</f>
        <v/>
      </c>
      <c r="V1037" s="190" t="str">
        <f>IFERROR(Tableau3[[#This Row],[Fonds propres]]/Tableau3[[#This Row],[Total Bilan]],"")</f>
        <v/>
      </c>
      <c r="W1037" s="180"/>
      <c r="Y1037" s="180"/>
      <c r="Z1037" s="192" t="str">
        <f>IFERROR(Tableau3[[#This Row],[Chiffre d''affaires]]/Tableau3[[#This Row],[Salariés]],"")</f>
        <v/>
      </c>
      <c r="AA1037" s="177"/>
    </row>
    <row r="1038" spans="1:29" ht="20.25" customHeight="1">
      <c r="A1038" s="217"/>
      <c r="E1038" s="187"/>
      <c r="F1038" s="230"/>
      <c r="G1038" s="188"/>
      <c r="H1038" s="188"/>
      <c r="I1038" s="188"/>
      <c r="J1038" s="188"/>
      <c r="K1038" s="197"/>
      <c r="L1038" s="178"/>
      <c r="M1038" s="177"/>
      <c r="N1038" s="178"/>
      <c r="O1038" s="177"/>
      <c r="P1038" s="188"/>
      <c r="Q1038" s="231"/>
      <c r="R1038" s="195"/>
      <c r="S1038" s="178"/>
      <c r="T1038" s="180"/>
      <c r="U1038" s="189" t="str">
        <f>IFERROR(IF(Tableau3[[#This Row],[Dettes]]=0,"",(Tableau3[[#This Row],[Dettes]]/Tableau3[[#This Row],[EBE]])),"")</f>
        <v/>
      </c>
      <c r="V1038" s="190" t="str">
        <f>IFERROR(Tableau3[[#This Row],[Fonds propres]]/Tableau3[[#This Row],[Total Bilan]],"")</f>
        <v/>
      </c>
      <c r="W1038" s="180"/>
      <c r="Y1038" s="180"/>
      <c r="Z1038" s="192" t="str">
        <f>IFERROR(Tableau3[[#This Row],[Chiffre d''affaires]]/Tableau3[[#This Row],[Salariés]],"")</f>
        <v/>
      </c>
      <c r="AA1038" s="177"/>
    </row>
    <row r="1039" spans="1:29" ht="20.25" customHeight="1">
      <c r="A1039" s="217"/>
      <c r="E1039" s="187"/>
      <c r="F1039" s="230"/>
      <c r="G1039" s="188"/>
      <c r="H1039" s="188"/>
      <c r="I1039" s="188"/>
      <c r="J1039" s="188"/>
      <c r="K1039" s="197"/>
      <c r="L1039" s="178"/>
      <c r="M1039" s="177"/>
      <c r="N1039" s="178"/>
      <c r="O1039" s="177"/>
      <c r="P1039" s="188"/>
      <c r="Q1039" s="231"/>
      <c r="R1039" s="195"/>
      <c r="S1039" s="178"/>
      <c r="T1039" s="180"/>
      <c r="U1039" s="189" t="str">
        <f>IFERROR(IF(Tableau3[[#This Row],[Dettes]]=0,"",(Tableau3[[#This Row],[Dettes]]/Tableau3[[#This Row],[EBE]])),"")</f>
        <v/>
      </c>
      <c r="V1039" s="190" t="str">
        <f>IFERROR(Tableau3[[#This Row],[Fonds propres]]/Tableau3[[#This Row],[Total Bilan]],"")</f>
        <v/>
      </c>
      <c r="W1039" s="180"/>
      <c r="Y1039" s="180"/>
      <c r="Z1039" s="192" t="str">
        <f>IFERROR(Tableau3[[#This Row],[Chiffre d''affaires]]/Tableau3[[#This Row],[Salariés]],"")</f>
        <v/>
      </c>
      <c r="AA1039" s="234" t="s">
        <v>721</v>
      </c>
    </row>
    <row r="1040" spans="1:29" ht="20.25" customHeight="1">
      <c r="A1040" s="217"/>
      <c r="E1040" s="187"/>
      <c r="F1040" s="230"/>
      <c r="G1040" s="188"/>
      <c r="H1040" s="188"/>
      <c r="I1040" s="188"/>
      <c r="J1040" s="188"/>
      <c r="K1040" s="197"/>
      <c r="L1040" s="178"/>
      <c r="M1040" s="177"/>
      <c r="N1040" s="178"/>
      <c r="O1040" s="177"/>
      <c r="P1040" s="188"/>
      <c r="Q1040" s="231"/>
      <c r="R1040" s="195"/>
      <c r="S1040" s="178"/>
      <c r="T1040" s="180"/>
      <c r="U1040" s="189" t="str">
        <f>IFERROR(IF(Tableau3[[#This Row],[Dettes]]=0,"",(Tableau3[[#This Row],[Dettes]]/Tableau3[[#This Row],[EBE]])),"")</f>
        <v/>
      </c>
      <c r="V1040" s="190" t="str">
        <f>IFERROR(Tableau3[[#This Row],[Fonds propres]]/Tableau3[[#This Row],[Total Bilan]],"")</f>
        <v/>
      </c>
      <c r="W1040" s="180"/>
      <c r="Y1040" s="180"/>
      <c r="Z1040" s="192" t="str">
        <f>IFERROR(Tableau3[[#This Row],[Chiffre d''affaires]]/Tableau3[[#This Row],[Salariés]],"")</f>
        <v/>
      </c>
      <c r="AA1040" s="177"/>
    </row>
    <row r="1041" spans="1:29" ht="20.25" customHeight="1">
      <c r="A1041" s="217" t="s">
        <v>722</v>
      </c>
      <c r="B1041" s="216" t="s">
        <v>723</v>
      </c>
      <c r="C1041" s="178" t="s">
        <v>84</v>
      </c>
      <c r="D1041" s="178" t="s">
        <v>85</v>
      </c>
      <c r="E1041" s="187">
        <v>39</v>
      </c>
      <c r="F1041" s="230">
        <v>2025</v>
      </c>
      <c r="G1041" s="188">
        <v>6550000000</v>
      </c>
      <c r="H1041" s="188">
        <v>2160000000</v>
      </c>
      <c r="I1041" s="188">
        <f>Tableau3[[#This Row],[Chiffre d''affaires]]*0.226</f>
        <v>1480300000</v>
      </c>
      <c r="J1041" s="188">
        <v>1300000000</v>
      </c>
      <c r="K1041" s="188">
        <v>-2300000000</v>
      </c>
      <c r="L1041" s="180">
        <v>10000000000</v>
      </c>
      <c r="M1041" s="194">
        <f>L1041/P1041</f>
        <v>7.4677390387719873</v>
      </c>
      <c r="N1041" s="190">
        <f>J1041/L1043</f>
        <v>0.14338340723093551</v>
      </c>
      <c r="O1041" s="190">
        <f>(I1041*0.81)/(K1043+L1043)</f>
        <v>0.15763192490731734</v>
      </c>
      <c r="P1041" s="236">
        <v>1339093392</v>
      </c>
      <c r="Q1041" s="231">
        <f>P1041*E1041</f>
        <v>52224642288</v>
      </c>
      <c r="R1041" s="195">
        <f>Q1041/L1041</f>
        <v>5.2224642287999998</v>
      </c>
      <c r="S1041" s="197">
        <f>(Q1041+K1041)/H1041</f>
        <v>23.113260318518517</v>
      </c>
      <c r="T1041" s="180">
        <v>1500000000</v>
      </c>
      <c r="U1041" s="189">
        <f>IFERROR(IF(Tableau3[[#This Row],[Dettes]]=0,"",(Tableau3[[#This Row],[Dettes]]/Tableau3[[#This Row],[EBE]])),"")</f>
        <v>-1.0648148148148149</v>
      </c>
      <c r="V1041" s="190" t="str">
        <f>IFERROR(Tableau3[[#This Row],[Fonds propres]]/Tableau3[[#This Row],[Total Bilan]],"")</f>
        <v/>
      </c>
      <c r="W1041" s="180"/>
      <c r="X1041" s="182" t="s">
        <v>727</v>
      </c>
      <c r="Y1041" s="180"/>
      <c r="Z1041" s="192" t="str">
        <f>IFERROR(Tableau3[[#This Row],[Chiffre d''affaires]]/Tableau3[[#This Row],[Salariés]],"")</f>
        <v/>
      </c>
      <c r="AA1041" s="197">
        <f>Tableau3[[#This Row],[Capi]]/Tableau3[[#This Row],[Chiffre d''affaires]]</f>
        <v>7.9732278302290078</v>
      </c>
      <c r="AC1041" s="177" t="s">
        <v>724</v>
      </c>
    </row>
    <row r="1042" spans="1:29" ht="20.25" customHeight="1">
      <c r="A1042" s="217"/>
      <c r="E1042" s="187"/>
      <c r="F1042" s="230"/>
      <c r="G1042" s="202">
        <f>(G1041/G1043)-1</f>
        <v>5.4139307325865804E-2</v>
      </c>
      <c r="H1042" s="202">
        <f t="shared" ref="H1042:J1046" si="108">(H1041/H1043)-1</f>
        <v>8.0000000000000071E-2</v>
      </c>
      <c r="I1042" s="202">
        <f t="shared" si="108"/>
        <v>8.8776110620770732E-2</v>
      </c>
      <c r="J1042" s="202">
        <f t="shared" si="108"/>
        <v>8.505124071018777E-2</v>
      </c>
      <c r="K1042" s="197"/>
      <c r="L1042" s="178"/>
      <c r="M1042" s="177"/>
      <c r="N1042" s="178"/>
      <c r="O1042" s="177"/>
      <c r="P1042" s="188"/>
      <c r="Q1042" s="231"/>
      <c r="R1042" s="195"/>
      <c r="S1042" s="178"/>
      <c r="T1042" s="180"/>
      <c r="U1042" s="189" t="str">
        <f>IFERROR(IF(Tableau3[[#This Row],[Dettes]]=0,"",(Tableau3[[#This Row],[Dettes]]/Tableau3[[#This Row],[EBE]])),"")</f>
        <v/>
      </c>
      <c r="V1042" s="190" t="str">
        <f>IFERROR(Tableau3[[#This Row],[Fonds propres]]/Tableau3[[#This Row],[Total Bilan]],"")</f>
        <v/>
      </c>
      <c r="W1042" s="180"/>
      <c r="Y1042" s="180"/>
      <c r="Z1042" s="192" t="str">
        <f>IFERROR(Tableau3[[#This Row],[Chiffre d''affaires]]/Tableau3[[#This Row],[Salariés]],"")</f>
        <v/>
      </c>
      <c r="AA1042" s="177"/>
      <c r="AC1042" s="235" t="s">
        <v>726</v>
      </c>
    </row>
    <row r="1043" spans="1:29" ht="20.25" customHeight="1">
      <c r="A1043" s="217"/>
      <c r="E1043" s="187">
        <v>33.5</v>
      </c>
      <c r="F1043" s="230">
        <v>2024</v>
      </c>
      <c r="G1043" s="188">
        <v>6213600000</v>
      </c>
      <c r="H1043" s="188">
        <v>2000000000</v>
      </c>
      <c r="I1043" s="188">
        <v>1359600000</v>
      </c>
      <c r="J1043" s="188">
        <v>1198100100</v>
      </c>
      <c r="K1043" s="188">
        <v>-1460000000</v>
      </c>
      <c r="L1043" s="180">
        <v>9066600000</v>
      </c>
      <c r="M1043" s="194">
        <f>L1043/P1043</f>
        <v>6.7707002768930096</v>
      </c>
      <c r="N1043" s="190">
        <f>J1043/L1045</f>
        <v>0.15293593311207557</v>
      </c>
      <c r="O1043" s="190">
        <f>(I1043*0.81)/(K1045+L1045)</f>
        <v>0.15177453142227124</v>
      </c>
      <c r="P1043" s="236">
        <v>1339093392</v>
      </c>
      <c r="Q1043" s="231">
        <f>P1043*E1043</f>
        <v>44859628632</v>
      </c>
      <c r="R1043" s="195">
        <f>Q1043/L1043</f>
        <v>4.9477895387466084</v>
      </c>
      <c r="S1043" s="197">
        <f>(Q1043+K1043)/H1043</f>
        <v>21.699814316000001</v>
      </c>
      <c r="T1043" s="180">
        <v>1419700000</v>
      </c>
      <c r="U1043" s="189">
        <f>IFERROR(IF(Tableau3[[#This Row],[Dettes]]=0,"",(Tableau3[[#This Row],[Dettes]]/Tableau3[[#This Row],[EBE]])),"")</f>
        <v>-0.73</v>
      </c>
      <c r="V1043" s="190">
        <f>IFERROR(Tableau3[[#This Row],[Fonds propres]]/Tableau3[[#This Row],[Total Bilan]],"")</f>
        <v>0.5832148669424092</v>
      </c>
      <c r="W1043" s="180">
        <v>15545900000</v>
      </c>
      <c r="Y1043" s="180">
        <v>26026</v>
      </c>
      <c r="Z1043" s="192">
        <f>IFERROR(Tableau3[[#This Row],[Chiffre d''affaires]]/Tableau3[[#This Row],[Salariés]],"")</f>
        <v>238745.86951510029</v>
      </c>
      <c r="AA1043" s="197">
        <f>Tableau3[[#This Row],[Capi]]/Tableau3[[#This Row],[Chiffre d''affaires]]</f>
        <v>7.219587458478177</v>
      </c>
      <c r="AC1043" s="235" t="s">
        <v>728</v>
      </c>
    </row>
    <row r="1044" spans="1:29" ht="20.25" customHeight="1">
      <c r="A1044" s="217"/>
      <c r="E1044" s="187"/>
      <c r="F1044" s="230"/>
      <c r="G1044" s="202">
        <f>(G1043/G1045)-1</f>
        <v>4.405686057062197E-2</v>
      </c>
      <c r="H1044" s="202">
        <f t="shared" si="108"/>
        <v>8.1081081081081141E-2</v>
      </c>
      <c r="I1044" s="202">
        <f t="shared" si="108"/>
        <v>9.4774136403897202E-2</v>
      </c>
      <c r="J1044" s="202">
        <f t="shared" si="108"/>
        <v>0.14007051099057954</v>
      </c>
      <c r="K1044" s="197"/>
      <c r="L1044" s="178"/>
      <c r="M1044" s="177"/>
      <c r="N1044" s="178"/>
      <c r="O1044" s="177"/>
      <c r="P1044" s="188"/>
      <c r="Q1044" s="231"/>
      <c r="R1044" s="195"/>
      <c r="S1044" s="178"/>
      <c r="T1044" s="180"/>
      <c r="U1044" s="189" t="str">
        <f>IFERROR(IF(Tableau3[[#This Row],[Dettes]]=0,"",(Tableau3[[#This Row],[Dettes]]/Tableau3[[#This Row],[EBE]])),"")</f>
        <v/>
      </c>
      <c r="V1044" s="190" t="str">
        <f>IFERROR(Tableau3[[#This Row],[Fonds propres]]/Tableau3[[#This Row],[Total Bilan]],"")</f>
        <v/>
      </c>
      <c r="W1044" s="180"/>
      <c r="X1044" s="191"/>
      <c r="Y1044" s="180"/>
      <c r="Z1044" s="192" t="str">
        <f>IFERROR(Tableau3[[#This Row],[Chiffre d''affaires]]/Tableau3[[#This Row],[Salariés]],"")</f>
        <v/>
      </c>
      <c r="AA1044" s="178"/>
      <c r="AC1044" s="177" t="s">
        <v>729</v>
      </c>
    </row>
    <row r="1045" spans="1:29" ht="20.25" customHeight="1">
      <c r="A1045" s="217"/>
      <c r="E1045" s="187">
        <v>44.24</v>
      </c>
      <c r="F1045" s="230">
        <v>2023</v>
      </c>
      <c r="G1045" s="180">
        <v>5951400000</v>
      </c>
      <c r="H1045" s="180">
        <v>1850000000</v>
      </c>
      <c r="I1045" s="180">
        <v>1241900000</v>
      </c>
      <c r="J1045" s="180">
        <v>1050900000</v>
      </c>
      <c r="K1045" s="180">
        <v>-578000000</v>
      </c>
      <c r="L1045" s="180">
        <v>7834000000</v>
      </c>
      <c r="M1045" s="194">
        <f>L1045/P1045</f>
        <v>5.8553731808449951</v>
      </c>
      <c r="N1045" s="190">
        <f>J1045/L1047</f>
        <v>0.14374820468628174</v>
      </c>
      <c r="O1045" s="190">
        <f>(I1045*0.8)/(K1047+L1047)</f>
        <v>0.13180678456293032</v>
      </c>
      <c r="P1045" s="236">
        <v>1337916433</v>
      </c>
      <c r="Q1045" s="231">
        <f>P1045*E1045</f>
        <v>59189422995.920006</v>
      </c>
      <c r="R1045" s="195">
        <f>Q1045/L1045</f>
        <v>7.555453535348482</v>
      </c>
      <c r="S1045" s="197">
        <f>(Q1045+K1045)/H1045</f>
        <v>31.681850268064867</v>
      </c>
      <c r="T1045" s="180">
        <v>1316100000</v>
      </c>
      <c r="U1045" s="189">
        <f>IFERROR(IF(Tableau3[[#This Row],[Dettes]]=0,"",(Tableau3[[#This Row],[Dettes]]/Tableau3[[#This Row],[EBE]])),"")</f>
        <v>-0.31243243243243241</v>
      </c>
      <c r="V1045" s="190">
        <f>IFERROR(Tableau3[[#This Row],[Fonds propres]]/Tableau3[[#This Row],[Total Bilan]],"")</f>
        <v>0.53574970080355622</v>
      </c>
      <c r="W1045" s="180">
        <v>14622500000</v>
      </c>
      <c r="X1045" s="191"/>
      <c r="Y1045" s="180">
        <v>25573</v>
      </c>
      <c r="Z1045" s="192">
        <f>IFERROR(Tableau3[[#This Row],[Chiffre d''affaires]]/Tableau3[[#This Row],[Salariés]],"")</f>
        <v>232722.01149650023</v>
      </c>
      <c r="AA1045" s="197">
        <f>Tableau3[[#This Row],[Capi]]/Tableau3[[#This Row],[Chiffre d''affaires]]</f>
        <v>9.9454620754645973</v>
      </c>
      <c r="AC1045" s="177" t="s">
        <v>4689</v>
      </c>
    </row>
    <row r="1046" spans="1:29" ht="20.25" customHeight="1">
      <c r="A1046" s="217"/>
      <c r="E1046" s="187"/>
      <c r="F1046" s="230"/>
      <c r="G1046" s="202">
        <f>(G1045/G1047)-1</f>
        <v>5.0500414805923821E-2</v>
      </c>
      <c r="H1046" s="202">
        <f t="shared" si="108"/>
        <v>-3.3437826541274807E-2</v>
      </c>
      <c r="I1046" s="202">
        <f t="shared" si="108"/>
        <v>-4.6818635351907334E-2</v>
      </c>
      <c r="J1046" s="202">
        <f t="shared" si="108"/>
        <v>0.12818035426731078</v>
      </c>
      <c r="K1046" s="180"/>
      <c r="M1046" s="177"/>
      <c r="N1046" s="178"/>
      <c r="O1046" s="177"/>
      <c r="P1046" s="188"/>
      <c r="Q1046" s="231"/>
      <c r="R1046" s="195"/>
      <c r="S1046" s="178"/>
      <c r="T1046" s="180"/>
      <c r="U1046" s="189" t="str">
        <f>IFERROR(IF(Tableau3[[#This Row],[Dettes]]=0,"",(Tableau3[[#This Row],[Dettes]]/Tableau3[[#This Row],[EBE]])),"")</f>
        <v/>
      </c>
      <c r="V1046" s="190" t="str">
        <f>IFERROR(Tableau3[[#This Row],[Fonds propres]]/Tableau3[[#This Row],[Total Bilan]],"")</f>
        <v/>
      </c>
      <c r="W1046" s="180"/>
      <c r="X1046" s="191"/>
      <c r="Y1046" s="180"/>
      <c r="Z1046" s="192" t="str">
        <f>IFERROR(Tableau3[[#This Row],[Chiffre d''affaires]]/Tableau3[[#This Row],[Salariés]],"")</f>
        <v/>
      </c>
      <c r="AA1046" s="197"/>
      <c r="AC1046" s="235" t="s">
        <v>4694</v>
      </c>
    </row>
    <row r="1047" spans="1:29" ht="20.25" customHeight="1">
      <c r="A1047" s="217"/>
      <c r="E1047" s="187">
        <v>33.5</v>
      </c>
      <c r="F1047" s="230">
        <v>2022</v>
      </c>
      <c r="G1047" s="180">
        <v>5665300000</v>
      </c>
      <c r="H1047" s="180">
        <v>1914000000</v>
      </c>
      <c r="I1047" s="180">
        <v>1302900000</v>
      </c>
      <c r="J1047" s="180">
        <v>931500000</v>
      </c>
      <c r="K1047" s="180">
        <v>227000000</v>
      </c>
      <c r="L1047" s="180">
        <v>7310700000</v>
      </c>
      <c r="M1047" s="194">
        <f>L1047/P1047</f>
        <v>5.4805890425882406</v>
      </c>
      <c r="N1047" s="190">
        <f>J1047/L1049</f>
        <v>0.15030739192874315</v>
      </c>
      <c r="O1047" s="190">
        <f>(I1047*0.8)/(K1049+L1049)</f>
        <v>0.14708945429914058</v>
      </c>
      <c r="P1047" s="236">
        <v>1333925960</v>
      </c>
      <c r="Q1047" s="231">
        <f>P1047*E1047</f>
        <v>44686519660</v>
      </c>
      <c r="R1047" s="195">
        <f>Q1047/L1047</f>
        <v>6.1124816583911254</v>
      </c>
      <c r="S1047" s="197">
        <f>(Q1047+K1047)/H1047</f>
        <v>23.465788746081504</v>
      </c>
      <c r="T1047" s="180">
        <v>1316100000</v>
      </c>
      <c r="U1047" s="189">
        <f>IFERROR(IF(Tableau3[[#This Row],[Dettes]]=0,"",(Tableau3[[#This Row],[Dettes]]/Tableau3[[#This Row],[EBE]])),"")</f>
        <v>0.11859979101358412</v>
      </c>
      <c r="V1047" s="237">
        <f>IFERROR(Tableau3[[#This Row],[Fonds propres]]/Tableau3[[#This Row],[Total Bilan]],"")</f>
        <v>0.51263226539327256</v>
      </c>
      <c r="W1047" s="180">
        <v>14261100000</v>
      </c>
      <c r="X1047" s="191"/>
      <c r="Y1047" s="180">
        <v>24530</v>
      </c>
      <c r="Z1047" s="192">
        <f>IFERROR(Tableau3[[#This Row],[Chiffre d''affaires]]/Tableau3[[#This Row],[Salariés]],"")</f>
        <v>230953.93395841826</v>
      </c>
      <c r="AA1047" s="197">
        <f>Tableau3[[#This Row],[Capi]]/Tableau3[[#This Row],[Chiffre d''affaires]]</f>
        <v>7.8877587524049915</v>
      </c>
      <c r="AC1047" s="177" t="s">
        <v>5233</v>
      </c>
    </row>
    <row r="1048" spans="1:29" ht="20.25" customHeight="1">
      <c r="A1048" s="217"/>
      <c r="E1048" s="187"/>
      <c r="F1048" s="230"/>
      <c r="G1048" s="202">
        <f>(G1047/G1049)-1</f>
        <v>0.16545978193787292</v>
      </c>
      <c r="H1048" s="202">
        <f>(H1047/H1049)-1</f>
        <v>0.14872164205977678</v>
      </c>
      <c r="I1048" s="202">
        <f>(I1047/I1049)-1</f>
        <v>0.27810476751030011</v>
      </c>
      <c r="J1048" s="202">
        <f>(J1047/J1049)-1</f>
        <v>0.20379943137761702</v>
      </c>
      <c r="K1048" s="180"/>
      <c r="M1048" s="177"/>
      <c r="N1048" s="178"/>
      <c r="O1048" s="177"/>
      <c r="P1048" s="188"/>
      <c r="Q1048" s="231"/>
      <c r="R1048" s="195"/>
      <c r="S1048" s="178"/>
      <c r="T1048" s="180"/>
      <c r="U1048" s="189" t="str">
        <f>IFERROR(IF(Tableau3[[#This Row],[Dettes]]=0,"",(Tableau3[[#This Row],[Dettes]]/Tableau3[[#This Row],[EBE]])),"")</f>
        <v/>
      </c>
      <c r="V1048" s="237" t="str">
        <f>IFERROR(Tableau3[[#This Row],[Fonds propres]]/Tableau3[[#This Row],[Total Bilan]],"")</f>
        <v/>
      </c>
      <c r="W1048" s="180"/>
      <c r="X1048" s="191"/>
      <c r="Y1048" s="180"/>
      <c r="Z1048" s="192" t="str">
        <f>IFERROR(Tableau3[[#This Row],[Chiffre d''affaires]]/Tableau3[[#This Row],[Salariés]],"")</f>
        <v/>
      </c>
      <c r="AA1048" s="197"/>
      <c r="AC1048" s="177" t="s">
        <v>4740</v>
      </c>
    </row>
    <row r="1049" spans="1:29" ht="20.25" customHeight="1">
      <c r="A1049" s="217"/>
      <c r="E1049" s="187">
        <v>52.7</v>
      </c>
      <c r="F1049" s="178">
        <v>2021</v>
      </c>
      <c r="G1049" s="180">
        <v>4861000000</v>
      </c>
      <c r="H1049" s="180">
        <v>1666200000</v>
      </c>
      <c r="I1049" s="180">
        <v>1019400000</v>
      </c>
      <c r="J1049" s="180">
        <v>773800000</v>
      </c>
      <c r="K1049" s="180">
        <v>889000000</v>
      </c>
      <c r="L1049" s="180">
        <v>6197300000</v>
      </c>
      <c r="M1049" s="194">
        <f>L1049/P1049</f>
        <v>4.6459100323679134</v>
      </c>
      <c r="N1049" s="190">
        <f>J1049/L1051</f>
        <v>0.15288562227095806</v>
      </c>
      <c r="O1049" s="190">
        <f>(I1049*0.8)/(K1051+L1051)</f>
        <v>0.11484094461577457</v>
      </c>
      <c r="P1049" s="236">
        <v>1333925960</v>
      </c>
      <c r="Q1049" s="231">
        <f>P1049*E1049</f>
        <v>70297898092</v>
      </c>
      <c r="R1049" s="195">
        <f>Q1049/L1049</f>
        <v>11.343310488761235</v>
      </c>
      <c r="S1049" s="197">
        <f>(Q1049+K1049)/H1049</f>
        <v>42.724101603649025</v>
      </c>
      <c r="T1049" s="180">
        <v>1449600000</v>
      </c>
      <c r="U1049" s="189">
        <f>IFERROR(IF(Tableau3[[#This Row],[Dettes]]=0,"",(Tableau3[[#This Row],[Dettes]]/Tableau3[[#This Row],[EBE]])),"")</f>
        <v>0.53354939383027244</v>
      </c>
      <c r="V1049" s="237">
        <f>IFERROR(Tableau3[[#This Row],[Fonds propres]]/Tableau3[[#This Row],[Total Bilan]],"")</f>
        <v>0.43581575246132209</v>
      </c>
      <c r="W1049" s="180">
        <v>14220000000</v>
      </c>
      <c r="X1049" s="191"/>
      <c r="Y1049" s="180">
        <v>20496</v>
      </c>
      <c r="Z1049" s="192">
        <f>IFERROR(Tableau3[[#This Row],[Chiffre d''affaires]]/Tableau3[[#This Row],[Salariés]],"")</f>
        <v>237168.22794691648</v>
      </c>
      <c r="AA1049" s="197">
        <f>Tableau3[[#This Row],[Capi]]/Tableau3[[#This Row],[Chiffre d''affaires]]</f>
        <v>14.461612444353014</v>
      </c>
      <c r="AC1049" s="235" t="s">
        <v>4690</v>
      </c>
    </row>
    <row r="1050" spans="1:29" ht="20.25" customHeight="1">
      <c r="A1050" s="217"/>
      <c r="D1050" s="178" t="s">
        <v>730</v>
      </c>
      <c r="E1050" s="187"/>
      <c r="G1050" s="202">
        <f>(G1049/G1051)-1</f>
        <v>9.1819774493508755E-2</v>
      </c>
      <c r="H1050" s="202">
        <f>(H1049/H1051)-1</f>
        <v>0.2344050970514151</v>
      </c>
      <c r="I1050" s="202">
        <f>(I1049/I1051)-1</f>
        <v>0.52217410780946683</v>
      </c>
      <c r="J1050" s="202">
        <f>(J1049/J1051)-1</f>
        <v>0.59382080329557163</v>
      </c>
      <c r="K1050" s="180"/>
      <c r="L1050" s="180"/>
      <c r="M1050" s="177"/>
      <c r="N1050" s="178"/>
      <c r="O1050" s="177"/>
      <c r="P1050" s="188"/>
      <c r="Q1050" s="231"/>
      <c r="R1050" s="195"/>
      <c r="S1050" s="178"/>
      <c r="T1050" s="180"/>
      <c r="U1050" s="189" t="str">
        <f>IFERROR(IF(Tableau3[[#This Row],[Dettes]]=0,"",(Tableau3[[#This Row],[Dettes]]/Tableau3[[#This Row],[EBE]])),"")</f>
        <v/>
      </c>
      <c r="V1050" s="237" t="str">
        <f>IFERROR(Tableau3[[#This Row],[Fonds propres]]/Tableau3[[#This Row],[Total Bilan]],"")</f>
        <v/>
      </c>
      <c r="W1050" s="180"/>
      <c r="X1050" s="191"/>
      <c r="Y1050" s="180"/>
      <c r="Z1050" s="192" t="str">
        <f>IFERROR(Tableau3[[#This Row],[Chiffre d''affaires]]/Tableau3[[#This Row],[Salariés]],"")</f>
        <v/>
      </c>
      <c r="AA1050" s="197"/>
      <c r="AC1050" s="235" t="s">
        <v>731</v>
      </c>
    </row>
    <row r="1051" spans="1:29" ht="20.25" customHeight="1">
      <c r="A1051" s="217"/>
      <c r="E1051" s="187">
        <v>166.15</v>
      </c>
      <c r="F1051" s="178">
        <v>2020</v>
      </c>
      <c r="G1051" s="180">
        <v>4452200000</v>
      </c>
      <c r="H1051" s="180">
        <v>1349800000</v>
      </c>
      <c r="I1051" s="180">
        <v>669700000</v>
      </c>
      <c r="J1051" s="180">
        <v>485500000</v>
      </c>
      <c r="K1051" s="180">
        <v>2040000000</v>
      </c>
      <c r="L1051" s="180">
        <v>5061300000</v>
      </c>
      <c r="M1051" s="194">
        <f>L1051/P1051</f>
        <v>19.511565150346954</v>
      </c>
      <c r="N1051" s="190">
        <f>J1051/L1053</f>
        <v>9.3209438055560895E-2</v>
      </c>
      <c r="O1051" s="190">
        <f>(I1051*0.8)/(K1053+L1053)</f>
        <v>6.8087485861705238E-2</v>
      </c>
      <c r="P1051" s="236">
        <v>259400000</v>
      </c>
      <c r="Q1051" s="231">
        <f>P1051*E1051</f>
        <v>43099310000</v>
      </c>
      <c r="R1051" s="195">
        <f>Q1051/L1051</f>
        <v>8.5154624306008344</v>
      </c>
      <c r="S1051" s="197">
        <f>(Q1051+K1051)/H1051</f>
        <v>33.441480219291748</v>
      </c>
      <c r="T1051" s="180">
        <v>1032000000</v>
      </c>
      <c r="U1051" s="189">
        <f>IFERROR(IF(Tableau3[[#This Row],[Dettes]]=0,"",(Tableau3[[#This Row],[Dettes]]/Tableau3[[#This Row],[EBE]])),"")</f>
        <v>1.5113350125944585</v>
      </c>
      <c r="V1051" s="237">
        <f>IFERROR(Tableau3[[#This Row],[Fonds propres]]/Tableau3[[#This Row],[Total Bilan]],"")</f>
        <v>0.39053240740740741</v>
      </c>
      <c r="W1051" s="180">
        <v>12960000000</v>
      </c>
      <c r="X1051" s="191"/>
      <c r="Y1051" s="180">
        <v>21497</v>
      </c>
      <c r="Z1051" s="192">
        <f>IFERROR(Tableau3[[#This Row],[Chiffre d''affaires]]/Tableau3[[#This Row],[Salariés]],"")</f>
        <v>207107.96855375168</v>
      </c>
      <c r="AA1051" s="197">
        <f>Tableau3[[#This Row],[Capi]]/Tableau3[[#This Row],[Chiffre d''affaires]]</f>
        <v>9.6804523606306994</v>
      </c>
      <c r="AB1051" s="238"/>
      <c r="AC1051" s="177" t="s">
        <v>4464</v>
      </c>
    </row>
    <row r="1052" spans="1:29" ht="20.25" customHeight="1">
      <c r="E1052" s="187"/>
      <c r="F1052" s="177"/>
      <c r="G1052" s="202">
        <f>(G1051/G1053)-1</f>
        <v>0.108008561047235</v>
      </c>
      <c r="H1052" s="202">
        <f>(H1051/H1053)-1</f>
        <v>0.27004140007527289</v>
      </c>
      <c r="I1052" s="202">
        <f>(I1051/I1053)-1</f>
        <v>-0.17605807086614178</v>
      </c>
      <c r="J1052" s="202">
        <f>(J1051/J1053)-1</f>
        <v>-0.19924129968662374</v>
      </c>
      <c r="K1052" s="180"/>
      <c r="M1052" s="177"/>
      <c r="N1052" s="178"/>
      <c r="O1052" s="177"/>
      <c r="P1052" s="236"/>
      <c r="Q1052" s="231"/>
      <c r="R1052" s="195"/>
      <c r="S1052" s="178"/>
      <c r="T1052" s="180"/>
      <c r="U1052" s="189" t="str">
        <f>IFERROR(IF(Tableau3[[#This Row],[Dettes]]=0,"",(Tableau3[[#This Row],[Dettes]]/Tableau3[[#This Row],[EBE]])),"")</f>
        <v/>
      </c>
      <c r="V1052" s="237" t="str">
        <f>IFERROR(Tableau3[[#This Row],[Fonds propres]]/Tableau3[[#This Row],[Total Bilan]],"")</f>
        <v/>
      </c>
      <c r="W1052" s="180"/>
      <c r="X1052" s="191"/>
      <c r="Y1052" s="180"/>
      <c r="Z1052" s="192" t="str">
        <f>IFERROR(Tableau3[[#This Row],[Chiffre d''affaires]]/Tableau3[[#This Row],[Salariés]],"")</f>
        <v/>
      </c>
      <c r="AA1052" s="239"/>
      <c r="AB1052" s="240"/>
      <c r="AC1052" s="177" t="s">
        <v>4465</v>
      </c>
    </row>
    <row r="1053" spans="1:29" ht="20.25" customHeight="1">
      <c r="E1053" s="187">
        <v>146.55000000000001</v>
      </c>
      <c r="F1053" s="178">
        <v>2019</v>
      </c>
      <c r="G1053" s="180">
        <v>4018200000</v>
      </c>
      <c r="H1053" s="180">
        <v>1062800000</v>
      </c>
      <c r="I1053" s="180">
        <v>812800000</v>
      </c>
      <c r="J1053" s="180">
        <v>606300000</v>
      </c>
      <c r="K1053" s="180">
        <v>2660000000</v>
      </c>
      <c r="L1053" s="180">
        <v>5208700000</v>
      </c>
      <c r="M1053" s="194">
        <f>L1053/P1053</f>
        <v>20.079799537393985</v>
      </c>
      <c r="N1053" s="190">
        <f>J1053/L1055</f>
        <v>0.13290514917030186</v>
      </c>
      <c r="O1053" s="190">
        <f>(I1053*0.8)/(K1055+L1055)</f>
        <v>0.1376577186891354</v>
      </c>
      <c r="P1053" s="236">
        <v>259400000</v>
      </c>
      <c r="Q1053" s="231">
        <f>P1053*E1053</f>
        <v>38015070000</v>
      </c>
      <c r="R1053" s="195">
        <f>Q1053/L1053</f>
        <v>7.2983796340737612</v>
      </c>
      <c r="S1053" s="197">
        <f>(Q1053+K1053)/H1053</f>
        <v>38.271612721114039</v>
      </c>
      <c r="T1053" s="180">
        <v>1090000000</v>
      </c>
      <c r="U1053" s="189">
        <f>IFERROR(IF(Tableau3[[#This Row],[Dettes]]=0,"",(Tableau3[[#This Row],[Dettes]]/Tableau3[[#This Row],[EBE]])),"")</f>
        <v>2.5028227324049679</v>
      </c>
      <c r="V1053" s="237">
        <f>IFERROR(Tableau3[[#This Row],[Fonds propres]]/Tableau3[[#This Row],[Total Bilan]],"")</f>
        <v>0.37553713049747656</v>
      </c>
      <c r="W1053" s="180">
        <v>13870000000</v>
      </c>
      <c r="X1053" s="191"/>
      <c r="Y1053" s="180">
        <v>19361</v>
      </c>
      <c r="Z1053" s="192">
        <f>IFERROR(Tableau3[[#This Row],[Chiffre d''affaires]]/Tableau3[[#This Row],[Salariés]],"")</f>
        <v>207540.93280305769</v>
      </c>
      <c r="AA1053" s="197">
        <f>Tableau3[[#This Row],[Capi]]/Tableau3[[#This Row],[Chiffre d''affaires]]</f>
        <v>9.4607212184560243</v>
      </c>
      <c r="AB1053" s="238"/>
      <c r="AC1053" s="177" t="s">
        <v>4693</v>
      </c>
    </row>
    <row r="1054" spans="1:29" ht="20.25" customHeight="1">
      <c r="E1054" s="187"/>
      <c r="G1054" s="202">
        <f>(G1053/G1055)-1</f>
        <v>0.15551849082647951</v>
      </c>
      <c r="H1054" s="202">
        <f>(H1053/H1055)-1</f>
        <v>0.13087891040646937</v>
      </c>
      <c r="I1054" s="202">
        <f>(I1053/I1055)-1</f>
        <v>5.8057797448581194E-2</v>
      </c>
      <c r="J1054" s="202">
        <f>(J1053/J1055)-1</f>
        <v>7.6144834930777394E-2</v>
      </c>
      <c r="K1054" s="180"/>
      <c r="M1054" s="177"/>
      <c r="N1054" s="178"/>
      <c r="O1054" s="177"/>
      <c r="P1054" s="236"/>
      <c r="Q1054" s="231"/>
      <c r="R1054" s="195"/>
      <c r="S1054" s="178"/>
      <c r="T1054" s="180"/>
      <c r="U1054" s="189" t="str">
        <f>IFERROR(IF(Tableau3[[#This Row],[Dettes]]=0,"",(Tableau3[[#This Row],[Dettes]]/Tableau3[[#This Row],[EBE]])),"")</f>
        <v/>
      </c>
      <c r="V1054" s="237" t="str">
        <f>IFERROR(Tableau3[[#This Row],[Fonds propres]]/Tableau3[[#This Row],[Total Bilan]],"")</f>
        <v/>
      </c>
      <c r="W1054" s="180"/>
      <c r="X1054" s="191"/>
      <c r="Y1054" s="180"/>
      <c r="Z1054" s="192" t="str">
        <f>IFERROR(Tableau3[[#This Row],[Chiffre d''affaires]]/Tableau3[[#This Row],[Salariés]],"")</f>
        <v/>
      </c>
      <c r="AA1054" s="239"/>
      <c r="AB1054" s="240"/>
      <c r="AC1054" s="177" t="s">
        <v>4692</v>
      </c>
    </row>
    <row r="1055" spans="1:29" ht="20.25" customHeight="1">
      <c r="E1055" s="187">
        <v>88.59</v>
      </c>
      <c r="F1055" s="178">
        <v>2018</v>
      </c>
      <c r="G1055" s="180">
        <v>3477400000</v>
      </c>
      <c r="H1055" s="180">
        <v>939800000</v>
      </c>
      <c r="I1055" s="180">
        <v>768200000</v>
      </c>
      <c r="J1055" s="180">
        <v>563400000</v>
      </c>
      <c r="K1055" s="180">
        <v>161700000</v>
      </c>
      <c r="L1055" s="180">
        <v>4561900000</v>
      </c>
      <c r="M1055" s="194">
        <f>L1055/P1055</f>
        <v>17.654411764705884</v>
      </c>
      <c r="N1055" s="190">
        <f>J1055/L1057</f>
        <v>0.14098933270804873</v>
      </c>
      <c r="O1055" s="190">
        <f>(I1055*0.8)/(K1057+L1057)</f>
        <v>0.14825246824100483</v>
      </c>
      <c r="P1055" s="236">
        <v>258400000</v>
      </c>
      <c r="Q1055" s="231">
        <f>P1055*E1055</f>
        <v>22891656000</v>
      </c>
      <c r="R1055" s="195">
        <f>Q1055/L1055</f>
        <v>5.0180091628488128</v>
      </c>
      <c r="S1055" s="197">
        <f>(Q1055+K1055)/H1055</f>
        <v>24.530065971483296</v>
      </c>
      <c r="T1055" s="180">
        <v>575600000</v>
      </c>
      <c r="U1055" s="189">
        <f>IFERROR(IF(Tableau3[[#This Row],[Dettes]]=0,"",(Tableau3[[#This Row],[Dettes]]/Tableau3[[#This Row],[EBE]])),"")</f>
        <v>0.17205788465630986</v>
      </c>
      <c r="V1055" s="237">
        <f>IFERROR(Tableau3[[#This Row],[Fonds propres]]/Tableau3[[#This Row],[Total Bilan]],"")</f>
        <v>0.57238393977415303</v>
      </c>
      <c r="W1055" s="180">
        <v>7970000000</v>
      </c>
      <c r="X1055" s="191"/>
      <c r="Y1055" s="180">
        <v>16055</v>
      </c>
      <c r="Z1055" s="192">
        <f>IFERROR(Tableau3[[#This Row],[Chiffre d''affaires]]/Tableau3[[#This Row],[Salariés]],"")</f>
        <v>216592.96169417628</v>
      </c>
      <c r="AA1055" s="197">
        <f>Tableau3[[#This Row],[Capi]]/Tableau3[[#This Row],[Chiffre d''affaires]]</f>
        <v>6.5829803876459421</v>
      </c>
      <c r="AB1055" s="238"/>
      <c r="AC1055" s="177" t="s">
        <v>732</v>
      </c>
    </row>
    <row r="1056" spans="1:29" ht="20.25" customHeight="1">
      <c r="E1056" s="187"/>
      <c r="G1056" s="202">
        <f>(G1055/G1057)-1</f>
        <v>7.7258792419349742E-2</v>
      </c>
      <c r="H1056" s="202">
        <f>(H1055/H1057)-1</f>
        <v>5.6780294724532165E-2</v>
      </c>
      <c r="I1056" s="202">
        <f>(I1055/I1057)-1</f>
        <v>5.3765063339757724E-2</v>
      </c>
      <c r="J1056" s="202">
        <f>(J1055/J1057)-1</f>
        <v>8.3161586022332257E-2</v>
      </c>
      <c r="K1056" s="180"/>
      <c r="M1056" s="177"/>
      <c r="N1056" s="178"/>
      <c r="O1056" s="177"/>
      <c r="P1056" s="236"/>
      <c r="Q1056" s="231"/>
      <c r="R1056" s="195"/>
      <c r="S1056" s="178"/>
      <c r="T1056" s="180"/>
      <c r="U1056" s="189" t="str">
        <f>IFERROR(IF(Tableau3[[#This Row],[Dettes]]=0,"",(Tableau3[[#This Row],[Dettes]]/Tableau3[[#This Row],[EBE]])),"")</f>
        <v/>
      </c>
      <c r="V1056" s="237" t="str">
        <f>IFERROR(Tableau3[[#This Row],[Fonds propres]]/Tableau3[[#This Row],[Total Bilan]],"")</f>
        <v/>
      </c>
      <c r="W1056" s="180"/>
      <c r="X1056" s="191"/>
      <c r="Y1056" s="180"/>
      <c r="Z1056" s="192" t="str">
        <f>IFERROR(Tableau3[[#This Row],[Chiffre d''affaires]]/Tableau3[[#This Row],[Salariés]],"")</f>
        <v/>
      </c>
      <c r="AA1056" s="239"/>
      <c r="AB1056" s="240"/>
      <c r="AC1056" s="177" t="s">
        <v>733</v>
      </c>
    </row>
    <row r="1057" spans="5:29" ht="20.25" customHeight="1">
      <c r="E1057" s="187">
        <v>72.39</v>
      </c>
      <c r="F1057" s="178">
        <v>2017</v>
      </c>
      <c r="G1057" s="180">
        <v>3228008000</v>
      </c>
      <c r="H1057" s="180">
        <v>889305000</v>
      </c>
      <c r="I1057" s="180">
        <v>729005000</v>
      </c>
      <c r="J1057" s="180">
        <v>520144000</v>
      </c>
      <c r="K1057" s="180">
        <v>149314000</v>
      </c>
      <c r="L1057" s="180">
        <v>3996047000</v>
      </c>
      <c r="M1057" s="194">
        <f>L1057/P1057</f>
        <v>15.470565234223772</v>
      </c>
      <c r="N1057" s="190">
        <f>J1057/L1059</f>
        <v>0.13395998950250473</v>
      </c>
      <c r="O1057" s="190">
        <f>(I1057*0.8)/(K1059+L1059)</f>
        <v>0.14479859552284424</v>
      </c>
      <c r="P1057" s="236">
        <v>258300000</v>
      </c>
      <c r="Q1057" s="231">
        <f>P1057*E1057</f>
        <v>18698337000</v>
      </c>
      <c r="R1057" s="195">
        <f>Q1057/L1057</f>
        <v>4.6792084777781646</v>
      </c>
      <c r="S1057" s="197">
        <f>(Q1057+K1057)/H1057</f>
        <v>21.193686080703472</v>
      </c>
      <c r="T1057" s="180"/>
      <c r="U1057" s="189">
        <f>IFERROR(IF(Tableau3[[#This Row],[Dettes]]=0,"",(Tableau3[[#This Row],[Dettes]]/Tableau3[[#This Row],[EBE]])),"")</f>
        <v>0.16789965197541901</v>
      </c>
      <c r="V1057" s="237">
        <f>IFERROR(Tableau3[[#This Row],[Fonds propres]]/Tableau3[[#This Row],[Total Bilan]],"")</f>
        <v>0.56842773826458037</v>
      </c>
      <c r="W1057" s="180">
        <v>7030000000</v>
      </c>
      <c r="X1057" s="191"/>
      <c r="Y1057" s="180">
        <v>16140</v>
      </c>
      <c r="Z1057" s="192">
        <f>IFERROR(Tableau3[[#This Row],[Chiffre d''affaires]]/Tableau3[[#This Row],[Salariés]],"")</f>
        <v>200000.49566294919</v>
      </c>
      <c r="AA1057" s="197">
        <f>Tableau3[[#This Row],[Capi]]/Tableau3[[#This Row],[Chiffre d''affaires]]</f>
        <v>5.7925311833180091</v>
      </c>
      <c r="AC1057" s="177" t="s">
        <v>734</v>
      </c>
    </row>
    <row r="1058" spans="5:29" ht="20.25" customHeight="1">
      <c r="E1058" s="187"/>
      <c r="G1058" s="202">
        <f>(G1057/G1059)-1</f>
        <v>5.6428455949202538E-2</v>
      </c>
      <c r="H1058" s="202">
        <f>(H1057/H1059)-1</f>
        <v>7.4255225081356846E-2</v>
      </c>
      <c r="I1058" s="202">
        <f>(I1057/I1059)-1</f>
        <v>8.4773984649586076E-2</v>
      </c>
      <c r="J1058" s="202">
        <f>(J1057/J1059)-1</f>
        <v>0.15023429535588795</v>
      </c>
      <c r="K1058" s="180"/>
      <c r="M1058" s="177"/>
      <c r="N1058" s="178"/>
      <c r="O1058" s="177"/>
      <c r="P1058" s="236"/>
      <c r="Q1058" s="231"/>
      <c r="R1058" s="195"/>
      <c r="S1058" s="178"/>
      <c r="T1058" s="180"/>
      <c r="U1058" s="189" t="str">
        <f>IFERROR(IF(Tableau3[[#This Row],[Dettes]]=0,"",(Tableau3[[#This Row],[Dettes]]/Tableau3[[#This Row],[EBE]])),"")</f>
        <v/>
      </c>
      <c r="V1058" s="237" t="str">
        <f>IFERROR(Tableau3[[#This Row],[Fonds propres]]/Tableau3[[#This Row],[Total Bilan]],"")</f>
        <v/>
      </c>
      <c r="W1058" s="180"/>
      <c r="X1058" s="191"/>
      <c r="Y1058" s="180"/>
      <c r="Z1058" s="192" t="str">
        <f>IFERROR(Tableau3[[#This Row],[Chiffre d''affaires]]/Tableau3[[#This Row],[Salariés]],"")</f>
        <v/>
      </c>
      <c r="AA1058" s="197"/>
      <c r="AC1058" s="177" t="s">
        <v>735</v>
      </c>
    </row>
    <row r="1059" spans="5:29" ht="20.25" customHeight="1">
      <c r="E1059" s="187">
        <v>73.77</v>
      </c>
      <c r="F1059" s="178">
        <v>2016</v>
      </c>
      <c r="G1059" s="180">
        <v>3055586000</v>
      </c>
      <c r="H1059" s="180">
        <v>827834000</v>
      </c>
      <c r="I1059" s="180">
        <v>672034000</v>
      </c>
      <c r="J1059" s="180">
        <v>452207000</v>
      </c>
      <c r="K1059" s="180">
        <v>144860000</v>
      </c>
      <c r="L1059" s="180">
        <v>3882831000</v>
      </c>
      <c r="M1059" s="194">
        <f>L1059/P1059</f>
        <v>15.084813519813521</v>
      </c>
      <c r="N1059" s="190">
        <f>J1059/L1061</f>
        <v>0.12965772839276796</v>
      </c>
      <c r="O1059" s="190">
        <f>(I1059*0.8)/(K1061+L1061)</f>
        <v>0.14903040887040886</v>
      </c>
      <c r="P1059" s="236">
        <v>257400000</v>
      </c>
      <c r="Q1059" s="231">
        <f>P1059*E1059</f>
        <v>18988398000</v>
      </c>
      <c r="R1059" s="195">
        <f>Q1059/L1059</f>
        <v>4.8903488202293639</v>
      </c>
      <c r="S1059" s="197">
        <f>(Q1059+K1059)/H1059</f>
        <v>23.112433168968657</v>
      </c>
      <c r="T1059" s="180"/>
      <c r="U1059" s="189">
        <f>IFERROR(IF(Tableau3[[#This Row],[Dettes]]=0,"",(Tableau3[[#This Row],[Dettes]]/Tableau3[[#This Row],[EBE]])),"")</f>
        <v>0.17498677271047094</v>
      </c>
      <c r="V1059" s="237">
        <f>IFERROR(Tableau3[[#This Row],[Fonds propres]]/Tableau3[[#This Row],[Total Bilan]],"")</f>
        <v>0.55923867063916721</v>
      </c>
      <c r="W1059" s="180">
        <v>6943066000</v>
      </c>
      <c r="X1059" s="191"/>
      <c r="Y1059" s="180">
        <v>15133</v>
      </c>
      <c r="Z1059" s="192">
        <f>IFERROR(Tableau3[[#This Row],[Chiffre d''affaires]]/Tableau3[[#This Row],[Salariés]],"")</f>
        <v>201915.41663913301</v>
      </c>
      <c r="AA1059" s="197">
        <f>Tableau3[[#This Row],[Capi]]/Tableau3[[#This Row],[Chiffre d''affaires]]</f>
        <v>6.2143228827465498</v>
      </c>
      <c r="AB1059" s="238"/>
      <c r="AC1059" s="177" t="s">
        <v>736</v>
      </c>
    </row>
    <row r="1060" spans="5:29" ht="20.25" customHeight="1">
      <c r="E1060" s="187"/>
      <c r="G1060" s="202">
        <f>(G1059/G1061)-1</f>
        <v>7.6117071762010768E-2</v>
      </c>
      <c r="H1060" s="202">
        <f>(H1059/H1061)-1</f>
        <v>4.4180992347443881E-2</v>
      </c>
      <c r="I1060" s="202">
        <f>(I1059/I1061)-1</f>
        <v>6.1318020805202655E-2</v>
      </c>
      <c r="J1060" s="202">
        <f>(J1059/J1061)-1</f>
        <v>0.11394478643974271</v>
      </c>
      <c r="K1060" s="180"/>
      <c r="L1060" s="180"/>
      <c r="M1060" s="177"/>
      <c r="N1060" s="178"/>
      <c r="O1060" s="177"/>
      <c r="P1060" s="236"/>
      <c r="Q1060" s="231"/>
      <c r="R1060" s="195"/>
      <c r="S1060" s="178"/>
      <c r="T1060" s="180"/>
      <c r="U1060" s="189" t="str">
        <f>IFERROR(IF(Tableau3[[#This Row],[Dettes]]=0,"",(Tableau3[[#This Row],[Dettes]]/Tableau3[[#This Row],[EBE]])),"")</f>
        <v/>
      </c>
      <c r="V1060" s="237" t="str">
        <f>IFERROR(Tableau3[[#This Row],[Fonds propres]]/Tableau3[[#This Row],[Total Bilan]],"")</f>
        <v/>
      </c>
      <c r="W1060" s="180"/>
      <c r="X1060" s="191"/>
      <c r="Y1060" s="180"/>
      <c r="Z1060" s="192" t="str">
        <f>IFERROR(Tableau3[[#This Row],[Chiffre d''affaires]]/Tableau3[[#This Row],[Salariés]],"")</f>
        <v/>
      </c>
      <c r="AA1060" s="197"/>
      <c r="AB1060" s="240"/>
      <c r="AC1060" s="177" t="s">
        <v>737</v>
      </c>
    </row>
    <row r="1061" spans="5:29" ht="20.25" customHeight="1">
      <c r="E1061" s="187">
        <v>73.27</v>
      </c>
      <c r="F1061" s="178">
        <v>2015</v>
      </c>
      <c r="G1061" s="180">
        <v>2839455000</v>
      </c>
      <c r="H1061" s="180">
        <v>792807000</v>
      </c>
      <c r="I1061" s="180">
        <v>633207000</v>
      </c>
      <c r="J1061" s="180">
        <v>405951000</v>
      </c>
      <c r="K1061" s="180">
        <v>119802000</v>
      </c>
      <c r="L1061" s="180">
        <v>3487698000</v>
      </c>
      <c r="M1061" s="194">
        <f>L1061/P1061</f>
        <v>13.591964146531566</v>
      </c>
      <c r="N1061" s="190">
        <f>J1061/L1063</f>
        <v>0.13716859311560314</v>
      </c>
      <c r="O1061" s="190">
        <f>(I1061*0.8)/(K1063+L1063)</f>
        <v>0.16394605400748455</v>
      </c>
      <c r="P1061" s="236">
        <v>256600000</v>
      </c>
      <c r="Q1061" s="231">
        <f>P1061*E1061</f>
        <v>18801082000</v>
      </c>
      <c r="R1061" s="195">
        <f>Q1061/L1061</f>
        <v>5.3906852026752317</v>
      </c>
      <c r="S1061" s="197">
        <f>(Q1061+K1061)/H1061</f>
        <v>23.865687361488988</v>
      </c>
      <c r="T1061" s="180"/>
      <c r="U1061" s="189">
        <f>IFERROR(IF(Tableau3[[#This Row],[Dettes]]=0,"",(Tableau3[[#This Row],[Dettes]]/Tableau3[[#This Row],[EBE]])),"")</f>
        <v>0.15111117838263285</v>
      </c>
      <c r="V1061" s="190">
        <f>IFERROR(Tableau3[[#This Row],[Fonds propres]]/Tableau3[[#This Row],[Total Bilan]],"")</f>
        <v>0.55260028234488856</v>
      </c>
      <c r="W1061" s="180">
        <v>6311430000</v>
      </c>
      <c r="X1061" s="191"/>
      <c r="Y1061" s="180">
        <v>13974</v>
      </c>
      <c r="Z1061" s="192">
        <f>IFERROR(Tableau3[[#This Row],[Chiffre d''affaires]]/Tableau3[[#This Row],[Salariés]],"")</f>
        <v>203195.57750107342</v>
      </c>
      <c r="AA1061" s="197">
        <f>Tableau3[[#This Row],[Capi]]/Tableau3[[#This Row],[Chiffre d''affaires]]</f>
        <v>6.6213699459931572</v>
      </c>
      <c r="AB1061" s="238"/>
      <c r="AC1061" s="235" t="s">
        <v>738</v>
      </c>
    </row>
    <row r="1062" spans="5:29" ht="20.25" customHeight="1">
      <c r="E1062" s="187"/>
      <c r="G1062" s="202">
        <f>(G1061/G1063)-1</f>
        <v>0.23762356817825192</v>
      </c>
      <c r="H1062" s="202">
        <f>(H1061/H1063)-1</f>
        <v>0.40514802841464981</v>
      </c>
      <c r="I1062" s="202">
        <f>(I1061/I1063)-1</f>
        <v>0.46978524474485628</v>
      </c>
      <c r="J1062" s="202">
        <f>(J1061/J1063)-1</f>
        <v>0.3881039493930587</v>
      </c>
      <c r="K1062" s="180"/>
      <c r="L1062" s="180"/>
      <c r="M1062" s="177"/>
      <c r="N1062" s="178"/>
      <c r="O1062" s="177"/>
      <c r="P1062" s="236"/>
      <c r="Q1062" s="231"/>
      <c r="R1062" s="195"/>
      <c r="S1062" s="178"/>
      <c r="T1062" s="180"/>
      <c r="U1062" s="189" t="str">
        <f>IFERROR(IF(Tableau3[[#This Row],[Dettes]]=0,"",(Tableau3[[#This Row],[Dettes]]/Tableau3[[#This Row],[EBE]])),"")</f>
        <v/>
      </c>
      <c r="V1062" s="190" t="str">
        <f>IFERROR(Tableau3[[#This Row],[Fonds propres]]/Tableau3[[#This Row],[Total Bilan]],"")</f>
        <v/>
      </c>
      <c r="W1062" s="180"/>
      <c r="X1062" s="191"/>
      <c r="Y1062" s="180"/>
      <c r="Z1062" s="192" t="str">
        <f>IFERROR(Tableau3[[#This Row],[Chiffre d''affaires]]/Tableau3[[#This Row],[Salariés]],"")</f>
        <v/>
      </c>
      <c r="AA1062" s="197"/>
      <c r="AB1062" s="240"/>
      <c r="AC1062" s="235" t="s">
        <v>739</v>
      </c>
    </row>
    <row r="1063" spans="5:29" ht="20.25" customHeight="1">
      <c r="E1063" s="187">
        <v>50.52</v>
      </c>
      <c r="F1063" s="178">
        <v>2014</v>
      </c>
      <c r="G1063" s="180">
        <v>2294280000</v>
      </c>
      <c r="H1063" s="180">
        <v>564216000</v>
      </c>
      <c r="I1063" s="180">
        <v>430816000</v>
      </c>
      <c r="J1063" s="180">
        <v>292450000</v>
      </c>
      <c r="K1063" s="180">
        <v>130327000</v>
      </c>
      <c r="L1063" s="180">
        <v>2959504000</v>
      </c>
      <c r="M1063" s="194">
        <f>L1063/P1063</f>
        <v>11.59226008617313</v>
      </c>
      <c r="N1063" s="190">
        <f>J1063/L1065</f>
        <v>0.11202718837997079</v>
      </c>
      <c r="O1063" s="190">
        <f>(I1063*0.8)/(K1065+L1065)</f>
        <v>0.13202422346139303</v>
      </c>
      <c r="P1063" s="236">
        <v>255300000</v>
      </c>
      <c r="Q1063" s="231">
        <f>P1063*E1063</f>
        <v>12897756000</v>
      </c>
      <c r="R1063" s="195">
        <f>Q1063/L1063</f>
        <v>4.3580802729105956</v>
      </c>
      <c r="S1063" s="197">
        <f>(Q1063+K1063)/H1063</f>
        <v>23.090594736767478</v>
      </c>
      <c r="T1063" s="180"/>
      <c r="U1063" s="189">
        <f>IFERROR(IF(Tableau3[[#This Row],[Dettes]]=0,"",(Tableau3[[#This Row],[Dettes]]/Tableau3[[#This Row],[EBE]])),"")</f>
        <v>0.23098777773051454</v>
      </c>
      <c r="V1063" s="190">
        <f>IFERROR(Tableau3[[#This Row],[Fonds propres]]/Tableau3[[#This Row],[Total Bilan]],"")</f>
        <v>0.59638561986135741</v>
      </c>
      <c r="W1063" s="180">
        <v>4962400000</v>
      </c>
      <c r="X1063" s="191"/>
      <c r="Y1063" s="180">
        <v>13312</v>
      </c>
      <c r="Z1063" s="192">
        <f>IFERROR(Tableau3[[#This Row],[Chiffre d''affaires]]/Tableau3[[#This Row],[Salariés]],"")</f>
        <v>172346.75480769231</v>
      </c>
      <c r="AA1063" s="197">
        <f>Tableau3[[#This Row],[Capi]]/Tableau3[[#This Row],[Chiffre d''affaires]]</f>
        <v>5.6217009257806367</v>
      </c>
      <c r="AB1063" s="238"/>
      <c r="AC1063" s="216" t="s">
        <v>740</v>
      </c>
    </row>
    <row r="1064" spans="5:29" ht="20.25" customHeight="1">
      <c r="E1064" s="187"/>
      <c r="G1064" s="202">
        <f>(G1063/G1065)-1</f>
        <v>0.11042759796972401</v>
      </c>
      <c r="H1064" s="202"/>
      <c r="I1064" s="202">
        <f>(I1063/I1065)-1</f>
        <v>-0.14358017107881438</v>
      </c>
      <c r="J1064" s="202">
        <f>(J1063/J1065)-1</f>
        <v>-0.16983413714697726</v>
      </c>
      <c r="M1064" s="177"/>
      <c r="N1064" s="178"/>
      <c r="O1064" s="177"/>
      <c r="P1064" s="238"/>
      <c r="Q1064" s="231"/>
      <c r="R1064" s="195"/>
      <c r="S1064" s="178"/>
      <c r="T1064" s="180"/>
      <c r="U1064" s="189" t="str">
        <f>IFERROR(IF(Tableau3[[#This Row],[Dettes]]=0,"",(Tableau3[[#This Row],[Dettes]]/Tableau3[[#This Row],[EBE]])),"")</f>
        <v/>
      </c>
      <c r="V1064" s="190" t="str">
        <f>IFERROR(Tableau3[[#This Row],[Fonds propres]]/Tableau3[[#This Row],[Total Bilan]],"")</f>
        <v/>
      </c>
      <c r="W1064" s="180"/>
      <c r="X1064" s="191"/>
      <c r="Y1064" s="180"/>
      <c r="Z1064" s="192" t="str">
        <f>IFERROR(Tableau3[[#This Row],[Chiffre d''affaires]]/Tableau3[[#This Row],[Salariés]],"")</f>
        <v/>
      </c>
      <c r="AA1064" s="197"/>
      <c r="AC1064" s="177" t="s">
        <v>741</v>
      </c>
    </row>
    <row r="1065" spans="5:29" ht="20.25" customHeight="1">
      <c r="E1065" s="187">
        <v>44.29</v>
      </c>
      <c r="F1065" s="178">
        <v>2013</v>
      </c>
      <c r="G1065" s="180">
        <v>2066123000</v>
      </c>
      <c r="I1065" s="180">
        <v>503043000</v>
      </c>
      <c r="J1065" s="180">
        <v>352279000</v>
      </c>
      <c r="K1065" s="180"/>
      <c r="L1065" s="180">
        <v>2610527000</v>
      </c>
      <c r="M1065" s="194">
        <f>L1065/P1065</f>
        <v>20.566183013816307</v>
      </c>
      <c r="N1065" s="190">
        <f>J1065/L1067</f>
        <v>0.15074364307870844</v>
      </c>
      <c r="O1065" s="190">
        <f>(I1065*0.8)/(K1067+L1067)</f>
        <v>0.17220563120763424</v>
      </c>
      <c r="P1065" s="236">
        <v>126932985</v>
      </c>
      <c r="Q1065" s="231">
        <f>P1065*E1065</f>
        <v>5621861905.6499996</v>
      </c>
      <c r="R1065" s="195">
        <f>Q1065/L1065</f>
        <v>2.1535352461974151</v>
      </c>
      <c r="S1065" s="197"/>
      <c r="T1065" s="180"/>
      <c r="U1065" s="189" t="str">
        <f>IFERROR(IF(Tableau3[[#This Row],[Dettes]]=0,"",(Tableau3[[#This Row],[Dettes]]/Tableau3[[#This Row],[EBE]])),"")</f>
        <v/>
      </c>
      <c r="V1065" s="190">
        <f>IFERROR(Tableau3[[#This Row],[Fonds propres]]/Tableau3[[#This Row],[Total Bilan]],"")</f>
        <v>0.62335093088576998</v>
      </c>
      <c r="W1065" s="180">
        <v>4187893000</v>
      </c>
      <c r="X1065" s="191"/>
      <c r="Y1065" s="180">
        <v>10654</v>
      </c>
      <c r="Z1065" s="192">
        <f>IFERROR(Tableau3[[#This Row],[Chiffre d''affaires]]/Tableau3[[#This Row],[Salariés]],"")</f>
        <v>193929.32232025531</v>
      </c>
      <c r="AA1065" s="197">
        <f>Tableau3[[#This Row],[Capi]]/Tableau3[[#This Row],[Chiffre d''affaires]]</f>
        <v>2.7209715518630788</v>
      </c>
      <c r="AC1065" s="216" t="s">
        <v>742</v>
      </c>
    </row>
    <row r="1066" spans="5:29" ht="20.25" customHeight="1">
      <c r="E1066" s="187"/>
      <c r="G1066" s="202">
        <f>(G1065/G1067)-1</f>
        <v>1.8626543255525929E-2</v>
      </c>
      <c r="H1066" s="202"/>
      <c r="I1066" s="202">
        <f>(I1065/I1067)-1</f>
        <v>4.1560121446579945E-3</v>
      </c>
      <c r="J1066" s="202">
        <f>(J1065/J1067)-1</f>
        <v>5.2141293407522271E-2</v>
      </c>
      <c r="M1066" s="177"/>
      <c r="N1066" s="178"/>
      <c r="O1066" s="177"/>
      <c r="P1066" s="236"/>
      <c r="Q1066" s="231"/>
      <c r="R1066" s="195"/>
      <c r="S1066" s="178"/>
      <c r="T1066" s="180"/>
      <c r="U1066" s="189" t="str">
        <f>IFERROR(IF(Tableau3[[#This Row],[Dettes]]=0,"",(Tableau3[[#This Row],[Dettes]]/Tableau3[[#This Row],[EBE]])),"")</f>
        <v/>
      </c>
      <c r="V1066" s="190" t="str">
        <f>IFERROR(Tableau3[[#This Row],[Fonds propres]]/Tableau3[[#This Row],[Total Bilan]],"")</f>
        <v/>
      </c>
      <c r="W1066" s="180"/>
      <c r="X1066" s="191"/>
      <c r="Y1066" s="180"/>
      <c r="Z1066" s="192" t="str">
        <f>IFERROR(Tableau3[[#This Row],[Chiffre d''affaires]]/Tableau3[[#This Row],[Salariés]],"")</f>
        <v/>
      </c>
      <c r="AA1066" s="197"/>
      <c r="AC1066" s="177" t="s">
        <v>743</v>
      </c>
    </row>
    <row r="1067" spans="5:29" ht="20.25" customHeight="1">
      <c r="E1067" s="187">
        <v>42.22</v>
      </c>
      <c r="F1067" s="178">
        <v>2012</v>
      </c>
      <c r="G1067" s="180">
        <v>2028342000</v>
      </c>
      <c r="I1067" s="180">
        <v>500961000</v>
      </c>
      <c r="J1067" s="180">
        <v>334821000</v>
      </c>
      <c r="K1067" s="180"/>
      <c r="L1067" s="180">
        <v>2336941000</v>
      </c>
      <c r="M1067" s="194">
        <f>L1067/P1067</f>
        <v>18.681064671385862</v>
      </c>
      <c r="N1067" s="190">
        <f>J1067/L1069</f>
        <v>0.16204675249249831</v>
      </c>
      <c r="O1067" s="190">
        <f>(I1067*0.8)/(K1069+L1069)</f>
        <v>0.19140739325628045</v>
      </c>
      <c r="P1067" s="236">
        <v>125096778</v>
      </c>
      <c r="Q1067" s="231">
        <f>P1067*E1067</f>
        <v>5281585967.1599998</v>
      </c>
      <c r="R1067" s="195">
        <f>Q1067/L1067</f>
        <v>2.2600424945088471</v>
      </c>
      <c r="S1067" s="197"/>
      <c r="T1067" s="180"/>
      <c r="U1067" s="189" t="str">
        <f>IFERROR(IF(Tableau3[[#This Row],[Dettes]]=0,"",(Tableau3[[#This Row],[Dettes]]/Tableau3[[#This Row],[EBE]])),"")</f>
        <v/>
      </c>
      <c r="V1067" s="190">
        <f>IFERROR(Tableau3[[#This Row],[Fonds propres]]/Tableau3[[#This Row],[Total Bilan]],"")</f>
        <v>0.64691733477723834</v>
      </c>
      <c r="W1067" s="180">
        <v>3612426000</v>
      </c>
      <c r="X1067" s="191"/>
      <c r="Y1067" s="180">
        <v>10122</v>
      </c>
      <c r="Z1067" s="192">
        <f>IFERROR(Tableau3[[#This Row],[Chiffre d''affaires]]/Tableau3[[#This Row],[Salariés]],"")</f>
        <v>200389.44872554831</v>
      </c>
      <c r="AA1067" s="197">
        <f>Tableau3[[#This Row],[Capi]]/Tableau3[[#This Row],[Chiffre d''affaires]]</f>
        <v>2.603893212860553</v>
      </c>
      <c r="AC1067" s="177" t="s">
        <v>4691</v>
      </c>
    </row>
    <row r="1068" spans="5:29" ht="20.25" customHeight="1">
      <c r="E1068" s="187"/>
      <c r="G1068" s="202">
        <f>(G1067/G1069)-1</f>
        <v>0.13760067302299506</v>
      </c>
      <c r="H1068" s="202"/>
      <c r="I1068" s="202">
        <f>(I1067/I1069)-1</f>
        <v>0.1706939179936342</v>
      </c>
      <c r="J1068" s="202">
        <f>(J1067/J1069)-1</f>
        <v>0.15781301870089637</v>
      </c>
      <c r="K1068" s="180"/>
      <c r="M1068" s="177"/>
      <c r="N1068" s="178"/>
      <c r="O1068" s="177"/>
      <c r="P1068" s="236"/>
      <c r="Q1068" s="231"/>
      <c r="R1068" s="195"/>
      <c r="S1068" s="178"/>
      <c r="T1068" s="180"/>
      <c r="U1068" s="189" t="str">
        <f>IFERROR(IF(Tableau3[[#This Row],[Dettes]]=0,"",(Tableau3[[#This Row],[Dettes]]/Tableau3[[#This Row],[EBE]])),"")</f>
        <v/>
      </c>
      <c r="V1068" s="190" t="str">
        <f>IFERROR(Tableau3[[#This Row],[Fonds propres]]/Tableau3[[#This Row],[Total Bilan]],"")</f>
        <v/>
      </c>
      <c r="W1068" s="180"/>
      <c r="X1068" s="191"/>
      <c r="Y1068" s="180"/>
      <c r="Z1068" s="192" t="str">
        <f>IFERROR(Tableau3[[#This Row],[Chiffre d''affaires]]/Tableau3[[#This Row],[Salariés]],"")</f>
        <v/>
      </c>
      <c r="AA1068" s="197"/>
      <c r="AC1068" s="177" t="s">
        <v>4696</v>
      </c>
    </row>
    <row r="1069" spans="5:29" ht="20.25" customHeight="1">
      <c r="E1069" s="187">
        <v>30.97</v>
      </c>
      <c r="F1069" s="178">
        <v>2011</v>
      </c>
      <c r="G1069" s="180">
        <v>1783000000</v>
      </c>
      <c r="H1069" s="179"/>
      <c r="I1069" s="180">
        <v>427918000</v>
      </c>
      <c r="J1069" s="180">
        <v>289184000</v>
      </c>
      <c r="K1069" s="180">
        <v>27600000</v>
      </c>
      <c r="L1069" s="180">
        <v>2066200000</v>
      </c>
      <c r="M1069" s="194">
        <f>L1069/P1069</f>
        <v>16.78571932546885</v>
      </c>
      <c r="N1069" s="190">
        <f>J1069/L1071</f>
        <v>0.16148313602859057</v>
      </c>
      <c r="O1069" s="190">
        <f>(I1069*0.8)/(K1071+L1071)</f>
        <v>0.17719171842650103</v>
      </c>
      <c r="P1069" s="236">
        <v>123092729</v>
      </c>
      <c r="Q1069" s="231">
        <f>P1069*E1069</f>
        <v>3812181817.1299996</v>
      </c>
      <c r="R1069" s="195">
        <f>Q1069/L1069</f>
        <v>1.8450207226454358</v>
      </c>
      <c r="S1069" s="197"/>
      <c r="T1069" s="180"/>
      <c r="U1069" s="189" t="str">
        <f>IFERROR(IF(Tableau3[[#This Row],[Dettes]]=0,"",(Tableau3[[#This Row],[Dettes]]/Tableau3[[#This Row],[EBE]])),"")</f>
        <v/>
      </c>
      <c r="V1069" s="190">
        <f>IFERROR(Tableau3[[#This Row],[Fonds propres]]/Tableau3[[#This Row],[Total Bilan]],"")</f>
        <v>0.58752274795268422</v>
      </c>
      <c r="W1069" s="180">
        <v>3516800000</v>
      </c>
      <c r="X1069" s="191"/>
      <c r="Y1069" s="180">
        <v>9552</v>
      </c>
      <c r="Z1069" s="192">
        <f>IFERROR(Tableau3[[#This Row],[Chiffre d''affaires]]/Tableau3[[#This Row],[Salariés]],"")</f>
        <v>186662.47906197654</v>
      </c>
      <c r="AA1069" s="197">
        <f>Tableau3[[#This Row],[Capi]]/Tableau3[[#This Row],[Chiffre d''affaires]]</f>
        <v>2.1380716865563656</v>
      </c>
      <c r="AC1069" s="177" t="s">
        <v>4879</v>
      </c>
    </row>
    <row r="1070" spans="5:29" ht="20.25" customHeight="1">
      <c r="E1070" s="187"/>
      <c r="G1070" s="202">
        <f>(G1069/G1071)-1</f>
        <v>0.14017137741399166</v>
      </c>
      <c r="H1070" s="202"/>
      <c r="I1070" s="202">
        <f>(I1069/I1071)-1</f>
        <v>0.32899154313683465</v>
      </c>
      <c r="J1070" s="202">
        <f>(J1069/J1071)-1</f>
        <v>0.31123041207196755</v>
      </c>
      <c r="K1070" s="180"/>
      <c r="L1070" s="180"/>
      <c r="M1070" s="177"/>
      <c r="N1070" s="178"/>
      <c r="O1070" s="177"/>
      <c r="P1070" s="238"/>
      <c r="Q1070" s="231"/>
      <c r="R1070" s="195"/>
      <c r="S1070" s="178"/>
      <c r="T1070" s="180"/>
      <c r="U1070" s="189" t="str">
        <f>IFERROR(IF(Tableau3[[#This Row],[Dettes]]=0,"",(Tableau3[[#This Row],[Dettes]]/Tableau3[[#This Row],[EBE]])),"")</f>
        <v/>
      </c>
      <c r="V1070" s="190" t="str">
        <f>IFERROR(Tableau3[[#This Row],[Fonds propres]]/Tableau3[[#This Row],[Total Bilan]],"")</f>
        <v/>
      </c>
      <c r="W1070" s="180"/>
      <c r="X1070" s="191"/>
      <c r="Y1070" s="180"/>
      <c r="Z1070" s="192" t="str">
        <f>IFERROR(Tableau3[[#This Row],[Chiffre d''affaires]]/Tableau3[[#This Row],[Salariés]],"")</f>
        <v/>
      </c>
      <c r="AA1070" s="197"/>
      <c r="AC1070" s="177" t="s">
        <v>744</v>
      </c>
    </row>
    <row r="1071" spans="5:29" ht="20.25" customHeight="1">
      <c r="E1071" s="187">
        <v>28.21</v>
      </c>
      <c r="F1071" s="178">
        <v>2010</v>
      </c>
      <c r="G1071" s="180">
        <v>1563800000</v>
      </c>
      <c r="I1071" s="180">
        <v>321987000</v>
      </c>
      <c r="J1071" s="180">
        <v>220544000</v>
      </c>
      <c r="K1071" s="180">
        <v>141200000</v>
      </c>
      <c r="L1071" s="180">
        <v>1790800000</v>
      </c>
      <c r="M1071" s="194">
        <f>L1071/P1071</f>
        <v>14.759429378108459</v>
      </c>
      <c r="N1071" s="190">
        <f>J1071/L1073</f>
        <v>0.15234095461766942</v>
      </c>
      <c r="O1071" s="190">
        <f>(I1071*0.8)/(K1073+L1073)</f>
        <v>0.20744914230490458</v>
      </c>
      <c r="P1071" s="236">
        <v>121332604</v>
      </c>
      <c r="Q1071" s="231">
        <f>P1071*E1071</f>
        <v>3422792758.8400002</v>
      </c>
      <c r="R1071" s="195">
        <f>Q1071/L1071</f>
        <v>1.9113205041545678</v>
      </c>
      <c r="S1071" s="197"/>
      <c r="T1071" s="180"/>
      <c r="U1071" s="189" t="str">
        <f>IFERROR(IF(Tableau3[[#This Row],[Dettes]]=0,"",(Tableau3[[#This Row],[Dettes]]/Tableau3[[#This Row],[EBE]])),"")</f>
        <v/>
      </c>
      <c r="V1071" s="190">
        <f>IFERROR(Tableau3[[#This Row],[Fonds propres]]/Tableau3[[#This Row],[Total Bilan]],"")</f>
        <v>0.58298066280356797</v>
      </c>
      <c r="W1071" s="180">
        <v>3071800000</v>
      </c>
      <c r="X1071" s="191"/>
      <c r="Y1071" s="180">
        <v>9035</v>
      </c>
      <c r="Z1071" s="192">
        <f>IFERROR(Tableau3[[#This Row],[Chiffre d''affaires]]/Tableau3[[#This Row],[Salariés]],"")</f>
        <v>173082.45711123408</v>
      </c>
      <c r="AA1071" s="197">
        <f>Tableau3[[#This Row],[Capi]]/Tableau3[[#This Row],[Chiffre d''affaires]]</f>
        <v>2.1887663120859444</v>
      </c>
      <c r="AC1071" s="177" t="s">
        <v>745</v>
      </c>
    </row>
    <row r="1072" spans="5:29" ht="20.25" customHeight="1">
      <c r="E1072" s="187"/>
      <c r="G1072" s="202">
        <f>(G1071/G1073)-1</f>
        <v>0.24974027011907607</v>
      </c>
      <c r="H1072" s="202"/>
      <c r="I1072" s="202">
        <f>(I1071/I1073)-1</f>
        <v>2.6416958877908847E-2</v>
      </c>
      <c r="J1072" s="202">
        <f>(J1071/J1073)-1</f>
        <v>-2.0633484162896343E-3</v>
      </c>
      <c r="K1072" s="180"/>
      <c r="L1072" s="180"/>
      <c r="M1072" s="177"/>
      <c r="N1072" s="178"/>
      <c r="O1072" s="177"/>
      <c r="P1072" s="238"/>
      <c r="Q1072" s="231"/>
      <c r="R1072" s="195"/>
      <c r="S1072" s="178"/>
      <c r="T1072" s="180"/>
      <c r="U1072" s="189" t="str">
        <f>IFERROR(IF(Tableau3[[#This Row],[Dettes]]=0,"",(Tableau3[[#This Row],[Dettes]]/Tableau3[[#This Row],[EBE]])),"")</f>
        <v/>
      </c>
      <c r="V1072" s="190" t="str">
        <f>IFERROR(Tableau3[[#This Row],[Fonds propres]]/Tableau3[[#This Row],[Total Bilan]],"")</f>
        <v/>
      </c>
      <c r="W1072" s="180"/>
      <c r="X1072" s="191"/>
      <c r="Y1072" s="180"/>
      <c r="Z1072" s="192" t="str">
        <f>IFERROR(Tableau3[[#This Row],[Chiffre d''affaires]]/Tableau3[[#This Row],[Salariés]],"")</f>
        <v/>
      </c>
      <c r="AA1072" s="177"/>
      <c r="AC1072" s="235" t="s">
        <v>4695</v>
      </c>
    </row>
    <row r="1073" spans="1:29" ht="20.25" customHeight="1">
      <c r="E1073" s="187">
        <v>20.84</v>
      </c>
      <c r="F1073" s="178">
        <v>2009</v>
      </c>
      <c r="G1073" s="180">
        <v>1251300000</v>
      </c>
      <c r="I1073" s="180">
        <v>313700000</v>
      </c>
      <c r="J1073" s="180">
        <v>221000000</v>
      </c>
      <c r="K1073" s="180">
        <v>-206000000</v>
      </c>
      <c r="L1073" s="180">
        <v>1447700000</v>
      </c>
      <c r="M1073" s="194">
        <f>L1073/P1073</f>
        <v>12.230538581063721</v>
      </c>
      <c r="N1073" s="190">
        <f>Tableau3[[#This Row],[Résultat Net (PdG)]]/Tableau3[[#This Row],[Fonds propres]]</f>
        <v>0.15265593700352284</v>
      </c>
      <c r="O1073" s="190">
        <f>(Tableau3[[#This Row],[Résultat d''exploitation]]*0.8)/(Tableau3[[#This Row],[Dettes]]+Tableau3[[#This Row],[Fonds propres]])</f>
        <v>0.2021100104695176</v>
      </c>
      <c r="P1073" s="236">
        <v>118367641</v>
      </c>
      <c r="Q1073" s="231">
        <f>P1073*E1073</f>
        <v>2466781638.4400001</v>
      </c>
      <c r="R1073" s="195">
        <f>Q1073/L1073</f>
        <v>1.7039315040685226</v>
      </c>
      <c r="S1073" s="197"/>
      <c r="T1073" s="180"/>
      <c r="U1073" s="189" t="str">
        <f>IFERROR(IF(Tableau3[[#This Row],[Dettes]]=0,"",(Tableau3[[#This Row],[Dettes]]/Tableau3[[#This Row],[EBE]])),"")</f>
        <v/>
      </c>
      <c r="V1073" s="190">
        <f>IFERROR(Tableau3[[#This Row],[Fonds propres]]/Tableau3[[#This Row],[Total Bilan]],"")</f>
        <v>0.6295168935078489</v>
      </c>
      <c r="W1073" s="180">
        <v>2299700000</v>
      </c>
      <c r="X1073" s="191"/>
      <c r="Y1073" s="180">
        <v>7834</v>
      </c>
      <c r="Z1073" s="192">
        <f>IFERROR(Tableau3[[#This Row],[Chiffre d''affaires]]/Tableau3[[#This Row],[Salariés]],"")</f>
        <v>159726.83175899924</v>
      </c>
      <c r="AA1073" s="197">
        <f>Tableau3[[#This Row],[Capi]]/Tableau3[[#This Row],[Chiffre d''affaires]]</f>
        <v>1.9713750806681052</v>
      </c>
      <c r="AC1073" s="177" t="s">
        <v>746</v>
      </c>
    </row>
    <row r="1074" spans="1:29" ht="20.25" customHeight="1">
      <c r="A1074" s="217"/>
      <c r="G1074" s="188"/>
      <c r="H1074" s="178"/>
      <c r="I1074" s="178"/>
      <c r="J1074" s="178"/>
      <c r="K1074" s="178"/>
      <c r="L1074" s="180"/>
      <c r="M1074" s="178"/>
      <c r="N1074" s="178"/>
      <c r="O1074" s="177"/>
      <c r="P1074" s="238"/>
      <c r="Q1074" s="231"/>
      <c r="R1074" s="195"/>
      <c r="S1074" s="178"/>
      <c r="T1074" s="180"/>
      <c r="U1074" s="189" t="str">
        <f>IFERROR(IF(Tableau3[[#This Row],[Dettes]]=0,"",(Tableau3[[#This Row],[Dettes]]/Tableau3[[#This Row],[EBE]])),"")</f>
        <v/>
      </c>
      <c r="V1074" s="190" t="str">
        <f>IFERROR(Tableau3[[#This Row],[Fonds propres]]/Tableau3[[#This Row],[Total Bilan]],"")</f>
        <v/>
      </c>
      <c r="W1074" s="180"/>
      <c r="Y1074" s="180"/>
      <c r="Z1074" s="192" t="str">
        <f>IFERROR(Tableau3[[#This Row],[Chiffre d''affaires]]/Tableau3[[#This Row],[Salariés]],"")</f>
        <v/>
      </c>
      <c r="AA1074" s="177"/>
      <c r="AC1074" s="235" t="s">
        <v>747</v>
      </c>
    </row>
    <row r="1075" spans="1:29" ht="20.25" customHeight="1">
      <c r="A1075" s="217"/>
      <c r="E1075" s="217"/>
      <c r="F1075" s="217" t="s">
        <v>749</v>
      </c>
      <c r="G1075" s="188"/>
      <c r="H1075" s="178"/>
      <c r="I1075" s="178"/>
      <c r="J1075" s="178"/>
      <c r="K1075" s="178"/>
      <c r="L1075" s="180"/>
      <c r="M1075" s="178"/>
      <c r="N1075" s="178"/>
      <c r="O1075" s="177"/>
      <c r="P1075" s="238"/>
      <c r="Q1075" s="231"/>
      <c r="R1075" s="195"/>
      <c r="S1075" s="178"/>
      <c r="T1075" s="180"/>
      <c r="U1075" s="189" t="str">
        <f>IFERROR(IF(Tableau3[[#This Row],[Dettes]]=0,"",(Tableau3[[#This Row],[Dettes]]/Tableau3[[#This Row],[EBE]])),"")</f>
        <v/>
      </c>
      <c r="V1075" s="190" t="str">
        <f>IFERROR(Tableau3[[#This Row],[Fonds propres]]/Tableau3[[#This Row],[Total Bilan]],"")</f>
        <v/>
      </c>
      <c r="W1075" s="180"/>
      <c r="Y1075" s="180"/>
      <c r="Z1075" s="192" t="str">
        <f>IFERROR(Tableau3[[#This Row],[Chiffre d''affaires]]/Tableau3[[#This Row],[Salariés]],"")</f>
        <v/>
      </c>
      <c r="AA1075" s="177"/>
      <c r="AC1075" s="235" t="s">
        <v>748</v>
      </c>
    </row>
    <row r="1076" spans="1:29" ht="20.25" customHeight="1">
      <c r="A1076" s="217"/>
      <c r="E1076" s="217"/>
      <c r="G1076" s="188"/>
      <c r="H1076" s="178"/>
      <c r="I1076" s="178"/>
      <c r="J1076" s="178"/>
      <c r="K1076" s="178"/>
      <c r="L1076" s="180"/>
      <c r="M1076" s="178"/>
      <c r="N1076" s="178"/>
      <c r="O1076" s="177"/>
      <c r="P1076" s="238"/>
      <c r="Q1076" s="231"/>
      <c r="R1076" s="195"/>
      <c r="S1076" s="178"/>
      <c r="T1076" s="180"/>
      <c r="U1076" s="189" t="str">
        <f>IFERROR(IF(Tableau3[[#This Row],[Dettes]]=0,"",(Tableau3[[#This Row],[Dettes]]/Tableau3[[#This Row],[EBE]])),"")</f>
        <v/>
      </c>
      <c r="V1076" s="190" t="str">
        <f>IFERROR(Tableau3[[#This Row],[Fonds propres]]/Tableau3[[#This Row],[Total Bilan]],"")</f>
        <v/>
      </c>
      <c r="W1076" s="180"/>
      <c r="Y1076" s="180"/>
      <c r="Z1076" s="192" t="str">
        <f>IFERROR(Tableau3[[#This Row],[Chiffre d''affaires]]/Tableau3[[#This Row],[Salariés]],"")</f>
        <v/>
      </c>
      <c r="AA1076" s="177"/>
    </row>
    <row r="1077" spans="1:29" ht="20.25" customHeight="1">
      <c r="G1077" s="238"/>
      <c r="H1077" s="177"/>
      <c r="I1077" s="177"/>
      <c r="J1077" s="177"/>
      <c r="K1077" s="177"/>
      <c r="L1077" s="177"/>
      <c r="M1077" s="178"/>
      <c r="N1077" s="238"/>
      <c r="O1077" s="238"/>
      <c r="P1077" s="238"/>
      <c r="Q1077" s="238"/>
      <c r="R1077" s="238"/>
      <c r="S1077" s="178"/>
      <c r="T1077" s="180"/>
      <c r="U1077" s="189" t="str">
        <f>IFERROR(IF(Tableau3[[#This Row],[Dettes]]=0,"",(Tableau3[[#This Row],[Dettes]]/Tableau3[[#This Row],[EBE]])),"")</f>
        <v/>
      </c>
      <c r="V1077" s="190" t="str">
        <f>IFERROR(Tableau3[[#This Row],[Fonds propres]]/Tableau3[[#This Row],[Total Bilan]],"")</f>
        <v/>
      </c>
      <c r="W1077" s="180"/>
      <c r="Y1077" s="180"/>
      <c r="Z1077" s="192" t="str">
        <f>IFERROR(Tableau3[[#This Row],[Chiffre d''affaires]]/Tableau3[[#This Row],[Salariés]],"")</f>
        <v/>
      </c>
      <c r="AA1077" s="177"/>
    </row>
    <row r="1078" spans="1:29" ht="20.25" customHeight="1">
      <c r="A1078" s="217" t="s">
        <v>750</v>
      </c>
      <c r="B1078" s="216" t="s">
        <v>751</v>
      </c>
      <c r="C1078" s="178" t="s">
        <v>382</v>
      </c>
      <c r="D1078" s="178" t="s">
        <v>383</v>
      </c>
      <c r="E1078" s="187">
        <v>391</v>
      </c>
      <c r="F1078" s="178">
        <v>2025</v>
      </c>
      <c r="G1078" s="188">
        <v>23300000000</v>
      </c>
      <c r="H1078" s="177"/>
      <c r="I1078" s="177"/>
      <c r="J1078" s="177"/>
      <c r="K1078" s="177"/>
      <c r="L1078" s="177"/>
      <c r="M1078" s="178"/>
      <c r="N1078" s="238"/>
      <c r="O1078" s="238"/>
      <c r="P1078" s="188">
        <v>438000000</v>
      </c>
      <c r="Q1078" s="238"/>
      <c r="R1078" s="238"/>
      <c r="S1078" s="178"/>
      <c r="T1078" s="180"/>
      <c r="U1078" s="189" t="str">
        <f>IFERROR(IF(Tableau3[[#This Row],[Dettes]]=0,"",(Tableau3[[#This Row],[Dettes]]/Tableau3[[#This Row],[EBE]])),"")</f>
        <v/>
      </c>
      <c r="V1078" s="190" t="str">
        <f>IFERROR(Tableau3[[#This Row],[Fonds propres]]/Tableau3[[#This Row],[Total Bilan]],"")</f>
        <v/>
      </c>
      <c r="W1078" s="180"/>
      <c r="Y1078" s="180"/>
      <c r="Z1078" s="192" t="str">
        <f>IFERROR(Tableau3[[#This Row],[Chiffre d''affaires]]/Tableau3[[#This Row],[Salariés]],"")</f>
        <v/>
      </c>
      <c r="AA1078" s="177"/>
      <c r="AC1078" s="177" t="s">
        <v>752</v>
      </c>
    </row>
    <row r="1079" spans="1:29" ht="20.25" customHeight="1">
      <c r="G1079" s="202">
        <f>(G1078/G1080)-1</f>
        <v>8.3468960706812423E-2</v>
      </c>
      <c r="H1079" s="202"/>
      <c r="I1079" s="202"/>
      <c r="J1079" s="202"/>
      <c r="K1079" s="177"/>
      <c r="L1079" s="177"/>
      <c r="M1079" s="178"/>
      <c r="N1079" s="238"/>
      <c r="O1079" s="238"/>
      <c r="P1079" s="238"/>
      <c r="Q1079" s="238"/>
      <c r="R1079" s="238"/>
      <c r="S1079" s="178"/>
      <c r="T1079" s="180"/>
      <c r="U1079" s="189" t="str">
        <f>IFERROR(IF(Tableau3[[#This Row],[Dettes]]=0,"",(Tableau3[[#This Row],[Dettes]]/Tableau3[[#This Row],[EBE]])),"")</f>
        <v/>
      </c>
      <c r="V1079" s="190" t="str">
        <f>IFERROR(Tableau3[[#This Row],[Fonds propres]]/Tableau3[[#This Row],[Total Bilan]],"")</f>
        <v/>
      </c>
      <c r="W1079" s="180"/>
      <c r="Y1079" s="180"/>
      <c r="Z1079" s="192" t="str">
        <f>IFERROR(Tableau3[[#This Row],[Chiffre d''affaires]]/Tableau3[[#This Row],[Salariés]],"")</f>
        <v/>
      </c>
      <c r="AA1079" s="177"/>
      <c r="AC1079" s="177" t="s">
        <v>754</v>
      </c>
    </row>
    <row r="1080" spans="1:29" ht="20.25" customHeight="1">
      <c r="A1080" s="217"/>
      <c r="E1080" s="187">
        <v>444.68</v>
      </c>
      <c r="F1080" s="178">
        <v>2024</v>
      </c>
      <c r="G1080" s="188">
        <v>21505000000</v>
      </c>
      <c r="H1080" s="188"/>
      <c r="I1080" s="188">
        <v>6741000000</v>
      </c>
      <c r="J1080" s="188">
        <v>5560000000</v>
      </c>
      <c r="K1080" s="188">
        <v>-3484000000</v>
      </c>
      <c r="L1080" s="188">
        <v>14105000000</v>
      </c>
      <c r="M1080" s="194">
        <f>L1080/P1080</f>
        <v>31.839729119638825</v>
      </c>
      <c r="N1080" s="190">
        <f>J1080/L1080</f>
        <v>0.39418645870258773</v>
      </c>
      <c r="O1080" s="190">
        <f>(I1080*0.7)/(K1080+L1080)</f>
        <v>0.444280199604557</v>
      </c>
      <c r="P1080" s="188">
        <v>443000000</v>
      </c>
      <c r="Q1080" s="188">
        <f>P1080*E1080</f>
        <v>196993240000</v>
      </c>
      <c r="R1080" s="195">
        <f>Q1080/L1080</f>
        <v>13.966199220134705</v>
      </c>
      <c r="S1080" s="188"/>
      <c r="T1080" s="188"/>
      <c r="U1080" s="188" t="str">
        <f>IFERROR(IF(Tableau3[[#This Row],[Dettes]]=0,"",(Tableau3[[#This Row],[Dettes]]/Tableau3[[#This Row],[EBE]])),"")</f>
        <v/>
      </c>
      <c r="V1080" s="190">
        <f>IFERROR(Tableau3[[#This Row],[Fonds propres]]/Tableau3[[#This Row],[Total Bilan]],"")</f>
        <v>0.46658948064836253</v>
      </c>
      <c r="W1080" s="188">
        <v>30230000000</v>
      </c>
      <c r="X1080" s="188"/>
      <c r="Y1080" s="188"/>
      <c r="Z1080" s="188" t="str">
        <f>IFERROR(Tableau3[[#This Row],[Chiffre d''affaires]]/Tableau3[[#This Row],[Salariés]],"")</f>
        <v/>
      </c>
      <c r="AA1080" s="177"/>
      <c r="AC1080" s="177" t="s">
        <v>4532</v>
      </c>
    </row>
    <row r="1081" spans="1:29" ht="20.25" customHeight="1">
      <c r="E1081" s="187"/>
      <c r="G1081" s="202">
        <f>(G1080/G1082)-1</f>
        <v>0.10799113813179462</v>
      </c>
      <c r="H1081" s="202"/>
      <c r="I1081" s="202">
        <f>(I1080/I1082)-1</f>
        <v>-2.473958333333337E-2</v>
      </c>
      <c r="J1081" s="202">
        <f>(J1080/J1082)-1</f>
        <v>2.4318349299926378E-2</v>
      </c>
      <c r="K1081" s="177"/>
      <c r="L1081" s="177"/>
      <c r="M1081" s="178"/>
      <c r="N1081" s="238"/>
      <c r="O1081" s="238"/>
      <c r="P1081" s="238"/>
      <c r="Q1081" s="238"/>
      <c r="R1081" s="238"/>
      <c r="S1081" s="178"/>
      <c r="T1081" s="180"/>
      <c r="U1081" s="189" t="str">
        <f>IFERROR(IF(Tableau3[[#This Row],[Dettes]]=0,"",(Tableau3[[#This Row],[Dettes]]/Tableau3[[#This Row],[EBE]])),"")</f>
        <v/>
      </c>
      <c r="V1081" s="190" t="str">
        <f>IFERROR(Tableau3[[#This Row],[Fonds propres]]/Tableau3[[#This Row],[Total Bilan]],"")</f>
        <v/>
      </c>
      <c r="W1081" s="180"/>
      <c r="Y1081" s="180"/>
      <c r="Z1081" s="192" t="str">
        <f>IFERROR(Tableau3[[#This Row],[Chiffre d''affaires]]/Tableau3[[#This Row],[Salariés]],"")</f>
        <v/>
      </c>
      <c r="AA1081" s="177"/>
      <c r="AC1081" s="177" t="s">
        <v>755</v>
      </c>
    </row>
    <row r="1082" spans="1:29" ht="20.25" customHeight="1">
      <c r="A1082" s="217"/>
      <c r="E1082" s="187">
        <v>596.6</v>
      </c>
      <c r="F1082" s="178">
        <v>2023</v>
      </c>
      <c r="G1082" s="188">
        <v>19409000000</v>
      </c>
      <c r="H1082" s="188">
        <v>7784000000</v>
      </c>
      <c r="I1082" s="188">
        <v>6912000000</v>
      </c>
      <c r="J1082" s="188">
        <v>5428000000</v>
      </c>
      <c r="K1082" s="188">
        <v>-3507000000</v>
      </c>
      <c r="L1082" s="188">
        <v>16518000000</v>
      </c>
      <c r="M1082" s="194">
        <f>L1082/P1082</f>
        <v>36.303296703296702</v>
      </c>
      <c r="N1082" s="190">
        <f>J1082/L1082</f>
        <v>0.32861121201113935</v>
      </c>
      <c r="O1082" s="190">
        <f>(I1082*0.7)/(K1082+L1082)</f>
        <v>0.3718699561909154</v>
      </c>
      <c r="P1082" s="188">
        <v>455000000</v>
      </c>
      <c r="Q1082" s="188">
        <f>P1082*E1082</f>
        <v>271453000000</v>
      </c>
      <c r="R1082" s="195">
        <f>Q1082/L1082</f>
        <v>16.433769221455382</v>
      </c>
      <c r="S1082" s="178"/>
      <c r="T1082" s="180">
        <v>6942000000</v>
      </c>
      <c r="U1082" s="189">
        <f>IFERROR(IF(Tableau3[[#This Row],[Dettes]]=0,"",(Tableau3[[#This Row],[Dettes]]/Tableau3[[#This Row],[EBE]])),"")</f>
        <v>-0.45053956834532372</v>
      </c>
      <c r="V1082" s="190">
        <f>IFERROR(Tableau3[[#This Row],[Fonds propres]]/Tableau3[[#This Row],[Total Bilan]],"")</f>
        <v>0.55468618825346716</v>
      </c>
      <c r="W1082" s="180">
        <v>29779000000</v>
      </c>
      <c r="Y1082" s="180">
        <v>29945</v>
      </c>
      <c r="Z1082" s="192">
        <f>IFERROR(Tableau3[[#This Row],[Chiffre d''affaires]]/Tableau3[[#This Row],[Salariés]],"")</f>
        <v>648154.95074302889</v>
      </c>
      <c r="AA1082" s="177"/>
      <c r="AC1082" s="177" t="s">
        <v>756</v>
      </c>
    </row>
    <row r="1083" spans="1:29" ht="20.25" customHeight="1">
      <c r="E1083" s="187"/>
      <c r="G1083" s="202">
        <f>(G1082/G1084)-1</f>
        <v>8.430167597765359E-2</v>
      </c>
      <c r="H1083" s="202">
        <f>(H1082/H1084)-1</f>
        <v>0.15833333333333344</v>
      </c>
      <c r="I1083" s="202">
        <f>(I1082/I1084)-1</f>
        <v>7.2625698324022325E-2</v>
      </c>
      <c r="J1083" s="202">
        <f>(J1082/J1084)-1</f>
        <v>4.3846153846153868E-2</v>
      </c>
      <c r="K1083" s="177"/>
      <c r="L1083" s="177"/>
      <c r="M1083" s="178"/>
      <c r="N1083" s="238"/>
      <c r="O1083" s="238"/>
      <c r="P1083" s="238"/>
      <c r="Q1083" s="238"/>
      <c r="R1083" s="238"/>
      <c r="S1083" s="178"/>
      <c r="T1083" s="180"/>
      <c r="U1083" s="189" t="str">
        <f>IFERROR(IF(Tableau3[[#This Row],[Dettes]]=0,"",(Tableau3[[#This Row],[Dettes]]/Tableau3[[#This Row],[EBE]])),"")</f>
        <v/>
      </c>
      <c r="V1083" s="190" t="str">
        <f>IFERROR(Tableau3[[#This Row],[Fonds propres]]/Tableau3[[#This Row],[Total Bilan]],"")</f>
        <v/>
      </c>
      <c r="W1083" s="180"/>
      <c r="Y1083" s="180"/>
      <c r="Z1083" s="192" t="str">
        <f>IFERROR(Tableau3[[#This Row],[Chiffre d''affaires]]/Tableau3[[#This Row],[Salariés]],"")</f>
        <v/>
      </c>
      <c r="AA1083" s="177"/>
      <c r="AC1083" s="177" t="s">
        <v>757</v>
      </c>
    </row>
    <row r="1084" spans="1:29" ht="20.25" customHeight="1">
      <c r="A1084" s="217"/>
      <c r="E1084" s="187">
        <v>336.53</v>
      </c>
      <c r="F1084" s="178">
        <v>2022</v>
      </c>
      <c r="G1084" s="188">
        <v>17900000000</v>
      </c>
      <c r="H1084" s="188">
        <v>6720000000</v>
      </c>
      <c r="I1084" s="188">
        <f>G1084*0.36</f>
        <v>6444000000</v>
      </c>
      <c r="J1084" s="188">
        <v>5200000000</v>
      </c>
      <c r="K1084" s="188">
        <v>300000000</v>
      </c>
      <c r="L1084" s="188">
        <v>16000000000</v>
      </c>
      <c r="M1084" s="194">
        <f>L1084/P1084</f>
        <v>33.826638477801268</v>
      </c>
      <c r="N1084" s="190">
        <f>J1084/L1084</f>
        <v>0.32500000000000001</v>
      </c>
      <c r="O1084" s="190">
        <f>(I1084*0.7)/(K1084+L1084)</f>
        <v>0.27673619631901841</v>
      </c>
      <c r="P1084" s="188">
        <v>473000000</v>
      </c>
      <c r="Q1084" s="188">
        <f>P1084*E1084</f>
        <v>159178690000</v>
      </c>
      <c r="R1084" s="195">
        <f>Q1084/L1084</f>
        <v>9.9486681249999993</v>
      </c>
      <c r="S1084" s="241"/>
      <c r="T1084" s="180">
        <v>7270000000</v>
      </c>
      <c r="U1084" s="189">
        <f>IFERROR(IF(Tableau3[[#This Row],[Dettes]]=0,"",(Tableau3[[#This Row],[Dettes]]/Tableau3[[#This Row],[EBE]])),"")</f>
        <v>4.4642857142857144E-2</v>
      </c>
      <c r="V1084" s="190">
        <f>IFERROR(Tableau3[[#This Row],[Fonds propres]]/Tableau3[[#This Row],[Total Bilan]],"")</f>
        <v>0.58737151248164465</v>
      </c>
      <c r="W1084" s="180">
        <v>27240000000</v>
      </c>
      <c r="Y1084" s="180">
        <v>29239</v>
      </c>
      <c r="Z1084" s="192">
        <f>IFERROR(Tableau3[[#This Row],[Chiffre d''affaires]]/Tableau3[[#This Row],[Salariés]],"")</f>
        <v>612196.03953623585</v>
      </c>
      <c r="AA1084" s="177"/>
      <c r="AC1084" s="177" t="s">
        <v>758</v>
      </c>
    </row>
    <row r="1085" spans="1:29" ht="20.25" customHeight="1">
      <c r="E1085" s="187"/>
      <c r="G1085" s="202">
        <f>(G1084/G1086)-1</f>
        <v>0.13398796325625595</v>
      </c>
      <c r="H1085" s="202">
        <f>(H1084/H1086)-1</f>
        <v>5.3291536050156685E-2</v>
      </c>
      <c r="I1085" s="202">
        <f>(I1084/I1086)-1</f>
        <v>0.11065149948293684</v>
      </c>
      <c r="J1085" s="202">
        <f>(J1084/J1086)-1</f>
        <v>7.839070924927416E-2</v>
      </c>
      <c r="K1085" s="177"/>
      <c r="L1085" s="177"/>
      <c r="M1085" s="178"/>
      <c r="N1085" s="238"/>
      <c r="O1085" s="238"/>
      <c r="P1085" s="238"/>
      <c r="Q1085" s="238"/>
      <c r="R1085" s="238"/>
      <c r="S1085" s="178"/>
      <c r="T1085" s="180"/>
      <c r="U1085" s="189" t="str">
        <f>IFERROR(IF(Tableau3[[#This Row],[Dettes]]=0,"",(Tableau3[[#This Row],[Dettes]]/Tableau3[[#This Row],[EBE]])),"")</f>
        <v/>
      </c>
      <c r="V1085" s="190" t="str">
        <f>IFERROR(Tableau3[[#This Row],[Fonds propres]]/Tableau3[[#This Row],[Total Bilan]],"")</f>
        <v/>
      </c>
      <c r="W1085" s="180"/>
      <c r="Y1085" s="180"/>
      <c r="Z1085" s="192" t="str">
        <f>IFERROR(Tableau3[[#This Row],[Chiffre d''affaires]]/Tableau3[[#This Row],[Salariés]],"")</f>
        <v/>
      </c>
      <c r="AA1085" s="177"/>
      <c r="AC1085" s="177" t="s">
        <v>4534</v>
      </c>
    </row>
    <row r="1086" spans="1:29" ht="20.25" customHeight="1">
      <c r="A1086" s="217"/>
      <c r="E1086" s="187">
        <v>567.05999999999995</v>
      </c>
      <c r="F1086" s="178">
        <v>2021</v>
      </c>
      <c r="G1086" s="188">
        <v>15785000000</v>
      </c>
      <c r="H1086" s="188">
        <v>6380000000</v>
      </c>
      <c r="I1086" s="188">
        <v>5802000000</v>
      </c>
      <c r="J1086" s="188">
        <v>4822000000</v>
      </c>
      <c r="K1086" s="188">
        <v>279000000</v>
      </c>
      <c r="L1086" s="188">
        <v>14797000000</v>
      </c>
      <c r="M1086" s="194">
        <f>L1086/P1086</f>
        <v>30.762993762993762</v>
      </c>
      <c r="N1086" s="190">
        <f>J1086/L1086</f>
        <v>0.3258768669324863</v>
      </c>
      <c r="O1086" s="190">
        <f>(I1086*0.7)/(K1086+L1086)</f>
        <v>0.26939506500397981</v>
      </c>
      <c r="P1086" s="188">
        <v>481000000</v>
      </c>
      <c r="Q1086" s="188">
        <f>P1086*E1086</f>
        <v>272755859999.99997</v>
      </c>
      <c r="R1086" s="195">
        <f>Q1086/L1086</f>
        <v>18.433186456714196</v>
      </c>
      <c r="S1086" s="238"/>
      <c r="T1086" s="180">
        <v>3690000000</v>
      </c>
      <c r="U1086" s="189">
        <f>IFERROR(IF(Tableau3[[#This Row],[Dettes]]=0,"",(Tableau3[[#This Row],[Dettes]]/Tableau3[[#This Row],[EBE]])),"")</f>
        <v>4.373040752351097E-2</v>
      </c>
      <c r="V1086" s="190">
        <f>IFERROR(Tableau3[[#This Row],[Fonds propres]]/Tableau3[[#This Row],[Total Bilan]],"")</f>
        <v>0.60943163097199338</v>
      </c>
      <c r="W1086" s="180">
        <v>24280000000</v>
      </c>
      <c r="Y1086" s="180">
        <v>25988</v>
      </c>
      <c r="Z1086" s="192">
        <f>IFERROR(Tableau3[[#This Row],[Chiffre d''affaires]]/Tableau3[[#This Row],[Salariés]],"")</f>
        <v>607395.72110204713</v>
      </c>
      <c r="AA1086" s="177"/>
      <c r="AC1086" s="177" t="s">
        <v>4528</v>
      </c>
    </row>
    <row r="1087" spans="1:29" ht="20.25" customHeight="1">
      <c r="A1087" s="217"/>
      <c r="G1087" s="202">
        <f>(G1086/G1088)-1</f>
        <v>0.22668635374572577</v>
      </c>
      <c r="H1087" s="188"/>
      <c r="I1087" s="202">
        <f>(I1086/I1088)-1</f>
        <v>0.38936781609195403</v>
      </c>
      <c r="J1087" s="202">
        <f>(J1086/J1088)-1</f>
        <v>-8.326996197718628E-2</v>
      </c>
      <c r="K1087" s="178"/>
      <c r="L1087" s="178"/>
      <c r="M1087" s="178"/>
      <c r="N1087" s="178"/>
      <c r="O1087" s="178"/>
      <c r="P1087" s="178"/>
      <c r="Q1087" s="178"/>
      <c r="R1087" s="178"/>
      <c r="S1087" s="178"/>
      <c r="T1087" s="180"/>
      <c r="U1087" s="189" t="str">
        <f>IFERROR(IF(Tableau3[[#This Row],[Dettes]]=0,"",(Tableau3[[#This Row],[Dettes]]/Tableau3[[#This Row],[EBE]])),"")</f>
        <v/>
      </c>
      <c r="V1087" s="190" t="str">
        <f>IFERROR(Tableau3[[#This Row],[Fonds propres]]/Tableau3[[#This Row],[Total Bilan]],"")</f>
        <v/>
      </c>
      <c r="W1087" s="180"/>
      <c r="Y1087" s="180"/>
      <c r="Z1087" s="192" t="str">
        <f>IFERROR(Tableau3[[#This Row],[Chiffre d''affaires]]/Tableau3[[#This Row],[Salariés]],"")</f>
        <v/>
      </c>
      <c r="AA1087" s="177"/>
      <c r="AC1087" s="177" t="s">
        <v>4527</v>
      </c>
    </row>
    <row r="1088" spans="1:29" ht="20.25" customHeight="1">
      <c r="A1088" s="217"/>
      <c r="E1088" s="178">
        <v>500.1</v>
      </c>
      <c r="F1088" s="178">
        <v>2020</v>
      </c>
      <c r="G1088" s="188">
        <v>12868000000</v>
      </c>
      <c r="H1088" s="188">
        <v>4810000000</v>
      </c>
      <c r="I1088" s="188">
        <v>4176000000</v>
      </c>
      <c r="J1088" s="188">
        <v>5260000000</v>
      </c>
      <c r="K1088" s="188">
        <v>-361000000</v>
      </c>
      <c r="L1088" s="188">
        <v>13264000000</v>
      </c>
      <c r="M1088" s="194">
        <f>L1088/P1088</f>
        <v>27.461697722567287</v>
      </c>
      <c r="N1088" s="190">
        <f>J1088/L1088</f>
        <v>0.39656212303980698</v>
      </c>
      <c r="O1088" s="190">
        <f>(I1088*0.7)/(K1088+L1088)</f>
        <v>0.22655196465938154</v>
      </c>
      <c r="P1088" s="188">
        <v>483000000</v>
      </c>
      <c r="Q1088" s="188">
        <f>P1088*E1088</f>
        <v>241548300000</v>
      </c>
      <c r="R1088" s="195">
        <f>Q1088/L1088</f>
        <v>18.210818757539204</v>
      </c>
      <c r="S1088" s="238"/>
      <c r="T1088" s="180">
        <v>5316000000</v>
      </c>
      <c r="U1088" s="189">
        <f>IFERROR(IF(Tableau3[[#This Row],[Dettes]]=0,"",(Tableau3[[#This Row],[Dettes]]/Tableau3[[#This Row],[EBE]])),"")</f>
        <v>-7.5051975051975056E-2</v>
      </c>
      <c r="V1088" s="190">
        <f>IFERROR(Tableau3[[#This Row],[Fonds propres]]/Tableau3[[#This Row],[Total Bilan]],"")</f>
        <v>0.54629324546952229</v>
      </c>
      <c r="W1088" s="180">
        <v>24280000000</v>
      </c>
      <c r="Y1088" s="180">
        <v>22516</v>
      </c>
      <c r="Z1088" s="192">
        <f>IFERROR(Tableau3[[#This Row],[Chiffre d''affaires]]/Tableau3[[#This Row],[Salariés]],"")</f>
        <v>571504.70776336826</v>
      </c>
      <c r="AA1088" s="177"/>
      <c r="AC1088" s="177" t="s">
        <v>759</v>
      </c>
    </row>
    <row r="1089" spans="1:29" ht="20.25" customHeight="1">
      <c r="A1089" s="217"/>
      <c r="G1089" s="202">
        <f>(G1088/G1090)-1</f>
        <v>0.151911198639334</v>
      </c>
      <c r="H1089" s="188"/>
      <c r="I1089" s="202">
        <f>(I1088/I1090)-1</f>
        <v>0.30296411856474248</v>
      </c>
      <c r="J1089" s="202">
        <f>(J1088/J1090)-1</f>
        <v>0.78244662826160627</v>
      </c>
      <c r="K1089" s="178"/>
      <c r="L1089" s="178"/>
      <c r="M1089" s="178"/>
      <c r="N1089" s="178"/>
      <c r="O1089" s="178"/>
      <c r="P1089" s="178"/>
      <c r="Q1089" s="178"/>
      <c r="R1089" s="178"/>
      <c r="S1089" s="178"/>
      <c r="T1089" s="180"/>
      <c r="U1089" s="189" t="str">
        <f>IFERROR(IF(Tableau3[[#This Row],[Dettes]]=0,"",(Tableau3[[#This Row],[Dettes]]/Tableau3[[#This Row],[EBE]])),"")</f>
        <v/>
      </c>
      <c r="V1089" s="190" t="str">
        <f>IFERROR(Tableau3[[#This Row],[Fonds propres]]/Tableau3[[#This Row],[Total Bilan]],"")</f>
        <v/>
      </c>
      <c r="W1089" s="180"/>
      <c r="Y1089" s="180"/>
      <c r="Z1089" s="192" t="str">
        <f>IFERROR(Tableau3[[#This Row],[Chiffre d''affaires]]/Tableau3[[#This Row],[Salariés]],"")</f>
        <v/>
      </c>
      <c r="AA1089" s="177"/>
      <c r="AC1089" s="177" t="s">
        <v>760</v>
      </c>
    </row>
    <row r="1090" spans="1:29" ht="20.25" customHeight="1">
      <c r="A1090" s="217"/>
      <c r="E1090" s="178">
        <v>330.8</v>
      </c>
      <c r="F1090" s="178">
        <v>2019</v>
      </c>
      <c r="G1090" s="188">
        <v>11171000000</v>
      </c>
      <c r="H1090" s="188">
        <v>4030000000</v>
      </c>
      <c r="I1090" s="188">
        <v>3205000000</v>
      </c>
      <c r="J1090" s="188">
        <v>2951000000</v>
      </c>
      <c r="K1090" s="188"/>
      <c r="L1090" s="242">
        <v>10530000000</v>
      </c>
      <c r="M1090" s="194">
        <f>L1090/P1090</f>
        <v>21.666666666666668</v>
      </c>
      <c r="N1090" s="190">
        <f>J1090/L1090</f>
        <v>0.28024691358024689</v>
      </c>
      <c r="O1090" s="190">
        <f>(I1090*0.7)/(K1090+L1090)</f>
        <v>0.21305792972459639</v>
      </c>
      <c r="P1090" s="188">
        <v>486000000</v>
      </c>
      <c r="Q1090" s="188">
        <f>P1090*E1090</f>
        <v>160768800000</v>
      </c>
      <c r="R1090" s="195">
        <f>Q1090/L1090</f>
        <v>15.267692307692307</v>
      </c>
      <c r="S1090" s="238"/>
      <c r="T1090" s="180">
        <v>3964000000</v>
      </c>
      <c r="U1090" s="189" t="str">
        <f>IFERROR(IF(Tableau3[[#This Row],[Dettes]]=0,"",(Tableau3[[#This Row],[Dettes]]/Tableau3[[#This Row],[EBE]])),"")</f>
        <v/>
      </c>
      <c r="V1090" s="190">
        <f>IFERROR(Tableau3[[#This Row],[Fonds propres]]/Tableau3[[#This Row],[Total Bilan]],"")</f>
        <v>0.56100159829515184</v>
      </c>
      <c r="W1090" s="180">
        <v>18770000000</v>
      </c>
      <c r="Y1090" s="180"/>
      <c r="Z1090" s="192" t="str">
        <f>IFERROR(Tableau3[[#This Row],[Chiffre d''affaires]]/Tableau3[[#This Row],[Salariés]],"")</f>
        <v/>
      </c>
      <c r="AA1090" s="177"/>
      <c r="AC1090" s="177" t="s">
        <v>4530</v>
      </c>
    </row>
    <row r="1091" spans="1:29" ht="20.25" customHeight="1">
      <c r="A1091" s="217"/>
      <c r="G1091" s="202">
        <f>(G1090/G1092)-1</f>
        <v>0.23709856035437427</v>
      </c>
      <c r="H1091" s="188"/>
      <c r="I1091" s="202">
        <f>(I1090/I1092)-1</f>
        <v>0.14710093056549756</v>
      </c>
      <c r="J1091" s="202">
        <f>(J1090/J1092)-1</f>
        <v>0.13894249324585095</v>
      </c>
      <c r="K1091" s="178"/>
      <c r="L1091" s="178"/>
      <c r="M1091" s="178"/>
      <c r="N1091" s="190"/>
      <c r="O1091" s="190"/>
      <c r="P1091" s="178"/>
      <c r="Q1091" s="188"/>
      <c r="R1091" s="195"/>
      <c r="S1091" s="178"/>
      <c r="T1091" s="180"/>
      <c r="U1091" s="189" t="str">
        <f>IFERROR(IF(Tableau3[[#This Row],[Dettes]]=0,"",(Tableau3[[#This Row],[Dettes]]/Tableau3[[#This Row],[EBE]])),"")</f>
        <v/>
      </c>
      <c r="V1091" s="190" t="str">
        <f>IFERROR(Tableau3[[#This Row],[Fonds propres]]/Tableau3[[#This Row],[Total Bilan]],"")</f>
        <v/>
      </c>
      <c r="W1091" s="180"/>
      <c r="Y1091" s="180"/>
      <c r="Z1091" s="192" t="str">
        <f>IFERROR(Tableau3[[#This Row],[Chiffre d''affaires]]/Tableau3[[#This Row],[Salariés]],"")</f>
        <v/>
      </c>
      <c r="AA1091" s="177"/>
      <c r="AC1091" s="177" t="s">
        <v>4529</v>
      </c>
    </row>
    <row r="1092" spans="1:29" ht="20.25" customHeight="1">
      <c r="A1092" s="217"/>
      <c r="E1092" s="178">
        <v>223.1</v>
      </c>
      <c r="F1092" s="178">
        <v>2018</v>
      </c>
      <c r="G1092" s="188">
        <v>9030000000</v>
      </c>
      <c r="H1092" s="188">
        <v>3190000000</v>
      </c>
      <c r="I1092" s="188">
        <v>2794000000</v>
      </c>
      <c r="J1092" s="188">
        <v>2591000000</v>
      </c>
      <c r="K1092" s="188"/>
      <c r="L1092" s="242">
        <v>9362100000</v>
      </c>
      <c r="M1092" s="194">
        <f>L1092/P1092</f>
        <v>18.913333333333334</v>
      </c>
      <c r="N1092" s="190">
        <f>J1092/L1092</f>
        <v>0.27675414703965989</v>
      </c>
      <c r="O1092" s="190">
        <f>(I1092*0.7)/(K1092+L1092)</f>
        <v>0.20890612148983664</v>
      </c>
      <c r="P1092" s="188">
        <v>495000000</v>
      </c>
      <c r="Q1092" s="188">
        <f>P1092*E1092</f>
        <v>110434500000</v>
      </c>
      <c r="R1092" s="195">
        <f>Q1092/L1092</f>
        <v>11.795911173775115</v>
      </c>
      <c r="S1092" s="238"/>
      <c r="T1092" s="180">
        <v>-650000000</v>
      </c>
      <c r="U1092" s="189" t="str">
        <f>IFERROR(IF(Tableau3[[#This Row],[Dettes]]=0,"",(Tableau3[[#This Row],[Dettes]]/Tableau3[[#This Row],[EBE]])),"")</f>
        <v/>
      </c>
      <c r="V1092" s="190">
        <f>IFERROR(Tableau3[[#This Row],[Fonds propres]]/Tableau3[[#This Row],[Total Bilan]],"")</f>
        <v>0.64388583218707018</v>
      </c>
      <c r="W1092" s="180">
        <v>14540000000</v>
      </c>
      <c r="Y1092" s="180"/>
      <c r="Z1092" s="192" t="str">
        <f>IFERROR(Tableau3[[#This Row],[Chiffre d''affaires]]/Tableau3[[#This Row],[Salariés]],"")</f>
        <v/>
      </c>
      <c r="AA1092" s="177"/>
      <c r="AC1092" s="177" t="s">
        <v>761</v>
      </c>
    </row>
    <row r="1093" spans="1:29" ht="20.25" customHeight="1">
      <c r="A1093" s="217"/>
      <c r="G1093" s="202">
        <f>(G1092/G1094)-1</f>
        <v>0.23664749383730488</v>
      </c>
      <c r="H1093" s="188"/>
      <c r="I1093" s="202">
        <f>(I1092/I1094)-1</f>
        <v>0.3068288119738074</v>
      </c>
      <c r="J1093" s="202">
        <f>(J1092/J1094)-1</f>
        <v>0.55709134615384626</v>
      </c>
      <c r="K1093" s="178"/>
      <c r="L1093" s="178"/>
      <c r="M1093" s="178"/>
      <c r="N1093" s="190"/>
      <c r="O1093" s="190"/>
      <c r="P1093" s="178"/>
      <c r="Q1093" s="188"/>
      <c r="R1093" s="195"/>
      <c r="S1093" s="178"/>
      <c r="T1093" s="180"/>
      <c r="U1093" s="189" t="str">
        <f>IFERROR(IF(Tableau3[[#This Row],[Dettes]]=0,"",(Tableau3[[#This Row],[Dettes]]/Tableau3[[#This Row],[EBE]])),"")</f>
        <v/>
      </c>
      <c r="V1093" s="190" t="str">
        <f>IFERROR(Tableau3[[#This Row],[Fonds propres]]/Tableau3[[#This Row],[Total Bilan]],"")</f>
        <v/>
      </c>
      <c r="W1093" s="180"/>
      <c r="Y1093" s="180"/>
      <c r="Z1093" s="192" t="str">
        <f>IFERROR(Tableau3[[#This Row],[Chiffre d''affaires]]/Tableau3[[#This Row],[Salariés]],"")</f>
        <v/>
      </c>
      <c r="AA1093" s="177"/>
      <c r="AC1093" s="177" t="s">
        <v>572</v>
      </c>
    </row>
    <row r="1094" spans="1:29" ht="20.25" customHeight="1">
      <c r="A1094" s="217"/>
      <c r="E1094" s="178">
        <v>175.2</v>
      </c>
      <c r="F1094" s="178">
        <v>2017</v>
      </c>
      <c r="G1094" s="188">
        <v>7302000000</v>
      </c>
      <c r="H1094" s="188"/>
      <c r="I1094" s="188">
        <v>2138000000</v>
      </c>
      <c r="J1094" s="188">
        <v>1664000000</v>
      </c>
      <c r="K1094" s="188"/>
      <c r="L1094" s="242">
        <v>8459900000</v>
      </c>
      <c r="M1094" s="194">
        <f>L1094/P1094</f>
        <v>17.16004056795132</v>
      </c>
      <c r="N1094" s="190">
        <f>J1094/L1094</f>
        <v>0.1966926323006182</v>
      </c>
      <c r="O1094" s="190">
        <f>(I1094*0.7)/(K1094+L1094)</f>
        <v>0.17690516436364495</v>
      </c>
      <c r="P1094" s="188">
        <v>493000000</v>
      </c>
      <c r="Q1094" s="188">
        <f>P1094*E1094</f>
        <v>86373600000</v>
      </c>
      <c r="R1094" s="195">
        <f>Q1094/L1094</f>
        <v>10.209766072885023</v>
      </c>
      <c r="S1094" s="238"/>
      <c r="T1094" s="180"/>
      <c r="U1094" s="189" t="str">
        <f>IFERROR(IF(Tableau3[[#This Row],[Dettes]]=0,"",(Tableau3[[#This Row],[Dettes]]/Tableau3[[#This Row],[EBE]])),"")</f>
        <v/>
      </c>
      <c r="V1094" s="190">
        <f>IFERROR(Tableau3[[#This Row],[Fonds propres]]/Tableau3[[#This Row],[Total Bilan]],"")</f>
        <v>0.66613385826771654</v>
      </c>
      <c r="W1094" s="180">
        <v>12700000000</v>
      </c>
      <c r="Y1094" s="180"/>
      <c r="Z1094" s="192" t="str">
        <f>IFERROR(Tableau3[[#This Row],[Chiffre d''affaires]]/Tableau3[[#This Row],[Salariés]],"")</f>
        <v/>
      </c>
      <c r="AA1094" s="177"/>
      <c r="AC1094" s="177" t="s">
        <v>2335</v>
      </c>
    </row>
    <row r="1095" spans="1:29" ht="20.25" customHeight="1">
      <c r="A1095" s="217"/>
      <c r="G1095" s="202">
        <f>(G1094/G1096)-1</f>
        <v>0.245225102319236</v>
      </c>
      <c r="H1095" s="188"/>
      <c r="I1095" s="202">
        <f>(I1094/I1096)-1</f>
        <v>0.48989547038327519</v>
      </c>
      <c r="J1095" s="202">
        <f>(J1094/J1096)-1</f>
        <v>0.42343883661248927</v>
      </c>
      <c r="K1095" s="178"/>
      <c r="L1095" s="178"/>
      <c r="M1095" s="178"/>
      <c r="N1095" s="190"/>
      <c r="O1095" s="190"/>
      <c r="P1095" s="178"/>
      <c r="Q1095" s="188"/>
      <c r="R1095" s="195"/>
      <c r="S1095" s="178"/>
      <c r="T1095" s="180"/>
      <c r="U1095" s="189" t="str">
        <f>IFERROR(IF(Tableau3[[#This Row],[Dettes]]=0,"",(Tableau3[[#This Row],[Dettes]]/Tableau3[[#This Row],[EBE]])),"")</f>
        <v/>
      </c>
      <c r="V1095" s="190" t="str">
        <f>IFERROR(Tableau3[[#This Row],[Fonds propres]]/Tableau3[[#This Row],[Total Bilan]],"")</f>
        <v/>
      </c>
      <c r="W1095" s="180"/>
      <c r="Y1095" s="180"/>
      <c r="Z1095" s="192" t="str">
        <f>IFERROR(Tableau3[[#This Row],[Chiffre d''affaires]]/Tableau3[[#This Row],[Salariés]],"")</f>
        <v/>
      </c>
      <c r="AA1095" s="177"/>
      <c r="AC1095" s="177" t="s">
        <v>4531</v>
      </c>
    </row>
    <row r="1096" spans="1:29" ht="20.25" customHeight="1">
      <c r="A1096" s="217"/>
      <c r="E1096" s="178">
        <v>102.9</v>
      </c>
      <c r="F1096" s="178">
        <v>2016</v>
      </c>
      <c r="G1096" s="188">
        <v>5864000000</v>
      </c>
      <c r="H1096" s="188"/>
      <c r="I1096" s="188">
        <v>1435000000</v>
      </c>
      <c r="J1096" s="188">
        <v>1169000000</v>
      </c>
      <c r="K1096" s="188"/>
      <c r="L1096" s="242">
        <v>7424835000</v>
      </c>
      <c r="M1096" s="194">
        <f>L1096/P1096</f>
        <v>14.93930583501006</v>
      </c>
      <c r="N1096" s="190">
        <f>J1096/L1096</f>
        <v>0.15744457620943766</v>
      </c>
      <c r="O1096" s="190">
        <f>(I1096*0.7)/(K1096+L1096)</f>
        <v>0.13528920171290001</v>
      </c>
      <c r="P1096" s="188">
        <v>497000000</v>
      </c>
      <c r="Q1096" s="188">
        <f>P1096*E1096</f>
        <v>51141300000</v>
      </c>
      <c r="R1096" s="195">
        <f>Q1096/L1096</f>
        <v>6.8878702355001824</v>
      </c>
      <c r="S1096" s="238"/>
      <c r="T1096" s="180"/>
      <c r="U1096" s="189" t="str">
        <f>IFERROR(IF(Tableau3[[#This Row],[Dettes]]=0,"",(Tableau3[[#This Row],[Dettes]]/Tableau3[[#This Row],[EBE]])),"")</f>
        <v/>
      </c>
      <c r="V1096" s="190" t="str">
        <f>IFERROR(Tableau3[[#This Row],[Fonds propres]]/Tableau3[[#This Row],[Total Bilan]],"")</f>
        <v/>
      </c>
      <c r="W1096" s="180"/>
      <c r="Y1096" s="180"/>
      <c r="Z1096" s="192" t="str">
        <f>IFERROR(Tableau3[[#This Row],[Chiffre d''affaires]]/Tableau3[[#This Row],[Salariés]],"")</f>
        <v/>
      </c>
      <c r="AA1096" s="177"/>
      <c r="AC1096" s="177" t="s">
        <v>4533</v>
      </c>
    </row>
    <row r="1097" spans="1:29" ht="20.25" customHeight="1">
      <c r="A1097" s="217"/>
      <c r="G1097" s="202"/>
      <c r="H1097" s="188"/>
      <c r="I1097" s="202"/>
      <c r="J1097" s="202"/>
      <c r="K1097" s="178"/>
      <c r="L1097" s="178"/>
      <c r="M1097" s="178"/>
      <c r="N1097" s="190"/>
      <c r="O1097" s="178"/>
      <c r="P1097" s="178"/>
      <c r="Q1097" s="178"/>
      <c r="R1097" s="178"/>
      <c r="S1097" s="178"/>
      <c r="T1097" s="180"/>
      <c r="U1097" s="189" t="str">
        <f>IFERROR(IF(Tableau3[[#This Row],[Dettes]]=0,"",(Tableau3[[#This Row],[Dettes]]/Tableau3[[#This Row],[EBE]])),"")</f>
        <v/>
      </c>
      <c r="V1097" s="190" t="str">
        <f>IFERROR(Tableau3[[#This Row],[Fonds propres]]/Tableau3[[#This Row],[Total Bilan]],"")</f>
        <v/>
      </c>
      <c r="W1097" s="180"/>
      <c r="Y1097" s="180"/>
      <c r="Z1097" s="192" t="str">
        <f>IFERROR(Tableau3[[#This Row],[Chiffre d''affaires]]/Tableau3[[#This Row],[Salariés]],"")</f>
        <v/>
      </c>
      <c r="AA1097" s="177"/>
    </row>
    <row r="1098" spans="1:29" ht="20.25" customHeight="1">
      <c r="A1098" s="217"/>
      <c r="E1098" s="187">
        <v>30.78</v>
      </c>
      <c r="F1098" s="178">
        <v>2010</v>
      </c>
      <c r="G1098" s="188">
        <v>3800000000</v>
      </c>
      <c r="H1098" s="188"/>
      <c r="I1098" s="188">
        <v>943151000</v>
      </c>
      <c r="J1098" s="188">
        <v>774680000</v>
      </c>
      <c r="K1098" s="188"/>
      <c r="L1098" s="242">
        <v>5192387000</v>
      </c>
      <c r="M1098" s="194">
        <f>L1098/P1098</f>
        <v>10.004599229287091</v>
      </c>
      <c r="N1098" s="190">
        <f>J1098/L1098</f>
        <v>0.14919535080878987</v>
      </c>
      <c r="O1098" s="190">
        <f>(I1098*0.7)/(K1098+L1098)</f>
        <v>0.12714878532744189</v>
      </c>
      <c r="P1098" s="188">
        <v>519000000</v>
      </c>
      <c r="Q1098" s="188">
        <f>P1098*E1098</f>
        <v>15974820000</v>
      </c>
      <c r="R1098" s="195">
        <f>Q1098/L1098</f>
        <v>3.0765850080126924</v>
      </c>
      <c r="S1098" s="238"/>
      <c r="T1098" s="180"/>
      <c r="U1098" s="189" t="str">
        <f>IFERROR(IF(Tableau3[[#This Row],[Dettes]]=0,"",(Tableau3[[#This Row],[Dettes]]/Tableau3[[#This Row],[EBE]])),"")</f>
        <v/>
      </c>
      <c r="V1098" s="190" t="str">
        <f>IFERROR(Tableau3[[#This Row],[Fonds propres]]/Tableau3[[#This Row],[Total Bilan]],"")</f>
        <v/>
      </c>
      <c r="W1098" s="180"/>
      <c r="Y1098" s="180"/>
      <c r="Z1098" s="192" t="str">
        <f>IFERROR(Tableau3[[#This Row],[Chiffre d''affaires]]/Tableau3[[#This Row],[Salariés]],"")</f>
        <v/>
      </c>
      <c r="AA1098" s="177"/>
    </row>
    <row r="1099" spans="1:29" ht="20.25" customHeight="1">
      <c r="E1099" s="187"/>
      <c r="G1099" s="238"/>
      <c r="H1099" s="188"/>
      <c r="I1099" s="177"/>
      <c r="J1099" s="177"/>
      <c r="K1099" s="177"/>
      <c r="L1099" s="177"/>
      <c r="M1099" s="178"/>
      <c r="N1099" s="238"/>
      <c r="O1099" s="238"/>
      <c r="P1099" s="238"/>
      <c r="Q1099" s="238"/>
      <c r="R1099" s="238"/>
      <c r="S1099" s="178"/>
      <c r="T1099" s="180"/>
      <c r="U1099" s="189" t="str">
        <f>IFERROR(IF(Tableau3[[#This Row],[Dettes]]=0,"",(Tableau3[[#This Row],[Dettes]]/Tableau3[[#This Row],[EBE]])),"")</f>
        <v/>
      </c>
      <c r="V1099" s="190" t="str">
        <f>IFERROR(Tableau3[[#This Row],[Fonds propres]]/Tableau3[[#This Row],[Total Bilan]],"")</f>
        <v/>
      </c>
      <c r="W1099" s="180"/>
      <c r="Y1099" s="180"/>
      <c r="Z1099" s="192" t="str">
        <f>IFERROR(Tableau3[[#This Row],[Chiffre d''affaires]]/Tableau3[[#This Row],[Salariés]],"")</f>
        <v/>
      </c>
      <c r="AA1099" s="177"/>
    </row>
    <row r="1100" spans="1:29" ht="20.25" customHeight="1">
      <c r="E1100" s="187"/>
      <c r="G1100" s="238"/>
      <c r="H1100" s="188"/>
      <c r="I1100" s="177"/>
      <c r="J1100" s="177"/>
      <c r="K1100" s="177"/>
      <c r="L1100" s="177"/>
      <c r="M1100" s="178"/>
      <c r="N1100" s="238"/>
      <c r="O1100" s="238"/>
      <c r="P1100" s="238"/>
      <c r="Q1100" s="238"/>
      <c r="R1100" s="238"/>
      <c r="S1100" s="178"/>
      <c r="T1100" s="180"/>
      <c r="U1100" s="189" t="str">
        <f>IFERROR(IF(Tableau3[[#This Row],[Dettes]]=0,"",(Tableau3[[#This Row],[Dettes]]/Tableau3[[#This Row],[EBE]])),"")</f>
        <v/>
      </c>
      <c r="V1100" s="190" t="str">
        <f>IFERROR(Tableau3[[#This Row],[Fonds propres]]/Tableau3[[#This Row],[Total Bilan]],"")</f>
        <v/>
      </c>
      <c r="W1100" s="180"/>
      <c r="Y1100" s="180"/>
      <c r="Z1100" s="192" t="str">
        <f>IFERROR(Tableau3[[#This Row],[Chiffre d''affaires]]/Tableau3[[#This Row],[Salariés]],"")</f>
        <v/>
      </c>
      <c r="AA1100" s="177"/>
    </row>
    <row r="1101" spans="1:29" ht="20.25" customHeight="1">
      <c r="E1101" s="187"/>
      <c r="G1101" s="238"/>
      <c r="H1101" s="177"/>
      <c r="I1101" s="177"/>
      <c r="J1101" s="177"/>
      <c r="K1101" s="177"/>
      <c r="L1101" s="177"/>
      <c r="M1101" s="178"/>
      <c r="N1101" s="238"/>
      <c r="O1101" s="238"/>
      <c r="P1101" s="188"/>
      <c r="Q1101" s="238"/>
      <c r="R1101" s="238"/>
      <c r="S1101" s="178"/>
      <c r="T1101" s="180"/>
      <c r="U1101" s="189" t="str">
        <f>IFERROR(IF(Tableau3[[#This Row],[Dettes]]=0,"",(Tableau3[[#This Row],[Dettes]]/Tableau3[[#This Row],[EBE]])),"")</f>
        <v/>
      </c>
      <c r="V1101" s="190" t="str">
        <f>IFERROR(Tableau3[[#This Row],[Fonds propres]]/Tableau3[[#This Row],[Total Bilan]],"")</f>
        <v/>
      </c>
      <c r="W1101" s="180"/>
      <c r="Y1101" s="180"/>
      <c r="Z1101" s="192" t="str">
        <f>IFERROR(Tableau3[[#This Row],[Chiffre d''affaires]]/Tableau3[[#This Row],[Salariés]],"")</f>
        <v/>
      </c>
      <c r="AA1101" s="177"/>
    </row>
    <row r="1102" spans="1:29" ht="20.25" customHeight="1">
      <c r="E1102" s="187"/>
      <c r="G1102" s="238"/>
      <c r="H1102" s="177"/>
      <c r="I1102" s="177"/>
      <c r="J1102" s="177"/>
      <c r="K1102" s="177"/>
      <c r="L1102" s="177"/>
      <c r="M1102" s="178"/>
      <c r="N1102" s="238"/>
      <c r="O1102" s="238"/>
      <c r="P1102" s="178"/>
      <c r="Q1102" s="238"/>
      <c r="R1102" s="238"/>
      <c r="S1102" s="178"/>
      <c r="T1102" s="180"/>
      <c r="U1102" s="189" t="str">
        <f>IFERROR(IF(Tableau3[[#This Row],[Dettes]]=0,"",(Tableau3[[#This Row],[Dettes]]/Tableau3[[#This Row],[EBE]])),"")</f>
        <v/>
      </c>
      <c r="V1102" s="190" t="str">
        <f>IFERROR(Tableau3[[#This Row],[Fonds propres]]/Tableau3[[#This Row],[Total Bilan]],"")</f>
        <v/>
      </c>
      <c r="W1102" s="180"/>
      <c r="Y1102" s="180"/>
      <c r="Z1102" s="192" t="str">
        <f>IFERROR(Tableau3[[#This Row],[Chiffre d''affaires]]/Tableau3[[#This Row],[Salariés]],"")</f>
        <v/>
      </c>
      <c r="AA1102" s="177"/>
    </row>
    <row r="1103" spans="1:29" ht="20.25" customHeight="1">
      <c r="A1103" s="217" t="s">
        <v>763</v>
      </c>
      <c r="B1103" s="216" t="s">
        <v>764</v>
      </c>
      <c r="C1103" s="178" t="s">
        <v>765</v>
      </c>
      <c r="D1103" s="178" t="s">
        <v>85</v>
      </c>
      <c r="E1103" s="187">
        <v>72.5</v>
      </c>
      <c r="F1103" s="178">
        <v>2025</v>
      </c>
      <c r="G1103" s="242">
        <v>6690000000</v>
      </c>
      <c r="H1103" s="231">
        <v>2490000000</v>
      </c>
      <c r="I1103" s="188">
        <f>I1105*1.08</f>
        <v>1765692000</v>
      </c>
      <c r="J1103" s="188">
        <f>J1105*1.09</f>
        <v>1371874000</v>
      </c>
      <c r="K1103" s="188">
        <v>2000000000</v>
      </c>
      <c r="L1103" s="188">
        <v>5000000000</v>
      </c>
      <c r="M1103" s="194">
        <f>L1103/P1103</f>
        <v>11.098798720410617</v>
      </c>
      <c r="N1103" s="190">
        <f>J1103/L1105</f>
        <v>0.3048608888888889</v>
      </c>
      <c r="O1103" s="190">
        <f>(I1103*0.79)/(K1105+L1105)</f>
        <v>0.2109867469332809</v>
      </c>
      <c r="P1103" s="188">
        <v>450499205</v>
      </c>
      <c r="Q1103" s="188">
        <f>P1103*E1103</f>
        <v>32661192362.5</v>
      </c>
      <c r="R1103" s="195">
        <f>Q1103/L1103</f>
        <v>6.5322384724999996</v>
      </c>
      <c r="S1103" s="241">
        <f>(Q1103+K1103)/H1103</f>
        <v>13.920157575301205</v>
      </c>
      <c r="T1103" s="180">
        <v>1270000000</v>
      </c>
      <c r="U1103" s="189">
        <f>IFERROR(IF(Tableau3[[#This Row],[Dettes]]=0,"",(Tableau3[[#This Row],[Dettes]]/Tableau3[[#This Row],[EBE]])),"")</f>
        <v>0.80321285140562249</v>
      </c>
      <c r="V1103" s="190" t="str">
        <f>IFERROR(Tableau3[[#This Row],[Fonds propres]]/Tableau3[[#This Row],[Total Bilan]],"")</f>
        <v/>
      </c>
      <c r="W1103" s="180"/>
      <c r="X1103" s="192" t="s">
        <v>766</v>
      </c>
      <c r="Y1103" s="180"/>
      <c r="Z1103" s="192" t="str">
        <f>IFERROR(Tableau3[[#This Row],[Chiffre d''affaires]]/Tableau3[[#This Row],[Salariés]],"")</f>
        <v/>
      </c>
      <c r="AA1103" s="177"/>
      <c r="AC1103" s="177" t="s">
        <v>767</v>
      </c>
    </row>
    <row r="1104" spans="1:29" ht="20.25" customHeight="1">
      <c r="E1104" s="187"/>
      <c r="G1104" s="202">
        <f>(G1103/G1105)-1</f>
        <v>8.9274956445283937E-2</v>
      </c>
      <c r="H1104" s="202">
        <f>(H1103/H1105)-1</f>
        <v>6.6335488844160739E-2</v>
      </c>
      <c r="I1104" s="202">
        <f>(I1103/I1105)-1</f>
        <v>8.0000000000000071E-2</v>
      </c>
      <c r="J1104" s="202">
        <f>(J1103/J1105)-1</f>
        <v>9.000000000000008E-2</v>
      </c>
      <c r="K1104" s="177"/>
      <c r="L1104" s="177"/>
      <c r="M1104" s="178"/>
      <c r="N1104" s="238"/>
      <c r="O1104" s="238"/>
      <c r="P1104" s="178"/>
      <c r="Q1104" s="238"/>
      <c r="R1104" s="238"/>
      <c r="S1104" s="178"/>
      <c r="T1104" s="180"/>
      <c r="U1104" s="189" t="str">
        <f>IFERROR(IF(Tableau3[[#This Row],[Dettes]]=0,"",(Tableau3[[#This Row],[Dettes]]/Tableau3[[#This Row],[EBE]])),"")</f>
        <v/>
      </c>
      <c r="V1104" s="190" t="str">
        <f>IFERROR(Tableau3[[#This Row],[Fonds propres]]/Tableau3[[#This Row],[Total Bilan]],"")</f>
        <v/>
      </c>
      <c r="W1104" s="180"/>
      <c r="Y1104" s="180"/>
      <c r="Z1104" s="192" t="str">
        <f>IFERROR(Tableau3[[#This Row],[Chiffre d''affaires]]/Tableau3[[#This Row],[Salariés]],"")</f>
        <v/>
      </c>
      <c r="AA1104" s="177"/>
      <c r="AC1104" s="177" t="s">
        <v>769</v>
      </c>
    </row>
    <row r="1105" spans="1:29" ht="20.25" customHeight="1">
      <c r="A1105" s="217"/>
      <c r="E1105" s="187">
        <v>68.239999999999995</v>
      </c>
      <c r="F1105" s="178">
        <v>2024</v>
      </c>
      <c r="G1105" s="242">
        <v>6141700000</v>
      </c>
      <c r="H1105" s="231">
        <v>2335100000</v>
      </c>
      <c r="I1105" s="188">
        <v>1634900000</v>
      </c>
      <c r="J1105" s="188">
        <v>1258600000</v>
      </c>
      <c r="K1105" s="188">
        <v>2111300000</v>
      </c>
      <c r="L1105" s="188">
        <v>4500000000</v>
      </c>
      <c r="M1105" s="194">
        <f>L1105/P1105</f>
        <v>9.9889188483695541</v>
      </c>
      <c r="N1105" s="190">
        <f>J1105/L1107</f>
        <v>0.28081213743864347</v>
      </c>
      <c r="O1105" s="190">
        <f>(I1105*0.79)/(K1107+L1107)</f>
        <v>0.19502476368797753</v>
      </c>
      <c r="P1105" s="188">
        <v>450499205</v>
      </c>
      <c r="Q1105" s="188">
        <f>P1105*E1105</f>
        <v>30742065749.199997</v>
      </c>
      <c r="R1105" s="195">
        <f>Q1105/L1105</f>
        <v>6.8315701664888886</v>
      </c>
      <c r="S1105" s="241">
        <f>(Q1105+K1105)/H1105</f>
        <v>14.069361376043851</v>
      </c>
      <c r="T1105" s="180">
        <v>1334800000</v>
      </c>
      <c r="U1105" s="189">
        <f>IFERROR(IF(Tableau3[[#This Row],[Dettes]]=0,"",(Tableau3[[#This Row],[Dettes]]/Tableau3[[#This Row],[EBE]])),"")</f>
        <v>0.90415828015930799</v>
      </c>
      <c r="V1105" s="190">
        <f>IFERROR(Tableau3[[#This Row],[Fonds propres]]/Tableau3[[#This Row],[Total Bilan]],"")</f>
        <v>0.38880248833592534</v>
      </c>
      <c r="W1105" s="180">
        <v>11574000000</v>
      </c>
      <c r="Y1105" s="180"/>
      <c r="Z1105" s="192" t="str">
        <f>IFERROR(Tableau3[[#This Row],[Chiffre d''affaires]]/Tableau3[[#This Row],[Salariés]],"")</f>
        <v/>
      </c>
      <c r="AA1105" s="218"/>
      <c r="AC1105" s="177" t="s">
        <v>770</v>
      </c>
    </row>
    <row r="1106" spans="1:29" ht="20.25" customHeight="1">
      <c r="E1106" s="187"/>
      <c r="G1106" s="202">
        <f>(G1105/G1107)-1</f>
        <v>0.12873998382709706</v>
      </c>
      <c r="H1106" s="202">
        <f>(H1105/H1107)-1</f>
        <v>0.13178557580457539</v>
      </c>
      <c r="I1106" s="202">
        <f>(I1105/I1107)-1</f>
        <v>0.18214027476500361</v>
      </c>
      <c r="J1106" s="202">
        <f>(J1105/J1107)-1</f>
        <v>0.19638783269961979</v>
      </c>
      <c r="K1106" s="177"/>
      <c r="L1106" s="177"/>
      <c r="M1106" s="178"/>
      <c r="N1106" s="238"/>
      <c r="O1106" s="238"/>
      <c r="P1106" s="178"/>
      <c r="Q1106" s="238"/>
      <c r="R1106" s="238"/>
      <c r="S1106" s="178"/>
      <c r="T1106" s="180"/>
      <c r="U1106" s="189" t="str">
        <f>IFERROR(IF(Tableau3[[#This Row],[Dettes]]=0,"",(Tableau3[[#This Row],[Dettes]]/Tableau3[[#This Row],[EBE]])),"")</f>
        <v/>
      </c>
      <c r="V1106" s="190" t="str">
        <f>IFERROR(Tableau3[[#This Row],[Fonds propres]]/Tableau3[[#This Row],[Total Bilan]],"")</f>
        <v/>
      </c>
      <c r="W1106" s="180"/>
      <c r="Y1106" s="180"/>
      <c r="Z1106" s="192" t="str">
        <f>IFERROR(Tableau3[[#This Row],[Chiffre d''affaires]]/Tableau3[[#This Row],[Salariés]],"")</f>
        <v/>
      </c>
      <c r="AA1106" s="218"/>
      <c r="AC1106" s="177" t="s">
        <v>4967</v>
      </c>
    </row>
    <row r="1107" spans="1:29" ht="20.25" customHeight="1">
      <c r="A1107" s="217"/>
      <c r="E1107" s="187">
        <v>64.88</v>
      </c>
      <c r="F1107" s="178">
        <v>2023</v>
      </c>
      <c r="G1107" s="188">
        <v>5441200000</v>
      </c>
      <c r="H1107" s="188">
        <v>2063200000</v>
      </c>
      <c r="I1107" s="188">
        <v>1383000000</v>
      </c>
      <c r="J1107" s="188">
        <v>1052000000</v>
      </c>
      <c r="K1107" s="188">
        <v>2140600000</v>
      </c>
      <c r="L1107" s="188">
        <v>4482000000</v>
      </c>
      <c r="M1107" s="194">
        <f>L1107/P1107</f>
        <v>9.948963172976077</v>
      </c>
      <c r="N1107" s="190">
        <f>J1107/L1109</f>
        <v>0.22938380358466703</v>
      </c>
      <c r="O1107" s="190">
        <f>(I1107*0.79)/(K1109+L1109)</f>
        <v>0.16099879166543868</v>
      </c>
      <c r="P1107" s="188">
        <v>450499205</v>
      </c>
      <c r="Q1107" s="188">
        <f>P1107*E1107</f>
        <v>29228388420.399998</v>
      </c>
      <c r="R1107" s="195">
        <f>Q1107/L1107</f>
        <v>6.5212825569834889</v>
      </c>
      <c r="S1107" s="241">
        <f>(Q1107+K1107)/H1107</f>
        <v>15.204046345676618</v>
      </c>
      <c r="T1107" s="180">
        <v>1148600000</v>
      </c>
      <c r="U1107" s="189">
        <f>IFERROR(IF(Tableau3[[#This Row],[Dettes]]=0,"",(Tableau3[[#This Row],[Dettes]]/Tableau3[[#This Row],[EBE]])),"")</f>
        <v>1.0375145405195811</v>
      </c>
      <c r="V1107" s="190">
        <f>IFERROR(Tableau3[[#This Row],[Fonds propres]]/Tableau3[[#This Row],[Total Bilan]],"")</f>
        <v>0.4151768345776905</v>
      </c>
      <c r="W1107" s="180">
        <v>10795400000</v>
      </c>
      <c r="Y1107" s="180">
        <v>15936</v>
      </c>
      <c r="Z1107" s="192">
        <f>IFERROR(Tableau3[[#This Row],[Chiffre d''affaires]]/Tableau3[[#This Row],[Salariés]],"")</f>
        <v>341440.76305220881</v>
      </c>
      <c r="AA1107" s="218"/>
      <c r="AC1107" s="177" t="s">
        <v>771</v>
      </c>
    </row>
    <row r="1108" spans="1:29" ht="20.25" customHeight="1">
      <c r="E1108" s="187"/>
      <c r="G1108" s="202">
        <f>(G1107/G1109)-1</f>
        <v>0.21295615149691249</v>
      </c>
      <c r="H1108" s="202">
        <f>(H1107/H1109)-1</f>
        <v>0.25781869170273741</v>
      </c>
      <c r="I1108" s="202">
        <f>(I1107/I1109)-1</f>
        <v>0.43658460579619818</v>
      </c>
      <c r="J1108" s="202">
        <f>(J1107/J1109)-1</f>
        <v>0.58362185759446028</v>
      </c>
      <c r="K1108" s="188"/>
      <c r="L1108" s="188"/>
      <c r="M1108" s="178"/>
      <c r="N1108" s="238"/>
      <c r="O1108" s="238"/>
      <c r="P1108" s="178"/>
      <c r="Q1108" s="238"/>
      <c r="R1108" s="238"/>
      <c r="S1108" s="178"/>
      <c r="T1108" s="180"/>
      <c r="U1108" s="189" t="str">
        <f>IFERROR(IF(Tableau3[[#This Row],[Dettes]]=0,"",(Tableau3[[#This Row],[Dettes]]/Tableau3[[#This Row],[EBE]])),"")</f>
        <v/>
      </c>
      <c r="V1108" s="190" t="str">
        <f>IFERROR(Tableau3[[#This Row],[Fonds propres]]/Tableau3[[#This Row],[Total Bilan]],"")</f>
        <v/>
      </c>
      <c r="W1108" s="180"/>
      <c r="Y1108" s="180"/>
      <c r="Z1108" s="192" t="str">
        <f>IFERROR(Tableau3[[#This Row],[Chiffre d''affaires]]/Tableau3[[#This Row],[Salariés]],"")</f>
        <v/>
      </c>
      <c r="AA1108" s="218"/>
      <c r="AC1108" s="177" t="s">
        <v>772</v>
      </c>
    </row>
    <row r="1109" spans="1:29" ht="20.25" customHeight="1">
      <c r="A1109" s="217"/>
      <c r="E1109" s="187">
        <v>48.55</v>
      </c>
      <c r="F1109" s="178">
        <v>2022</v>
      </c>
      <c r="G1109" s="188">
        <v>4485900000</v>
      </c>
      <c r="H1109" s="188">
        <v>1640300000</v>
      </c>
      <c r="I1109" s="188">
        <v>962700000</v>
      </c>
      <c r="J1109" s="188">
        <v>664300000</v>
      </c>
      <c r="K1109" s="188">
        <v>2200000000</v>
      </c>
      <c r="L1109" s="188">
        <v>4586200000</v>
      </c>
      <c r="M1109" s="194">
        <f>L1109/P1109</f>
        <v>10.180262138309434</v>
      </c>
      <c r="N1109" s="190">
        <f>J1109/L1111</f>
        <v>0.17736896910794864</v>
      </c>
      <c r="O1109" s="190">
        <f>(I1109*0.79)/(K1111+L1111)</f>
        <v>0.11194186046511628</v>
      </c>
      <c r="P1109" s="188">
        <v>450499205</v>
      </c>
      <c r="Q1109" s="188">
        <f>P1109*E1109</f>
        <v>21871736402.75</v>
      </c>
      <c r="R1109" s="195">
        <f>Q1109/L1109</f>
        <v>4.7690324021521082</v>
      </c>
      <c r="S1109" s="241">
        <f>(Q1109+K1109)/H1109</f>
        <v>14.675203562000853</v>
      </c>
      <c r="T1109" s="180">
        <v>805000000</v>
      </c>
      <c r="U1109" s="189">
        <f>IFERROR(IF(Tableau3[[#This Row],[Dettes]]=0,"",(Tableau3[[#This Row],[Dettes]]/Tableau3[[#This Row],[EBE]])),"")</f>
        <v>1.3412180698652685</v>
      </c>
      <c r="V1109" s="190">
        <f>IFERROR(Tableau3[[#This Row],[Fonds propres]]/Tableau3[[#This Row],[Total Bilan]],"")</f>
        <v>0.39149771650518589</v>
      </c>
      <c r="W1109" s="180">
        <v>11714500000</v>
      </c>
      <c r="Y1109" s="180">
        <v>15936</v>
      </c>
      <c r="Z1109" s="192">
        <f>IFERROR(Tableau3[[#This Row],[Chiffre d''affaires]]/Tableau3[[#This Row],[Salariés]],"")</f>
        <v>281494.72891566268</v>
      </c>
      <c r="AA1109" s="218"/>
      <c r="AC1109" s="177" t="s">
        <v>773</v>
      </c>
    </row>
    <row r="1110" spans="1:29" ht="20.25" customHeight="1">
      <c r="E1110" s="187"/>
      <c r="G1110" s="202">
        <f>(G1109/G1111)-1</f>
        <v>0.68011235955056182</v>
      </c>
      <c r="H1110" s="202">
        <f>(H1109/H1111)-1</f>
        <v>1.7388545667056268</v>
      </c>
      <c r="I1110" s="202">
        <f>(I1109/I1111)-1</f>
        <v>-12.598795180722892</v>
      </c>
      <c r="J1110" s="202">
        <f>(J1109/J1111)-1</f>
        <v>-5.6650280898876408</v>
      </c>
      <c r="K1110" s="188"/>
      <c r="L1110" s="188"/>
      <c r="M1110" s="194"/>
      <c r="N1110" s="190"/>
      <c r="O1110" s="190"/>
      <c r="P1110" s="188"/>
      <c r="Q1110" s="188"/>
      <c r="R1110" s="195"/>
      <c r="S1110" s="241"/>
      <c r="T1110" s="180"/>
      <c r="U1110" s="189" t="str">
        <f>IFERROR(IF(Tableau3[[#This Row],[Dettes]]=0,"",(Tableau3[[#This Row],[Dettes]]/Tableau3[[#This Row],[EBE]])),"")</f>
        <v/>
      </c>
      <c r="V1110" s="190" t="str">
        <f>IFERROR(Tableau3[[#This Row],[Fonds propres]]/Tableau3[[#This Row],[Total Bilan]],"")</f>
        <v/>
      </c>
      <c r="W1110" s="180"/>
      <c r="X1110" s="192"/>
      <c r="Y1110" s="180"/>
      <c r="Z1110" s="192" t="str">
        <f>IFERROR(Tableau3[[#This Row],[Chiffre d''affaires]]/Tableau3[[#This Row],[Salariés]],"")</f>
        <v/>
      </c>
      <c r="AA1110" s="218"/>
      <c r="AC1110" s="177" t="s">
        <v>774</v>
      </c>
    </row>
    <row r="1111" spans="1:29" ht="20.25" customHeight="1">
      <c r="E1111" s="187">
        <v>60.54</v>
      </c>
      <c r="F1111" s="178">
        <v>2021</v>
      </c>
      <c r="G1111" s="188">
        <v>2670000000</v>
      </c>
      <c r="H1111" s="188">
        <v>598900000</v>
      </c>
      <c r="I1111" s="188">
        <v>-83000000</v>
      </c>
      <c r="J1111" s="188">
        <v>-142400000</v>
      </c>
      <c r="K1111" s="188">
        <v>3048700000</v>
      </c>
      <c r="L1111" s="188">
        <v>3745300000</v>
      </c>
      <c r="M1111" s="194">
        <f>L1111/P1111</f>
        <v>8.3222833410590304</v>
      </c>
      <c r="N1111" s="190">
        <f>J1111/L1113</f>
        <v>-3.8026062807092503E-2</v>
      </c>
      <c r="O1111" s="190">
        <f>(I1111*0.79)/(K1113+L1113)</f>
        <v>-9.6162025019431857E-3</v>
      </c>
      <c r="P1111" s="188">
        <v>450032743</v>
      </c>
      <c r="Q1111" s="188">
        <f>P1111*E1111</f>
        <v>27244982261.220001</v>
      </c>
      <c r="R1111" s="195">
        <f>Q1111/L1111</f>
        <v>7.2744459085306925</v>
      </c>
      <c r="S1111" s="241">
        <f>(Q1111+K1111)/H1111</f>
        <v>50.582204476907663</v>
      </c>
      <c r="T1111" s="180">
        <v>99200000</v>
      </c>
      <c r="U1111" s="189">
        <f>IFERROR(IF(Tableau3[[#This Row],[Dettes]]=0,"",(Tableau3[[#This Row],[Dettes]]/Tableau3[[#This Row],[EBE]])),"")</f>
        <v>5.0904992486224749</v>
      </c>
      <c r="V1111" s="190">
        <f>IFERROR(Tableau3[[#This Row],[Fonds propres]]/Tableau3[[#This Row],[Total Bilan]],"")</f>
        <v>0.33500000000000002</v>
      </c>
      <c r="W1111" s="180">
        <v>11180000000</v>
      </c>
      <c r="Y1111" s="180">
        <v>15936</v>
      </c>
      <c r="Z1111" s="192">
        <f>IFERROR(Tableau3[[#This Row],[Chiffre d''affaires]]/Tableau3[[#This Row],[Salariés]],"")</f>
        <v>167545.18072289156</v>
      </c>
      <c r="AA1111" s="218"/>
      <c r="AC1111" s="177" t="s">
        <v>775</v>
      </c>
    </row>
    <row r="1112" spans="1:29" ht="20.25" customHeight="1">
      <c r="E1112" s="187"/>
      <c r="G1112" s="202">
        <f>(G1111/G1113)-1</f>
        <v>0.2281508739650413</v>
      </c>
      <c r="H1112" s="202">
        <f>(H1111/H1113)-1</f>
        <v>9.2201365187713318</v>
      </c>
      <c r="I1112" s="202">
        <f>(I1111/I1113)-1</f>
        <v>-0.89231966787752981</v>
      </c>
      <c r="J1112" s="202">
        <f>(J1111/J1113)-1</f>
        <v>-0.77263292351908031</v>
      </c>
      <c r="K1112" s="188"/>
      <c r="L1112" s="188"/>
      <c r="M1112" s="194"/>
      <c r="N1112" s="190"/>
      <c r="O1112" s="190"/>
      <c r="P1112" s="188"/>
      <c r="Q1112" s="188"/>
      <c r="R1112" s="195"/>
      <c r="S1112" s="241"/>
      <c r="T1112" s="180"/>
      <c r="U1112" s="189" t="str">
        <f>IFERROR(IF(Tableau3[[#This Row],[Dettes]]=0,"",(Tableau3[[#This Row],[Dettes]]/Tableau3[[#This Row],[EBE]])),"")</f>
        <v/>
      </c>
      <c r="V1112" s="190" t="str">
        <f>IFERROR(Tableau3[[#This Row],[Fonds propres]]/Tableau3[[#This Row],[Total Bilan]],"")</f>
        <v/>
      </c>
      <c r="W1112" s="180"/>
      <c r="X1112" s="192"/>
      <c r="Y1112" s="180"/>
      <c r="Z1112" s="192" t="str">
        <f>IFERROR(Tableau3[[#This Row],[Chiffre d''affaires]]/Tableau3[[#This Row],[Salariés]],"")</f>
        <v/>
      </c>
      <c r="AA1112" s="218"/>
      <c r="AC1112" s="177" t="s">
        <v>776</v>
      </c>
    </row>
    <row r="1113" spans="1:29" ht="20.25" customHeight="1">
      <c r="E1113" s="187">
        <v>52.54</v>
      </c>
      <c r="F1113" s="178">
        <v>2020</v>
      </c>
      <c r="G1113" s="188">
        <v>2174000000</v>
      </c>
      <c r="H1113" s="188">
        <v>58600000</v>
      </c>
      <c r="I1113" s="188">
        <v>-770800000</v>
      </c>
      <c r="J1113" s="188">
        <v>-626300000</v>
      </c>
      <c r="K1113" s="188">
        <v>3073900000</v>
      </c>
      <c r="L1113" s="188">
        <v>3744800000</v>
      </c>
      <c r="M1113" s="194">
        <f>L1113/P1113</f>
        <v>8.4113681950193957</v>
      </c>
      <c r="N1113" s="190">
        <f>J1113/L1115</f>
        <v>-0.16557832121612689</v>
      </c>
      <c r="O1113" s="190">
        <f>(I1113*0.79)/(K1115+L1115)</f>
        <v>-8.9651659256205649E-2</v>
      </c>
      <c r="P1113" s="188">
        <v>445207000</v>
      </c>
      <c r="Q1113" s="188">
        <f>P1113*E1113</f>
        <v>23391175780</v>
      </c>
      <c r="R1113" s="195">
        <f>Q1113/L1113</f>
        <v>6.2463084223456526</v>
      </c>
      <c r="S1113" s="241">
        <f>(Q1113+K1113)/H1113</f>
        <v>451.62245358361776</v>
      </c>
      <c r="T1113" s="180">
        <v>-541900000</v>
      </c>
      <c r="U1113" s="189">
        <f>IFERROR(IF(Tableau3[[#This Row],[Dettes]]=0,"",(Tableau3[[#This Row],[Dettes]]/Tableau3[[#This Row],[EBE]])),"")</f>
        <v>52.455631399317404</v>
      </c>
      <c r="V1113" s="190">
        <f>IFERROR(Tableau3[[#This Row],[Fonds propres]]/Tableau3[[#This Row],[Total Bilan]],"")</f>
        <v>0.31794871794871793</v>
      </c>
      <c r="W1113" s="180">
        <v>11778000000</v>
      </c>
      <c r="X1113" s="192"/>
      <c r="Y1113" s="180">
        <v>16550</v>
      </c>
      <c r="Z1113" s="192">
        <f>IFERROR(Tableau3[[#This Row],[Chiffre d''affaires]]/Tableau3[[#This Row],[Salariés]],"")</f>
        <v>131359.51661631421</v>
      </c>
      <c r="AA1113" s="218"/>
      <c r="AC1113" s="177" t="s">
        <v>777</v>
      </c>
    </row>
    <row r="1114" spans="1:29" ht="20.25" customHeight="1">
      <c r="E1114" s="187"/>
      <c r="G1114" s="202">
        <f>(G1113/G1115)-1</f>
        <v>-0.6097018006858046</v>
      </c>
      <c r="H1114" s="202">
        <f>(H1113/H1115)-1</f>
        <v>-0.97393934003379878</v>
      </c>
      <c r="I1114" s="202">
        <f>(I1113/I1115)-1</f>
        <v>-1.5224345940084045</v>
      </c>
      <c r="J1114" s="202">
        <f>(J1113/J1115)-1</f>
        <v>-1.5626122888968739</v>
      </c>
      <c r="K1114" s="188"/>
      <c r="L1114" s="188"/>
      <c r="M1114" s="194"/>
      <c r="N1114" s="190"/>
      <c r="O1114" s="190"/>
      <c r="P1114" s="188"/>
      <c r="Q1114" s="188"/>
      <c r="R1114" s="195"/>
      <c r="S1114" s="241"/>
      <c r="T1114" s="180"/>
      <c r="U1114" s="189" t="str">
        <f>IFERROR(IF(Tableau3[[#This Row],[Dettes]]=0,"",(Tableau3[[#This Row],[Dettes]]/Tableau3[[#This Row],[EBE]])),"")</f>
        <v/>
      </c>
      <c r="V1114" s="190" t="str">
        <f>IFERROR(Tableau3[[#This Row],[Fonds propres]]/Tableau3[[#This Row],[Total Bilan]],"")</f>
        <v/>
      </c>
      <c r="W1114" s="180"/>
      <c r="X1114" s="192"/>
      <c r="Y1114" s="180"/>
      <c r="Z1114" s="192" t="str">
        <f>IFERROR(Tableau3[[#This Row],[Chiffre d''affaires]]/Tableau3[[#This Row],[Salariés]],"")</f>
        <v/>
      </c>
      <c r="AA1114" s="218"/>
      <c r="AC1114" s="177" t="s">
        <v>778</v>
      </c>
    </row>
    <row r="1115" spans="1:29" ht="20.25" customHeight="1">
      <c r="E1115" s="187">
        <v>70.819999999999993</v>
      </c>
      <c r="F1115" s="178">
        <v>2019</v>
      </c>
      <c r="G1115" s="188">
        <v>5570100000</v>
      </c>
      <c r="H1115" s="188">
        <v>2248600000</v>
      </c>
      <c r="I1115" s="188">
        <v>1475400000</v>
      </c>
      <c r="J1115" s="188">
        <v>1113200000</v>
      </c>
      <c r="K1115" s="188">
        <v>3009700000</v>
      </c>
      <c r="L1115" s="188">
        <v>3782500000</v>
      </c>
      <c r="M1115" s="194">
        <f>L1115/P1115</f>
        <v>8.7756189608197168</v>
      </c>
      <c r="N1115" s="190">
        <f>J1115/L1117</f>
        <v>0.35053688950467615</v>
      </c>
      <c r="O1115" s="190">
        <f>(I1115*0.79)/(K1117+L1117)</f>
        <v>0.17937027746572076</v>
      </c>
      <c r="P1115" s="188">
        <v>431023728</v>
      </c>
      <c r="Q1115" s="188">
        <f>P1115*E1115</f>
        <v>30525100416.959995</v>
      </c>
      <c r="R1115" s="195">
        <f>Q1115/L1115</f>
        <v>8.0700860322432248</v>
      </c>
      <c r="S1115" s="241">
        <f>(Q1115+K1115)/H1115</f>
        <v>14.913635336191406</v>
      </c>
      <c r="T1115" s="180">
        <v>1044800000</v>
      </c>
      <c r="U1115" s="189">
        <f>IFERROR(IF(Tableau3[[#This Row],[Dettes]]=0,"",(Tableau3[[#This Row],[Dettes]]/Tableau3[[#This Row],[EBE]])),"")</f>
        <v>1.3384772747487326</v>
      </c>
      <c r="V1115" s="190">
        <f>IFERROR(Tableau3[[#This Row],[Fonds propres]]/Tableau3[[#This Row],[Total Bilan]],"")</f>
        <v>0.36370192307692306</v>
      </c>
      <c r="W1115" s="180">
        <v>10400000000</v>
      </c>
      <c r="X1115" s="192"/>
      <c r="Y1115" s="180">
        <v>19402</v>
      </c>
      <c r="Z1115" s="192">
        <f>IFERROR(Tableau3[[#This Row],[Chiffre d''affaires]]/Tableau3[[#This Row],[Salariés]],"")</f>
        <v>287088.95990104112</v>
      </c>
      <c r="AA1115" s="218"/>
      <c r="AC1115" s="177" t="s">
        <v>779</v>
      </c>
    </row>
    <row r="1116" spans="1:29" ht="20.25" customHeight="1">
      <c r="E1116" s="187"/>
      <c r="G1116" s="202">
        <f>(G1115/G1117)-1</f>
        <v>0.12853293352513329</v>
      </c>
      <c r="H1116" s="202">
        <f>(H1115/H1117)-1</f>
        <v>0.10861312429127845</v>
      </c>
      <c r="I1116" s="202">
        <f>(I1115/I1117)-1</f>
        <v>5.9304997128087233E-2</v>
      </c>
      <c r="J1116" s="202">
        <f>(J1115/J1117)-1</f>
        <v>0.11042394014962587</v>
      </c>
      <c r="K1116" s="188"/>
      <c r="L1116" s="188"/>
      <c r="M1116" s="194"/>
      <c r="N1116" s="190"/>
      <c r="O1116" s="190"/>
      <c r="P1116" s="188"/>
      <c r="Q1116" s="188"/>
      <c r="R1116" s="195"/>
      <c r="S1116" s="241"/>
      <c r="T1116" s="180"/>
      <c r="U1116" s="189" t="str">
        <f>IFERROR(IF(Tableau3[[#This Row],[Dettes]]=0,"",(Tableau3[[#This Row],[Dettes]]/Tableau3[[#This Row],[EBE]])),"")</f>
        <v/>
      </c>
      <c r="V1116" s="190" t="str">
        <f>IFERROR(Tableau3[[#This Row],[Fonds propres]]/Tableau3[[#This Row],[Total Bilan]],"")</f>
        <v/>
      </c>
      <c r="W1116" s="180"/>
      <c r="X1116" s="192"/>
      <c r="Y1116" s="180"/>
      <c r="Z1116" s="192" t="str">
        <f>IFERROR(Tableau3[[#This Row],[Chiffre d''affaires]]/Tableau3[[#This Row],[Salariés]],"")</f>
        <v/>
      </c>
      <c r="AA1116" s="218"/>
      <c r="AC1116" s="177" t="s">
        <v>780</v>
      </c>
    </row>
    <row r="1117" spans="1:29" ht="20.25" customHeight="1">
      <c r="E1117" s="187">
        <v>63.48</v>
      </c>
      <c r="F1117" s="178">
        <v>2018</v>
      </c>
      <c r="G1117" s="188">
        <v>4935700000</v>
      </c>
      <c r="H1117" s="188">
        <v>2028300000</v>
      </c>
      <c r="I1117" s="188">
        <v>1392800000</v>
      </c>
      <c r="J1117" s="188">
        <v>1002500000</v>
      </c>
      <c r="K1117" s="188">
        <v>3322400000</v>
      </c>
      <c r="L1117" s="188">
        <v>3175700000</v>
      </c>
      <c r="M1117" s="194">
        <f>L1117/P1117</f>
        <v>7.3749173253700357</v>
      </c>
      <c r="N1117" s="190">
        <f>J1117/L1119</f>
        <v>0.38031107738998482</v>
      </c>
      <c r="O1117" s="190">
        <f>(I1117*0.79)/(K1119+L1119)</f>
        <v>0.2614996316277301</v>
      </c>
      <c r="P1117" s="188">
        <v>430608217</v>
      </c>
      <c r="Q1117" s="188">
        <f>P1117*E1117</f>
        <v>27335009615.16</v>
      </c>
      <c r="R1117" s="195">
        <f>Q1117/L1117</f>
        <v>8.6075541188273448</v>
      </c>
      <c r="S1117" s="241">
        <f>(Q1117+K1117)/H1117</f>
        <v>15.114829963595129</v>
      </c>
      <c r="T1117" s="180">
        <v>988900000</v>
      </c>
      <c r="U1117" s="189">
        <f>IFERROR(IF(Tableau3[[#This Row],[Dettes]]=0,"",(Tableau3[[#This Row],[Dettes]]/Tableau3[[#This Row],[EBE]])),"")</f>
        <v>1.6380219888576641</v>
      </c>
      <c r="V1117" s="190">
        <f>IFERROR(Tableau3[[#This Row],[Fonds propres]]/Tableau3[[#This Row],[Total Bilan]],"")</f>
        <v>0.31349457058242841</v>
      </c>
      <c r="W1117" s="180">
        <v>10130000000</v>
      </c>
      <c r="X1117" s="192"/>
      <c r="Y1117" s="180">
        <v>17598</v>
      </c>
      <c r="Z1117" s="192">
        <f>IFERROR(Tableau3[[#This Row],[Chiffre d''affaires]]/Tableau3[[#This Row],[Salariés]],"")</f>
        <v>280469.37151949084</v>
      </c>
      <c r="AA1117" s="218"/>
      <c r="AC1117" s="177" t="s">
        <v>781</v>
      </c>
    </row>
    <row r="1118" spans="1:29" ht="20.25" customHeight="1">
      <c r="E1118" s="187"/>
      <c r="G1118" s="202">
        <f>(G1117/G1119)-1</f>
        <v>1.7103880314051967E-2</v>
      </c>
      <c r="H1118" s="202">
        <f>(H1117/H1119)-1</f>
        <v>7.9055168377932583E-2</v>
      </c>
      <c r="I1118" s="202">
        <f>(I1117/I1119)-1</f>
        <v>5.259975816203144E-2</v>
      </c>
      <c r="J1118" s="202">
        <f>(J1117/J1119)-1</f>
        <v>-3.9884335427264883E-4</v>
      </c>
      <c r="K1118" s="188"/>
      <c r="L1118" s="188"/>
      <c r="M1118" s="194"/>
      <c r="N1118" s="190"/>
      <c r="O1118" s="190"/>
      <c r="P1118" s="188"/>
      <c r="Q1118" s="188"/>
      <c r="R1118" s="195"/>
      <c r="S1118" s="241"/>
      <c r="T1118" s="180"/>
      <c r="U1118" s="189" t="str">
        <f>IFERROR(IF(Tableau3[[#This Row],[Dettes]]=0,"",(Tableau3[[#This Row],[Dettes]]/Tableau3[[#This Row],[EBE]])),"")</f>
        <v/>
      </c>
      <c r="V1118" s="190" t="str">
        <f>IFERROR(Tableau3[[#This Row],[Fonds propres]]/Tableau3[[#This Row],[Total Bilan]],"")</f>
        <v/>
      </c>
      <c r="W1118" s="180"/>
      <c r="X1118" s="192"/>
      <c r="Y1118" s="180"/>
      <c r="Z1118" s="192" t="str">
        <f>IFERROR(Tableau3[[#This Row],[Chiffre d''affaires]]/Tableau3[[#This Row],[Salariés]],"")</f>
        <v/>
      </c>
      <c r="AA1118" s="218"/>
      <c r="AC1118" s="177" t="s">
        <v>782</v>
      </c>
    </row>
    <row r="1119" spans="1:29" ht="20.25" customHeight="1">
      <c r="E1119" s="187">
        <v>62.48</v>
      </c>
      <c r="F1119" s="178">
        <v>2017</v>
      </c>
      <c r="G1119" s="188">
        <v>4852700000</v>
      </c>
      <c r="H1119" s="188">
        <v>1879700000</v>
      </c>
      <c r="I1119" s="188">
        <v>1323200000</v>
      </c>
      <c r="J1119" s="188">
        <v>1002900000</v>
      </c>
      <c r="K1119" s="188">
        <v>1571700000</v>
      </c>
      <c r="L1119" s="188">
        <v>2636000000</v>
      </c>
      <c r="M1119" s="194">
        <f>L1119/P1119</f>
        <v>6.021657122850308</v>
      </c>
      <c r="N1119" s="190">
        <f>J1119/L1121</f>
        <v>0.36658381460633088</v>
      </c>
      <c r="O1119" s="190">
        <f>(I1119*0.79)/(K1121+L1121)</f>
        <v>0.22346095470189614</v>
      </c>
      <c r="P1119" s="188">
        <v>437753254</v>
      </c>
      <c r="Q1119" s="188">
        <f>P1119*E1119</f>
        <v>27350823309.919998</v>
      </c>
      <c r="R1119" s="195">
        <f>Q1119/L1119</f>
        <v>10.375881377056144</v>
      </c>
      <c r="S1119" s="241">
        <f>(Q1119+K1119)/H1119</f>
        <v>15.38677624616694</v>
      </c>
      <c r="T1119" s="180">
        <v>917600000</v>
      </c>
      <c r="U1119" s="189">
        <f>IFERROR(IF(Tableau3[[#This Row],[Dettes]]=0,"",(Tableau3[[#This Row],[Dettes]]/Tableau3[[#This Row],[EBE]])),"")</f>
        <v>0.83614406554237375</v>
      </c>
      <c r="V1119" s="190" t="str">
        <f>IFERROR(Tableau3[[#This Row],[Fonds propres]]/Tableau3[[#This Row],[Total Bilan]],"")</f>
        <v/>
      </c>
      <c r="W1119" s="180"/>
      <c r="X1119" s="192"/>
      <c r="Y1119" s="180">
        <v>14963</v>
      </c>
      <c r="Z1119" s="192">
        <f>IFERROR(Tableau3[[#This Row],[Chiffre d''affaires]]/Tableau3[[#This Row],[Salariés]],"")</f>
        <v>324313.30615518277</v>
      </c>
      <c r="AA1119" s="218"/>
      <c r="AC1119" s="177" t="s">
        <v>783</v>
      </c>
    </row>
    <row r="1120" spans="1:29" ht="20.25" customHeight="1">
      <c r="E1120" s="187"/>
      <c r="G1120" s="202">
        <f>(G1119/G1121)-1</f>
        <v>8.4911355049296811E-2</v>
      </c>
      <c r="H1120" s="202">
        <f>(H1119/H1121)-1</f>
        <v>9.8340539908846614E-2</v>
      </c>
      <c r="I1120" s="202">
        <f>(I1119/I1121)-1</f>
        <v>9.147900684649013E-2</v>
      </c>
      <c r="J1120" s="202">
        <f>(J1119/J1121)-1</f>
        <v>0.21490006056935185</v>
      </c>
      <c r="K1120" s="188"/>
      <c r="L1120" s="188"/>
      <c r="M1120" s="194"/>
      <c r="N1120" s="190"/>
      <c r="O1120" s="190"/>
      <c r="P1120" s="188"/>
      <c r="Q1120" s="188"/>
      <c r="R1120" s="195"/>
      <c r="S1120" s="241"/>
      <c r="T1120" s="180"/>
      <c r="U1120" s="189" t="str">
        <f>IFERROR(IF(Tableau3[[#This Row],[Dettes]]=0,"",(Tableau3[[#This Row],[Dettes]]/Tableau3[[#This Row],[EBE]])),"")</f>
        <v/>
      </c>
      <c r="V1120" s="190" t="str">
        <f>IFERROR(Tableau3[[#This Row],[Fonds propres]]/Tableau3[[#This Row],[Total Bilan]],"")</f>
        <v/>
      </c>
      <c r="W1120" s="180"/>
      <c r="X1120" s="192"/>
      <c r="Y1120" s="180"/>
      <c r="Z1120" s="192" t="str">
        <f>IFERROR(Tableau3[[#This Row],[Chiffre d''affaires]]/Tableau3[[#This Row],[Salariés]],"")</f>
        <v/>
      </c>
      <c r="AA1120" s="218"/>
      <c r="AC1120" s="177" t="s">
        <v>784</v>
      </c>
    </row>
    <row r="1121" spans="1:29" ht="20.25" customHeight="1">
      <c r="E1121" s="187">
        <v>42.74</v>
      </c>
      <c r="F1121" s="178">
        <v>2016</v>
      </c>
      <c r="G1121" s="188">
        <v>4472900000</v>
      </c>
      <c r="H1121" s="188">
        <v>1711400000</v>
      </c>
      <c r="I1121" s="188">
        <v>1212300000</v>
      </c>
      <c r="J1121" s="188">
        <v>825500000</v>
      </c>
      <c r="K1121" s="188">
        <v>1942100000</v>
      </c>
      <c r="L1121" s="188">
        <v>2735800000</v>
      </c>
      <c r="M1121" s="194">
        <f>L1121/P1121</f>
        <v>6.2560994425551959</v>
      </c>
      <c r="N1121" s="190">
        <f>J1121/L1123</f>
        <v>0.363516585912114</v>
      </c>
      <c r="O1121" s="190">
        <f>(I1121*0.79)/(K1123+L1123)</f>
        <v>0.24670145377913799</v>
      </c>
      <c r="P1121" s="188">
        <v>437301233</v>
      </c>
      <c r="Q1121" s="188">
        <f>P1121*E1121</f>
        <v>18690254698.420002</v>
      </c>
      <c r="R1121" s="195">
        <f>Q1121/L1121</f>
        <v>6.8317328380802698</v>
      </c>
      <c r="S1121" s="241">
        <f>(Q1121+K1121)/H1121</f>
        <v>12.055834228362745</v>
      </c>
      <c r="T1121" s="180">
        <v>811000000</v>
      </c>
      <c r="U1121" s="189">
        <f>IFERROR(IF(Tableau3[[#This Row],[Dettes]]=0,"",(Tableau3[[#This Row],[Dettes]]/Tableau3[[#This Row],[EBE]])),"")</f>
        <v>1.134801916559542</v>
      </c>
      <c r="V1121" s="190" t="str">
        <f>IFERROR(Tableau3[[#This Row],[Fonds propres]]/Tableau3[[#This Row],[Total Bilan]],"")</f>
        <v/>
      </c>
      <c r="W1121" s="180"/>
      <c r="X1121" s="192"/>
      <c r="Y1121" s="180">
        <v>13881</v>
      </c>
      <c r="Z1121" s="192">
        <f>IFERROR(Tableau3[[#This Row],[Chiffre d''affaires]]/Tableau3[[#This Row],[Salariés]],"")</f>
        <v>322231.82767812116</v>
      </c>
      <c r="AA1121" s="218"/>
      <c r="AC1121" s="177" t="s">
        <v>785</v>
      </c>
    </row>
    <row r="1122" spans="1:29" ht="20.25" customHeight="1">
      <c r="E1122" s="187"/>
      <c r="G1122" s="202">
        <f>(G1121/G1123)-1</f>
        <v>0.14317420544677306</v>
      </c>
      <c r="H1122" s="202">
        <f>(H1121/H1123)-1</f>
        <v>0.15977818242685982</v>
      </c>
      <c r="I1122" s="202">
        <f>(I1121/I1123)-1</f>
        <v>0.15128751798441598</v>
      </c>
      <c r="J1122" s="202">
        <f>(J1121/J1123)-1</f>
        <v>0.20351592854424871</v>
      </c>
      <c r="K1122" s="188"/>
      <c r="L1122" s="188"/>
      <c r="M1122" s="194"/>
      <c r="N1122" s="190"/>
      <c r="O1122" s="190"/>
      <c r="P1122" s="188"/>
      <c r="Q1122" s="188"/>
      <c r="R1122" s="195"/>
      <c r="S1122" s="241"/>
      <c r="T1122" s="180"/>
      <c r="U1122" s="189" t="str">
        <f>IFERROR(IF(Tableau3[[#This Row],[Dettes]]=0,"",(Tableau3[[#This Row],[Dettes]]/Tableau3[[#This Row],[EBE]])),"")</f>
        <v/>
      </c>
      <c r="V1122" s="190" t="str">
        <f>IFERROR(Tableau3[[#This Row],[Fonds propres]]/Tableau3[[#This Row],[Total Bilan]],"")</f>
        <v/>
      </c>
      <c r="W1122" s="180"/>
      <c r="X1122" s="192"/>
      <c r="Y1122" s="180"/>
      <c r="Z1122" s="192" t="str">
        <f>IFERROR(Tableau3[[#This Row],[Chiffre d''affaires]]/Tableau3[[#This Row],[Salariés]],"")</f>
        <v/>
      </c>
      <c r="AA1122" s="218"/>
      <c r="AC1122" s="177" t="s">
        <v>786</v>
      </c>
    </row>
    <row r="1123" spans="1:29" ht="20.25" customHeight="1">
      <c r="E1123" s="187">
        <v>37.520000000000003</v>
      </c>
      <c r="F1123" s="178">
        <v>2015</v>
      </c>
      <c r="G1123" s="188">
        <v>3912702000</v>
      </c>
      <c r="H1123" s="188">
        <v>1475627000</v>
      </c>
      <c r="I1123" s="188">
        <v>1052995000</v>
      </c>
      <c r="J1123" s="188">
        <v>685907000</v>
      </c>
      <c r="K1123" s="188">
        <v>1611216000</v>
      </c>
      <c r="L1123" s="188">
        <v>2270873000</v>
      </c>
      <c r="M1123" s="194">
        <f>L1123/P1123</f>
        <v>5.2011761866072916</v>
      </c>
      <c r="N1123" s="190">
        <f>J1123/L1125</f>
        <v>0.37236573879290452</v>
      </c>
      <c r="O1123" s="190">
        <f>(I1123*0.79)/(K1125+L1125)</f>
        <v>0.25264409410078237</v>
      </c>
      <c r="P1123" s="188">
        <v>436607590</v>
      </c>
      <c r="Q1123" s="188">
        <f>P1123*E1123</f>
        <v>16381516776.800001</v>
      </c>
      <c r="R1123" s="195">
        <f>Q1123/L1123</f>
        <v>7.2137529385394963</v>
      </c>
      <c r="S1123" s="241">
        <f>(Q1123+K1123)/H1123</f>
        <v>12.193279722314651</v>
      </c>
      <c r="T1123" s="180">
        <v>659200000</v>
      </c>
      <c r="U1123" s="189">
        <f>IFERROR(IF(Tableau3[[#This Row],[Dettes]]=0,"",(Tableau3[[#This Row],[Dettes]]/Tableau3[[#This Row],[EBE]])),"")</f>
        <v>1.0918856865590016</v>
      </c>
      <c r="V1123" s="190" t="str">
        <f>IFERROR(Tableau3[[#This Row],[Fonds propres]]/Tableau3[[#This Row],[Total Bilan]],"")</f>
        <v/>
      </c>
      <c r="W1123" s="180"/>
      <c r="X1123" s="192"/>
      <c r="Y1123" s="180">
        <v>12807</v>
      </c>
      <c r="Z1123" s="192">
        <f>IFERROR(Tableau3[[#This Row],[Chiffre d''affaires]]/Tableau3[[#This Row],[Salariés]],"")</f>
        <v>305512.76645584445</v>
      </c>
      <c r="AA1123" s="218"/>
      <c r="AC1123" s="177" t="s">
        <v>787</v>
      </c>
    </row>
    <row r="1124" spans="1:29" ht="20.25" customHeight="1">
      <c r="E1124" s="187"/>
      <c r="G1124" s="202">
        <f>(G1123/G1125)-1</f>
        <v>0.14483918509799176</v>
      </c>
      <c r="H1124" s="202">
        <f>(H1123/H1125)-1</f>
        <v>0.12359980903112233</v>
      </c>
      <c r="I1124" s="202">
        <f>(I1123/I1125)-1</f>
        <v>0.10184531190322965</v>
      </c>
      <c r="J1124" s="202">
        <f>(J1123/J1125)-1</f>
        <v>8.5022913539157141E-2</v>
      </c>
      <c r="K1124" s="188"/>
      <c r="L1124" s="188"/>
      <c r="M1124" s="194"/>
      <c r="N1124" s="190"/>
      <c r="O1124" s="190"/>
      <c r="P1124" s="188"/>
      <c r="Q1124" s="188"/>
      <c r="R1124" s="195"/>
      <c r="S1124" s="241"/>
      <c r="T1124" s="180"/>
      <c r="U1124" s="189" t="str">
        <f>IFERROR(IF(Tableau3[[#This Row],[Dettes]]=0,"",(Tableau3[[#This Row],[Dettes]]/Tableau3[[#This Row],[EBE]])),"")</f>
        <v/>
      </c>
      <c r="V1124" s="190" t="str">
        <f>IFERROR(Tableau3[[#This Row],[Fonds propres]]/Tableau3[[#This Row],[Total Bilan]],"")</f>
        <v/>
      </c>
      <c r="W1124" s="180"/>
      <c r="X1124" s="192"/>
      <c r="Y1124" s="180"/>
      <c r="Z1124" s="192" t="str">
        <f>IFERROR(Tableau3[[#This Row],[Chiffre d''affaires]]/Tableau3[[#This Row],[Salariés]],"")</f>
        <v/>
      </c>
      <c r="AA1124" s="218"/>
      <c r="AC1124" s="177" t="s">
        <v>788</v>
      </c>
    </row>
    <row r="1125" spans="1:29" ht="20.25" customHeight="1">
      <c r="E1125" s="187">
        <v>35.590000000000003</v>
      </c>
      <c r="F1125" s="178">
        <v>2014</v>
      </c>
      <c r="G1125" s="188">
        <v>3417687000</v>
      </c>
      <c r="H1125" s="188">
        <v>1313303000</v>
      </c>
      <c r="I1125" s="188">
        <v>955665000</v>
      </c>
      <c r="J1125" s="188">
        <v>632159000</v>
      </c>
      <c r="K1125" s="188">
        <v>1450615000</v>
      </c>
      <c r="L1125" s="188">
        <v>1842025000</v>
      </c>
      <c r="M1125" s="194">
        <f>L1125/P1125</f>
        <v>4.1489248012472952</v>
      </c>
      <c r="N1125" s="190">
        <f>J1125/L1127</f>
        <v>0.34406000813127158</v>
      </c>
      <c r="O1125" s="190">
        <f>(I1125*0.79)/(K1127+L1127)</f>
        <v>0.24796549981131016</v>
      </c>
      <c r="P1125" s="188">
        <v>443976473</v>
      </c>
      <c r="Q1125" s="188">
        <f>P1125*E1125</f>
        <v>15801122674.070002</v>
      </c>
      <c r="R1125" s="195">
        <f>Q1125/L1125</f>
        <v>8.578126069988194</v>
      </c>
      <c r="S1125" s="241">
        <f>(Q1125+K1125)/H1125</f>
        <v>13.136144266837126</v>
      </c>
      <c r="T1125" s="180">
        <v>596300000</v>
      </c>
      <c r="U1125" s="189">
        <f>IFERROR(IF(Tableau3[[#This Row],[Dettes]]=0,"",(Tableau3[[#This Row],[Dettes]]/Tableau3[[#This Row],[EBE]])),"")</f>
        <v>1.1045546991059947</v>
      </c>
      <c r="V1125" s="190" t="str">
        <f>IFERROR(Tableau3[[#This Row],[Fonds propres]]/Tableau3[[#This Row],[Total Bilan]],"")</f>
        <v/>
      </c>
      <c r="W1125" s="180"/>
      <c r="X1125" s="192"/>
      <c r="Y1125" s="180">
        <v>11951</v>
      </c>
      <c r="Z1125" s="192">
        <f>IFERROR(Tableau3[[#This Row],[Chiffre d''affaires]]/Tableau3[[#This Row],[Salariés]],"")</f>
        <v>285974.98117312358</v>
      </c>
      <c r="AA1125" s="218"/>
      <c r="AC1125" s="177" t="s">
        <v>789</v>
      </c>
    </row>
    <row r="1126" spans="1:29" ht="20.25" customHeight="1">
      <c r="E1126" s="187"/>
      <c r="G1126" s="202">
        <f>(G1125/G1127)-1</f>
        <v>0.1011643188797382</v>
      </c>
      <c r="H1126" s="202">
        <f>(H1125/H1127)-1</f>
        <v>9.9930736264297604E-2</v>
      </c>
      <c r="I1126" s="202">
        <f>(I1125/I1127)-1</f>
        <v>7.6190840837966345E-2</v>
      </c>
      <c r="J1126" s="202">
        <f>(J1125/J1127)-1</f>
        <v>0.1235465994604068</v>
      </c>
      <c r="K1126" s="188"/>
      <c r="L1126" s="188"/>
      <c r="M1126" s="194"/>
      <c r="N1126" s="190"/>
      <c r="O1126" s="190"/>
      <c r="P1126" s="188"/>
      <c r="Q1126" s="188"/>
      <c r="R1126" s="195"/>
      <c r="S1126" s="241"/>
      <c r="T1126" s="180"/>
      <c r="U1126" s="189" t="str">
        <f>IFERROR(IF(Tableau3[[#This Row],[Dettes]]=0,"",(Tableau3[[#This Row],[Dettes]]/Tableau3[[#This Row],[EBE]])),"")</f>
        <v/>
      </c>
      <c r="V1126" s="190" t="str">
        <f>IFERROR(Tableau3[[#This Row],[Fonds propres]]/Tableau3[[#This Row],[Total Bilan]],"")</f>
        <v/>
      </c>
      <c r="W1126" s="180"/>
      <c r="X1126" s="192"/>
      <c r="Y1126" s="180"/>
      <c r="Z1126" s="192" t="str">
        <f>IFERROR(Tableau3[[#This Row],[Chiffre d''affaires]]/Tableau3[[#This Row],[Salariés]],"")</f>
        <v/>
      </c>
      <c r="AA1126" s="218"/>
      <c r="AC1126" s="177" t="s">
        <v>790</v>
      </c>
    </row>
    <row r="1127" spans="1:29" ht="20.25" customHeight="1">
      <c r="E1127" s="187">
        <v>29.36</v>
      </c>
      <c r="F1127" s="178">
        <v>2013</v>
      </c>
      <c r="G1127" s="188">
        <v>3103703000</v>
      </c>
      <c r="H1127" s="188">
        <v>1193987000</v>
      </c>
      <c r="I1127" s="188">
        <v>888007000</v>
      </c>
      <c r="J1127" s="188">
        <v>562646000</v>
      </c>
      <c r="K1127" s="188">
        <v>1207328000</v>
      </c>
      <c r="L1127" s="188">
        <v>1837351000</v>
      </c>
      <c r="M1127" s="194">
        <f>L1127/P1127</f>
        <v>4.1324184906508181</v>
      </c>
      <c r="N1127" s="190">
        <f>J1127/L1129</f>
        <v>0.36801091515118217</v>
      </c>
      <c r="O1127" s="190">
        <f>(I1127*0.79)/(K1129+L1129)</f>
        <v>0.23201979190748387</v>
      </c>
      <c r="P1127" s="188">
        <v>444618812</v>
      </c>
      <c r="Q1127" s="188">
        <f>P1127*E1127</f>
        <v>13054008320.32</v>
      </c>
      <c r="R1127" s="195">
        <f>Q1127/L1127</f>
        <v>7.1047983321205361</v>
      </c>
      <c r="S1127" s="241">
        <f>(Q1127+K1127)/H1127</f>
        <v>11.944297819255988</v>
      </c>
      <c r="T1127" s="180">
        <v>541598000</v>
      </c>
      <c r="U1127" s="189">
        <f>IFERROR(IF(Tableau3[[#This Row],[Dettes]]=0,"",(Tableau3[[#This Row],[Dettes]]/Tableau3[[#This Row],[EBE]])),"")</f>
        <v>1.0111734884885681</v>
      </c>
      <c r="V1127" s="190" t="str">
        <f>IFERROR(Tableau3[[#This Row],[Fonds propres]]/Tableau3[[#This Row],[Total Bilan]],"")</f>
        <v/>
      </c>
      <c r="W1127" s="180"/>
      <c r="X1127" s="192"/>
      <c r="Y1127" s="180">
        <v>10502</v>
      </c>
      <c r="Z1127" s="192">
        <f>IFERROR(Tableau3[[#This Row],[Chiffre d''affaires]]/Tableau3[[#This Row],[Salariés]],"")</f>
        <v>295534.46962483338</v>
      </c>
      <c r="AA1127" s="218"/>
      <c r="AC1127" s="177" t="s">
        <v>791</v>
      </c>
    </row>
    <row r="1128" spans="1:29" ht="20.25" customHeight="1">
      <c r="E1128" s="187"/>
      <c r="G1128" s="202">
        <f>(G1127/G1129)-1</f>
        <v>6.6445133637949905E-2</v>
      </c>
      <c r="H1128" s="202">
        <f>(H1127/H1129)-1</f>
        <v>7.9567914964565611E-2</v>
      </c>
      <c r="I1128" s="202">
        <f>(I1127/I1129)-1</f>
        <v>6.6658418547217879E-2</v>
      </c>
      <c r="J1128" s="202">
        <f>(J1127/J1129)-1</f>
        <v>0.13270669804540525</v>
      </c>
      <c r="K1128" s="188"/>
      <c r="L1128" s="188"/>
      <c r="M1128" s="194"/>
      <c r="N1128" s="190"/>
      <c r="O1128" s="190"/>
      <c r="P1128" s="188"/>
      <c r="Q1128" s="188"/>
      <c r="R1128" s="195"/>
      <c r="S1128" s="241"/>
      <c r="T1128" s="180"/>
      <c r="U1128" s="189" t="str">
        <f>IFERROR(IF(Tableau3[[#This Row],[Dettes]]=0,"",(Tableau3[[#This Row],[Dettes]]/Tableau3[[#This Row],[EBE]])),"")</f>
        <v/>
      </c>
      <c r="V1128" s="190" t="str">
        <f>IFERROR(Tableau3[[#This Row],[Fonds propres]]/Tableau3[[#This Row],[Total Bilan]],"")</f>
        <v/>
      </c>
      <c r="W1128" s="180"/>
      <c r="X1128" s="192"/>
      <c r="Y1128" s="180"/>
      <c r="Z1128" s="192" t="str">
        <f>IFERROR(Tableau3[[#This Row],[Chiffre d''affaires]]/Tableau3[[#This Row],[Salariés]],"")</f>
        <v/>
      </c>
      <c r="AA1128" s="218"/>
      <c r="AC1128" s="177" t="s">
        <v>792</v>
      </c>
    </row>
    <row r="1129" spans="1:29" ht="20.25" customHeight="1">
      <c r="E1129" s="187">
        <v>18.48</v>
      </c>
      <c r="F1129" s="178">
        <v>2012</v>
      </c>
      <c r="G1129" s="188">
        <v>2910326000</v>
      </c>
      <c r="H1129" s="188">
        <v>1105986000</v>
      </c>
      <c r="I1129" s="188">
        <v>832513000</v>
      </c>
      <c r="J1129" s="188">
        <v>496727000</v>
      </c>
      <c r="K1129" s="188">
        <v>1494675000</v>
      </c>
      <c r="L1129" s="188">
        <v>1528884000</v>
      </c>
      <c r="M1129" s="194">
        <f>L1129/P1129</f>
        <v>3.4433537936768741</v>
      </c>
      <c r="N1129" s="190">
        <f>J1129/L1131</f>
        <v>0.39235939968404421</v>
      </c>
      <c r="O1129" s="190">
        <f>(I1129*0.79)/(K1131+L1131)</f>
        <v>0.21093177357280307</v>
      </c>
      <c r="P1129" s="188">
        <v>444010140</v>
      </c>
      <c r="Q1129" s="188">
        <f>P1129*E1129</f>
        <v>8205307387.1999998</v>
      </c>
      <c r="R1129" s="195">
        <f>Q1129/L1129</f>
        <v>5.366860656007912</v>
      </c>
      <c r="S1129" s="241">
        <f>(Q1129+K1129)/H1129</f>
        <v>8.7704386739072646</v>
      </c>
      <c r="T1129" s="180">
        <v>668000000</v>
      </c>
      <c r="U1129" s="189">
        <f>IFERROR(IF(Tableau3[[#This Row],[Dettes]]=0,"",(Tableau3[[#This Row],[Dettes]]/Tableau3[[#This Row],[EBE]])),"")</f>
        <v>1.3514411574830061</v>
      </c>
      <c r="V1129" s="190" t="str">
        <f>IFERROR(Tableau3[[#This Row],[Fonds propres]]/Tableau3[[#This Row],[Total Bilan]],"")</f>
        <v/>
      </c>
      <c r="W1129" s="180"/>
      <c r="X1129" s="192"/>
      <c r="Y1129" s="180">
        <v>9163</v>
      </c>
      <c r="Z1129" s="192">
        <f>IFERROR(Tableau3[[#This Row],[Chiffre d''affaires]]/Tableau3[[#This Row],[Salariés]],"")</f>
        <v>317617.15595329041</v>
      </c>
      <c r="AA1129" s="218"/>
      <c r="AC1129" s="177" t="s">
        <v>793</v>
      </c>
    </row>
    <row r="1130" spans="1:29" ht="20.25" customHeight="1">
      <c r="E1130" s="187"/>
      <c r="G1130" s="202">
        <f>(G1129/G1131)-1</f>
        <v>7.5111193202807458E-2</v>
      </c>
      <c r="H1130" s="202">
        <f>(H1129/H1131)-1</f>
        <v>6.1406909788867647E-2</v>
      </c>
      <c r="I1130" s="202">
        <f>(I1129/I1131)-1</f>
        <v>4.0641249999999962E-2</v>
      </c>
      <c r="J1130" s="202">
        <f>(J1129/J1131)-1</f>
        <v>6.1382478632478588E-2</v>
      </c>
      <c r="K1130" s="188"/>
      <c r="L1130" s="188"/>
      <c r="M1130" s="194"/>
      <c r="N1130" s="190"/>
      <c r="O1130" s="190"/>
      <c r="P1130" s="188"/>
      <c r="Q1130" s="188"/>
      <c r="R1130" s="195"/>
      <c r="S1130" s="241"/>
      <c r="T1130" s="180"/>
      <c r="U1130" s="189" t="str">
        <f>IFERROR(IF(Tableau3[[#This Row],[Dettes]]=0,"",(Tableau3[[#This Row],[Dettes]]/Tableau3[[#This Row],[EBE]])),"")</f>
        <v/>
      </c>
      <c r="V1130" s="190" t="str">
        <f>IFERROR(Tableau3[[#This Row],[Fonds propres]]/Tableau3[[#This Row],[Total Bilan]],"")</f>
        <v/>
      </c>
      <c r="W1130" s="180"/>
      <c r="X1130" s="192"/>
      <c r="Y1130" s="180"/>
      <c r="Z1130" s="192" t="str">
        <f>IFERROR(Tableau3[[#This Row],[Chiffre d''affaires]]/Tableau3[[#This Row],[Salariés]],"")</f>
        <v/>
      </c>
      <c r="AA1130" s="218"/>
      <c r="AC1130" s="177" t="s">
        <v>794</v>
      </c>
    </row>
    <row r="1131" spans="1:29" ht="20.25" customHeight="1">
      <c r="E1131" s="187">
        <v>13.1</v>
      </c>
      <c r="F1131" s="178">
        <v>2011</v>
      </c>
      <c r="G1131" s="188">
        <v>2707000000</v>
      </c>
      <c r="H1131" s="188">
        <v>1042000000</v>
      </c>
      <c r="I1131" s="188">
        <v>800000000</v>
      </c>
      <c r="J1131" s="188">
        <v>468000000</v>
      </c>
      <c r="K1131" s="188">
        <v>1852000000</v>
      </c>
      <c r="L1131" s="188">
        <v>1266000000</v>
      </c>
      <c r="M1131" s="194">
        <f>L1131/P1131</f>
        <v>2.8285322944770224</v>
      </c>
      <c r="N1131" s="190">
        <f>J1131/L1133</f>
        <v>0.61016949152542377</v>
      </c>
      <c r="O1131" s="190">
        <f>(I1131*0.79)/(K1133+L1133)</f>
        <v>0.18933493109646496</v>
      </c>
      <c r="P1131" s="188">
        <v>447581950</v>
      </c>
      <c r="Q1131" s="188">
        <f>P1131*E1131</f>
        <v>5863323545</v>
      </c>
      <c r="R1131" s="195">
        <f>Q1131/L1131</f>
        <v>4.6313772077409165</v>
      </c>
      <c r="S1131" s="241">
        <f>(Q1131+K1131)/H1131</f>
        <v>7.4043412140115166</v>
      </c>
      <c r="T1131" s="180">
        <v>810500000</v>
      </c>
      <c r="U1131" s="189">
        <f>IFERROR(IF(Tableau3[[#This Row],[Dettes]]=0,"",(Tableau3[[#This Row],[Dettes]]/Tableau3[[#This Row],[EBE]])),"")</f>
        <v>1.7773512476007678</v>
      </c>
      <c r="V1131" s="190" t="str">
        <f>IFERROR(Tableau3[[#This Row],[Fonds propres]]/Tableau3[[#This Row],[Total Bilan]],"")</f>
        <v/>
      </c>
      <c r="W1131" s="180"/>
      <c r="X1131" s="192"/>
      <c r="Y1131" s="180">
        <v>10222</v>
      </c>
      <c r="Z1131" s="192">
        <f>IFERROR(Tableau3[[#This Row],[Chiffre d''affaires]]/Tableau3[[#This Row],[Salariés]],"")</f>
        <v>264820.97436900804</v>
      </c>
      <c r="AA1131" s="218"/>
      <c r="AC1131" s="177" t="s">
        <v>795</v>
      </c>
    </row>
    <row r="1132" spans="1:29" ht="20.25" customHeight="1">
      <c r="E1132" s="187"/>
      <c r="G1132" s="202">
        <f>(G1131/G1133)-1</f>
        <v>4.356206630686188E-2</v>
      </c>
      <c r="H1132" s="202">
        <f>(H1131/H1133)-1</f>
        <v>6.4351378958120486E-2</v>
      </c>
      <c r="I1132" s="202">
        <f>(I1131/I1133)-1</f>
        <v>0.25588697017268447</v>
      </c>
      <c r="J1132" s="202">
        <f>(J1131/J1133)-1</f>
        <v>0.56521739130434789</v>
      </c>
      <c r="K1132" s="188"/>
      <c r="L1132" s="188"/>
      <c r="M1132" s="194"/>
      <c r="N1132" s="190"/>
      <c r="O1132" s="190"/>
      <c r="P1132" s="188"/>
      <c r="Q1132" s="188"/>
      <c r="R1132" s="195"/>
      <c r="S1132" s="241"/>
      <c r="T1132" s="180"/>
      <c r="U1132" s="189" t="str">
        <f>IFERROR(IF(Tableau3[[#This Row],[Dettes]]=0,"",(Tableau3[[#This Row],[Dettes]]/Tableau3[[#This Row],[EBE]])),"")</f>
        <v/>
      </c>
      <c r="V1132" s="190" t="str">
        <f>IFERROR(Tableau3[[#This Row],[Fonds propres]]/Tableau3[[#This Row],[Total Bilan]],"")</f>
        <v/>
      </c>
      <c r="W1132" s="180"/>
      <c r="X1132" s="192"/>
      <c r="Y1132" s="180"/>
      <c r="Z1132" s="192" t="str">
        <f>IFERROR(Tableau3[[#This Row],[Chiffre d''affaires]]/Tableau3[[#This Row],[Salariés]],"")</f>
        <v/>
      </c>
      <c r="AA1132" s="218"/>
      <c r="AC1132" s="177" t="s">
        <v>796</v>
      </c>
    </row>
    <row r="1133" spans="1:29" ht="20.25" customHeight="1">
      <c r="E1133" s="187">
        <v>15.32</v>
      </c>
      <c r="F1133" s="178">
        <v>2010</v>
      </c>
      <c r="G1133" s="188">
        <v>2594000000</v>
      </c>
      <c r="H1133" s="188">
        <v>979000000</v>
      </c>
      <c r="I1133" s="188">
        <v>637000000</v>
      </c>
      <c r="J1133" s="188">
        <v>299000000</v>
      </c>
      <c r="K1133" s="188">
        <v>2571000000</v>
      </c>
      <c r="L1133" s="188">
        <v>767000000</v>
      </c>
      <c r="M1133" s="194">
        <f>L1133/P1133</f>
        <v>1.7136526618198076</v>
      </c>
      <c r="N1133" s="190">
        <f>J1133/L1133</f>
        <v>0.38983050847457629</v>
      </c>
      <c r="O1133" s="190">
        <f>(I1133*0.7)/(K1133+L1133)</f>
        <v>0.1335829838226483</v>
      </c>
      <c r="P1133" s="188">
        <v>447581950</v>
      </c>
      <c r="Q1133" s="188">
        <f>P1133*E1133</f>
        <v>6856955474</v>
      </c>
      <c r="R1133" s="195">
        <f>Q1133/L1133</f>
        <v>8.9399680234680581</v>
      </c>
      <c r="S1133" s="241">
        <f>(Q1133+K1133)/H1133</f>
        <v>9.6301894525025542</v>
      </c>
      <c r="T1133" s="180">
        <v>829400000</v>
      </c>
      <c r="U1133" s="189">
        <f>IFERROR(IF(Tableau3[[#This Row],[Dettes]]=0,"",(Tableau3[[#This Row],[Dettes]]/Tableau3[[#This Row],[EBE]])),"")</f>
        <v>2.6261491317671095</v>
      </c>
      <c r="V1133" s="190" t="str">
        <f>IFERROR(Tableau3[[#This Row],[Fonds propres]]/Tableau3[[#This Row],[Total Bilan]],"")</f>
        <v/>
      </c>
      <c r="W1133" s="180"/>
      <c r="X1133" s="192"/>
      <c r="Y1133" s="180">
        <v>10270</v>
      </c>
      <c r="Z1133" s="192">
        <f>IFERROR(Tableau3[[#This Row],[Chiffre d''affaires]]/Tableau3[[#This Row],[Salariés]],"")</f>
        <v>252580.33106134372</v>
      </c>
      <c r="AA1133" s="218"/>
      <c r="AC1133" s="177" t="s">
        <v>4968</v>
      </c>
    </row>
    <row r="1134" spans="1:29" ht="20.25" customHeight="1">
      <c r="E1134" s="187"/>
      <c r="F1134" s="178" t="s">
        <v>800</v>
      </c>
      <c r="G1134" s="188"/>
      <c r="H1134" s="188"/>
      <c r="I1134" s="188"/>
      <c r="J1134" s="188"/>
      <c r="K1134" s="188"/>
      <c r="L1134" s="188"/>
      <c r="M1134" s="188"/>
      <c r="N1134" s="188"/>
      <c r="O1134" s="188"/>
      <c r="P1134" s="188"/>
      <c r="Q1134" s="188"/>
      <c r="R1134" s="188"/>
      <c r="S1134" s="188"/>
      <c r="T1134" s="180"/>
      <c r="U1134" s="189" t="str">
        <f>IFERROR(IF(Tableau3[[#This Row],[Dettes]]=0,"",(Tableau3[[#This Row],[Dettes]]/Tableau3[[#This Row],[EBE]])),"")</f>
        <v/>
      </c>
      <c r="V1134" s="190" t="str">
        <f>IFERROR(Tableau3[[#This Row],[Fonds propres]]/Tableau3[[#This Row],[Total Bilan]],"")</f>
        <v/>
      </c>
      <c r="W1134" s="180"/>
      <c r="X1134" s="192"/>
      <c r="Y1134" s="180"/>
      <c r="Z1134" s="192" t="str">
        <f>IFERROR(Tableau3[[#This Row],[Chiffre d''affaires]]/Tableau3[[#This Row],[Salariés]],"")</f>
        <v/>
      </c>
      <c r="AA1134" s="177"/>
      <c r="AC1134" s="177" t="s">
        <v>4970</v>
      </c>
    </row>
    <row r="1135" spans="1:29" ht="20.25" customHeight="1">
      <c r="A1135" s="217"/>
      <c r="E1135" s="187"/>
      <c r="F1135" s="178">
        <v>2007</v>
      </c>
      <c r="G1135" s="188">
        <v>2393000000</v>
      </c>
      <c r="H1135" s="188">
        <v>865000000</v>
      </c>
      <c r="I1135" s="188">
        <v>281000000</v>
      </c>
      <c r="J1135" s="188"/>
      <c r="K1135" s="188">
        <v>3916000000</v>
      </c>
      <c r="L1135" s="188"/>
      <c r="M1135" s="188"/>
      <c r="N1135" s="188"/>
      <c r="O1135" s="188"/>
      <c r="P1135" s="188"/>
      <c r="Q1135" s="188"/>
      <c r="R1135" s="188"/>
      <c r="S1135" s="188"/>
      <c r="T1135" s="180"/>
      <c r="U1135" s="189">
        <f>IFERROR(IF(Tableau3[[#This Row],[Dettes]]=0,"",(Tableau3[[#This Row],[Dettes]]/Tableau3[[#This Row],[EBE]])),"")</f>
        <v>4.5271676300578036</v>
      </c>
      <c r="V1135" s="190" t="str">
        <f>IFERROR(Tableau3[[#This Row],[Fonds propres]]/Tableau3[[#This Row],[Total Bilan]],"")</f>
        <v/>
      </c>
      <c r="W1135" s="180"/>
      <c r="X1135" s="192"/>
      <c r="Y1135" s="180"/>
      <c r="Z1135" s="192" t="str">
        <f>IFERROR(Tableau3[[#This Row],[Chiffre d''affaires]]/Tableau3[[#This Row],[Salariés]],"")</f>
        <v/>
      </c>
      <c r="AA1135" s="177"/>
      <c r="AC1135" s="177" t="s">
        <v>797</v>
      </c>
    </row>
    <row r="1136" spans="1:29" ht="20.25" customHeight="1">
      <c r="A1136" s="217"/>
      <c r="E1136" s="187"/>
      <c r="G1136" s="188"/>
      <c r="H1136" s="188"/>
      <c r="I1136" s="188"/>
      <c r="J1136" s="188"/>
      <c r="K1136" s="188"/>
      <c r="L1136" s="188"/>
      <c r="M1136" s="188"/>
      <c r="N1136" s="188"/>
      <c r="O1136" s="188"/>
      <c r="P1136" s="188"/>
      <c r="Q1136" s="188"/>
      <c r="R1136" s="188"/>
      <c r="S1136" s="188"/>
      <c r="T1136" s="180"/>
      <c r="U1136" s="189" t="str">
        <f>IFERROR(IF(Tableau3[[#This Row],[Dettes]]=0,"",(Tableau3[[#This Row],[Dettes]]/Tableau3[[#This Row],[EBE]])),"")</f>
        <v/>
      </c>
      <c r="V1136" s="190" t="str">
        <f>IFERROR(Tableau3[[#This Row],[Fonds propres]]/Tableau3[[#This Row],[Total Bilan]],"")</f>
        <v/>
      </c>
      <c r="W1136" s="180"/>
      <c r="X1136" s="192"/>
      <c r="Y1136" s="180"/>
      <c r="Z1136" s="192" t="str">
        <f>IFERROR(Tableau3[[#This Row],[Chiffre d''affaires]]/Tableau3[[#This Row],[Salariés]],"")</f>
        <v/>
      </c>
      <c r="AA1136" s="177"/>
      <c r="AC1136" s="177" t="s">
        <v>799</v>
      </c>
    </row>
    <row r="1137" spans="1:29" ht="20.25" customHeight="1">
      <c r="F1137" s="217" t="s">
        <v>798</v>
      </c>
      <c r="G1137" s="213"/>
      <c r="H1137" s="188"/>
      <c r="I1137" s="188"/>
      <c r="J1137" s="188"/>
      <c r="K1137" s="188"/>
      <c r="L1137" s="188"/>
      <c r="M1137" s="188"/>
      <c r="N1137" s="188"/>
      <c r="O1137" s="188"/>
      <c r="P1137" s="188"/>
      <c r="Q1137" s="188"/>
      <c r="R1137" s="188"/>
      <c r="S1137" s="188"/>
      <c r="T1137" s="180"/>
      <c r="U1137" s="189" t="str">
        <f>IFERROR(IF(Tableau3[[#This Row],[Dettes]]=0,"",(Tableau3[[#This Row],[Dettes]]/Tableau3[[#This Row],[EBE]])),"")</f>
        <v/>
      </c>
      <c r="V1137" s="190" t="str">
        <f>IFERROR(Tableau3[[#This Row],[Fonds propres]]/Tableau3[[#This Row],[Total Bilan]],"")</f>
        <v/>
      </c>
      <c r="W1137" s="180"/>
      <c r="X1137" s="192"/>
      <c r="Y1137" s="180"/>
      <c r="Z1137" s="192" t="str">
        <f>IFERROR(Tableau3[[#This Row],[Chiffre d''affaires]]/Tableau3[[#This Row],[Salariés]],"")</f>
        <v/>
      </c>
      <c r="AA1137" s="177"/>
      <c r="AC1137" s="177" t="s">
        <v>81</v>
      </c>
    </row>
    <row r="1138" spans="1:29" ht="20.25" customHeight="1">
      <c r="E1138" s="187"/>
      <c r="G1138" s="188"/>
      <c r="H1138" s="188"/>
      <c r="I1138" s="188"/>
      <c r="J1138" s="188"/>
      <c r="K1138" s="188"/>
      <c r="L1138" s="188"/>
      <c r="M1138" s="188"/>
      <c r="N1138" s="188"/>
      <c r="O1138" s="188"/>
      <c r="P1138" s="188"/>
      <c r="Q1138" s="188"/>
      <c r="R1138" s="188"/>
      <c r="S1138" s="188"/>
      <c r="T1138" s="180"/>
      <c r="U1138" s="189" t="str">
        <f>IFERROR(IF(Tableau3[[#This Row],[Dettes]]=0,"",(Tableau3[[#This Row],[Dettes]]/Tableau3[[#This Row],[EBE]])),"")</f>
        <v/>
      </c>
      <c r="V1138" s="190" t="str">
        <f>IFERROR(Tableau3[[#This Row],[Fonds propres]]/Tableau3[[#This Row],[Total Bilan]],"")</f>
        <v/>
      </c>
      <c r="W1138" s="180"/>
      <c r="X1138" s="192"/>
      <c r="Y1138" s="180"/>
      <c r="Z1138" s="192" t="str">
        <f>IFERROR(Tableau3[[#This Row],[Chiffre d''affaires]]/Tableau3[[#This Row],[Salariés]],"")</f>
        <v/>
      </c>
      <c r="AA1138" s="177"/>
      <c r="AC1138" s="177" t="s">
        <v>4969</v>
      </c>
    </row>
    <row r="1139" spans="1:29" ht="20.25" customHeight="1">
      <c r="E1139" s="187"/>
      <c r="G1139" s="188"/>
      <c r="H1139" s="188"/>
      <c r="I1139" s="188"/>
      <c r="J1139" s="188"/>
      <c r="K1139" s="188"/>
      <c r="L1139" s="188"/>
      <c r="M1139" s="188"/>
      <c r="N1139" s="188"/>
      <c r="O1139" s="188"/>
      <c r="P1139" s="188"/>
      <c r="Q1139" s="188"/>
      <c r="R1139" s="188"/>
      <c r="S1139" s="188"/>
      <c r="T1139" s="180"/>
      <c r="U1139" s="189" t="str">
        <f>IFERROR(IF(Tableau3[[#This Row],[Dettes]]=0,"",(Tableau3[[#This Row],[Dettes]]/Tableau3[[#This Row],[EBE]])),"")</f>
        <v/>
      </c>
      <c r="V1139" s="190" t="str">
        <f>IFERROR(Tableau3[[#This Row],[Fonds propres]]/Tableau3[[#This Row],[Total Bilan]],"")</f>
        <v/>
      </c>
      <c r="W1139" s="180"/>
      <c r="X1139" s="192"/>
      <c r="Y1139" s="180"/>
      <c r="Z1139" s="192" t="str">
        <f>IFERROR(Tableau3[[#This Row],[Chiffre d''affaires]]/Tableau3[[#This Row],[Salariés]],"")</f>
        <v/>
      </c>
      <c r="AA1139" s="177"/>
    </row>
    <row r="1140" spans="1:29" ht="20.25" customHeight="1">
      <c r="E1140" s="187"/>
      <c r="G1140" s="188"/>
      <c r="H1140" s="188"/>
      <c r="I1140" s="188"/>
      <c r="J1140" s="188"/>
      <c r="K1140" s="188"/>
      <c r="L1140" s="188"/>
      <c r="M1140" s="188"/>
      <c r="N1140" s="188"/>
      <c r="O1140" s="188"/>
      <c r="P1140" s="188"/>
      <c r="Q1140" s="188"/>
      <c r="R1140" s="188"/>
      <c r="S1140" s="188"/>
      <c r="T1140" s="180"/>
      <c r="U1140" s="189" t="str">
        <f>IFERROR(IF(Tableau3[[#This Row],[Dettes]]=0,"",(Tableau3[[#This Row],[Dettes]]/Tableau3[[#This Row],[EBE]])),"")</f>
        <v/>
      </c>
      <c r="V1140" s="190" t="str">
        <f>IFERROR(Tableau3[[#This Row],[Fonds propres]]/Tableau3[[#This Row],[Total Bilan]],"")</f>
        <v/>
      </c>
      <c r="W1140" s="180"/>
      <c r="X1140" s="192"/>
      <c r="Y1140" s="180"/>
      <c r="Z1140" s="192" t="str">
        <f>IFERROR(Tableau3[[#This Row],[Chiffre d''affaires]]/Tableau3[[#This Row],[Salariés]],"")</f>
        <v/>
      </c>
      <c r="AA1140" s="177"/>
    </row>
    <row r="1141" spans="1:29" ht="20.25" customHeight="1">
      <c r="E1141" s="187"/>
      <c r="G1141" s="188"/>
      <c r="H1141" s="188"/>
      <c r="I1141" s="178"/>
      <c r="J1141" s="178"/>
      <c r="K1141" s="178"/>
      <c r="L1141" s="188"/>
      <c r="M1141" s="188"/>
      <c r="N1141" s="188"/>
      <c r="O1141" s="188"/>
      <c r="P1141" s="188"/>
      <c r="Q1141" s="188"/>
      <c r="R1141" s="188"/>
      <c r="S1141" s="188"/>
      <c r="T1141" s="180"/>
      <c r="U1141" s="189" t="str">
        <f>IFERROR(IF(Tableau3[[#This Row],[Dettes]]=0,"",(Tableau3[[#This Row],[Dettes]]/Tableau3[[#This Row],[EBE]])),"")</f>
        <v/>
      </c>
      <c r="V1141" s="190" t="str">
        <f>IFERROR(Tableau3[[#This Row],[Fonds propres]]/Tableau3[[#This Row],[Total Bilan]],"")</f>
        <v/>
      </c>
      <c r="W1141" s="180"/>
      <c r="X1141" s="192"/>
      <c r="Y1141" s="180"/>
      <c r="Z1141" s="192" t="str">
        <f>IFERROR(Tableau3[[#This Row],[Chiffre d''affaires]]/Tableau3[[#This Row],[Salariés]],"")</f>
        <v/>
      </c>
      <c r="AA1141" s="177"/>
    </row>
    <row r="1142" spans="1:29" ht="20.25" customHeight="1">
      <c r="E1142" s="187"/>
      <c r="G1142" s="188"/>
      <c r="H1142" s="188"/>
      <c r="I1142" s="188"/>
      <c r="J1142" s="188"/>
      <c r="K1142" s="188"/>
      <c r="L1142" s="188"/>
      <c r="M1142" s="188"/>
      <c r="N1142" s="188"/>
      <c r="O1142" s="188"/>
      <c r="P1142" s="188"/>
      <c r="Q1142" s="188">
        <f>P1142*E1142</f>
        <v>0</v>
      </c>
      <c r="R1142" s="188"/>
      <c r="S1142" s="188"/>
      <c r="T1142" s="180"/>
      <c r="U1142" s="189" t="str">
        <f>IFERROR(IF(Tableau3[[#This Row],[Dettes]]=0,"",(Tableau3[[#This Row],[Dettes]]/Tableau3[[#This Row],[EBE]])),"")</f>
        <v/>
      </c>
      <c r="V1142" s="190" t="str">
        <f>IFERROR(Tableau3[[#This Row],[Fonds propres]]/Tableau3[[#This Row],[Total Bilan]],"")</f>
        <v/>
      </c>
      <c r="W1142" s="180"/>
      <c r="X1142" s="192"/>
      <c r="Y1142" s="180"/>
      <c r="Z1142" s="192" t="str">
        <f>IFERROR(Tableau3[[#This Row],[Chiffre d''affaires]]/Tableau3[[#This Row],[Salariés]],"")</f>
        <v/>
      </c>
      <c r="AA1142" s="177"/>
    </row>
    <row r="1143" spans="1:29" ht="20.25" customHeight="1">
      <c r="G1143" s="188"/>
      <c r="H1143" s="188"/>
      <c r="I1143" s="188"/>
      <c r="J1143" s="188"/>
      <c r="K1143" s="188"/>
      <c r="L1143" s="188"/>
      <c r="M1143" s="188"/>
      <c r="N1143" s="188"/>
      <c r="O1143" s="188"/>
      <c r="P1143" s="188"/>
      <c r="Q1143" s="188"/>
      <c r="R1143" s="188"/>
      <c r="S1143" s="188"/>
      <c r="T1143" s="180"/>
      <c r="U1143" s="189" t="str">
        <f>IFERROR(IF(Tableau3[[#This Row],[Dettes]]=0,"",(Tableau3[[#This Row],[Dettes]]/Tableau3[[#This Row],[EBE]])),"")</f>
        <v/>
      </c>
      <c r="V1143" s="190" t="str">
        <f>IFERROR(Tableau3[[#This Row],[Fonds propres]]/Tableau3[[#This Row],[Total Bilan]],"")</f>
        <v/>
      </c>
      <c r="W1143" s="180"/>
      <c r="X1143" s="192"/>
      <c r="Y1143" s="180"/>
      <c r="Z1143" s="192" t="str">
        <f>IFERROR(Tableau3[[#This Row],[Chiffre d''affaires]]/Tableau3[[#This Row],[Salariés]],"")</f>
        <v/>
      </c>
      <c r="AA1143" s="177"/>
    </row>
    <row r="1144" spans="1:29" ht="20.25" customHeight="1">
      <c r="E1144" s="187"/>
      <c r="G1144" s="188"/>
      <c r="H1144" s="188"/>
      <c r="I1144" s="188"/>
      <c r="J1144" s="188"/>
      <c r="K1144" s="188"/>
      <c r="L1144" s="188"/>
      <c r="M1144" s="188"/>
      <c r="N1144" s="188"/>
      <c r="O1144" s="188"/>
      <c r="P1144" s="188"/>
      <c r="Q1144" s="188"/>
      <c r="R1144" s="188"/>
      <c r="S1144" s="188"/>
      <c r="T1144" s="180"/>
      <c r="U1144" s="189" t="str">
        <f>IFERROR(IF(Tableau3[[#This Row],[Dettes]]=0,"",(Tableau3[[#This Row],[Dettes]]/Tableau3[[#This Row],[EBE]])),"")</f>
        <v/>
      </c>
      <c r="V1144" s="190" t="str">
        <f>IFERROR(Tableau3[[#This Row],[Fonds propres]]/Tableau3[[#This Row],[Total Bilan]],"")</f>
        <v/>
      </c>
      <c r="W1144" s="180"/>
      <c r="X1144" s="192"/>
      <c r="Y1144" s="180"/>
      <c r="Z1144" s="192" t="str">
        <f>IFERROR(Tableau3[[#This Row],[Chiffre d''affaires]]/Tableau3[[#This Row],[Salariés]],"")</f>
        <v/>
      </c>
      <c r="AA1144" s="177"/>
    </row>
    <row r="1145" spans="1:29" ht="20.25" customHeight="1">
      <c r="A1145" s="217" t="s">
        <v>4853</v>
      </c>
      <c r="B1145" s="216" t="s">
        <v>4854</v>
      </c>
      <c r="C1145" s="178" t="s">
        <v>765</v>
      </c>
      <c r="D1145" s="178" t="s">
        <v>85</v>
      </c>
      <c r="E1145" s="187">
        <v>11</v>
      </c>
      <c r="F1145" s="178">
        <v>2025</v>
      </c>
      <c r="G1145" s="188"/>
      <c r="H1145" s="188"/>
      <c r="I1145" s="188"/>
      <c r="J1145" s="188"/>
      <c r="K1145" s="188"/>
      <c r="L1145" s="188"/>
      <c r="M1145" s="188"/>
      <c r="N1145" s="188"/>
      <c r="O1145" s="188"/>
      <c r="P1145" s="188"/>
      <c r="Q1145" s="188"/>
      <c r="R1145" s="188"/>
      <c r="S1145" s="188"/>
      <c r="T1145" s="180"/>
      <c r="U1145" s="189" t="str">
        <f>IFERROR(IF(Tableau3[[#This Row],[Dettes]]=0,"",(Tableau3[[#This Row],[Dettes]]/Tableau3[[#This Row],[EBE]])),"")</f>
        <v/>
      </c>
      <c r="V1145" s="190" t="str">
        <f>IFERROR(Tableau3[[#This Row],[Fonds propres]]/Tableau3[[#This Row],[Total Bilan]],"")</f>
        <v/>
      </c>
      <c r="W1145" s="180"/>
      <c r="X1145" s="192"/>
      <c r="Y1145" s="180"/>
      <c r="Z1145" s="192" t="str">
        <f>IFERROR(Tableau3[[#This Row],[Chiffre d''affaires]]/Tableau3[[#This Row],[Salariés]],"")</f>
        <v/>
      </c>
      <c r="AA1145" s="177"/>
      <c r="AC1145" s="6" t="s">
        <v>5064</v>
      </c>
    </row>
    <row r="1146" spans="1:29" ht="20.25" customHeight="1">
      <c r="A1146" s="217"/>
      <c r="E1146" s="187"/>
      <c r="G1146" s="188"/>
      <c r="H1146" s="188"/>
      <c r="I1146" s="188"/>
      <c r="J1146" s="188"/>
      <c r="K1146" s="188"/>
      <c r="L1146" s="188"/>
      <c r="M1146" s="188"/>
      <c r="N1146" s="188"/>
      <c r="O1146" s="188"/>
      <c r="P1146" s="188"/>
      <c r="Q1146" s="188"/>
      <c r="R1146" s="188"/>
      <c r="S1146" s="188"/>
      <c r="T1146" s="180"/>
      <c r="U1146" s="189" t="str">
        <f>IFERROR(IF(Tableau3[[#This Row],[Dettes]]=0,"",(Tableau3[[#This Row],[Dettes]]/Tableau3[[#This Row],[EBE]])),"")</f>
        <v/>
      </c>
      <c r="V1146" s="190" t="str">
        <f>IFERROR(Tableau3[[#This Row],[Fonds propres]]/Tableau3[[#This Row],[Total Bilan]],"")</f>
        <v/>
      </c>
      <c r="W1146" s="180"/>
      <c r="X1146" s="192"/>
      <c r="Y1146" s="180"/>
      <c r="Z1146" s="192" t="str">
        <f>IFERROR(Tableau3[[#This Row],[Chiffre d''affaires]]/Tableau3[[#This Row],[Salariés]],"")</f>
        <v/>
      </c>
      <c r="AA1146" s="177"/>
      <c r="AC1146" s="6" t="s">
        <v>5063</v>
      </c>
    </row>
    <row r="1147" spans="1:29" ht="20.25" customHeight="1">
      <c r="A1147" s="217"/>
      <c r="E1147" s="187">
        <v>11</v>
      </c>
      <c r="F1147" s="178">
        <v>2024</v>
      </c>
      <c r="G1147" s="188">
        <v>693000000</v>
      </c>
      <c r="H1147" s="188">
        <v>400000000</v>
      </c>
      <c r="I1147" s="188">
        <v>260000000</v>
      </c>
      <c r="J1147" s="188">
        <v>-24000000</v>
      </c>
      <c r="K1147" s="188">
        <v>1071000000</v>
      </c>
      <c r="L1147" s="188">
        <v>-1399000000</v>
      </c>
      <c r="M1147" s="194">
        <f t="shared" ref="M1147" si="109">L1147/P1147</f>
        <v>-5.6584790927954209</v>
      </c>
      <c r="N1147" s="190">
        <f t="shared" ref="N1147" si="110">J1147/L1147</f>
        <v>1.7155110793423873E-2</v>
      </c>
      <c r="O1147" s="190">
        <f t="shared" ref="O1147" si="111">(I1147*0.7)/(K1147+L1147)</f>
        <v>-0.55487804878048785</v>
      </c>
      <c r="P1147" s="188">
        <v>247239581</v>
      </c>
      <c r="Q1147" s="188">
        <f t="shared" ref="Q1147" si="112">P1147*E1147</f>
        <v>2719635391</v>
      </c>
      <c r="R1147" s="195">
        <f t="shared" ref="R1147" si="113">Q1147/L1147</f>
        <v>-1.9439852687634025</v>
      </c>
      <c r="S1147" s="241">
        <f t="shared" ref="S1147" si="114">(Q1147+K1147)/H1147</f>
        <v>9.4765884775</v>
      </c>
      <c r="T1147" s="180"/>
      <c r="U1147" s="189">
        <f>IFERROR(IF(Tableau3[[#This Row],[Dettes]]=0,"",(Tableau3[[#This Row],[Dettes]]/Tableau3[[#This Row],[EBE]])),"")</f>
        <v>2.6775000000000002</v>
      </c>
      <c r="V1147" s="190">
        <f>IFERROR(Tableau3[[#This Row],[Fonds propres]]/Tableau3[[#This Row],[Total Bilan]],"")</f>
        <v>-0.40739662201514271</v>
      </c>
      <c r="W1147" s="180">
        <v>3434000000</v>
      </c>
      <c r="X1147" s="192"/>
      <c r="Y1147" s="180">
        <v>3574</v>
      </c>
      <c r="Z1147" s="192">
        <f>IFERROR(Tableau3[[#This Row],[Chiffre d''affaires]]/Tableau3[[#This Row],[Salariés]],"")</f>
        <v>193900.39171796307</v>
      </c>
      <c r="AA1147" s="177"/>
      <c r="AC1147" s="177" t="s">
        <v>5056</v>
      </c>
    </row>
    <row r="1148" spans="1:29" ht="20.25" customHeight="1">
      <c r="A1148" s="217"/>
      <c r="E1148" s="187"/>
      <c r="G1148" s="202">
        <f>(G1147/G1149)-1</f>
        <v>5.6402439024390238E-2</v>
      </c>
      <c r="H1148" s="202"/>
      <c r="I1148" s="202">
        <f>(I1147/I1149)-1</f>
        <v>0.1063829787234043</v>
      </c>
      <c r="J1148" s="188"/>
      <c r="K1148" s="188"/>
      <c r="L1148" s="188"/>
      <c r="M1148" s="188"/>
      <c r="N1148" s="188"/>
      <c r="O1148" s="188"/>
      <c r="P1148" s="188"/>
      <c r="Q1148" s="188"/>
      <c r="R1148" s="188"/>
      <c r="S1148" s="188"/>
      <c r="T1148" s="180"/>
      <c r="U1148" s="189" t="str">
        <f>IFERROR(IF(Tableau3[[#This Row],[Dettes]]=0,"",(Tableau3[[#This Row],[Dettes]]/Tableau3[[#This Row],[EBE]])),"")</f>
        <v/>
      </c>
      <c r="V1148" s="190" t="str">
        <f>IFERROR(Tableau3[[#This Row],[Fonds propres]]/Tableau3[[#This Row],[Total Bilan]],"")</f>
        <v/>
      </c>
      <c r="W1148" s="180"/>
      <c r="X1148" s="192"/>
      <c r="Y1148" s="180"/>
      <c r="Z1148" s="192" t="str">
        <f>IFERROR(Tableau3[[#This Row],[Chiffre d''affaires]]/Tableau3[[#This Row],[Salariés]],"")</f>
        <v/>
      </c>
      <c r="AA1148" s="177"/>
      <c r="AC1148" s="177" t="s">
        <v>3032</v>
      </c>
    </row>
    <row r="1149" spans="1:29" ht="20.25" customHeight="1">
      <c r="A1149" s="217"/>
      <c r="E1149" s="187"/>
      <c r="F1149" s="178">
        <v>2023</v>
      </c>
      <c r="G1149" s="188">
        <v>656000000</v>
      </c>
      <c r="H1149" s="188"/>
      <c r="I1149" s="188">
        <v>235000000</v>
      </c>
      <c r="J1149" s="188">
        <v>-75000000</v>
      </c>
      <c r="K1149" s="188">
        <v>1045000000</v>
      </c>
      <c r="L1149" s="188">
        <v>-1353000000</v>
      </c>
      <c r="M1149" s="194">
        <f t="shared" ref="M1149" si="115">L1149/P1149</f>
        <v>-5.472424740923663</v>
      </c>
      <c r="N1149" s="190">
        <f t="shared" ref="N1149" si="116">J1149/L1149</f>
        <v>5.543237250554324E-2</v>
      </c>
      <c r="O1149" s="190">
        <f t="shared" ref="O1149" si="117">(I1149*0.7)/(K1149+L1149)</f>
        <v>-0.53409090909090906</v>
      </c>
      <c r="P1149" s="188">
        <v>247239581</v>
      </c>
      <c r="Q1149" s="188">
        <f t="shared" ref="Q1149" si="118">P1149*E1149</f>
        <v>0</v>
      </c>
      <c r="R1149" s="195">
        <f t="shared" ref="R1149" si="119">Q1149/L1149</f>
        <v>0</v>
      </c>
      <c r="S1149" s="241" t="e">
        <f t="shared" ref="S1149" si="120">(Q1149+K1149)/H1149</f>
        <v>#DIV/0!</v>
      </c>
      <c r="T1149" s="180"/>
      <c r="U1149" s="189" t="str">
        <f>IFERROR(IF(Tableau3[[#This Row],[Dettes]]=0,"",(Tableau3[[#This Row],[Dettes]]/Tableau3[[#This Row],[EBE]])),"")</f>
        <v/>
      </c>
      <c r="V1149" s="190">
        <f>IFERROR(Tableau3[[#This Row],[Fonds propres]]/Tableau3[[#This Row],[Total Bilan]],"")</f>
        <v>-0.39194669756662803</v>
      </c>
      <c r="W1149" s="180">
        <v>3452000000</v>
      </c>
      <c r="X1149" s="192"/>
      <c r="Y1149" s="180">
        <v>3380</v>
      </c>
      <c r="Z1149" s="192">
        <f>IFERROR(Tableau3[[#This Row],[Chiffre d''affaires]]/Tableau3[[#This Row],[Salariés]],"")</f>
        <v>194082.8402366864</v>
      </c>
      <c r="AA1149" s="177"/>
      <c r="AC1149" s="177" t="s">
        <v>3050</v>
      </c>
    </row>
    <row r="1150" spans="1:29" ht="20.25" customHeight="1">
      <c r="A1150" s="217"/>
      <c r="E1150" s="187"/>
      <c r="G1150" s="202">
        <f>(G1149/G1151)-1</f>
        <v>0.51152073732718883</v>
      </c>
      <c r="H1150" s="202"/>
      <c r="I1150" s="202">
        <f>(I1149/I1151)-1</f>
        <v>4.3409090909090908</v>
      </c>
      <c r="J1150" s="188"/>
      <c r="K1150" s="188"/>
      <c r="L1150" s="188"/>
      <c r="M1150" s="188"/>
      <c r="N1150" s="188"/>
      <c r="O1150" s="188"/>
      <c r="P1150" s="188"/>
      <c r="Q1150" s="188"/>
      <c r="R1150" s="188"/>
      <c r="S1150" s="188"/>
      <c r="T1150" s="180"/>
      <c r="U1150" s="189" t="str">
        <f>IFERROR(IF(Tableau3[[#This Row],[Dettes]]=0,"",(Tableau3[[#This Row],[Dettes]]/Tableau3[[#This Row],[EBE]])),"")</f>
        <v/>
      </c>
      <c r="V1150" s="190" t="str">
        <f>IFERROR(Tableau3[[#This Row],[Fonds propres]]/Tableau3[[#This Row],[Total Bilan]],"")</f>
        <v/>
      </c>
      <c r="W1150" s="180"/>
      <c r="X1150" s="192"/>
      <c r="Y1150" s="180"/>
      <c r="Z1150" s="192" t="str">
        <f>IFERROR(Tableau3[[#This Row],[Chiffre d''affaires]]/Tableau3[[#This Row],[Salariés]],"")</f>
        <v/>
      </c>
      <c r="AA1150" s="177"/>
      <c r="AC1150" s="177" t="s">
        <v>5058</v>
      </c>
    </row>
    <row r="1151" spans="1:29" ht="20.25" customHeight="1">
      <c r="A1151" s="217"/>
      <c r="E1151" s="187"/>
      <c r="F1151" s="178">
        <v>2022</v>
      </c>
      <c r="G1151" s="188">
        <v>434000000</v>
      </c>
      <c r="H1151" s="188"/>
      <c r="I1151" s="188">
        <v>44000000</v>
      </c>
      <c r="J1151" s="188">
        <v>-192000000</v>
      </c>
      <c r="K1151" s="188">
        <v>1316000000</v>
      </c>
      <c r="L1151" s="188">
        <v>-1258000000</v>
      </c>
      <c r="M1151" s="194">
        <f t="shared" ref="M1151" si="121">L1151/P1151</f>
        <v>-5.0881820577102497</v>
      </c>
      <c r="N1151" s="190">
        <f t="shared" ref="N1151" si="122">J1151/L1151</f>
        <v>0.15262321144674085</v>
      </c>
      <c r="O1151" s="190">
        <f t="shared" ref="O1151" si="123">(I1151*0.7)/(K1151+L1151)</f>
        <v>0.53103448275862064</v>
      </c>
      <c r="P1151" s="188">
        <v>247239581</v>
      </c>
      <c r="Q1151" s="188">
        <f t="shared" ref="Q1151" si="124">P1151*E1151</f>
        <v>0</v>
      </c>
      <c r="R1151" s="195">
        <f t="shared" ref="R1151" si="125">Q1151/L1151</f>
        <v>0</v>
      </c>
      <c r="S1151" s="241" t="e">
        <f t="shared" ref="S1151" si="126">(Q1151+K1151)/H1151</f>
        <v>#DIV/0!</v>
      </c>
      <c r="T1151" s="180"/>
      <c r="U1151" s="189" t="str">
        <f>IFERROR(IF(Tableau3[[#This Row],[Dettes]]=0,"",(Tableau3[[#This Row],[Dettes]]/Tableau3[[#This Row],[EBE]])),"")</f>
        <v/>
      </c>
      <c r="V1151" s="190">
        <f>IFERROR(Tableau3[[#This Row],[Fonds propres]]/Tableau3[[#This Row],[Total Bilan]],"")</f>
        <v>-0.37755102040816324</v>
      </c>
      <c r="W1151" s="180">
        <v>3332000000</v>
      </c>
      <c r="X1151" s="192"/>
      <c r="Y1151" s="180">
        <v>3048</v>
      </c>
      <c r="Z1151" s="192">
        <f>IFERROR(Tableau3[[#This Row],[Chiffre d''affaires]]/Tableau3[[#This Row],[Salariés]],"")</f>
        <v>142388.45144356956</v>
      </c>
      <c r="AA1151" s="177"/>
      <c r="AC1151" s="216" t="s">
        <v>3034</v>
      </c>
    </row>
    <row r="1152" spans="1:29" ht="20.25" customHeight="1">
      <c r="A1152" s="217"/>
      <c r="E1152" s="187"/>
      <c r="G1152" s="188"/>
      <c r="H1152" s="188"/>
      <c r="I1152" s="188"/>
      <c r="J1152" s="188"/>
      <c r="K1152" s="188"/>
      <c r="L1152" s="188"/>
      <c r="M1152" s="188"/>
      <c r="N1152" s="188"/>
      <c r="O1152" s="188"/>
      <c r="P1152" s="188"/>
      <c r="Q1152" s="188"/>
      <c r="R1152" s="188"/>
      <c r="S1152" s="188"/>
      <c r="T1152" s="180"/>
      <c r="U1152" s="189" t="str">
        <f>IFERROR(IF(Tableau3[[#This Row],[Dettes]]=0,"",(Tableau3[[#This Row],[Dettes]]/Tableau3[[#This Row],[EBE]])),"")</f>
        <v/>
      </c>
      <c r="V1152" s="190" t="str">
        <f>IFERROR(Tableau3[[#This Row],[Fonds propres]]/Tableau3[[#This Row],[Total Bilan]],"")</f>
        <v/>
      </c>
      <c r="W1152" s="180"/>
      <c r="X1152" s="192"/>
      <c r="Y1152" s="180"/>
      <c r="Z1152" s="192" t="str">
        <f>IFERROR(Tableau3[[#This Row],[Chiffre d''affaires]]/Tableau3[[#This Row],[Salariés]],"")</f>
        <v/>
      </c>
      <c r="AA1152" s="177"/>
      <c r="AC1152" s="177" t="s">
        <v>3035</v>
      </c>
    </row>
    <row r="1153" spans="1:29" ht="20.25" customHeight="1">
      <c r="A1153" s="217"/>
      <c r="E1153" s="187"/>
      <c r="F1153" s="178">
        <v>2021</v>
      </c>
      <c r="G1153" s="188"/>
      <c r="H1153" s="188"/>
      <c r="I1153" s="188"/>
      <c r="J1153" s="188"/>
      <c r="K1153" s="188"/>
      <c r="L1153" s="188"/>
      <c r="M1153" s="188"/>
      <c r="N1153" s="188"/>
      <c r="O1153" s="188"/>
      <c r="P1153" s="188"/>
      <c r="Q1153" s="188"/>
      <c r="R1153" s="188"/>
      <c r="S1153" s="188"/>
      <c r="T1153" s="180"/>
      <c r="U1153" s="189" t="str">
        <f>IFERROR(IF(Tableau3[[#This Row],[Dettes]]=0,"",(Tableau3[[#This Row],[Dettes]]/Tableau3[[#This Row],[EBE]])),"")</f>
        <v/>
      </c>
      <c r="V1153" s="190" t="str">
        <f>IFERROR(Tableau3[[#This Row],[Fonds propres]]/Tableau3[[#This Row],[Total Bilan]],"")</f>
        <v/>
      </c>
      <c r="W1153" s="180"/>
      <c r="X1153" s="192"/>
      <c r="Y1153" s="180"/>
      <c r="Z1153" s="192" t="str">
        <f>IFERROR(Tableau3[[#This Row],[Chiffre d''affaires]]/Tableau3[[#This Row],[Salariés]],"")</f>
        <v/>
      </c>
      <c r="AA1153" s="177"/>
      <c r="AC1153" s="177" t="s">
        <v>5059</v>
      </c>
    </row>
    <row r="1154" spans="1:29" ht="20.25" customHeight="1">
      <c r="A1154" s="217"/>
      <c r="E1154" s="187"/>
      <c r="G1154" s="188"/>
      <c r="H1154" s="188"/>
      <c r="I1154" s="188"/>
      <c r="J1154" s="188"/>
      <c r="K1154" s="188"/>
      <c r="L1154" s="188"/>
      <c r="M1154" s="188"/>
      <c r="N1154" s="188"/>
      <c r="O1154" s="188"/>
      <c r="P1154" s="188"/>
      <c r="Q1154" s="188"/>
      <c r="R1154" s="188"/>
      <c r="S1154" s="188"/>
      <c r="T1154" s="180"/>
      <c r="U1154" s="189" t="str">
        <f>IFERROR(IF(Tableau3[[#This Row],[Dettes]]=0,"",(Tableau3[[#This Row],[Dettes]]/Tableau3[[#This Row],[EBE]])),"")</f>
        <v/>
      </c>
      <c r="V1154" s="190" t="str">
        <f>IFERROR(Tableau3[[#This Row],[Fonds propres]]/Tableau3[[#This Row],[Total Bilan]],"")</f>
        <v/>
      </c>
      <c r="W1154" s="180"/>
      <c r="X1154" s="192"/>
      <c r="Y1154" s="180"/>
      <c r="Z1154" s="192" t="str">
        <f>IFERROR(Tableau3[[#This Row],[Chiffre d''affaires]]/Tableau3[[#This Row],[Salariés]],"")</f>
        <v/>
      </c>
      <c r="AA1154" s="177"/>
      <c r="AC1154" s="177" t="s">
        <v>5060</v>
      </c>
    </row>
    <row r="1155" spans="1:29" ht="20.25" customHeight="1">
      <c r="A1155" s="217"/>
      <c r="E1155" s="187"/>
      <c r="F1155" s="178">
        <v>2020</v>
      </c>
      <c r="G1155" s="188"/>
      <c r="H1155" s="188"/>
      <c r="I1155" s="188"/>
      <c r="J1155" s="188"/>
      <c r="K1155" s="188"/>
      <c r="L1155" s="188"/>
      <c r="M1155" s="188"/>
      <c r="N1155" s="188"/>
      <c r="O1155" s="188"/>
      <c r="P1155" s="188"/>
      <c r="Q1155" s="188"/>
      <c r="R1155" s="188"/>
      <c r="S1155" s="188"/>
      <c r="T1155" s="180"/>
      <c r="U1155" s="189" t="str">
        <f>IFERROR(IF(Tableau3[[#This Row],[Dettes]]=0,"",(Tableau3[[#This Row],[Dettes]]/Tableau3[[#This Row],[EBE]])),"")</f>
        <v/>
      </c>
      <c r="V1155" s="190" t="str">
        <f>IFERROR(Tableau3[[#This Row],[Fonds propres]]/Tableau3[[#This Row],[Total Bilan]],"")</f>
        <v/>
      </c>
      <c r="W1155" s="180"/>
      <c r="X1155" s="192"/>
      <c r="Y1155" s="180"/>
      <c r="Z1155" s="192" t="str">
        <f>IFERROR(Tableau3[[#This Row],[Chiffre d''affaires]]/Tableau3[[#This Row],[Salariés]],"")</f>
        <v/>
      </c>
      <c r="AA1155" s="177"/>
      <c r="AC1155" s="177" t="s">
        <v>3037</v>
      </c>
    </row>
    <row r="1156" spans="1:29" ht="20.25" customHeight="1">
      <c r="A1156" s="217"/>
      <c r="E1156" s="187"/>
      <c r="G1156" s="188"/>
      <c r="H1156" s="188"/>
      <c r="I1156" s="188"/>
      <c r="J1156" s="188"/>
      <c r="K1156" s="188"/>
      <c r="L1156" s="188"/>
      <c r="M1156" s="188"/>
      <c r="N1156" s="188"/>
      <c r="O1156" s="188"/>
      <c r="P1156" s="188"/>
      <c r="Q1156" s="188"/>
      <c r="R1156" s="188"/>
      <c r="S1156" s="188"/>
      <c r="T1156" s="180"/>
      <c r="U1156" s="189" t="str">
        <f>IFERROR(IF(Tableau3[[#This Row],[Dettes]]=0,"",(Tableau3[[#This Row],[Dettes]]/Tableau3[[#This Row],[EBE]])),"")</f>
        <v/>
      </c>
      <c r="V1156" s="190" t="str">
        <f>IFERROR(Tableau3[[#This Row],[Fonds propres]]/Tableau3[[#This Row],[Total Bilan]],"")</f>
        <v/>
      </c>
      <c r="W1156" s="180"/>
      <c r="X1156" s="192"/>
      <c r="Y1156" s="180"/>
      <c r="Z1156" s="192" t="str">
        <f>IFERROR(Tableau3[[#This Row],[Chiffre d''affaires]]/Tableau3[[#This Row],[Salariés]],"")</f>
        <v/>
      </c>
      <c r="AA1156" s="177"/>
      <c r="AC1156" s="177" t="s">
        <v>457</v>
      </c>
    </row>
    <row r="1157" spans="1:29" ht="20.25" customHeight="1">
      <c r="A1157" s="217"/>
      <c r="E1157" s="187"/>
      <c r="F1157" s="178">
        <v>2019</v>
      </c>
      <c r="G1157" s="188"/>
      <c r="H1157" s="188"/>
      <c r="I1157" s="188"/>
      <c r="J1157" s="188"/>
      <c r="K1157" s="188"/>
      <c r="L1157" s="188"/>
      <c r="M1157" s="188"/>
      <c r="N1157" s="188"/>
      <c r="O1157" s="188"/>
      <c r="P1157" s="188"/>
      <c r="Q1157" s="188"/>
      <c r="R1157" s="188"/>
      <c r="S1157" s="188"/>
      <c r="T1157" s="180"/>
      <c r="U1157" s="189" t="str">
        <f>IFERROR(IF(Tableau3[[#This Row],[Dettes]]=0,"",(Tableau3[[#This Row],[Dettes]]/Tableau3[[#This Row],[EBE]])),"")</f>
        <v/>
      </c>
      <c r="V1157" s="190" t="str">
        <f>IFERROR(Tableau3[[#This Row],[Fonds propres]]/Tableau3[[#This Row],[Total Bilan]],"")</f>
        <v/>
      </c>
      <c r="W1157" s="180"/>
      <c r="X1157" s="192"/>
      <c r="Y1157" s="180"/>
      <c r="Z1157" s="192" t="str">
        <f>IFERROR(Tableau3[[#This Row],[Chiffre d''affaires]]/Tableau3[[#This Row],[Salariés]],"")</f>
        <v/>
      </c>
      <c r="AA1157" s="177"/>
      <c r="AC1157" s="177" t="s">
        <v>3154</v>
      </c>
    </row>
    <row r="1158" spans="1:29" ht="20.25" customHeight="1">
      <c r="A1158" s="217"/>
      <c r="E1158" s="187"/>
      <c r="G1158" s="188"/>
      <c r="H1158" s="188"/>
      <c r="I1158" s="188"/>
      <c r="J1158" s="188"/>
      <c r="K1158" s="188"/>
      <c r="L1158" s="188"/>
      <c r="M1158" s="188"/>
      <c r="N1158" s="188"/>
      <c r="O1158" s="188"/>
      <c r="P1158" s="188"/>
      <c r="Q1158" s="188"/>
      <c r="R1158" s="188"/>
      <c r="S1158" s="188"/>
      <c r="T1158" s="180"/>
      <c r="U1158" s="189" t="str">
        <f>IFERROR(IF(Tableau3[[#This Row],[Dettes]]=0,"",(Tableau3[[#This Row],[Dettes]]/Tableau3[[#This Row],[EBE]])),"")</f>
        <v/>
      </c>
      <c r="V1158" s="190" t="str">
        <f>IFERROR(Tableau3[[#This Row],[Fonds propres]]/Tableau3[[#This Row],[Total Bilan]],"")</f>
        <v/>
      </c>
      <c r="W1158" s="180"/>
      <c r="X1158" s="192"/>
      <c r="Y1158" s="180"/>
      <c r="Z1158" s="192" t="str">
        <f>IFERROR(Tableau3[[#This Row],[Chiffre d''affaires]]/Tableau3[[#This Row],[Salariés]],"")</f>
        <v/>
      </c>
      <c r="AA1158" s="177"/>
      <c r="AC1158" s="216" t="s">
        <v>3155</v>
      </c>
    </row>
    <row r="1159" spans="1:29" ht="20.25" customHeight="1">
      <c r="A1159" s="217"/>
      <c r="E1159" s="187"/>
      <c r="F1159" s="178">
        <v>2018</v>
      </c>
      <c r="G1159" s="188"/>
      <c r="H1159" s="188"/>
      <c r="I1159" s="188"/>
      <c r="J1159" s="188"/>
      <c r="K1159" s="188"/>
      <c r="L1159" s="188"/>
      <c r="M1159" s="188"/>
      <c r="N1159" s="188"/>
      <c r="O1159" s="188"/>
      <c r="P1159" s="188"/>
      <c r="Q1159" s="188"/>
      <c r="R1159" s="188"/>
      <c r="S1159" s="188"/>
      <c r="T1159" s="180"/>
      <c r="U1159" s="189" t="str">
        <f>IFERROR(IF(Tableau3[[#This Row],[Dettes]]=0,"",(Tableau3[[#This Row],[Dettes]]/Tableau3[[#This Row],[EBE]])),"")</f>
        <v/>
      </c>
      <c r="V1159" s="190" t="str">
        <f>IFERROR(Tableau3[[#This Row],[Fonds propres]]/Tableau3[[#This Row],[Total Bilan]],"")</f>
        <v/>
      </c>
      <c r="W1159" s="180"/>
      <c r="X1159" s="192"/>
      <c r="Y1159" s="180"/>
      <c r="Z1159" s="192" t="str">
        <f>IFERROR(Tableau3[[#This Row],[Chiffre d''affaires]]/Tableau3[[#This Row],[Salariés]],"")</f>
        <v/>
      </c>
      <c r="AA1159" s="177"/>
      <c r="AC1159" s="216" t="s">
        <v>4990</v>
      </c>
    </row>
    <row r="1160" spans="1:29" ht="20.25" customHeight="1">
      <c r="A1160" s="217"/>
      <c r="E1160" s="187"/>
      <c r="G1160" s="188"/>
      <c r="H1160" s="188"/>
      <c r="I1160" s="188"/>
      <c r="J1160" s="188"/>
      <c r="K1160" s="188"/>
      <c r="L1160" s="188"/>
      <c r="M1160" s="188"/>
      <c r="N1160" s="188"/>
      <c r="O1160" s="188"/>
      <c r="P1160" s="188"/>
      <c r="Q1160" s="188"/>
      <c r="R1160" s="188"/>
      <c r="S1160" s="188"/>
      <c r="T1160" s="180"/>
      <c r="U1160" s="189" t="str">
        <f>IFERROR(IF(Tableau3[[#This Row],[Dettes]]=0,"",(Tableau3[[#This Row],[Dettes]]/Tableau3[[#This Row],[EBE]])),"")</f>
        <v/>
      </c>
      <c r="V1160" s="190" t="str">
        <f>IFERROR(Tableau3[[#This Row],[Fonds propres]]/Tableau3[[#This Row],[Total Bilan]],"")</f>
        <v/>
      </c>
      <c r="W1160" s="180"/>
      <c r="X1160" s="192"/>
      <c r="Y1160" s="180"/>
      <c r="Z1160" s="192" t="str">
        <f>IFERROR(Tableau3[[#This Row],[Chiffre d''affaires]]/Tableau3[[#This Row],[Salariés]],"")</f>
        <v/>
      </c>
      <c r="AA1160" s="177"/>
      <c r="AC1160" s="177" t="s">
        <v>3053</v>
      </c>
    </row>
    <row r="1161" spans="1:29" ht="20.25" customHeight="1">
      <c r="A1161" s="217"/>
      <c r="E1161" s="187"/>
      <c r="F1161" s="217" t="s">
        <v>5247</v>
      </c>
      <c r="G1161" s="188"/>
      <c r="H1161" s="188"/>
      <c r="I1161" s="188"/>
      <c r="J1161" s="188"/>
      <c r="K1161" s="188"/>
      <c r="L1161" s="188"/>
      <c r="M1161" s="188"/>
      <c r="N1161" s="188"/>
      <c r="O1161" s="188"/>
      <c r="P1161" s="188"/>
      <c r="Q1161" s="188"/>
      <c r="R1161" s="188"/>
      <c r="S1161" s="188"/>
      <c r="T1161" s="180"/>
      <c r="U1161" s="189" t="str">
        <f>IFERROR(IF(Tableau3[[#This Row],[Dettes]]=0,"",(Tableau3[[#This Row],[Dettes]]/Tableau3[[#This Row],[EBE]])),"")</f>
        <v/>
      </c>
      <c r="V1161" s="190" t="str">
        <f>IFERROR(Tableau3[[#This Row],[Fonds propres]]/Tableau3[[#This Row],[Total Bilan]],"")</f>
        <v/>
      </c>
      <c r="W1161" s="180"/>
      <c r="X1161" s="192"/>
      <c r="Y1161" s="180"/>
      <c r="Z1161" s="192" t="str">
        <f>IFERROR(Tableau3[[#This Row],[Chiffre d''affaires]]/Tableau3[[#This Row],[Salariés]],"")</f>
        <v/>
      </c>
      <c r="AA1161" s="177"/>
      <c r="AC1161" s="177" t="s">
        <v>5065</v>
      </c>
    </row>
    <row r="1162" spans="1:29" ht="20.25" customHeight="1">
      <c r="A1162" s="217"/>
      <c r="E1162" s="187"/>
      <c r="G1162" s="188"/>
      <c r="H1162" s="188"/>
      <c r="I1162" s="188"/>
      <c r="J1162" s="188"/>
      <c r="K1162" s="188"/>
      <c r="L1162" s="188"/>
      <c r="M1162" s="188"/>
      <c r="N1162" s="188"/>
      <c r="O1162" s="188"/>
      <c r="P1162" s="188"/>
      <c r="Q1162" s="188"/>
      <c r="R1162" s="188"/>
      <c r="S1162" s="188"/>
      <c r="T1162" s="180"/>
      <c r="U1162" s="189" t="str">
        <f>IFERROR(IF(Tableau3[[#This Row],[Dettes]]=0,"",(Tableau3[[#This Row],[Dettes]]/Tableau3[[#This Row],[EBE]])),"")</f>
        <v/>
      </c>
      <c r="V1162" s="190" t="str">
        <f>IFERROR(Tableau3[[#This Row],[Fonds propres]]/Tableau3[[#This Row],[Total Bilan]],"")</f>
        <v/>
      </c>
      <c r="W1162" s="180"/>
      <c r="X1162" s="192"/>
      <c r="Y1162" s="180"/>
      <c r="Z1162" s="192" t="str">
        <f>IFERROR(Tableau3[[#This Row],[Chiffre d''affaires]]/Tableau3[[#This Row],[Salariés]],"")</f>
        <v/>
      </c>
      <c r="AA1162" s="177"/>
      <c r="AC1162" s="177" t="s">
        <v>3157</v>
      </c>
    </row>
    <row r="1163" spans="1:29" ht="20.25" customHeight="1">
      <c r="A1163" s="217"/>
      <c r="E1163" s="187"/>
      <c r="G1163" s="188"/>
      <c r="H1163" s="188"/>
      <c r="I1163" s="188"/>
      <c r="J1163" s="188"/>
      <c r="K1163" s="188"/>
      <c r="L1163" s="188"/>
      <c r="M1163" s="188"/>
      <c r="N1163" s="188"/>
      <c r="O1163" s="188"/>
      <c r="P1163" s="188"/>
      <c r="Q1163" s="188"/>
      <c r="R1163" s="188"/>
      <c r="S1163" s="188"/>
      <c r="T1163" s="180"/>
      <c r="U1163" s="189" t="str">
        <f>IFERROR(IF(Tableau3[[#This Row],[Dettes]]=0,"",(Tableau3[[#This Row],[Dettes]]/Tableau3[[#This Row],[EBE]])),"")</f>
        <v/>
      </c>
      <c r="V1163" s="190" t="str">
        <f>IFERROR(Tableau3[[#This Row],[Fonds propres]]/Tableau3[[#This Row],[Total Bilan]],"")</f>
        <v/>
      </c>
      <c r="W1163" s="180"/>
      <c r="X1163" s="192"/>
      <c r="Y1163" s="180"/>
      <c r="Z1163" s="192" t="str">
        <f>IFERROR(Tableau3[[#This Row],[Chiffre d''affaires]]/Tableau3[[#This Row],[Salariés]],"")</f>
        <v/>
      </c>
      <c r="AA1163" s="177"/>
      <c r="AC1163" s="177" t="s">
        <v>3044</v>
      </c>
    </row>
    <row r="1164" spans="1:29" ht="20.25" customHeight="1">
      <c r="A1164" s="217"/>
      <c r="E1164" s="187"/>
      <c r="G1164" s="188"/>
      <c r="H1164" s="188"/>
      <c r="I1164" s="188"/>
      <c r="J1164" s="188"/>
      <c r="K1164" s="188"/>
      <c r="L1164" s="188"/>
      <c r="M1164" s="188"/>
      <c r="N1164" s="188"/>
      <c r="O1164" s="188"/>
      <c r="P1164" s="188"/>
      <c r="Q1164" s="188"/>
      <c r="R1164" s="188"/>
      <c r="S1164" s="188"/>
      <c r="T1164" s="180"/>
      <c r="U1164" s="189" t="str">
        <f>IFERROR(IF(Tableau3[[#This Row],[Dettes]]=0,"",(Tableau3[[#This Row],[Dettes]]/Tableau3[[#This Row],[EBE]])),"")</f>
        <v/>
      </c>
      <c r="V1164" s="190" t="str">
        <f>IFERROR(Tableau3[[#This Row],[Fonds propres]]/Tableau3[[#This Row],[Total Bilan]],"")</f>
        <v/>
      </c>
      <c r="W1164" s="180"/>
      <c r="X1164" s="192"/>
      <c r="Y1164" s="180"/>
      <c r="Z1164" s="192" t="str">
        <f>IFERROR(Tableau3[[#This Row],[Chiffre d''affaires]]/Tableau3[[#This Row],[Salariés]],"")</f>
        <v/>
      </c>
      <c r="AA1164" s="177"/>
      <c r="AC1164" s="177" t="s">
        <v>710</v>
      </c>
    </row>
    <row r="1165" spans="1:29" ht="20.25" customHeight="1">
      <c r="A1165" s="217"/>
      <c r="E1165" s="187"/>
      <c r="G1165" s="188"/>
      <c r="H1165" s="188"/>
      <c r="I1165" s="188"/>
      <c r="J1165" s="188"/>
      <c r="K1165" s="188"/>
      <c r="L1165" s="188"/>
      <c r="M1165" s="188"/>
      <c r="N1165" s="188"/>
      <c r="O1165" s="188"/>
      <c r="P1165" s="188"/>
      <c r="Q1165" s="188"/>
      <c r="R1165" s="188"/>
      <c r="S1165" s="188"/>
      <c r="T1165" s="180"/>
      <c r="U1165" s="189" t="str">
        <f>IFERROR(IF(Tableau3[[#This Row],[Dettes]]=0,"",(Tableau3[[#This Row],[Dettes]]/Tableau3[[#This Row],[EBE]])),"")</f>
        <v/>
      </c>
      <c r="V1165" s="190" t="str">
        <f>IFERROR(Tableau3[[#This Row],[Fonds propres]]/Tableau3[[#This Row],[Total Bilan]],"")</f>
        <v/>
      </c>
      <c r="W1165" s="180"/>
      <c r="X1165" s="192"/>
      <c r="Y1165" s="180"/>
      <c r="Z1165" s="192" t="str">
        <f>IFERROR(Tableau3[[#This Row],[Chiffre d''affaires]]/Tableau3[[#This Row],[Salariés]],"")</f>
        <v/>
      </c>
      <c r="AA1165" s="177"/>
      <c r="AC1165" s="177" t="s">
        <v>482</v>
      </c>
    </row>
    <row r="1166" spans="1:29" ht="20.25" customHeight="1">
      <c r="A1166" s="217"/>
      <c r="E1166" s="187"/>
      <c r="G1166" s="188"/>
      <c r="H1166" s="188"/>
      <c r="I1166" s="188"/>
      <c r="J1166" s="188"/>
      <c r="K1166" s="188"/>
      <c r="L1166" s="188"/>
      <c r="M1166" s="188"/>
      <c r="N1166" s="188"/>
      <c r="O1166" s="188"/>
      <c r="P1166" s="188"/>
      <c r="Q1166" s="188"/>
      <c r="R1166" s="188"/>
      <c r="S1166" s="188"/>
      <c r="T1166" s="180"/>
      <c r="U1166" s="189" t="str">
        <f>IFERROR(IF(Tableau3[[#This Row],[Dettes]]=0,"",(Tableau3[[#This Row],[Dettes]]/Tableau3[[#This Row],[EBE]])),"")</f>
        <v/>
      </c>
      <c r="V1166" s="190" t="str">
        <f>IFERROR(Tableau3[[#This Row],[Fonds propres]]/Tableau3[[#This Row],[Total Bilan]],"")</f>
        <v/>
      </c>
      <c r="W1166" s="180"/>
      <c r="X1166" s="192"/>
      <c r="Y1166" s="180"/>
      <c r="Z1166" s="192" t="str">
        <f>IFERROR(Tableau3[[#This Row],[Chiffre d''affaires]]/Tableau3[[#This Row],[Salariés]],"")</f>
        <v/>
      </c>
      <c r="AA1166" s="177"/>
      <c r="AC1166" s="177" t="s">
        <v>5061</v>
      </c>
    </row>
    <row r="1167" spans="1:29" ht="20.25" customHeight="1">
      <c r="A1167" s="217"/>
      <c r="E1167" s="187"/>
      <c r="G1167" s="188"/>
      <c r="H1167" s="188"/>
      <c r="I1167" s="188"/>
      <c r="J1167" s="188"/>
      <c r="K1167" s="188"/>
      <c r="L1167" s="188"/>
      <c r="M1167" s="188"/>
      <c r="N1167" s="188"/>
      <c r="O1167" s="188"/>
      <c r="P1167" s="188"/>
      <c r="Q1167" s="188"/>
      <c r="R1167" s="188"/>
      <c r="S1167" s="188"/>
      <c r="T1167" s="180"/>
      <c r="U1167" s="189" t="str">
        <f>IFERROR(IF(Tableau3[[#This Row],[Dettes]]=0,"",(Tableau3[[#This Row],[Dettes]]/Tableau3[[#This Row],[EBE]])),"")</f>
        <v/>
      </c>
      <c r="V1167" s="190" t="str">
        <f>IFERROR(Tableau3[[#This Row],[Fonds propres]]/Tableau3[[#This Row],[Total Bilan]],"")</f>
        <v/>
      </c>
      <c r="W1167" s="180"/>
      <c r="X1167" s="192"/>
      <c r="Y1167" s="180"/>
      <c r="Z1167" s="192" t="str">
        <f>IFERROR(Tableau3[[#This Row],[Chiffre d''affaires]]/Tableau3[[#This Row],[Salariés]],"")</f>
        <v/>
      </c>
      <c r="AA1167" s="177"/>
      <c r="AC1167" s="177" t="s">
        <v>5057</v>
      </c>
    </row>
    <row r="1168" spans="1:29" ht="20.25" customHeight="1">
      <c r="A1168" s="217"/>
      <c r="E1168" s="187"/>
      <c r="G1168" s="188"/>
      <c r="H1168" s="188"/>
      <c r="I1168" s="188"/>
      <c r="J1168" s="188"/>
      <c r="K1168" s="188"/>
      <c r="L1168" s="188"/>
      <c r="M1168" s="188"/>
      <c r="N1168" s="188"/>
      <c r="O1168" s="188"/>
      <c r="P1168" s="188"/>
      <c r="Q1168" s="188"/>
      <c r="R1168" s="188"/>
      <c r="S1168" s="188"/>
      <c r="T1168" s="180"/>
      <c r="U1168" s="189" t="str">
        <f>IFERROR(IF(Tableau3[[#This Row],[Dettes]]=0,"",(Tableau3[[#This Row],[Dettes]]/Tableau3[[#This Row],[EBE]])),"")</f>
        <v/>
      </c>
      <c r="V1168" s="190" t="str">
        <f>IFERROR(Tableau3[[#This Row],[Fonds propres]]/Tableau3[[#This Row],[Total Bilan]],"")</f>
        <v/>
      </c>
      <c r="W1168" s="180"/>
      <c r="X1168" s="192"/>
      <c r="Y1168" s="180"/>
      <c r="Z1168" s="192" t="str">
        <f>IFERROR(Tableau3[[#This Row],[Chiffre d''affaires]]/Tableau3[[#This Row],[Salariés]],"")</f>
        <v/>
      </c>
      <c r="AA1168" s="177"/>
    </row>
    <row r="1169" spans="1:29" ht="20.25" customHeight="1">
      <c r="A1169" s="217"/>
      <c r="E1169" s="187"/>
      <c r="G1169" s="188"/>
      <c r="H1169" s="188"/>
      <c r="I1169" s="188"/>
      <c r="J1169" s="188"/>
      <c r="K1169" s="188"/>
      <c r="L1169" s="188"/>
      <c r="M1169" s="188"/>
      <c r="N1169" s="188"/>
      <c r="O1169" s="188"/>
      <c r="P1169" s="188"/>
      <c r="Q1169" s="188"/>
      <c r="R1169" s="188"/>
      <c r="S1169" s="188"/>
      <c r="T1169" s="180"/>
      <c r="U1169" s="189" t="str">
        <f>IFERROR(IF(Tableau3[[#This Row],[Dettes]]=0,"",(Tableau3[[#This Row],[Dettes]]/Tableau3[[#This Row],[EBE]])),"")</f>
        <v/>
      </c>
      <c r="V1169" s="190" t="str">
        <f>IFERROR(Tableau3[[#This Row],[Fonds propres]]/Tableau3[[#This Row],[Total Bilan]],"")</f>
        <v/>
      </c>
      <c r="W1169" s="180"/>
      <c r="X1169" s="192"/>
      <c r="Y1169" s="180"/>
      <c r="Z1169" s="192" t="str">
        <f>IFERROR(Tableau3[[#This Row],[Chiffre d''affaires]]/Tableau3[[#This Row],[Salariés]],"")</f>
        <v/>
      </c>
      <c r="AA1169" s="177"/>
    </row>
    <row r="1170" spans="1:29" ht="20.25" customHeight="1">
      <c r="A1170" s="217"/>
      <c r="E1170" s="187"/>
      <c r="G1170" s="188"/>
      <c r="H1170" s="188"/>
      <c r="I1170" s="188"/>
      <c r="J1170" s="188"/>
      <c r="K1170" s="188"/>
      <c r="L1170" s="188"/>
      <c r="M1170" s="188"/>
      <c r="N1170" s="188"/>
      <c r="O1170" s="188"/>
      <c r="P1170" s="188"/>
      <c r="Q1170" s="188"/>
      <c r="R1170" s="188"/>
      <c r="S1170" s="188"/>
      <c r="T1170" s="180"/>
      <c r="U1170" s="189" t="str">
        <f>IFERROR(IF(Tableau3[[#This Row],[Dettes]]=0,"",(Tableau3[[#This Row],[Dettes]]/Tableau3[[#This Row],[EBE]])),"")</f>
        <v/>
      </c>
      <c r="V1170" s="190" t="str">
        <f>IFERROR(Tableau3[[#This Row],[Fonds propres]]/Tableau3[[#This Row],[Total Bilan]],"")</f>
        <v/>
      </c>
      <c r="W1170" s="180"/>
      <c r="X1170" s="192"/>
      <c r="Y1170" s="180"/>
      <c r="Z1170" s="192" t="str">
        <f>IFERROR(Tableau3[[#This Row],[Chiffre d''affaires]]/Tableau3[[#This Row],[Salariés]],"")</f>
        <v/>
      </c>
      <c r="AA1170" s="177"/>
    </row>
    <row r="1171" spans="1:29" ht="20.25" customHeight="1">
      <c r="A1171" s="217"/>
      <c r="E1171" s="187"/>
      <c r="G1171" s="188"/>
      <c r="H1171" s="188"/>
      <c r="I1171" s="188"/>
      <c r="J1171" s="188"/>
      <c r="K1171" s="188"/>
      <c r="L1171" s="188"/>
      <c r="M1171" s="188"/>
      <c r="N1171" s="188"/>
      <c r="O1171" s="188"/>
      <c r="P1171" s="188"/>
      <c r="Q1171" s="188"/>
      <c r="R1171" s="188"/>
      <c r="S1171" s="188"/>
      <c r="T1171" s="180"/>
      <c r="U1171" s="189" t="str">
        <f>IFERROR(IF(Tableau3[[#This Row],[Dettes]]=0,"",(Tableau3[[#This Row],[Dettes]]/Tableau3[[#This Row],[EBE]])),"")</f>
        <v/>
      </c>
      <c r="V1171" s="190" t="str">
        <f>IFERROR(Tableau3[[#This Row],[Fonds propres]]/Tableau3[[#This Row],[Total Bilan]],"")</f>
        <v/>
      </c>
      <c r="W1171" s="180"/>
      <c r="X1171" s="192"/>
      <c r="Y1171" s="180"/>
      <c r="Z1171" s="192" t="str">
        <f>IFERROR(Tableau3[[#This Row],[Chiffre d''affaires]]/Tableau3[[#This Row],[Salariés]],"")</f>
        <v/>
      </c>
      <c r="AA1171" s="177"/>
    </row>
    <row r="1172" spans="1:29" ht="20.25" customHeight="1">
      <c r="A1172" s="217" t="s">
        <v>801</v>
      </c>
      <c r="B1172" s="216" t="s">
        <v>802</v>
      </c>
      <c r="C1172" s="178" t="s">
        <v>84</v>
      </c>
      <c r="D1172" s="178" t="s">
        <v>803</v>
      </c>
      <c r="E1172" s="187"/>
      <c r="F1172" s="178">
        <v>2025</v>
      </c>
      <c r="G1172" s="188"/>
      <c r="H1172" s="188"/>
      <c r="I1172" s="188"/>
      <c r="J1172" s="188"/>
      <c r="K1172" s="188"/>
      <c r="L1172" s="188"/>
      <c r="M1172" s="188"/>
      <c r="N1172" s="188"/>
      <c r="O1172" s="188"/>
      <c r="P1172" s="188"/>
      <c r="Q1172" s="188"/>
      <c r="R1172" s="188"/>
      <c r="S1172" s="188"/>
      <c r="T1172" s="180"/>
      <c r="U1172" s="189" t="str">
        <f>IFERROR(IF(Tableau3[[#This Row],[Dettes]]=0,"",(Tableau3[[#This Row],[Dettes]]/Tableau3[[#This Row],[EBE]])),"")</f>
        <v/>
      </c>
      <c r="V1172" s="190" t="str">
        <f>IFERROR(Tableau3[[#This Row],[Fonds propres]]/Tableau3[[#This Row],[Total Bilan]],"")</f>
        <v/>
      </c>
      <c r="W1172" s="180"/>
      <c r="X1172" s="192"/>
      <c r="Y1172" s="180"/>
      <c r="Z1172" s="192" t="str">
        <f>IFERROR(Tableau3[[#This Row],[Chiffre d''affaires]]/Tableau3[[#This Row],[Salariés]],"")</f>
        <v/>
      </c>
      <c r="AA1172" s="177"/>
      <c r="AC1172" s="177" t="s">
        <v>804</v>
      </c>
    </row>
    <row r="1173" spans="1:29" ht="20.25" customHeight="1">
      <c r="E1173" s="187"/>
      <c r="G1173" s="188"/>
      <c r="H1173" s="188"/>
      <c r="I1173" s="188"/>
      <c r="J1173" s="188"/>
      <c r="K1173" s="188"/>
      <c r="L1173" s="188"/>
      <c r="M1173" s="188"/>
      <c r="N1173" s="188"/>
      <c r="O1173" s="188"/>
      <c r="P1173" s="188"/>
      <c r="Q1173" s="188"/>
      <c r="R1173" s="188"/>
      <c r="S1173" s="188"/>
      <c r="T1173" s="180"/>
      <c r="U1173" s="189" t="str">
        <f>IFERROR(IF(Tableau3[[#This Row],[Dettes]]=0,"",(Tableau3[[#This Row],[Dettes]]/Tableau3[[#This Row],[EBE]])),"")</f>
        <v/>
      </c>
      <c r="V1173" s="190" t="str">
        <f>IFERROR(Tableau3[[#This Row],[Fonds propres]]/Tableau3[[#This Row],[Total Bilan]],"")</f>
        <v/>
      </c>
      <c r="W1173" s="180"/>
      <c r="X1173" s="192"/>
      <c r="Y1173" s="180"/>
      <c r="Z1173" s="192" t="str">
        <f>IFERROR(Tableau3[[#This Row],[Chiffre d''affaires]]/Tableau3[[#This Row],[Salariés]],"")</f>
        <v/>
      </c>
      <c r="AA1173" s="177"/>
      <c r="AC1173" s="177" t="s">
        <v>806</v>
      </c>
    </row>
    <row r="1174" spans="1:29" ht="20.25" customHeight="1">
      <c r="A1174" s="217"/>
      <c r="E1174" s="187">
        <v>142.9</v>
      </c>
      <c r="F1174" s="178">
        <v>2024</v>
      </c>
      <c r="G1174" s="188">
        <v>2620000000</v>
      </c>
      <c r="H1174" s="177"/>
      <c r="I1174" s="177"/>
      <c r="J1174" s="177"/>
      <c r="K1174" s="177"/>
      <c r="L1174" s="177"/>
      <c r="M1174" s="178"/>
      <c r="N1174" s="238"/>
      <c r="O1174" s="238"/>
      <c r="P1174" s="188">
        <v>350000000</v>
      </c>
      <c r="Q1174" s="188">
        <f>E1174*P1174</f>
        <v>50015000000</v>
      </c>
      <c r="R1174" s="195" t="e">
        <f>Q1174/L1174</f>
        <v>#DIV/0!</v>
      </c>
      <c r="S1174" s="178"/>
      <c r="T1174" s="180"/>
      <c r="U1174" s="189" t="str">
        <f>IFERROR(IF(Tableau3[[#This Row],[Dettes]]=0,"",(Tableau3[[#This Row],[Dettes]]/Tableau3[[#This Row],[EBE]])),"")</f>
        <v/>
      </c>
      <c r="V1174" s="190" t="str">
        <f>IFERROR(Tableau3[[#This Row],[Fonds propres]]/Tableau3[[#This Row],[Total Bilan]],"")</f>
        <v/>
      </c>
      <c r="W1174" s="180"/>
      <c r="Y1174" s="180"/>
      <c r="Z1174" s="192" t="str">
        <f>IFERROR(Tableau3[[#This Row],[Chiffre d''affaires]]/Tableau3[[#This Row],[Salariés]],"")</f>
        <v/>
      </c>
      <c r="AA1174" s="177"/>
      <c r="AC1174" s="177" t="s">
        <v>807</v>
      </c>
    </row>
    <row r="1175" spans="1:29" ht="20.25" customHeight="1">
      <c r="E1175" s="187"/>
      <c r="G1175" s="202">
        <f>(G1174/G1176)-1</f>
        <v>0.23099533490355717</v>
      </c>
      <c r="H1175" s="202"/>
      <c r="I1175" s="202"/>
      <c r="J1175" s="202"/>
      <c r="K1175" s="177"/>
      <c r="L1175" s="177"/>
      <c r="M1175" s="178"/>
      <c r="N1175" s="238"/>
      <c r="O1175" s="238"/>
      <c r="P1175" s="238"/>
      <c r="Q1175" s="238"/>
      <c r="R1175" s="238"/>
      <c r="S1175" s="178"/>
      <c r="T1175" s="180"/>
      <c r="U1175" s="189" t="str">
        <f>IFERROR(IF(Tableau3[[#This Row],[Dettes]]=0,"",(Tableau3[[#This Row],[Dettes]]/Tableau3[[#This Row],[EBE]])),"")</f>
        <v/>
      </c>
      <c r="V1175" s="190" t="str">
        <f>IFERROR(Tableau3[[#This Row],[Fonds propres]]/Tableau3[[#This Row],[Total Bilan]],"")</f>
        <v/>
      </c>
      <c r="W1175" s="180"/>
      <c r="Y1175" s="180"/>
      <c r="Z1175" s="192" t="str">
        <f>IFERROR(Tableau3[[#This Row],[Chiffre d''affaires]]/Tableau3[[#This Row],[Salariés]],"")</f>
        <v/>
      </c>
      <c r="AA1175" s="177"/>
      <c r="AC1175" s="177" t="s">
        <v>808</v>
      </c>
    </row>
    <row r="1176" spans="1:29" ht="20.25" customHeight="1">
      <c r="A1176" s="217"/>
      <c r="E1176" s="187">
        <v>121.38</v>
      </c>
      <c r="F1176" s="178">
        <v>2023</v>
      </c>
      <c r="G1176" s="188">
        <v>2128359000</v>
      </c>
      <c r="H1176" s="177"/>
      <c r="I1176" s="188">
        <v>-33464000</v>
      </c>
      <c r="J1176" s="188">
        <v>48568000</v>
      </c>
      <c r="K1176" s="177"/>
      <c r="L1176" s="242">
        <v>2025354000</v>
      </c>
      <c r="M1176" s="194">
        <f>L1176/P1176</f>
        <v>5.7867257142857147</v>
      </c>
      <c r="N1176" s="190">
        <f>J1176/L1176</f>
        <v>2.3980005470648588E-2</v>
      </c>
      <c r="O1176" s="190">
        <f>(I1176*0.7)/(K1176+L1176)</f>
        <v>-1.156578059934214E-2</v>
      </c>
      <c r="P1176" s="188">
        <v>350000000</v>
      </c>
      <c r="Q1176" s="188">
        <f>E1176*P1176</f>
        <v>42483000000</v>
      </c>
      <c r="R1176" s="195">
        <f>Q1176/L1176</f>
        <v>20.975592414955607</v>
      </c>
      <c r="S1176" s="178"/>
      <c r="T1176" s="180">
        <v>597548000</v>
      </c>
      <c r="U1176" s="189" t="str">
        <f>IFERROR(IF(Tableau3[[#This Row],[Dettes]]=0,"",(Tableau3[[#This Row],[Dettes]]/Tableau3[[#This Row],[EBE]])),"")</f>
        <v/>
      </c>
      <c r="V1176" s="190">
        <f>IFERROR(Tableau3[[#This Row],[Fonds propres]]/Tableau3[[#This Row],[Total Bilan]],"")</f>
        <v>0.51456223361767772</v>
      </c>
      <c r="W1176" s="180">
        <v>3936072000</v>
      </c>
      <c r="Y1176" s="180">
        <v>2200</v>
      </c>
      <c r="Z1176" s="192">
        <f>IFERROR(Tableau3[[#This Row],[Chiffre d''affaires]]/Tableau3[[#This Row],[Salariés]],"")</f>
        <v>967435.90909090906</v>
      </c>
      <c r="AA1176" s="177"/>
      <c r="AC1176" s="177" t="s">
        <v>809</v>
      </c>
    </row>
    <row r="1177" spans="1:29" ht="20.25" customHeight="1">
      <c r="E1177" s="187"/>
      <c r="G1177" s="202">
        <f>(G1176/G1178)-1</f>
        <v>0.27058623365769208</v>
      </c>
      <c r="H1177" s="202"/>
      <c r="I1177" s="202">
        <f>(I1176/I1178)-1</f>
        <v>-0.42986625777323451</v>
      </c>
      <c r="J1177" s="202">
        <f>(J1176/J1178)-1</f>
        <v>-1.9682615629984053</v>
      </c>
      <c r="K1177" s="177"/>
      <c r="L1177" s="242"/>
      <c r="M1177" s="178"/>
      <c r="N1177" s="238"/>
      <c r="O1177" s="238"/>
      <c r="P1177" s="238"/>
      <c r="Q1177" s="238"/>
      <c r="R1177" s="238"/>
      <c r="S1177" s="178"/>
      <c r="T1177" s="180"/>
      <c r="U1177" s="189" t="str">
        <f>IFERROR(IF(Tableau3[[#This Row],[Dettes]]=0,"",(Tableau3[[#This Row],[Dettes]]/Tableau3[[#This Row],[EBE]])),"")</f>
        <v/>
      </c>
      <c r="V1177" s="190" t="str">
        <f>IFERROR(Tableau3[[#This Row],[Fonds propres]]/Tableau3[[#This Row],[Total Bilan]],"")</f>
        <v/>
      </c>
      <c r="W1177" s="180"/>
      <c r="Y1177" s="180"/>
      <c r="Z1177" s="192" t="str">
        <f>IFERROR(Tableau3[[#This Row],[Chiffre d''affaires]]/Tableau3[[#This Row],[Salariés]],"")</f>
        <v/>
      </c>
      <c r="AA1177" s="177"/>
      <c r="AC1177" s="177" t="s">
        <v>810</v>
      </c>
    </row>
    <row r="1178" spans="1:29" ht="20.25" customHeight="1">
      <c r="A1178" s="217"/>
      <c r="E1178" s="187">
        <v>73.5</v>
      </c>
      <c r="F1178" s="178">
        <v>2022</v>
      </c>
      <c r="G1178" s="188">
        <v>1675100000</v>
      </c>
      <c r="H1178" s="177"/>
      <c r="I1178" s="188">
        <v>-58695000</v>
      </c>
      <c r="J1178" s="188">
        <v>-50160000</v>
      </c>
      <c r="K1178" s="177"/>
      <c r="L1178" s="242">
        <v>1410505000</v>
      </c>
      <c r="M1178" s="194">
        <f>L1178/P1178</f>
        <v>4.0300142857142855</v>
      </c>
      <c r="N1178" s="190">
        <f>J1178/L1178</f>
        <v>-3.5561731436613127E-2</v>
      </c>
      <c r="O1178" s="190">
        <f>(I1178*0.7)/(K1178+L1178)</f>
        <v>-2.9128929000606166E-2</v>
      </c>
      <c r="P1178" s="188">
        <v>350000000</v>
      </c>
      <c r="Q1178" s="188">
        <f>E1178*P1178</f>
        <v>25725000000</v>
      </c>
      <c r="R1178" s="195">
        <f>Q1178/L1178</f>
        <v>18.238148748143395</v>
      </c>
      <c r="S1178" s="197"/>
      <c r="T1178" s="180">
        <v>353518000</v>
      </c>
      <c r="U1178" s="189" t="str">
        <f>IFERROR(IF(Tableau3[[#This Row],[Dettes]]=0,"",(Tableau3[[#This Row],[Dettes]]/Tableau3[[#This Row],[EBE]])),"")</f>
        <v/>
      </c>
      <c r="V1178" s="190">
        <f>IFERROR(Tableau3[[#This Row],[Fonds propres]]/Tableau3[[#This Row],[Total Bilan]],"")</f>
        <v>0.46940914228055158</v>
      </c>
      <c r="W1178" s="180">
        <v>3004852000</v>
      </c>
      <c r="Y1178" s="180">
        <v>2200</v>
      </c>
      <c r="Z1178" s="192">
        <f>IFERROR(Tableau3[[#This Row],[Chiffre d''affaires]]/Tableau3[[#This Row],[Salariés]],"")</f>
        <v>761409.09090909094</v>
      </c>
      <c r="AA1178" s="177"/>
      <c r="AC1178" s="177" t="s">
        <v>811</v>
      </c>
    </row>
    <row r="1179" spans="1:29" ht="20.25" customHeight="1">
      <c r="E1179" s="187"/>
      <c r="G1179" s="202">
        <f>(G1178/G1180)-1</f>
        <v>0.62823294296956411</v>
      </c>
      <c r="H1179" s="202"/>
      <c r="I1179" s="202">
        <f>(I1178/I1180)-1</f>
        <v>2.0640530382125704</v>
      </c>
      <c r="J1179" s="202">
        <f>(J1178/J1180)-1</f>
        <v>1.4179320318148951</v>
      </c>
      <c r="K1179" s="177"/>
      <c r="L1179" s="242"/>
      <c r="M1179" s="178"/>
      <c r="N1179" s="238"/>
      <c r="O1179" s="238"/>
      <c r="P1179" s="238"/>
      <c r="Q1179" s="238"/>
      <c r="R1179" s="238"/>
      <c r="S1179" s="178"/>
      <c r="T1179" s="180"/>
      <c r="U1179" s="189" t="str">
        <f>IFERROR(IF(Tableau3[[#This Row],[Dettes]]=0,"",(Tableau3[[#This Row],[Dettes]]/Tableau3[[#This Row],[EBE]])),"")</f>
        <v/>
      </c>
      <c r="V1179" s="190" t="str">
        <f>IFERROR(Tableau3[[#This Row],[Fonds propres]]/Tableau3[[#This Row],[Total Bilan]],"")</f>
        <v/>
      </c>
      <c r="W1179" s="180"/>
      <c r="Y1179" s="180"/>
      <c r="Z1179" s="192" t="str">
        <f>IFERROR(Tableau3[[#This Row],[Chiffre d''affaires]]/Tableau3[[#This Row],[Salariés]],"")</f>
        <v/>
      </c>
      <c r="AA1179" s="177"/>
      <c r="AC1179" s="177" t="s">
        <v>812</v>
      </c>
    </row>
    <row r="1180" spans="1:29" ht="20.25" customHeight="1">
      <c r="A1180" s="217"/>
      <c r="E1180" s="187">
        <v>178.11</v>
      </c>
      <c r="F1180" s="178">
        <v>2021</v>
      </c>
      <c r="G1180" s="188">
        <v>1028784000</v>
      </c>
      <c r="H1180" s="177"/>
      <c r="I1180" s="188">
        <v>-19156000</v>
      </c>
      <c r="J1180" s="188">
        <v>-20745000</v>
      </c>
      <c r="K1180" s="177"/>
      <c r="L1180" s="242">
        <v>1041203000</v>
      </c>
      <c r="M1180" s="194">
        <f>L1180/P1180</f>
        <v>3.3690656467603737</v>
      </c>
      <c r="N1180" s="190">
        <f>J1180/L1180</f>
        <v>-1.9924068601415861E-2</v>
      </c>
      <c r="O1180" s="190">
        <f>(I1180*0.7)/(K1180+L1180)</f>
        <v>-1.2878564506633192E-2</v>
      </c>
      <c r="P1180" s="188">
        <v>309048000</v>
      </c>
      <c r="Q1180" s="188">
        <f>E1180*P1180</f>
        <v>55044539280.000008</v>
      </c>
      <c r="R1180" s="195">
        <f>Q1180/L1180</f>
        <v>52.86628955160522</v>
      </c>
      <c r="S1180" s="197"/>
      <c r="T1180" s="180">
        <v>250520000</v>
      </c>
      <c r="U1180" s="189" t="str">
        <f>IFERROR(IF(Tableau3[[#This Row],[Dettes]]=0,"",(Tableau3[[#This Row],[Dettes]]/Tableau3[[#This Row],[EBE]])),"")</f>
        <v/>
      </c>
      <c r="V1180" s="190" t="str">
        <f>IFERROR(Tableau3[[#This Row],[Fonds propres]]/Tableau3[[#This Row],[Total Bilan]],"")</f>
        <v/>
      </c>
      <c r="W1180" s="180"/>
      <c r="Y1180" s="180"/>
      <c r="Z1180" s="192" t="str">
        <f>IFERROR(Tableau3[[#This Row],[Chiffre d''affaires]]/Tableau3[[#This Row],[Salariés]],"")</f>
        <v/>
      </c>
      <c r="AA1180" s="177"/>
      <c r="AC1180" s="177" t="s">
        <v>813</v>
      </c>
    </row>
    <row r="1181" spans="1:29" ht="20.25" customHeight="1">
      <c r="E1181" s="187"/>
      <c r="G1181" s="202">
        <f>(G1180/G1182)-1</f>
        <v>0.70479198496684159</v>
      </c>
      <c r="H1181" s="202"/>
      <c r="I1181" s="202">
        <f>(I1180/I1182)-1</f>
        <v>0.39083714513904022</v>
      </c>
      <c r="J1181" s="202">
        <f>(J1180/J1182)-1</f>
        <v>-0.15488654418055159</v>
      </c>
      <c r="K1181" s="177"/>
      <c r="L1181" s="177"/>
      <c r="M1181" s="178"/>
      <c r="N1181" s="238"/>
      <c r="O1181" s="238"/>
      <c r="P1181" s="238"/>
      <c r="Q1181" s="238"/>
      <c r="R1181" s="238"/>
      <c r="S1181" s="178"/>
      <c r="T1181" s="180"/>
      <c r="U1181" s="189" t="str">
        <f>IFERROR(IF(Tableau3[[#This Row],[Dettes]]=0,"",(Tableau3[[#This Row],[Dettes]]/Tableau3[[#This Row],[EBE]])),"")</f>
        <v/>
      </c>
      <c r="V1181" s="190" t="str">
        <f>IFERROR(Tableau3[[#This Row],[Fonds propres]]/Tableau3[[#This Row],[Total Bilan]],"")</f>
        <v/>
      </c>
      <c r="W1181" s="180"/>
      <c r="Y1181" s="180"/>
      <c r="Z1181" s="192" t="str">
        <f>IFERROR(Tableau3[[#This Row],[Chiffre d''affaires]]/Tableau3[[#This Row],[Salariés]],"")</f>
        <v/>
      </c>
      <c r="AA1181" s="177"/>
      <c r="AC1181" s="177" t="s">
        <v>814</v>
      </c>
    </row>
    <row r="1182" spans="1:29" ht="20.25" customHeight="1">
      <c r="E1182" s="187">
        <v>98.4</v>
      </c>
      <c r="F1182" s="178">
        <v>2020</v>
      </c>
      <c r="G1182" s="188">
        <v>603466000</v>
      </c>
      <c r="H1182" s="188">
        <v>-14716000</v>
      </c>
      <c r="I1182" s="188">
        <v>-13773000</v>
      </c>
      <c r="J1182" s="188">
        <v>-24547000</v>
      </c>
      <c r="K1182" s="177"/>
      <c r="L1182" s="242">
        <v>957432000</v>
      </c>
      <c r="M1182" s="194">
        <f>L1182/P1182</f>
        <v>3.187720992175795</v>
      </c>
      <c r="N1182" s="190">
        <f>J1182/L1182</f>
        <v>-2.5638374317967227E-2</v>
      </c>
      <c r="O1182" s="190">
        <f>(I1182*0.7)/(K1182+L1182)</f>
        <v>-1.0069749078785752E-2</v>
      </c>
      <c r="P1182" s="188">
        <v>300350000</v>
      </c>
      <c r="Q1182" s="188">
        <f>E1182*P1182</f>
        <v>29554440000</v>
      </c>
      <c r="R1182" s="195">
        <f>Q1182/L1182</f>
        <v>30.868448098663926</v>
      </c>
      <c r="S1182" s="197"/>
      <c r="T1182" s="180"/>
      <c r="U1182" s="189" t="str">
        <f>IFERROR(IF(Tableau3[[#This Row],[Dettes]]=0,"",(Tableau3[[#This Row],[Dettes]]/Tableau3[[#This Row],[EBE]])),"")</f>
        <v/>
      </c>
      <c r="V1182" s="190" t="str">
        <f>IFERROR(Tableau3[[#This Row],[Fonds propres]]/Tableau3[[#This Row],[Total Bilan]],"")</f>
        <v/>
      </c>
      <c r="W1182" s="180"/>
      <c r="Y1182" s="180"/>
      <c r="Z1182" s="192" t="str">
        <f>IFERROR(Tableau3[[#This Row],[Chiffre d''affaires]]/Tableau3[[#This Row],[Salariés]],"")</f>
        <v/>
      </c>
      <c r="AA1182" s="177"/>
      <c r="AC1182" s="177" t="s">
        <v>815</v>
      </c>
    </row>
    <row r="1183" spans="1:29" ht="20.25" customHeight="1">
      <c r="E1183" s="187"/>
      <c r="G1183" s="202">
        <f>(G1182/G1184)-1</f>
        <v>0.66344892221180873</v>
      </c>
      <c r="H1183" s="202">
        <f>(H1182/H1184)-1</f>
        <v>-0.2956155466207161</v>
      </c>
      <c r="I1183" s="202">
        <f>(I1182/I1184)-1</f>
        <v>-0.31613704071499504</v>
      </c>
      <c r="J1183" s="202">
        <f>(J1182/J1184)-1</f>
        <v>0.46900059844404551</v>
      </c>
      <c r="K1183" s="177"/>
      <c r="L1183" s="177"/>
      <c r="M1183" s="178"/>
      <c r="N1183" s="238"/>
      <c r="O1183" s="238"/>
      <c r="P1183" s="238"/>
      <c r="Q1183" s="238"/>
      <c r="R1183" s="238"/>
      <c r="S1183" s="178"/>
      <c r="T1183" s="180"/>
      <c r="U1183" s="189" t="str">
        <f>IFERROR(IF(Tableau3[[#This Row],[Dettes]]=0,"",(Tableau3[[#This Row],[Dettes]]/Tableau3[[#This Row],[EBE]])),"")</f>
        <v/>
      </c>
      <c r="V1183" s="190" t="str">
        <f>IFERROR(Tableau3[[#This Row],[Fonds propres]]/Tableau3[[#This Row],[Total Bilan]],"")</f>
        <v/>
      </c>
      <c r="W1183" s="180"/>
      <c r="Y1183" s="180"/>
      <c r="Z1183" s="192" t="str">
        <f>IFERROR(Tableau3[[#This Row],[Chiffre d''affaires]]/Tableau3[[#This Row],[Salariés]],"")</f>
        <v/>
      </c>
      <c r="AA1183" s="177"/>
      <c r="AC1183" s="177" t="s">
        <v>816</v>
      </c>
    </row>
    <row r="1184" spans="1:29" ht="20.25" customHeight="1">
      <c r="E1184" s="187">
        <v>36.1</v>
      </c>
      <c r="F1184" s="178">
        <v>2019</v>
      </c>
      <c r="G1184" s="188">
        <v>362780000</v>
      </c>
      <c r="H1184" s="188">
        <v>-20892000</v>
      </c>
      <c r="I1184" s="188">
        <v>-20140000</v>
      </c>
      <c r="J1184" s="188">
        <v>-16710000</v>
      </c>
      <c r="K1184" s="177"/>
      <c r="L1184" s="242">
        <v>1038041000</v>
      </c>
      <c r="M1184" s="194">
        <f>L1184/P1184</f>
        <v>7.4213107604755741</v>
      </c>
      <c r="N1184" s="190">
        <f>J1184/L1184</f>
        <v>-1.6097630055074894E-2</v>
      </c>
      <c r="O1184" s="190">
        <f>(I1184*0.7)/(K1184+L1184)</f>
        <v>-1.3581351796316331E-2</v>
      </c>
      <c r="P1184" s="188">
        <v>139873000</v>
      </c>
      <c r="Q1184" s="188">
        <f>E1184*P1184</f>
        <v>5049415300</v>
      </c>
      <c r="R1184" s="195">
        <f>Q1184/L1184</f>
        <v>4.8643698081289664</v>
      </c>
      <c r="S1184" s="197"/>
      <c r="T1184" s="180"/>
      <c r="U1184" s="189" t="str">
        <f>IFERROR(IF(Tableau3[[#This Row],[Dettes]]=0,"",(Tableau3[[#This Row],[Dettes]]/Tableau3[[#This Row],[EBE]])),"")</f>
        <v/>
      </c>
      <c r="V1184" s="190" t="str">
        <f>IFERROR(Tableau3[[#This Row],[Fonds propres]]/Tableau3[[#This Row],[Total Bilan]],"")</f>
        <v/>
      </c>
      <c r="W1184" s="180"/>
      <c r="Y1184" s="180"/>
      <c r="Z1184" s="192" t="str">
        <f>IFERROR(Tableau3[[#This Row],[Chiffre d''affaires]]/Tableau3[[#This Row],[Salariés]],"")</f>
        <v/>
      </c>
      <c r="AA1184" s="177"/>
      <c r="AC1184" s="177" t="s">
        <v>817</v>
      </c>
    </row>
    <row r="1185" spans="1:29" ht="20.25" customHeight="1">
      <c r="E1185" s="187"/>
      <c r="G1185" s="202">
        <f>(G1184/G1186)-1</f>
        <v>0.83150996834564328</v>
      </c>
      <c r="H1185" s="202">
        <f>(H1184/H1186)-1</f>
        <v>0.80977130977130973</v>
      </c>
      <c r="I1185" s="202">
        <f>(I1184/I1186)-1</f>
        <v>0.82543279253149637</v>
      </c>
      <c r="J1185" s="202">
        <f>(J1184/J1186)-1</f>
        <v>0.55268537446571275</v>
      </c>
      <c r="K1185" s="177"/>
      <c r="L1185" s="177"/>
      <c r="M1185" s="178"/>
      <c r="N1185" s="238"/>
      <c r="O1185" s="238"/>
      <c r="P1185" s="238"/>
      <c r="Q1185" s="238"/>
      <c r="R1185" s="238"/>
      <c r="S1185" s="178"/>
      <c r="T1185" s="180"/>
      <c r="U1185" s="189" t="str">
        <f>IFERROR(IF(Tableau3[[#This Row],[Dettes]]=0,"",(Tableau3[[#This Row],[Dettes]]/Tableau3[[#This Row],[EBE]])),"")</f>
        <v/>
      </c>
      <c r="V1185" s="190" t="str">
        <f>IFERROR(Tableau3[[#This Row],[Fonds propres]]/Tableau3[[#This Row],[Total Bilan]],"")</f>
        <v/>
      </c>
      <c r="W1185" s="180"/>
      <c r="Y1185" s="180"/>
      <c r="Z1185" s="192" t="str">
        <f>IFERROR(Tableau3[[#This Row],[Chiffre d''affaires]]/Tableau3[[#This Row],[Salariés]],"")</f>
        <v/>
      </c>
      <c r="AA1185" s="177"/>
      <c r="AC1185" s="177" t="s">
        <v>818</v>
      </c>
    </row>
    <row r="1186" spans="1:29" ht="20.25" customHeight="1">
      <c r="E1186" s="187" t="s">
        <v>819</v>
      </c>
      <c r="F1186" s="178">
        <v>2018</v>
      </c>
      <c r="G1186" s="188">
        <v>198077000</v>
      </c>
      <c r="H1186" s="188">
        <v>-11544000</v>
      </c>
      <c r="I1186" s="188">
        <v>-11033000</v>
      </c>
      <c r="J1186" s="188">
        <v>-10762000</v>
      </c>
      <c r="K1186" s="177"/>
      <c r="L1186" s="242">
        <v>179805000</v>
      </c>
      <c r="M1186" s="194"/>
      <c r="N1186" s="190">
        <f>J1186/L1186</f>
        <v>-5.9853730430188261E-2</v>
      </c>
      <c r="O1186" s="190">
        <f>(I1186*0.7)/(K1186+L1186)</f>
        <v>-4.2952643141180719E-2</v>
      </c>
      <c r="P1186" s="188" t="s">
        <v>819</v>
      </c>
      <c r="Q1186" s="188"/>
      <c r="R1186" s="195"/>
      <c r="S1186" s="197"/>
      <c r="T1186" s="180"/>
      <c r="U1186" s="189" t="str">
        <f>IFERROR(IF(Tableau3[[#This Row],[Dettes]]=0,"",(Tableau3[[#This Row],[Dettes]]/Tableau3[[#This Row],[EBE]])),"")</f>
        <v/>
      </c>
      <c r="V1186" s="190" t="str">
        <f>IFERROR(Tableau3[[#This Row],[Fonds propres]]/Tableau3[[#This Row],[Total Bilan]],"")</f>
        <v/>
      </c>
      <c r="W1186" s="180"/>
      <c r="Y1186" s="180"/>
      <c r="Z1186" s="192" t="str">
        <f>IFERROR(Tableau3[[#This Row],[Chiffre d''affaires]]/Tableau3[[#This Row],[Salariés]],"")</f>
        <v/>
      </c>
      <c r="AA1186" s="177"/>
      <c r="AC1186" s="177" t="s">
        <v>762</v>
      </c>
    </row>
    <row r="1187" spans="1:29" ht="20.25" customHeight="1">
      <c r="E1187" s="187"/>
      <c r="G1187" s="202">
        <f>(G1186/G1188)-1</f>
        <v>0.96581018449598566</v>
      </c>
      <c r="H1187" s="202">
        <f>(H1186/H1188)-1</f>
        <v>2.3558139534883722</v>
      </c>
      <c r="I1187" s="202">
        <f>(I1186/I1188)-1</f>
        <v>2.7324086603518269</v>
      </c>
      <c r="J1187" s="202">
        <f>(J1186/J1188)-1</f>
        <v>3.1875486381322959</v>
      </c>
      <c r="K1187" s="177"/>
      <c r="L1187" s="177"/>
      <c r="M1187" s="178"/>
      <c r="N1187" s="238"/>
      <c r="O1187" s="238"/>
      <c r="P1187" s="238"/>
      <c r="Q1187" s="238"/>
      <c r="R1187" s="238"/>
      <c r="S1187" s="178"/>
      <c r="T1187" s="180"/>
      <c r="U1187" s="189" t="str">
        <f>IFERROR(IF(Tableau3[[#This Row],[Dettes]]=0,"",(Tableau3[[#This Row],[Dettes]]/Tableau3[[#This Row],[EBE]])),"")</f>
        <v/>
      </c>
      <c r="V1187" s="190" t="str">
        <f>IFERROR(Tableau3[[#This Row],[Fonds propres]]/Tableau3[[#This Row],[Total Bilan]],"")</f>
        <v/>
      </c>
      <c r="W1187" s="180"/>
      <c r="Y1187" s="180"/>
      <c r="Z1187" s="192" t="str">
        <f>IFERROR(Tableau3[[#This Row],[Chiffre d''affaires]]/Tableau3[[#This Row],[Salariés]],"")</f>
        <v/>
      </c>
      <c r="AA1187" s="177"/>
      <c r="AC1187" s="177" t="s">
        <v>820</v>
      </c>
    </row>
    <row r="1188" spans="1:29" ht="20.25" customHeight="1">
      <c r="E1188" s="187" t="s">
        <v>819</v>
      </c>
      <c r="F1188" s="178">
        <v>2017</v>
      </c>
      <c r="G1188" s="188">
        <v>100761000</v>
      </c>
      <c r="H1188" s="188">
        <v>-3440000</v>
      </c>
      <c r="I1188" s="188">
        <v>-2956000</v>
      </c>
      <c r="J1188" s="188">
        <v>-2570000</v>
      </c>
      <c r="K1188" s="177"/>
      <c r="L1188" s="242">
        <v>127062000</v>
      </c>
      <c r="M1188" s="194"/>
      <c r="N1188" s="190">
        <f>J1188/L1188</f>
        <v>-2.0226346193197024E-2</v>
      </c>
      <c r="O1188" s="190">
        <f>(I1188*0.7)/(K1188+L1188)</f>
        <v>-1.6284963246289211E-2</v>
      </c>
      <c r="P1188" s="188" t="s">
        <v>819</v>
      </c>
      <c r="Q1188" s="188"/>
      <c r="R1188" s="195"/>
      <c r="S1188" s="197"/>
      <c r="T1188" s="180"/>
      <c r="U1188" s="189" t="str">
        <f>IFERROR(IF(Tableau3[[#This Row],[Dettes]]=0,"",(Tableau3[[#This Row],[Dettes]]/Tableau3[[#This Row],[EBE]])),"")</f>
        <v/>
      </c>
      <c r="V1188" s="190" t="str">
        <f>IFERROR(Tableau3[[#This Row],[Fonds propres]]/Tableau3[[#This Row],[Total Bilan]],"")</f>
        <v/>
      </c>
      <c r="W1188" s="180"/>
      <c r="Y1188" s="180"/>
      <c r="Z1188" s="192" t="str">
        <f>IFERROR(Tableau3[[#This Row],[Chiffre d''affaires]]/Tableau3[[#This Row],[Salariés]],"")</f>
        <v/>
      </c>
      <c r="AA1188" s="177"/>
    </row>
    <row r="1189" spans="1:29" ht="20.25" customHeight="1">
      <c r="E1189" s="187"/>
      <c r="G1189" s="238"/>
      <c r="H1189" s="177"/>
      <c r="I1189" s="177"/>
      <c r="J1189" s="177"/>
      <c r="K1189" s="177"/>
      <c r="L1189" s="177"/>
      <c r="M1189" s="178"/>
      <c r="N1189" s="238"/>
      <c r="O1189" s="238"/>
      <c r="P1189" s="238"/>
      <c r="Q1189" s="238"/>
      <c r="R1189" s="238"/>
      <c r="S1189" s="178"/>
      <c r="T1189" s="180"/>
      <c r="U1189" s="189" t="str">
        <f>IFERROR(IF(Tableau3[[#This Row],[Dettes]]=0,"",(Tableau3[[#This Row],[Dettes]]/Tableau3[[#This Row],[EBE]])),"")</f>
        <v/>
      </c>
      <c r="V1189" s="190" t="str">
        <f>IFERROR(Tableau3[[#This Row],[Fonds propres]]/Tableau3[[#This Row],[Total Bilan]],"")</f>
        <v/>
      </c>
      <c r="W1189" s="180"/>
      <c r="Y1189" s="180"/>
      <c r="Z1189" s="192" t="str">
        <f>IFERROR(Tableau3[[#This Row],[Chiffre d''affaires]]/Tableau3[[#This Row],[Salariés]],"")</f>
        <v/>
      </c>
      <c r="AA1189" s="177"/>
    </row>
    <row r="1190" spans="1:29" ht="20.25" customHeight="1">
      <c r="F1190" s="217" t="s">
        <v>821</v>
      </c>
      <c r="G1190" s="238"/>
      <c r="H1190" s="177"/>
      <c r="I1190" s="177"/>
      <c r="J1190" s="177"/>
      <c r="K1190" s="177"/>
      <c r="L1190" s="177"/>
      <c r="M1190" s="178"/>
      <c r="N1190" s="238"/>
      <c r="O1190" s="238"/>
      <c r="P1190" s="238"/>
      <c r="Q1190" s="238"/>
      <c r="R1190" s="238"/>
      <c r="S1190" s="178"/>
      <c r="T1190" s="180"/>
      <c r="U1190" s="189" t="str">
        <f>IFERROR(IF(Tableau3[[#This Row],[Dettes]]=0,"",(Tableau3[[#This Row],[Dettes]]/Tableau3[[#This Row],[EBE]])),"")</f>
        <v/>
      </c>
      <c r="V1190" s="190" t="str">
        <f>IFERROR(Tableau3[[#This Row],[Fonds propres]]/Tableau3[[#This Row],[Total Bilan]],"")</f>
        <v/>
      </c>
      <c r="W1190" s="180"/>
      <c r="Y1190" s="180"/>
      <c r="Z1190" s="192" t="str">
        <f>IFERROR(Tableau3[[#This Row],[Chiffre d''affaires]]/Tableau3[[#This Row],[Salariés]],"")</f>
        <v/>
      </c>
      <c r="AA1190" s="177"/>
    </row>
    <row r="1191" spans="1:29" ht="20.25" customHeight="1">
      <c r="G1191" s="238"/>
      <c r="H1191" s="177"/>
      <c r="I1191" s="178"/>
      <c r="J1191" s="177"/>
      <c r="K1191" s="177"/>
      <c r="L1191" s="177"/>
      <c r="M1191" s="178"/>
      <c r="N1191" s="238"/>
      <c r="O1191" s="238"/>
      <c r="P1191" s="238"/>
      <c r="Q1191" s="238"/>
      <c r="R1191" s="238"/>
      <c r="S1191" s="178"/>
      <c r="T1191" s="180"/>
      <c r="U1191" s="189" t="str">
        <f>IFERROR(IF(Tableau3[[#This Row],[Dettes]]=0,"",(Tableau3[[#This Row],[Dettes]]/Tableau3[[#This Row],[EBE]])),"")</f>
        <v/>
      </c>
      <c r="V1191" s="190" t="str">
        <f>IFERROR(Tableau3[[#This Row],[Fonds propres]]/Tableau3[[#This Row],[Total Bilan]],"")</f>
        <v/>
      </c>
      <c r="W1191" s="180"/>
      <c r="Y1191" s="180"/>
      <c r="Z1191" s="192" t="str">
        <f>IFERROR(Tableau3[[#This Row],[Chiffre d''affaires]]/Tableau3[[#This Row],[Salariés]],"")</f>
        <v/>
      </c>
      <c r="AA1191" s="177"/>
    </row>
    <row r="1192" spans="1:29" ht="20.25" customHeight="1">
      <c r="E1192" s="187"/>
      <c r="G1192" s="238"/>
      <c r="H1192" s="177"/>
      <c r="I1192" s="177"/>
      <c r="J1192" s="177"/>
      <c r="K1192" s="177"/>
      <c r="L1192" s="177"/>
      <c r="M1192" s="178"/>
      <c r="N1192" s="238"/>
      <c r="O1192" s="238"/>
      <c r="P1192" s="238"/>
      <c r="Q1192" s="238"/>
      <c r="R1192" s="238"/>
      <c r="S1192" s="178"/>
      <c r="T1192" s="180"/>
      <c r="U1192" s="189" t="str">
        <f>IFERROR(IF(Tableau3[[#This Row],[Dettes]]=0,"",(Tableau3[[#This Row],[Dettes]]/Tableau3[[#This Row],[EBE]])),"")</f>
        <v/>
      </c>
      <c r="V1192" s="190" t="str">
        <f>IFERROR(Tableau3[[#This Row],[Fonds propres]]/Tableau3[[#This Row],[Total Bilan]],"")</f>
        <v/>
      </c>
      <c r="W1192" s="180"/>
      <c r="Y1192" s="180"/>
      <c r="Z1192" s="192" t="str">
        <f>IFERROR(Tableau3[[#This Row],[Chiffre d''affaires]]/Tableau3[[#This Row],[Salariés]],"")</f>
        <v/>
      </c>
      <c r="AA1192" s="177"/>
    </row>
    <row r="1193" spans="1:29" ht="20.25" customHeight="1">
      <c r="E1193" s="187"/>
      <c r="G1193" s="238"/>
      <c r="H1193" s="177"/>
      <c r="I1193" s="177"/>
      <c r="J1193" s="177"/>
      <c r="K1193" s="177"/>
      <c r="L1193" s="177"/>
      <c r="M1193" s="178"/>
      <c r="N1193" s="238"/>
      <c r="O1193" s="238"/>
      <c r="P1193" s="238"/>
      <c r="Q1193" s="238"/>
      <c r="R1193" s="238"/>
      <c r="S1193" s="178"/>
      <c r="T1193" s="180"/>
      <c r="U1193" s="189" t="str">
        <f>IFERROR(IF(Tableau3[[#This Row],[Dettes]]=0,"",(Tableau3[[#This Row],[Dettes]]/Tableau3[[#This Row],[EBE]])),"")</f>
        <v/>
      </c>
      <c r="V1193" s="190" t="str">
        <f>IFERROR(Tableau3[[#This Row],[Fonds propres]]/Tableau3[[#This Row],[Total Bilan]],"")</f>
        <v/>
      </c>
      <c r="W1193" s="180"/>
      <c r="Y1193" s="180"/>
      <c r="Z1193" s="192" t="str">
        <f>IFERROR(Tableau3[[#This Row],[Chiffre d''affaires]]/Tableau3[[#This Row],[Salariés]],"")</f>
        <v/>
      </c>
      <c r="AA1193" s="177"/>
    </row>
    <row r="1194" spans="1:29" ht="20.25" customHeight="1">
      <c r="A1194" s="217" t="s">
        <v>822</v>
      </c>
      <c r="B1194" s="216" t="s">
        <v>823</v>
      </c>
      <c r="C1194" s="178" t="s">
        <v>564</v>
      </c>
      <c r="D1194" s="178" t="s">
        <v>85</v>
      </c>
      <c r="E1194" s="187"/>
      <c r="F1194" s="178">
        <v>2025</v>
      </c>
      <c r="G1194" s="238"/>
      <c r="H1194" s="177"/>
      <c r="I1194" s="177"/>
      <c r="J1194" s="177"/>
      <c r="K1194" s="177"/>
      <c r="L1194" s="177"/>
      <c r="M1194" s="178"/>
      <c r="N1194" s="238"/>
      <c r="O1194" s="238"/>
      <c r="P1194" s="238"/>
      <c r="Q1194" s="238"/>
      <c r="R1194" s="238"/>
      <c r="S1194" s="178"/>
      <c r="T1194" s="180"/>
      <c r="U1194" s="189" t="str">
        <f>IFERROR(IF(Tableau3[[#This Row],[Dettes]]=0,"",(Tableau3[[#This Row],[Dettes]]/Tableau3[[#This Row],[EBE]])),"")</f>
        <v/>
      </c>
      <c r="V1194" s="190" t="str">
        <f>IFERROR(Tableau3[[#This Row],[Fonds propres]]/Tableau3[[#This Row],[Total Bilan]],"")</f>
        <v/>
      </c>
      <c r="W1194" s="180"/>
      <c r="X1194" s="182" t="s">
        <v>727</v>
      </c>
      <c r="Y1194" s="180"/>
      <c r="Z1194" s="192" t="str">
        <f>IFERROR(Tableau3[[#This Row],[Chiffre d''affaires]]/Tableau3[[#This Row],[Salariés]],"")</f>
        <v/>
      </c>
      <c r="AA1194" s="178" t="s">
        <v>101</v>
      </c>
      <c r="AC1194" s="177" t="s">
        <v>824</v>
      </c>
    </row>
    <row r="1195" spans="1:29" ht="20.25" customHeight="1">
      <c r="E1195" s="187"/>
      <c r="G1195" s="238"/>
      <c r="H1195" s="177"/>
      <c r="I1195" s="177"/>
      <c r="J1195" s="177"/>
      <c r="K1195" s="177"/>
      <c r="L1195" s="177"/>
      <c r="M1195" s="178"/>
      <c r="N1195" s="238"/>
      <c r="O1195" s="238"/>
      <c r="P1195" s="238"/>
      <c r="Q1195" s="238"/>
      <c r="R1195" s="238"/>
      <c r="S1195" s="178"/>
      <c r="T1195" s="180"/>
      <c r="U1195" s="189" t="str">
        <f>IFERROR(IF(Tableau3[[#This Row],[Dettes]]=0,"",(Tableau3[[#This Row],[Dettes]]/Tableau3[[#This Row],[EBE]])),"")</f>
        <v/>
      </c>
      <c r="V1195" s="190" t="str">
        <f>IFERROR(Tableau3[[#This Row],[Fonds propres]]/Tableau3[[#This Row],[Total Bilan]],"")</f>
        <v/>
      </c>
      <c r="W1195" s="180"/>
      <c r="Y1195" s="180"/>
      <c r="Z1195" s="192" t="str">
        <f>IFERROR(Tableau3[[#This Row],[Chiffre d''affaires]]/Tableau3[[#This Row],[Salariés]],"")</f>
        <v/>
      </c>
      <c r="AA1195" s="178" t="s">
        <v>168</v>
      </c>
      <c r="AC1195" s="177" t="s">
        <v>826</v>
      </c>
    </row>
    <row r="1196" spans="1:29" ht="20.25" customHeight="1">
      <c r="A1196" s="217"/>
      <c r="E1196" s="187">
        <v>236.3</v>
      </c>
      <c r="F1196" s="178">
        <v>2024</v>
      </c>
      <c r="G1196" s="188">
        <v>33000000000</v>
      </c>
      <c r="H1196" s="188"/>
      <c r="I1196" s="188">
        <v>5000000000</v>
      </c>
      <c r="J1196" s="188">
        <v>4000000000</v>
      </c>
      <c r="K1196" s="188"/>
      <c r="L1196" s="188">
        <v>45000000000</v>
      </c>
      <c r="M1196" s="194">
        <f>L1196/P1196</f>
        <v>36.629910445436707</v>
      </c>
      <c r="N1196" s="190">
        <f>J1196/L1196</f>
        <v>8.8888888888888892E-2</v>
      </c>
      <c r="O1196" s="190">
        <f>(I1196*0.75)/(K1198+L1198)</f>
        <v>7.9715998469452834E-2</v>
      </c>
      <c r="P1196" s="188">
        <v>1228504232</v>
      </c>
      <c r="Q1196" s="188">
        <f>P1196*E1196</f>
        <v>290295550021.60004</v>
      </c>
      <c r="R1196" s="195">
        <f>Q1196/L1196</f>
        <v>6.4510122227022233</v>
      </c>
      <c r="S1196" s="178"/>
      <c r="T1196" s="180">
        <v>4000000000</v>
      </c>
      <c r="U1196" s="189" t="str">
        <f>IFERROR(IF(Tableau3[[#This Row],[Dettes]]=0,"",(Tableau3[[#This Row],[Dettes]]/Tableau3[[#This Row],[EBE]])),"")</f>
        <v/>
      </c>
      <c r="V1196" s="190">
        <f>IFERROR(Tableau3[[#This Row],[Fonds propres]]/Tableau3[[#This Row],[Total Bilan]],"")</f>
        <v>0.64610613370089598</v>
      </c>
      <c r="W1196" s="180">
        <v>69648000000</v>
      </c>
      <c r="Y1196" s="180"/>
      <c r="Z1196" s="192" t="str">
        <f>IFERROR(Tableau3[[#This Row],[Chiffre d''affaires]]/Tableau3[[#This Row],[Salariés]],"")</f>
        <v/>
      </c>
      <c r="AA1196" s="188" t="s">
        <v>107</v>
      </c>
      <c r="AC1196" s="177" t="s">
        <v>827</v>
      </c>
    </row>
    <row r="1197" spans="1:29" ht="20.25" customHeight="1">
      <c r="E1197" s="187"/>
      <c r="G1197" s="202">
        <f>(G1196/G1198)-1</f>
        <v>5.7455058160028161E-2</v>
      </c>
      <c r="H1197" s="202"/>
      <c r="I1197" s="202">
        <f>(I1196/I1198)-1</f>
        <v>-0.13569576490924806</v>
      </c>
      <c r="J1197" s="202">
        <f>(J1196/J1198)-1</f>
        <v>-0.32523616734143046</v>
      </c>
      <c r="K1197" s="188"/>
      <c r="L1197" s="188"/>
      <c r="M1197" s="178"/>
      <c r="N1197" s="238"/>
      <c r="O1197" s="238"/>
      <c r="P1197" s="238"/>
      <c r="Q1197" s="238"/>
      <c r="R1197" s="238"/>
      <c r="S1197" s="178"/>
      <c r="T1197" s="180"/>
      <c r="U1197" s="189" t="str">
        <f>IFERROR(IF(Tableau3[[#This Row],[Dettes]]=0,"",(Tableau3[[#This Row],[Dettes]]/Tableau3[[#This Row],[EBE]])),"")</f>
        <v/>
      </c>
      <c r="V1197" s="190" t="str">
        <f>IFERROR(Tableau3[[#This Row],[Fonds propres]]/Tableau3[[#This Row],[Total Bilan]],"")</f>
        <v/>
      </c>
      <c r="W1197" s="180"/>
      <c r="Y1197" s="180"/>
      <c r="Z1197" s="192" t="str">
        <f>IFERROR(Tableau3[[#This Row],[Chiffre d''affaires]]/Tableau3[[#This Row],[Salariés]],"")</f>
        <v/>
      </c>
      <c r="AA1197" s="188"/>
      <c r="AC1197" s="177" t="s">
        <v>828</v>
      </c>
    </row>
    <row r="1198" spans="1:29" ht="20.25" customHeight="1">
      <c r="A1198" s="217"/>
      <c r="E1198" s="187">
        <v>139.47999999999999</v>
      </c>
      <c r="F1198" s="178">
        <v>2023</v>
      </c>
      <c r="G1198" s="188">
        <v>31207000000</v>
      </c>
      <c r="H1198" s="188"/>
      <c r="I1198" s="188">
        <v>5785000000</v>
      </c>
      <c r="J1198" s="188">
        <v>5928000000</v>
      </c>
      <c r="K1198" s="188">
        <v>3677000000</v>
      </c>
      <c r="L1198" s="188">
        <v>43365000000</v>
      </c>
      <c r="M1198" s="194">
        <f>L1198/P1198</f>
        <v>35.299023699252508</v>
      </c>
      <c r="N1198" s="190">
        <f>J1198/L1198</f>
        <v>0.13670010377032168</v>
      </c>
      <c r="O1198" s="190">
        <f>(I1198*0.75)/(K1200+L1200)</f>
        <v>0.11125</v>
      </c>
      <c r="P1198" s="188">
        <v>1228504232</v>
      </c>
      <c r="Q1198" s="188">
        <f>P1198*E1198</f>
        <v>171351770279.35999</v>
      </c>
      <c r="R1198" s="195">
        <f>Q1198/L1198</f>
        <v>3.9513840719326643</v>
      </c>
      <c r="S1198" s="197" t="e">
        <f>(Q1198+K1198)/H1198</f>
        <v>#DIV/0!</v>
      </c>
      <c r="T1198" s="180">
        <v>5080000000</v>
      </c>
      <c r="U1198" s="189" t="str">
        <f>IFERROR(IF(Tableau3[[#This Row],[Dettes]]=0,"",(Tableau3[[#This Row],[Dettes]]/Tableau3[[#This Row],[EBE]])),"")</f>
        <v/>
      </c>
      <c r="V1198" s="190">
        <f>IFERROR(Tableau3[[#This Row],[Fonds propres]]/Tableau3[[#This Row],[Total Bilan]],"")</f>
        <v>0.63500314829186866</v>
      </c>
      <c r="W1198" s="180">
        <v>68291000000</v>
      </c>
      <c r="Y1198" s="180">
        <v>107602</v>
      </c>
      <c r="Z1198" s="192">
        <f>IFERROR(Tableau3[[#This Row],[Chiffre d''affaires]]/Tableau3[[#This Row],[Salariés]],"")</f>
        <v>290022.49028828461</v>
      </c>
      <c r="AA1198" s="188"/>
      <c r="AC1198" s="177" t="s">
        <v>829</v>
      </c>
    </row>
    <row r="1199" spans="1:29" ht="20.25" customHeight="1">
      <c r="E1199" s="187"/>
      <c r="G1199" s="202">
        <f>(G1198/G1200)-1</f>
        <v>0.12086057036132458</v>
      </c>
      <c r="H1199" s="202"/>
      <c r="I1199" s="202">
        <f>(I1198/I1200)-1</f>
        <v>-5.0082101806239732E-2</v>
      </c>
      <c r="J1199" s="202">
        <f>(J1198/J1200)-1</f>
        <v>2.4707259953161591</v>
      </c>
      <c r="K1199" s="177"/>
      <c r="L1199" s="177"/>
      <c r="M1199" s="178"/>
      <c r="N1199" s="238"/>
      <c r="O1199" s="238"/>
      <c r="P1199" s="238"/>
      <c r="Q1199" s="238"/>
      <c r="R1199" s="238"/>
      <c r="S1199" s="178"/>
      <c r="T1199" s="180"/>
      <c r="U1199" s="189" t="str">
        <f>IFERROR(IF(Tableau3[[#This Row],[Dettes]]=0,"",(Tableau3[[#This Row],[Dettes]]/Tableau3[[#This Row],[EBE]])),"")</f>
        <v/>
      </c>
      <c r="V1199" s="190" t="str">
        <f>IFERROR(Tableau3[[#This Row],[Fonds propres]]/Tableau3[[#This Row],[Total Bilan]],"")</f>
        <v/>
      </c>
      <c r="W1199" s="180"/>
      <c r="Y1199" s="180"/>
      <c r="Z1199" s="192" t="str">
        <f>IFERROR(Tableau3[[#This Row],[Chiffre d''affaires]]/Tableau3[[#This Row],[Salariés]],"")</f>
        <v/>
      </c>
      <c r="AC1199" s="177" t="s">
        <v>830</v>
      </c>
    </row>
    <row r="1200" spans="1:29" ht="20.25" customHeight="1">
      <c r="A1200" s="217"/>
      <c r="E1200" s="187">
        <v>96.39</v>
      </c>
      <c r="F1200" s="178">
        <v>2022</v>
      </c>
      <c r="G1200" s="188">
        <f>G1202</f>
        <v>27842000000</v>
      </c>
      <c r="H1200" s="188">
        <f>H1202</f>
        <v>8454000000</v>
      </c>
      <c r="I1200" s="188">
        <v>6090000000</v>
      </c>
      <c r="J1200" s="188">
        <v>1708000000</v>
      </c>
      <c r="K1200" s="211">
        <v>-3000000000</v>
      </c>
      <c r="L1200" s="188">
        <v>42000000000</v>
      </c>
      <c r="M1200" s="194">
        <f>L1200/P1200</f>
        <v>34.187916415740929</v>
      </c>
      <c r="N1200" s="190">
        <f>J1200/L1200</f>
        <v>4.0666666666666663E-2</v>
      </c>
      <c r="O1200" s="190">
        <f>(I1200*0.75)/(K1202+L1202)</f>
        <v>0.11271654903509205</v>
      </c>
      <c r="P1200" s="188">
        <v>1228504232</v>
      </c>
      <c r="Q1200" s="188">
        <f>P1200*E1200</f>
        <v>118415522922.48</v>
      </c>
      <c r="R1200" s="195">
        <f>Q1200/L1200</f>
        <v>2.8194172124399999</v>
      </c>
      <c r="S1200" s="197">
        <f>(Q1200+K1200)/H1200</f>
        <v>13.652179195940382</v>
      </c>
      <c r="T1200" s="180">
        <v>4500000000</v>
      </c>
      <c r="U1200" s="189">
        <f>IFERROR(IF(Tableau3[[#This Row],[Dettes]]=0,"",(Tableau3[[#This Row],[Dettes]]/Tableau3[[#This Row],[EBE]])),"")</f>
        <v>-0.35486160397444999</v>
      </c>
      <c r="V1200" s="190">
        <f>IFERROR(Tableau3[[#This Row],[Fonds propres]]/Tableau3[[#This Row],[Total Bilan]],"")</f>
        <v>0.58203991130820398</v>
      </c>
      <c r="W1200" s="180">
        <v>72160000000</v>
      </c>
      <c r="Y1200" s="180">
        <v>109798</v>
      </c>
      <c r="Z1200" s="192">
        <f>IFERROR(Tableau3[[#This Row],[Chiffre d''affaires]]/Tableau3[[#This Row],[Salariés]],"")</f>
        <v>253574.74635239257</v>
      </c>
      <c r="AB1200" s="188"/>
      <c r="AC1200" s="177" t="s">
        <v>831</v>
      </c>
    </row>
    <row r="1201" spans="1:29" ht="20.25" customHeight="1">
      <c r="E1201" s="187"/>
      <c r="G1201" s="202">
        <f>(G1200/G1202)-1</f>
        <v>0</v>
      </c>
      <c r="H1201" s="202">
        <f>(H1200/H1202)-1</f>
        <v>0</v>
      </c>
      <c r="I1201" s="202">
        <f>(I1200/I1202)-1</f>
        <v>0.30714745653573727</v>
      </c>
      <c r="J1201" s="202">
        <f>(J1200/J1202)-1</f>
        <v>-0.68270481144343309</v>
      </c>
      <c r="K1201" s="177"/>
      <c r="L1201" s="177"/>
      <c r="M1201" s="178"/>
      <c r="N1201" s="238"/>
      <c r="O1201" s="238"/>
      <c r="P1201" s="238"/>
      <c r="Q1201" s="238"/>
      <c r="R1201" s="238"/>
      <c r="S1201" s="178"/>
      <c r="T1201" s="180"/>
      <c r="U1201" s="189" t="str">
        <f>IFERROR(IF(Tableau3[[#This Row],[Dettes]]=0,"",(Tableau3[[#This Row],[Dettes]]/Tableau3[[#This Row],[EBE]])),"")</f>
        <v/>
      </c>
      <c r="V1201" s="190" t="str">
        <f>IFERROR(Tableau3[[#This Row],[Fonds propres]]/Tableau3[[#This Row],[Total Bilan]],"")</f>
        <v/>
      </c>
      <c r="W1201" s="180"/>
      <c r="Y1201" s="180"/>
      <c r="Z1201" s="192" t="str">
        <f>IFERROR(Tableau3[[#This Row],[Chiffre d''affaires]]/Tableau3[[#This Row],[Salariés]],"")</f>
        <v/>
      </c>
      <c r="AB1201" s="188"/>
      <c r="AC1201" s="177" t="s">
        <v>832</v>
      </c>
    </row>
    <row r="1202" spans="1:29" ht="20.25" customHeight="1">
      <c r="A1202" s="217"/>
      <c r="E1202" s="187">
        <v>124.9</v>
      </c>
      <c r="F1202" s="178">
        <v>2021</v>
      </c>
      <c r="G1202" s="188">
        <v>27842000000</v>
      </c>
      <c r="H1202" s="188">
        <f>H1204</f>
        <v>8454000000</v>
      </c>
      <c r="I1202" s="188">
        <v>4659000000</v>
      </c>
      <c r="J1202" s="188">
        <v>5383000000</v>
      </c>
      <c r="K1202" s="211">
        <v>1563000000</v>
      </c>
      <c r="L1202" s="188">
        <v>38959000000</v>
      </c>
      <c r="M1202" s="194">
        <f>L1202/P1202</f>
        <v>31.712548467639305</v>
      </c>
      <c r="N1202" s="190">
        <f>J1202/L1202</f>
        <v>0.13817089761030826</v>
      </c>
      <c r="O1202" s="190">
        <f>(I1202*0.75)/(K1204+L1204)</f>
        <v>9.6475606725751673E-2</v>
      </c>
      <c r="P1202" s="188">
        <v>1228504232</v>
      </c>
      <c r="Q1202" s="188">
        <f>P1202*E1202</f>
        <v>153440178576.80002</v>
      </c>
      <c r="R1202" s="195">
        <f>Q1202/L1202</f>
        <v>3.9385040318488671</v>
      </c>
      <c r="S1202" s="197">
        <f>(Q1202+K1202)/H1202</f>
        <v>18.334892190300451</v>
      </c>
      <c r="T1202" s="180">
        <v>5000000000</v>
      </c>
      <c r="U1202" s="189">
        <f>IFERROR(IF(Tableau3[[#This Row],[Dettes]]=0,"",(Tableau3[[#This Row],[Dettes]]/Tableau3[[#This Row],[EBE]])),"")</f>
        <v>0.18488289567068844</v>
      </c>
      <c r="V1202" s="190">
        <f>IFERROR(Tableau3[[#This Row],[Fonds propres]]/Tableau3[[#This Row],[Total Bilan]],"")</f>
        <v>0.54740761556835749</v>
      </c>
      <c r="W1202" s="180">
        <v>71170000000</v>
      </c>
      <c r="Y1202" s="180">
        <v>107415</v>
      </c>
      <c r="Z1202" s="192">
        <f>IFERROR(Tableau3[[#This Row],[Chiffre d''affaires]]/Tableau3[[#This Row],[Salariés]],"")</f>
        <v>259200.29790997534</v>
      </c>
      <c r="AB1202" s="188"/>
      <c r="AC1202" s="177" t="s">
        <v>833</v>
      </c>
    </row>
    <row r="1203" spans="1:29" ht="20.25" customHeight="1">
      <c r="E1203" s="187"/>
      <c r="G1203" s="202">
        <f>(G1202/G1204)-1</f>
        <v>1.8435876801521589E-2</v>
      </c>
      <c r="H1203" s="202">
        <f>(H1202/H1204)-1</f>
        <v>0</v>
      </c>
      <c r="I1203" s="202">
        <f>(I1202/I1204)-1</f>
        <v>-0.2965423524082742</v>
      </c>
      <c r="J1203" s="202">
        <f>(J1202/J1204)-1</f>
        <v>1.8928639030853622E-2</v>
      </c>
      <c r="K1203" s="177"/>
      <c r="L1203" s="177"/>
      <c r="M1203" s="178"/>
      <c r="N1203" s="238"/>
      <c r="O1203" s="238"/>
      <c r="P1203" s="238"/>
      <c r="Q1203" s="238"/>
      <c r="R1203" s="238"/>
      <c r="S1203" s="178"/>
      <c r="T1203" s="180"/>
      <c r="U1203" s="189" t="str">
        <f>IFERROR(IF(Tableau3[[#This Row],[Dettes]]=0,"",(Tableau3[[#This Row],[Dettes]]/Tableau3[[#This Row],[EBE]])),"")</f>
        <v/>
      </c>
      <c r="V1203" s="190" t="str">
        <f>IFERROR(Tableau3[[#This Row],[Fonds propres]]/Tableau3[[#This Row],[Total Bilan]],"")</f>
        <v/>
      </c>
      <c r="W1203" s="180"/>
      <c r="Y1203" s="180"/>
      <c r="Z1203" s="192" t="str">
        <f>IFERROR(Tableau3[[#This Row],[Chiffre d''affaires]]/Tableau3[[#This Row],[Salariés]],"")</f>
        <v/>
      </c>
      <c r="AA1203" s="188"/>
      <c r="AB1203" s="188"/>
      <c r="AC1203" s="177" t="s">
        <v>834</v>
      </c>
    </row>
    <row r="1204" spans="1:29" ht="20.25" customHeight="1">
      <c r="A1204" s="217"/>
      <c r="E1204" s="187">
        <v>107.22</v>
      </c>
      <c r="F1204" s="178">
        <v>2020</v>
      </c>
      <c r="G1204" s="188">
        <v>27338000000</v>
      </c>
      <c r="H1204" s="188">
        <f>I1204+1831000000</f>
        <v>8454000000</v>
      </c>
      <c r="I1204" s="188">
        <v>6623000000</v>
      </c>
      <c r="J1204" s="188">
        <v>5283000000</v>
      </c>
      <c r="K1204" s="188">
        <v>6503000000</v>
      </c>
      <c r="L1204" s="188">
        <v>29716000000</v>
      </c>
      <c r="M1204" s="194">
        <f>L1204/P1204</f>
        <v>24.188764862146606</v>
      </c>
      <c r="N1204" s="190">
        <f>J1204/L1204</f>
        <v>0.17778301251850856</v>
      </c>
      <c r="O1204" s="190">
        <f>(I1204*0.75)/(K1206+L1206)</f>
        <v>0.12726096536175446</v>
      </c>
      <c r="P1204" s="188">
        <v>1228504232</v>
      </c>
      <c r="Q1204" s="188">
        <f>P1204*E1204</f>
        <v>131720223755.03999</v>
      </c>
      <c r="R1204" s="195">
        <f>Q1204/L1204</f>
        <v>4.4326364165782737</v>
      </c>
      <c r="S1204" s="197">
        <f>(Q1204+K1204)/H1204</f>
        <v>16.350038296077592</v>
      </c>
      <c r="T1204" s="180">
        <v>6000000000</v>
      </c>
      <c r="U1204" s="189">
        <f>IFERROR(IF(Tableau3[[#This Row],[Dettes]]=0,"",(Tableau3[[#This Row],[Dettes]]/Tableau3[[#This Row],[EBE]])),"")</f>
        <v>0.76922167021528276</v>
      </c>
      <c r="V1204" s="190">
        <f>IFERROR(Tableau3[[#This Row],[Fonds propres]]/Tableau3[[#This Row],[Total Bilan]],"")</f>
        <v>0.50831337666780707</v>
      </c>
      <c r="W1204" s="180">
        <v>58460000000</v>
      </c>
      <c r="Y1204" s="180">
        <v>102430</v>
      </c>
      <c r="Z1204" s="192">
        <f>IFERROR(Tableau3[[#This Row],[Chiffre d''affaires]]/Tableau3[[#This Row],[Salariés]],"")</f>
        <v>266894.46451234992</v>
      </c>
      <c r="AA1204" s="188"/>
      <c r="AB1204" s="188"/>
      <c r="AC1204" s="177" t="s">
        <v>835</v>
      </c>
    </row>
    <row r="1205" spans="1:29" ht="20.25" customHeight="1">
      <c r="A1205" s="217"/>
      <c r="G1205" s="202">
        <f>(G1204/G1206)-1</f>
        <v>-7.8031430334264407E-3</v>
      </c>
      <c r="H1205" s="202">
        <f>(H1204/H1206)-1</f>
        <v>0.33238770685579189</v>
      </c>
      <c r="I1205" s="202">
        <f>(I1204/I1206)-1</f>
        <v>0.48066174826738206</v>
      </c>
      <c r="J1205" s="202">
        <f>(J1204/J1206)-1</f>
        <v>0.56765578635014835</v>
      </c>
      <c r="K1205" s="188"/>
      <c r="L1205" s="188"/>
      <c r="M1205" s="178"/>
      <c r="N1205" s="178"/>
      <c r="O1205" s="178"/>
      <c r="P1205" s="188"/>
      <c r="Q1205" s="178"/>
      <c r="R1205" s="178"/>
      <c r="S1205" s="178"/>
      <c r="T1205" s="180"/>
      <c r="U1205" s="189" t="str">
        <f>IFERROR(IF(Tableau3[[#This Row],[Dettes]]=0,"",(Tableau3[[#This Row],[Dettes]]/Tableau3[[#This Row],[EBE]])),"")</f>
        <v/>
      </c>
      <c r="V1205" s="190" t="str">
        <f>IFERROR(Tableau3[[#This Row],[Fonds propres]]/Tableau3[[#This Row],[Total Bilan]],"")</f>
        <v/>
      </c>
      <c r="W1205" s="180"/>
      <c r="Y1205" s="180"/>
      <c r="Z1205" s="192" t="str">
        <f>IFERROR(Tableau3[[#This Row],[Chiffre d''affaires]]/Tableau3[[#This Row],[Salariés]],"")</f>
        <v/>
      </c>
      <c r="AA1205" s="188"/>
      <c r="AB1205" s="188"/>
      <c r="AC1205" s="177" t="s">
        <v>836</v>
      </c>
    </row>
    <row r="1206" spans="1:29" ht="20.25" customHeight="1">
      <c r="A1206" s="217"/>
      <c r="E1206" s="178">
        <v>122.1</v>
      </c>
      <c r="F1206" s="178">
        <v>2019</v>
      </c>
      <c r="G1206" s="188">
        <v>27553000000</v>
      </c>
      <c r="H1206" s="188">
        <f>I1206+1872000000</f>
        <v>6345000000</v>
      </c>
      <c r="I1206" s="188">
        <v>4473000000</v>
      </c>
      <c r="J1206" s="188">
        <v>3370000000</v>
      </c>
      <c r="K1206" s="188">
        <v>8286000000</v>
      </c>
      <c r="L1206" s="188">
        <v>30746000000</v>
      </c>
      <c r="M1206" s="194">
        <f>L1206/P1206</f>
        <v>25.027269027269028</v>
      </c>
      <c r="N1206" s="190">
        <f>J1206/L1206</f>
        <v>0.10960775385415988</v>
      </c>
      <c r="O1206" s="190">
        <f>(I1206*0.75)/(K1208+L1208)</f>
        <v>0.10709497206703911</v>
      </c>
      <c r="P1206" s="188">
        <v>1228500000</v>
      </c>
      <c r="Q1206" s="188">
        <f>P1206*E1206</f>
        <v>149999850000</v>
      </c>
      <c r="R1206" s="195">
        <f>Q1206/L1206</f>
        <v>4.8786785272881028</v>
      </c>
      <c r="S1206" s="197">
        <f>(Q1206+K1206)/H1206</f>
        <v>24.946548463356972</v>
      </c>
      <c r="T1206" s="180">
        <v>2680000000</v>
      </c>
      <c r="U1206" s="189">
        <f>IFERROR(IF(Tableau3[[#This Row],[Dettes]]=0,"",(Tableau3[[#This Row],[Dettes]]/Tableau3[[#This Row],[EBE]])),"")</f>
        <v>1.3059101654846337</v>
      </c>
      <c r="V1206" s="190">
        <f>IFERROR(Tableau3[[#This Row],[Fonds propres]]/Tableau3[[#This Row],[Total Bilan]],"")</f>
        <v>0.51141051230871593</v>
      </c>
      <c r="W1206" s="180">
        <v>60120000000</v>
      </c>
      <c r="Y1206" s="180">
        <v>100330</v>
      </c>
      <c r="Z1206" s="192">
        <f>IFERROR(Tableau3[[#This Row],[Chiffre d''affaires]]/Tableau3[[#This Row],[Salariés]],"")</f>
        <v>274623.74165254663</v>
      </c>
      <c r="AA1206" s="188"/>
      <c r="AB1206" s="188"/>
      <c r="AC1206" s="177" t="s">
        <v>837</v>
      </c>
    </row>
    <row r="1207" spans="1:29" ht="20.25" customHeight="1">
      <c r="A1207" s="217"/>
      <c r="G1207" s="202">
        <f>(G1206/G1208)-1</f>
        <v>0.11514489234256109</v>
      </c>
      <c r="H1207" s="202">
        <f>(H1206/H1208)-1</f>
        <v>0.13303571428571437</v>
      </c>
      <c r="I1207" s="202">
        <f>(I1206/I1208)-1</f>
        <v>-0.2156759600210415</v>
      </c>
      <c r="J1207" s="202">
        <f>(J1206/J1208)-1</f>
        <v>-0.17563600782778865</v>
      </c>
      <c r="K1207" s="188"/>
      <c r="L1207" s="188"/>
      <c r="M1207" s="178"/>
      <c r="N1207" s="178"/>
      <c r="O1207" s="178"/>
      <c r="P1207" s="188"/>
      <c r="Q1207" s="178"/>
      <c r="R1207" s="178"/>
      <c r="S1207" s="178"/>
      <c r="T1207" s="180"/>
      <c r="U1207" s="189" t="str">
        <f>IFERROR(IF(Tableau3[[#This Row],[Dettes]]=0,"",(Tableau3[[#This Row],[Dettes]]/Tableau3[[#This Row],[EBE]])),"")</f>
        <v/>
      </c>
      <c r="V1207" s="190" t="str">
        <f>IFERROR(Tableau3[[#This Row],[Fonds propres]]/Tableau3[[#This Row],[Total Bilan]],"")</f>
        <v/>
      </c>
      <c r="W1207" s="180"/>
      <c r="Y1207" s="180"/>
      <c r="Z1207" s="192" t="str">
        <f>IFERROR(Tableau3[[#This Row],[Chiffre d''affaires]]/Tableau3[[#This Row],[Salariés]],"")</f>
        <v/>
      </c>
      <c r="AA1207" s="188"/>
      <c r="AB1207" s="188"/>
      <c r="AC1207" s="177" t="s">
        <v>838</v>
      </c>
    </row>
    <row r="1208" spans="1:29" ht="20.25" customHeight="1">
      <c r="A1208" s="217"/>
      <c r="E1208" s="178">
        <v>84.3</v>
      </c>
      <c r="F1208" s="178">
        <v>2018</v>
      </c>
      <c r="G1208" s="188">
        <v>24708000000</v>
      </c>
      <c r="H1208" s="188">
        <v>5600000000</v>
      </c>
      <c r="I1208" s="188">
        <v>5703000000</v>
      </c>
      <c r="J1208" s="188">
        <v>4088000000</v>
      </c>
      <c r="K1208" s="188">
        <v>2493000000</v>
      </c>
      <c r="L1208" s="188">
        <v>28832000000</v>
      </c>
      <c r="M1208" s="194">
        <f>L1208/P1208</f>
        <v>23.469271469271469</v>
      </c>
      <c r="N1208" s="190">
        <f>J1208/L1208</f>
        <v>0.14178690344062153</v>
      </c>
      <c r="O1208" s="190">
        <f>(I1208*0.75)/(K1210+L1210)</f>
        <v>0.15848710538016897</v>
      </c>
      <c r="P1208" s="188">
        <v>1228500000</v>
      </c>
      <c r="Q1208" s="188">
        <f>P1208*E1208</f>
        <v>103562550000</v>
      </c>
      <c r="R1208" s="195">
        <f>Q1208/L1208</f>
        <v>3.5919308407325192</v>
      </c>
      <c r="S1208" s="197">
        <f>(Q1208+K1208)/H1208</f>
        <v>18.938491071428572</v>
      </c>
      <c r="T1208" s="180">
        <v>2850000000</v>
      </c>
      <c r="U1208" s="189">
        <f>IFERROR(IF(Tableau3[[#This Row],[Dettes]]=0,"",(Tableau3[[#This Row],[Dettes]]/Tableau3[[#This Row],[EBE]])),"")</f>
        <v>0.44517857142857142</v>
      </c>
      <c r="V1208" s="190">
        <f>IFERROR(Tableau3[[#This Row],[Fonds propres]]/Tableau3[[#This Row],[Total Bilan]],"")</f>
        <v>0.55984466019417478</v>
      </c>
      <c r="W1208" s="180">
        <v>51500000000</v>
      </c>
      <c r="Y1208" s="180"/>
      <c r="Z1208" s="192" t="str">
        <f>IFERROR(Tableau3[[#This Row],[Chiffre d''affaires]]/Tableau3[[#This Row],[Salariés]],"")</f>
        <v/>
      </c>
      <c r="AA1208" s="188"/>
      <c r="AB1208" s="188"/>
      <c r="AC1208" s="177" t="s">
        <v>839</v>
      </c>
    </row>
    <row r="1209" spans="1:29" ht="20.25" customHeight="1">
      <c r="A1209" s="217"/>
      <c r="G1209" s="202">
        <f>(G1208/G1210)-1</f>
        <v>5.3152039555006247E-2</v>
      </c>
      <c r="H1209" s="202">
        <f>(H1208/H1210)-1</f>
        <v>0.11420612813370479</v>
      </c>
      <c r="I1209" s="202">
        <f>(I1208/I1210)-1</f>
        <v>0.16936641377896255</v>
      </c>
      <c r="J1209" s="202">
        <f>(J1208/J1210)-1</f>
        <v>7.8895463510848529E-3</v>
      </c>
      <c r="K1209" s="188"/>
      <c r="L1209" s="188"/>
      <c r="M1209" s="178"/>
      <c r="N1209" s="178"/>
      <c r="O1209" s="178"/>
      <c r="P1209" s="188"/>
      <c r="Q1209" s="178"/>
      <c r="R1209" s="178"/>
      <c r="S1209" s="178"/>
      <c r="T1209" s="180"/>
      <c r="U1209" s="189" t="str">
        <f>IFERROR(IF(Tableau3[[#This Row],[Dettes]]=0,"",(Tableau3[[#This Row],[Dettes]]/Tableau3[[#This Row],[EBE]])),"")</f>
        <v/>
      </c>
      <c r="V1209" s="190" t="str">
        <f>IFERROR(Tableau3[[#This Row],[Fonds propres]]/Tableau3[[#This Row],[Total Bilan]],"")</f>
        <v/>
      </c>
      <c r="W1209" s="180"/>
      <c r="Y1209" s="180"/>
      <c r="Z1209" s="192" t="str">
        <f>IFERROR(Tableau3[[#This Row],[Chiffre d''affaires]]/Tableau3[[#This Row],[Salariés]],"")</f>
        <v/>
      </c>
      <c r="AA1209" s="188"/>
      <c r="AB1209" s="188"/>
      <c r="AC1209" s="177" t="s">
        <v>840</v>
      </c>
    </row>
    <row r="1210" spans="1:29" ht="20.25" customHeight="1">
      <c r="A1210" s="217"/>
      <c r="E1210" s="178">
        <v>93.4</v>
      </c>
      <c r="F1210" s="178">
        <v>2017</v>
      </c>
      <c r="G1210" s="188">
        <v>23461000000</v>
      </c>
      <c r="H1210" s="188">
        <v>5026000000</v>
      </c>
      <c r="I1210" s="188">
        <v>4877000000</v>
      </c>
      <c r="J1210" s="188">
        <v>4056000000</v>
      </c>
      <c r="K1210" s="188">
        <v>1479000000</v>
      </c>
      <c r="L1210" s="188">
        <v>25509000000</v>
      </c>
      <c r="M1210" s="194">
        <f>L1210/P1210</f>
        <v>20.764346764346765</v>
      </c>
      <c r="N1210" s="190">
        <f>J1210/L1210</f>
        <v>0.15900270492767257</v>
      </c>
      <c r="O1210" s="190">
        <f>(I1210*0.75)/(K1212+L1212)</f>
        <v>0.12386975515594839</v>
      </c>
      <c r="P1210" s="188">
        <v>1228500000</v>
      </c>
      <c r="Q1210" s="188">
        <f>P1210*E1210</f>
        <v>114741900000</v>
      </c>
      <c r="R1210" s="195">
        <f>Q1210/L1210</f>
        <v>4.4980947900740915</v>
      </c>
      <c r="S1210" s="197">
        <f>(Q1210+K1210)/H1210</f>
        <v>23.123935535216873</v>
      </c>
      <c r="T1210" s="180"/>
      <c r="U1210" s="189">
        <f>IFERROR(IF(Tableau3[[#This Row],[Dettes]]=0,"",(Tableau3[[#This Row],[Dettes]]/Tableau3[[#This Row],[EBE]])),"")</f>
        <v>0.29426979705531237</v>
      </c>
      <c r="V1210" s="190" t="str">
        <f>IFERROR(Tableau3[[#This Row],[Fonds propres]]/Tableau3[[#This Row],[Total Bilan]],"")</f>
        <v/>
      </c>
      <c r="W1210" s="180"/>
      <c r="Y1210" s="180"/>
      <c r="Z1210" s="192" t="str">
        <f>IFERROR(Tableau3[[#This Row],[Chiffre d''affaires]]/Tableau3[[#This Row],[Salariés]],"")</f>
        <v/>
      </c>
      <c r="AA1210" s="188"/>
      <c r="AB1210" s="188"/>
      <c r="AC1210" s="177" t="s">
        <v>841</v>
      </c>
    </row>
    <row r="1211" spans="1:29" ht="20.25" customHeight="1">
      <c r="A1211" s="217"/>
      <c r="G1211" s="202">
        <f>(G1210/G1212)-1</f>
        <v>6.3412201976248861E-2</v>
      </c>
      <c r="H1211" s="202">
        <f>(H1210/H1212)-1</f>
        <v>3.3518404277195213E-2</v>
      </c>
      <c r="I1211" s="202">
        <f>(I1210/I1212)-1</f>
        <v>-5.0243427458617318E-2</v>
      </c>
      <c r="J1211" s="202">
        <f>(J1210/J1212)-1</f>
        <v>0.11612548156301594</v>
      </c>
      <c r="K1211" s="188"/>
      <c r="L1211" s="188"/>
      <c r="M1211" s="178"/>
      <c r="N1211" s="178"/>
      <c r="O1211" s="178"/>
      <c r="P1211" s="188"/>
      <c r="Q1211" s="178"/>
      <c r="R1211" s="178"/>
      <c r="S1211" s="178"/>
      <c r="T1211" s="180"/>
      <c r="U1211" s="189" t="str">
        <f>IFERROR(IF(Tableau3[[#This Row],[Dettes]]=0,"",(Tableau3[[#This Row],[Dettes]]/Tableau3[[#This Row],[EBE]])),"")</f>
        <v/>
      </c>
      <c r="V1211" s="190" t="str">
        <f>IFERROR(Tableau3[[#This Row],[Fonds propres]]/Tableau3[[#This Row],[Total Bilan]],"")</f>
        <v/>
      </c>
      <c r="W1211" s="180"/>
      <c r="Y1211" s="180"/>
      <c r="Z1211" s="192" t="str">
        <f>IFERROR(Tableau3[[#This Row],[Chiffre d''affaires]]/Tableau3[[#This Row],[Salariés]],"")</f>
        <v/>
      </c>
      <c r="AA1211" s="188"/>
      <c r="AB1211" s="188"/>
      <c r="AC1211" s="177" t="s">
        <v>842</v>
      </c>
    </row>
    <row r="1212" spans="1:29" ht="20.25" customHeight="1">
      <c r="A1212" s="217"/>
      <c r="E1212" s="178">
        <v>83.5</v>
      </c>
      <c r="F1212" s="178">
        <v>2016</v>
      </c>
      <c r="G1212" s="188">
        <v>22062000000</v>
      </c>
      <c r="H1212" s="188">
        <v>4863000000</v>
      </c>
      <c r="I1212" s="188">
        <v>5135000000</v>
      </c>
      <c r="J1212" s="188">
        <v>3634000000</v>
      </c>
      <c r="K1212" s="188">
        <v>3153000000</v>
      </c>
      <c r="L1212" s="188">
        <v>26376000000</v>
      </c>
      <c r="M1212" s="194">
        <f>L1212/P1212</f>
        <v>21.470085470085468</v>
      </c>
      <c r="N1212" s="190">
        <f>J1212/L1212</f>
        <v>0.13777676675765849</v>
      </c>
      <c r="O1212" s="190">
        <f>(I1212*0.75)/(K1214+L1214)</f>
        <v>0.13334429748632365</v>
      </c>
      <c r="P1212" s="188">
        <v>1228500000</v>
      </c>
      <c r="Q1212" s="188">
        <f>P1212*E1212</f>
        <v>102579750000</v>
      </c>
      <c r="R1212" s="195">
        <f>Q1212/L1212</f>
        <v>3.8891321656050954</v>
      </c>
      <c r="S1212" s="197">
        <f>(Q1212+K1212)/H1212</f>
        <v>21.742288710672426</v>
      </c>
      <c r="T1212" s="180"/>
      <c r="U1212" s="189">
        <f>IFERROR(IF(Tableau3[[#This Row],[Dettes]]=0,"",(Tableau3[[#This Row],[Dettes]]/Tableau3[[#This Row],[EBE]])),"")</f>
        <v>0.64836520666255393</v>
      </c>
      <c r="V1212" s="190" t="str">
        <f>IFERROR(Tableau3[[#This Row],[Fonds propres]]/Tableau3[[#This Row],[Total Bilan]],"")</f>
        <v/>
      </c>
      <c r="W1212" s="180"/>
      <c r="Y1212" s="180"/>
      <c r="Z1212" s="192" t="str">
        <f>IFERROR(Tableau3[[#This Row],[Chiffre d''affaires]]/Tableau3[[#This Row],[Salariés]],"")</f>
        <v/>
      </c>
      <c r="AA1212" s="188"/>
      <c r="AB1212" s="188"/>
      <c r="AC1212" s="177" t="s">
        <v>843</v>
      </c>
    </row>
    <row r="1213" spans="1:29" ht="20.25" customHeight="1">
      <c r="A1213" s="217"/>
      <c r="G1213" s="202">
        <f>(G1212/G1214)-1</f>
        <v>6.1030154378877599E-2</v>
      </c>
      <c r="H1213" s="202">
        <f>(H1212/H1214)-1</f>
        <v>0.21849160611375584</v>
      </c>
      <c r="I1213" s="202">
        <f>(I1212/I1214)-1</f>
        <v>0.20766698024459074</v>
      </c>
      <c r="J1213" s="202">
        <f>(J1212/J1214)-1</f>
        <v>0.18913612565445037</v>
      </c>
      <c r="K1213" s="188"/>
      <c r="L1213" s="188"/>
      <c r="M1213" s="194"/>
      <c r="N1213" s="190"/>
      <c r="O1213" s="190"/>
      <c r="P1213" s="188"/>
      <c r="Q1213" s="188"/>
      <c r="R1213" s="195"/>
      <c r="S1213" s="197"/>
      <c r="T1213" s="180"/>
      <c r="U1213" s="189" t="str">
        <f>IFERROR(IF(Tableau3[[#This Row],[Dettes]]=0,"",(Tableau3[[#This Row],[Dettes]]/Tableau3[[#This Row],[EBE]])),"")</f>
        <v/>
      </c>
      <c r="V1213" s="190" t="str">
        <f>IFERROR(Tableau3[[#This Row],[Fonds propres]]/Tableau3[[#This Row],[Total Bilan]],"")</f>
        <v/>
      </c>
      <c r="W1213" s="180"/>
      <c r="Y1213" s="180"/>
      <c r="Z1213" s="192" t="str">
        <f>IFERROR(Tableau3[[#This Row],[Chiffre d''affaires]]/Tableau3[[#This Row],[Salariés]],"")</f>
        <v/>
      </c>
      <c r="AA1213" s="188"/>
      <c r="AB1213" s="188"/>
      <c r="AC1213" s="177" t="s">
        <v>844</v>
      </c>
    </row>
    <row r="1214" spans="1:29" ht="20.25" customHeight="1">
      <c r="A1214" s="217"/>
      <c r="E1214" s="178">
        <v>73.400000000000006</v>
      </c>
      <c r="F1214" s="178">
        <v>2015</v>
      </c>
      <c r="G1214" s="188">
        <v>20793000000</v>
      </c>
      <c r="H1214" s="188">
        <v>3991000000</v>
      </c>
      <c r="I1214" s="188">
        <v>4252000000</v>
      </c>
      <c r="J1214" s="188">
        <v>3056000000</v>
      </c>
      <c r="K1214" s="188">
        <v>5615000000</v>
      </c>
      <c r="L1214" s="188">
        <v>23267000000</v>
      </c>
      <c r="M1214" s="194">
        <f>L1214/P1214</f>
        <v>18.939356939356941</v>
      </c>
      <c r="N1214" s="190">
        <f>J1214/L1214</f>
        <v>0.13134482314006962</v>
      </c>
      <c r="O1214" s="190">
        <f>(I1214*0.75)/(K1216+L1216)</f>
        <v>0.11735482446456172</v>
      </c>
      <c r="P1214" s="188">
        <v>1228500000</v>
      </c>
      <c r="Q1214" s="188">
        <f>P1214*E1214</f>
        <v>90171900000</v>
      </c>
      <c r="R1214" s="195">
        <f>Q1214/L1214</f>
        <v>3.8755275712382344</v>
      </c>
      <c r="S1214" s="197">
        <f>(Q1214+K1214)/H1214</f>
        <v>24.00072663492859</v>
      </c>
      <c r="T1214" s="180"/>
      <c r="U1214" s="189">
        <f>IFERROR(IF(Tableau3[[#This Row],[Dettes]]=0,"",(Tableau3[[#This Row],[Dettes]]/Tableau3[[#This Row],[EBE]])),"")</f>
        <v>1.4069155600100225</v>
      </c>
      <c r="V1214" s="190" t="str">
        <f>IFERROR(Tableau3[[#This Row],[Fonds propres]]/Tableau3[[#This Row],[Total Bilan]],"")</f>
        <v/>
      </c>
      <c r="W1214" s="180"/>
      <c r="Y1214" s="180"/>
      <c r="Z1214" s="192" t="str">
        <f>IFERROR(Tableau3[[#This Row],[Chiffre d''affaires]]/Tableau3[[#This Row],[Salariés]],"")</f>
        <v/>
      </c>
      <c r="AA1214" s="188"/>
      <c r="AB1214" s="188"/>
      <c r="AC1214" s="177" t="s">
        <v>845</v>
      </c>
    </row>
    <row r="1215" spans="1:29" ht="20.25" customHeight="1">
      <c r="A1215" s="217"/>
      <c r="G1215" s="202">
        <f>(G1214/G1216)-1</f>
        <v>0.18411161731207293</v>
      </c>
      <c r="H1215" s="202">
        <f>(H1214/H1216)-1</f>
        <v>-8.3582089552238781E-2</v>
      </c>
      <c r="I1215" s="202">
        <f>(I1214/I1216)-1</f>
        <v>-1.824059108750864E-2</v>
      </c>
      <c r="J1215" s="202">
        <f>(J1214/J1216)-1</f>
        <v>-6.8292682926829218E-2</v>
      </c>
      <c r="K1215" s="188"/>
      <c r="L1215" s="188"/>
      <c r="M1215" s="194"/>
      <c r="N1215" s="190"/>
      <c r="O1215" s="190"/>
      <c r="P1215" s="188"/>
      <c r="Q1215" s="188"/>
      <c r="R1215" s="195"/>
      <c r="S1215" s="197"/>
      <c r="T1215" s="180"/>
      <c r="U1215" s="189" t="str">
        <f>IFERROR(IF(Tableau3[[#This Row],[Dettes]]=0,"",(Tableau3[[#This Row],[Dettes]]/Tableau3[[#This Row],[EBE]])),"")</f>
        <v/>
      </c>
      <c r="V1215" s="190" t="str">
        <f>IFERROR(Tableau3[[#This Row],[Fonds propres]]/Tableau3[[#This Row],[Total Bilan]],"")</f>
        <v/>
      </c>
      <c r="W1215" s="180"/>
      <c r="Y1215" s="180"/>
      <c r="Z1215" s="192" t="str">
        <f>IFERROR(Tableau3[[#This Row],[Chiffre d''affaires]]/Tableau3[[#This Row],[Salariés]],"")</f>
        <v/>
      </c>
      <c r="AA1215" s="188"/>
      <c r="AB1215" s="188"/>
      <c r="AC1215" s="177" t="s">
        <v>846</v>
      </c>
    </row>
    <row r="1216" spans="1:29" ht="20.25" customHeight="1">
      <c r="A1216" s="217"/>
      <c r="E1216" s="178">
        <v>58.2</v>
      </c>
      <c r="F1216" s="178">
        <v>2014</v>
      </c>
      <c r="G1216" s="188">
        <v>17560000000</v>
      </c>
      <c r="H1216" s="188">
        <v>4355000000</v>
      </c>
      <c r="I1216" s="188">
        <v>4331000000</v>
      </c>
      <c r="J1216" s="188">
        <v>3280000000</v>
      </c>
      <c r="K1216" s="188">
        <v>7670000000</v>
      </c>
      <c r="L1216" s="188">
        <v>19504000000</v>
      </c>
      <c r="M1216" s="194">
        <f>L1216/P1216</f>
        <v>15.876271876271876</v>
      </c>
      <c r="N1216" s="190">
        <f>J1216/L1216</f>
        <v>0.16817063166529941</v>
      </c>
      <c r="O1216" s="190">
        <f>(I1216*0.75)/(K1218+L1218)</f>
        <v>0.18554006968641115</v>
      </c>
      <c r="P1216" s="188">
        <v>1228500000</v>
      </c>
      <c r="Q1216" s="188">
        <f>P1216*E1216</f>
        <v>71498700000</v>
      </c>
      <c r="R1216" s="195">
        <f>Q1216/L1216</f>
        <v>3.6658480311730925</v>
      </c>
      <c r="S1216" s="197">
        <f>(Q1216+K1216)/H1216</f>
        <v>18.178805970149252</v>
      </c>
      <c r="T1216" s="180"/>
      <c r="U1216" s="189">
        <f>IFERROR(IF(Tableau3[[#This Row],[Dettes]]=0,"",(Tableau3[[#This Row],[Dettes]]/Tableau3[[#This Row],[EBE]])),"")</f>
        <v>1.7611940298507462</v>
      </c>
      <c r="V1216" s="190" t="str">
        <f>IFERROR(Tableau3[[#This Row],[Fonds propres]]/Tableau3[[#This Row],[Total Bilan]],"")</f>
        <v/>
      </c>
      <c r="W1216" s="180"/>
      <c r="Y1216" s="180"/>
      <c r="Z1216" s="192" t="str">
        <f>IFERROR(Tableau3[[#This Row],[Chiffre d''affaires]]/Tableau3[[#This Row],[Salariés]],"")</f>
        <v/>
      </c>
      <c r="AA1216" s="188"/>
      <c r="AB1216" s="188"/>
      <c r="AC1216" s="177" t="s">
        <v>847</v>
      </c>
    </row>
    <row r="1217" spans="1:29" ht="20.25" customHeight="1">
      <c r="A1217" s="217"/>
      <c r="G1217" s="202">
        <f>(G1216/G1218)-1</f>
        <v>4.4305679452869562E-2</v>
      </c>
      <c r="H1217" s="202">
        <f>(H1216/H1218)-1</f>
        <v>-9.3266606005459884E-3</v>
      </c>
      <c r="I1217" s="202">
        <f>(I1216/I1218)-1</f>
        <v>-3.304308997544092E-2</v>
      </c>
      <c r="J1217" s="202">
        <f>(J1216/J1218)-1</f>
        <v>-1.3533834586466176E-2</v>
      </c>
      <c r="K1217" s="188"/>
      <c r="L1217" s="188"/>
      <c r="M1217" s="194"/>
      <c r="N1217" s="190"/>
      <c r="O1217" s="190"/>
      <c r="P1217" s="188"/>
      <c r="Q1217" s="188"/>
      <c r="R1217" s="195"/>
      <c r="S1217" s="197"/>
      <c r="T1217" s="180"/>
      <c r="U1217" s="189" t="str">
        <f>IFERROR(IF(Tableau3[[#This Row],[Dettes]]=0,"",(Tableau3[[#This Row],[Dettes]]/Tableau3[[#This Row],[EBE]])),"")</f>
        <v/>
      </c>
      <c r="V1217" s="190" t="str">
        <f>IFERROR(Tableau3[[#This Row],[Fonds propres]]/Tableau3[[#This Row],[Total Bilan]],"")</f>
        <v/>
      </c>
      <c r="W1217" s="180"/>
      <c r="Y1217" s="180"/>
      <c r="Z1217" s="192" t="str">
        <f>IFERROR(Tableau3[[#This Row],[Chiffre d''affaires]]/Tableau3[[#This Row],[Salariés]],"")</f>
        <v/>
      </c>
      <c r="AA1217" s="188"/>
      <c r="AB1217" s="188"/>
      <c r="AC1217" s="177" t="s">
        <v>848</v>
      </c>
    </row>
    <row r="1218" spans="1:29" ht="20.25" customHeight="1">
      <c r="A1218" s="217"/>
      <c r="E1218" s="178">
        <v>61.7</v>
      </c>
      <c r="F1218" s="178">
        <v>2013</v>
      </c>
      <c r="G1218" s="188">
        <v>16815000000</v>
      </c>
      <c r="H1218" s="188">
        <v>4396000000</v>
      </c>
      <c r="I1218" s="188">
        <v>4479000000</v>
      </c>
      <c r="J1218" s="188">
        <v>3325000000</v>
      </c>
      <c r="K1218" s="188">
        <v>1467000000</v>
      </c>
      <c r="L1218" s="188">
        <v>16040000000</v>
      </c>
      <c r="M1218" s="194">
        <f>L1218/P1218</f>
        <v>13.056573056573056</v>
      </c>
      <c r="N1218" s="190">
        <f>J1218/L1218</f>
        <v>0.20729426433915213</v>
      </c>
      <c r="O1218" s="190">
        <f>(I1218*0.75)/(K1220+L1220)</f>
        <v>0.20203584531184218</v>
      </c>
      <c r="P1218" s="188">
        <v>1228500000</v>
      </c>
      <c r="Q1218" s="188">
        <f>P1218*E1218</f>
        <v>75798450000</v>
      </c>
      <c r="R1218" s="195">
        <f>Q1218/L1218</f>
        <v>4.7255891521197011</v>
      </c>
      <c r="S1218" s="197">
        <f>(Q1218+K1218)/H1218</f>
        <v>17.576308007279344</v>
      </c>
      <c r="T1218" s="180"/>
      <c r="U1218" s="189">
        <f>IFERROR(IF(Tableau3[[#This Row],[Dettes]]=0,"",(Tableau3[[#This Row],[Dettes]]/Tableau3[[#This Row],[EBE]])),"")</f>
        <v>0.33371246587807096</v>
      </c>
      <c r="V1218" s="190" t="str">
        <f>IFERROR(Tableau3[[#This Row],[Fonds propres]]/Tableau3[[#This Row],[Total Bilan]],"")</f>
        <v/>
      </c>
      <c r="W1218" s="180"/>
      <c r="Y1218" s="180"/>
      <c r="Z1218" s="192" t="str">
        <f>IFERROR(Tableau3[[#This Row],[Chiffre d''affaires]]/Tableau3[[#This Row],[Salariés]],"")</f>
        <v/>
      </c>
      <c r="AA1218" s="188"/>
      <c r="AB1218" s="188"/>
      <c r="AC1218" s="177" t="s">
        <v>849</v>
      </c>
    </row>
    <row r="1219" spans="1:29" ht="20.25" customHeight="1">
      <c r="A1219" s="217"/>
      <c r="G1219" s="202">
        <f>(G1218/G1220)-1</f>
        <v>3.6491401097207721E-2</v>
      </c>
      <c r="H1219" s="202">
        <f>(H1218/H1220)-1</f>
        <v>0.15806111696522662</v>
      </c>
      <c r="I1219" s="202">
        <f>(I1218/I1220)-1</f>
        <v>0.10838901262063838</v>
      </c>
      <c r="J1219" s="202">
        <f>(J1218/J1220)-1</f>
        <v>0.18622904031394927</v>
      </c>
      <c r="K1219" s="188"/>
      <c r="L1219" s="188"/>
      <c r="M1219" s="194"/>
      <c r="N1219" s="190"/>
      <c r="O1219" s="190"/>
      <c r="P1219" s="188"/>
      <c r="Q1219" s="188"/>
      <c r="R1219" s="195"/>
      <c r="S1219" s="197"/>
      <c r="T1219" s="180"/>
      <c r="U1219" s="189" t="str">
        <f>IFERROR(IF(Tableau3[[#This Row],[Dettes]]=0,"",(Tableau3[[#This Row],[Dettes]]/Tableau3[[#This Row],[EBE]])),"")</f>
        <v/>
      </c>
      <c r="V1219" s="190" t="str">
        <f>IFERROR(Tableau3[[#This Row],[Fonds propres]]/Tableau3[[#This Row],[Total Bilan]],"")</f>
        <v/>
      </c>
      <c r="W1219" s="180"/>
      <c r="Y1219" s="180"/>
      <c r="Z1219" s="192" t="str">
        <f>IFERROR(Tableau3[[#This Row],[Chiffre d''affaires]]/Tableau3[[#This Row],[Salariés]],"")</f>
        <v/>
      </c>
      <c r="AA1219" s="188"/>
      <c r="AB1219" s="188"/>
      <c r="AC1219" s="177" t="s">
        <v>850</v>
      </c>
    </row>
    <row r="1220" spans="1:29" ht="20.25" customHeight="1">
      <c r="A1220" s="217"/>
      <c r="E1220" s="178">
        <v>62.1</v>
      </c>
      <c r="F1220" s="178">
        <v>2012</v>
      </c>
      <c r="G1220" s="188">
        <v>16223000000</v>
      </c>
      <c r="H1220" s="188">
        <v>3796000000</v>
      </c>
      <c r="I1220" s="188">
        <v>4041000000</v>
      </c>
      <c r="J1220" s="188">
        <v>2803000000</v>
      </c>
      <c r="K1220" s="188">
        <v>2502000000</v>
      </c>
      <c r="L1220" s="188">
        <v>14125000000</v>
      </c>
      <c r="M1220" s="194">
        <f>L1220/P1220</f>
        <v>11.497761497761498</v>
      </c>
      <c r="N1220" s="190">
        <f>J1220/L1220</f>
        <v>0.19844247787610619</v>
      </c>
      <c r="O1220" s="190">
        <f>(I1220*0.75)/(K1220+L1220)</f>
        <v>0.18227882360016839</v>
      </c>
      <c r="P1220" s="188">
        <v>1228500000</v>
      </c>
      <c r="Q1220" s="188">
        <f>P1220*E1220</f>
        <v>76289850000</v>
      </c>
      <c r="R1220" s="195">
        <f>Q1220/L1220</f>
        <v>5.4010513274336285</v>
      </c>
      <c r="S1220" s="197">
        <f>(Q1220+K1220)/H1220</f>
        <v>20.75654636459431</v>
      </c>
      <c r="T1220" s="180"/>
      <c r="U1220" s="189">
        <f>IFERROR(IF(Tableau3[[#This Row],[Dettes]]=0,"",(Tableau3[[#This Row],[Dettes]]/Tableau3[[#This Row],[EBE]])),"")</f>
        <v>0.65911485774499479</v>
      </c>
      <c r="V1220" s="190" t="str">
        <f>IFERROR(Tableau3[[#This Row],[Fonds propres]]/Tableau3[[#This Row],[Total Bilan]],"")</f>
        <v/>
      </c>
      <c r="W1220" s="180"/>
      <c r="Y1220" s="180"/>
      <c r="Z1220" s="192" t="str">
        <f>IFERROR(Tableau3[[#This Row],[Chiffre d''affaires]]/Tableau3[[#This Row],[Salariés]],"")</f>
        <v/>
      </c>
      <c r="AA1220" s="188"/>
      <c r="AB1220" s="188"/>
      <c r="AC1220" s="177" t="s">
        <v>851</v>
      </c>
    </row>
    <row r="1221" spans="1:29" ht="20.25" customHeight="1">
      <c r="A1221" s="217"/>
      <c r="G1221" s="188"/>
      <c r="H1221" s="188"/>
      <c r="I1221" s="188"/>
      <c r="J1221" s="188"/>
      <c r="K1221" s="188"/>
      <c r="L1221" s="188"/>
      <c r="M1221" s="178"/>
      <c r="N1221" s="178"/>
      <c r="O1221" s="178"/>
      <c r="P1221" s="188"/>
      <c r="Q1221" s="178"/>
      <c r="R1221" s="178"/>
      <c r="S1221" s="178"/>
      <c r="T1221" s="180"/>
      <c r="U1221" s="189" t="str">
        <f>IFERROR(IF(Tableau3[[#This Row],[Dettes]]=0,"",(Tableau3[[#This Row],[Dettes]]/Tableau3[[#This Row],[EBE]])),"")</f>
        <v/>
      </c>
      <c r="V1221" s="190" t="str">
        <f>IFERROR(Tableau3[[#This Row],[Fonds propres]]/Tableau3[[#This Row],[Total Bilan]],"")</f>
        <v/>
      </c>
      <c r="W1221" s="180"/>
      <c r="Y1221" s="180"/>
      <c r="Z1221" s="192" t="str">
        <f>IFERROR(Tableau3[[#This Row],[Chiffre d''affaires]]/Tableau3[[#This Row],[Salariés]],"")</f>
        <v/>
      </c>
      <c r="AA1221" s="177"/>
      <c r="AC1221" s="177" t="s">
        <v>852</v>
      </c>
    </row>
    <row r="1222" spans="1:29" ht="20.25" customHeight="1">
      <c r="A1222" s="217"/>
      <c r="G1222" s="188"/>
      <c r="H1222" s="188"/>
      <c r="I1222" s="188"/>
      <c r="J1222" s="188"/>
      <c r="K1222" s="188"/>
      <c r="L1222" s="188"/>
      <c r="M1222" s="178"/>
      <c r="N1222" s="178"/>
      <c r="O1222" s="178"/>
      <c r="P1222" s="188"/>
      <c r="Q1222" s="178"/>
      <c r="R1222" s="178"/>
      <c r="S1222" s="178"/>
      <c r="T1222" s="180"/>
      <c r="U1222" s="189" t="str">
        <f>IFERROR(IF(Tableau3[[#This Row],[Dettes]]=0,"",(Tableau3[[#This Row],[Dettes]]/Tableau3[[#This Row],[EBE]])),"")</f>
        <v/>
      </c>
      <c r="V1222" s="190" t="str">
        <f>IFERROR(Tableau3[[#This Row],[Fonds propres]]/Tableau3[[#This Row],[Total Bilan]],"")</f>
        <v/>
      </c>
      <c r="W1222" s="180"/>
      <c r="Y1222" s="180"/>
      <c r="Z1222" s="192" t="str">
        <f>IFERROR(Tableau3[[#This Row],[Chiffre d''affaires]]/Tableau3[[#This Row],[Salariés]],"")</f>
        <v/>
      </c>
      <c r="AA1222" s="177"/>
      <c r="AC1222" s="177" t="s">
        <v>853</v>
      </c>
    </row>
    <row r="1223" spans="1:29" ht="20.25" customHeight="1">
      <c r="A1223" s="217"/>
      <c r="G1223" s="188"/>
      <c r="H1223" s="188"/>
      <c r="I1223" s="188"/>
      <c r="J1223" s="188"/>
      <c r="K1223" s="188"/>
      <c r="L1223" s="188"/>
      <c r="M1223" s="178"/>
      <c r="N1223" s="178"/>
      <c r="O1223" s="178"/>
      <c r="P1223" s="188"/>
      <c r="Q1223" s="178"/>
      <c r="R1223" s="178"/>
      <c r="S1223" s="178"/>
      <c r="T1223" s="180"/>
      <c r="U1223" s="189" t="str">
        <f>IFERROR(IF(Tableau3[[#This Row],[Dettes]]=0,"",(Tableau3[[#This Row],[Dettes]]/Tableau3[[#This Row],[EBE]])),"")</f>
        <v/>
      </c>
      <c r="V1223" s="190" t="str">
        <f>IFERROR(Tableau3[[#This Row],[Fonds propres]]/Tableau3[[#This Row],[Total Bilan]],"")</f>
        <v/>
      </c>
      <c r="W1223" s="180"/>
      <c r="Y1223" s="180"/>
      <c r="Z1223" s="192" t="str">
        <f>IFERROR(Tableau3[[#This Row],[Chiffre d''affaires]]/Tableau3[[#This Row],[Salariés]],"")</f>
        <v/>
      </c>
      <c r="AA1223" s="177"/>
    </row>
    <row r="1224" spans="1:29" ht="20.25" customHeight="1">
      <c r="A1224" s="217"/>
      <c r="G1224" s="188"/>
      <c r="H1224" s="188"/>
      <c r="I1224" s="188"/>
      <c r="J1224" s="188"/>
      <c r="K1224" s="188"/>
      <c r="L1224" s="188"/>
      <c r="M1224" s="178"/>
      <c r="N1224" s="178"/>
      <c r="O1224" s="178"/>
      <c r="P1224" s="188"/>
      <c r="Q1224" s="178"/>
      <c r="R1224" s="178"/>
      <c r="S1224" s="178"/>
      <c r="T1224" s="180"/>
      <c r="U1224" s="189" t="str">
        <f>IFERROR(IF(Tableau3[[#This Row],[Dettes]]=0,"",(Tableau3[[#This Row],[Dettes]]/Tableau3[[#This Row],[EBE]])),"")</f>
        <v/>
      </c>
      <c r="V1224" s="190" t="str">
        <f>IFERROR(Tableau3[[#This Row],[Fonds propres]]/Tableau3[[#This Row],[Total Bilan]],"")</f>
        <v/>
      </c>
      <c r="W1224" s="180"/>
      <c r="Y1224" s="180"/>
      <c r="Z1224" s="192" t="str">
        <f>IFERROR(Tableau3[[#This Row],[Chiffre d''affaires]]/Tableau3[[#This Row],[Salariés]],"")</f>
        <v/>
      </c>
      <c r="AA1224" s="177"/>
    </row>
    <row r="1225" spans="1:29" ht="20.25" customHeight="1">
      <c r="A1225" s="217"/>
      <c r="G1225" s="188"/>
      <c r="H1225" s="188"/>
      <c r="I1225" s="188"/>
      <c r="J1225" s="188"/>
      <c r="K1225" s="188"/>
      <c r="L1225" s="188"/>
      <c r="M1225" s="178"/>
      <c r="N1225" s="178"/>
      <c r="O1225" s="178"/>
      <c r="P1225" s="188"/>
      <c r="Q1225" s="178"/>
      <c r="R1225" s="178"/>
      <c r="S1225" s="178"/>
      <c r="T1225" s="180"/>
      <c r="U1225" s="189" t="str">
        <f>IFERROR(IF(Tableau3[[#This Row],[Dettes]]=0,"",(Tableau3[[#This Row],[Dettes]]/Tableau3[[#This Row],[EBE]])),"")</f>
        <v/>
      </c>
      <c r="V1225" s="190" t="str">
        <f>IFERROR(Tableau3[[#This Row],[Fonds propres]]/Tableau3[[#This Row],[Total Bilan]],"")</f>
        <v/>
      </c>
      <c r="W1225" s="180"/>
      <c r="Y1225" s="180"/>
      <c r="Z1225" s="192" t="str">
        <f>IFERROR(Tableau3[[#This Row],[Chiffre d''affaires]]/Tableau3[[#This Row],[Salariés]],"")</f>
        <v/>
      </c>
      <c r="AA1225" s="177"/>
    </row>
    <row r="1226" spans="1:29" ht="20.25" customHeight="1">
      <c r="A1226" s="217"/>
      <c r="G1226" s="188"/>
      <c r="H1226" s="188"/>
      <c r="I1226" s="188"/>
      <c r="J1226" s="188"/>
      <c r="K1226" s="188"/>
      <c r="L1226" s="188"/>
      <c r="M1226" s="178"/>
      <c r="N1226" s="178"/>
      <c r="O1226" s="178"/>
      <c r="P1226" s="188"/>
      <c r="Q1226" s="178"/>
      <c r="R1226" s="178"/>
      <c r="S1226" s="178"/>
      <c r="T1226" s="180"/>
      <c r="U1226" s="189" t="str">
        <f>IFERROR(IF(Tableau3[[#This Row],[Dettes]]=0,"",(Tableau3[[#This Row],[Dettes]]/Tableau3[[#This Row],[EBE]])),"")</f>
        <v/>
      </c>
      <c r="V1226" s="190" t="str">
        <f>IFERROR(Tableau3[[#This Row],[Fonds propres]]/Tableau3[[#This Row],[Total Bilan]],"")</f>
        <v/>
      </c>
      <c r="W1226" s="180"/>
      <c r="Y1226" s="180"/>
      <c r="Z1226" s="192" t="str">
        <f>IFERROR(Tableau3[[#This Row],[Chiffre d''affaires]]/Tableau3[[#This Row],[Salariés]],"")</f>
        <v/>
      </c>
      <c r="AA1226" s="177"/>
    </row>
    <row r="1227" spans="1:29" ht="20.25" customHeight="1">
      <c r="A1227" s="217"/>
      <c r="G1227" s="188"/>
      <c r="H1227" s="188"/>
      <c r="I1227" s="188"/>
      <c r="J1227" s="188"/>
      <c r="K1227" s="188"/>
      <c r="L1227" s="188"/>
      <c r="M1227" s="178"/>
      <c r="N1227" s="178"/>
      <c r="O1227" s="178"/>
      <c r="P1227" s="188"/>
      <c r="Q1227" s="178"/>
      <c r="R1227" s="178"/>
      <c r="S1227" s="178"/>
      <c r="T1227" s="180"/>
      <c r="U1227" s="189" t="str">
        <f>IFERROR(IF(Tableau3[[#This Row],[Dettes]]=0,"",(Tableau3[[#This Row],[Dettes]]/Tableau3[[#This Row],[EBE]])),"")</f>
        <v/>
      </c>
      <c r="V1227" s="190" t="str">
        <f>IFERROR(Tableau3[[#This Row],[Fonds propres]]/Tableau3[[#This Row],[Total Bilan]],"")</f>
        <v/>
      </c>
      <c r="W1227" s="180"/>
      <c r="Y1227" s="180"/>
      <c r="Z1227" s="192" t="str">
        <f>IFERROR(Tableau3[[#This Row],[Chiffre d''affaires]]/Tableau3[[#This Row],[Salariés]],"")</f>
        <v/>
      </c>
      <c r="AA1227" s="177"/>
    </row>
    <row r="1228" spans="1:29" ht="20.25" customHeight="1">
      <c r="A1228" s="217"/>
      <c r="G1228" s="188"/>
      <c r="H1228" s="188"/>
      <c r="I1228" s="188"/>
      <c r="J1228" s="188"/>
      <c r="K1228" s="188"/>
      <c r="L1228" s="188"/>
      <c r="M1228" s="178"/>
      <c r="N1228" s="178"/>
      <c r="O1228" s="178"/>
      <c r="P1228" s="188"/>
      <c r="Q1228" s="178"/>
      <c r="R1228" s="178"/>
      <c r="S1228" s="178"/>
      <c r="T1228" s="180"/>
      <c r="U1228" s="189" t="str">
        <f>IFERROR(IF(Tableau3[[#This Row],[Dettes]]=0,"",(Tableau3[[#This Row],[Dettes]]/Tableau3[[#This Row],[EBE]])),"")</f>
        <v/>
      </c>
      <c r="V1228" s="190" t="str">
        <f>IFERROR(Tableau3[[#This Row],[Fonds propres]]/Tableau3[[#This Row],[Total Bilan]],"")</f>
        <v/>
      </c>
      <c r="W1228" s="180"/>
      <c r="Y1228" s="180"/>
      <c r="Z1228" s="192" t="str">
        <f>IFERROR(Tableau3[[#This Row],[Chiffre d''affaires]]/Tableau3[[#This Row],[Salariés]],"")</f>
        <v/>
      </c>
      <c r="AA1228" s="177"/>
    </row>
    <row r="1229" spans="1:29" ht="20.25" customHeight="1">
      <c r="A1229" s="217" t="s">
        <v>854</v>
      </c>
      <c r="B1229" s="216" t="s">
        <v>855</v>
      </c>
      <c r="C1229" s="178" t="s">
        <v>84</v>
      </c>
      <c r="D1229" s="178" t="s">
        <v>85</v>
      </c>
      <c r="F1229" s="178">
        <v>2025</v>
      </c>
      <c r="G1229" s="188"/>
      <c r="H1229" s="188"/>
      <c r="I1229" s="188"/>
      <c r="J1229" s="188"/>
      <c r="K1229" s="188"/>
      <c r="L1229" s="188"/>
      <c r="M1229" s="178"/>
      <c r="N1229" s="178"/>
      <c r="O1229" s="178"/>
      <c r="P1229" s="188"/>
      <c r="Q1229" s="178"/>
      <c r="R1229" s="178"/>
      <c r="S1229" s="178"/>
      <c r="T1229" s="180"/>
      <c r="U1229" s="189" t="str">
        <f>IFERROR(IF(Tableau3[[#This Row],[Dettes]]=0,"",(Tableau3[[#This Row],[Dettes]]/Tableau3[[#This Row],[EBE]])),"")</f>
        <v/>
      </c>
      <c r="V1229" s="190" t="str">
        <f>IFERROR(Tableau3[[#This Row],[Fonds propres]]/Tableau3[[#This Row],[Total Bilan]],"")</f>
        <v/>
      </c>
      <c r="W1229" s="180"/>
      <c r="Y1229" s="180"/>
      <c r="Z1229" s="192" t="str">
        <f>IFERROR(Tableau3[[#This Row],[Chiffre d''affaires]]/Tableau3[[#This Row],[Salariés]],"")</f>
        <v/>
      </c>
      <c r="AA1229" s="177"/>
      <c r="AC1229" s="177" t="s">
        <v>856</v>
      </c>
    </row>
    <row r="1230" spans="1:29" ht="20.25" customHeight="1">
      <c r="A1230" s="217"/>
      <c r="G1230" s="188"/>
      <c r="H1230" s="188"/>
      <c r="I1230" s="188"/>
      <c r="J1230" s="188"/>
      <c r="K1230" s="188"/>
      <c r="L1230" s="188"/>
      <c r="M1230" s="178"/>
      <c r="N1230" s="178"/>
      <c r="O1230" s="178"/>
      <c r="P1230" s="188"/>
      <c r="Q1230" s="178"/>
      <c r="R1230" s="178"/>
      <c r="S1230" s="178"/>
      <c r="T1230" s="180"/>
      <c r="U1230" s="189" t="str">
        <f>IFERROR(IF(Tableau3[[#This Row],[Dettes]]=0,"",(Tableau3[[#This Row],[Dettes]]/Tableau3[[#This Row],[EBE]])),"")</f>
        <v/>
      </c>
      <c r="V1230" s="190" t="str">
        <f>IFERROR(Tableau3[[#This Row],[Fonds propres]]/Tableau3[[#This Row],[Total Bilan]],"")</f>
        <v/>
      </c>
      <c r="W1230" s="180"/>
      <c r="Y1230" s="180"/>
      <c r="Z1230" s="192" t="str">
        <f>IFERROR(Tableau3[[#This Row],[Chiffre d''affaires]]/Tableau3[[#This Row],[Salariés]],"")</f>
        <v/>
      </c>
      <c r="AA1230" s="177"/>
      <c r="AC1230" s="177" t="s">
        <v>858</v>
      </c>
    </row>
    <row r="1231" spans="1:29" ht="20.25" customHeight="1">
      <c r="A1231" s="217"/>
      <c r="E1231" s="187">
        <v>8.7200000000000006</v>
      </c>
      <c r="F1231" s="178">
        <v>2024</v>
      </c>
      <c r="G1231" s="188">
        <f>G1233*1.1</f>
        <v>987028900.00000012</v>
      </c>
      <c r="H1231" s="188">
        <f>Tableau3[[#This Row],[Chiffre d''affaires]]*0.37</f>
        <v>365200693.00000006</v>
      </c>
      <c r="I1231" s="188">
        <v>0</v>
      </c>
      <c r="J1231" s="188">
        <v>-40000000</v>
      </c>
      <c r="K1231" s="188"/>
      <c r="L1231" s="188"/>
      <c r="M1231" s="194"/>
      <c r="N1231" s="190"/>
      <c r="O1231" s="190"/>
      <c r="P1231" s="188">
        <v>188532716</v>
      </c>
      <c r="Q1231" s="211">
        <f>Tableau3[[#This Row],[Titres]]*Tableau3[[#This Row],[Cours]]</f>
        <v>1644005283.5200002</v>
      </c>
      <c r="R1231" s="178"/>
      <c r="S1231" s="178"/>
      <c r="T1231" s="180">
        <v>0</v>
      </c>
      <c r="U1231" s="189" t="str">
        <f>IFERROR(IF(Tableau3[[#This Row],[Dettes]]=0,"",(Tableau3[[#This Row],[Dettes]]/Tableau3[[#This Row],[EBE]])),"")</f>
        <v/>
      </c>
      <c r="V1231" s="214">
        <v>0.25640000000000002</v>
      </c>
      <c r="W1231" s="180"/>
      <c r="Y1231" s="180"/>
      <c r="Z1231" s="192" t="str">
        <f>IFERROR(Tableau3[[#This Row],[Chiffre d''affaires]]/Tableau3[[#This Row],[Salariés]],"")</f>
        <v/>
      </c>
      <c r="AA1231" s="177"/>
      <c r="AC1231" s="177" t="s">
        <v>859</v>
      </c>
    </row>
    <row r="1232" spans="1:29" ht="20.25" customHeight="1">
      <c r="A1232" s="217"/>
      <c r="G1232" s="202">
        <f>(G1231/G1233)-1</f>
        <v>0.10000000000000009</v>
      </c>
      <c r="H1232" s="202">
        <f>(H1231/H1233)-1</f>
        <v>0.15055004820203277</v>
      </c>
      <c r="I1232" s="202">
        <f>(I1231/I1233)-1</f>
        <v>-1</v>
      </c>
      <c r="J1232" s="202">
        <f>(J1231/J1233)-1</f>
        <v>-7.9365079365079083E-3</v>
      </c>
      <c r="K1232" s="188"/>
      <c r="L1232" s="188"/>
      <c r="M1232" s="178"/>
      <c r="N1232" s="178"/>
      <c r="O1232" s="178"/>
      <c r="P1232" s="188"/>
      <c r="Q1232" s="178"/>
      <c r="R1232" s="178"/>
      <c r="S1232" s="178"/>
      <c r="T1232" s="180"/>
      <c r="U1232" s="189" t="str">
        <f>IFERROR(IF(Tableau3[[#This Row],[Dettes]]=0,"",(Tableau3[[#This Row],[Dettes]]/Tableau3[[#This Row],[EBE]])),"")</f>
        <v/>
      </c>
      <c r="V1232" s="190" t="str">
        <f>IFERROR(Tableau3[[#This Row],[Fonds propres]]/Tableau3[[#This Row],[Total Bilan]],"")</f>
        <v/>
      </c>
      <c r="W1232" s="180"/>
      <c r="Y1232" s="180"/>
      <c r="Z1232" s="192" t="str">
        <f>IFERROR(Tableau3[[#This Row],[Chiffre d''affaires]]/Tableau3[[#This Row],[Salariés]],"")</f>
        <v/>
      </c>
      <c r="AA1232" s="177"/>
      <c r="AC1232" s="177" t="s">
        <v>860</v>
      </c>
    </row>
    <row r="1233" spans="1:29" ht="20.25" customHeight="1">
      <c r="A1233" s="217"/>
      <c r="E1233" s="187">
        <v>8.6199999999999992</v>
      </c>
      <c r="F1233" s="178">
        <v>2023</v>
      </c>
      <c r="G1233" s="188">
        <v>897299000</v>
      </c>
      <c r="H1233" s="211">
        <v>317414000</v>
      </c>
      <c r="I1233" s="211">
        <v>-11996000</v>
      </c>
      <c r="J1233" s="211">
        <v>-40320000</v>
      </c>
      <c r="K1233" s="188">
        <v>608000000</v>
      </c>
      <c r="L1233" s="188">
        <v>410975000</v>
      </c>
      <c r="M1233" s="194">
        <f>L1233/P1233</f>
        <v>2.1798603909148584</v>
      </c>
      <c r="N1233" s="190">
        <f>J1233/L1233</f>
        <v>-9.8108157430500637E-2</v>
      </c>
      <c r="O1233" s="190">
        <f>(I1233*0.7)/(K1233+L1233)</f>
        <v>-8.2408302460806205E-3</v>
      </c>
      <c r="P1233" s="188">
        <v>188532716</v>
      </c>
      <c r="Q1233" s="211">
        <f>Tableau3[[#This Row],[Titres]]*Tableau3[[#This Row],[Cours]]</f>
        <v>1625152011.9199998</v>
      </c>
      <c r="R1233" s="195">
        <f>Q1233/L1233</f>
        <v>3.9543816823894393</v>
      </c>
      <c r="S1233" s="197">
        <f>(Q1233+K1233)/H1233</f>
        <v>7.0354553104777988</v>
      </c>
      <c r="T1233" s="180">
        <v>25000000</v>
      </c>
      <c r="U1233" s="189">
        <f>IFERROR(IF(Tableau3[[#This Row],[Dettes]]=0,"",(Tableau3[[#This Row],[Dettes]]/Tableau3[[#This Row],[EBE]])),"")</f>
        <v>1.9154794684544476</v>
      </c>
      <c r="V1233" s="214">
        <v>0.25640000000000002</v>
      </c>
      <c r="W1233" s="180"/>
      <c r="Y1233" s="180">
        <v>2800</v>
      </c>
      <c r="Z1233" s="192">
        <f>IFERROR(Tableau3[[#This Row],[Chiffre d''affaires]]/Tableau3[[#This Row],[Salariés]],"")</f>
        <v>320463.92857142858</v>
      </c>
      <c r="AA1233" s="177"/>
      <c r="AC1233" s="177" t="s">
        <v>861</v>
      </c>
    </row>
    <row r="1234" spans="1:29" ht="20.25" customHeight="1">
      <c r="A1234" s="217"/>
      <c r="G1234" s="202">
        <f>(G1233/G1235)-1</f>
        <v>0.13870431472081224</v>
      </c>
      <c r="H1234" s="202">
        <f>(H1233/H1235)-1</f>
        <v>3.0564935064935073E-2</v>
      </c>
      <c r="I1234" s="202">
        <f>(I1233/I1235)-1</f>
        <v>-0.4143721929310682</v>
      </c>
      <c r="J1234" s="202">
        <f>(J1233/J1235)-1</f>
        <v>0.41206135742803118</v>
      </c>
      <c r="K1234" s="188"/>
      <c r="L1234" s="188"/>
      <c r="M1234" s="178"/>
      <c r="N1234" s="178"/>
      <c r="O1234" s="178"/>
      <c r="P1234" s="188"/>
      <c r="Q1234" s="178"/>
      <c r="R1234" s="178"/>
      <c r="S1234" s="178"/>
      <c r="T1234" s="180"/>
      <c r="U1234" s="189" t="str">
        <f>IFERROR(IF(Tableau3[[#This Row],[Dettes]]=0,"",(Tableau3[[#This Row],[Dettes]]/Tableau3[[#This Row],[EBE]])),"")</f>
        <v/>
      </c>
      <c r="V1234" s="190" t="str">
        <f>IFERROR(Tableau3[[#This Row],[Fonds propres]]/Tableau3[[#This Row],[Total Bilan]],"")</f>
        <v/>
      </c>
      <c r="W1234" s="180"/>
      <c r="Y1234" s="180"/>
      <c r="Z1234" s="192" t="str">
        <f>IFERROR(Tableau3[[#This Row],[Chiffre d''affaires]]/Tableau3[[#This Row],[Salariés]],"")</f>
        <v/>
      </c>
      <c r="AA1234" s="177"/>
      <c r="AC1234" s="177" t="s">
        <v>862</v>
      </c>
    </row>
    <row r="1235" spans="1:29" ht="20.25" customHeight="1">
      <c r="A1235" s="217"/>
      <c r="E1235" s="187">
        <v>15.98</v>
      </c>
      <c r="F1235" s="178">
        <v>2022</v>
      </c>
      <c r="G1235" s="188">
        <v>788000000</v>
      </c>
      <c r="H1235" s="211">
        <v>308000000</v>
      </c>
      <c r="I1235" s="211">
        <v>-20484000</v>
      </c>
      <c r="J1235" s="211">
        <v>-28554000</v>
      </c>
      <c r="K1235" s="188">
        <v>525000000</v>
      </c>
      <c r="L1235" s="188">
        <v>468349000</v>
      </c>
      <c r="M1235" s="194">
        <f>L1235/P1235</f>
        <v>2.484178926271873</v>
      </c>
      <c r="N1235" s="190">
        <f>J1235/L1235</f>
        <v>-6.0967355540419647E-2</v>
      </c>
      <c r="O1235" s="190">
        <f>(I1235*0.7)/(K1235+L1235)</f>
        <v>-1.4434805894001E-2</v>
      </c>
      <c r="P1235" s="188">
        <v>188532716</v>
      </c>
      <c r="Q1235" s="211">
        <f>Tableau3[[#This Row],[Titres]]*Tableau3[[#This Row],[Cours]]</f>
        <v>3012752801.6800003</v>
      </c>
      <c r="R1235" s="195">
        <f>Q1235/L1235</f>
        <v>6.432708944996147</v>
      </c>
      <c r="S1235" s="197">
        <f>(Q1235+K1235)/H1235</f>
        <v>11.486210395064935</v>
      </c>
      <c r="T1235" s="180">
        <v>-195000000</v>
      </c>
      <c r="U1235" s="189">
        <f>IFERROR(IF(Tableau3[[#This Row],[Dettes]]=0,"",(Tableau3[[#This Row],[Dettes]]/Tableau3[[#This Row],[EBE]])),"")</f>
        <v>1.7045454545454546</v>
      </c>
      <c r="V1235" s="190" t="str">
        <f>IFERROR(Tableau3[[#This Row],[Fonds propres]]/Tableau3[[#This Row],[Total Bilan]],"")</f>
        <v/>
      </c>
      <c r="W1235" s="180"/>
      <c r="Y1235" s="180">
        <v>2800</v>
      </c>
      <c r="Z1235" s="192">
        <f>IFERROR(Tableau3[[#This Row],[Chiffre d''affaires]]/Tableau3[[#This Row],[Salariés]],"")</f>
        <v>281428.57142857142</v>
      </c>
      <c r="AA1235" s="177"/>
      <c r="AC1235" s="177" t="s">
        <v>863</v>
      </c>
    </row>
    <row r="1236" spans="1:29" ht="20.25" customHeight="1">
      <c r="A1236" s="217"/>
      <c r="G1236" s="202">
        <f>(G1235/G1237)-1</f>
        <v>0.18746232670283303</v>
      </c>
      <c r="H1236" s="202">
        <f>(H1235/H1237)-1</f>
        <v>0.28317293671624388</v>
      </c>
      <c r="I1236" s="202">
        <f>(I1235/I1237)-1</f>
        <v>-4.1465437788018438</v>
      </c>
      <c r="J1236" s="202">
        <f>(J1235/J1237)-1</f>
        <v>-0.11717783823893146</v>
      </c>
      <c r="K1236" s="178"/>
      <c r="L1236" s="178"/>
      <c r="M1236" s="178"/>
      <c r="N1236" s="178"/>
      <c r="O1236" s="178"/>
      <c r="P1236" s="178"/>
      <c r="Q1236" s="178"/>
      <c r="R1236" s="178"/>
      <c r="S1236" s="178"/>
      <c r="T1236" s="180"/>
      <c r="U1236" s="189" t="str">
        <f>IFERROR(IF(Tableau3[[#This Row],[Dettes]]=0,"",(Tableau3[[#This Row],[Dettes]]/Tableau3[[#This Row],[EBE]])),"")</f>
        <v/>
      </c>
      <c r="V1236" s="190" t="str">
        <f>IFERROR(Tableau3[[#This Row],[Fonds propres]]/Tableau3[[#This Row],[Total Bilan]],"")</f>
        <v/>
      </c>
      <c r="W1236" s="180"/>
      <c r="Y1236" s="180"/>
      <c r="Z1236" s="192" t="str">
        <f>IFERROR(Tableau3[[#This Row],[Chiffre d''affaires]]/Tableau3[[#This Row],[Salariés]],"")</f>
        <v/>
      </c>
      <c r="AA1236" s="177"/>
      <c r="AC1236" s="177" t="s">
        <v>864</v>
      </c>
    </row>
    <row r="1237" spans="1:29" ht="20.25" customHeight="1">
      <c r="A1237" s="217"/>
      <c r="E1237" s="178">
        <v>25.4</v>
      </c>
      <c r="F1237" s="178">
        <v>2021</v>
      </c>
      <c r="G1237" s="188">
        <f>G1239*1.05</f>
        <v>663600000</v>
      </c>
      <c r="H1237" s="188">
        <v>240030000</v>
      </c>
      <c r="I1237" s="188">
        <v>6510000</v>
      </c>
      <c r="J1237" s="188">
        <v>-32344000</v>
      </c>
      <c r="K1237" s="188">
        <v>708631000</v>
      </c>
      <c r="L1237" s="188">
        <v>108798000</v>
      </c>
      <c r="M1237" s="194">
        <f>L1237/P1237</f>
        <v>0.57707756143501376</v>
      </c>
      <c r="N1237" s="190">
        <f>J1237/L1237</f>
        <v>-0.29728487656023089</v>
      </c>
      <c r="O1237" s="190">
        <f>(I1237*0.7)/(K1237+L1237)</f>
        <v>5.5747960984990743E-3</v>
      </c>
      <c r="P1237" s="188">
        <v>188532716</v>
      </c>
      <c r="Q1237" s="211">
        <f>Tableau3[[#This Row],[Titres]]*Tableau3[[#This Row],[Cours]]</f>
        <v>4788730986.3999996</v>
      </c>
      <c r="R1237" s="195">
        <f>Q1237/L1237</f>
        <v>44.014880663247482</v>
      </c>
      <c r="S1237" s="197">
        <f>(Q1237+K1237)/H1237</f>
        <v>22.902812091821854</v>
      </c>
      <c r="T1237" s="180">
        <v>-86000000</v>
      </c>
      <c r="U1237" s="189">
        <f>IFERROR(IF(Tableau3[[#This Row],[Dettes]]=0,"",(Tableau3[[#This Row],[Dettes]]/Tableau3[[#This Row],[EBE]])),"")</f>
        <v>2.9522601341498977</v>
      </c>
      <c r="V1237" s="190" t="str">
        <f>IFERROR(Tableau3[[#This Row],[Fonds propres]]/Tableau3[[#This Row],[Total Bilan]],"")</f>
        <v/>
      </c>
      <c r="W1237" s="180"/>
      <c r="Y1237" s="180">
        <v>2400</v>
      </c>
      <c r="Z1237" s="192">
        <f>IFERROR(Tableau3[[#This Row],[Chiffre d''affaires]]/Tableau3[[#This Row],[Salariés]],"")</f>
        <v>276500</v>
      </c>
      <c r="AA1237" s="177"/>
      <c r="AC1237" s="177" t="s">
        <v>865</v>
      </c>
    </row>
    <row r="1238" spans="1:29" ht="20.25" customHeight="1">
      <c r="A1238" s="217"/>
      <c r="G1238" s="202">
        <f>(G1237/G1239)-1</f>
        <v>5.0000000000000044E-2</v>
      </c>
      <c r="H1238" s="202">
        <f>(H1237/H1239)-1</f>
        <v>-5.8572975008236439E-2</v>
      </c>
      <c r="I1238" s="202">
        <f>(I1237/I1239)-1</f>
        <v>-0.78725490196078429</v>
      </c>
      <c r="J1238" s="202">
        <f>(J1237/J1239)-1</f>
        <v>1.8607818857243941</v>
      </c>
      <c r="K1238" s="178"/>
      <c r="L1238" s="188"/>
      <c r="M1238" s="178"/>
      <c r="N1238" s="178"/>
      <c r="O1238" s="178"/>
      <c r="P1238" s="178"/>
      <c r="Q1238" s="178"/>
      <c r="R1238" s="178"/>
      <c r="S1238" s="178"/>
      <c r="T1238" s="180"/>
      <c r="U1238" s="189" t="str">
        <f>IFERROR(IF(Tableau3[[#This Row],[Dettes]]=0,"",(Tableau3[[#This Row],[Dettes]]/Tableau3[[#This Row],[EBE]])),"")</f>
        <v/>
      </c>
      <c r="V1238" s="190" t="str">
        <f>IFERROR(Tableau3[[#This Row],[Fonds propres]]/Tableau3[[#This Row],[Total Bilan]],"")</f>
        <v/>
      </c>
      <c r="W1238" s="180"/>
      <c r="Y1238" s="180"/>
      <c r="Z1238" s="192" t="str">
        <f>IFERROR(Tableau3[[#This Row],[Chiffre d''affaires]]/Tableau3[[#This Row],[Salariés]],"")</f>
        <v/>
      </c>
      <c r="AA1238" s="177"/>
      <c r="AC1238" s="177" t="s">
        <v>866</v>
      </c>
    </row>
    <row r="1239" spans="1:29" ht="20.25" customHeight="1">
      <c r="A1239" s="217"/>
      <c r="F1239" s="178">
        <v>2020</v>
      </c>
      <c r="G1239" s="188">
        <v>632000000</v>
      </c>
      <c r="H1239" s="188">
        <v>254964000</v>
      </c>
      <c r="I1239" s="188">
        <v>30600000</v>
      </c>
      <c r="J1239" s="188">
        <v>-11306000</v>
      </c>
      <c r="K1239" s="188">
        <v>575559000</v>
      </c>
      <c r="L1239" s="188">
        <v>120379000</v>
      </c>
      <c r="M1239" s="194"/>
      <c r="N1239" s="190">
        <f>J1239/L1239</f>
        <v>-9.3920035886657968E-2</v>
      </c>
      <c r="O1239" s="190">
        <f>(I1239*0.7)/(K1239+L1239)</f>
        <v>3.0778603841146768E-2</v>
      </c>
      <c r="P1239" s="178"/>
      <c r="Q1239" s="178"/>
      <c r="R1239" s="178"/>
      <c r="S1239" s="178"/>
      <c r="T1239" s="180"/>
      <c r="U1239" s="189">
        <f>IFERROR(IF(Tableau3[[#This Row],[Dettes]]=0,"",(Tableau3[[#This Row],[Dettes]]/Tableau3[[#This Row],[EBE]])),"")</f>
        <v>2.2574128112204077</v>
      </c>
      <c r="V1239" s="190" t="str">
        <f>IFERROR(Tableau3[[#This Row],[Fonds propres]]/Tableau3[[#This Row],[Total Bilan]],"")</f>
        <v/>
      </c>
      <c r="W1239" s="180"/>
      <c r="Y1239" s="180"/>
      <c r="Z1239" s="192" t="str">
        <f>IFERROR(Tableau3[[#This Row],[Chiffre d''affaires]]/Tableau3[[#This Row],[Salariés]],"")</f>
        <v/>
      </c>
      <c r="AA1239" s="177"/>
      <c r="AC1239" s="177" t="s">
        <v>867</v>
      </c>
    </row>
    <row r="1240" spans="1:29" ht="20.25" customHeight="1">
      <c r="A1240" s="217"/>
      <c r="G1240" s="202">
        <f>(G1239/G1241)-1</f>
        <v>8.8904203997243192E-2</v>
      </c>
      <c r="H1240" s="202">
        <f>(H1239/H1241)-1</f>
        <v>0.19645236977944625</v>
      </c>
      <c r="I1240" s="202">
        <f>(I1239/I1241)-1</f>
        <v>-3.125</v>
      </c>
      <c r="J1240" s="202">
        <f>(J1239/J1241)-1</f>
        <v>-0.72356968215158923</v>
      </c>
      <c r="K1240" s="178"/>
      <c r="L1240" s="188"/>
      <c r="M1240" s="178"/>
      <c r="N1240" s="178"/>
      <c r="O1240" s="178"/>
      <c r="P1240" s="178"/>
      <c r="Q1240" s="178"/>
      <c r="R1240" s="178"/>
      <c r="S1240" s="178"/>
      <c r="T1240" s="180"/>
      <c r="U1240" s="189" t="str">
        <f>IFERROR(IF(Tableau3[[#This Row],[Dettes]]=0,"",(Tableau3[[#This Row],[Dettes]]/Tableau3[[#This Row],[EBE]])),"")</f>
        <v/>
      </c>
      <c r="V1240" s="190" t="str">
        <f>IFERROR(Tableau3[[#This Row],[Fonds propres]]/Tableau3[[#This Row],[Total Bilan]],"")</f>
        <v/>
      </c>
      <c r="W1240" s="180"/>
      <c r="Y1240" s="180"/>
      <c r="Z1240" s="192" t="str">
        <f>IFERROR(Tableau3[[#This Row],[Chiffre d''affaires]]/Tableau3[[#This Row],[Salariés]],"")</f>
        <v/>
      </c>
      <c r="AA1240" s="177"/>
      <c r="AC1240" s="177" t="s">
        <v>868</v>
      </c>
    </row>
    <row r="1241" spans="1:29" ht="20.25" customHeight="1">
      <c r="A1241" s="217"/>
      <c r="F1241" s="178">
        <v>2019</v>
      </c>
      <c r="G1241" s="188">
        <v>580400000</v>
      </c>
      <c r="H1241" s="188">
        <v>213100000</v>
      </c>
      <c r="I1241" s="188">
        <v>-14400000</v>
      </c>
      <c r="J1241" s="188">
        <v>-40900000</v>
      </c>
      <c r="K1241" s="188">
        <v>365100000</v>
      </c>
      <c r="L1241" s="188">
        <v>284200000</v>
      </c>
      <c r="M1241" s="194"/>
      <c r="N1241" s="190">
        <f>J1241/L1241</f>
        <v>-0.14391273750879663</v>
      </c>
      <c r="O1241" s="190">
        <f>(I1241*0.7)/(K1241+L1241)</f>
        <v>-1.5524410904050516E-2</v>
      </c>
      <c r="P1241" s="178"/>
      <c r="Q1241" s="178"/>
      <c r="R1241" s="178"/>
      <c r="S1241" s="178"/>
      <c r="T1241" s="180"/>
      <c r="U1241" s="189">
        <f>IFERROR(IF(Tableau3[[#This Row],[Dettes]]=0,"",(Tableau3[[#This Row],[Dettes]]/Tableau3[[#This Row],[EBE]])),"")</f>
        <v>1.7132801501642421</v>
      </c>
      <c r="V1241" s="190" t="str">
        <f>IFERROR(Tableau3[[#This Row],[Fonds propres]]/Tableau3[[#This Row],[Total Bilan]],"")</f>
        <v/>
      </c>
      <c r="W1241" s="180"/>
      <c r="Y1241" s="180"/>
      <c r="Z1241" s="192" t="str">
        <f>IFERROR(Tableau3[[#This Row],[Chiffre d''affaires]]/Tableau3[[#This Row],[Salariés]],"")</f>
        <v/>
      </c>
      <c r="AA1241" s="177"/>
      <c r="AC1241" s="177" t="s">
        <v>869</v>
      </c>
    </row>
    <row r="1242" spans="1:29" ht="20.25" customHeight="1">
      <c r="A1242" s="217"/>
      <c r="G1242" s="202">
        <f>(G1241/G1243)-1</f>
        <v>0.13425835450459256</v>
      </c>
      <c r="H1242" s="202">
        <f>(H1241/H1243)-1</f>
        <v>0.37129987129987141</v>
      </c>
      <c r="I1242" s="202">
        <f>(I1241/I1243)-1</f>
        <v>-0.36563876651982374</v>
      </c>
      <c r="J1242" s="202">
        <f>(J1241/J1243)-1</f>
        <v>0.46594982078853042</v>
      </c>
      <c r="K1242" s="178"/>
      <c r="L1242" s="188"/>
      <c r="M1242" s="178"/>
      <c r="N1242" s="178"/>
      <c r="O1242" s="178"/>
      <c r="P1242" s="178"/>
      <c r="Q1242" s="178"/>
      <c r="R1242" s="178"/>
      <c r="S1242" s="178"/>
      <c r="T1242" s="180"/>
      <c r="U1242" s="189" t="str">
        <f>IFERROR(IF(Tableau3[[#This Row],[Dettes]]=0,"",(Tableau3[[#This Row],[Dettes]]/Tableau3[[#This Row],[EBE]])),"")</f>
        <v/>
      </c>
      <c r="V1242" s="190" t="str">
        <f>IFERROR(Tableau3[[#This Row],[Fonds propres]]/Tableau3[[#This Row],[Total Bilan]],"")</f>
        <v/>
      </c>
      <c r="W1242" s="180"/>
      <c r="Y1242" s="180"/>
      <c r="Z1242" s="192" t="str">
        <f>IFERROR(Tableau3[[#This Row],[Chiffre d''affaires]]/Tableau3[[#This Row],[Salariés]],"")</f>
        <v/>
      </c>
      <c r="AA1242" s="177"/>
      <c r="AC1242" s="177" t="s">
        <v>870</v>
      </c>
    </row>
    <row r="1243" spans="1:29" ht="20.25" customHeight="1">
      <c r="A1243" s="217"/>
      <c r="F1243" s="178">
        <v>2018</v>
      </c>
      <c r="G1243" s="188">
        <v>511700000</v>
      </c>
      <c r="H1243" s="188">
        <v>155400000</v>
      </c>
      <c r="I1243" s="188">
        <v>-22700000</v>
      </c>
      <c r="J1243" s="188">
        <v>-27900000</v>
      </c>
      <c r="K1243" s="188">
        <v>293800000</v>
      </c>
      <c r="L1243" s="188">
        <v>318100000</v>
      </c>
      <c r="M1243" s="194"/>
      <c r="N1243" s="190">
        <f>J1243/L1243</f>
        <v>-8.7708267840301793E-2</v>
      </c>
      <c r="O1243" s="190">
        <f>(I1243*0.7)/(K1243+L1243)</f>
        <v>-2.5968295473116521E-2</v>
      </c>
      <c r="P1243" s="178"/>
      <c r="Q1243" s="178"/>
      <c r="R1243" s="178"/>
      <c r="S1243" s="178"/>
      <c r="T1243" s="180"/>
      <c r="U1243" s="189">
        <f>IFERROR(IF(Tableau3[[#This Row],[Dettes]]=0,"",(Tableau3[[#This Row],[Dettes]]/Tableau3[[#This Row],[EBE]])),"")</f>
        <v>1.8906048906048907</v>
      </c>
      <c r="V1243" s="190" t="str">
        <f>IFERROR(Tableau3[[#This Row],[Fonds propres]]/Tableau3[[#This Row],[Total Bilan]],"")</f>
        <v/>
      </c>
      <c r="W1243" s="180"/>
      <c r="Y1243" s="180"/>
      <c r="Z1243" s="192" t="str">
        <f>IFERROR(Tableau3[[#This Row],[Chiffre d''affaires]]/Tableau3[[#This Row],[Salariés]],"")</f>
        <v/>
      </c>
      <c r="AA1243" s="177"/>
      <c r="AC1243" s="177" t="s">
        <v>871</v>
      </c>
    </row>
    <row r="1244" spans="1:29" ht="20.25" customHeight="1">
      <c r="A1244" s="217"/>
      <c r="G1244" s="188"/>
      <c r="H1244" s="178"/>
      <c r="I1244" s="178"/>
      <c r="J1244" s="178"/>
      <c r="K1244" s="178"/>
      <c r="L1244" s="178"/>
      <c r="M1244" s="178"/>
      <c r="N1244" s="178"/>
      <c r="O1244" s="178"/>
      <c r="P1244" s="178"/>
      <c r="Q1244" s="178"/>
      <c r="R1244" s="178"/>
      <c r="S1244" s="178"/>
      <c r="T1244" s="180"/>
      <c r="U1244" s="189" t="str">
        <f>IFERROR(IF(Tableau3[[#This Row],[Dettes]]=0,"",(Tableau3[[#This Row],[Dettes]]/Tableau3[[#This Row],[EBE]])),"")</f>
        <v/>
      </c>
      <c r="V1244" s="190" t="str">
        <f>IFERROR(Tableau3[[#This Row],[Fonds propres]]/Tableau3[[#This Row],[Total Bilan]],"")</f>
        <v/>
      </c>
      <c r="W1244" s="180"/>
      <c r="Y1244" s="180"/>
      <c r="Z1244" s="192" t="str">
        <f>IFERROR(Tableau3[[#This Row],[Chiffre d''affaires]]/Tableau3[[#This Row],[Salariés]],"")</f>
        <v/>
      </c>
      <c r="AA1244" s="177"/>
      <c r="AC1244" s="177" t="s">
        <v>872</v>
      </c>
    </row>
    <row r="1245" spans="1:29" ht="20.25" customHeight="1">
      <c r="A1245" s="217"/>
      <c r="E1245" s="216"/>
      <c r="F1245" s="217" t="s">
        <v>873</v>
      </c>
      <c r="G1245" s="188"/>
      <c r="H1245" s="178"/>
      <c r="I1245" s="178"/>
      <c r="J1245" s="178"/>
      <c r="K1245" s="178"/>
      <c r="L1245" s="178"/>
      <c r="M1245" s="178"/>
      <c r="N1245" s="178"/>
      <c r="O1245" s="178"/>
      <c r="P1245" s="178"/>
      <c r="Q1245" s="178"/>
      <c r="R1245" s="178"/>
      <c r="S1245" s="178"/>
      <c r="T1245" s="180"/>
      <c r="U1245" s="189" t="str">
        <f>IFERROR(IF(Tableau3[[#This Row],[Dettes]]=0,"",(Tableau3[[#This Row],[Dettes]]/Tableau3[[#This Row],[EBE]])),"")</f>
        <v/>
      </c>
      <c r="V1245" s="190" t="str">
        <f>IFERROR(Tableau3[[#This Row],[Fonds propres]]/Tableau3[[#This Row],[Total Bilan]],"")</f>
        <v/>
      </c>
      <c r="W1245" s="180"/>
      <c r="Y1245" s="180"/>
      <c r="Z1245" s="192" t="str">
        <f>IFERROR(Tableau3[[#This Row],[Chiffre d''affaires]]/Tableau3[[#This Row],[Salariés]],"")</f>
        <v/>
      </c>
      <c r="AA1245" s="177"/>
      <c r="AC1245" s="177" t="s">
        <v>874</v>
      </c>
    </row>
    <row r="1246" spans="1:29" ht="20.25" customHeight="1">
      <c r="A1246" s="217"/>
      <c r="E1246" s="234"/>
      <c r="G1246" s="188"/>
      <c r="H1246" s="178"/>
      <c r="I1246" s="178"/>
      <c r="J1246" s="178"/>
      <c r="K1246" s="178"/>
      <c r="L1246" s="178"/>
      <c r="M1246" s="178"/>
      <c r="N1246" s="178"/>
      <c r="O1246" s="178"/>
      <c r="P1246" s="178"/>
      <c r="Q1246" s="178"/>
      <c r="R1246" s="178"/>
      <c r="S1246" s="178"/>
      <c r="T1246" s="180"/>
      <c r="U1246" s="189" t="str">
        <f>IFERROR(IF(Tableau3[[#This Row],[Dettes]]=0,"",(Tableau3[[#This Row],[Dettes]]/Tableau3[[#This Row],[EBE]])),"")</f>
        <v/>
      </c>
      <c r="V1246" s="190" t="str">
        <f>IFERROR(Tableau3[[#This Row],[Fonds propres]]/Tableau3[[#This Row],[Total Bilan]],"")</f>
        <v/>
      </c>
      <c r="W1246" s="180"/>
      <c r="Y1246" s="180"/>
      <c r="Z1246" s="192" t="str">
        <f>IFERROR(Tableau3[[#This Row],[Chiffre d''affaires]]/Tableau3[[#This Row],[Salariés]],"")</f>
        <v/>
      </c>
      <c r="AA1246" s="177"/>
      <c r="AC1246" s="177" t="s">
        <v>875</v>
      </c>
    </row>
    <row r="1247" spans="1:29" ht="20.25" customHeight="1">
      <c r="A1247" s="217"/>
      <c r="E1247" s="234"/>
      <c r="G1247" s="188"/>
      <c r="H1247" s="178"/>
      <c r="I1247" s="178"/>
      <c r="J1247" s="178"/>
      <c r="K1247" s="178"/>
      <c r="L1247" s="178"/>
      <c r="M1247" s="178"/>
      <c r="N1247" s="178"/>
      <c r="O1247" s="178"/>
      <c r="P1247" s="178"/>
      <c r="Q1247" s="178"/>
      <c r="R1247" s="178"/>
      <c r="S1247" s="178"/>
      <c r="T1247" s="180"/>
      <c r="U1247" s="189" t="str">
        <f>IFERROR(IF(Tableau3[[#This Row],[Dettes]]=0,"",(Tableau3[[#This Row],[Dettes]]/Tableau3[[#This Row],[EBE]])),"")</f>
        <v/>
      </c>
      <c r="V1247" s="190" t="str">
        <f>IFERROR(Tableau3[[#This Row],[Fonds propres]]/Tableau3[[#This Row],[Total Bilan]],"")</f>
        <v/>
      </c>
      <c r="W1247" s="180"/>
      <c r="Y1247" s="180"/>
      <c r="Z1247" s="192" t="str">
        <f>IFERROR(Tableau3[[#This Row],[Chiffre d''affaires]]/Tableau3[[#This Row],[Salariés]],"")</f>
        <v/>
      </c>
      <c r="AA1247" s="177"/>
      <c r="AC1247" s="177" t="s">
        <v>876</v>
      </c>
    </row>
    <row r="1248" spans="1:29" ht="20.25" customHeight="1">
      <c r="A1248" s="217"/>
      <c r="E1248" s="234"/>
      <c r="G1248" s="188"/>
      <c r="H1248" s="178"/>
      <c r="I1248" s="178"/>
      <c r="J1248" s="178"/>
      <c r="K1248" s="178"/>
      <c r="L1248" s="178"/>
      <c r="M1248" s="178"/>
      <c r="N1248" s="178"/>
      <c r="O1248" s="178"/>
      <c r="P1248" s="178"/>
      <c r="Q1248" s="178"/>
      <c r="R1248" s="178"/>
      <c r="S1248" s="178"/>
      <c r="T1248" s="180"/>
      <c r="U1248" s="189" t="str">
        <f>IFERROR(IF(Tableau3[[#This Row],[Dettes]]=0,"",(Tableau3[[#This Row],[Dettes]]/Tableau3[[#This Row],[EBE]])),"")</f>
        <v/>
      </c>
      <c r="V1248" s="190" t="str">
        <f>IFERROR(Tableau3[[#This Row],[Fonds propres]]/Tableau3[[#This Row],[Total Bilan]],"")</f>
        <v/>
      </c>
      <c r="W1248" s="180"/>
      <c r="Y1248" s="180"/>
      <c r="Z1248" s="192" t="str">
        <f>IFERROR(Tableau3[[#This Row],[Chiffre d''affaires]]/Tableau3[[#This Row],[Salariés]],"")</f>
        <v/>
      </c>
      <c r="AA1248" s="177"/>
      <c r="AC1248" s="177" t="s">
        <v>629</v>
      </c>
    </row>
    <row r="1249" spans="1:29" ht="20.25" customHeight="1">
      <c r="A1249" s="217"/>
      <c r="G1249" s="188"/>
      <c r="H1249" s="178"/>
      <c r="I1249" s="178"/>
      <c r="J1249" s="178"/>
      <c r="K1249" s="178"/>
      <c r="L1249" s="178"/>
      <c r="M1249" s="178"/>
      <c r="N1249" s="178"/>
      <c r="O1249" s="178"/>
      <c r="P1249" s="178"/>
      <c r="Q1249" s="178"/>
      <c r="R1249" s="178"/>
      <c r="S1249" s="178"/>
      <c r="T1249" s="180"/>
      <c r="U1249" s="189" t="str">
        <f>IFERROR(IF(Tableau3[[#This Row],[Dettes]]=0,"",(Tableau3[[#This Row],[Dettes]]/Tableau3[[#This Row],[EBE]])),"")</f>
        <v/>
      </c>
      <c r="V1249" s="190" t="str">
        <f>IFERROR(Tableau3[[#This Row],[Fonds propres]]/Tableau3[[#This Row],[Total Bilan]],"")</f>
        <v/>
      </c>
      <c r="W1249" s="180"/>
      <c r="Y1249" s="180"/>
      <c r="Z1249" s="192" t="str">
        <f>IFERROR(Tableau3[[#This Row],[Chiffre d''affaires]]/Tableau3[[#This Row],[Salariés]],"")</f>
        <v/>
      </c>
      <c r="AA1249" s="177"/>
      <c r="AC1249" s="177" t="s">
        <v>711</v>
      </c>
    </row>
    <row r="1250" spans="1:29" ht="20.25" customHeight="1">
      <c r="A1250" s="217"/>
      <c r="G1250" s="188"/>
      <c r="H1250" s="178"/>
      <c r="I1250" s="178"/>
      <c r="J1250" s="178"/>
      <c r="K1250" s="178"/>
      <c r="L1250" s="178"/>
      <c r="M1250" s="178"/>
      <c r="N1250" s="178"/>
      <c r="O1250" s="178"/>
      <c r="P1250" s="178"/>
      <c r="Q1250" s="178"/>
      <c r="R1250" s="178"/>
      <c r="S1250" s="178"/>
      <c r="T1250" s="180"/>
      <c r="U1250" s="189" t="str">
        <f>IFERROR(IF(Tableau3[[#This Row],[Dettes]]=0,"",(Tableau3[[#This Row],[Dettes]]/Tableau3[[#This Row],[EBE]])),"")</f>
        <v/>
      </c>
      <c r="V1250" s="190" t="str">
        <f>IFERROR(Tableau3[[#This Row],[Fonds propres]]/Tableau3[[#This Row],[Total Bilan]],"")</f>
        <v/>
      </c>
      <c r="W1250" s="180"/>
      <c r="Y1250" s="180"/>
      <c r="Z1250" s="192" t="str">
        <f>IFERROR(Tableau3[[#This Row],[Chiffre d''affaires]]/Tableau3[[#This Row],[Salariés]],"")</f>
        <v/>
      </c>
      <c r="AA1250" s="177"/>
    </row>
    <row r="1251" spans="1:29" ht="20.25" customHeight="1">
      <c r="A1251" s="217"/>
      <c r="G1251" s="188"/>
      <c r="H1251" s="188"/>
      <c r="I1251" s="188"/>
      <c r="J1251" s="188"/>
      <c r="K1251" s="188"/>
      <c r="L1251" s="188"/>
      <c r="M1251" s="178"/>
      <c r="N1251" s="178"/>
      <c r="O1251" s="178"/>
      <c r="P1251" s="188"/>
      <c r="Q1251" s="178"/>
      <c r="R1251" s="178"/>
      <c r="S1251" s="178"/>
      <c r="T1251" s="180"/>
      <c r="U1251" s="189" t="str">
        <f>IFERROR(IF(Tableau3[[#This Row],[Dettes]]=0,"",(Tableau3[[#This Row],[Dettes]]/Tableau3[[#This Row],[EBE]])),"")</f>
        <v/>
      </c>
      <c r="V1251" s="190" t="str">
        <f>IFERROR(Tableau3[[#This Row],[Fonds propres]]/Tableau3[[#This Row],[Total Bilan]],"")</f>
        <v/>
      </c>
      <c r="W1251" s="180"/>
      <c r="Y1251" s="180"/>
      <c r="Z1251" s="192" t="str">
        <f>IFERROR(Tableau3[[#This Row],[Chiffre d''affaires]]/Tableau3[[#This Row],[Salariés]],"")</f>
        <v/>
      </c>
      <c r="AA1251" s="177"/>
    </row>
    <row r="1252" spans="1:29" ht="20.25" customHeight="1">
      <c r="A1252" s="217"/>
      <c r="G1252" s="188"/>
      <c r="H1252" s="188"/>
      <c r="I1252" s="188"/>
      <c r="J1252" s="188"/>
      <c r="K1252" s="188"/>
      <c r="L1252" s="188"/>
      <c r="M1252" s="178"/>
      <c r="N1252" s="178"/>
      <c r="O1252" s="178"/>
      <c r="P1252" s="188"/>
      <c r="Q1252" s="178"/>
      <c r="R1252" s="178"/>
      <c r="S1252" s="178"/>
      <c r="T1252" s="180"/>
      <c r="U1252" s="189" t="str">
        <f>IFERROR(IF(Tableau3[[#This Row],[Dettes]]=0,"",(Tableau3[[#This Row],[Dettes]]/Tableau3[[#This Row],[EBE]])),"")</f>
        <v/>
      </c>
      <c r="V1252" s="190" t="str">
        <f>IFERROR(Tableau3[[#This Row],[Fonds propres]]/Tableau3[[#This Row],[Total Bilan]],"")</f>
        <v/>
      </c>
      <c r="W1252" s="180"/>
      <c r="Y1252" s="180"/>
      <c r="Z1252" s="192" t="str">
        <f>IFERROR(Tableau3[[#This Row],[Chiffre d''affaires]]/Tableau3[[#This Row],[Salariés]],"")</f>
        <v/>
      </c>
      <c r="AA1252" s="177"/>
    </row>
    <row r="1253" spans="1:29" ht="20.25" customHeight="1">
      <c r="A1253" s="217"/>
      <c r="G1253" s="188"/>
      <c r="H1253" s="188"/>
      <c r="I1253" s="188"/>
      <c r="J1253" s="188"/>
      <c r="K1253" s="188"/>
      <c r="L1253" s="188"/>
      <c r="M1253" s="178"/>
      <c r="N1253" s="178"/>
      <c r="O1253" s="178"/>
      <c r="P1253" s="188"/>
      <c r="Q1253" s="178"/>
      <c r="R1253" s="178"/>
      <c r="S1253" s="178"/>
      <c r="T1253" s="180"/>
      <c r="U1253" s="189" t="str">
        <f>IFERROR(IF(Tableau3[[#This Row],[Dettes]]=0,"",(Tableau3[[#This Row],[Dettes]]/Tableau3[[#This Row],[EBE]])),"")</f>
        <v/>
      </c>
      <c r="V1253" s="190" t="str">
        <f>IFERROR(Tableau3[[#This Row],[Fonds propres]]/Tableau3[[#This Row],[Total Bilan]],"")</f>
        <v/>
      </c>
      <c r="W1253" s="180"/>
      <c r="Y1253" s="180"/>
      <c r="Z1253" s="192" t="str">
        <f>IFERROR(Tableau3[[#This Row],[Chiffre d''affaires]]/Tableau3[[#This Row],[Salariés]],"")</f>
        <v/>
      </c>
      <c r="AA1253" s="177"/>
    </row>
    <row r="1254" spans="1:29" ht="20.25" customHeight="1">
      <c r="A1254" s="217" t="s">
        <v>877</v>
      </c>
      <c r="B1254" s="216" t="s">
        <v>751</v>
      </c>
      <c r="C1254" s="178" t="s">
        <v>382</v>
      </c>
      <c r="D1254" s="178" t="s">
        <v>383</v>
      </c>
      <c r="E1254" s="187">
        <v>103.5</v>
      </c>
      <c r="F1254" s="178">
        <v>2021</v>
      </c>
      <c r="G1254" s="188">
        <v>415000000</v>
      </c>
      <c r="H1254" s="188">
        <v>55000000</v>
      </c>
      <c r="I1254" s="188">
        <v>50000000</v>
      </c>
      <c r="J1254" s="188">
        <v>26000000</v>
      </c>
      <c r="K1254" s="188">
        <f>K1256</f>
        <v>-135587000</v>
      </c>
      <c r="L1254" s="188">
        <v>450000000</v>
      </c>
      <c r="M1254" s="194">
        <f>L1254/P1254</f>
        <v>7.1770334928229662</v>
      </c>
      <c r="N1254" s="190">
        <f>J1254/L1254</f>
        <v>5.7777777777777775E-2</v>
      </c>
      <c r="O1254" s="190">
        <f>(I1254*0.7)/(K1254+L1254)</f>
        <v>0.11131855234993464</v>
      </c>
      <c r="P1254" s="188">
        <v>62700000</v>
      </c>
      <c r="Q1254" s="188">
        <f>P1254*E1254</f>
        <v>6489450000</v>
      </c>
      <c r="R1254" s="195">
        <f>Q1254/L1254</f>
        <v>14.420999999999999</v>
      </c>
      <c r="S1254" s="197">
        <f>(Q1254+K1254)/H1254</f>
        <v>115.52478181818182</v>
      </c>
      <c r="T1254" s="180"/>
      <c r="U1254" s="189">
        <f>IFERROR(IF(Tableau3[[#This Row],[Dettes]]=0,"",(Tableau3[[#This Row],[Dettes]]/Tableau3[[#This Row],[EBE]])),"")</f>
        <v>-2.465218181818182</v>
      </c>
      <c r="V1254" s="190" t="str">
        <f>IFERROR(Tableau3[[#This Row],[Fonds propres]]/Tableau3[[#This Row],[Total Bilan]],"")</f>
        <v/>
      </c>
      <c r="W1254" s="180"/>
      <c r="Y1254" s="180"/>
      <c r="Z1254" s="192" t="str">
        <f>IFERROR(Tableau3[[#This Row],[Chiffre d''affaires]]/Tableau3[[#This Row],[Salariés]],"")</f>
        <v/>
      </c>
      <c r="AA1254" s="177"/>
      <c r="AC1254" s="177" t="s">
        <v>878</v>
      </c>
    </row>
    <row r="1255" spans="1:29" ht="20.25" customHeight="1">
      <c r="A1255" s="217"/>
      <c r="E1255" s="187"/>
      <c r="G1255" s="202">
        <f>(G1254/G1256)-1</f>
        <v>0.17985881496686451</v>
      </c>
      <c r="H1255" s="202">
        <f>(H1254/H1256)-1</f>
        <v>-3.7650696294806698</v>
      </c>
      <c r="I1255" s="202">
        <f>(I1254/I1256)-1</f>
        <v>-2.2919896640826876</v>
      </c>
      <c r="J1255" s="202">
        <f>(J1254/J1256)-1</f>
        <v>-1.5542410095713159</v>
      </c>
      <c r="K1255" s="188"/>
      <c r="L1255" s="188"/>
      <c r="M1255" s="178"/>
      <c r="N1255" s="178"/>
      <c r="O1255" s="178"/>
      <c r="P1255" s="188"/>
      <c r="Q1255" s="178"/>
      <c r="R1255" s="178"/>
      <c r="S1255" s="178"/>
      <c r="T1255" s="180"/>
      <c r="U1255" s="189" t="str">
        <f>IFERROR(IF(Tableau3[[#This Row],[Dettes]]=0,"",(Tableau3[[#This Row],[Dettes]]/Tableau3[[#This Row],[EBE]])),"")</f>
        <v/>
      </c>
      <c r="V1255" s="190" t="str">
        <f>IFERROR(Tableau3[[#This Row],[Fonds propres]]/Tableau3[[#This Row],[Total Bilan]],"")</f>
        <v/>
      </c>
      <c r="W1255" s="180"/>
      <c r="Y1255" s="180"/>
      <c r="Z1255" s="192" t="str">
        <f>IFERROR(Tableau3[[#This Row],[Chiffre d''affaires]]/Tableau3[[#This Row],[Salariés]],"")</f>
        <v/>
      </c>
      <c r="AA1255" s="177"/>
      <c r="AC1255" s="177" t="s">
        <v>880</v>
      </c>
    </row>
    <row r="1256" spans="1:29" ht="20.25" customHeight="1">
      <c r="A1256" s="217"/>
      <c r="E1256" s="187">
        <v>133.38</v>
      </c>
      <c r="F1256" s="178">
        <v>2020</v>
      </c>
      <c r="G1256" s="188">
        <v>351737000</v>
      </c>
      <c r="H1256" s="188">
        <v>-19891000</v>
      </c>
      <c r="I1256" s="188">
        <v>-38700000</v>
      </c>
      <c r="J1256" s="188">
        <v>-46911000</v>
      </c>
      <c r="K1256" s="188">
        <v>-135587000</v>
      </c>
      <c r="L1256" s="188">
        <v>422070000</v>
      </c>
      <c r="M1256" s="194">
        <f>L1256/P1256</f>
        <v>7.4967992466504505</v>
      </c>
      <c r="N1256" s="190">
        <f>J1256/L1256</f>
        <v>-0.11114507072286588</v>
      </c>
      <c r="O1256" s="190">
        <f>(I1256*0.7)/(K1256+L1256)</f>
        <v>-9.4560584746738896E-2</v>
      </c>
      <c r="P1256" s="188">
        <v>56300027</v>
      </c>
      <c r="Q1256" s="188">
        <f>P1256*E1256</f>
        <v>7509297601.2599993</v>
      </c>
      <c r="R1256" s="195">
        <f>Q1256/L1256</f>
        <v>17.791592866728266</v>
      </c>
      <c r="S1256" s="197">
        <f>(Q1256+K1256)/H1256</f>
        <v>-370.70587709315765</v>
      </c>
      <c r="T1256" s="180"/>
      <c r="U1256" s="189">
        <f>IFERROR(IF(Tableau3[[#This Row],[Dettes]]=0,"",(Tableau3[[#This Row],[Dettes]]/Tableau3[[#This Row],[EBE]])),"")</f>
        <v>6.8164999245890101</v>
      </c>
      <c r="V1256" s="190" t="str">
        <f>IFERROR(Tableau3[[#This Row],[Fonds propres]]/Tableau3[[#This Row],[Total Bilan]],"")</f>
        <v/>
      </c>
      <c r="W1256" s="180"/>
      <c r="Y1256" s="180"/>
      <c r="Z1256" s="192" t="str">
        <f>IFERROR(Tableau3[[#This Row],[Chiffre d''affaires]]/Tableau3[[#This Row],[Salariés]],"")</f>
        <v/>
      </c>
      <c r="AA1256" s="177"/>
      <c r="AC1256" s="177" t="s">
        <v>881</v>
      </c>
    </row>
    <row r="1257" spans="1:29" ht="20.25" customHeight="1">
      <c r="A1257" s="217"/>
      <c r="E1257" s="187"/>
      <c r="G1257" s="202">
        <f>(G1256/G1258)-1</f>
        <v>0.21718412601738546</v>
      </c>
      <c r="H1257" s="202">
        <f>(H1256/H1258)-1</f>
        <v>-0.28703537761210074</v>
      </c>
      <c r="I1257" s="202">
        <f>(I1256/I1258)-1</f>
        <v>0.27214752966700639</v>
      </c>
      <c r="J1257" s="202">
        <f>(J1256/J1258)-1</f>
        <v>0.44186260949746425</v>
      </c>
      <c r="K1257" s="188"/>
      <c r="L1257" s="188"/>
      <c r="M1257" s="178"/>
      <c r="N1257" s="178"/>
      <c r="O1257" s="178"/>
      <c r="P1257" s="188"/>
      <c r="Q1257" s="178"/>
      <c r="R1257" s="178"/>
      <c r="S1257" s="178"/>
      <c r="T1257" s="180"/>
      <c r="U1257" s="189" t="str">
        <f>IFERROR(IF(Tableau3[[#This Row],[Dettes]]=0,"",(Tableau3[[#This Row],[Dettes]]/Tableau3[[#This Row],[EBE]])),"")</f>
        <v/>
      </c>
      <c r="V1257" s="190" t="str">
        <f>IFERROR(Tableau3[[#This Row],[Fonds propres]]/Tableau3[[#This Row],[Total Bilan]],"")</f>
        <v/>
      </c>
      <c r="W1257" s="180"/>
      <c r="Y1257" s="180"/>
      <c r="Z1257" s="192" t="str">
        <f>IFERROR(Tableau3[[#This Row],[Chiffre d''affaires]]/Tableau3[[#This Row],[Salariés]],"")</f>
        <v/>
      </c>
      <c r="AA1257" s="177"/>
      <c r="AC1257" s="177" t="s">
        <v>882</v>
      </c>
    </row>
    <row r="1258" spans="1:29" ht="20.25" customHeight="1">
      <c r="A1258" s="217"/>
      <c r="E1258" s="187">
        <v>51.56</v>
      </c>
      <c r="F1258" s="178">
        <v>2019</v>
      </c>
      <c r="G1258" s="188">
        <v>288976000</v>
      </c>
      <c r="H1258" s="188">
        <v>-27899000</v>
      </c>
      <c r="I1258" s="188">
        <v>-30421000</v>
      </c>
      <c r="J1258" s="188">
        <v>-32535000</v>
      </c>
      <c r="K1258" s="188">
        <v>-223403000</v>
      </c>
      <c r="L1258" s="188">
        <v>398613000</v>
      </c>
      <c r="M1258" s="194">
        <f>L1258/P1258</f>
        <v>7.1268713729636204</v>
      </c>
      <c r="N1258" s="190">
        <f>J1258/L1258</f>
        <v>-8.1620519150153156E-2</v>
      </c>
      <c r="O1258" s="190">
        <f>(I1258*0.7)/(K1258+L1258)</f>
        <v>-0.12153815421494207</v>
      </c>
      <c r="P1258" s="188">
        <v>55930994</v>
      </c>
      <c r="Q1258" s="188">
        <f>P1258*E1258</f>
        <v>2883802050.6400003</v>
      </c>
      <c r="R1258" s="195">
        <f>Q1258/L1258</f>
        <v>7.2345910711391763</v>
      </c>
      <c r="S1258" s="197">
        <f>(Q1258+K1258)/H1258</f>
        <v>-95.358222539875996</v>
      </c>
      <c r="T1258" s="180"/>
      <c r="U1258" s="189">
        <f>IFERROR(IF(Tableau3[[#This Row],[Dettes]]=0,"",(Tableau3[[#This Row],[Dettes]]/Tableau3[[#This Row],[EBE]])),"")</f>
        <v>8.0075629950894296</v>
      </c>
      <c r="V1258" s="190" t="str">
        <f>IFERROR(Tableau3[[#This Row],[Fonds propres]]/Tableau3[[#This Row],[Total Bilan]],"")</f>
        <v/>
      </c>
      <c r="W1258" s="180"/>
      <c r="Y1258" s="180"/>
      <c r="Z1258" s="192" t="str">
        <f>IFERROR(Tableau3[[#This Row],[Chiffre d''affaires]]/Tableau3[[#This Row],[Salariés]],"")</f>
        <v/>
      </c>
      <c r="AA1258" s="177"/>
      <c r="AC1258" s="177" t="s">
        <v>883</v>
      </c>
    </row>
    <row r="1259" spans="1:29" ht="20.25" customHeight="1">
      <c r="A1259" s="217"/>
      <c r="E1259" s="187"/>
      <c r="G1259" s="202">
        <f>(G1258/G1260)-1</f>
        <v>0.26861818884225674</v>
      </c>
      <c r="H1259" s="202">
        <f>(H1258/H1260)-1</f>
        <v>-6.4921571256200572E-2</v>
      </c>
      <c r="I1259" s="202">
        <f>(I1258/I1260)-1</f>
        <v>9.8072480508229809E-2</v>
      </c>
      <c r="J1259" s="202">
        <f>(J1258/J1260)-1</f>
        <v>0.13307097583060523</v>
      </c>
      <c r="K1259" s="188"/>
      <c r="L1259" s="188"/>
      <c r="M1259" s="178"/>
      <c r="N1259" s="178"/>
      <c r="O1259" s="178"/>
      <c r="P1259" s="188"/>
      <c r="Q1259" s="178"/>
      <c r="R1259" s="178"/>
      <c r="S1259" s="178"/>
      <c r="T1259" s="180"/>
      <c r="U1259" s="189" t="str">
        <f>IFERROR(IF(Tableau3[[#This Row],[Dettes]]=0,"",(Tableau3[[#This Row],[Dettes]]/Tableau3[[#This Row],[EBE]])),"")</f>
        <v/>
      </c>
      <c r="V1259" s="190" t="str">
        <f>IFERROR(Tableau3[[#This Row],[Fonds propres]]/Tableau3[[#This Row],[Total Bilan]],"")</f>
        <v/>
      </c>
      <c r="W1259" s="180"/>
      <c r="Y1259" s="180"/>
      <c r="Z1259" s="192" t="str">
        <f>IFERROR(Tableau3[[#This Row],[Chiffre d''affaires]]/Tableau3[[#This Row],[Salariés]],"")</f>
        <v/>
      </c>
      <c r="AA1259" s="177"/>
      <c r="AC1259" s="177" t="s">
        <v>884</v>
      </c>
    </row>
    <row r="1260" spans="1:29" ht="20.25" customHeight="1">
      <c r="A1260" s="217"/>
      <c r="E1260" s="187">
        <v>40.950000000000003</v>
      </c>
      <c r="F1260" s="178">
        <v>2018</v>
      </c>
      <c r="G1260" s="188">
        <v>227788000</v>
      </c>
      <c r="H1260" s="188">
        <v>-29836000</v>
      </c>
      <c r="I1260" s="188">
        <v>-27704000</v>
      </c>
      <c r="J1260" s="188">
        <v>-28714000</v>
      </c>
      <c r="K1260" s="188">
        <v>-132577000</v>
      </c>
      <c r="L1260" s="188">
        <v>319267000</v>
      </c>
      <c r="M1260" s="194">
        <f>L1260/P1260</f>
        <v>5.8385432585222148</v>
      </c>
      <c r="N1260" s="190">
        <f>J1260/L1260</f>
        <v>-8.9937262542010288E-2</v>
      </c>
      <c r="O1260" s="190">
        <f>(I1260*0.7)/(K1260+L1260)</f>
        <v>-0.10387701537307836</v>
      </c>
      <c r="P1260" s="188">
        <v>54682647</v>
      </c>
      <c r="Q1260" s="188">
        <f>P1260*E1260</f>
        <v>2239254394.6500001</v>
      </c>
      <c r="R1260" s="195">
        <f>Q1260/L1260</f>
        <v>7.0137358218982859</v>
      </c>
      <c r="S1260" s="197">
        <f>(Q1260+K1260)/H1260</f>
        <v>-70.608573356012869</v>
      </c>
      <c r="T1260" s="180"/>
      <c r="U1260" s="189">
        <f>IFERROR(IF(Tableau3[[#This Row],[Dettes]]=0,"",(Tableau3[[#This Row],[Dettes]]/Tableau3[[#This Row],[EBE]])),"")</f>
        <v>4.4435246011529692</v>
      </c>
      <c r="V1260" s="190" t="str">
        <f>IFERROR(Tableau3[[#This Row],[Fonds propres]]/Tableau3[[#This Row],[Total Bilan]],"")</f>
        <v/>
      </c>
      <c r="W1260" s="180"/>
      <c r="Y1260" s="180"/>
      <c r="Z1260" s="192" t="str">
        <f>IFERROR(Tableau3[[#This Row],[Chiffre d''affaires]]/Tableau3[[#This Row],[Salariés]],"")</f>
        <v/>
      </c>
      <c r="AA1260" s="177"/>
      <c r="AC1260" s="177" t="s">
        <v>885</v>
      </c>
    </row>
    <row r="1261" spans="1:29" ht="20.25" customHeight="1">
      <c r="A1261" s="217"/>
      <c r="E1261" s="187"/>
      <c r="G1261" s="202">
        <f>(G1260/G1262)-1</f>
        <v>0.29717601635507362</v>
      </c>
      <c r="H1261" s="202">
        <f>(H1260/H1262)-1</f>
        <v>-1.8843105659508752E-2</v>
      </c>
      <c r="I1261" s="202">
        <f>(I1260/I1262)-1</f>
        <v>-0.15647169868769606</v>
      </c>
      <c r="J1261" s="202">
        <f>(J1260/J1262)-1</f>
        <v>-0.1405052681992337</v>
      </c>
      <c r="K1261" s="188"/>
      <c r="L1261" s="188"/>
      <c r="M1261" s="178"/>
      <c r="N1261" s="178"/>
      <c r="O1261" s="178"/>
      <c r="P1261" s="188"/>
      <c r="Q1261" s="178"/>
      <c r="R1261" s="178"/>
      <c r="S1261" s="178"/>
      <c r="T1261" s="180"/>
      <c r="U1261" s="189" t="str">
        <f>IFERROR(IF(Tableau3[[#This Row],[Dettes]]=0,"",(Tableau3[[#This Row],[Dettes]]/Tableau3[[#This Row],[EBE]])),"")</f>
        <v/>
      </c>
      <c r="V1261" s="190" t="str">
        <f>IFERROR(Tableau3[[#This Row],[Fonds propres]]/Tableau3[[#This Row],[Total Bilan]],"")</f>
        <v/>
      </c>
      <c r="W1261" s="180"/>
      <c r="Y1261" s="180"/>
      <c r="Z1261" s="192" t="str">
        <f>IFERROR(Tableau3[[#This Row],[Chiffre d''affaires]]/Tableau3[[#This Row],[Salariés]],"")</f>
        <v/>
      </c>
      <c r="AA1261" s="177"/>
      <c r="AC1261" s="177" t="s">
        <v>886</v>
      </c>
    </row>
    <row r="1262" spans="1:29" ht="20.25" customHeight="1">
      <c r="A1262" s="217"/>
      <c r="E1262" s="187">
        <v>33.409999999999997</v>
      </c>
      <c r="F1262" s="178">
        <v>2017</v>
      </c>
      <c r="G1262" s="188">
        <v>175603000</v>
      </c>
      <c r="H1262" s="188">
        <v>-30409000</v>
      </c>
      <c r="I1262" s="188">
        <v>-32843000</v>
      </c>
      <c r="J1262" s="188">
        <v>-33408000</v>
      </c>
      <c r="K1262" s="188">
        <v>-112580000</v>
      </c>
      <c r="L1262" s="188">
        <v>315913000</v>
      </c>
      <c r="M1262" s="194">
        <f>L1262/P1262</f>
        <v>5.9625351527848558</v>
      </c>
      <c r="N1262" s="190">
        <f>J1262/L1262</f>
        <v>-0.10575063387704843</v>
      </c>
      <c r="O1262" s="190">
        <f>(I1262*0.7)/(K1262+L1262)</f>
        <v>-0.11306625092828021</v>
      </c>
      <c r="P1262" s="188">
        <v>52983000</v>
      </c>
      <c r="Q1262" s="188">
        <f>P1262*E1262</f>
        <v>1770162029.9999998</v>
      </c>
      <c r="R1262" s="195">
        <f>Q1262/L1262</f>
        <v>5.6033212624994846</v>
      </c>
      <c r="S1262" s="197">
        <f>(Q1262+K1262)/H1262</f>
        <v>-54.509586964385534</v>
      </c>
      <c r="T1262" s="180"/>
      <c r="U1262" s="189">
        <f>IFERROR(IF(Tableau3[[#This Row],[Dettes]]=0,"",(Tableau3[[#This Row],[Dettes]]/Tableau3[[#This Row],[EBE]])),"")</f>
        <v>3.70219342957677</v>
      </c>
      <c r="V1262" s="190" t="str">
        <f>IFERROR(Tableau3[[#This Row],[Fonds propres]]/Tableau3[[#This Row],[Total Bilan]],"")</f>
        <v/>
      </c>
      <c r="W1262" s="180"/>
      <c r="Y1262" s="180"/>
      <c r="Z1262" s="192" t="str">
        <f>IFERROR(Tableau3[[#This Row],[Chiffre d''affaires]]/Tableau3[[#This Row],[Salariés]],"")</f>
        <v/>
      </c>
      <c r="AA1262" s="177"/>
      <c r="AC1262" s="177" t="s">
        <v>887</v>
      </c>
    </row>
    <row r="1263" spans="1:29" ht="20.25" customHeight="1">
      <c r="A1263" s="217"/>
      <c r="E1263" s="187"/>
      <c r="G1263" s="202">
        <f>(G1262/G1264)-1</f>
        <v>0.37153412374837935</v>
      </c>
      <c r="H1263" s="202">
        <f>(H1262/H1264)-1</f>
        <v>0.31169391364361809</v>
      </c>
      <c r="I1263" s="202">
        <f>(I1262/I1264)-1</f>
        <v>-6.1494499214173493E-2</v>
      </c>
      <c r="J1263" s="202">
        <f>(J1262/J1264)-1</f>
        <v>0.24022719679251581</v>
      </c>
      <c r="K1263" s="188"/>
      <c r="L1263" s="188"/>
      <c r="M1263" s="178"/>
      <c r="N1263" s="178"/>
      <c r="O1263" s="178"/>
      <c r="P1263" s="188"/>
      <c r="Q1263" s="178"/>
      <c r="R1263" s="178"/>
      <c r="S1263" s="178"/>
      <c r="T1263" s="180"/>
      <c r="U1263" s="189" t="str">
        <f>IFERROR(IF(Tableau3[[#This Row],[Dettes]]=0,"",(Tableau3[[#This Row],[Dettes]]/Tableau3[[#This Row],[EBE]])),"")</f>
        <v/>
      </c>
      <c r="V1263" s="190" t="str">
        <f>IFERROR(Tableau3[[#This Row],[Fonds propres]]/Tableau3[[#This Row],[Total Bilan]],"")</f>
        <v/>
      </c>
      <c r="W1263" s="180"/>
      <c r="Y1263" s="180"/>
      <c r="Z1263" s="192" t="str">
        <f>IFERROR(Tableau3[[#This Row],[Chiffre d''affaires]]/Tableau3[[#This Row],[Salariés]],"")</f>
        <v/>
      </c>
      <c r="AA1263" s="177"/>
      <c r="AC1263" s="177" t="s">
        <v>888</v>
      </c>
    </row>
    <row r="1264" spans="1:29" ht="20.25" customHeight="1">
      <c r="A1264" s="217"/>
      <c r="E1264" s="187">
        <v>27.63</v>
      </c>
      <c r="F1264" s="178">
        <v>2016</v>
      </c>
      <c r="G1264" s="188">
        <v>128034000</v>
      </c>
      <c r="H1264" s="188">
        <v>-23183000</v>
      </c>
      <c r="I1264" s="188">
        <v>-34995000</v>
      </c>
      <c r="J1264" s="188">
        <v>-26937000</v>
      </c>
      <c r="K1264" s="188">
        <v>-105248000</v>
      </c>
      <c r="L1264" s="188">
        <v>308042000</v>
      </c>
      <c r="M1264" s="194">
        <f>L1264/P1264</f>
        <v>6.0072935761925192</v>
      </c>
      <c r="N1264" s="190">
        <f>J1264/L1264</f>
        <v>-8.7445867771277941E-2</v>
      </c>
      <c r="O1264" s="190">
        <f>(I1264*0.7)/(K1264+L1264)</f>
        <v>-0.1207949939347318</v>
      </c>
      <c r="P1264" s="188">
        <v>51278000</v>
      </c>
      <c r="Q1264" s="188">
        <f>P1264*E1264</f>
        <v>1416811140</v>
      </c>
      <c r="R1264" s="195">
        <f>Q1264/L1264</f>
        <v>4.5994089766979824</v>
      </c>
      <c r="S1264" s="197">
        <f>(Q1264+K1264)/H1264</f>
        <v>-56.574349307682354</v>
      </c>
      <c r="T1264" s="180"/>
      <c r="U1264" s="189">
        <f>IFERROR(IF(Tableau3[[#This Row],[Dettes]]=0,"",(Tableau3[[#This Row],[Dettes]]/Tableau3[[#This Row],[EBE]])),"")</f>
        <v>4.5398783591424747</v>
      </c>
      <c r="V1264" s="190" t="str">
        <f>IFERROR(Tableau3[[#This Row],[Fonds propres]]/Tableau3[[#This Row],[Total Bilan]],"")</f>
        <v/>
      </c>
      <c r="W1264" s="180"/>
      <c r="Y1264" s="180"/>
      <c r="Z1264" s="192" t="str">
        <f>IFERROR(Tableau3[[#This Row],[Chiffre d''affaires]]/Tableau3[[#This Row],[Salariés]],"")</f>
        <v/>
      </c>
      <c r="AA1264" s="177"/>
      <c r="AC1264" s="177" t="s">
        <v>889</v>
      </c>
    </row>
    <row r="1265" spans="1:29" ht="20.25" customHeight="1">
      <c r="A1265" s="217"/>
      <c r="G1265" s="188"/>
      <c r="H1265" s="188"/>
      <c r="I1265" s="178"/>
      <c r="J1265" s="188"/>
      <c r="K1265" s="188"/>
      <c r="L1265" s="188"/>
      <c r="M1265" s="178"/>
      <c r="N1265" s="178"/>
      <c r="O1265" s="178"/>
      <c r="P1265" s="188"/>
      <c r="Q1265" s="178"/>
      <c r="R1265" s="178"/>
      <c r="S1265" s="178"/>
      <c r="T1265" s="180"/>
      <c r="U1265" s="189" t="str">
        <f>IFERROR(IF(Tableau3[[#This Row],[Dettes]]=0,"",(Tableau3[[#This Row],[Dettes]]/Tableau3[[#This Row],[EBE]])),"")</f>
        <v/>
      </c>
      <c r="V1265" s="190" t="str">
        <f>IFERROR(Tableau3[[#This Row],[Fonds propres]]/Tableau3[[#This Row],[Total Bilan]],"")</f>
        <v/>
      </c>
      <c r="W1265" s="180"/>
      <c r="Y1265" s="180"/>
      <c r="Z1265" s="192" t="str">
        <f>IFERROR(Tableau3[[#This Row],[Chiffre d''affaires]]/Tableau3[[#This Row],[Salariés]],"")</f>
        <v/>
      </c>
      <c r="AA1265" s="177"/>
      <c r="AC1265" s="177" t="s">
        <v>890</v>
      </c>
    </row>
    <row r="1266" spans="1:29" ht="20.25" customHeight="1">
      <c r="A1266" s="217"/>
      <c r="F1266" s="224" t="s">
        <v>891</v>
      </c>
      <c r="G1266" s="188"/>
      <c r="H1266" s="178"/>
      <c r="I1266" s="178"/>
      <c r="J1266" s="178"/>
      <c r="K1266" s="178"/>
      <c r="L1266" s="178"/>
      <c r="M1266" s="178"/>
      <c r="N1266" s="238"/>
      <c r="O1266" s="238"/>
      <c r="P1266" s="238"/>
      <c r="Q1266" s="238"/>
      <c r="R1266" s="238"/>
      <c r="S1266" s="178"/>
      <c r="T1266" s="180"/>
      <c r="U1266" s="189" t="str">
        <f>IFERROR(IF(Tableau3[[#This Row],[Dettes]]=0,"",(Tableau3[[#This Row],[Dettes]]/Tableau3[[#This Row],[EBE]])),"")</f>
        <v/>
      </c>
      <c r="V1266" s="190" t="str">
        <f>IFERROR(Tableau3[[#This Row],[Fonds propres]]/Tableau3[[#This Row],[Total Bilan]],"")</f>
        <v/>
      </c>
      <c r="W1266" s="180"/>
      <c r="Y1266" s="180"/>
      <c r="Z1266" s="192" t="str">
        <f>IFERROR(Tableau3[[#This Row],[Chiffre d''affaires]]/Tableau3[[#This Row],[Salariés]],"")</f>
        <v/>
      </c>
      <c r="AA1266" s="177"/>
      <c r="AC1266" s="177" t="s">
        <v>876</v>
      </c>
    </row>
    <row r="1267" spans="1:29" ht="20.25" customHeight="1">
      <c r="A1267" s="217"/>
      <c r="E1267" s="232"/>
      <c r="G1267" s="188"/>
      <c r="H1267" s="178"/>
      <c r="I1267" s="178"/>
      <c r="J1267" s="178"/>
      <c r="K1267" s="178"/>
      <c r="L1267" s="178"/>
      <c r="M1267" s="178"/>
      <c r="N1267" s="238"/>
      <c r="O1267" s="238"/>
      <c r="P1267" s="238"/>
      <c r="Q1267" s="238"/>
      <c r="R1267" s="238"/>
      <c r="S1267" s="178"/>
      <c r="T1267" s="180"/>
      <c r="U1267" s="189" t="str">
        <f>IFERROR(IF(Tableau3[[#This Row],[Dettes]]=0,"",(Tableau3[[#This Row],[Dettes]]/Tableau3[[#This Row],[EBE]])),"")</f>
        <v/>
      </c>
      <c r="V1267" s="190" t="str">
        <f>IFERROR(Tableau3[[#This Row],[Fonds propres]]/Tableau3[[#This Row],[Total Bilan]],"")</f>
        <v/>
      </c>
      <c r="W1267" s="180"/>
      <c r="Y1267" s="180"/>
      <c r="Z1267" s="192" t="str">
        <f>IFERROR(Tableau3[[#This Row],[Chiffre d''affaires]]/Tableau3[[#This Row],[Salariés]],"")</f>
        <v/>
      </c>
      <c r="AA1267" s="177"/>
      <c r="AC1267" s="177" t="s">
        <v>892</v>
      </c>
    </row>
    <row r="1268" spans="1:29" ht="20.25" customHeight="1">
      <c r="A1268" s="217"/>
      <c r="E1268" s="232"/>
      <c r="G1268" s="188"/>
      <c r="H1268" s="178"/>
      <c r="I1268" s="178"/>
      <c r="J1268" s="178"/>
      <c r="K1268" s="178"/>
      <c r="L1268" s="178"/>
      <c r="M1268" s="178"/>
      <c r="N1268" s="238"/>
      <c r="O1268" s="238"/>
      <c r="P1268" s="238"/>
      <c r="Q1268" s="238"/>
      <c r="R1268" s="238"/>
      <c r="S1268" s="178"/>
      <c r="T1268" s="180"/>
      <c r="U1268" s="189" t="str">
        <f>IFERROR(IF(Tableau3[[#This Row],[Dettes]]=0,"",(Tableau3[[#This Row],[Dettes]]/Tableau3[[#This Row],[EBE]])),"")</f>
        <v/>
      </c>
      <c r="V1268" s="190" t="str">
        <f>IFERROR(Tableau3[[#This Row],[Fonds propres]]/Tableau3[[#This Row],[Total Bilan]],"")</f>
        <v/>
      </c>
      <c r="W1268" s="180"/>
      <c r="Y1268" s="180"/>
      <c r="Z1268" s="192" t="str">
        <f>IFERROR(Tableau3[[#This Row],[Chiffre d''affaires]]/Tableau3[[#This Row],[Salariés]],"")</f>
        <v/>
      </c>
      <c r="AA1268" s="177"/>
      <c r="AC1268" s="177" t="s">
        <v>711</v>
      </c>
    </row>
    <row r="1269" spans="1:29" ht="20.25" customHeight="1">
      <c r="A1269" s="217"/>
      <c r="E1269" s="232"/>
      <c r="G1269" s="188"/>
      <c r="H1269" s="178"/>
      <c r="I1269" s="178"/>
      <c r="J1269" s="178"/>
      <c r="K1269" s="178"/>
      <c r="L1269" s="178"/>
      <c r="M1269" s="178"/>
      <c r="N1269" s="238"/>
      <c r="O1269" s="238"/>
      <c r="P1269" s="238"/>
      <c r="Q1269" s="238"/>
      <c r="R1269" s="238"/>
      <c r="S1269" s="178"/>
      <c r="T1269" s="180"/>
      <c r="U1269" s="189" t="str">
        <f>IFERROR(IF(Tableau3[[#This Row],[Dettes]]=0,"",(Tableau3[[#This Row],[Dettes]]/Tableau3[[#This Row],[EBE]])),"")</f>
        <v/>
      </c>
      <c r="V1269" s="190" t="str">
        <f>IFERROR(Tableau3[[#This Row],[Fonds propres]]/Tableau3[[#This Row],[Total Bilan]],"")</f>
        <v/>
      </c>
      <c r="W1269" s="180"/>
      <c r="Y1269" s="180"/>
      <c r="Z1269" s="192" t="str">
        <f>IFERROR(Tableau3[[#This Row],[Chiffre d''affaires]]/Tableau3[[#This Row],[Salariés]],"")</f>
        <v/>
      </c>
      <c r="AA1269" s="177"/>
    </row>
    <row r="1270" spans="1:29" ht="20.25" customHeight="1">
      <c r="A1270" s="217"/>
      <c r="E1270" s="232"/>
      <c r="G1270" s="188"/>
      <c r="H1270" s="178"/>
      <c r="I1270" s="178"/>
      <c r="J1270" s="178"/>
      <c r="K1270" s="178"/>
      <c r="L1270" s="178"/>
      <c r="M1270" s="178"/>
      <c r="N1270" s="238"/>
      <c r="O1270" s="238"/>
      <c r="P1270" s="238"/>
      <c r="Q1270" s="238"/>
      <c r="R1270" s="238"/>
      <c r="S1270" s="178"/>
      <c r="T1270" s="180"/>
      <c r="U1270" s="189" t="str">
        <f>IFERROR(IF(Tableau3[[#This Row],[Dettes]]=0,"",(Tableau3[[#This Row],[Dettes]]/Tableau3[[#This Row],[EBE]])),"")</f>
        <v/>
      </c>
      <c r="V1270" s="190" t="str">
        <f>IFERROR(Tableau3[[#This Row],[Fonds propres]]/Tableau3[[#This Row],[Total Bilan]],"")</f>
        <v/>
      </c>
      <c r="W1270" s="180"/>
      <c r="Y1270" s="180"/>
      <c r="Z1270" s="192" t="str">
        <f>IFERROR(Tableau3[[#This Row],[Chiffre d''affaires]]/Tableau3[[#This Row],[Salariés]],"")</f>
        <v/>
      </c>
      <c r="AA1270" s="177"/>
    </row>
    <row r="1271" spans="1:29" ht="20.25" customHeight="1">
      <c r="A1271" s="217" t="s">
        <v>893</v>
      </c>
      <c r="B1271" s="216" t="s">
        <v>894</v>
      </c>
      <c r="C1271" s="178" t="s">
        <v>84</v>
      </c>
      <c r="D1271" s="178" t="s">
        <v>85</v>
      </c>
      <c r="E1271" s="187"/>
      <c r="G1271" s="188"/>
      <c r="H1271" s="178"/>
      <c r="I1271" s="178"/>
      <c r="J1271" s="178"/>
      <c r="K1271" s="178"/>
      <c r="L1271" s="178"/>
      <c r="M1271" s="178"/>
      <c r="N1271" s="238"/>
      <c r="O1271" s="238"/>
      <c r="P1271" s="238"/>
      <c r="Q1271" s="238"/>
      <c r="R1271" s="238"/>
      <c r="S1271" s="178"/>
      <c r="T1271" s="180"/>
      <c r="U1271" s="189" t="str">
        <f>IFERROR(IF(Tableau3[[#This Row],[Dettes]]=0,"",(Tableau3[[#This Row],[Dettes]]/Tableau3[[#This Row],[EBE]])),"")</f>
        <v/>
      </c>
      <c r="V1271" s="190" t="str">
        <f>IFERROR(Tableau3[[#This Row],[Fonds propres]]/Tableau3[[#This Row],[Total Bilan]],"")</f>
        <v/>
      </c>
      <c r="W1271" s="180"/>
      <c r="Y1271" s="180"/>
      <c r="Z1271" s="192" t="str">
        <f>IFERROR(Tableau3[[#This Row],[Chiffre d''affaires]]/Tableau3[[#This Row],[Salariés]],"")</f>
        <v/>
      </c>
      <c r="AA1271" s="177"/>
      <c r="AC1271" s="177" t="s">
        <v>895</v>
      </c>
    </row>
    <row r="1272" spans="1:29" ht="20.25" customHeight="1">
      <c r="A1272" s="217"/>
      <c r="E1272" s="232"/>
      <c r="G1272" s="188"/>
      <c r="H1272" s="178"/>
      <c r="I1272" s="178"/>
      <c r="J1272" s="178"/>
      <c r="K1272" s="178"/>
      <c r="L1272" s="178"/>
      <c r="M1272" s="178"/>
      <c r="N1272" s="238"/>
      <c r="O1272" s="238"/>
      <c r="P1272" s="238"/>
      <c r="Q1272" s="238"/>
      <c r="R1272" s="238"/>
      <c r="S1272" s="178"/>
      <c r="T1272" s="180"/>
      <c r="U1272" s="189" t="str">
        <f>IFERROR(IF(Tableau3[[#This Row],[Dettes]]=0,"",(Tableau3[[#This Row],[Dettes]]/Tableau3[[#This Row],[EBE]])),"")</f>
        <v/>
      </c>
      <c r="V1272" s="190" t="str">
        <f>IFERROR(Tableau3[[#This Row],[Fonds propres]]/Tableau3[[#This Row],[Total Bilan]],"")</f>
        <v/>
      </c>
      <c r="W1272" s="180"/>
      <c r="Y1272" s="180"/>
      <c r="Z1272" s="192" t="str">
        <f>IFERROR(Tableau3[[#This Row],[Chiffre d''affaires]]/Tableau3[[#This Row],[Salariés]],"")</f>
        <v/>
      </c>
      <c r="AA1272" s="177"/>
      <c r="AC1272" s="177" t="s">
        <v>897</v>
      </c>
    </row>
    <row r="1273" spans="1:29" ht="20.25" customHeight="1">
      <c r="A1273" s="217"/>
      <c r="E1273" s="187">
        <v>7.05</v>
      </c>
      <c r="F1273" s="178">
        <v>2023</v>
      </c>
      <c r="G1273" s="188">
        <f>G1275*1.03</f>
        <v>11681230000</v>
      </c>
      <c r="H1273" s="188">
        <v>1150000000</v>
      </c>
      <c r="I1273" s="211">
        <f>Tableau3[[#This Row],[Chiffre d''affaires]]*0.05</f>
        <v>584061500</v>
      </c>
      <c r="J1273" s="211">
        <v>0</v>
      </c>
      <c r="K1273" s="211">
        <v>2500000000</v>
      </c>
      <c r="L1273" s="188">
        <v>3400000000</v>
      </c>
      <c r="M1273" s="208">
        <f>L1273/P1273</f>
        <v>31.02706285366574</v>
      </c>
      <c r="N1273" s="190">
        <f>J1273/L1273</f>
        <v>0</v>
      </c>
      <c r="O1273" s="190">
        <f>(I1273*0.6666)/(K1273+L1273)</f>
        <v>6.5989050152542375E-2</v>
      </c>
      <c r="P1273" s="188">
        <v>109581755</v>
      </c>
      <c r="Q1273" s="188">
        <f>E1273*P1273</f>
        <v>772551372.75</v>
      </c>
      <c r="R1273" s="195">
        <f>Q1273/L1273</f>
        <v>0.22722099198529411</v>
      </c>
      <c r="S1273" s="197">
        <f>(Q1273+K1273)/H1273</f>
        <v>2.8456968458695653</v>
      </c>
      <c r="T1273" s="180">
        <v>0</v>
      </c>
      <c r="U1273" s="189">
        <f>IFERROR(IF(Tableau3[[#This Row],[Dettes]]=0,"",(Tableau3[[#This Row],[Dettes]]/Tableau3[[#This Row],[EBE]])),"")</f>
        <v>2.1739130434782608</v>
      </c>
      <c r="V1273" s="190" t="str">
        <f>IFERROR(Tableau3[[#This Row],[Fonds propres]]/Tableau3[[#This Row],[Total Bilan]],"")</f>
        <v/>
      </c>
      <c r="W1273" s="180"/>
      <c r="X1273" s="191" t="s">
        <v>898</v>
      </c>
      <c r="Y1273" s="180">
        <v>110797</v>
      </c>
      <c r="Z1273" s="192">
        <f>IFERROR(Tableau3[[#This Row],[Chiffre d''affaires]]/Tableau3[[#This Row],[Salariés]],"")</f>
        <v>105429.11811691652</v>
      </c>
      <c r="AA1273" s="177"/>
      <c r="AC1273" s="177" t="s">
        <v>899</v>
      </c>
    </row>
    <row r="1274" spans="1:29" ht="20.25" customHeight="1">
      <c r="A1274" s="217"/>
      <c r="E1274" s="232"/>
      <c r="G1274" s="202">
        <f>(G1273/G1275)-1</f>
        <v>3.0000000000000027E-2</v>
      </c>
      <c r="H1274" s="203">
        <f>(H1273/H1275)-1</f>
        <v>0.12745098039215685</v>
      </c>
      <c r="I1274" s="203">
        <f>(I1273/I1275)-1</f>
        <v>0.64062219101123596</v>
      </c>
      <c r="J1274" s="203">
        <f>(J1273/J1275)-1</f>
        <v>-1</v>
      </c>
      <c r="K1274" s="178"/>
      <c r="L1274" s="178"/>
      <c r="M1274" s="178"/>
      <c r="N1274" s="238"/>
      <c r="O1274" s="238"/>
      <c r="P1274" s="238"/>
      <c r="Q1274" s="238"/>
      <c r="R1274" s="238"/>
      <c r="S1274" s="178"/>
      <c r="T1274" s="180"/>
      <c r="U1274" s="189" t="str">
        <f>IFERROR(IF(Tableau3[[#This Row],[Dettes]]=0,"",(Tableau3[[#This Row],[Dettes]]/Tableau3[[#This Row],[EBE]])),"")</f>
        <v/>
      </c>
      <c r="V1274" s="190" t="str">
        <f>IFERROR(Tableau3[[#This Row],[Fonds propres]]/Tableau3[[#This Row],[Total Bilan]],"")</f>
        <v/>
      </c>
      <c r="W1274" s="180"/>
      <c r="X1274" s="206">
        <v>44743</v>
      </c>
      <c r="Y1274" s="180"/>
      <c r="Z1274" s="192" t="str">
        <f>IFERROR(Tableau3[[#This Row],[Chiffre d''affaires]]/Tableau3[[#This Row],[Salariés]],"")</f>
        <v/>
      </c>
      <c r="AA1274" s="177"/>
      <c r="AC1274" s="177" t="s">
        <v>900</v>
      </c>
    </row>
    <row r="1275" spans="1:29" ht="20.25" customHeight="1">
      <c r="A1275" s="217"/>
      <c r="E1275" s="187">
        <v>9.01</v>
      </c>
      <c r="F1275" s="178">
        <v>2022</v>
      </c>
      <c r="G1275" s="188">
        <v>11341000000</v>
      </c>
      <c r="H1275" s="188">
        <v>1020000000</v>
      </c>
      <c r="I1275" s="211">
        <v>356000000</v>
      </c>
      <c r="J1275" s="211">
        <v>-1012000000</v>
      </c>
      <c r="K1275" s="188">
        <v>1450000000</v>
      </c>
      <c r="L1275" s="188">
        <f>L1277+Tableau3[[#This Row],[Résultat Net (PdG)]]</f>
        <v>3425000000</v>
      </c>
      <c r="M1275" s="208">
        <f>L1275/P1275</f>
        <v>31.255203021707398</v>
      </c>
      <c r="N1275" s="190">
        <f>J1275/L1275</f>
        <v>-0.29547445255474453</v>
      </c>
      <c r="O1275" s="190">
        <f>(I1275*0.6666)/(K1275+L1275)</f>
        <v>4.8678892307692311E-2</v>
      </c>
      <c r="P1275" s="188">
        <v>109581755</v>
      </c>
      <c r="Q1275" s="188">
        <f>E1275*P1275</f>
        <v>987331612.54999995</v>
      </c>
      <c r="R1275" s="195">
        <f>Q1275/L1275</f>
        <v>0.28827200366423356</v>
      </c>
      <c r="S1275" s="197">
        <f>(Q1275+K1275)/H1275</f>
        <v>2.3895407966176472</v>
      </c>
      <c r="T1275" s="180">
        <v>-187000000</v>
      </c>
      <c r="U1275" s="189">
        <f>IFERROR(IF(Tableau3[[#This Row],[Dettes]]=0,"",(Tableau3[[#This Row],[Dettes]]/Tableau3[[#This Row],[EBE]])),"")</f>
        <v>1.4215686274509804</v>
      </c>
      <c r="V1275" s="190" t="str">
        <f>IFERROR(Tableau3[[#This Row],[Fonds propres]]/Tableau3[[#This Row],[Total Bilan]],"")</f>
        <v/>
      </c>
      <c r="W1275" s="180"/>
      <c r="Y1275" s="180">
        <v>110797</v>
      </c>
      <c r="Z1275" s="192">
        <f>IFERROR(Tableau3[[#This Row],[Chiffre d''affaires]]/Tableau3[[#This Row],[Salariés]],"")</f>
        <v>102358.36710380245</v>
      </c>
      <c r="AA1275" s="177"/>
      <c r="AC1275" s="177" t="s">
        <v>901</v>
      </c>
    </row>
    <row r="1276" spans="1:29" ht="20.25" customHeight="1">
      <c r="A1276" s="217"/>
      <c r="E1276" s="187"/>
      <c r="G1276" s="202">
        <f>(G1275/G1277)-1</f>
        <v>4.6314235630593226E-2</v>
      </c>
      <c r="H1276" s="203">
        <f>(H1275/H1277)-1</f>
        <v>-6.8493150684931559E-2</v>
      </c>
      <c r="I1276" s="203">
        <f>(I1275/I1277)-1</f>
        <v>-7.0496083550913857E-2</v>
      </c>
      <c r="J1276" s="203">
        <f>(J1275/J1277)-1</f>
        <v>-0.65833896016205262</v>
      </c>
      <c r="K1276" s="178"/>
      <c r="L1276" s="178"/>
      <c r="M1276" s="178"/>
      <c r="N1276" s="238"/>
      <c r="O1276" s="238"/>
      <c r="P1276" s="238"/>
      <c r="Q1276" s="238"/>
      <c r="R1276" s="238"/>
      <c r="S1276" s="178"/>
      <c r="T1276" s="180"/>
      <c r="U1276" s="189" t="str">
        <f>IFERROR(IF(Tableau3[[#This Row],[Dettes]]=0,"",(Tableau3[[#This Row],[Dettes]]/Tableau3[[#This Row],[EBE]])),"")</f>
        <v/>
      </c>
      <c r="V1276" s="190" t="str">
        <f>IFERROR(Tableau3[[#This Row],[Fonds propres]]/Tableau3[[#This Row],[Total Bilan]],"")</f>
        <v/>
      </c>
      <c r="W1276" s="180"/>
      <c r="Y1276" s="180"/>
      <c r="Z1276" s="192" t="str">
        <f>IFERROR(Tableau3[[#This Row],[Chiffre d''affaires]]/Tableau3[[#This Row],[Salariés]],"")</f>
        <v/>
      </c>
      <c r="AA1276" s="177"/>
      <c r="AC1276" s="177" t="s">
        <v>902</v>
      </c>
    </row>
    <row r="1277" spans="1:29" ht="20.25" customHeight="1">
      <c r="A1277" s="217"/>
      <c r="E1277" s="187">
        <v>37.4</v>
      </c>
      <c r="F1277" s="230">
        <v>2021</v>
      </c>
      <c r="G1277" s="188">
        <v>10839000000</v>
      </c>
      <c r="H1277" s="188">
        <v>1095000000</v>
      </c>
      <c r="I1277" s="188">
        <v>383000000</v>
      </c>
      <c r="J1277" s="188">
        <v>-2962000000</v>
      </c>
      <c r="K1277" s="188">
        <v>1226000000</v>
      </c>
      <c r="L1277" s="188">
        <v>4437000000</v>
      </c>
      <c r="M1277" s="208">
        <f>L1277/P1277</f>
        <v>40.490317024033793</v>
      </c>
      <c r="N1277" s="190">
        <f>J1277/L1277</f>
        <v>-0.6675681766959658</v>
      </c>
      <c r="O1277" s="190">
        <f>(I1277*0.6666)/(K1277+L1277)</f>
        <v>4.5083489316616633E-2</v>
      </c>
      <c r="P1277" s="188">
        <v>109581755</v>
      </c>
      <c r="Q1277" s="188">
        <f>E1277*P1277</f>
        <v>4098357637</v>
      </c>
      <c r="R1277" s="195">
        <f>Q1277/L1277</f>
        <v>0.92367762835249045</v>
      </c>
      <c r="S1277" s="197">
        <f>(Q1277+K1277)/H1277</f>
        <v>4.8624270657534243</v>
      </c>
      <c r="T1277" s="180">
        <v>-419000000</v>
      </c>
      <c r="U1277" s="189">
        <f>IFERROR(IF(Tableau3[[#This Row],[Dettes]]=0,"",(Tableau3[[#This Row],[Dettes]]/Tableau3[[#This Row],[EBE]])),"")</f>
        <v>1.1196347031963469</v>
      </c>
      <c r="V1277" s="190" t="str">
        <f>IFERROR(Tableau3[[#This Row],[Fonds propres]]/Tableau3[[#This Row],[Total Bilan]],"")</f>
        <v/>
      </c>
      <c r="W1277" s="180"/>
      <c r="Y1277" s="180">
        <v>109135</v>
      </c>
      <c r="Z1277" s="192">
        <f>IFERROR(Tableau3[[#This Row],[Chiffre d''affaires]]/Tableau3[[#This Row],[Salariés]],"")</f>
        <v>99317.359233976269</v>
      </c>
      <c r="AA1277" s="197"/>
      <c r="AB1277" s="197"/>
      <c r="AC1277" s="177" t="s">
        <v>903</v>
      </c>
    </row>
    <row r="1278" spans="1:29" ht="20.25" customHeight="1">
      <c r="A1278" s="217"/>
      <c r="E1278" s="187"/>
      <c r="G1278" s="202">
        <f>(G1277/G1279)-1</f>
        <v>-3.0587603971022226E-2</v>
      </c>
      <c r="H1278" s="203">
        <f>(H1277/H1279)-1</f>
        <v>-0.34075857916917518</v>
      </c>
      <c r="I1278" s="203">
        <f>(I1277/I1279)-1</f>
        <v>-0.61776447105788423</v>
      </c>
      <c r="J1278" s="203">
        <f>(J1277/J1279)-1</f>
        <v>-6.3854545454545457</v>
      </c>
      <c r="K1278" s="188"/>
      <c r="L1278" s="188"/>
      <c r="M1278" s="208"/>
      <c r="N1278" s="190"/>
      <c r="O1278" s="190"/>
      <c r="P1278" s="188"/>
      <c r="Q1278" s="188"/>
      <c r="R1278" s="195"/>
      <c r="S1278" s="197"/>
      <c r="T1278" s="180"/>
      <c r="U1278" s="189" t="str">
        <f>IFERROR(IF(Tableau3[[#This Row],[Dettes]]=0,"",(Tableau3[[#This Row],[Dettes]]/Tableau3[[#This Row],[EBE]])),"")</f>
        <v/>
      </c>
      <c r="V1278" s="190" t="str">
        <f>IFERROR(Tableau3[[#This Row],[Fonds propres]]/Tableau3[[#This Row],[Total Bilan]],"")</f>
        <v/>
      </c>
      <c r="W1278" s="180"/>
      <c r="Y1278" s="180"/>
      <c r="Z1278" s="192" t="str">
        <f>IFERROR(Tableau3[[#This Row],[Chiffre d''affaires]]/Tableau3[[#This Row],[Salariés]],"")</f>
        <v/>
      </c>
      <c r="AA1278" s="207"/>
      <c r="AB1278" s="207"/>
      <c r="AC1278" s="177" t="s">
        <v>904</v>
      </c>
    </row>
    <row r="1279" spans="1:29" ht="20.25" customHeight="1">
      <c r="A1279" s="217"/>
      <c r="E1279" s="187">
        <v>74.78</v>
      </c>
      <c r="F1279" s="178">
        <v>2020</v>
      </c>
      <c r="G1279" s="188">
        <v>11181000000</v>
      </c>
      <c r="H1279" s="188">
        <v>1661000000</v>
      </c>
      <c r="I1279" s="188">
        <v>1002000000</v>
      </c>
      <c r="J1279" s="188">
        <v>550000000</v>
      </c>
      <c r="K1279" s="188">
        <v>467000000</v>
      </c>
      <c r="L1279" s="188">
        <v>6861000000</v>
      </c>
      <c r="M1279" s="208">
        <f>L1279/P1279</f>
        <v>62.821090533477872</v>
      </c>
      <c r="N1279" s="190">
        <f>J1279/L1279</f>
        <v>8.0163241509983968E-2</v>
      </c>
      <c r="O1279" s="190">
        <f>(I1279*0.6666)/(K1279+L1279)</f>
        <v>9.1148089519650657E-2</v>
      </c>
      <c r="P1279" s="188">
        <v>109214914</v>
      </c>
      <c r="Q1279" s="188">
        <f>E1279*P1279</f>
        <v>8167091268.9200001</v>
      </c>
      <c r="R1279" s="195">
        <f>Q1279/L1279</f>
        <v>1.1903645633173008</v>
      </c>
      <c r="S1279" s="197">
        <f>(Q1279+K1279)/H1279</f>
        <v>5.1981283979048767</v>
      </c>
      <c r="T1279" s="180">
        <v>500000000</v>
      </c>
      <c r="U1279" s="189">
        <f>IFERROR(IF(Tableau3[[#This Row],[Dettes]]=0,"",(Tableau3[[#This Row],[Dettes]]/Tableau3[[#This Row],[EBE]])),"")</f>
        <v>0.28115593016255269</v>
      </c>
      <c r="V1279" s="190" t="str">
        <f>IFERROR(Tableau3[[#This Row],[Fonds propres]]/Tableau3[[#This Row],[Total Bilan]],"")</f>
        <v/>
      </c>
      <c r="W1279" s="180"/>
      <c r="X1279" s="191"/>
      <c r="Y1279" s="180">
        <v>104430</v>
      </c>
      <c r="Z1279" s="192">
        <f>IFERROR(Tableau3[[#This Row],[Chiffre d''affaires]]/Tableau3[[#This Row],[Salariés]],"")</f>
        <v>107066.93478885377</v>
      </c>
      <c r="AA1279" s="197"/>
      <c r="AB1279" s="197"/>
      <c r="AC1279" s="177" t="s">
        <v>905</v>
      </c>
    </row>
    <row r="1280" spans="1:29" ht="20.25" customHeight="1">
      <c r="A1280" s="217"/>
      <c r="E1280" s="187"/>
      <c r="G1280" s="202">
        <f>(G1279/G1281)-1</f>
        <v>-3.5122540559199167E-2</v>
      </c>
      <c r="H1280" s="203">
        <f>(H1279/H1281)-1</f>
        <v>-7.8246392896781369E-2</v>
      </c>
      <c r="I1280" s="203">
        <f>(I1279/I1281)-1</f>
        <v>-0.15798319327731092</v>
      </c>
      <c r="J1280" s="203">
        <f>(J1279/J1281)-1</f>
        <v>-0.34052757793764987</v>
      </c>
      <c r="K1280" s="188"/>
      <c r="L1280" s="188"/>
      <c r="M1280" s="208"/>
      <c r="N1280" s="190"/>
      <c r="O1280" s="190"/>
      <c r="P1280" s="188"/>
      <c r="Q1280" s="188"/>
      <c r="R1280" s="195"/>
      <c r="S1280" s="197"/>
      <c r="T1280" s="180"/>
      <c r="U1280" s="189" t="str">
        <f>IFERROR(IF(Tableau3[[#This Row],[Dettes]]=0,"",(Tableau3[[#This Row],[Dettes]]/Tableau3[[#This Row],[EBE]])),"")</f>
        <v/>
      </c>
      <c r="V1280" s="190" t="str">
        <f>IFERROR(Tableau3[[#This Row],[Fonds propres]]/Tableau3[[#This Row],[Total Bilan]],"")</f>
        <v/>
      </c>
      <c r="W1280" s="180"/>
      <c r="X1280" s="191"/>
      <c r="Y1280" s="180"/>
      <c r="Z1280" s="192" t="str">
        <f>IFERROR(Tableau3[[#This Row],[Chiffre d''affaires]]/Tableau3[[#This Row],[Salariés]],"")</f>
        <v/>
      </c>
      <c r="AA1280" s="197"/>
      <c r="AB1280" s="197"/>
      <c r="AC1280" s="177" t="s">
        <v>906</v>
      </c>
    </row>
    <row r="1281" spans="1:29" ht="20.25" customHeight="1">
      <c r="A1281" s="217"/>
      <c r="E1281" s="187">
        <v>70</v>
      </c>
      <c r="F1281" s="178">
        <v>2019</v>
      </c>
      <c r="G1281" s="188">
        <v>11588000000</v>
      </c>
      <c r="H1281" s="188">
        <v>1802000000</v>
      </c>
      <c r="I1281" s="188">
        <v>1190000000</v>
      </c>
      <c r="J1281" s="188">
        <v>834000000</v>
      </c>
      <c r="K1281" s="188">
        <v>1736000000</v>
      </c>
      <c r="L1281" s="188">
        <v>7075000000</v>
      </c>
      <c r="M1281" s="208">
        <f>L1281/P1281</f>
        <v>66.191882042342613</v>
      </c>
      <c r="N1281" s="190">
        <f>J1281/L1281</f>
        <v>0.11787985865724382</v>
      </c>
      <c r="O1281" s="190">
        <f>(I1281*0.6666)/(K1281+L1281)</f>
        <v>9.0029962546816486E-2</v>
      </c>
      <c r="P1281" s="188">
        <v>106886219</v>
      </c>
      <c r="Q1281" s="188">
        <f>E1281*P1281</f>
        <v>7482035330</v>
      </c>
      <c r="R1281" s="195">
        <f>Q1281/L1281</f>
        <v>1.0575314954063604</v>
      </c>
      <c r="S1281" s="197">
        <f>(Q1281+K1281)/H1281</f>
        <v>5.1154469089900108</v>
      </c>
      <c r="T1281" s="180"/>
      <c r="U1281" s="189">
        <f>IFERROR(IF(Tableau3[[#This Row],[Dettes]]=0,"",(Tableau3[[#This Row],[Dettes]]/Tableau3[[#This Row],[EBE]])),"")</f>
        <v>0.96337402885682577</v>
      </c>
      <c r="V1281" s="190" t="str">
        <f>IFERROR(Tableau3[[#This Row],[Fonds propres]]/Tableau3[[#This Row],[Total Bilan]],"")</f>
        <v/>
      </c>
      <c r="W1281" s="180"/>
      <c r="X1281" s="191"/>
      <c r="Y1281" s="180"/>
      <c r="Z1281" s="192" t="str">
        <f>IFERROR(Tableau3[[#This Row],[Chiffre d''affaires]]/Tableau3[[#This Row],[Salariés]],"")</f>
        <v/>
      </c>
      <c r="AA1281" s="197"/>
      <c r="AB1281" s="197"/>
      <c r="AC1281" s="177" t="s">
        <v>907</v>
      </c>
    </row>
    <row r="1282" spans="1:29" ht="20.25" customHeight="1">
      <c r="A1282" s="217"/>
      <c r="E1282" s="187"/>
      <c r="G1282" s="202">
        <f>(G1281/G1283)-1</f>
        <v>-9.5952460268483697E-2</v>
      </c>
      <c r="H1282" s="203">
        <f>(H1281/H1283)-1</f>
        <v>0.12064676616915415</v>
      </c>
      <c r="I1282" s="203">
        <f>(I1281/I1283)-1</f>
        <v>-0.11582049387666682</v>
      </c>
      <c r="J1282" s="203">
        <f>(J1281/J1283)-1</f>
        <v>0.283076923076923</v>
      </c>
      <c r="K1282" s="188"/>
      <c r="L1282" s="188"/>
      <c r="M1282" s="208"/>
      <c r="N1282" s="190"/>
      <c r="O1282" s="190"/>
      <c r="P1282" s="188"/>
      <c r="Q1282" s="188"/>
      <c r="R1282" s="195"/>
      <c r="S1282" s="197"/>
      <c r="T1282" s="180"/>
      <c r="U1282" s="189" t="str">
        <f>IFERROR(IF(Tableau3[[#This Row],[Dettes]]=0,"",(Tableau3[[#This Row],[Dettes]]/Tableau3[[#This Row],[EBE]])),"")</f>
        <v/>
      </c>
      <c r="V1282" s="190" t="str">
        <f>IFERROR(Tableau3[[#This Row],[Fonds propres]]/Tableau3[[#This Row],[Total Bilan]],"")</f>
        <v/>
      </c>
      <c r="W1282" s="180"/>
      <c r="X1282" s="191"/>
      <c r="Y1282" s="180"/>
      <c r="Z1282" s="192" t="str">
        <f>IFERROR(Tableau3[[#This Row],[Chiffre d''affaires]]/Tableau3[[#This Row],[Salariés]],"")</f>
        <v/>
      </c>
      <c r="AA1282" s="197"/>
      <c r="AB1282" s="197"/>
      <c r="AC1282" s="177" t="s">
        <v>908</v>
      </c>
    </row>
    <row r="1283" spans="1:29" ht="20.25" customHeight="1">
      <c r="A1283" s="217"/>
      <c r="E1283" s="187">
        <v>66</v>
      </c>
      <c r="F1283" s="178">
        <v>2018</v>
      </c>
      <c r="G1283" s="188">
        <f>G1285*1.01</f>
        <v>12817910000</v>
      </c>
      <c r="H1283" s="188">
        <v>1608000000</v>
      </c>
      <c r="I1283" s="211">
        <f>G1283*0.105</f>
        <v>1345880550</v>
      </c>
      <c r="J1283" s="211">
        <v>650000000</v>
      </c>
      <c r="K1283" s="211">
        <v>2837000000</v>
      </c>
      <c r="L1283" s="211">
        <v>6074000000</v>
      </c>
      <c r="M1283" s="208">
        <f>L1283/P1283</f>
        <v>56.826783254443683</v>
      </c>
      <c r="N1283" s="190">
        <f>J1283/L1283</f>
        <v>0.10701350016463615</v>
      </c>
      <c r="O1283" s="190">
        <f>(I1283*0.6666)/(K1283+L1283)</f>
        <v>0.10068050439120188</v>
      </c>
      <c r="P1283" s="188">
        <v>106886219</v>
      </c>
      <c r="Q1283" s="188">
        <f>E1283*P1283</f>
        <v>7054490454</v>
      </c>
      <c r="R1283" s="195">
        <f>Q1283/L1283</f>
        <v>1.161424177477774</v>
      </c>
      <c r="S1283" s="197">
        <f>(Q1283+K1283)/H1283</f>
        <v>6.1514244116915426</v>
      </c>
      <c r="T1283" s="180"/>
      <c r="U1283" s="189">
        <f>IFERROR(IF(Tableau3[[#This Row],[Dettes]]=0,"",(Tableau3[[#This Row],[Dettes]]/Tableau3[[#This Row],[EBE]])),"")</f>
        <v>1.7643034825870647</v>
      </c>
      <c r="V1283" s="190" t="str">
        <f>IFERROR(Tableau3[[#This Row],[Fonds propres]]/Tableau3[[#This Row],[Total Bilan]],"")</f>
        <v/>
      </c>
      <c r="W1283" s="180"/>
      <c r="X1283" s="191"/>
      <c r="Y1283" s="180"/>
      <c r="Z1283" s="192" t="str">
        <f>IFERROR(Tableau3[[#This Row],[Chiffre d''affaires]]/Tableau3[[#This Row],[Salariés]],"")</f>
        <v/>
      </c>
      <c r="AA1283" s="197"/>
      <c r="AB1283" s="197"/>
      <c r="AC1283" s="177" t="s">
        <v>909</v>
      </c>
    </row>
    <row r="1284" spans="1:29" ht="20.25" customHeight="1">
      <c r="A1284" s="217"/>
      <c r="E1284" s="187"/>
      <c r="F1284" s="214"/>
      <c r="G1284" s="202">
        <f>(G1283/G1285)-1</f>
        <v>1.0000000000000009E-2</v>
      </c>
      <c r="H1284" s="203">
        <f>(H1283/H1285)-1</f>
        <v>0</v>
      </c>
      <c r="I1284" s="203">
        <f>(I1283/I1285)-1</f>
        <v>0.53814920000000011</v>
      </c>
      <c r="J1284" s="203">
        <f>(J1283/J1285)-1</f>
        <v>8.1530782029950011E-2</v>
      </c>
      <c r="K1284" s="211"/>
      <c r="L1284" s="211"/>
      <c r="M1284" s="177"/>
      <c r="N1284" s="178"/>
      <c r="O1284" s="177"/>
      <c r="P1284" s="188"/>
      <c r="Q1284" s="188"/>
      <c r="R1284" s="195"/>
      <c r="S1284" s="197"/>
      <c r="T1284" s="180"/>
      <c r="U1284" s="189" t="str">
        <f>IFERROR(IF(Tableau3[[#This Row],[Dettes]]=0,"",(Tableau3[[#This Row],[Dettes]]/Tableau3[[#This Row],[EBE]])),"")</f>
        <v/>
      </c>
      <c r="V1284" s="190" t="str">
        <f>IFERROR(Tableau3[[#This Row],[Fonds propres]]/Tableau3[[#This Row],[Total Bilan]],"")</f>
        <v/>
      </c>
      <c r="W1284" s="180"/>
      <c r="X1284" s="191"/>
      <c r="Y1284" s="180"/>
      <c r="Z1284" s="192" t="str">
        <f>IFERROR(Tableau3[[#This Row],[Chiffre d''affaires]]/Tableau3[[#This Row],[Salariés]],"")</f>
        <v/>
      </c>
      <c r="AA1284" s="197"/>
      <c r="AB1284" s="197"/>
      <c r="AC1284" s="177" t="s">
        <v>910</v>
      </c>
    </row>
    <row r="1285" spans="1:29" ht="20.25" customHeight="1">
      <c r="A1285" s="217"/>
      <c r="E1285" s="187">
        <v>122</v>
      </c>
      <c r="F1285" s="178">
        <v>2017</v>
      </c>
      <c r="G1285" s="188">
        <v>12691000000</v>
      </c>
      <c r="H1285" s="188">
        <v>1608000000</v>
      </c>
      <c r="I1285" s="188">
        <v>875000000</v>
      </c>
      <c r="J1285" s="188">
        <v>601000000</v>
      </c>
      <c r="K1285" s="211">
        <v>-307400000</v>
      </c>
      <c r="L1285" s="211">
        <v>4661900000</v>
      </c>
      <c r="M1285" s="208">
        <f>L1285/P1285</f>
        <v>44.21152800205536</v>
      </c>
      <c r="N1285" s="190">
        <f>J1285/L1285</f>
        <v>0.12891739419549969</v>
      </c>
      <c r="O1285" s="190">
        <f>(I1285*0.6666)/(K1285+L1285)</f>
        <v>0.13394764037202894</v>
      </c>
      <c r="P1285" s="188">
        <v>105445349</v>
      </c>
      <c r="Q1285" s="188">
        <f>E1285*P1285</f>
        <v>12864332578</v>
      </c>
      <c r="R1285" s="195">
        <f>Q1285/L1285</f>
        <v>2.7594612878869129</v>
      </c>
      <c r="S1285" s="197">
        <f>(Q1285+K1285)/H1285</f>
        <v>7.8090376728855722</v>
      </c>
      <c r="T1285" s="180"/>
      <c r="U1285" s="189">
        <f>IFERROR(IF(Tableau3[[#This Row],[Dettes]]=0,"",(Tableau3[[#This Row],[Dettes]]/Tableau3[[#This Row],[EBE]])),"")</f>
        <v>-0.19116915422885572</v>
      </c>
      <c r="V1285" s="190" t="str">
        <f>IFERROR(Tableau3[[#This Row],[Fonds propres]]/Tableau3[[#This Row],[Total Bilan]],"")</f>
        <v/>
      </c>
      <c r="W1285" s="180"/>
      <c r="X1285" s="191"/>
      <c r="Y1285" s="180"/>
      <c r="Z1285" s="192" t="str">
        <f>IFERROR(Tableau3[[#This Row],[Chiffre d''affaires]]/Tableau3[[#This Row],[Salariés]],"")</f>
        <v/>
      </c>
      <c r="AA1285" s="197"/>
      <c r="AB1285" s="197"/>
      <c r="AC1285" s="177" t="s">
        <v>4628</v>
      </c>
    </row>
    <row r="1286" spans="1:29" ht="20.25" customHeight="1">
      <c r="A1286" s="217"/>
      <c r="E1286" s="187"/>
      <c r="G1286" s="202">
        <f>(G1285/G1287)-1</f>
        <v>8.3127080310659629E-2</v>
      </c>
      <c r="H1286" s="203">
        <f>(H1285/H1287)-1</f>
        <v>0.17030567685589526</v>
      </c>
      <c r="I1286" s="203">
        <f>(I1285/I1287)-1</f>
        <v>5.8041112454655375E-2</v>
      </c>
      <c r="J1286" s="203">
        <f>(J1285/J1287)-1</f>
        <v>3.8355217691776078E-2</v>
      </c>
      <c r="K1286" s="211"/>
      <c r="L1286" s="211"/>
      <c r="M1286" s="177"/>
      <c r="N1286" s="178"/>
      <c r="O1286" s="177"/>
      <c r="P1286" s="188"/>
      <c r="Q1286" s="188"/>
      <c r="R1286" s="195"/>
      <c r="S1286" s="197"/>
      <c r="T1286" s="180"/>
      <c r="U1286" s="189" t="str">
        <f>IFERROR(IF(Tableau3[[#This Row],[Dettes]]=0,"",(Tableau3[[#This Row],[Dettes]]/Tableau3[[#This Row],[EBE]])),"")</f>
        <v/>
      </c>
      <c r="V1286" s="190" t="str">
        <f>IFERROR(Tableau3[[#This Row],[Fonds propres]]/Tableau3[[#This Row],[Total Bilan]],"")</f>
        <v/>
      </c>
      <c r="W1286" s="180"/>
      <c r="X1286" s="191"/>
      <c r="Y1286" s="180"/>
      <c r="Z1286" s="192" t="str">
        <f>IFERROR(Tableau3[[#This Row],[Chiffre d''affaires]]/Tableau3[[#This Row],[Salariés]],"")</f>
        <v/>
      </c>
      <c r="AA1286" s="197"/>
      <c r="AB1286" s="197"/>
      <c r="AC1286" s="177" t="s">
        <v>911</v>
      </c>
    </row>
    <row r="1287" spans="1:29" ht="20.25" customHeight="1">
      <c r="A1287" s="217"/>
      <c r="E1287" s="187">
        <v>100.7</v>
      </c>
      <c r="F1287" s="178">
        <v>2016</v>
      </c>
      <c r="G1287" s="188">
        <v>11717000000</v>
      </c>
      <c r="H1287" s="188">
        <v>1374000000</v>
      </c>
      <c r="I1287" s="188">
        <v>827000000</v>
      </c>
      <c r="J1287" s="188">
        <v>578800000</v>
      </c>
      <c r="K1287" s="211">
        <v>-328700000</v>
      </c>
      <c r="L1287" s="211">
        <v>4315800000</v>
      </c>
      <c r="M1287" s="208">
        <f>L1287/P1287</f>
        <v>41.389583680899833</v>
      </c>
      <c r="N1287" s="190">
        <f>J1287/L1287</f>
        <v>0.1341118680198341</v>
      </c>
      <c r="O1287" s="190">
        <f>(I1287*0.6666)/(K1287+L1287)</f>
        <v>0.13826545609590932</v>
      </c>
      <c r="P1287" s="188">
        <v>104272612</v>
      </c>
      <c r="Q1287" s="188">
        <f>E1287*P1287</f>
        <v>10500252028.4</v>
      </c>
      <c r="R1287" s="195">
        <f>Q1287/L1287</f>
        <v>2.4329792919968485</v>
      </c>
      <c r="S1287" s="197">
        <f>(Q1287+K1287)/H1287</f>
        <v>7.4028762943231436</v>
      </c>
      <c r="T1287" s="180"/>
      <c r="U1287" s="189">
        <f>IFERROR(IF(Tableau3[[#This Row],[Dettes]]=0,"",(Tableau3[[#This Row],[Dettes]]/Tableau3[[#This Row],[EBE]])),"")</f>
        <v>-0.23922852983988355</v>
      </c>
      <c r="V1287" s="190" t="str">
        <f>IFERROR(Tableau3[[#This Row],[Fonds propres]]/Tableau3[[#This Row],[Total Bilan]],"")</f>
        <v/>
      </c>
      <c r="W1287" s="180"/>
      <c r="X1287" s="191"/>
      <c r="Y1287" s="180"/>
      <c r="Z1287" s="192" t="str">
        <f>IFERROR(Tableau3[[#This Row],[Chiffre d''affaires]]/Tableau3[[#This Row],[Salariés]],"")</f>
        <v/>
      </c>
      <c r="AA1287" s="197"/>
      <c r="AB1287" s="197"/>
      <c r="AC1287" s="177" t="s">
        <v>912</v>
      </c>
    </row>
    <row r="1288" spans="1:29" ht="20.25" customHeight="1">
      <c r="A1288" s="217"/>
      <c r="E1288" s="187"/>
      <c r="G1288" s="202">
        <f>(G1287/G1289)-1</f>
        <v>1.7542336083369525E-2</v>
      </c>
      <c r="H1288" s="203">
        <f>(H1287/H1289)-1</f>
        <v>0.51488423373759651</v>
      </c>
      <c r="I1288" s="203">
        <f>(I1287/I1289)-1</f>
        <v>0.40335991854742925</v>
      </c>
      <c r="J1288" s="203">
        <f>(J1287/J1289)-1</f>
        <v>0.42491383554899054</v>
      </c>
      <c r="K1288" s="211"/>
      <c r="L1288" s="211"/>
      <c r="M1288" s="177"/>
      <c r="N1288" s="178"/>
      <c r="O1288" s="177"/>
      <c r="P1288" s="188"/>
      <c r="Q1288" s="188"/>
      <c r="R1288" s="195"/>
      <c r="S1288" s="197"/>
      <c r="T1288" s="180"/>
      <c r="U1288" s="189" t="str">
        <f>IFERROR(IF(Tableau3[[#This Row],[Dettes]]=0,"",(Tableau3[[#This Row],[Dettes]]/Tableau3[[#This Row],[EBE]])),"")</f>
        <v/>
      </c>
      <c r="V1288" s="190" t="str">
        <f>IFERROR(Tableau3[[#This Row],[Fonds propres]]/Tableau3[[#This Row],[Total Bilan]],"")</f>
        <v/>
      </c>
      <c r="W1288" s="180"/>
      <c r="X1288" s="191"/>
      <c r="Y1288" s="180"/>
      <c r="Z1288" s="192" t="str">
        <f>IFERROR(Tableau3[[#This Row],[Chiffre d''affaires]]/Tableau3[[#This Row],[Salariés]],"")</f>
        <v/>
      </c>
      <c r="AA1288" s="197"/>
      <c r="AB1288" s="197"/>
      <c r="AC1288" s="177" t="s">
        <v>913</v>
      </c>
    </row>
    <row r="1289" spans="1:29" ht="20.25" customHeight="1">
      <c r="A1289" s="217"/>
      <c r="E1289" s="187">
        <v>77.5</v>
      </c>
      <c r="F1289" s="178">
        <v>2015</v>
      </c>
      <c r="G1289" s="188">
        <v>11515000000</v>
      </c>
      <c r="H1289" s="188">
        <v>907000000</v>
      </c>
      <c r="I1289" s="188">
        <v>589300000</v>
      </c>
      <c r="J1289" s="188">
        <v>406200000</v>
      </c>
      <c r="K1289" s="211">
        <v>-593000000</v>
      </c>
      <c r="L1289" s="211">
        <v>3842700000</v>
      </c>
      <c r="M1289" s="208">
        <f>L1289/P1289</f>
        <v>37.679219712749564</v>
      </c>
      <c r="N1289" s="190">
        <f>J1289/L1289</f>
        <v>0.10570692481848701</v>
      </c>
      <c r="O1289" s="190">
        <f>(I1289*0.6666)/(K1289+L1289)</f>
        <v>0.12088112133427702</v>
      </c>
      <c r="P1289" s="188">
        <v>101984596</v>
      </c>
      <c r="Q1289" s="188">
        <f>E1289*P1289</f>
        <v>7903806190</v>
      </c>
      <c r="R1289" s="195">
        <f>Q1289/L1289</f>
        <v>2.0568366487105423</v>
      </c>
      <c r="S1289" s="197">
        <f>(Q1289+K1289)/H1289</f>
        <v>8.0604257883131201</v>
      </c>
      <c r="T1289" s="180"/>
      <c r="U1289" s="189">
        <f>IFERROR(IF(Tableau3[[#This Row],[Dettes]]=0,"",(Tableau3[[#This Row],[Dettes]]/Tableau3[[#This Row],[EBE]])),"")</f>
        <v>-0.65380374862183022</v>
      </c>
      <c r="V1289" s="190" t="str">
        <f>IFERROR(Tableau3[[#This Row],[Fonds propres]]/Tableau3[[#This Row],[Total Bilan]],"")</f>
        <v/>
      </c>
      <c r="W1289" s="180"/>
      <c r="X1289" s="191"/>
      <c r="Y1289" s="180"/>
      <c r="Z1289" s="192" t="str">
        <f>IFERROR(Tableau3[[#This Row],[Chiffre d''affaires]]/Tableau3[[#This Row],[Salariés]],"")</f>
        <v/>
      </c>
      <c r="AA1289" s="197"/>
      <c r="AB1289" s="197"/>
      <c r="AC1289" s="177" t="s">
        <v>914</v>
      </c>
    </row>
    <row r="1290" spans="1:29" ht="20.25" customHeight="1">
      <c r="A1290" s="217"/>
      <c r="E1290" s="187"/>
      <c r="G1290" s="188"/>
      <c r="H1290" s="188"/>
      <c r="I1290" s="188"/>
      <c r="J1290" s="188"/>
      <c r="K1290" s="188"/>
      <c r="L1290" s="188"/>
      <c r="M1290" s="208"/>
      <c r="N1290" s="190"/>
      <c r="O1290" s="190"/>
      <c r="P1290" s="188"/>
      <c r="Q1290" s="188"/>
      <c r="R1290" s="195"/>
      <c r="S1290" s="197"/>
      <c r="T1290" s="180"/>
      <c r="U1290" s="189" t="str">
        <f>IFERROR(IF(Tableau3[[#This Row],[Dettes]]=0,"",(Tableau3[[#This Row],[Dettes]]/Tableau3[[#This Row],[EBE]])),"")</f>
        <v/>
      </c>
      <c r="V1290" s="190" t="str">
        <f>IFERROR(Tableau3[[#This Row],[Fonds propres]]/Tableau3[[#This Row],[Total Bilan]],"")</f>
        <v/>
      </c>
      <c r="W1290" s="180"/>
      <c r="X1290" s="191"/>
      <c r="Y1290" s="180"/>
      <c r="Z1290" s="192" t="str">
        <f>IFERROR(Tableau3[[#This Row],[Chiffre d''affaires]]/Tableau3[[#This Row],[Salariés]],"")</f>
        <v/>
      </c>
      <c r="AA1290" s="197"/>
      <c r="AB1290" s="197"/>
      <c r="AC1290" s="177" t="s">
        <v>915</v>
      </c>
    </row>
    <row r="1291" spans="1:29" ht="20.25" customHeight="1">
      <c r="A1291" s="217"/>
      <c r="E1291" s="187"/>
      <c r="F1291" s="178">
        <v>2014</v>
      </c>
      <c r="G1291" s="188"/>
      <c r="H1291" s="188"/>
      <c r="I1291" s="188"/>
      <c r="J1291" s="188"/>
      <c r="K1291" s="188"/>
      <c r="L1291" s="188"/>
      <c r="M1291" s="208"/>
      <c r="N1291" s="190"/>
      <c r="O1291" s="190"/>
      <c r="P1291" s="188">
        <v>102882167</v>
      </c>
      <c r="Q1291" s="188"/>
      <c r="R1291" s="195"/>
      <c r="S1291" s="197"/>
      <c r="T1291" s="180"/>
      <c r="U1291" s="189" t="str">
        <f>IFERROR(IF(Tableau3[[#This Row],[Dettes]]=0,"",(Tableau3[[#This Row],[Dettes]]/Tableau3[[#This Row],[EBE]])),"")</f>
        <v/>
      </c>
      <c r="V1291" s="190" t="str">
        <f>IFERROR(Tableau3[[#This Row],[Fonds propres]]/Tableau3[[#This Row],[Total Bilan]],"")</f>
        <v/>
      </c>
      <c r="W1291" s="180"/>
      <c r="X1291" s="191"/>
      <c r="Y1291" s="180"/>
      <c r="Z1291" s="192" t="str">
        <f>IFERROR(Tableau3[[#This Row],[Chiffre d''affaires]]/Tableau3[[#This Row],[Salariés]],"")</f>
        <v/>
      </c>
      <c r="AA1291" s="197"/>
      <c r="AB1291" s="197"/>
      <c r="AC1291" s="177" t="s">
        <v>916</v>
      </c>
    </row>
    <row r="1292" spans="1:29" ht="20.25" customHeight="1">
      <c r="A1292" s="217"/>
      <c r="E1292" s="187"/>
      <c r="G1292" s="188"/>
      <c r="H1292" s="188"/>
      <c r="I1292" s="188"/>
      <c r="J1292" s="188"/>
      <c r="K1292" s="188"/>
      <c r="L1292" s="188"/>
      <c r="M1292" s="208"/>
      <c r="N1292" s="190"/>
      <c r="O1292" s="190"/>
      <c r="P1292" s="188"/>
      <c r="Q1292" s="188"/>
      <c r="R1292" s="195"/>
      <c r="S1292" s="197"/>
      <c r="T1292" s="180"/>
      <c r="U1292" s="189" t="str">
        <f>IFERROR(IF(Tableau3[[#This Row],[Dettes]]=0,"",(Tableau3[[#This Row],[Dettes]]/Tableau3[[#This Row],[EBE]])),"")</f>
        <v/>
      </c>
      <c r="V1292" s="190" t="str">
        <f>IFERROR(Tableau3[[#This Row],[Fonds propres]]/Tableau3[[#This Row],[Total Bilan]],"")</f>
        <v/>
      </c>
      <c r="W1292" s="180"/>
      <c r="X1292" s="191"/>
      <c r="Y1292" s="180"/>
      <c r="Z1292" s="192" t="str">
        <f>IFERROR(Tableau3[[#This Row],[Chiffre d''affaires]]/Tableau3[[#This Row],[Salariés]],"")</f>
        <v/>
      </c>
      <c r="AA1292" s="197"/>
      <c r="AB1292" s="197"/>
      <c r="AC1292" s="177" t="s">
        <v>917</v>
      </c>
    </row>
    <row r="1293" spans="1:29" ht="20.25" customHeight="1">
      <c r="A1293" s="217"/>
      <c r="E1293" s="187"/>
      <c r="G1293" s="188"/>
      <c r="H1293" s="188"/>
      <c r="I1293" s="188"/>
      <c r="J1293" s="188"/>
      <c r="K1293" s="188"/>
      <c r="L1293" s="188"/>
      <c r="M1293" s="208"/>
      <c r="N1293" s="190"/>
      <c r="O1293" s="190"/>
      <c r="P1293" s="188"/>
      <c r="Q1293" s="188"/>
      <c r="R1293" s="195"/>
      <c r="S1293" s="197"/>
      <c r="T1293" s="180"/>
      <c r="U1293" s="189" t="str">
        <f>IFERROR(IF(Tableau3[[#This Row],[Dettes]]=0,"",(Tableau3[[#This Row],[Dettes]]/Tableau3[[#This Row],[EBE]])),"")</f>
        <v/>
      </c>
      <c r="V1293" s="190" t="str">
        <f>IFERROR(Tableau3[[#This Row],[Fonds propres]]/Tableau3[[#This Row],[Total Bilan]],"")</f>
        <v/>
      </c>
      <c r="W1293" s="180"/>
      <c r="Y1293" s="180"/>
      <c r="Z1293" s="192" t="str">
        <f>IFERROR(Tableau3[[#This Row],[Chiffre d''affaires]]/Tableau3[[#This Row],[Salariés]],"")</f>
        <v/>
      </c>
      <c r="AA1293" s="177"/>
      <c r="AC1293" s="177" t="s">
        <v>918</v>
      </c>
    </row>
    <row r="1294" spans="1:29" ht="20.25" customHeight="1">
      <c r="A1294" s="217"/>
      <c r="E1294" s="187"/>
      <c r="G1294" s="188"/>
      <c r="H1294" s="188"/>
      <c r="I1294" s="188"/>
      <c r="J1294" s="188"/>
      <c r="K1294" s="188"/>
      <c r="L1294" s="188"/>
      <c r="M1294" s="208"/>
      <c r="N1294" s="190"/>
      <c r="O1294" s="190"/>
      <c r="P1294" s="188"/>
      <c r="Q1294" s="188"/>
      <c r="R1294" s="195"/>
      <c r="S1294" s="197"/>
      <c r="T1294" s="180"/>
      <c r="U1294" s="189" t="str">
        <f>IFERROR(IF(Tableau3[[#This Row],[Dettes]]=0,"",(Tableau3[[#This Row],[Dettes]]/Tableau3[[#This Row],[EBE]])),"")</f>
        <v/>
      </c>
      <c r="V1294" s="190" t="str">
        <f>IFERROR(Tableau3[[#This Row],[Fonds propres]]/Tableau3[[#This Row],[Total Bilan]],"")</f>
        <v/>
      </c>
      <c r="W1294" s="180"/>
      <c r="Y1294" s="180"/>
      <c r="Z1294" s="192" t="str">
        <f>IFERROR(Tableau3[[#This Row],[Chiffre d''affaires]]/Tableau3[[#This Row],[Salariés]],"")</f>
        <v/>
      </c>
      <c r="AA1294" s="177"/>
      <c r="AC1294" s="177" t="s">
        <v>919</v>
      </c>
    </row>
    <row r="1295" spans="1:29" ht="20.25" customHeight="1">
      <c r="A1295" s="217"/>
      <c r="E1295" s="187"/>
      <c r="G1295" s="188"/>
      <c r="H1295" s="188"/>
      <c r="I1295" s="188"/>
      <c r="J1295" s="188"/>
      <c r="K1295" s="188"/>
      <c r="L1295" s="188"/>
      <c r="M1295" s="208"/>
      <c r="N1295" s="190"/>
      <c r="O1295" s="190"/>
      <c r="P1295" s="188"/>
      <c r="Q1295" s="188"/>
      <c r="R1295" s="195"/>
      <c r="S1295" s="197"/>
      <c r="T1295" s="180"/>
      <c r="U1295" s="189" t="str">
        <f>IFERROR(IF(Tableau3[[#This Row],[Dettes]]=0,"",(Tableau3[[#This Row],[Dettes]]/Tableau3[[#This Row],[EBE]])),"")</f>
        <v/>
      </c>
      <c r="V1295" s="190" t="str">
        <f>IFERROR(Tableau3[[#This Row],[Fonds propres]]/Tableau3[[#This Row],[Total Bilan]],"")</f>
        <v/>
      </c>
      <c r="W1295" s="180"/>
      <c r="Y1295" s="180"/>
      <c r="Z1295" s="192" t="str">
        <f>IFERROR(Tableau3[[#This Row],[Chiffre d''affaires]]/Tableau3[[#This Row],[Salariés]],"")</f>
        <v/>
      </c>
      <c r="AA1295" s="177"/>
    </row>
    <row r="1296" spans="1:29" ht="20.25" customHeight="1">
      <c r="A1296" s="217"/>
      <c r="E1296" s="187"/>
      <c r="G1296" s="188"/>
      <c r="H1296" s="188"/>
      <c r="I1296" s="188"/>
      <c r="J1296" s="188"/>
      <c r="K1296" s="188"/>
      <c r="L1296" s="188"/>
      <c r="M1296" s="208"/>
      <c r="N1296" s="190"/>
      <c r="O1296" s="190"/>
      <c r="P1296" s="188"/>
      <c r="Q1296" s="188"/>
      <c r="R1296" s="195"/>
      <c r="S1296" s="197"/>
      <c r="T1296" s="180"/>
      <c r="U1296" s="189" t="str">
        <f>IFERROR(IF(Tableau3[[#This Row],[Dettes]]=0,"",(Tableau3[[#This Row],[Dettes]]/Tableau3[[#This Row],[EBE]])),"")</f>
        <v/>
      </c>
      <c r="V1296" s="190" t="str">
        <f>IFERROR(Tableau3[[#This Row],[Fonds propres]]/Tableau3[[#This Row],[Total Bilan]],"")</f>
        <v/>
      </c>
      <c r="W1296" s="180"/>
      <c r="Y1296" s="180"/>
      <c r="Z1296" s="192" t="str">
        <f>IFERROR(Tableau3[[#This Row],[Chiffre d''affaires]]/Tableau3[[#This Row],[Salariés]],"")</f>
        <v/>
      </c>
      <c r="AA1296" s="177"/>
    </row>
    <row r="1297" spans="1:29" ht="20.25" customHeight="1">
      <c r="A1297" s="217" t="s">
        <v>920</v>
      </c>
      <c r="B1297" s="216" t="s">
        <v>894</v>
      </c>
      <c r="C1297" s="178" t="s">
        <v>84</v>
      </c>
      <c r="D1297" s="178" t="s">
        <v>85</v>
      </c>
      <c r="E1297" s="187"/>
      <c r="F1297" s="178">
        <v>2025</v>
      </c>
      <c r="G1297" s="188"/>
      <c r="H1297" s="188"/>
      <c r="I1297" s="188"/>
      <c r="J1297" s="188"/>
      <c r="K1297" s="188"/>
      <c r="L1297" s="188"/>
      <c r="M1297" s="208"/>
      <c r="N1297" s="190"/>
      <c r="O1297" s="190"/>
      <c r="P1297" s="188"/>
      <c r="Q1297" s="188"/>
      <c r="R1297" s="195"/>
      <c r="S1297" s="197"/>
      <c r="T1297" s="180"/>
      <c r="U1297" s="189" t="str">
        <f>IFERROR(IF(Tableau3[[#This Row],[Dettes]]=0,"",(Tableau3[[#This Row],[Dettes]]/Tableau3[[#This Row],[EBE]])),"")</f>
        <v/>
      </c>
      <c r="V1297" s="190" t="str">
        <f>IFERROR(Tableau3[[#This Row],[Fonds propres]]/Tableau3[[#This Row],[Total Bilan]],"")</f>
        <v/>
      </c>
      <c r="W1297" s="180"/>
      <c r="Y1297" s="180"/>
      <c r="Z1297" s="192" t="str">
        <f>IFERROR(Tableau3[[#This Row],[Chiffre d''affaires]]/Tableau3[[#This Row],[Salariés]],"")</f>
        <v/>
      </c>
      <c r="AA1297" s="177"/>
      <c r="AC1297" s="177" t="s">
        <v>921</v>
      </c>
    </row>
    <row r="1298" spans="1:29" ht="20.25" customHeight="1">
      <c r="A1298" s="217"/>
      <c r="E1298" s="187"/>
      <c r="G1298" s="188"/>
      <c r="H1298" s="188"/>
      <c r="I1298" s="188"/>
      <c r="J1298" s="188"/>
      <c r="K1298" s="188"/>
      <c r="L1298" s="188"/>
      <c r="M1298" s="208"/>
      <c r="N1298" s="190"/>
      <c r="O1298" s="190"/>
      <c r="P1298" s="188"/>
      <c r="Q1298" s="188"/>
      <c r="R1298" s="195"/>
      <c r="S1298" s="197"/>
      <c r="T1298" s="180"/>
      <c r="U1298" s="189" t="str">
        <f>IFERROR(IF(Tableau3[[#This Row],[Dettes]]=0,"",(Tableau3[[#This Row],[Dettes]]/Tableau3[[#This Row],[EBE]])),"")</f>
        <v/>
      </c>
      <c r="V1298" s="190" t="str">
        <f>IFERROR(Tableau3[[#This Row],[Fonds propres]]/Tableau3[[#This Row],[Total Bilan]],"")</f>
        <v/>
      </c>
      <c r="W1298" s="180"/>
      <c r="Y1298" s="180"/>
      <c r="Z1298" s="192" t="str">
        <f>IFERROR(Tableau3[[#This Row],[Chiffre d''affaires]]/Tableau3[[#This Row],[Salariés]],"")</f>
        <v/>
      </c>
      <c r="AA1298" s="177"/>
      <c r="AC1298" s="177" t="s">
        <v>923</v>
      </c>
    </row>
    <row r="1299" spans="1:29" ht="20.25" customHeight="1">
      <c r="A1299" s="217"/>
      <c r="E1299" s="187">
        <v>171</v>
      </c>
      <c r="F1299" s="178">
        <v>2024</v>
      </c>
      <c r="G1299" s="188">
        <v>5950000000</v>
      </c>
      <c r="H1299" s="188"/>
      <c r="I1299" s="188"/>
      <c r="J1299" s="188">
        <v>195000000</v>
      </c>
      <c r="K1299" s="188"/>
      <c r="L1299" s="188"/>
      <c r="M1299" s="208"/>
      <c r="N1299" s="190"/>
      <c r="O1299" s="190"/>
      <c r="P1299" s="188">
        <v>20547701</v>
      </c>
      <c r="Q1299" s="188">
        <f>P1299*E1299</f>
        <v>3513656871</v>
      </c>
      <c r="R1299" s="195" t="e">
        <f>Q1299/L1299</f>
        <v>#DIV/0!</v>
      </c>
      <c r="S1299" s="197" t="e">
        <f>(Q1299+K1299)/I1299</f>
        <v>#DIV/0!</v>
      </c>
      <c r="T1299" s="180"/>
      <c r="U1299" s="189" t="str">
        <f>IFERROR(IF(Tableau3[[#This Row],[Dettes]]=0,"",(Tableau3[[#This Row],[Dettes]]/Tableau3[[#This Row],[EBE]])),"")</f>
        <v/>
      </c>
      <c r="V1299" s="190" t="str">
        <f>IFERROR(Tableau3[[#This Row],[Fonds propres]]/Tableau3[[#This Row],[Total Bilan]],"")</f>
        <v/>
      </c>
      <c r="W1299" s="180"/>
      <c r="Y1299" s="180"/>
      <c r="Z1299" s="192" t="str">
        <f>IFERROR(Tableau3[[#This Row],[Chiffre d''affaires]]/Tableau3[[#This Row],[Salariés]],"")</f>
        <v/>
      </c>
      <c r="AA1299" s="177"/>
      <c r="AC1299" s="177" t="s">
        <v>924</v>
      </c>
    </row>
    <row r="1300" spans="1:29" ht="20.25" customHeight="1">
      <c r="A1300" s="217"/>
      <c r="E1300" s="187"/>
      <c r="G1300" s="188"/>
      <c r="H1300" s="188"/>
      <c r="I1300" s="188"/>
      <c r="J1300" s="188"/>
      <c r="K1300" s="188"/>
      <c r="L1300" s="188"/>
      <c r="M1300" s="208"/>
      <c r="N1300" s="190"/>
      <c r="O1300" s="190"/>
      <c r="P1300" s="188"/>
      <c r="Q1300" s="188"/>
      <c r="R1300" s="195"/>
      <c r="S1300" s="197"/>
      <c r="T1300" s="180"/>
      <c r="U1300" s="189" t="str">
        <f>IFERROR(IF(Tableau3[[#This Row],[Dettes]]=0,"",(Tableau3[[#This Row],[Dettes]]/Tableau3[[#This Row],[EBE]])),"")</f>
        <v/>
      </c>
      <c r="V1300" s="190" t="str">
        <f>IFERROR(Tableau3[[#This Row],[Fonds propres]]/Tableau3[[#This Row],[Total Bilan]],"")</f>
        <v/>
      </c>
      <c r="W1300" s="180"/>
      <c r="Y1300" s="180"/>
      <c r="Z1300" s="192" t="str">
        <f>IFERROR(Tableau3[[#This Row],[Chiffre d''affaires]]/Tableau3[[#This Row],[Salariés]],"")</f>
        <v/>
      </c>
      <c r="AA1300" s="177"/>
      <c r="AC1300" s="177" t="s">
        <v>925</v>
      </c>
    </row>
    <row r="1301" spans="1:29" ht="20.25" customHeight="1">
      <c r="A1301" s="217"/>
      <c r="E1301" s="187">
        <v>197.8</v>
      </c>
      <c r="F1301" s="178">
        <v>2023</v>
      </c>
      <c r="G1301" s="188">
        <v>5805300000</v>
      </c>
      <c r="H1301" s="188"/>
      <c r="I1301" s="188">
        <v>329900000</v>
      </c>
      <c r="J1301" s="188">
        <v>183700000</v>
      </c>
      <c r="K1301" s="188"/>
      <c r="L1301" s="188"/>
      <c r="M1301" s="208"/>
      <c r="N1301" s="190"/>
      <c r="O1301" s="190"/>
      <c r="P1301" s="188">
        <v>20547701</v>
      </c>
      <c r="Q1301" s="188">
        <f>P1301*E1301</f>
        <v>4064335257.8000002</v>
      </c>
      <c r="R1301" s="195" t="e">
        <f>Q1301/L1301</f>
        <v>#DIV/0!</v>
      </c>
      <c r="S1301" s="197">
        <f>(Q1301+K1301)/I1301</f>
        <v>12.319900751136709</v>
      </c>
      <c r="T1301" s="180"/>
      <c r="U1301" s="189" t="str">
        <f>IFERROR(IF(Tableau3[[#This Row],[Dettes]]=0,"",(Tableau3[[#This Row],[Dettes]]/Tableau3[[#This Row],[EBE]])),"")</f>
        <v/>
      </c>
      <c r="V1301" s="190">
        <f>IFERROR(Tableau3[[#This Row],[Fonds propres]]/Tableau3[[#This Row],[Total Bilan]],"")</f>
        <v>0</v>
      </c>
      <c r="W1301" s="180">
        <v>6070500000</v>
      </c>
      <c r="Y1301" s="180">
        <v>55833</v>
      </c>
      <c r="Z1301" s="192">
        <f>IFERROR(Tableau3[[#This Row],[Chiffre d''affaires]]/Tableau3[[#This Row],[Salariés]],"")</f>
        <v>103976.14314115308</v>
      </c>
      <c r="AA1301" s="177"/>
      <c r="AC1301" s="177" t="s">
        <v>926</v>
      </c>
    </row>
    <row r="1302" spans="1:29" ht="20.25" customHeight="1">
      <c r="A1302" s="217"/>
      <c r="E1302" s="187"/>
      <c r="G1302" s="202">
        <f>(G1301/G1303)-1</f>
        <v>0.13802634674194314</v>
      </c>
      <c r="H1302" s="203">
        <f>(H1301/H1303)-1</f>
        <v>-1</v>
      </c>
      <c r="I1302" s="203">
        <f>(I1301/I1303)-1</f>
        <v>-8.6908386382507641E-2</v>
      </c>
      <c r="J1302" s="203">
        <f>(J1301/J1303)-1</f>
        <v>-0.25867635189669091</v>
      </c>
      <c r="K1302" s="188"/>
      <c r="L1302" s="188"/>
      <c r="M1302" s="208"/>
      <c r="N1302" s="190"/>
      <c r="O1302" s="190"/>
      <c r="P1302" s="188"/>
      <c r="Q1302" s="188"/>
      <c r="R1302" s="195"/>
      <c r="S1302" s="197"/>
      <c r="T1302" s="180"/>
      <c r="U1302" s="189" t="str">
        <f>IFERROR(IF(Tableau3[[#This Row],[Dettes]]=0,"",(Tableau3[[#This Row],[Dettes]]/Tableau3[[#This Row],[EBE]])),"")</f>
        <v/>
      </c>
      <c r="V1302" s="190" t="str">
        <f>IFERROR(Tableau3[[#This Row],[Fonds propres]]/Tableau3[[#This Row],[Total Bilan]],"")</f>
        <v/>
      </c>
      <c r="W1302" s="180"/>
      <c r="Y1302" s="180"/>
      <c r="Z1302" s="192" t="str">
        <f>IFERROR(Tableau3[[#This Row],[Chiffre d''affaires]]/Tableau3[[#This Row],[Salariés]],"")</f>
        <v/>
      </c>
      <c r="AA1302" s="177"/>
      <c r="AC1302" s="177" t="s">
        <v>927</v>
      </c>
    </row>
    <row r="1303" spans="1:29" ht="20.25" customHeight="1">
      <c r="A1303" s="217"/>
      <c r="E1303" s="178">
        <v>141.19999999999999</v>
      </c>
      <c r="F1303" s="178">
        <v>2022</v>
      </c>
      <c r="G1303" s="188">
        <v>5101200000</v>
      </c>
      <c r="H1303" s="188">
        <f>H1305*1.06</f>
        <v>549080000</v>
      </c>
      <c r="I1303" s="188">
        <v>361300000</v>
      </c>
      <c r="J1303" s="188">
        <v>247800000</v>
      </c>
      <c r="K1303" s="188">
        <v>152000000</v>
      </c>
      <c r="L1303" s="188">
        <v>1850000000</v>
      </c>
      <c r="M1303" s="208">
        <f>L1303/P1303</f>
        <v>90.034403362205822</v>
      </c>
      <c r="N1303" s="190">
        <f>J1303/L1303</f>
        <v>0.13394594594594594</v>
      </c>
      <c r="O1303" s="190">
        <f>(I1303*0.6666)/(K1303+L1303)</f>
        <v>0.12030098901098901</v>
      </c>
      <c r="P1303" s="188">
        <v>20547701</v>
      </c>
      <c r="Q1303" s="188">
        <f>P1303*E1303</f>
        <v>2901335381.1999998</v>
      </c>
      <c r="R1303" s="195">
        <f>Q1303/L1303</f>
        <v>1.5682893952432431</v>
      </c>
      <c r="S1303" s="197">
        <f>(Q1303+K1303)/I1303</f>
        <v>8.4509697791309151</v>
      </c>
      <c r="T1303" s="180"/>
      <c r="U1303" s="189">
        <f>IFERROR(IF(Tableau3[[#This Row],[Dettes]]=0,"",(Tableau3[[#This Row],[Dettes]]/Tableau3[[#This Row],[EBE]])),"")</f>
        <v>0.27682669192103154</v>
      </c>
      <c r="V1303" s="190">
        <f>IFERROR(Tableau3[[#This Row],[Fonds propres]]/Tableau3[[#This Row],[Total Bilan]],"")</f>
        <v>0.37405475352824619</v>
      </c>
      <c r="W1303" s="180">
        <v>4945800000</v>
      </c>
      <c r="Y1303" s="180">
        <v>49690</v>
      </c>
      <c r="Z1303" s="192">
        <f>IFERROR(Tableau3[[#This Row],[Chiffre d''affaires]]/Tableau3[[#This Row],[Salariés]],"")</f>
        <v>102660.49506943047</v>
      </c>
      <c r="AA1303" s="177"/>
      <c r="AC1303" s="177" t="s">
        <v>928</v>
      </c>
    </row>
    <row r="1304" spans="1:29" ht="20.25" customHeight="1">
      <c r="A1304" s="217"/>
      <c r="E1304" s="187"/>
      <c r="G1304" s="202">
        <f>(G1303/G1305)-1</f>
        <v>0.11428571428571432</v>
      </c>
      <c r="H1304" s="203">
        <f>(H1303/H1305)-1</f>
        <v>6.0000000000000053E-2</v>
      </c>
      <c r="I1304" s="203">
        <f>(I1303/I1305)-1</f>
        <v>1.7746478873239546E-2</v>
      </c>
      <c r="J1304" s="203">
        <f>(J1303/J1305)-1</f>
        <v>0.2390000000000001</v>
      </c>
      <c r="K1304" s="188"/>
      <c r="L1304" s="188"/>
      <c r="M1304" s="208"/>
      <c r="N1304" s="190"/>
      <c r="O1304" s="190"/>
      <c r="P1304" s="188"/>
      <c r="Q1304" s="188"/>
      <c r="R1304" s="195"/>
      <c r="S1304" s="197"/>
      <c r="T1304" s="180"/>
      <c r="U1304" s="189" t="str">
        <f>IFERROR(IF(Tableau3[[#This Row],[Dettes]]=0,"",(Tableau3[[#This Row],[Dettes]]/Tableau3[[#This Row],[EBE]])),"")</f>
        <v/>
      </c>
      <c r="V1304" s="190" t="str">
        <f>IFERROR(Tableau3[[#This Row],[Fonds propres]]/Tableau3[[#This Row],[Total Bilan]],"")</f>
        <v/>
      </c>
      <c r="W1304" s="180"/>
      <c r="Y1304" s="180"/>
      <c r="Z1304" s="192" t="str">
        <f>IFERROR(Tableau3[[#This Row],[Chiffre d''affaires]]/Tableau3[[#This Row],[Salariés]],"")</f>
        <v/>
      </c>
      <c r="AA1304" s="177"/>
      <c r="AC1304" s="177" t="s">
        <v>929</v>
      </c>
    </row>
    <row r="1305" spans="1:29" ht="20.25" customHeight="1">
      <c r="A1305" s="217"/>
      <c r="E1305" s="187">
        <v>157.5</v>
      </c>
      <c r="F1305" s="178">
        <v>2021</v>
      </c>
      <c r="G1305" s="188">
        <v>4578000000</v>
      </c>
      <c r="H1305" s="188">
        <v>518000000</v>
      </c>
      <c r="I1305" s="188">
        <v>355000000</v>
      </c>
      <c r="J1305" s="188">
        <v>200000000</v>
      </c>
      <c r="K1305" s="188">
        <v>425600000</v>
      </c>
      <c r="L1305" s="188">
        <v>1545400000</v>
      </c>
      <c r="M1305" s="208">
        <f>L1305/P1305</f>
        <v>75.210360516731285</v>
      </c>
      <c r="N1305" s="190">
        <f>J1305/L1305</f>
        <v>0.12941633234114144</v>
      </c>
      <c r="O1305" s="190">
        <f>(I1305*0.6666)/(K1305+L1305)</f>
        <v>0.12006240487062404</v>
      </c>
      <c r="P1305" s="188">
        <v>20547701</v>
      </c>
      <c r="Q1305" s="188">
        <f>P1305*E1305</f>
        <v>3236262907.5</v>
      </c>
      <c r="R1305" s="195">
        <f>Q1305/L1305</f>
        <v>2.0941263799016436</v>
      </c>
      <c r="S1305" s="197">
        <f>(Q1305+K1305)/I1305</f>
        <v>10.31510678169014</v>
      </c>
      <c r="T1305" s="180"/>
      <c r="U1305" s="189">
        <f>IFERROR(IF(Tableau3[[#This Row],[Dettes]]=0,"",(Tableau3[[#This Row],[Dettes]]/Tableau3[[#This Row],[EBE]])),"")</f>
        <v>0.82162162162162167</v>
      </c>
      <c r="V1305" s="190" t="str">
        <f>IFERROR(Tableau3[[#This Row],[Fonds propres]]/Tableau3[[#This Row],[Total Bilan]],"")</f>
        <v/>
      </c>
      <c r="W1305" s="180"/>
      <c r="Y1305" s="180">
        <v>47437</v>
      </c>
      <c r="Z1305" s="192">
        <f>IFERROR(Tableau3[[#This Row],[Chiffre d''affaires]]/Tableau3[[#This Row],[Salariés]],"")</f>
        <v>96506.946054767381</v>
      </c>
      <c r="AA1305" s="177"/>
      <c r="AC1305" s="177" t="s">
        <v>930</v>
      </c>
    </row>
    <row r="1306" spans="1:29" ht="20.25" customHeight="1">
      <c r="A1306" s="217"/>
      <c r="E1306" s="187"/>
      <c r="G1306" s="202">
        <f>(G1305/G1307)-1</f>
        <v>7.3916817190175621E-2</v>
      </c>
      <c r="H1306" s="203">
        <f>(H1305/H1307)-1</f>
        <v>6.2346185397867071E-2</v>
      </c>
      <c r="I1306" s="203">
        <f>(I1305/I1307)-1</f>
        <v>0.75481957488877893</v>
      </c>
      <c r="J1306" s="203">
        <f>(J1305/J1307)-1</f>
        <v>0.87265917602996246</v>
      </c>
      <c r="K1306" s="178"/>
      <c r="L1306" s="178"/>
      <c r="M1306" s="178"/>
      <c r="N1306" s="238"/>
      <c r="O1306" s="238"/>
      <c r="P1306" s="188"/>
      <c r="Q1306" s="238"/>
      <c r="R1306" s="238"/>
      <c r="S1306" s="178"/>
      <c r="T1306" s="180"/>
      <c r="U1306" s="189" t="str">
        <f>IFERROR(IF(Tableau3[[#This Row],[Dettes]]=0,"",(Tableau3[[#This Row],[Dettes]]/Tableau3[[#This Row],[EBE]])),"")</f>
        <v/>
      </c>
      <c r="V1306" s="190" t="str">
        <f>IFERROR(Tableau3[[#This Row],[Fonds propres]]/Tableau3[[#This Row],[Total Bilan]],"")</f>
        <v/>
      </c>
      <c r="W1306" s="180"/>
      <c r="Y1306" s="180"/>
      <c r="Z1306" s="192" t="str">
        <f>IFERROR(Tableau3[[#This Row],[Chiffre d''affaires]]/Tableau3[[#This Row],[Salariés]],"")</f>
        <v/>
      </c>
      <c r="AA1306" s="177"/>
      <c r="AC1306" s="177" t="s">
        <v>931</v>
      </c>
    </row>
    <row r="1307" spans="1:29" ht="20.25" customHeight="1">
      <c r="A1307" s="217"/>
      <c r="E1307" s="187">
        <v>133.80000000000001</v>
      </c>
      <c r="F1307" s="178">
        <v>2020</v>
      </c>
      <c r="G1307" s="188">
        <f>4262900000</f>
        <v>4262900000</v>
      </c>
      <c r="H1307" s="188">
        <v>487600000</v>
      </c>
      <c r="I1307" s="188">
        <v>202300000</v>
      </c>
      <c r="J1307" s="188">
        <v>106800000</v>
      </c>
      <c r="K1307" s="188">
        <v>425600000</v>
      </c>
      <c r="L1307" s="188">
        <v>1445400000</v>
      </c>
      <c r="M1307" s="208">
        <f>L1307/P1307</f>
        <v>70.343636010666103</v>
      </c>
      <c r="N1307" s="190">
        <f>J1307/L1307</f>
        <v>7.3889580738895802E-2</v>
      </c>
      <c r="O1307" s="190">
        <f>(I1307*0.6666)/(K1307+L1307)</f>
        <v>7.2075456974879742E-2</v>
      </c>
      <c r="P1307" s="188">
        <v>20547701</v>
      </c>
      <c r="Q1307" s="188">
        <f>P1307*E1307</f>
        <v>2749282393.8000002</v>
      </c>
      <c r="R1307" s="195">
        <f>Q1307/L1307</f>
        <v>1.9020910431714406</v>
      </c>
      <c r="S1307" s="197">
        <f>(Q1307+K1307)/I1307</f>
        <v>15.693931753830945</v>
      </c>
      <c r="T1307" s="180"/>
      <c r="U1307" s="189">
        <f>IFERROR(IF(Tableau3[[#This Row],[Dettes]]=0,"",(Tableau3[[#This Row],[Dettes]]/Tableau3[[#This Row],[EBE]])),"")</f>
        <v>0.87284659557013944</v>
      </c>
      <c r="V1307" s="190" t="str">
        <f>IFERROR(Tableau3[[#This Row],[Fonds propres]]/Tableau3[[#This Row],[Total Bilan]],"")</f>
        <v/>
      </c>
      <c r="W1307" s="180"/>
      <c r="X1307" s="191"/>
      <c r="Y1307" s="180">
        <v>45960</v>
      </c>
      <c r="Z1307" s="192">
        <f>IFERROR(Tableau3[[#This Row],[Chiffre d''affaires]]/Tableau3[[#This Row],[Salariés]],"")</f>
        <v>92752.393385552656</v>
      </c>
      <c r="AA1307" s="197"/>
      <c r="AB1307" s="197"/>
      <c r="AC1307" s="177" t="s">
        <v>876</v>
      </c>
    </row>
    <row r="1308" spans="1:29" ht="20.25" customHeight="1">
      <c r="A1308" s="217"/>
      <c r="E1308" s="187"/>
      <c r="G1308" s="202">
        <f>(G1307/G1309)-1</f>
        <v>-3.8588182228236345E-2</v>
      </c>
      <c r="H1308" s="203">
        <f>(H1307/H1309)-1</f>
        <v>-5.0623052959501535E-2</v>
      </c>
      <c r="I1308" s="203">
        <f>(I1307/I1309)-1</f>
        <v>-0.2856638418079096</v>
      </c>
      <c r="J1308" s="203">
        <f>(J1307/J1309)-1</f>
        <v>-0.33374922021210229</v>
      </c>
      <c r="K1308" s="188"/>
      <c r="L1308" s="188"/>
      <c r="M1308" s="208"/>
      <c r="N1308" s="190"/>
      <c r="O1308" s="190"/>
      <c r="P1308" s="188"/>
      <c r="Q1308" s="188"/>
      <c r="R1308" s="195"/>
      <c r="S1308" s="197"/>
      <c r="T1308" s="180"/>
      <c r="U1308" s="189" t="str">
        <f>IFERROR(IF(Tableau3[[#This Row],[Dettes]]=0,"",(Tableau3[[#This Row],[Dettes]]/Tableau3[[#This Row],[EBE]])),"")</f>
        <v/>
      </c>
      <c r="V1308" s="190" t="str">
        <f>IFERROR(Tableau3[[#This Row],[Fonds propres]]/Tableau3[[#This Row],[Total Bilan]],"")</f>
        <v/>
      </c>
      <c r="W1308" s="180"/>
      <c r="X1308" s="191"/>
      <c r="Y1308" s="180"/>
      <c r="Z1308" s="192" t="str">
        <f>IFERROR(Tableau3[[#This Row],[Chiffre d''affaires]]/Tableau3[[#This Row],[Salariés]],"")</f>
        <v/>
      </c>
      <c r="AA1308" s="197"/>
      <c r="AB1308" s="197"/>
      <c r="AC1308" s="177" t="s">
        <v>932</v>
      </c>
    </row>
    <row r="1309" spans="1:29" ht="20.25" customHeight="1">
      <c r="A1309" s="217"/>
      <c r="E1309" s="187">
        <v>100</v>
      </c>
      <c r="F1309" s="178">
        <v>2019</v>
      </c>
      <c r="G1309" s="188">
        <v>4434000000</v>
      </c>
      <c r="H1309" s="188">
        <v>513600000</v>
      </c>
      <c r="I1309" s="188">
        <v>283200000</v>
      </c>
      <c r="J1309" s="188">
        <v>160300000</v>
      </c>
      <c r="K1309" s="188">
        <v>513900000</v>
      </c>
      <c r="L1309" s="188">
        <v>1372700000</v>
      </c>
      <c r="M1309" s="208">
        <f>L1309/P1309</f>
        <v>66.805527294756729</v>
      </c>
      <c r="N1309" s="190">
        <f>J1309/L1309</f>
        <v>0.11677715451300356</v>
      </c>
      <c r="O1309" s="190">
        <f>(I1309*0.6666)/(K1309+L1309)</f>
        <v>0.10006420014841513</v>
      </c>
      <c r="P1309" s="188">
        <v>20547701</v>
      </c>
      <c r="Q1309" s="188">
        <f>P1309*E1309</f>
        <v>2054770100</v>
      </c>
      <c r="R1309" s="195">
        <f>Q1309/L1309</f>
        <v>1.4968821301085451</v>
      </c>
      <c r="S1309" s="197">
        <f>(Q1309+K1309)/I1309</f>
        <v>9.070162782485875</v>
      </c>
      <c r="T1309" s="180"/>
      <c r="U1309" s="189">
        <f>IFERROR(IF(Tableau3[[#This Row],[Dettes]]=0,"",(Tableau3[[#This Row],[Dettes]]/Tableau3[[#This Row],[EBE]])),"")</f>
        <v>1.0005841121495327</v>
      </c>
      <c r="V1309" s="190" t="str">
        <f>IFERROR(Tableau3[[#This Row],[Fonds propres]]/Tableau3[[#This Row],[Total Bilan]],"")</f>
        <v/>
      </c>
      <c r="W1309" s="180"/>
      <c r="X1309" s="191"/>
      <c r="Y1309" s="180">
        <v>46245</v>
      </c>
      <c r="Z1309" s="192">
        <f>IFERROR(Tableau3[[#This Row],[Chiffre d''affaires]]/Tableau3[[#This Row],[Salariés]],"")</f>
        <v>95880.635744404804</v>
      </c>
      <c r="AA1309" s="197"/>
      <c r="AB1309" s="197"/>
      <c r="AC1309" s="177" t="s">
        <v>933</v>
      </c>
    </row>
    <row r="1310" spans="1:29" ht="20.25" customHeight="1">
      <c r="A1310" s="217"/>
      <c r="E1310" s="187"/>
      <c r="G1310" s="202">
        <f>(G1309/G1311)-1</f>
        <v>8.2704563768222217E-2</v>
      </c>
      <c r="H1310" s="203">
        <f>(H1309/H1311)-1</f>
        <v>0.41215287324718175</v>
      </c>
      <c r="I1310" s="203">
        <f>(I1309/I1311)-1</f>
        <v>0.24977934686672554</v>
      </c>
      <c r="J1310" s="203">
        <f>(J1309/J1311)-1</f>
        <v>0.28137490007993615</v>
      </c>
      <c r="K1310" s="188"/>
      <c r="L1310" s="188"/>
      <c r="M1310" s="208"/>
      <c r="N1310" s="190"/>
      <c r="O1310" s="190"/>
      <c r="P1310" s="188"/>
      <c r="Q1310" s="188"/>
      <c r="R1310" s="195"/>
      <c r="S1310" s="197"/>
      <c r="T1310" s="180"/>
      <c r="U1310" s="189" t="str">
        <f>IFERROR(IF(Tableau3[[#This Row],[Dettes]]=0,"",(Tableau3[[#This Row],[Dettes]]/Tableau3[[#This Row],[EBE]])),"")</f>
        <v/>
      </c>
      <c r="V1310" s="190" t="str">
        <f>IFERROR(Tableau3[[#This Row],[Fonds propres]]/Tableau3[[#This Row],[Total Bilan]],"")</f>
        <v/>
      </c>
      <c r="W1310" s="180"/>
      <c r="X1310" s="191"/>
      <c r="Y1310" s="180"/>
      <c r="Z1310" s="192" t="str">
        <f>IFERROR(Tableau3[[#This Row],[Chiffre d''affaires]]/Tableau3[[#This Row],[Salariés]],"")</f>
        <v/>
      </c>
      <c r="AA1310" s="197"/>
      <c r="AB1310" s="197"/>
    </row>
    <row r="1311" spans="1:29" ht="20.25" customHeight="1">
      <c r="A1311" s="217"/>
      <c r="E1311" s="187">
        <v>90</v>
      </c>
      <c r="F1311" s="178">
        <v>2018</v>
      </c>
      <c r="G1311" s="188">
        <v>4095300000</v>
      </c>
      <c r="H1311" s="188">
        <v>363700000</v>
      </c>
      <c r="I1311" s="188">
        <v>226600000</v>
      </c>
      <c r="J1311" s="188">
        <v>125100000</v>
      </c>
      <c r="K1311" s="188">
        <v>620900000</v>
      </c>
      <c r="L1311" s="188">
        <v>1296200000</v>
      </c>
      <c r="M1311" s="208">
        <f>L1311/P1311</f>
        <v>63.082483047616861</v>
      </c>
      <c r="N1311" s="190">
        <f>J1311/L1311</f>
        <v>9.6512883814226194E-2</v>
      </c>
      <c r="O1311" s="190">
        <f>(I1311*0.6666)/(K1311+L1311)</f>
        <v>7.8791695790516925E-2</v>
      </c>
      <c r="P1311" s="188">
        <v>20547701</v>
      </c>
      <c r="Q1311" s="188">
        <f>P1311*E1311</f>
        <v>1849293090</v>
      </c>
      <c r="R1311" s="195">
        <f>Q1311/L1311</f>
        <v>1.4267035102607621</v>
      </c>
      <c r="S1311" s="197">
        <f>(Q1311+L1311)/I1311</f>
        <v>13.881258120035305</v>
      </c>
      <c r="T1311" s="180"/>
      <c r="U1311" s="189">
        <f>IFERROR(IF(Tableau3[[#This Row],[Dettes]]=0,"",(Tableau3[[#This Row],[Dettes]]/Tableau3[[#This Row],[EBE]])),"")</f>
        <v>1.7071762441572724</v>
      </c>
      <c r="V1311" s="190" t="str">
        <f>IFERROR(Tableau3[[#This Row],[Fonds propres]]/Tableau3[[#This Row],[Total Bilan]],"")</f>
        <v/>
      </c>
      <c r="W1311" s="180"/>
      <c r="X1311" s="191"/>
      <c r="Y1311" s="180"/>
      <c r="Z1311" s="192" t="str">
        <f>IFERROR(Tableau3[[#This Row],[Chiffre d''affaires]]/Tableau3[[#This Row],[Salariés]],"")</f>
        <v/>
      </c>
      <c r="AA1311" s="197"/>
      <c r="AB1311" s="197"/>
    </row>
    <row r="1312" spans="1:29" ht="20.25" customHeight="1">
      <c r="A1312" s="217"/>
      <c r="E1312" s="187"/>
      <c r="G1312" s="202">
        <f>(G1311/G1313)-1</f>
        <v>6.8961916942914536E-2</v>
      </c>
      <c r="H1312" s="203">
        <f>(H1311/H1313)-1</f>
        <v>2.1916268614779355E-2</v>
      </c>
      <c r="I1312" s="203">
        <f>(I1311/I1313)-1</f>
        <v>-0.13412304165074518</v>
      </c>
      <c r="J1312" s="203">
        <f>(J1311/J1313)-1</f>
        <v>-0.27012835472578767</v>
      </c>
      <c r="K1312" s="188"/>
      <c r="L1312" s="188"/>
      <c r="M1312" s="188"/>
      <c r="N1312" s="188"/>
      <c r="O1312" s="188"/>
      <c r="P1312" s="188"/>
      <c r="Q1312" s="188"/>
      <c r="R1312" s="195"/>
      <c r="S1312" s="188"/>
      <c r="T1312" s="180"/>
      <c r="U1312" s="189" t="str">
        <f>IFERROR(IF(Tableau3[[#This Row],[Dettes]]=0,"",(Tableau3[[#This Row],[Dettes]]/Tableau3[[#This Row],[EBE]])),"")</f>
        <v/>
      </c>
      <c r="V1312" s="190" t="str">
        <f>IFERROR(Tableau3[[#This Row],[Fonds propres]]/Tableau3[[#This Row],[Total Bilan]],"")</f>
        <v/>
      </c>
      <c r="W1312" s="180"/>
      <c r="X1312" s="192"/>
      <c r="Y1312" s="180"/>
      <c r="Z1312" s="192" t="str">
        <f>IFERROR(Tableau3[[#This Row],[Chiffre d''affaires]]/Tableau3[[#This Row],[Salariés]],"")</f>
        <v/>
      </c>
      <c r="AA1312" s="188"/>
      <c r="AB1312" s="188"/>
    </row>
    <row r="1313" spans="1:28" ht="20.25" customHeight="1">
      <c r="A1313" s="217"/>
      <c r="E1313" s="187">
        <v>163.6</v>
      </c>
      <c r="F1313" s="178">
        <v>2017</v>
      </c>
      <c r="G1313" s="188">
        <v>3831100000</v>
      </c>
      <c r="H1313" s="188">
        <v>355900000</v>
      </c>
      <c r="I1313" s="188">
        <v>261700000</v>
      </c>
      <c r="J1313" s="188">
        <v>171400000</v>
      </c>
      <c r="K1313" s="188">
        <v>510100000</v>
      </c>
      <c r="L1313" s="188">
        <v>1208200000</v>
      </c>
      <c r="M1313" s="208">
        <f>L1313/P1313</f>
        <v>58.828378455296885</v>
      </c>
      <c r="N1313" s="190">
        <f>J1313/L1313</f>
        <v>0.14186392981294488</v>
      </c>
      <c r="O1313" s="190">
        <f>(H1313*0.6666)/(K1313+L1313)</f>
        <v>0.13806840481871618</v>
      </c>
      <c r="P1313" s="188">
        <v>20537707</v>
      </c>
      <c r="Q1313" s="188">
        <f>P1313*E1313</f>
        <v>3359968865.1999998</v>
      </c>
      <c r="R1313" s="195">
        <f>Q1313/L1313</f>
        <v>2.7809707541797715</v>
      </c>
      <c r="S1313" s="197">
        <f>(Q1313+K1313)/I1313</f>
        <v>14.788188250668703</v>
      </c>
      <c r="T1313" s="180"/>
      <c r="U1313" s="189">
        <f>IFERROR(IF(Tableau3[[#This Row],[Dettes]]=0,"",(Tableau3[[#This Row],[Dettes]]/Tableau3[[#This Row],[EBE]])),"")</f>
        <v>1.4332677718460243</v>
      </c>
      <c r="V1313" s="190" t="str">
        <f>IFERROR(Tableau3[[#This Row],[Fonds propres]]/Tableau3[[#This Row],[Total Bilan]],"")</f>
        <v/>
      </c>
      <c r="W1313" s="180"/>
      <c r="X1313" s="191"/>
      <c r="Y1313" s="180"/>
      <c r="Z1313" s="192" t="str">
        <f>IFERROR(Tableau3[[#This Row],[Chiffre d''affaires]]/Tableau3[[#This Row],[Salariés]],"")</f>
        <v/>
      </c>
      <c r="AA1313" s="197"/>
      <c r="AB1313" s="197"/>
    </row>
    <row r="1314" spans="1:28" ht="20.25" customHeight="1">
      <c r="A1314" s="217"/>
      <c r="E1314" s="187"/>
      <c r="G1314" s="202">
        <f>(G1313/G1315)-1</f>
        <v>2.4002352123593473E-2</v>
      </c>
      <c r="H1314" s="203">
        <f>(H1313/H1315)-1</f>
        <v>3.4593023255814037E-2</v>
      </c>
      <c r="I1314" s="203">
        <f>(I1313/I1315)-1</f>
        <v>8.9508742714404566E-2</v>
      </c>
      <c r="J1314" s="203">
        <f>(J1313/J1315)-1</f>
        <v>0.1396276595744681</v>
      </c>
      <c r="K1314" s="188"/>
      <c r="L1314" s="188"/>
      <c r="M1314" s="188"/>
      <c r="N1314" s="188"/>
      <c r="O1314" s="188"/>
      <c r="P1314" s="188"/>
      <c r="Q1314" s="188"/>
      <c r="R1314" s="195"/>
      <c r="S1314" s="188"/>
      <c r="T1314" s="180"/>
      <c r="U1314" s="189" t="str">
        <f>IFERROR(IF(Tableau3[[#This Row],[Dettes]]=0,"",(Tableau3[[#This Row],[Dettes]]/Tableau3[[#This Row],[EBE]])),"")</f>
        <v/>
      </c>
      <c r="V1314" s="190" t="str">
        <f>IFERROR(Tableau3[[#This Row],[Fonds propres]]/Tableau3[[#This Row],[Total Bilan]],"")</f>
        <v/>
      </c>
      <c r="W1314" s="180"/>
      <c r="X1314" s="192"/>
      <c r="Y1314" s="180"/>
      <c r="Z1314" s="192" t="str">
        <f>IFERROR(Tableau3[[#This Row],[Chiffre d''affaires]]/Tableau3[[#This Row],[Salariés]],"")</f>
        <v/>
      </c>
      <c r="AA1314" s="188"/>
      <c r="AB1314" s="188"/>
    </row>
    <row r="1315" spans="1:28" ht="20.25" customHeight="1">
      <c r="A1315" s="217"/>
      <c r="E1315" s="187">
        <v>107.85</v>
      </c>
      <c r="F1315" s="178">
        <v>2016</v>
      </c>
      <c r="G1315" s="188">
        <v>3741300000</v>
      </c>
      <c r="H1315" s="188">
        <v>344000000</v>
      </c>
      <c r="I1315" s="188">
        <v>240200000</v>
      </c>
      <c r="J1315" s="188">
        <v>150400000</v>
      </c>
      <c r="K1315" s="188">
        <v>506000000</v>
      </c>
      <c r="L1315" s="188">
        <v>1070600000</v>
      </c>
      <c r="M1315" s="208">
        <f>L1315/P1315</f>
        <v>52.143516920951143</v>
      </c>
      <c r="N1315" s="190">
        <f>J1315/L1315</f>
        <v>0.14048197272557444</v>
      </c>
      <c r="O1315" s="190">
        <f>(I1315*0.6666)/(K1315+L1315)</f>
        <v>0.10155861981479132</v>
      </c>
      <c r="P1315" s="188">
        <v>20531795</v>
      </c>
      <c r="Q1315" s="188">
        <f>E1315*P1315</f>
        <v>2214354090.75</v>
      </c>
      <c r="R1315" s="195">
        <f>Q1315/L1315</f>
        <v>2.0683299932280965</v>
      </c>
      <c r="S1315" s="197">
        <f>(Q1315+K1315)/I1315</f>
        <v>11.325370902373022</v>
      </c>
      <c r="T1315" s="180"/>
      <c r="U1315" s="189">
        <f>IFERROR(IF(Tableau3[[#This Row],[Dettes]]=0,"",(Tableau3[[#This Row],[Dettes]]/Tableau3[[#This Row],[EBE]])),"")</f>
        <v>1.4709302325581395</v>
      </c>
      <c r="V1315" s="190" t="str">
        <f>IFERROR(Tableau3[[#This Row],[Fonds propres]]/Tableau3[[#This Row],[Total Bilan]],"")</f>
        <v/>
      </c>
      <c r="W1315" s="180"/>
      <c r="X1315" s="191"/>
      <c r="Y1315" s="180"/>
      <c r="Z1315" s="192" t="str">
        <f>IFERROR(Tableau3[[#This Row],[Chiffre d''affaires]]/Tableau3[[#This Row],[Salariés]],"")</f>
        <v/>
      </c>
      <c r="AA1315" s="197"/>
      <c r="AB1315" s="197"/>
    </row>
    <row r="1316" spans="1:28" ht="20.25" customHeight="1">
      <c r="A1316" s="217"/>
      <c r="E1316" s="187"/>
      <c r="G1316" s="202">
        <f>(G1315/G1317)-1</f>
        <v>4.3773016404419218E-2</v>
      </c>
      <c r="H1316" s="203">
        <f>(H1315/H1317)-1</f>
        <v>0.40122199592668029</v>
      </c>
      <c r="I1316" s="203">
        <f>(I1315/I1317)-1</f>
        <v>0.1603864734299516</v>
      </c>
      <c r="J1316" s="203">
        <f>(J1315/J1317)-1</f>
        <v>0.78199052132701419</v>
      </c>
      <c r="K1316" s="188"/>
      <c r="L1316" s="188"/>
      <c r="M1316" s="188"/>
      <c r="N1316" s="188"/>
      <c r="O1316" s="188"/>
      <c r="P1316" s="188"/>
      <c r="Q1316" s="188"/>
      <c r="R1316" s="195"/>
      <c r="S1316" s="188"/>
      <c r="T1316" s="180"/>
      <c r="U1316" s="189" t="str">
        <f>IFERROR(IF(Tableau3[[#This Row],[Dettes]]=0,"",(Tableau3[[#This Row],[Dettes]]/Tableau3[[#This Row],[EBE]])),"")</f>
        <v/>
      </c>
      <c r="V1316" s="190" t="str">
        <f>IFERROR(Tableau3[[#This Row],[Fonds propres]]/Tableau3[[#This Row],[Total Bilan]],"")</f>
        <v/>
      </c>
      <c r="W1316" s="180"/>
      <c r="X1316" s="192"/>
      <c r="Y1316" s="180"/>
      <c r="Z1316" s="192" t="str">
        <f>IFERROR(Tableau3[[#This Row],[Chiffre d''affaires]]/Tableau3[[#This Row],[Salariés]],"")</f>
        <v/>
      </c>
      <c r="AA1316" s="188"/>
      <c r="AB1316" s="188"/>
    </row>
    <row r="1317" spans="1:28" ht="20.25" customHeight="1">
      <c r="A1317" s="217"/>
      <c r="E1317" s="187">
        <v>104.25</v>
      </c>
      <c r="F1317" s="178">
        <v>2015</v>
      </c>
      <c r="G1317" s="188">
        <v>3584400000</v>
      </c>
      <c r="H1317" s="188">
        <v>245500000</v>
      </c>
      <c r="I1317" s="188">
        <v>207000000</v>
      </c>
      <c r="J1317" s="188">
        <v>84400000</v>
      </c>
      <c r="K1317" s="188"/>
      <c r="L1317" s="188"/>
      <c r="M1317" s="208">
        <f>L1317/P1317</f>
        <v>0</v>
      </c>
      <c r="N1317" s="190" t="e">
        <f>J1317/L1317</f>
        <v>#DIV/0!</v>
      </c>
      <c r="O1317" s="190" t="e">
        <f>(I1317*0.6666)/(K1317+L1317)</f>
        <v>#DIV/0!</v>
      </c>
      <c r="P1317" s="188">
        <v>20446723</v>
      </c>
      <c r="Q1317" s="188">
        <f>E1317*P1317</f>
        <v>2131570872.75</v>
      </c>
      <c r="R1317" s="195"/>
      <c r="S1317" s="197">
        <f>(Q1317+K1317)/I1317</f>
        <v>10.297443829710145</v>
      </c>
      <c r="T1317" s="180"/>
      <c r="U1317" s="189" t="str">
        <f>IFERROR(IF(Tableau3[[#This Row],[Dettes]]=0,"",(Tableau3[[#This Row],[Dettes]]/Tableau3[[#This Row],[EBE]])),"")</f>
        <v/>
      </c>
      <c r="V1317" s="190" t="str">
        <f>IFERROR(Tableau3[[#This Row],[Fonds propres]]/Tableau3[[#This Row],[Total Bilan]],"")</f>
        <v/>
      </c>
      <c r="W1317" s="180"/>
      <c r="X1317" s="191"/>
      <c r="Y1317" s="180"/>
      <c r="Z1317" s="192" t="str">
        <f>IFERROR(Tableau3[[#This Row],[Chiffre d''affaires]]/Tableau3[[#This Row],[Salariés]],"")</f>
        <v/>
      </c>
      <c r="AA1317" s="197"/>
      <c r="AB1317" s="197"/>
    </row>
    <row r="1318" spans="1:28" ht="20.25" customHeight="1">
      <c r="A1318" s="217"/>
      <c r="E1318" s="187"/>
      <c r="G1318" s="202">
        <f>(G1317/G1319)-1</f>
        <v>6.3588617548440807E-2</v>
      </c>
      <c r="H1318" s="203">
        <f>(H1317/H1319)-1</f>
        <v>6.1851211072664336E-2</v>
      </c>
      <c r="I1318" s="203">
        <f>(I1317/I1319)-1</f>
        <v>0.31847133757961776</v>
      </c>
      <c r="J1318" s="203">
        <f>(J1317/J1319)-1</f>
        <v>-9.0517241379310387E-2</v>
      </c>
      <c r="K1318" s="188"/>
      <c r="L1318" s="188"/>
      <c r="M1318" s="188"/>
      <c r="N1318" s="188"/>
      <c r="O1318" s="188"/>
      <c r="P1318" s="188"/>
      <c r="Q1318" s="188"/>
      <c r="R1318" s="195"/>
      <c r="S1318" s="188"/>
      <c r="T1318" s="180"/>
      <c r="U1318" s="189" t="str">
        <f>IFERROR(IF(Tableau3[[#This Row],[Dettes]]=0,"",(Tableau3[[#This Row],[Dettes]]/Tableau3[[#This Row],[EBE]])),"")</f>
        <v/>
      </c>
      <c r="V1318" s="190" t="str">
        <f>IFERROR(Tableau3[[#This Row],[Fonds propres]]/Tableau3[[#This Row],[Total Bilan]],"")</f>
        <v/>
      </c>
      <c r="W1318" s="180"/>
      <c r="X1318" s="192"/>
      <c r="Y1318" s="180"/>
      <c r="Z1318" s="192" t="str">
        <f>IFERROR(Tableau3[[#This Row],[Chiffre d''affaires]]/Tableau3[[#This Row],[Salariés]],"")</f>
        <v/>
      </c>
      <c r="AA1318" s="188"/>
      <c r="AB1318" s="188"/>
    </row>
    <row r="1319" spans="1:28" ht="20.25" customHeight="1">
      <c r="A1319" s="217" t="s">
        <v>934</v>
      </c>
      <c r="B1319" s="216" t="s">
        <v>894</v>
      </c>
      <c r="C1319" s="178" t="s">
        <v>84</v>
      </c>
      <c r="D1319" s="178" t="s">
        <v>85</v>
      </c>
      <c r="E1319" s="187">
        <v>63.5</v>
      </c>
      <c r="F1319" s="178">
        <v>2014</v>
      </c>
      <c r="G1319" s="188">
        <v>3370100000</v>
      </c>
      <c r="H1319" s="188">
        <v>231200000</v>
      </c>
      <c r="I1319" s="188">
        <v>157000000</v>
      </c>
      <c r="J1319" s="188">
        <v>92800000</v>
      </c>
      <c r="K1319" s="188"/>
      <c r="L1319" s="188"/>
      <c r="M1319" s="208">
        <f>L1319/P1319</f>
        <v>0</v>
      </c>
      <c r="N1319" s="190" t="e">
        <f>J1319/L1319</f>
        <v>#DIV/0!</v>
      </c>
      <c r="O1319" s="190" t="e">
        <f>(I1319*0.6666)/(K1319+L1319)</f>
        <v>#DIV/0!</v>
      </c>
      <c r="P1319" s="188">
        <v>20361201</v>
      </c>
      <c r="Q1319" s="188">
        <f>E1319*P1319</f>
        <v>1292936263.5</v>
      </c>
      <c r="R1319" s="195"/>
      <c r="S1319" s="197">
        <f>(Q1319+K1319)/I1319</f>
        <v>8.2352628248407651</v>
      </c>
      <c r="T1319" s="180"/>
      <c r="U1319" s="189" t="str">
        <f>IFERROR(IF(Tableau3[[#This Row],[Dettes]]=0,"",(Tableau3[[#This Row],[Dettes]]/Tableau3[[#This Row],[EBE]])),"")</f>
        <v/>
      </c>
      <c r="V1319" s="190" t="str">
        <f>IFERROR(Tableau3[[#This Row],[Fonds propres]]/Tableau3[[#This Row],[Total Bilan]],"")</f>
        <v/>
      </c>
      <c r="W1319" s="180"/>
      <c r="X1319" s="191"/>
      <c r="Y1319" s="180"/>
      <c r="Z1319" s="192" t="str">
        <f>IFERROR(Tableau3[[#This Row],[Chiffre d''affaires]]/Tableau3[[#This Row],[Salariés]],"")</f>
        <v/>
      </c>
      <c r="AA1319" s="197"/>
      <c r="AB1319" s="197"/>
    </row>
    <row r="1320" spans="1:28" ht="20.25" customHeight="1">
      <c r="A1320" s="217"/>
      <c r="E1320" s="187"/>
      <c r="G1320" s="188"/>
      <c r="H1320" s="188"/>
      <c r="I1320" s="188"/>
      <c r="J1320" s="188"/>
      <c r="K1320" s="188"/>
      <c r="L1320" s="188"/>
      <c r="M1320" s="188"/>
      <c r="N1320" s="188"/>
      <c r="O1320" s="188"/>
      <c r="P1320" s="188"/>
      <c r="Q1320" s="188"/>
      <c r="R1320" s="195"/>
      <c r="S1320" s="188"/>
      <c r="T1320" s="180"/>
      <c r="U1320" s="189" t="str">
        <f>IFERROR(IF(Tableau3[[#This Row],[Dettes]]=0,"",(Tableau3[[#This Row],[Dettes]]/Tableau3[[#This Row],[EBE]])),"")</f>
        <v/>
      </c>
      <c r="V1320" s="190" t="str">
        <f>IFERROR(Tableau3[[#This Row],[Fonds propres]]/Tableau3[[#This Row],[Total Bilan]],"")</f>
        <v/>
      </c>
      <c r="W1320" s="180"/>
      <c r="X1320" s="192"/>
      <c r="Y1320" s="180"/>
      <c r="Z1320" s="192" t="str">
        <f>IFERROR(Tableau3[[#This Row],[Chiffre d''affaires]]/Tableau3[[#This Row],[Salariés]],"")</f>
        <v/>
      </c>
      <c r="AA1320" s="188"/>
      <c r="AB1320" s="188"/>
    </row>
    <row r="1321" spans="1:28" ht="20.25" customHeight="1">
      <c r="A1321" s="217"/>
      <c r="E1321" s="187">
        <v>14.3</v>
      </c>
      <c r="F1321" s="178">
        <v>2013</v>
      </c>
      <c r="G1321" s="188"/>
      <c r="H1321" s="188"/>
      <c r="I1321" s="188">
        <v>65000000</v>
      </c>
      <c r="J1321" s="188"/>
      <c r="K1321" s="188"/>
      <c r="L1321" s="188"/>
      <c r="M1321" s="208">
        <f>L1321/P1321</f>
        <v>0</v>
      </c>
      <c r="N1321" s="190" t="e">
        <f>J1321/L1321</f>
        <v>#DIV/0!</v>
      </c>
      <c r="O1321" s="190" t="e">
        <f>(I1321*0.6666)/(K1321+L1321)</f>
        <v>#DIV/0!</v>
      </c>
      <c r="P1321" s="188">
        <v>33156692</v>
      </c>
      <c r="Q1321" s="188">
        <f>E1321*P1321</f>
        <v>474140695.60000002</v>
      </c>
      <c r="R1321" s="195"/>
      <c r="S1321" s="197">
        <f>(Q1321+K1321)/I1321</f>
        <v>7.2944722400000002</v>
      </c>
      <c r="T1321" s="180"/>
      <c r="U1321" s="189" t="str">
        <f>IFERROR(IF(Tableau3[[#This Row],[Dettes]]=0,"",(Tableau3[[#This Row],[Dettes]]/Tableau3[[#This Row],[EBE]])),"")</f>
        <v/>
      </c>
      <c r="V1321" s="190" t="str">
        <f>IFERROR(Tableau3[[#This Row],[Fonds propres]]/Tableau3[[#This Row],[Total Bilan]],"")</f>
        <v/>
      </c>
      <c r="W1321" s="180"/>
      <c r="X1321" s="191"/>
      <c r="Y1321" s="180"/>
      <c r="Z1321" s="192" t="str">
        <f>IFERROR(Tableau3[[#This Row],[Chiffre d''affaires]]/Tableau3[[#This Row],[Salariés]],"")</f>
        <v/>
      </c>
      <c r="AA1321" s="197"/>
      <c r="AB1321" s="197"/>
    </row>
    <row r="1322" spans="1:28" ht="20.25" customHeight="1">
      <c r="A1322" s="217"/>
      <c r="E1322" s="187"/>
      <c r="G1322" s="188"/>
      <c r="H1322" s="188"/>
      <c r="I1322" s="188"/>
      <c r="J1322" s="188"/>
      <c r="K1322" s="188"/>
      <c r="L1322" s="188"/>
      <c r="M1322" s="188"/>
      <c r="N1322" s="188"/>
      <c r="O1322" s="188"/>
      <c r="P1322" s="188"/>
      <c r="Q1322" s="188"/>
      <c r="R1322" s="195"/>
      <c r="S1322" s="188"/>
      <c r="T1322" s="180"/>
      <c r="U1322" s="189" t="str">
        <f>IFERROR(IF(Tableau3[[#This Row],[Dettes]]=0,"",(Tableau3[[#This Row],[Dettes]]/Tableau3[[#This Row],[EBE]])),"")</f>
        <v/>
      </c>
      <c r="V1322" s="190" t="str">
        <f>IFERROR(Tableau3[[#This Row],[Fonds propres]]/Tableau3[[#This Row],[Total Bilan]],"")</f>
        <v/>
      </c>
      <c r="W1322" s="180"/>
      <c r="X1322" s="192"/>
      <c r="Y1322" s="180"/>
      <c r="Z1322" s="192" t="str">
        <f>IFERROR(Tableau3[[#This Row],[Chiffre d''affaires]]/Tableau3[[#This Row],[Salariés]],"")</f>
        <v/>
      </c>
      <c r="AA1322" s="188"/>
      <c r="AB1322" s="188"/>
    </row>
    <row r="1323" spans="1:28" ht="20.25" customHeight="1">
      <c r="A1323" s="217"/>
      <c r="E1323" s="187">
        <v>14.2</v>
      </c>
      <c r="F1323" s="178">
        <v>2012</v>
      </c>
      <c r="G1323" s="188"/>
      <c r="H1323" s="188"/>
      <c r="I1323" s="188">
        <v>75000000</v>
      </c>
      <c r="J1323" s="188"/>
      <c r="K1323" s="188"/>
      <c r="L1323" s="188"/>
      <c r="M1323" s="208">
        <f>L1323/P1323</f>
        <v>0</v>
      </c>
      <c r="N1323" s="190" t="e">
        <f>J1323/L1323</f>
        <v>#DIV/0!</v>
      </c>
      <c r="O1323" s="190" t="e">
        <f>(I1323*0.6666)/(K1323+L1323)</f>
        <v>#DIV/0!</v>
      </c>
      <c r="P1323" s="188">
        <v>30829031</v>
      </c>
      <c r="Q1323" s="188">
        <f>E1323*P1323</f>
        <v>437772240.19999999</v>
      </c>
      <c r="R1323" s="195"/>
      <c r="S1323" s="197">
        <f>(Q1323+K1323)/I1323</f>
        <v>5.8369632026666665</v>
      </c>
      <c r="T1323" s="180"/>
      <c r="U1323" s="189" t="str">
        <f>IFERROR(IF(Tableau3[[#This Row],[Dettes]]=0,"",(Tableau3[[#This Row],[Dettes]]/Tableau3[[#This Row],[EBE]])),"")</f>
        <v/>
      </c>
      <c r="V1323" s="190" t="str">
        <f>IFERROR(Tableau3[[#This Row],[Fonds propres]]/Tableau3[[#This Row],[Total Bilan]],"")</f>
        <v/>
      </c>
      <c r="W1323" s="180"/>
      <c r="X1323" s="191"/>
      <c r="Y1323" s="180"/>
      <c r="Z1323" s="192" t="str">
        <f>IFERROR(Tableau3[[#This Row],[Chiffre d''affaires]]/Tableau3[[#This Row],[Salariés]],"")</f>
        <v/>
      </c>
      <c r="AA1323" s="197"/>
      <c r="AB1323" s="197"/>
    </row>
    <row r="1324" spans="1:28" ht="20.25" customHeight="1">
      <c r="A1324" s="217"/>
      <c r="E1324" s="187"/>
      <c r="G1324" s="188"/>
      <c r="H1324" s="188"/>
      <c r="I1324" s="188"/>
      <c r="J1324" s="188"/>
      <c r="K1324" s="188"/>
      <c r="L1324" s="188"/>
      <c r="M1324" s="188"/>
      <c r="N1324" s="188"/>
      <c r="O1324" s="188"/>
      <c r="P1324" s="188"/>
      <c r="Q1324" s="188"/>
      <c r="R1324" s="195"/>
      <c r="S1324" s="188"/>
      <c r="T1324" s="180"/>
      <c r="U1324" s="189" t="str">
        <f>IFERROR(IF(Tableau3[[#This Row],[Dettes]]=0,"",(Tableau3[[#This Row],[Dettes]]/Tableau3[[#This Row],[EBE]])),"")</f>
        <v/>
      </c>
      <c r="V1324" s="190" t="str">
        <f>IFERROR(Tableau3[[#This Row],[Fonds propres]]/Tableau3[[#This Row],[Total Bilan]],"")</f>
        <v/>
      </c>
      <c r="W1324" s="180"/>
      <c r="X1324" s="192"/>
      <c r="Y1324" s="180"/>
      <c r="Z1324" s="192" t="str">
        <f>IFERROR(Tableau3[[#This Row],[Chiffre d''affaires]]/Tableau3[[#This Row],[Salariés]],"")</f>
        <v/>
      </c>
      <c r="AA1324" s="188"/>
      <c r="AB1324" s="188"/>
    </row>
    <row r="1325" spans="1:28" ht="20.25" customHeight="1">
      <c r="A1325" s="217"/>
      <c r="E1325" s="187">
        <v>13.16</v>
      </c>
      <c r="F1325" s="178">
        <v>2011</v>
      </c>
      <c r="G1325" s="188"/>
      <c r="H1325" s="188"/>
      <c r="I1325" s="188">
        <v>90000000</v>
      </c>
      <c r="J1325" s="188"/>
      <c r="K1325" s="188"/>
      <c r="L1325" s="188"/>
      <c r="M1325" s="208">
        <f>L1325/P1325</f>
        <v>0</v>
      </c>
      <c r="N1325" s="190" t="e">
        <f>J1325/L1325</f>
        <v>#DIV/0!</v>
      </c>
      <c r="O1325" s="190" t="e">
        <f>(I1325*0.6666)/(K1325+L1325)</f>
        <v>#DIV/0!</v>
      </c>
      <c r="P1325" s="188">
        <v>30829031</v>
      </c>
      <c r="Q1325" s="188">
        <f>E1325*P1325</f>
        <v>405710047.95999998</v>
      </c>
      <c r="R1325" s="195"/>
      <c r="S1325" s="197">
        <f>(Q1325+K1325)/I1325</f>
        <v>4.5078894217777776</v>
      </c>
      <c r="T1325" s="180"/>
      <c r="U1325" s="189" t="str">
        <f>IFERROR(IF(Tableau3[[#This Row],[Dettes]]=0,"",(Tableau3[[#This Row],[Dettes]]/Tableau3[[#This Row],[EBE]])),"")</f>
        <v/>
      </c>
      <c r="V1325" s="190" t="str">
        <f>IFERROR(Tableau3[[#This Row],[Fonds propres]]/Tableau3[[#This Row],[Total Bilan]],"")</f>
        <v/>
      </c>
      <c r="W1325" s="180"/>
      <c r="X1325" s="191"/>
      <c r="Y1325" s="180"/>
      <c r="Z1325" s="192" t="str">
        <f>IFERROR(Tableau3[[#This Row],[Chiffre d''affaires]]/Tableau3[[#This Row],[Salariés]],"")</f>
        <v/>
      </c>
      <c r="AA1325" s="197"/>
      <c r="AB1325" s="197"/>
    </row>
    <row r="1326" spans="1:28" ht="20.25" customHeight="1">
      <c r="A1326" s="217"/>
      <c r="E1326" s="187"/>
      <c r="G1326" s="188"/>
      <c r="H1326" s="178"/>
      <c r="I1326" s="178"/>
      <c r="J1326" s="178"/>
      <c r="K1326" s="178"/>
      <c r="L1326" s="178"/>
      <c r="M1326" s="178"/>
      <c r="N1326" s="178"/>
      <c r="O1326" s="178"/>
      <c r="P1326" s="178"/>
      <c r="Q1326" s="178"/>
      <c r="R1326" s="195"/>
      <c r="S1326" s="178"/>
      <c r="T1326" s="180"/>
      <c r="U1326" s="189" t="str">
        <f>IFERROR(IF(Tableau3[[#This Row],[Dettes]]=0,"",(Tableau3[[#This Row],[Dettes]]/Tableau3[[#This Row],[EBE]])),"")</f>
        <v/>
      </c>
      <c r="V1326" s="190" t="str">
        <f>IFERROR(Tableau3[[#This Row],[Fonds propres]]/Tableau3[[#This Row],[Total Bilan]],"")</f>
        <v/>
      </c>
      <c r="W1326" s="180"/>
      <c r="Y1326" s="180"/>
      <c r="Z1326" s="192" t="str">
        <f>IFERROR(Tableau3[[#This Row],[Chiffre d''affaires]]/Tableau3[[#This Row],[Salariés]],"")</f>
        <v/>
      </c>
      <c r="AA1326" s="177"/>
    </row>
    <row r="1327" spans="1:28" ht="20.25" customHeight="1">
      <c r="A1327" s="217"/>
      <c r="E1327" s="187">
        <v>19.399999999999999</v>
      </c>
      <c r="F1327" s="178">
        <v>2010</v>
      </c>
      <c r="G1327" s="188"/>
      <c r="H1327" s="188"/>
      <c r="I1327" s="188">
        <v>90000000</v>
      </c>
      <c r="J1327" s="188"/>
      <c r="K1327" s="188"/>
      <c r="L1327" s="188"/>
      <c r="M1327" s="208">
        <f>L1327/P1327</f>
        <v>0</v>
      </c>
      <c r="N1327" s="190" t="e">
        <f>J1327/L1327</f>
        <v>#DIV/0!</v>
      </c>
      <c r="O1327" s="190" t="e">
        <f>(I1327*0.6666)/(K1327+L1327)</f>
        <v>#DIV/0!</v>
      </c>
      <c r="P1327" s="188">
        <v>30829031</v>
      </c>
      <c r="Q1327" s="188">
        <f>E1327*P1327</f>
        <v>598083201.39999998</v>
      </c>
      <c r="R1327" s="195"/>
      <c r="S1327" s="197">
        <f>(Q1327+K1327)/I1327</f>
        <v>6.6453689044444442</v>
      </c>
      <c r="T1327" s="180"/>
      <c r="U1327" s="189" t="str">
        <f>IFERROR(IF(Tableau3[[#This Row],[Dettes]]=0,"",(Tableau3[[#This Row],[Dettes]]/Tableau3[[#This Row],[EBE]])),"")</f>
        <v/>
      </c>
      <c r="V1327" s="190" t="str">
        <f>IFERROR(Tableau3[[#This Row],[Fonds propres]]/Tableau3[[#This Row],[Total Bilan]],"")</f>
        <v/>
      </c>
      <c r="W1327" s="180"/>
      <c r="X1327" s="191"/>
      <c r="Y1327" s="180"/>
      <c r="Z1327" s="192" t="str">
        <f>IFERROR(Tableau3[[#This Row],[Chiffre d''affaires]]/Tableau3[[#This Row],[Salariés]],"")</f>
        <v/>
      </c>
      <c r="AA1327" s="197"/>
      <c r="AB1327" s="197"/>
    </row>
    <row r="1328" spans="1:28" ht="20.25" customHeight="1">
      <c r="A1328" s="217"/>
      <c r="E1328" s="187"/>
      <c r="G1328" s="188"/>
      <c r="H1328" s="188"/>
      <c r="I1328" s="188"/>
      <c r="J1328" s="188"/>
      <c r="K1328" s="188"/>
      <c r="L1328" s="188"/>
      <c r="M1328" s="208"/>
      <c r="N1328" s="190"/>
      <c r="O1328" s="190"/>
      <c r="P1328" s="188"/>
      <c r="Q1328" s="188"/>
      <c r="R1328" s="195"/>
      <c r="S1328" s="197"/>
      <c r="T1328" s="180"/>
      <c r="U1328" s="189" t="str">
        <f>IFERROR(IF(Tableau3[[#This Row],[Dettes]]=0,"",(Tableau3[[#This Row],[Dettes]]/Tableau3[[#This Row],[EBE]])),"")</f>
        <v/>
      </c>
      <c r="V1328" s="190" t="str">
        <f>IFERROR(Tableau3[[#This Row],[Fonds propres]]/Tableau3[[#This Row],[Total Bilan]],"")</f>
        <v/>
      </c>
      <c r="W1328" s="180"/>
      <c r="X1328" s="191"/>
      <c r="Y1328" s="180"/>
      <c r="Z1328" s="192" t="str">
        <f>IFERROR(Tableau3[[#This Row],[Chiffre d''affaires]]/Tableau3[[#This Row],[Salariés]],"")</f>
        <v/>
      </c>
      <c r="AA1328" s="197"/>
      <c r="AB1328" s="197"/>
    </row>
    <row r="1329" spans="1:29" ht="20.25" customHeight="1">
      <c r="A1329" s="217"/>
      <c r="E1329" s="187"/>
      <c r="G1329" s="188"/>
      <c r="H1329" s="188"/>
      <c r="I1329" s="188"/>
      <c r="J1329" s="188"/>
      <c r="K1329" s="188"/>
      <c r="L1329" s="188"/>
      <c r="M1329" s="208"/>
      <c r="N1329" s="190"/>
      <c r="O1329" s="190"/>
      <c r="P1329" s="188"/>
      <c r="Q1329" s="188"/>
      <c r="R1329" s="195"/>
      <c r="S1329" s="197"/>
      <c r="T1329" s="180"/>
      <c r="U1329" s="189" t="str">
        <f>IFERROR(IF(Tableau3[[#This Row],[Dettes]]=0,"",(Tableau3[[#This Row],[Dettes]]/Tableau3[[#This Row],[EBE]])),"")</f>
        <v/>
      </c>
      <c r="V1329" s="190" t="str">
        <f>IFERROR(Tableau3[[#This Row],[Fonds propres]]/Tableau3[[#This Row],[Total Bilan]],"")</f>
        <v/>
      </c>
      <c r="W1329" s="180"/>
      <c r="X1329" s="191"/>
      <c r="Y1329" s="180"/>
      <c r="Z1329" s="192" t="str">
        <f>IFERROR(Tableau3[[#This Row],[Chiffre d''affaires]]/Tableau3[[#This Row],[Salariés]],"")</f>
        <v/>
      </c>
      <c r="AA1329" s="197"/>
      <c r="AB1329" s="197"/>
    </row>
    <row r="1330" spans="1:29" ht="20.25" customHeight="1">
      <c r="A1330" s="217"/>
      <c r="E1330" s="187"/>
      <c r="G1330" s="188"/>
      <c r="H1330" s="188"/>
      <c r="I1330" s="188"/>
      <c r="J1330" s="188"/>
      <c r="K1330" s="188"/>
      <c r="L1330" s="188"/>
      <c r="M1330" s="208"/>
      <c r="N1330" s="190"/>
      <c r="O1330" s="190"/>
      <c r="P1330" s="188"/>
      <c r="Q1330" s="188"/>
      <c r="R1330" s="195"/>
      <c r="S1330" s="197"/>
      <c r="T1330" s="180"/>
      <c r="U1330" s="189" t="str">
        <f>IFERROR(IF(Tableau3[[#This Row],[Dettes]]=0,"",(Tableau3[[#This Row],[Dettes]]/Tableau3[[#This Row],[EBE]])),"")</f>
        <v/>
      </c>
      <c r="V1330" s="190" t="str">
        <f>IFERROR(Tableau3[[#This Row],[Fonds propres]]/Tableau3[[#This Row],[Total Bilan]],"")</f>
        <v/>
      </c>
      <c r="W1330" s="180"/>
      <c r="X1330" s="191"/>
      <c r="Y1330" s="180"/>
      <c r="Z1330" s="192" t="str">
        <f>IFERROR(Tableau3[[#This Row],[Chiffre d''affaires]]/Tableau3[[#This Row],[Salariés]],"")</f>
        <v/>
      </c>
      <c r="AA1330" s="197"/>
      <c r="AB1330" s="197"/>
    </row>
    <row r="1331" spans="1:29" ht="20.25" customHeight="1">
      <c r="A1331" s="217" t="s">
        <v>935</v>
      </c>
      <c r="B1331" s="216" t="s">
        <v>894</v>
      </c>
      <c r="C1331" s="178" t="s">
        <v>84</v>
      </c>
      <c r="D1331" s="178" t="s">
        <v>85</v>
      </c>
      <c r="E1331" s="209">
        <v>215.5</v>
      </c>
      <c r="F1331" s="178">
        <v>2021</v>
      </c>
      <c r="G1331" s="188">
        <f>G1333*1.14</f>
        <v>18356849999.999996</v>
      </c>
      <c r="H1331" s="188">
        <v>2726000000</v>
      </c>
      <c r="I1331" s="188">
        <v>1900000000</v>
      </c>
      <c r="J1331" s="188">
        <v>1300000000</v>
      </c>
      <c r="K1331" s="188">
        <v>5000000000</v>
      </c>
      <c r="L1331" s="211">
        <f>L1333</f>
        <v>8424000000</v>
      </c>
      <c r="M1331" s="194">
        <f>L1331/P1331</f>
        <v>49.744457630964256</v>
      </c>
      <c r="N1331" s="190">
        <f>J1331/L1331</f>
        <v>0.15432098765432098</v>
      </c>
      <c r="O1331" s="190">
        <f>(I1331*0.6666)/(K1331+L1331)</f>
        <v>9.4348927294398088E-2</v>
      </c>
      <c r="P1331" s="211">
        <f>P1333</f>
        <v>169345499</v>
      </c>
      <c r="Q1331" s="188">
        <f>P1331*E1331</f>
        <v>36493955034.5</v>
      </c>
      <c r="R1331" s="195">
        <f>Q1331/L1331</f>
        <v>4.3321409110280156</v>
      </c>
      <c r="S1331" s="197">
        <f>(Q1331+K1331)/I1331</f>
        <v>21.838923702368422</v>
      </c>
      <c r="T1331" s="180"/>
      <c r="U1331" s="189">
        <f>IFERROR(IF(Tableau3[[#This Row],[Dettes]]=0,"",(Tableau3[[#This Row],[Dettes]]/Tableau3[[#This Row],[EBE]])),"")</f>
        <v>1.8341892883345561</v>
      </c>
      <c r="V1331" s="190" t="str">
        <f>IFERROR(Tableau3[[#This Row],[Fonds propres]]/Tableau3[[#This Row],[Total Bilan]],"")</f>
        <v/>
      </c>
      <c r="W1331" s="180"/>
      <c r="X1331" s="191" t="s">
        <v>766</v>
      </c>
      <c r="Y1331" s="180"/>
      <c r="Z1331" s="192" t="str">
        <f>IFERROR(Tableau3[[#This Row],[Chiffre d''affaires]]/Tableau3[[#This Row],[Salariés]],"")</f>
        <v/>
      </c>
      <c r="AA1331" s="197"/>
      <c r="AB1331" s="197"/>
      <c r="AC1331" s="177" t="s">
        <v>936</v>
      </c>
    </row>
    <row r="1332" spans="1:29" ht="20.25" customHeight="1">
      <c r="A1332" s="217"/>
      <c r="E1332" s="209"/>
      <c r="G1332" s="202">
        <f>(G1331/G1333)-1</f>
        <v>0.1399999999999999</v>
      </c>
      <c r="H1332" s="203">
        <f>(H1331/H1333)-1</f>
        <v>0.51444444444444448</v>
      </c>
      <c r="I1332" s="203">
        <f>(I1331/I1333)-1</f>
        <v>0.52</v>
      </c>
      <c r="J1332" s="203">
        <f>(J1331/J1333)-1</f>
        <v>0.85714285714285721</v>
      </c>
      <c r="K1332" s="188"/>
      <c r="L1332" s="188"/>
      <c r="M1332" s="188"/>
      <c r="N1332" s="188"/>
      <c r="O1332" s="188"/>
      <c r="P1332" s="188"/>
      <c r="Q1332" s="188"/>
      <c r="R1332" s="195"/>
      <c r="S1332" s="188"/>
      <c r="T1332" s="180"/>
      <c r="U1332" s="189" t="str">
        <f>IFERROR(IF(Tableau3[[#This Row],[Dettes]]=0,"",(Tableau3[[#This Row],[Dettes]]/Tableau3[[#This Row],[EBE]])),"")</f>
        <v/>
      </c>
      <c r="V1332" s="190" t="str">
        <f>IFERROR(Tableau3[[#This Row],[Fonds propres]]/Tableau3[[#This Row],[Total Bilan]],"")</f>
        <v/>
      </c>
      <c r="W1332" s="180"/>
      <c r="X1332" s="192"/>
      <c r="Y1332" s="180"/>
      <c r="Z1332" s="192" t="str">
        <f>IFERROR(Tableau3[[#This Row],[Chiffre d''affaires]]/Tableau3[[#This Row],[Salariés]],"")</f>
        <v/>
      </c>
      <c r="AA1332" s="188"/>
      <c r="AB1332" s="188"/>
      <c r="AC1332" s="177" t="s">
        <v>938</v>
      </c>
    </row>
    <row r="1333" spans="1:29" ht="20.25" customHeight="1">
      <c r="A1333" s="217"/>
      <c r="E1333" s="178">
        <v>126.8</v>
      </c>
      <c r="F1333" s="178">
        <v>2020</v>
      </c>
      <c r="G1333" s="188">
        <f>G1335*1.14</f>
        <v>16102499999.999998</v>
      </c>
      <c r="H1333" s="188">
        <v>1800000000</v>
      </c>
      <c r="I1333" s="188">
        <v>1250000000</v>
      </c>
      <c r="J1333" s="188">
        <v>700000000</v>
      </c>
      <c r="K1333" s="188">
        <v>5000000000</v>
      </c>
      <c r="L1333" s="211">
        <f>L1335</f>
        <v>8424000000</v>
      </c>
      <c r="M1333" s="194">
        <f>L1333/P1333</f>
        <v>49.744457630964256</v>
      </c>
      <c r="N1333" s="190">
        <f>J1333/L1333</f>
        <v>8.3095916429249767E-2</v>
      </c>
      <c r="O1333" s="190">
        <f>(I1333*0.6666)/(K1333+L1333)</f>
        <v>6.2071662693682958E-2</v>
      </c>
      <c r="P1333" s="211">
        <f>P1335</f>
        <v>169345499</v>
      </c>
      <c r="Q1333" s="188">
        <f>P1333*E1333</f>
        <v>21473009273.200001</v>
      </c>
      <c r="R1333" s="195">
        <f>Q1333/L1333</f>
        <v>2.5490276915004748</v>
      </c>
      <c r="S1333" s="197">
        <f>(Q1333+K1333)/I1333</f>
        <v>21.178407418559999</v>
      </c>
      <c r="T1333" s="180"/>
      <c r="U1333" s="189">
        <f>IFERROR(IF(Tableau3[[#This Row],[Dettes]]=0,"",(Tableau3[[#This Row],[Dettes]]/Tableau3[[#This Row],[EBE]])),"")</f>
        <v>2.7777777777777777</v>
      </c>
      <c r="V1333" s="190" t="str">
        <f>IFERROR(Tableau3[[#This Row],[Fonds propres]]/Tableau3[[#This Row],[Total Bilan]],"")</f>
        <v/>
      </c>
      <c r="W1333" s="180"/>
      <c r="Y1333" s="180"/>
      <c r="Z1333" s="192" t="str">
        <f>IFERROR(Tableau3[[#This Row],[Chiffre d''affaires]]/Tableau3[[#This Row],[Salariés]],"")</f>
        <v/>
      </c>
      <c r="AA1333" s="177"/>
      <c r="AC1333" s="177" t="s">
        <v>939</v>
      </c>
    </row>
    <row r="1334" spans="1:29" ht="20.25" customHeight="1">
      <c r="A1334" s="217"/>
      <c r="E1334" s="187"/>
      <c r="G1334" s="202">
        <f>(G1333/G1335)-1</f>
        <v>0.1399999999999999</v>
      </c>
      <c r="H1334" s="203">
        <f>(H1333/H1335)-1</f>
        <v>3.3888569787478451E-2</v>
      </c>
      <c r="I1334" s="203">
        <f>(I1333/I1335)-1</f>
        <v>-0.12770411723656661</v>
      </c>
      <c r="J1334" s="203">
        <f>(J1333/J1335)-1</f>
        <v>-0.18224299065420557</v>
      </c>
      <c r="K1334" s="188"/>
      <c r="L1334" s="188"/>
      <c r="M1334" s="194"/>
      <c r="N1334" s="190"/>
      <c r="O1334" s="190"/>
      <c r="P1334" s="188"/>
      <c r="Q1334" s="188"/>
      <c r="R1334" s="195"/>
      <c r="S1334" s="197"/>
      <c r="T1334" s="180"/>
      <c r="U1334" s="189" t="str">
        <f>IFERROR(IF(Tableau3[[#This Row],[Dettes]]=0,"",(Tableau3[[#This Row],[Dettes]]/Tableau3[[#This Row],[EBE]])),"")</f>
        <v/>
      </c>
      <c r="V1334" s="190" t="str">
        <f>IFERROR(Tableau3[[#This Row],[Fonds propres]]/Tableau3[[#This Row],[Total Bilan]],"")</f>
        <v/>
      </c>
      <c r="W1334" s="180"/>
      <c r="X1334" s="191"/>
      <c r="Y1334" s="180"/>
      <c r="Z1334" s="192" t="str">
        <f>IFERROR(Tableau3[[#This Row],[Chiffre d''affaires]]/Tableau3[[#This Row],[Salariés]],"")</f>
        <v/>
      </c>
      <c r="AA1334" s="197"/>
      <c r="AB1334" s="197"/>
      <c r="AC1334" s="177" t="s">
        <v>940</v>
      </c>
    </row>
    <row r="1335" spans="1:29" ht="20.25" customHeight="1">
      <c r="A1335" s="217"/>
      <c r="E1335" s="187">
        <v>108.9</v>
      </c>
      <c r="F1335" s="178">
        <v>2019</v>
      </c>
      <c r="G1335" s="188">
        <v>14125000000</v>
      </c>
      <c r="H1335" s="188">
        <v>1741000000</v>
      </c>
      <c r="I1335" s="188">
        <v>1433000000</v>
      </c>
      <c r="J1335" s="188">
        <v>856000000</v>
      </c>
      <c r="K1335" s="188">
        <v>600000000</v>
      </c>
      <c r="L1335" s="188">
        <v>8424000000</v>
      </c>
      <c r="M1335" s="194">
        <f>L1335/P1335</f>
        <v>49.744457630964256</v>
      </c>
      <c r="N1335" s="190">
        <f>J1335/L1335</f>
        <v>0.10161443494776828</v>
      </c>
      <c r="O1335" s="190">
        <f>(I1335*0.6666)/(K1335+L1335)</f>
        <v>0.10585525265957446</v>
      </c>
      <c r="P1335" s="188">
        <v>169345499</v>
      </c>
      <c r="Q1335" s="188">
        <f>P1335*E1335</f>
        <v>18441724841.100002</v>
      </c>
      <c r="R1335" s="195">
        <f>Q1335/L1335</f>
        <v>2.1891886088675214</v>
      </c>
      <c r="S1335" s="197">
        <f>(Q1335+K1335)/I1335</f>
        <v>13.288014543684579</v>
      </c>
      <c r="T1335" s="180"/>
      <c r="U1335" s="189">
        <f>IFERROR(IF(Tableau3[[#This Row],[Dettes]]=0,"",(Tableau3[[#This Row],[Dettes]]/Tableau3[[#This Row],[EBE]])),"")</f>
        <v>0.3446295232624928</v>
      </c>
      <c r="V1335" s="190" t="str">
        <f>IFERROR(Tableau3[[#This Row],[Fonds propres]]/Tableau3[[#This Row],[Total Bilan]],"")</f>
        <v/>
      </c>
      <c r="W1335" s="180"/>
      <c r="X1335" s="191"/>
      <c r="Y1335" s="180"/>
      <c r="Z1335" s="192" t="str">
        <f>IFERROR(Tableau3[[#This Row],[Chiffre d''affaires]]/Tableau3[[#This Row],[Salariés]],"")</f>
        <v/>
      </c>
      <c r="AA1335" s="197"/>
      <c r="AB1335" s="197"/>
    </row>
    <row r="1336" spans="1:29" ht="20.25" customHeight="1">
      <c r="A1336" s="217"/>
      <c r="E1336" s="187"/>
      <c r="G1336" s="202">
        <f>(G1335/G1337)-1</f>
        <v>7.0319011896643246E-2</v>
      </c>
      <c r="H1336" s="203">
        <f>(H1335/H1337)-1</f>
        <v>9.0169067000626102E-2</v>
      </c>
      <c r="I1336" s="203">
        <f>(I1335/I1337)-1</f>
        <v>0.1454836131095123</v>
      </c>
      <c r="J1336" s="203">
        <f>(J1335/J1337)-1</f>
        <v>0.17260273972602747</v>
      </c>
      <c r="K1336" s="188"/>
      <c r="L1336" s="178"/>
      <c r="M1336" s="194"/>
      <c r="N1336" s="190"/>
      <c r="O1336" s="190"/>
      <c r="P1336" s="188"/>
      <c r="Q1336" s="188"/>
      <c r="R1336" s="195"/>
      <c r="S1336" s="197"/>
      <c r="T1336" s="180"/>
      <c r="U1336" s="189" t="str">
        <f>IFERROR(IF(Tableau3[[#This Row],[Dettes]]=0,"",(Tableau3[[#This Row],[Dettes]]/Tableau3[[#This Row],[EBE]])),"")</f>
        <v/>
      </c>
      <c r="V1336" s="190" t="str">
        <f>IFERROR(Tableau3[[#This Row],[Fonds propres]]/Tableau3[[#This Row],[Total Bilan]],"")</f>
        <v/>
      </c>
      <c r="W1336" s="180"/>
      <c r="X1336" s="191"/>
      <c r="Y1336" s="180"/>
      <c r="Z1336" s="192" t="str">
        <f>IFERROR(Tableau3[[#This Row],[Chiffre d''affaires]]/Tableau3[[#This Row],[Salariés]],"")</f>
        <v/>
      </c>
      <c r="AA1336" s="197"/>
      <c r="AB1336" s="197"/>
    </row>
    <row r="1337" spans="1:29" ht="20.25" customHeight="1">
      <c r="A1337" s="217"/>
      <c r="E1337" s="187">
        <v>126.8</v>
      </c>
      <c r="F1337" s="178">
        <v>2018</v>
      </c>
      <c r="G1337" s="188">
        <v>13197000000</v>
      </c>
      <c r="H1337" s="188">
        <v>1597000000</v>
      </c>
      <c r="I1337" s="188">
        <v>1251000000</v>
      </c>
      <c r="J1337" s="188">
        <v>730000000</v>
      </c>
      <c r="K1337" s="188">
        <v>1184000000</v>
      </c>
      <c r="L1337" s="188">
        <v>7480000000</v>
      </c>
      <c r="M1337" s="194">
        <f>L1337/P1337</f>
        <v>44.308325215027324</v>
      </c>
      <c r="N1337" s="190">
        <f>J1337/L1337</f>
        <v>9.7593582887700536E-2</v>
      </c>
      <c r="O1337" s="190">
        <f>(I1337*0.6666)/(K1337+L1337)</f>
        <v>9.6250761772853188E-2</v>
      </c>
      <c r="P1337" s="188">
        <v>168817033</v>
      </c>
      <c r="Q1337" s="188">
        <f>P1337*E1337</f>
        <v>21405999784.399998</v>
      </c>
      <c r="R1337" s="195">
        <f>Q1337/L1337</f>
        <v>2.8617646770588232</v>
      </c>
      <c r="S1337" s="197">
        <f>(Q1337+K1337)/I1337</f>
        <v>18.057553784492406</v>
      </c>
      <c r="T1337" s="180"/>
      <c r="U1337" s="189">
        <f>IFERROR(IF(Tableau3[[#This Row],[Dettes]]=0,"",(Tableau3[[#This Row],[Dettes]]/Tableau3[[#This Row],[EBE]])),"")</f>
        <v>0.74139010644959302</v>
      </c>
      <c r="V1337" s="190" t="str">
        <f>IFERROR(Tableau3[[#This Row],[Fonds propres]]/Tableau3[[#This Row],[Total Bilan]],"")</f>
        <v/>
      </c>
      <c r="W1337" s="180"/>
      <c r="X1337" s="191"/>
      <c r="Y1337" s="180"/>
      <c r="Z1337" s="192" t="str">
        <f>IFERROR(Tableau3[[#This Row],[Chiffre d''affaires]]/Tableau3[[#This Row],[Salariés]],"")</f>
        <v/>
      </c>
      <c r="AA1337" s="197"/>
      <c r="AB1337" s="197"/>
    </row>
    <row r="1338" spans="1:29" ht="20.25" customHeight="1">
      <c r="A1338" s="217"/>
      <c r="E1338" s="187"/>
      <c r="G1338" s="202">
        <f>(G1337/G1339)-1</f>
        <v>3.1660412757973821E-2</v>
      </c>
      <c r="H1338" s="203">
        <f>(H1337/H1339)-1</f>
        <v>6.9658405894172715E-2</v>
      </c>
      <c r="I1338" s="203">
        <f>(I1337/I1339)-1</f>
        <v>5.7480980557903738E-2</v>
      </c>
      <c r="J1338" s="203">
        <f>(J1337/J1339)-1</f>
        <v>-0.1097560975609756</v>
      </c>
      <c r="K1338" s="188"/>
      <c r="L1338" s="188"/>
      <c r="M1338" s="194"/>
      <c r="N1338" s="194"/>
      <c r="O1338" s="194"/>
      <c r="P1338" s="188"/>
      <c r="Q1338" s="188"/>
      <c r="R1338" s="195"/>
      <c r="S1338" s="188"/>
      <c r="T1338" s="180"/>
      <c r="U1338" s="189" t="str">
        <f>IFERROR(IF(Tableau3[[#This Row],[Dettes]]=0,"",(Tableau3[[#This Row],[Dettes]]/Tableau3[[#This Row],[EBE]])),"")</f>
        <v/>
      </c>
      <c r="V1338" s="190" t="str">
        <f>IFERROR(Tableau3[[#This Row],[Fonds propres]]/Tableau3[[#This Row],[Total Bilan]],"")</f>
        <v/>
      </c>
      <c r="W1338" s="180"/>
      <c r="X1338" s="192"/>
      <c r="Y1338" s="180"/>
      <c r="Z1338" s="192" t="str">
        <f>IFERROR(Tableau3[[#This Row],[Chiffre d''affaires]]/Tableau3[[#This Row],[Salariés]],"")</f>
        <v/>
      </c>
      <c r="AA1338" s="188"/>
      <c r="AB1338" s="188"/>
    </row>
    <row r="1339" spans="1:29" ht="20.25" customHeight="1">
      <c r="A1339" s="217"/>
      <c r="E1339" s="187">
        <v>98.89</v>
      </c>
      <c r="F1339" s="178">
        <v>2017</v>
      </c>
      <c r="G1339" s="188">
        <v>12792000000</v>
      </c>
      <c r="H1339" s="188">
        <v>1493000000</v>
      </c>
      <c r="I1339" s="188">
        <v>1183000000</v>
      </c>
      <c r="J1339" s="188">
        <v>820000000</v>
      </c>
      <c r="K1339" s="188">
        <v>1209000000</v>
      </c>
      <c r="L1339" s="188">
        <v>6960000000</v>
      </c>
      <c r="M1339" s="194">
        <f>L1339/P1339</f>
        <v>41.414381825998298</v>
      </c>
      <c r="N1339" s="190">
        <f>J1339/L1339</f>
        <v>0.11781609195402298</v>
      </c>
      <c r="O1339" s="190">
        <f>(I1339*0.6666)/(K1339+L1339)</f>
        <v>9.6534190231362463E-2</v>
      </c>
      <c r="P1339" s="188">
        <v>168057561</v>
      </c>
      <c r="Q1339" s="188">
        <f>P1339*E1339</f>
        <v>16619212207.290001</v>
      </c>
      <c r="R1339" s="195">
        <f>Q1339/L1339</f>
        <v>2.3878178458750003</v>
      </c>
      <c r="S1339" s="197">
        <f>(Q1339+K1339)/I1339</f>
        <v>15.07033998925613</v>
      </c>
      <c r="T1339" s="180"/>
      <c r="U1339" s="189">
        <f>IFERROR(IF(Tableau3[[#This Row],[Dettes]]=0,"",(Tableau3[[#This Row],[Dettes]]/Tableau3[[#This Row],[EBE]])),"")</f>
        <v>0.80977896851975883</v>
      </c>
      <c r="V1339" s="190" t="str">
        <f>IFERROR(Tableau3[[#This Row],[Fonds propres]]/Tableau3[[#This Row],[Total Bilan]],"")</f>
        <v/>
      </c>
      <c r="W1339" s="180"/>
      <c r="X1339" s="191"/>
      <c r="Y1339" s="180"/>
      <c r="Z1339" s="192" t="str">
        <f>IFERROR(Tableau3[[#This Row],[Chiffre d''affaires]]/Tableau3[[#This Row],[Salariés]],"")</f>
        <v/>
      </c>
      <c r="AA1339" s="197"/>
      <c r="AB1339" s="197"/>
    </row>
    <row r="1340" spans="1:29" ht="20.25" customHeight="1">
      <c r="A1340" s="217"/>
      <c r="E1340" s="187"/>
      <c r="G1340" s="202">
        <f>(G1339/G1341)-1</f>
        <v>2.0177047611452226E-2</v>
      </c>
      <c r="H1340" s="203">
        <f>(H1339/H1341)-1</f>
        <v>3.6805555555555536E-2</v>
      </c>
      <c r="I1340" s="203">
        <f>(I1339/I1341)-1</f>
        <v>3.0487804878048808E-2</v>
      </c>
      <c r="J1340" s="203">
        <f>(J1339/J1341)-1</f>
        <v>-0.10966340933767649</v>
      </c>
      <c r="K1340" s="188"/>
      <c r="L1340" s="188"/>
      <c r="M1340" s="194"/>
      <c r="N1340" s="194"/>
      <c r="O1340" s="194"/>
      <c r="P1340" s="188"/>
      <c r="Q1340" s="188"/>
      <c r="R1340" s="195"/>
      <c r="S1340" s="188"/>
      <c r="T1340" s="180"/>
      <c r="U1340" s="189" t="str">
        <f>IFERROR(IF(Tableau3[[#This Row],[Dettes]]=0,"",(Tableau3[[#This Row],[Dettes]]/Tableau3[[#This Row],[EBE]])),"")</f>
        <v/>
      </c>
      <c r="V1340" s="190" t="str">
        <f>IFERROR(Tableau3[[#This Row],[Fonds propres]]/Tableau3[[#This Row],[Total Bilan]],"")</f>
        <v/>
      </c>
      <c r="W1340" s="180"/>
      <c r="X1340" s="192"/>
      <c r="Y1340" s="180"/>
      <c r="Z1340" s="192" t="str">
        <f>IFERROR(Tableau3[[#This Row],[Chiffre d''affaires]]/Tableau3[[#This Row],[Salariés]],"")</f>
        <v/>
      </c>
      <c r="AA1340" s="188"/>
      <c r="AB1340" s="188"/>
    </row>
    <row r="1341" spans="1:29" ht="20.25" customHeight="1">
      <c r="A1341" s="217"/>
      <c r="E1341" s="187">
        <v>80.150000000000006</v>
      </c>
      <c r="F1341" s="178">
        <v>2016</v>
      </c>
      <c r="G1341" s="188">
        <v>12539000000</v>
      </c>
      <c r="H1341" s="188">
        <v>1440000000</v>
      </c>
      <c r="I1341" s="188">
        <v>1148000000</v>
      </c>
      <c r="J1341" s="188">
        <v>921000000</v>
      </c>
      <c r="K1341" s="188">
        <v>1413000000</v>
      </c>
      <c r="L1341" s="188">
        <v>7285000000</v>
      </c>
      <c r="M1341" s="194">
        <f>L1341/P1341</f>
        <v>42.991850120248237</v>
      </c>
      <c r="N1341" s="190">
        <f>J1341/L1341</f>
        <v>0.12642415923129718</v>
      </c>
      <c r="O1341" s="190">
        <f>(I1341*0.6666)/(K1341+L1341)</f>
        <v>8.7980777190158663E-2</v>
      </c>
      <c r="P1341" s="188">
        <v>169450721</v>
      </c>
      <c r="Q1341" s="188">
        <f>P1341*E1341</f>
        <v>13581475288.150002</v>
      </c>
      <c r="R1341" s="195">
        <f>Q1341/L1341</f>
        <v>1.8643068343376803</v>
      </c>
      <c r="S1341" s="197">
        <f>(Q1341+K1341)/I1341</f>
        <v>13.061389623824043</v>
      </c>
      <c r="T1341" s="180"/>
      <c r="U1341" s="189">
        <f>IFERROR(IF(Tableau3[[#This Row],[Dettes]]=0,"",(Tableau3[[#This Row],[Dettes]]/Tableau3[[#This Row],[EBE]])),"")</f>
        <v>0.98124999999999996</v>
      </c>
      <c r="V1341" s="190" t="str">
        <f>IFERROR(Tableau3[[#This Row],[Fonds propres]]/Tableau3[[#This Row],[Total Bilan]],"")</f>
        <v/>
      </c>
      <c r="W1341" s="180"/>
      <c r="X1341" s="191"/>
      <c r="Y1341" s="180"/>
      <c r="Z1341" s="192" t="str">
        <f>IFERROR(Tableau3[[#This Row],[Chiffre d''affaires]]/Tableau3[[#This Row],[Salariés]],"")</f>
        <v/>
      </c>
      <c r="AA1341" s="197"/>
      <c r="AB1341" s="197"/>
    </row>
    <row r="1342" spans="1:29" ht="20.25" customHeight="1">
      <c r="A1342" s="217"/>
      <c r="E1342" s="187"/>
      <c r="G1342" s="202">
        <f>(G1341/G1343)-1</f>
        <v>9.3199651264167294E-2</v>
      </c>
      <c r="H1342" s="203">
        <f>(H1341/H1343)-1</f>
        <v>7.8651685393258397E-2</v>
      </c>
      <c r="I1342" s="203">
        <f>(I1341/I1343)-1</f>
        <v>4.8401826484018251E-2</v>
      </c>
      <c r="J1342" s="203" t="e">
        <f>(J1341/J1343)-1</f>
        <v>#DIV/0!</v>
      </c>
      <c r="K1342" s="188"/>
      <c r="L1342" s="188"/>
      <c r="M1342" s="194"/>
      <c r="N1342" s="194"/>
      <c r="O1342" s="194"/>
      <c r="P1342" s="188"/>
      <c r="Q1342" s="188"/>
      <c r="R1342" s="195"/>
      <c r="S1342" s="188"/>
      <c r="T1342" s="180"/>
      <c r="U1342" s="189" t="str">
        <f>IFERROR(IF(Tableau3[[#This Row],[Dettes]]=0,"",(Tableau3[[#This Row],[Dettes]]/Tableau3[[#This Row],[EBE]])),"")</f>
        <v/>
      </c>
      <c r="V1342" s="190" t="str">
        <f>IFERROR(Tableau3[[#This Row],[Fonds propres]]/Tableau3[[#This Row],[Total Bilan]],"")</f>
        <v/>
      </c>
      <c r="W1342" s="180"/>
      <c r="X1342" s="192"/>
      <c r="Y1342" s="180"/>
      <c r="Z1342" s="192" t="str">
        <f>IFERROR(Tableau3[[#This Row],[Chiffre d''affaires]]/Tableau3[[#This Row],[Salariés]],"")</f>
        <v/>
      </c>
      <c r="AA1342" s="188"/>
      <c r="AB1342" s="188"/>
    </row>
    <row r="1343" spans="1:29" ht="20.25" customHeight="1">
      <c r="A1343" s="217"/>
      <c r="E1343" s="187">
        <v>85.6</v>
      </c>
      <c r="F1343" s="178">
        <v>2015</v>
      </c>
      <c r="G1343" s="188">
        <v>11470000000</v>
      </c>
      <c r="H1343" s="188">
        <v>1335000000</v>
      </c>
      <c r="I1343" s="188">
        <v>1095000000</v>
      </c>
      <c r="J1343" s="188"/>
      <c r="K1343" s="188"/>
      <c r="L1343" s="188"/>
      <c r="M1343" s="194"/>
      <c r="N1343" s="190"/>
      <c r="O1343" s="190"/>
      <c r="P1343" s="188">
        <v>169450721</v>
      </c>
      <c r="Q1343" s="188">
        <f>P1343*E1343</f>
        <v>14504981717.599998</v>
      </c>
      <c r="R1343" s="195"/>
      <c r="S1343" s="197">
        <f>(Q1343+K1343)/I1343</f>
        <v>13.246558646210044</v>
      </c>
      <c r="T1343" s="180"/>
      <c r="U1343" s="189" t="str">
        <f>IFERROR(IF(Tableau3[[#This Row],[Dettes]]=0,"",(Tableau3[[#This Row],[Dettes]]/Tableau3[[#This Row],[EBE]])),"")</f>
        <v/>
      </c>
      <c r="V1343" s="190" t="str">
        <f>IFERROR(Tableau3[[#This Row],[Fonds propres]]/Tableau3[[#This Row],[Total Bilan]],"")</f>
        <v/>
      </c>
      <c r="W1343" s="180"/>
      <c r="X1343" s="191"/>
      <c r="Y1343" s="180"/>
      <c r="Z1343" s="192" t="str">
        <f>IFERROR(Tableau3[[#This Row],[Chiffre d''affaires]]/Tableau3[[#This Row],[Salariés]],"")</f>
        <v/>
      </c>
      <c r="AA1343" s="197"/>
      <c r="AB1343" s="197"/>
    </row>
    <row r="1344" spans="1:29" ht="20.25" customHeight="1">
      <c r="A1344" s="217"/>
      <c r="E1344" s="187"/>
      <c r="G1344" s="188"/>
      <c r="H1344" s="188"/>
      <c r="I1344" s="188"/>
      <c r="J1344" s="188"/>
      <c r="K1344" s="188"/>
      <c r="L1344" s="188"/>
      <c r="M1344" s="194"/>
      <c r="N1344" s="194"/>
      <c r="O1344" s="194"/>
      <c r="P1344" s="188"/>
      <c r="Q1344" s="188"/>
      <c r="R1344" s="195"/>
      <c r="S1344" s="188"/>
      <c r="T1344" s="180"/>
      <c r="U1344" s="189" t="str">
        <f>IFERROR(IF(Tableau3[[#This Row],[Dettes]]=0,"",(Tableau3[[#This Row],[Dettes]]/Tableau3[[#This Row],[EBE]])),"")</f>
        <v/>
      </c>
      <c r="V1344" s="190" t="str">
        <f>IFERROR(Tableau3[[#This Row],[Fonds propres]]/Tableau3[[#This Row],[Total Bilan]],"")</f>
        <v/>
      </c>
      <c r="W1344" s="180"/>
      <c r="X1344" s="192"/>
      <c r="Y1344" s="180"/>
      <c r="Z1344" s="192" t="str">
        <f>IFERROR(Tableau3[[#This Row],[Chiffre d''affaires]]/Tableau3[[#This Row],[Salariés]],"")</f>
        <v/>
      </c>
      <c r="AA1344" s="188"/>
      <c r="AB1344" s="188"/>
    </row>
    <row r="1345" spans="1:29" ht="20.25" customHeight="1">
      <c r="A1345" s="217"/>
      <c r="E1345" s="187">
        <v>60.28</v>
      </c>
      <c r="F1345" s="178">
        <v>2014</v>
      </c>
      <c r="G1345" s="188"/>
      <c r="H1345" s="188"/>
      <c r="I1345" s="178"/>
      <c r="J1345" s="178"/>
      <c r="K1345" s="188"/>
      <c r="L1345" s="178"/>
      <c r="M1345" s="194"/>
      <c r="N1345" s="190"/>
      <c r="O1345" s="190"/>
      <c r="P1345" s="188">
        <v>169450721</v>
      </c>
      <c r="Q1345" s="188">
        <f>P1345*E1345</f>
        <v>10214489461.880001</v>
      </c>
      <c r="R1345" s="195"/>
      <c r="S1345" s="178" t="e">
        <f>(Q1345+K1345)/I1345</f>
        <v>#DIV/0!</v>
      </c>
      <c r="T1345" s="180"/>
      <c r="U1345" s="189" t="str">
        <f>IFERROR(IF(Tableau3[[#This Row],[Dettes]]=0,"",(Tableau3[[#This Row],[Dettes]]/Tableau3[[#This Row],[EBE]])),"")</f>
        <v/>
      </c>
      <c r="V1345" s="190" t="str">
        <f>IFERROR(Tableau3[[#This Row],[Fonds propres]]/Tableau3[[#This Row],[Total Bilan]],"")</f>
        <v/>
      </c>
      <c r="W1345" s="180"/>
      <c r="X1345" s="191"/>
      <c r="Y1345" s="180"/>
      <c r="Z1345" s="192" t="str">
        <f>IFERROR(Tableau3[[#This Row],[Chiffre d''affaires]]/Tableau3[[#This Row],[Salariés]],"")</f>
        <v/>
      </c>
      <c r="AA1345" s="197"/>
      <c r="AB1345" s="197"/>
    </row>
    <row r="1346" spans="1:29" ht="20.25" customHeight="1">
      <c r="A1346" s="217"/>
      <c r="E1346" s="187"/>
      <c r="G1346" s="188"/>
      <c r="H1346" s="188"/>
      <c r="I1346" s="178"/>
      <c r="J1346" s="178"/>
      <c r="K1346" s="188"/>
      <c r="L1346" s="178"/>
      <c r="M1346" s="194"/>
      <c r="N1346" s="190"/>
      <c r="O1346" s="190"/>
      <c r="P1346" s="188"/>
      <c r="Q1346" s="188"/>
      <c r="R1346" s="195"/>
      <c r="S1346" s="178"/>
      <c r="T1346" s="180"/>
      <c r="U1346" s="189" t="str">
        <f>IFERROR(IF(Tableau3[[#This Row],[Dettes]]=0,"",(Tableau3[[#This Row],[Dettes]]/Tableau3[[#This Row],[EBE]])),"")</f>
        <v/>
      </c>
      <c r="V1346" s="190" t="str">
        <f>IFERROR(Tableau3[[#This Row],[Fonds propres]]/Tableau3[[#This Row],[Total Bilan]],"")</f>
        <v/>
      </c>
      <c r="W1346" s="180"/>
      <c r="X1346" s="191"/>
      <c r="Y1346" s="180"/>
      <c r="Z1346" s="192" t="str">
        <f>IFERROR(Tableau3[[#This Row],[Chiffre d''affaires]]/Tableau3[[#This Row],[Salariés]],"")</f>
        <v/>
      </c>
      <c r="AA1346" s="197"/>
      <c r="AB1346" s="197"/>
    </row>
    <row r="1347" spans="1:29" ht="20.25" customHeight="1">
      <c r="A1347" s="217"/>
      <c r="E1347" s="187"/>
      <c r="G1347" s="188"/>
      <c r="H1347" s="188"/>
      <c r="I1347" s="178"/>
      <c r="J1347" s="178"/>
      <c r="K1347" s="188"/>
      <c r="L1347" s="178"/>
      <c r="M1347" s="194"/>
      <c r="N1347" s="190"/>
      <c r="O1347" s="190"/>
      <c r="P1347" s="188"/>
      <c r="Q1347" s="188"/>
      <c r="R1347" s="195"/>
      <c r="S1347" s="178"/>
      <c r="T1347" s="180"/>
      <c r="U1347" s="189" t="str">
        <f>IFERROR(IF(Tableau3[[#This Row],[Dettes]]=0,"",(Tableau3[[#This Row],[Dettes]]/Tableau3[[#This Row],[EBE]])),"")</f>
        <v/>
      </c>
      <c r="V1347" s="190" t="str">
        <f>IFERROR(Tableau3[[#This Row],[Fonds propres]]/Tableau3[[#This Row],[Total Bilan]],"")</f>
        <v/>
      </c>
      <c r="W1347" s="180"/>
      <c r="X1347" s="191"/>
      <c r="Y1347" s="180"/>
      <c r="Z1347" s="192" t="str">
        <f>IFERROR(Tableau3[[#This Row],[Chiffre d''affaires]]/Tableau3[[#This Row],[Salariés]],"")</f>
        <v/>
      </c>
      <c r="AA1347" s="197"/>
      <c r="AB1347" s="197"/>
    </row>
    <row r="1348" spans="1:29" ht="20.25" customHeight="1">
      <c r="A1348" s="217"/>
      <c r="E1348" s="187"/>
      <c r="G1348" s="188"/>
      <c r="H1348" s="188"/>
      <c r="I1348" s="178"/>
      <c r="J1348" s="178"/>
      <c r="K1348" s="188"/>
      <c r="L1348" s="178"/>
      <c r="M1348" s="194"/>
      <c r="N1348" s="190"/>
      <c r="O1348" s="190"/>
      <c r="P1348" s="188"/>
      <c r="Q1348" s="188"/>
      <c r="R1348" s="195"/>
      <c r="S1348" s="197"/>
      <c r="T1348" s="180"/>
      <c r="U1348" s="189" t="str">
        <f>IFERROR(IF(Tableau3[[#This Row],[Dettes]]=0,"",(Tableau3[[#This Row],[Dettes]]/Tableau3[[#This Row],[EBE]])),"")</f>
        <v/>
      </c>
      <c r="V1348" s="190" t="str">
        <f>IFERROR(Tableau3[[#This Row],[Fonds propres]]/Tableau3[[#This Row],[Total Bilan]],"")</f>
        <v/>
      </c>
      <c r="W1348" s="180"/>
      <c r="X1348" s="191"/>
      <c r="Y1348" s="180"/>
      <c r="Z1348" s="192" t="str">
        <f>IFERROR(Tableau3[[#This Row],[Chiffre d''affaires]]/Tableau3[[#This Row],[Salariés]],"")</f>
        <v/>
      </c>
      <c r="AA1348" s="197"/>
      <c r="AB1348" s="197"/>
    </row>
    <row r="1349" spans="1:29" ht="20.25" customHeight="1">
      <c r="A1349" s="217" t="s">
        <v>941</v>
      </c>
      <c r="B1349" s="216" t="s">
        <v>942</v>
      </c>
      <c r="C1349" s="178" t="s">
        <v>84</v>
      </c>
      <c r="D1349" s="178" t="s">
        <v>85</v>
      </c>
      <c r="E1349" s="187"/>
      <c r="F1349" s="178">
        <v>2025</v>
      </c>
      <c r="G1349" s="188"/>
      <c r="H1349" s="188"/>
      <c r="I1349" s="178"/>
      <c r="J1349" s="178"/>
      <c r="K1349" s="188"/>
      <c r="L1349" s="178"/>
      <c r="M1349" s="194"/>
      <c r="N1349" s="190"/>
      <c r="O1349" s="190"/>
      <c r="P1349" s="188"/>
      <c r="Q1349" s="188"/>
      <c r="R1349" s="195"/>
      <c r="S1349" s="197"/>
      <c r="T1349" s="180"/>
      <c r="U1349" s="189" t="str">
        <f>IFERROR(IF(Tableau3[[#This Row],[Dettes]]=0,"",(Tableau3[[#This Row],[Dettes]]/Tableau3[[#This Row],[EBE]])),"")</f>
        <v/>
      </c>
      <c r="V1349" s="190" t="str">
        <f>IFERROR(Tableau3[[#This Row],[Fonds propres]]/Tableau3[[#This Row],[Total Bilan]],"")</f>
        <v/>
      </c>
      <c r="W1349" s="180"/>
      <c r="X1349" s="182" t="s">
        <v>943</v>
      </c>
      <c r="Y1349" s="180"/>
      <c r="Z1349" s="192" t="str">
        <f>IFERROR(Tableau3[[#This Row],[Chiffre d''affaires]]/Tableau3[[#This Row],[Salariés]],"")</f>
        <v/>
      </c>
      <c r="AA1349" s="197" t="s">
        <v>101</v>
      </c>
      <c r="AB1349" s="197"/>
      <c r="AC1349" s="177" t="s">
        <v>5180</v>
      </c>
    </row>
    <row r="1350" spans="1:29" ht="20.25" customHeight="1">
      <c r="A1350" s="217"/>
      <c r="E1350" s="187"/>
      <c r="G1350" s="188"/>
      <c r="H1350" s="188"/>
      <c r="I1350" s="178"/>
      <c r="J1350" s="178"/>
      <c r="K1350" s="188"/>
      <c r="L1350" s="178"/>
      <c r="M1350" s="194"/>
      <c r="N1350" s="190"/>
      <c r="O1350" s="190"/>
      <c r="P1350" s="188"/>
      <c r="Q1350" s="188"/>
      <c r="R1350" s="195"/>
      <c r="S1350" s="197"/>
      <c r="T1350" s="180"/>
      <c r="U1350" s="189" t="str">
        <f>IFERROR(IF(Tableau3[[#This Row],[Dettes]]=0,"",(Tableau3[[#This Row],[Dettes]]/Tableau3[[#This Row],[EBE]])),"")</f>
        <v/>
      </c>
      <c r="V1350" s="190" t="str">
        <f>IFERROR(Tableau3[[#This Row],[Fonds propres]]/Tableau3[[#This Row],[Total Bilan]],"")</f>
        <v/>
      </c>
      <c r="W1350" s="180"/>
      <c r="X1350" s="191"/>
      <c r="Y1350" s="180"/>
      <c r="Z1350" s="192" t="str">
        <f>IFERROR(Tableau3[[#This Row],[Chiffre d''affaires]]/Tableau3[[#This Row],[Salariés]],"")</f>
        <v/>
      </c>
      <c r="AA1350" s="197" t="s">
        <v>168</v>
      </c>
      <c r="AB1350" s="197"/>
      <c r="AC1350" s="177" t="s">
        <v>945</v>
      </c>
    </row>
    <row r="1351" spans="1:29" ht="20.25" customHeight="1">
      <c r="A1351" s="217"/>
      <c r="E1351" s="187">
        <v>30.04</v>
      </c>
      <c r="F1351" s="178">
        <v>2024</v>
      </c>
      <c r="G1351" s="188">
        <v>9919712000</v>
      </c>
      <c r="H1351" s="188">
        <v>712000000</v>
      </c>
      <c r="I1351" s="188">
        <v>548928000</v>
      </c>
      <c r="J1351" s="188">
        <v>273200000</v>
      </c>
      <c r="K1351" s="188">
        <v>1845900000</v>
      </c>
      <c r="L1351" s="188">
        <v>2077169000</v>
      </c>
      <c r="M1351" s="194">
        <f>L1351/P1351</f>
        <v>12.298177104919013</v>
      </c>
      <c r="N1351" s="190">
        <f>J1351/L1353</f>
        <v>0.13994173875049237</v>
      </c>
      <c r="O1351" s="190">
        <f>(I1351*0.6666)/(K1353+L1353)</f>
        <v>0.11440430034507437</v>
      </c>
      <c r="P1351" s="188">
        <v>168900560</v>
      </c>
      <c r="Q1351" s="188">
        <f>P1351*E1351</f>
        <v>5073772822.3999996</v>
      </c>
      <c r="R1351" s="195">
        <f>Q1351/L1351</f>
        <v>2.4426384287460481</v>
      </c>
      <c r="S1351" s="197">
        <f>(Q1351+K1351)/H1351</f>
        <v>9.7186416044943815</v>
      </c>
      <c r="T1351" s="180"/>
      <c r="U1351" s="189">
        <f>IFERROR(IF(Tableau3[[#This Row],[Dettes]]=0,"",(Tableau3[[#This Row],[Dettes]]/Tableau3[[#This Row],[EBE]])),"")</f>
        <v>2.592556179775281</v>
      </c>
      <c r="V1351" s="190">
        <f>IFERROR(Tableau3[[#This Row],[Fonds propres]]/Tableau3[[#This Row],[Total Bilan]],"")</f>
        <v>0.2079930107217331</v>
      </c>
      <c r="W1351" s="180">
        <v>9986725000</v>
      </c>
      <c r="Y1351" s="180">
        <v>54700</v>
      </c>
      <c r="Z1351" s="192">
        <f>IFERROR(Tableau3[[#This Row],[Chiffre d''affaires]]/Tableau3[[#This Row],[Salariés]],"")</f>
        <v>181347.56855575868</v>
      </c>
      <c r="AA1351" s="197" t="s">
        <v>169</v>
      </c>
      <c r="AB1351" s="197"/>
      <c r="AC1351" s="177" t="s">
        <v>5186</v>
      </c>
    </row>
    <row r="1352" spans="1:29" ht="20.25" customHeight="1">
      <c r="A1352" s="217"/>
      <c r="E1352" s="187"/>
      <c r="G1352" s="202">
        <f>(G1351/G1353)-1</f>
        <v>0.13688153052535301</v>
      </c>
      <c r="H1352" s="203">
        <f>(H1351/H1353)-1</f>
        <v>-7.27144991090245E-2</v>
      </c>
      <c r="I1352" s="203">
        <f>(I1351/I1353)-1</f>
        <v>0.19187594179234746</v>
      </c>
      <c r="J1352" s="203">
        <f>(J1351/J1353)-1</f>
        <v>0.14542542576117135</v>
      </c>
      <c r="K1352" s="188"/>
      <c r="L1352" s="178"/>
      <c r="M1352" s="194"/>
      <c r="N1352" s="190"/>
      <c r="O1352" s="190"/>
      <c r="P1352" s="188"/>
      <c r="Q1352" s="188"/>
      <c r="R1352" s="195"/>
      <c r="S1352" s="197"/>
      <c r="T1352" s="180"/>
      <c r="U1352" s="189" t="str">
        <f>IFERROR(IF(Tableau3[[#This Row],[Dettes]]=0,"",(Tableau3[[#This Row],[Dettes]]/Tableau3[[#This Row],[EBE]])),"")</f>
        <v/>
      </c>
      <c r="V1352" s="190" t="str">
        <f>IFERROR(Tableau3[[#This Row],[Fonds propres]]/Tableau3[[#This Row],[Total Bilan]],"")</f>
        <v/>
      </c>
      <c r="W1352" s="180"/>
      <c r="X1352" s="191"/>
      <c r="Y1352" s="180"/>
      <c r="Z1352" s="192" t="str">
        <f>IFERROR(Tableau3[[#This Row],[Chiffre d''affaires]]/Tableau3[[#This Row],[Salariés]],"")</f>
        <v/>
      </c>
      <c r="AA1352" s="197"/>
      <c r="AB1352" s="197"/>
      <c r="AC1352" s="177" t="s">
        <v>5183</v>
      </c>
    </row>
    <row r="1353" spans="1:29" ht="20.25" customHeight="1">
      <c r="A1353" s="217"/>
      <c r="E1353" s="187">
        <v>28.3</v>
      </c>
      <c r="F1353" s="178">
        <v>2023</v>
      </c>
      <c r="G1353" s="188">
        <v>8725370000</v>
      </c>
      <c r="H1353" s="188">
        <f>Tableau3[[#This Row],[Chiffre d''affaires]]*0.088</f>
        <v>767832560</v>
      </c>
      <c r="I1353" s="188">
        <v>460558000</v>
      </c>
      <c r="J1353" s="188">
        <v>238514000</v>
      </c>
      <c r="K1353" s="188">
        <v>1246200000</v>
      </c>
      <c r="L1353" s="188">
        <v>1952241000</v>
      </c>
      <c r="M1353" s="194">
        <f>L1353/P1353</f>
        <v>11.727417200478612</v>
      </c>
      <c r="N1353" s="190">
        <f>J1353/L1355</f>
        <v>0.12642665564142522</v>
      </c>
      <c r="O1353" s="190">
        <f>(I1353*0.6666)/(K1355+L1355)</f>
        <v>9.563574715436518E-2</v>
      </c>
      <c r="P1353" s="188">
        <v>166468112</v>
      </c>
      <c r="Q1353" s="188">
        <f>P1353*E1353</f>
        <v>4711047569.6000004</v>
      </c>
      <c r="R1353" s="195">
        <f>Q1353/L1353</f>
        <v>2.4131485659813521</v>
      </c>
      <c r="S1353" s="197">
        <f>(Q1353+K1353)/H1353</f>
        <v>7.7585242928484313</v>
      </c>
      <c r="T1353" s="180">
        <v>427000000</v>
      </c>
      <c r="U1353" s="189">
        <f>IFERROR(IF(Tableau3[[#This Row],[Dettes]]=0,"",(Tableau3[[#This Row],[Dettes]]/Tableau3[[#This Row],[EBE]])),"")</f>
        <v>1.6230101000145136</v>
      </c>
      <c r="V1353" s="190">
        <f>IFERROR(Tableau3[[#This Row],[Fonds propres]]/Tableau3[[#This Row],[Total Bilan]],"")</f>
        <v>0.21334913291714988</v>
      </c>
      <c r="W1353" s="180">
        <v>9150452000</v>
      </c>
      <c r="Y1353" s="180">
        <v>48000</v>
      </c>
      <c r="Z1353" s="192">
        <f>IFERROR(Tableau3[[#This Row],[Chiffre d''affaires]]/Tableau3[[#This Row],[Salariés]],"")</f>
        <v>181778.54166666666</v>
      </c>
      <c r="AB1353" s="197"/>
      <c r="AC1353" s="177" t="s">
        <v>946</v>
      </c>
    </row>
    <row r="1354" spans="1:29" ht="20.25" customHeight="1">
      <c r="A1354" s="217"/>
      <c r="E1354" s="187"/>
      <c r="G1354" s="202">
        <f>(G1353/G1355)-1</f>
        <v>7.5377367501563652E-2</v>
      </c>
      <c r="H1354" s="203">
        <f>(H1353/H1355)-1</f>
        <v>7.7206172839506149E-2</v>
      </c>
      <c r="I1354" s="203">
        <f>(I1353/I1355)-1</f>
        <v>0.49805163968019572</v>
      </c>
      <c r="J1354" s="203">
        <f>(J1353/J1355)-1</f>
        <v>0.57297931834968874</v>
      </c>
      <c r="K1354" s="188"/>
      <c r="L1354" s="178"/>
      <c r="M1354" s="194"/>
      <c r="N1354" s="190"/>
      <c r="O1354" s="190"/>
      <c r="P1354" s="188"/>
      <c r="Q1354" s="188"/>
      <c r="R1354" s="195"/>
      <c r="S1354" s="197"/>
      <c r="T1354" s="180"/>
      <c r="U1354" s="189" t="str">
        <f>IFERROR(IF(Tableau3[[#This Row],[Dettes]]=0,"",(Tableau3[[#This Row],[Dettes]]/Tableau3[[#This Row],[EBE]])),"")</f>
        <v/>
      </c>
      <c r="V1354" s="190" t="str">
        <f>IFERROR(Tableau3[[#This Row],[Fonds propres]]/Tableau3[[#This Row],[Total Bilan]],"")</f>
        <v/>
      </c>
      <c r="W1354" s="180"/>
      <c r="Y1354" s="180"/>
      <c r="Z1354" s="192" t="str">
        <f>IFERROR(Tableau3[[#This Row],[Chiffre d''affaires]]/Tableau3[[#This Row],[Salariés]],"")</f>
        <v/>
      </c>
      <c r="AB1354" s="197"/>
      <c r="AC1354" s="177" t="s">
        <v>947</v>
      </c>
    </row>
    <row r="1355" spans="1:29" ht="20.25" customHeight="1">
      <c r="A1355" s="217"/>
      <c r="E1355" s="187">
        <v>24.36</v>
      </c>
      <c r="F1355" s="178">
        <v>2022</v>
      </c>
      <c r="G1355" s="188">
        <v>8113775000</v>
      </c>
      <c r="H1355" s="188">
        <v>712800000</v>
      </c>
      <c r="I1355" s="188">
        <v>307438000</v>
      </c>
      <c r="J1355" s="188">
        <v>151632000</v>
      </c>
      <c r="K1355" s="188">
        <v>1323600000</v>
      </c>
      <c r="L1355" s="188">
        <v>1886580000</v>
      </c>
      <c r="M1355" s="194">
        <f>L1355/P1355</f>
        <v>11.492975241909711</v>
      </c>
      <c r="N1355" s="190">
        <f>J1355/L1357</f>
        <v>9.0373768053058953E-2</v>
      </c>
      <c r="O1355" s="190">
        <f>(I1355*0.6666)/(K1357+L1357)</f>
        <v>6.9639779233065288E-2</v>
      </c>
      <c r="P1355" s="188">
        <v>164150706</v>
      </c>
      <c r="Q1355" s="188">
        <f>P1355*E1355</f>
        <v>3998711198.1599998</v>
      </c>
      <c r="R1355" s="195">
        <f>Q1355/L1355</f>
        <v>2.1195555969850206</v>
      </c>
      <c r="S1355" s="197">
        <f>(Q1355+K1355)/H1355</f>
        <v>7.466766551851852</v>
      </c>
      <c r="T1355" s="180">
        <v>314700000</v>
      </c>
      <c r="U1355" s="189">
        <f>IFERROR(IF(Tableau3[[#This Row],[Dettes]]=0,"",(Tableau3[[#This Row],[Dettes]]/Tableau3[[#This Row],[EBE]])),"")</f>
        <v>1.8569023569023568</v>
      </c>
      <c r="V1355" s="190">
        <f>IFERROR(Tableau3[[#This Row],[Fonds propres]]/Tableau3[[#This Row],[Total Bilan]],"")</f>
        <v>0.21126315789473685</v>
      </c>
      <c r="W1355" s="180">
        <v>8930000000</v>
      </c>
      <c r="X1355" s="191"/>
      <c r="Y1355" s="180">
        <v>46400</v>
      </c>
      <c r="Z1355" s="192">
        <f>IFERROR(Tableau3[[#This Row],[Chiffre d''affaires]]/Tableau3[[#This Row],[Salariés]],"")</f>
        <v>174865.84051724139</v>
      </c>
      <c r="AB1355" s="197"/>
      <c r="AC1355" s="177" t="s">
        <v>5184</v>
      </c>
    </row>
    <row r="1356" spans="1:29" ht="20.25" customHeight="1">
      <c r="A1356" s="217"/>
      <c r="E1356" s="187"/>
      <c r="G1356" s="202">
        <f>(G1355/G1357)-1</f>
        <v>0.16007539984321251</v>
      </c>
      <c r="H1356" s="203">
        <f>(H1355/H1357)-1</f>
        <v>0.14616497829232999</v>
      </c>
      <c r="I1356" s="203">
        <f>(I1355/I1357)-1</f>
        <v>-9.1215976541253796E-2</v>
      </c>
      <c r="J1356" s="203">
        <f>(J1355/J1357)-1</f>
        <v>-0.10329451977835469</v>
      </c>
      <c r="K1356" s="188"/>
      <c r="L1356" s="178"/>
      <c r="M1356" s="194"/>
      <c r="N1356" s="190"/>
      <c r="O1356" s="190"/>
      <c r="P1356" s="188"/>
      <c r="Q1356" s="188"/>
      <c r="R1356" s="195"/>
      <c r="S1356" s="197"/>
      <c r="T1356" s="180"/>
      <c r="U1356" s="189" t="str">
        <f>IFERROR(IF(Tableau3[[#This Row],[Dettes]]=0,"",(Tableau3[[#This Row],[Dettes]]/Tableau3[[#This Row],[EBE]])),"")</f>
        <v/>
      </c>
      <c r="V1356" s="190" t="str">
        <f>IFERROR(Tableau3[[#This Row],[Fonds propres]]/Tableau3[[#This Row],[Total Bilan]],"")</f>
        <v/>
      </c>
      <c r="W1356" s="180"/>
      <c r="Y1356" s="180"/>
      <c r="Z1356" s="192" t="str">
        <f>IFERROR(Tableau3[[#This Row],[Chiffre d''affaires]]/Tableau3[[#This Row],[Salariés]],"")</f>
        <v/>
      </c>
      <c r="AB1356" s="197"/>
      <c r="AC1356" s="177" t="s">
        <v>5185</v>
      </c>
    </row>
    <row r="1357" spans="1:29" ht="20.25" customHeight="1">
      <c r="A1357" s="217"/>
      <c r="E1357" s="187">
        <v>22.72</v>
      </c>
      <c r="F1357" s="178">
        <v>2021</v>
      </c>
      <c r="G1357" s="188">
        <v>6994179000</v>
      </c>
      <c r="H1357" s="188">
        <v>621900000</v>
      </c>
      <c r="I1357" s="188">
        <v>338296000</v>
      </c>
      <c r="J1357" s="188">
        <v>169099000</v>
      </c>
      <c r="K1357" s="188">
        <v>1265000000</v>
      </c>
      <c r="L1357" s="188">
        <v>1677832000</v>
      </c>
      <c r="M1357" s="194">
        <f>L1357/P1357</f>
        <v>10.315241363129767</v>
      </c>
      <c r="N1357" s="190">
        <f>J1357/L1359</f>
        <v>0.10993525418858396</v>
      </c>
      <c r="O1357" s="190">
        <f>(I1357*0.6666)/(K1359+L1359)</f>
        <v>7.9567631146907611E-2</v>
      </c>
      <c r="P1357" s="188">
        <v>162655622</v>
      </c>
      <c r="Q1357" s="188">
        <f>P1357*E1357</f>
        <v>3695535731.8399997</v>
      </c>
      <c r="R1357" s="195">
        <f>Q1357/L1357</f>
        <v>2.2025660088971959</v>
      </c>
      <c r="S1357" s="197">
        <f>(Q1357+K1357)/H1357</f>
        <v>7.9764202152114487</v>
      </c>
      <c r="T1357" s="180">
        <v>268000000</v>
      </c>
      <c r="U1357" s="189">
        <f>IFERROR(IF(Tableau3[[#This Row],[Dettes]]=0,"",(Tableau3[[#This Row],[Dettes]]/Tableau3[[#This Row],[EBE]])),"")</f>
        <v>2.034089081845956</v>
      </c>
      <c r="V1357" s="190">
        <f>IFERROR(Tableau3[[#This Row],[Fonds propres]]/Tableau3[[#This Row],[Total Bilan]],"")</f>
        <v>0.19487015098722416</v>
      </c>
      <c r="W1357" s="180">
        <v>8610000000</v>
      </c>
      <c r="X1357" s="206"/>
      <c r="Y1357" s="180">
        <v>46400</v>
      </c>
      <c r="Z1357" s="192">
        <f>IFERROR(Tableau3[[#This Row],[Chiffre d''affaires]]/Tableau3[[#This Row],[Salariés]],"")</f>
        <v>150736.61637931035</v>
      </c>
      <c r="AB1357" s="197"/>
      <c r="AC1357" s="177" t="s">
        <v>5188</v>
      </c>
    </row>
    <row r="1358" spans="1:29" ht="20.25" customHeight="1">
      <c r="A1358" s="217"/>
      <c r="E1358" s="187"/>
      <c r="G1358" s="202">
        <f>(G1357/G1359)-1</f>
        <v>5.308645507106724E-2</v>
      </c>
      <c r="H1358" s="203">
        <f>(H1357/H1359)-1</f>
        <v>0.17383918459796144</v>
      </c>
      <c r="I1358" s="203">
        <f>(I1357/I1359)-1</f>
        <v>0.67868839443440976</v>
      </c>
      <c r="J1358" s="203">
        <f>(J1357/J1359)-1</f>
        <v>2.1780149974628351</v>
      </c>
      <c r="K1358" s="188"/>
      <c r="L1358" s="178"/>
      <c r="M1358" s="194"/>
      <c r="N1358" s="190"/>
      <c r="O1358" s="190"/>
      <c r="P1358" s="188"/>
      <c r="Q1358" s="188"/>
      <c r="R1358" s="195"/>
      <c r="S1358" s="197"/>
      <c r="T1358" s="180"/>
      <c r="U1358" s="189" t="str">
        <f>IFERROR(IF(Tableau3[[#This Row],[Dettes]]=0,"",(Tableau3[[#This Row],[Dettes]]/Tableau3[[#This Row],[EBE]])),"")</f>
        <v/>
      </c>
      <c r="V1358" s="190" t="str">
        <f>IFERROR(Tableau3[[#This Row],[Fonds propres]]/Tableau3[[#This Row],[Total Bilan]],"")</f>
        <v/>
      </c>
      <c r="W1358" s="180"/>
      <c r="Y1358" s="180"/>
      <c r="Z1358" s="192" t="str">
        <f>IFERROR(Tableau3[[#This Row],[Chiffre d''affaires]]/Tableau3[[#This Row],[Salariés]],"")</f>
        <v/>
      </c>
      <c r="AA1358" s="178"/>
      <c r="AC1358" s="177" t="s">
        <v>5178</v>
      </c>
    </row>
    <row r="1359" spans="1:29" ht="20.25" customHeight="1">
      <c r="A1359" s="217"/>
      <c r="E1359" s="187">
        <v>17.809999999999999</v>
      </c>
      <c r="F1359" s="178">
        <v>2020</v>
      </c>
      <c r="G1359" s="188">
        <v>6641600000</v>
      </c>
      <c r="H1359" s="188">
        <v>529800000</v>
      </c>
      <c r="I1359" s="188">
        <v>201524000</v>
      </c>
      <c r="J1359" s="188">
        <v>53209000</v>
      </c>
      <c r="K1359" s="188">
        <v>1296000000</v>
      </c>
      <c r="L1359" s="188">
        <v>1538169000</v>
      </c>
      <c r="M1359" s="194">
        <f>L1359/P1359</f>
        <v>9.6051651777007603</v>
      </c>
      <c r="N1359" s="190">
        <f>J1359/L1361</f>
        <v>3.6693812276693508E-2</v>
      </c>
      <c r="O1359" s="190">
        <f>(I1359*0.6666)/(K1361+L1361)</f>
        <v>4.4169375162138515E-2</v>
      </c>
      <c r="P1359" s="188">
        <v>160139776</v>
      </c>
      <c r="Q1359" s="188">
        <f>P1359*E1359</f>
        <v>2852089410.5599999</v>
      </c>
      <c r="R1359" s="195">
        <f>Q1359/L1359</f>
        <v>1.8542106950276596</v>
      </c>
      <c r="S1359" s="197">
        <f>(Q1359+K1359)/H1359</f>
        <v>7.8295383362778406</v>
      </c>
      <c r="T1359" s="180"/>
      <c r="U1359" s="189">
        <f>IFERROR(IF(Tableau3[[#This Row],[Dettes]]=0,"",(Tableau3[[#This Row],[Dettes]]/Tableau3[[#This Row],[EBE]])),"")</f>
        <v>2.446206115515289</v>
      </c>
      <c r="V1359" s="190">
        <f>IFERROR(Tableau3[[#This Row],[Fonds propres]]/Tableau3[[#This Row],[Total Bilan]],"")</f>
        <v>0.18599383313180171</v>
      </c>
      <c r="W1359" s="180">
        <v>8270000000</v>
      </c>
      <c r="Y1359" s="180"/>
      <c r="Z1359" s="192" t="str">
        <f>IFERROR(Tableau3[[#This Row],[Chiffre d''affaires]]/Tableau3[[#This Row],[Salariés]],"")</f>
        <v/>
      </c>
      <c r="AA1359" s="207"/>
      <c r="AB1359" s="207"/>
      <c r="AC1359" s="10" t="s">
        <v>5189</v>
      </c>
    </row>
    <row r="1360" spans="1:29" ht="20.25" customHeight="1">
      <c r="A1360" s="217"/>
      <c r="E1360" s="187"/>
      <c r="G1360" s="202">
        <f>(G1359/G1361)-1</f>
        <v>-4.1242619779712109E-2</v>
      </c>
      <c r="H1360" s="203">
        <f>(H1359/H1361)-1</f>
        <v>-4.5749279538904952E-2</v>
      </c>
      <c r="I1360" s="203">
        <f>(I1359/I1361)-1</f>
        <v>-0.41721708753137687</v>
      </c>
      <c r="J1360" s="203">
        <f>(J1359/J1361)-1</f>
        <v>-0.64656455084092779</v>
      </c>
      <c r="K1360" s="188"/>
      <c r="L1360" s="178"/>
      <c r="M1360" s="243"/>
      <c r="N1360" s="208"/>
      <c r="O1360" s="243"/>
      <c r="P1360" s="188"/>
      <c r="Q1360" s="188"/>
      <c r="R1360" s="195"/>
      <c r="S1360" s="197"/>
      <c r="T1360" s="180"/>
      <c r="U1360" s="189" t="str">
        <f>IFERROR(IF(Tableau3[[#This Row],[Dettes]]=0,"",(Tableau3[[#This Row],[Dettes]]/Tableau3[[#This Row],[EBE]])),"")</f>
        <v/>
      </c>
      <c r="V1360" s="190" t="str">
        <f>IFERROR(Tableau3[[#This Row],[Fonds propres]]/Tableau3[[#This Row],[Total Bilan]],"")</f>
        <v/>
      </c>
      <c r="W1360" s="180"/>
      <c r="Y1360" s="180"/>
      <c r="Z1360" s="192" t="str">
        <f>IFERROR(Tableau3[[#This Row],[Chiffre d''affaires]]/Tableau3[[#This Row],[Salariés]],"")</f>
        <v/>
      </c>
      <c r="AA1360" s="177"/>
      <c r="AC1360" s="177" t="s">
        <v>5187</v>
      </c>
    </row>
    <row r="1361" spans="1:29" ht="20.25" customHeight="1">
      <c r="A1361" s="217"/>
      <c r="E1361" s="187">
        <v>18.5</v>
      </c>
      <c r="F1361" s="178">
        <v>2019</v>
      </c>
      <c r="G1361" s="188">
        <v>6927300000</v>
      </c>
      <c r="H1361" s="188">
        <v>555200000</v>
      </c>
      <c r="I1361" s="188">
        <v>345796000</v>
      </c>
      <c r="J1361" s="188">
        <v>150548000</v>
      </c>
      <c r="K1361" s="188">
        <v>1591300000</v>
      </c>
      <c r="L1361" s="188">
        <v>1450081000</v>
      </c>
      <c r="M1361" s="194">
        <f>L1361/P1361</f>
        <v>9.1952964513388888</v>
      </c>
      <c r="N1361" s="190">
        <f>J1361/L1363</f>
        <v>0.10216645991058365</v>
      </c>
      <c r="O1361" s="190">
        <f>(I1361*0.6666)/(K1363+L1363)</f>
        <v>8.1663374353800111E-2</v>
      </c>
      <c r="P1361" s="188">
        <v>157698124</v>
      </c>
      <c r="Q1361" s="188">
        <f>P1361*E1361</f>
        <v>2917415294</v>
      </c>
      <c r="R1361" s="195">
        <f>Q1361/L1361</f>
        <v>2.0118981587925089</v>
      </c>
      <c r="S1361" s="197">
        <f>(Q1361+K1361)/H1361</f>
        <v>8.1208848955331412</v>
      </c>
      <c r="T1361" s="180"/>
      <c r="U1361" s="189">
        <f>IFERROR(IF(Tableau3[[#This Row],[Dettes]]=0,"",(Tableau3[[#This Row],[Dettes]]/Tableau3[[#This Row],[EBE]])),"")</f>
        <v>2.8661743515850144</v>
      </c>
      <c r="V1361" s="190">
        <f>IFERROR(Tableau3[[#This Row],[Fonds propres]]/Tableau3[[#This Row],[Total Bilan]],"")</f>
        <v>0.17491930036188177</v>
      </c>
      <c r="W1361" s="180">
        <v>8290000000</v>
      </c>
      <c r="X1361" s="191"/>
      <c r="Y1361" s="180"/>
      <c r="Z1361" s="192" t="str">
        <f>IFERROR(Tableau3[[#This Row],[Chiffre d''affaires]]/Tableau3[[#This Row],[Salariés]],"")</f>
        <v/>
      </c>
      <c r="AA1361" s="197"/>
      <c r="AB1361" s="197"/>
      <c r="AC1361" s="177" t="s">
        <v>5192</v>
      </c>
    </row>
    <row r="1362" spans="1:29" ht="20.25" customHeight="1">
      <c r="A1362" s="217"/>
      <c r="E1362" s="187"/>
      <c r="F1362" s="214"/>
      <c r="G1362" s="202">
        <f>(G1361/G1363)-1</f>
        <v>3.4899568892687416E-2</v>
      </c>
      <c r="H1362" s="203">
        <f>(H1361/H1363)-1</f>
        <v>0.22371611196826091</v>
      </c>
      <c r="I1362" s="203">
        <f>(I1361/I1363)-1</f>
        <v>0.23900362604445835</v>
      </c>
      <c r="J1362" s="203">
        <f>(J1361/J1363)-1</f>
        <v>0.64695328738650049</v>
      </c>
      <c r="K1362" s="188"/>
      <c r="L1362" s="178"/>
      <c r="M1362" s="177"/>
      <c r="N1362" s="178"/>
      <c r="O1362" s="177"/>
      <c r="P1362" s="188"/>
      <c r="Q1362" s="188"/>
      <c r="R1362" s="195"/>
      <c r="S1362" s="197"/>
      <c r="T1362" s="180"/>
      <c r="U1362" s="189" t="str">
        <f>IFERROR(IF(Tableau3[[#This Row],[Dettes]]=0,"",(Tableau3[[#This Row],[Dettes]]/Tableau3[[#This Row],[EBE]])),"")</f>
        <v/>
      </c>
      <c r="V1362" s="190" t="str">
        <f>IFERROR(Tableau3[[#This Row],[Fonds propres]]/Tableau3[[#This Row],[Total Bilan]],"")</f>
        <v/>
      </c>
      <c r="W1362" s="180"/>
      <c r="X1362" s="191"/>
      <c r="Y1362" s="180"/>
      <c r="Z1362" s="192" t="str">
        <f>IFERROR(Tableau3[[#This Row],[Chiffre d''affaires]]/Tableau3[[#This Row],[Salariés]],"")</f>
        <v/>
      </c>
      <c r="AA1362" s="197"/>
      <c r="AB1362" s="197"/>
      <c r="AC1362" s="177" t="s">
        <v>948</v>
      </c>
    </row>
    <row r="1363" spans="1:29" ht="20.25" customHeight="1">
      <c r="A1363" s="217"/>
      <c r="E1363" s="187">
        <v>11</v>
      </c>
      <c r="F1363" s="178">
        <v>2018</v>
      </c>
      <c r="G1363" s="188">
        <v>6693693000</v>
      </c>
      <c r="H1363" s="188">
        <v>453700000</v>
      </c>
      <c r="I1363" s="188">
        <v>279092000</v>
      </c>
      <c r="J1363" s="188">
        <v>91410000</v>
      </c>
      <c r="K1363" s="188">
        <v>1349100000</v>
      </c>
      <c r="L1363" s="188">
        <v>1473556000</v>
      </c>
      <c r="M1363" s="194">
        <f>L1363/P1363</f>
        <v>9.4733232387397148</v>
      </c>
      <c r="N1363" s="190">
        <f>J1363/L1365</f>
        <v>6.3505671464270858E-2</v>
      </c>
      <c r="O1363" s="190">
        <f>(I1363*0.6666)/(K1365+L1365)</f>
        <v>6.2613263491826304E-2</v>
      </c>
      <c r="P1363" s="188">
        <v>155547949</v>
      </c>
      <c r="Q1363" s="188">
        <f>P1363*E1363</f>
        <v>1711027439</v>
      </c>
      <c r="R1363" s="195">
        <f>Q1363/L1363</f>
        <v>1.1611553541229516</v>
      </c>
      <c r="S1363" s="197">
        <f>(Q1363+K1363)/H1363</f>
        <v>6.7448257416795236</v>
      </c>
      <c r="T1363" s="180"/>
      <c r="U1363" s="189">
        <f>IFERROR(IF(Tableau3[[#This Row],[Dettes]]=0,"",(Tableau3[[#This Row],[Dettes]]/Tableau3[[#This Row],[EBE]])),"")</f>
        <v>2.9735508044963632</v>
      </c>
      <c r="V1363" s="190">
        <f>IFERROR(Tableau3[[#This Row],[Fonds propres]]/Tableau3[[#This Row],[Total Bilan]],"")</f>
        <v>0.1891599486521181</v>
      </c>
      <c r="W1363" s="180">
        <v>7790000000</v>
      </c>
      <c r="X1363" s="191"/>
      <c r="Y1363" s="180"/>
      <c r="Z1363" s="192" t="str">
        <f>IFERROR(Tableau3[[#This Row],[Chiffre d''affaires]]/Tableau3[[#This Row],[Salariés]],"")</f>
        <v/>
      </c>
      <c r="AA1363" s="197"/>
      <c r="AB1363" s="197"/>
      <c r="AC1363" s="177" t="s">
        <v>949</v>
      </c>
    </row>
    <row r="1364" spans="1:29" ht="20.25" customHeight="1">
      <c r="A1364" s="217"/>
      <c r="E1364" s="187"/>
      <c r="F1364" s="214"/>
      <c r="G1364" s="202">
        <f>(G1363/G1365)-1</f>
        <v>9.2314074118557299E-2</v>
      </c>
      <c r="H1364" s="203">
        <f>(H1363/H1365)-1</f>
        <v>-1.0037093606807823E-2</v>
      </c>
      <c r="I1364" s="203">
        <f>(I1363/I1365)-1</f>
        <v>5.8951641972263769E-2</v>
      </c>
      <c r="J1364" s="203">
        <f>(J1363/J1365)-1</f>
        <v>-0.17997344624659106</v>
      </c>
      <c r="K1364" s="188"/>
      <c r="L1364" s="178"/>
      <c r="M1364" s="177"/>
      <c r="N1364" s="178"/>
      <c r="O1364" s="177"/>
      <c r="P1364" s="188"/>
      <c r="Q1364" s="188"/>
      <c r="R1364" s="195"/>
      <c r="S1364" s="197"/>
      <c r="T1364" s="180"/>
      <c r="U1364" s="189" t="str">
        <f>IFERROR(IF(Tableau3[[#This Row],[Dettes]]=0,"",(Tableau3[[#This Row],[Dettes]]/Tableau3[[#This Row],[EBE]])),"")</f>
        <v/>
      </c>
      <c r="V1364" s="190" t="str">
        <f>IFERROR(Tableau3[[#This Row],[Fonds propres]]/Tableau3[[#This Row],[Total Bilan]],"")</f>
        <v/>
      </c>
      <c r="W1364" s="180"/>
      <c r="X1364" s="191"/>
      <c r="Y1364" s="180"/>
      <c r="Z1364" s="192" t="str">
        <f>IFERROR(Tableau3[[#This Row],[Chiffre d''affaires]]/Tableau3[[#This Row],[Salariés]],"")</f>
        <v/>
      </c>
      <c r="AA1364" s="197"/>
      <c r="AB1364" s="197"/>
      <c r="AC1364" s="177" t="s">
        <v>950</v>
      </c>
    </row>
    <row r="1365" spans="1:29" ht="20.25" customHeight="1">
      <c r="A1365" s="217"/>
      <c r="E1365" s="187">
        <v>21.7</v>
      </c>
      <c r="F1365" s="178">
        <v>2017</v>
      </c>
      <c r="G1365" s="188">
        <v>6127993000</v>
      </c>
      <c r="H1365" s="188">
        <v>458300000</v>
      </c>
      <c r="I1365" s="188">
        <v>263555000</v>
      </c>
      <c r="J1365" s="188">
        <v>111472000</v>
      </c>
      <c r="K1365" s="188">
        <v>1531900000</v>
      </c>
      <c r="L1365" s="188">
        <v>1439399000</v>
      </c>
      <c r="M1365" s="208">
        <f>L1365/P1365</f>
        <v>9.3421268895104053</v>
      </c>
      <c r="N1365" s="190">
        <f>J1365/L1367</f>
        <v>7.8773899573736761E-2</v>
      </c>
      <c r="O1365" s="190">
        <f>(I1365*0.6666)/(K1367+L1367)</f>
        <v>7.5580412976965244E-2</v>
      </c>
      <c r="P1365" s="188">
        <v>154076156</v>
      </c>
      <c r="Q1365" s="188">
        <f>P1365*E1365</f>
        <v>3343452585.1999998</v>
      </c>
      <c r="R1365" s="195">
        <f>Q1365/L1365</f>
        <v>2.3228115242542198</v>
      </c>
      <c r="S1365" s="197">
        <f>(Q1365+K1365)/H1365</f>
        <v>10.637906579096661</v>
      </c>
      <c r="T1365" s="180"/>
      <c r="U1365" s="189">
        <f>IFERROR(IF(Tableau3[[#This Row],[Dettes]]=0,"",(Tableau3[[#This Row],[Dettes]]/Tableau3[[#This Row],[EBE]])),"")</f>
        <v>3.3425703687540911</v>
      </c>
      <c r="V1365" s="190">
        <f>IFERROR(Tableau3[[#This Row],[Fonds propres]]/Tableau3[[#This Row],[Total Bilan]],"")</f>
        <v>0.18548956185567012</v>
      </c>
      <c r="W1365" s="180">
        <v>7760000000</v>
      </c>
      <c r="X1365" s="191"/>
      <c r="Y1365" s="180"/>
      <c r="Z1365" s="192" t="str">
        <f>IFERROR(Tableau3[[#This Row],[Chiffre d''affaires]]/Tableau3[[#This Row],[Salariés]],"")</f>
        <v/>
      </c>
      <c r="AA1365" s="197"/>
      <c r="AB1365" s="197"/>
      <c r="AC1365" s="177" t="s">
        <v>951</v>
      </c>
    </row>
    <row r="1366" spans="1:29" ht="20.25" customHeight="1">
      <c r="A1366" s="217"/>
      <c r="E1366" s="187"/>
      <c r="G1366" s="202">
        <f>(G1365/G1367)-1</f>
        <v>0.19117368062979878</v>
      </c>
      <c r="H1366" s="203">
        <f>(H1365/H1367)-1</f>
        <v>0.15498991935483875</v>
      </c>
      <c r="I1366" s="203">
        <f>(I1365/I1367)-1</f>
        <v>-0.1048818758575718</v>
      </c>
      <c r="J1366" s="203">
        <f>(J1365/J1367)-1</f>
        <v>-0.39427925578160317</v>
      </c>
      <c r="K1366" s="188"/>
      <c r="L1366" s="188"/>
      <c r="M1366" s="208"/>
      <c r="N1366" s="190"/>
      <c r="O1366" s="190"/>
      <c r="P1366" s="188"/>
      <c r="Q1366" s="188"/>
      <c r="R1366" s="195"/>
      <c r="S1366" s="197"/>
      <c r="T1366" s="180"/>
      <c r="U1366" s="189" t="str">
        <f>IFERROR(IF(Tableau3[[#This Row],[Dettes]]=0,"",(Tableau3[[#This Row],[Dettes]]/Tableau3[[#This Row],[EBE]])),"")</f>
        <v/>
      </c>
      <c r="V1366" s="190" t="str">
        <f>IFERROR(Tableau3[[#This Row],[Fonds propres]]/Tableau3[[#This Row],[Total Bilan]],"")</f>
        <v/>
      </c>
      <c r="W1366" s="180"/>
      <c r="X1366" s="191"/>
      <c r="Y1366" s="180"/>
      <c r="Z1366" s="192" t="str">
        <f>IFERROR(Tableau3[[#This Row],[Chiffre d''affaires]]/Tableau3[[#This Row],[Salariés]],"")</f>
        <v/>
      </c>
      <c r="AA1366" s="197"/>
      <c r="AB1366" s="197"/>
      <c r="AC1366" s="177" t="s">
        <v>952</v>
      </c>
    </row>
    <row r="1367" spans="1:29" ht="20.25" customHeight="1">
      <c r="A1367" s="217"/>
      <c r="E1367" s="187">
        <v>20.010000000000002</v>
      </c>
      <c r="F1367" s="178">
        <v>2016</v>
      </c>
      <c r="G1367" s="188">
        <v>5144500000</v>
      </c>
      <c r="H1367" s="188">
        <v>396800000</v>
      </c>
      <c r="I1367" s="188">
        <v>294436000</v>
      </c>
      <c r="J1367" s="188">
        <v>184032000</v>
      </c>
      <c r="K1367" s="188">
        <v>909400000</v>
      </c>
      <c r="L1367" s="188">
        <v>1415088000</v>
      </c>
      <c r="M1367" s="208">
        <f>L1367/P1367</f>
        <v>9.1843412812038228</v>
      </c>
      <c r="N1367" s="190">
        <f>J1367/L1369</f>
        <v>0.13961787769172879</v>
      </c>
      <c r="O1367" s="190">
        <f>(I1367*0.6666)/(K1369+L1369)</f>
        <v>8.7538462663774158E-2</v>
      </c>
      <c r="P1367" s="188">
        <v>154076156</v>
      </c>
      <c r="Q1367" s="188">
        <f>P1367*E1367</f>
        <v>3083063881.5600004</v>
      </c>
      <c r="R1367" s="195">
        <f>Q1367/L1367</f>
        <v>2.1787082369153015</v>
      </c>
      <c r="S1367" s="197">
        <f>(Q1367+K1367)/H1367</f>
        <v>10.06165292731855</v>
      </c>
      <c r="T1367" s="180"/>
      <c r="U1367" s="189">
        <f>IFERROR(IF(Tableau3[[#This Row],[Dettes]]=0,"",(Tableau3[[#This Row],[Dettes]]/Tableau3[[#This Row],[EBE]])),"")</f>
        <v>2.291834677419355</v>
      </c>
      <c r="V1367" s="190" t="str">
        <f>IFERROR(Tableau3[[#This Row],[Fonds propres]]/Tableau3[[#This Row],[Total Bilan]],"")</f>
        <v/>
      </c>
      <c r="W1367" s="180"/>
      <c r="X1367" s="191"/>
      <c r="Y1367" s="180"/>
      <c r="Z1367" s="192" t="str">
        <f>IFERROR(Tableau3[[#This Row],[Chiffre d''affaires]]/Tableau3[[#This Row],[Salariés]],"")</f>
        <v/>
      </c>
      <c r="AA1367" s="197"/>
      <c r="AB1367" s="197"/>
      <c r="AC1367" s="177" t="s">
        <v>5190</v>
      </c>
    </row>
    <row r="1368" spans="1:29" s="226" customFormat="1" ht="20.25" customHeight="1">
      <c r="A1368" s="217"/>
      <c r="B1368" s="216"/>
      <c r="C1368" s="178"/>
      <c r="D1368" s="178"/>
      <c r="E1368" s="187"/>
      <c r="F1368" s="178"/>
      <c r="G1368" s="202">
        <f>(G1367/G1369)-1</f>
        <v>-2.8606495468277982E-2</v>
      </c>
      <c r="H1368" s="203">
        <f>(H1367/H1369)-1</f>
        <v>1.6653856008198797E-2</v>
      </c>
      <c r="I1368" s="203">
        <f>(I1367/I1369)-1</f>
        <v>9.1923203868732983E-2</v>
      </c>
      <c r="J1368" s="203">
        <f>(J1367/J1369)-1</f>
        <v>3.0642211965283455</v>
      </c>
      <c r="K1368" s="188"/>
      <c r="L1368" s="188"/>
      <c r="M1368" s="208"/>
      <c r="N1368" s="190"/>
      <c r="O1368" s="190"/>
      <c r="P1368" s="188"/>
      <c r="Q1368" s="188"/>
      <c r="R1368" s="195"/>
      <c r="S1368" s="197"/>
      <c r="T1368" s="180"/>
      <c r="U1368" s="189" t="str">
        <f>IFERROR(IF(Tableau3[[#This Row],[Dettes]]=0,"",(Tableau3[[#This Row],[Dettes]]/Tableau3[[#This Row],[EBE]])),"")</f>
        <v/>
      </c>
      <c r="V1368" s="190" t="str">
        <f>IFERROR(Tableau3[[#This Row],[Fonds propres]]/Tableau3[[#This Row],[Total Bilan]],"")</f>
        <v/>
      </c>
      <c r="W1368" s="180"/>
      <c r="X1368" s="182"/>
      <c r="Y1368" s="180"/>
      <c r="Z1368" s="192" t="str">
        <f>IFERROR(Tableau3[[#This Row],[Chiffre d''affaires]]/Tableau3[[#This Row],[Salariés]],"")</f>
        <v/>
      </c>
      <c r="AA1368" s="177"/>
      <c r="AB1368" s="178"/>
      <c r="AC1368" s="177" t="s">
        <v>5191</v>
      </c>
    </row>
    <row r="1369" spans="1:29" s="226" customFormat="1" ht="20.25" customHeight="1">
      <c r="A1369" s="217"/>
      <c r="B1369" s="216"/>
      <c r="C1369" s="178"/>
      <c r="D1369" s="178"/>
      <c r="E1369" s="187">
        <v>16.87</v>
      </c>
      <c r="F1369" s="178">
        <v>2015</v>
      </c>
      <c r="G1369" s="188">
        <v>5296000000</v>
      </c>
      <c r="H1369" s="188">
        <v>390300000</v>
      </c>
      <c r="I1369" s="188">
        <v>269649000</v>
      </c>
      <c r="J1369" s="188">
        <v>45281000</v>
      </c>
      <c r="K1369" s="188">
        <v>924000000</v>
      </c>
      <c r="L1369" s="188">
        <v>1318112000</v>
      </c>
      <c r="M1369" s="208">
        <f>L1369/P1369</f>
        <v>8.5549382475507763</v>
      </c>
      <c r="N1369" s="190">
        <f>J1369/L1369</f>
        <v>3.4352922968609645E-2</v>
      </c>
      <c r="O1369" s="190">
        <f>(I1369*0.6666)/(K1369+L1369)</f>
        <v>8.0169065327691039E-2</v>
      </c>
      <c r="P1369" s="188">
        <v>154076156</v>
      </c>
      <c r="Q1369" s="188">
        <f>P1369*E1369</f>
        <v>2599264751.7200003</v>
      </c>
      <c r="R1369" s="195">
        <f>Q1369/L1369</f>
        <v>1.9719604644521864</v>
      </c>
      <c r="S1369" s="197">
        <f>(Q1369+K1369)/H1369</f>
        <v>9.027068285216501</v>
      </c>
      <c r="T1369" s="180"/>
      <c r="U1369" s="189">
        <f>IFERROR(IF(Tableau3[[#This Row],[Dettes]]=0,"",(Tableau3[[#This Row],[Dettes]]/Tableau3[[#This Row],[EBE]])),"")</f>
        <v>2.3674096848578019</v>
      </c>
      <c r="V1369" s="190" t="str">
        <f>IFERROR(Tableau3[[#This Row],[Fonds propres]]/Tableau3[[#This Row],[Total Bilan]],"")</f>
        <v/>
      </c>
      <c r="W1369" s="180"/>
      <c r="X1369" s="182"/>
      <c r="Y1369" s="180"/>
      <c r="Z1369" s="192" t="str">
        <f>IFERROR(Tableau3[[#This Row],[Chiffre d''affaires]]/Tableau3[[#This Row],[Salariés]],"")</f>
        <v/>
      </c>
      <c r="AA1369" s="177"/>
      <c r="AB1369" s="178"/>
      <c r="AC1369" s="177" t="s">
        <v>5193</v>
      </c>
    </row>
    <row r="1370" spans="1:29" s="226" customFormat="1" ht="20.25" customHeight="1">
      <c r="A1370" s="217"/>
      <c r="B1370" s="216"/>
      <c r="C1370" s="178"/>
      <c r="D1370" s="178"/>
      <c r="E1370" s="178"/>
      <c r="F1370" s="178"/>
      <c r="G1370" s="188"/>
      <c r="H1370" s="178"/>
      <c r="I1370" s="178"/>
      <c r="J1370" s="178"/>
      <c r="K1370" s="178"/>
      <c r="L1370" s="178"/>
      <c r="M1370" s="178"/>
      <c r="N1370" s="178"/>
      <c r="O1370" s="178"/>
      <c r="P1370" s="178"/>
      <c r="Q1370" s="178"/>
      <c r="R1370" s="195"/>
      <c r="S1370" s="178"/>
      <c r="T1370" s="180"/>
      <c r="U1370" s="189" t="str">
        <f>IFERROR(IF(Tableau3[[#This Row],[Dettes]]=0,"",(Tableau3[[#This Row],[Dettes]]/Tableau3[[#This Row],[EBE]])),"")</f>
        <v/>
      </c>
      <c r="V1370" s="190" t="str">
        <f>IFERROR(Tableau3[[#This Row],[Fonds propres]]/Tableau3[[#This Row],[Total Bilan]],"")</f>
        <v/>
      </c>
      <c r="W1370" s="180"/>
      <c r="X1370" s="191"/>
      <c r="Y1370" s="180"/>
      <c r="Z1370" s="192" t="str">
        <f>IFERROR(Tableau3[[#This Row],[Chiffre d''affaires]]/Tableau3[[#This Row],[Salariés]],"")</f>
        <v/>
      </c>
      <c r="AA1370" s="197"/>
      <c r="AB1370" s="197"/>
      <c r="AC1370" s="177" t="s">
        <v>953</v>
      </c>
    </row>
    <row r="1371" spans="1:29" s="226" customFormat="1" ht="20.25" customHeight="1">
      <c r="A1371" s="217"/>
      <c r="B1371" s="216"/>
      <c r="C1371" s="178"/>
      <c r="D1371" s="178"/>
      <c r="E1371" s="178"/>
      <c r="F1371" s="217" t="s">
        <v>955</v>
      </c>
      <c r="G1371" s="188"/>
      <c r="H1371" s="178"/>
      <c r="I1371" s="178"/>
      <c r="J1371" s="178"/>
      <c r="K1371" s="178"/>
      <c r="L1371" s="178"/>
      <c r="M1371" s="178"/>
      <c r="N1371" s="178"/>
      <c r="O1371" s="178"/>
      <c r="P1371" s="178"/>
      <c r="Q1371" s="178"/>
      <c r="R1371" s="195"/>
      <c r="S1371" s="178"/>
      <c r="T1371" s="180"/>
      <c r="U1371" s="189" t="str">
        <f>IFERROR(IF(Tableau3[[#This Row],[Dettes]]=0,"",(Tableau3[[#This Row],[Dettes]]/Tableau3[[#This Row],[EBE]])),"")</f>
        <v/>
      </c>
      <c r="V1371" s="190" t="str">
        <f>IFERROR(Tableau3[[#This Row],[Fonds propres]]/Tableau3[[#This Row],[Total Bilan]],"")</f>
        <v/>
      </c>
      <c r="W1371" s="180"/>
      <c r="X1371" s="191"/>
      <c r="Y1371" s="180"/>
      <c r="Z1371" s="192" t="str">
        <f>IFERROR(Tableau3[[#This Row],[Chiffre d''affaires]]/Tableau3[[#This Row],[Salariés]],"")</f>
        <v/>
      </c>
      <c r="AA1371" s="197"/>
      <c r="AB1371" s="197"/>
      <c r="AC1371" s="177" t="s">
        <v>954</v>
      </c>
    </row>
    <row r="1372" spans="1:29" s="226" customFormat="1" ht="20.25" customHeight="1">
      <c r="A1372" s="217"/>
      <c r="B1372" s="216"/>
      <c r="C1372" s="178"/>
      <c r="D1372" s="178"/>
      <c r="E1372" s="178"/>
      <c r="F1372" s="178"/>
      <c r="G1372" s="188"/>
      <c r="H1372" s="188"/>
      <c r="I1372" s="188"/>
      <c r="J1372" s="188"/>
      <c r="K1372" s="188"/>
      <c r="L1372" s="188"/>
      <c r="M1372" s="208"/>
      <c r="N1372" s="190"/>
      <c r="O1372" s="190"/>
      <c r="P1372" s="188"/>
      <c r="Q1372" s="188"/>
      <c r="R1372" s="195"/>
      <c r="S1372" s="197"/>
      <c r="T1372" s="180"/>
      <c r="U1372" s="189" t="str">
        <f>IFERROR(IF(Tableau3[[#This Row],[Dettes]]=0,"",(Tableau3[[#This Row],[Dettes]]/Tableau3[[#This Row],[EBE]])),"")</f>
        <v/>
      </c>
      <c r="V1372" s="190" t="str">
        <f>IFERROR(Tableau3[[#This Row],[Fonds propres]]/Tableau3[[#This Row],[Total Bilan]],"")</f>
        <v/>
      </c>
      <c r="W1372" s="180"/>
      <c r="X1372" s="191"/>
      <c r="Y1372" s="180"/>
      <c r="Z1372" s="192" t="str">
        <f>IFERROR(Tableau3[[#This Row],[Chiffre d''affaires]]/Tableau3[[#This Row],[Salariés]],"")</f>
        <v/>
      </c>
      <c r="AA1372" s="197"/>
      <c r="AB1372" s="197"/>
      <c r="AC1372" s="177" t="s">
        <v>956</v>
      </c>
    </row>
    <row r="1373" spans="1:29" s="226" customFormat="1" ht="20.25" customHeight="1">
      <c r="A1373" s="217"/>
      <c r="B1373" s="216"/>
      <c r="C1373" s="178"/>
      <c r="D1373" s="178"/>
      <c r="E1373" s="178"/>
      <c r="F1373" s="178"/>
      <c r="G1373" s="188"/>
      <c r="H1373" s="188"/>
      <c r="I1373" s="188"/>
      <c r="J1373" s="188"/>
      <c r="K1373" s="188"/>
      <c r="L1373" s="188"/>
      <c r="M1373" s="208"/>
      <c r="N1373" s="190"/>
      <c r="O1373" s="190"/>
      <c r="P1373" s="188"/>
      <c r="Q1373" s="188"/>
      <c r="R1373" s="195"/>
      <c r="S1373" s="197"/>
      <c r="T1373" s="180"/>
      <c r="U1373" s="189" t="str">
        <f>IFERROR(IF(Tableau3[[#This Row],[Dettes]]=0,"",(Tableau3[[#This Row],[Dettes]]/Tableau3[[#This Row],[EBE]])),"")</f>
        <v/>
      </c>
      <c r="V1373" s="190" t="str">
        <f>IFERROR(Tableau3[[#This Row],[Fonds propres]]/Tableau3[[#This Row],[Total Bilan]],"")</f>
        <v/>
      </c>
      <c r="W1373" s="180"/>
      <c r="X1373" s="191"/>
      <c r="Y1373" s="180"/>
      <c r="Z1373" s="192" t="str">
        <f>IFERROR(Tableau3[[#This Row],[Chiffre d''affaires]]/Tableau3[[#This Row],[Salariés]],"")</f>
        <v/>
      </c>
      <c r="AA1373" s="197"/>
      <c r="AB1373" s="197"/>
      <c r="AC1373" s="177" t="s">
        <v>957</v>
      </c>
    </row>
    <row r="1374" spans="1:29" s="226" customFormat="1" ht="20.25" customHeight="1">
      <c r="A1374" s="217"/>
      <c r="B1374" s="216"/>
      <c r="C1374" s="178"/>
      <c r="D1374" s="178"/>
      <c r="E1374" s="178"/>
      <c r="F1374" s="178"/>
      <c r="G1374" s="188"/>
      <c r="H1374" s="188"/>
      <c r="I1374" s="188"/>
      <c r="J1374" s="188"/>
      <c r="K1374" s="188"/>
      <c r="L1374" s="188"/>
      <c r="M1374" s="208"/>
      <c r="N1374" s="190"/>
      <c r="O1374" s="190"/>
      <c r="P1374" s="188"/>
      <c r="Q1374" s="188"/>
      <c r="R1374" s="195"/>
      <c r="S1374" s="197"/>
      <c r="T1374" s="180"/>
      <c r="U1374" s="189" t="str">
        <f>IFERROR(IF(Tableau3[[#This Row],[Dettes]]=0,"",(Tableau3[[#This Row],[Dettes]]/Tableau3[[#This Row],[EBE]])),"")</f>
        <v/>
      </c>
      <c r="V1374" s="190" t="str">
        <f>IFERROR(Tableau3[[#This Row],[Fonds propres]]/Tableau3[[#This Row],[Total Bilan]],"")</f>
        <v/>
      </c>
      <c r="W1374" s="180"/>
      <c r="X1374" s="191"/>
      <c r="Y1374" s="180"/>
      <c r="Z1374" s="192" t="str">
        <f>IFERROR(Tableau3[[#This Row],[Chiffre d''affaires]]/Tableau3[[#This Row],[Salariés]],"")</f>
        <v/>
      </c>
      <c r="AA1374" s="197"/>
      <c r="AB1374" s="197"/>
      <c r="AC1374" s="177" t="s">
        <v>958</v>
      </c>
    </row>
    <row r="1375" spans="1:29" s="226" customFormat="1" ht="20.25" customHeight="1">
      <c r="A1375" s="217"/>
      <c r="B1375" s="216"/>
      <c r="C1375" s="178"/>
      <c r="D1375" s="178"/>
      <c r="E1375" s="178"/>
      <c r="F1375" s="214"/>
      <c r="G1375" s="188"/>
      <c r="H1375" s="188"/>
      <c r="I1375" s="178"/>
      <c r="J1375" s="178"/>
      <c r="K1375" s="188"/>
      <c r="L1375" s="178"/>
      <c r="M1375" s="177"/>
      <c r="N1375" s="178"/>
      <c r="O1375" s="177"/>
      <c r="P1375" s="188"/>
      <c r="Q1375" s="188"/>
      <c r="R1375" s="195"/>
      <c r="S1375" s="197"/>
      <c r="T1375" s="180"/>
      <c r="U1375" s="189" t="str">
        <f>IFERROR(IF(Tableau3[[#This Row],[Dettes]]=0,"",(Tableau3[[#This Row],[Dettes]]/Tableau3[[#This Row],[EBE]])),"")</f>
        <v/>
      </c>
      <c r="V1375" s="190" t="str">
        <f>IFERROR(Tableau3[[#This Row],[Fonds propres]]/Tableau3[[#This Row],[Total Bilan]],"")</f>
        <v/>
      </c>
      <c r="W1375" s="180"/>
      <c r="X1375" s="191"/>
      <c r="Y1375" s="180"/>
      <c r="Z1375" s="192" t="str">
        <f>IFERROR(Tableau3[[#This Row],[Chiffre d''affaires]]/Tableau3[[#This Row],[Salariés]],"")</f>
        <v/>
      </c>
      <c r="AA1375" s="197"/>
      <c r="AB1375" s="197"/>
      <c r="AC1375" s="177" t="s">
        <v>959</v>
      </c>
    </row>
    <row r="1376" spans="1:29" s="226" customFormat="1" ht="20.25" customHeight="1">
      <c r="A1376" s="217"/>
      <c r="B1376" s="216"/>
      <c r="C1376" s="178"/>
      <c r="D1376" s="178"/>
      <c r="E1376" s="178"/>
      <c r="F1376" s="214"/>
      <c r="G1376" s="188"/>
      <c r="H1376" s="188"/>
      <c r="I1376" s="178"/>
      <c r="J1376" s="178"/>
      <c r="K1376" s="188"/>
      <c r="L1376" s="178"/>
      <c r="M1376" s="177"/>
      <c r="N1376" s="178"/>
      <c r="O1376" s="177"/>
      <c r="P1376" s="188"/>
      <c r="Q1376" s="188"/>
      <c r="R1376" s="195"/>
      <c r="S1376" s="197"/>
      <c r="T1376" s="180"/>
      <c r="U1376" s="189" t="str">
        <f>IFERROR(IF(Tableau3[[#This Row],[Dettes]]=0,"",(Tableau3[[#This Row],[Dettes]]/Tableau3[[#This Row],[EBE]])),"")</f>
        <v/>
      </c>
      <c r="V1376" s="190" t="str">
        <f>IFERROR(Tableau3[[#This Row],[Fonds propres]]/Tableau3[[#This Row],[Total Bilan]],"")</f>
        <v/>
      </c>
      <c r="W1376" s="180"/>
      <c r="X1376" s="182"/>
      <c r="Y1376" s="180"/>
      <c r="Z1376" s="192" t="str">
        <f>IFERROR(Tableau3[[#This Row],[Chiffre d''affaires]]/Tableau3[[#This Row],[Salariés]],"")</f>
        <v/>
      </c>
      <c r="AA1376" s="177"/>
      <c r="AB1376" s="178"/>
      <c r="AC1376" s="177" t="s">
        <v>960</v>
      </c>
    </row>
    <row r="1377" spans="1:29" s="226" customFormat="1" ht="20.25" customHeight="1">
      <c r="A1377" s="217"/>
      <c r="B1377" s="216"/>
      <c r="C1377" s="178"/>
      <c r="D1377" s="178"/>
      <c r="E1377" s="178"/>
      <c r="F1377" s="214"/>
      <c r="G1377" s="188"/>
      <c r="H1377" s="188"/>
      <c r="I1377" s="178"/>
      <c r="J1377" s="178"/>
      <c r="K1377" s="188"/>
      <c r="L1377" s="178"/>
      <c r="M1377" s="177"/>
      <c r="N1377" s="178"/>
      <c r="O1377" s="177"/>
      <c r="P1377" s="188"/>
      <c r="Q1377" s="188"/>
      <c r="R1377" s="195"/>
      <c r="S1377" s="197"/>
      <c r="T1377" s="180"/>
      <c r="U1377" s="189" t="str">
        <f>IFERROR(IF(Tableau3[[#This Row],[Dettes]]=0,"",(Tableau3[[#This Row],[Dettes]]/Tableau3[[#This Row],[EBE]])),"")</f>
        <v/>
      </c>
      <c r="V1377" s="190" t="str">
        <f>IFERROR(Tableau3[[#This Row],[Fonds propres]]/Tableau3[[#This Row],[Total Bilan]],"")</f>
        <v/>
      </c>
      <c r="W1377" s="180"/>
      <c r="X1377" s="182"/>
      <c r="Y1377" s="180"/>
      <c r="Z1377" s="192" t="str">
        <f>IFERROR(Tableau3[[#This Row],[Chiffre d''affaires]]/Tableau3[[#This Row],[Salariés]],"")</f>
        <v/>
      </c>
      <c r="AA1377" s="177"/>
      <c r="AB1377" s="178"/>
      <c r="AC1377" s="177" t="s">
        <v>5179</v>
      </c>
    </row>
    <row r="1378" spans="1:29" s="226" customFormat="1" ht="20.25" customHeight="1">
      <c r="A1378" s="217"/>
      <c r="B1378" s="216"/>
      <c r="C1378" s="178"/>
      <c r="D1378" s="178"/>
      <c r="E1378" s="178"/>
      <c r="F1378" s="214"/>
      <c r="G1378" s="188"/>
      <c r="H1378" s="188"/>
      <c r="I1378" s="178"/>
      <c r="J1378" s="178"/>
      <c r="K1378" s="188"/>
      <c r="L1378" s="178"/>
      <c r="M1378" s="177"/>
      <c r="N1378" s="178"/>
      <c r="O1378" s="177"/>
      <c r="P1378" s="188"/>
      <c r="Q1378" s="188"/>
      <c r="R1378" s="195"/>
      <c r="S1378" s="197"/>
      <c r="T1378" s="180"/>
      <c r="U1378" s="189" t="str">
        <f>IFERROR(IF(Tableau3[[#This Row],[Dettes]]=0,"",(Tableau3[[#This Row],[Dettes]]/Tableau3[[#This Row],[EBE]])),"")</f>
        <v/>
      </c>
      <c r="V1378" s="190" t="str">
        <f>IFERROR(Tableau3[[#This Row],[Fonds propres]]/Tableau3[[#This Row],[Total Bilan]],"")</f>
        <v/>
      </c>
      <c r="W1378" s="180"/>
      <c r="X1378" s="191"/>
      <c r="Y1378" s="180"/>
      <c r="Z1378" s="192" t="str">
        <f>IFERROR(Tableau3[[#This Row],[Chiffre d''affaires]]/Tableau3[[#This Row],[Salariés]],"")</f>
        <v/>
      </c>
      <c r="AA1378" s="197"/>
      <c r="AB1378" s="197"/>
      <c r="AC1378" s="177" t="s">
        <v>5181</v>
      </c>
    </row>
    <row r="1379" spans="1:29" s="226" customFormat="1" ht="20.25" customHeight="1">
      <c r="A1379" s="217"/>
      <c r="B1379" s="216"/>
      <c r="C1379" s="178"/>
      <c r="D1379" s="178"/>
      <c r="E1379" s="178"/>
      <c r="F1379" s="214"/>
      <c r="G1379" s="188"/>
      <c r="H1379" s="188"/>
      <c r="I1379" s="178"/>
      <c r="J1379" s="178"/>
      <c r="K1379" s="188"/>
      <c r="L1379" s="178"/>
      <c r="M1379" s="177"/>
      <c r="N1379" s="178"/>
      <c r="O1379" s="177"/>
      <c r="P1379" s="188"/>
      <c r="Q1379" s="188"/>
      <c r="R1379" s="195"/>
      <c r="S1379" s="197"/>
      <c r="T1379" s="180"/>
      <c r="U1379" s="189" t="str">
        <f>IFERROR(IF(Tableau3[[#This Row],[Dettes]]=0,"",(Tableau3[[#This Row],[Dettes]]/Tableau3[[#This Row],[EBE]])),"")</f>
        <v/>
      </c>
      <c r="V1379" s="190" t="str">
        <f>IFERROR(Tableau3[[#This Row],[Fonds propres]]/Tableau3[[#This Row],[Total Bilan]],"")</f>
        <v/>
      </c>
      <c r="W1379" s="180"/>
      <c r="X1379" s="191"/>
      <c r="Y1379" s="180"/>
      <c r="Z1379" s="192" t="str">
        <f>IFERROR(Tableau3[[#This Row],[Chiffre d''affaires]]/Tableau3[[#This Row],[Salariés]],"")</f>
        <v/>
      </c>
      <c r="AA1379" s="197"/>
      <c r="AB1379" s="197"/>
      <c r="AC1379" s="177" t="s">
        <v>5182</v>
      </c>
    </row>
    <row r="1380" spans="1:29" s="226" customFormat="1" ht="20.25" customHeight="1">
      <c r="A1380" s="217"/>
      <c r="B1380" s="216"/>
      <c r="C1380" s="178"/>
      <c r="D1380" s="178"/>
      <c r="E1380" s="178"/>
      <c r="F1380" s="214"/>
      <c r="G1380" s="188"/>
      <c r="H1380" s="188"/>
      <c r="I1380" s="178"/>
      <c r="J1380" s="178"/>
      <c r="K1380" s="188"/>
      <c r="L1380" s="178"/>
      <c r="M1380" s="177"/>
      <c r="N1380" s="178"/>
      <c r="O1380" s="177"/>
      <c r="P1380" s="188"/>
      <c r="Q1380" s="188"/>
      <c r="R1380" s="195"/>
      <c r="S1380" s="197"/>
      <c r="T1380" s="180"/>
      <c r="U1380" s="189" t="str">
        <f>IFERROR(IF(Tableau3[[#This Row],[Dettes]]=0,"",(Tableau3[[#This Row],[Dettes]]/Tableau3[[#This Row],[EBE]])),"")</f>
        <v/>
      </c>
      <c r="V1380" s="190" t="str">
        <f>IFERROR(Tableau3[[#This Row],[Fonds propres]]/Tableau3[[#This Row],[Total Bilan]],"")</f>
        <v/>
      </c>
      <c r="W1380" s="180"/>
      <c r="X1380" s="191"/>
      <c r="Y1380" s="180"/>
      <c r="Z1380" s="192" t="str">
        <f>IFERROR(Tableau3[[#This Row],[Chiffre d''affaires]]/Tableau3[[#This Row],[Salariés]],"")</f>
        <v/>
      </c>
      <c r="AA1380" s="197"/>
      <c r="AB1380" s="197"/>
      <c r="AC1380" s="177" t="s">
        <v>961</v>
      </c>
    </row>
    <row r="1381" spans="1:29" s="226" customFormat="1" ht="20.25" customHeight="1">
      <c r="A1381" s="217"/>
      <c r="B1381" s="216"/>
      <c r="C1381" s="178"/>
      <c r="D1381" s="178"/>
      <c r="E1381" s="178"/>
      <c r="F1381" s="214"/>
      <c r="G1381" s="188"/>
      <c r="H1381" s="188"/>
      <c r="I1381" s="178"/>
      <c r="J1381" s="178"/>
      <c r="K1381" s="188"/>
      <c r="L1381" s="178"/>
      <c r="M1381" s="177"/>
      <c r="N1381" s="178"/>
      <c r="O1381" s="177"/>
      <c r="P1381" s="188"/>
      <c r="Q1381" s="188"/>
      <c r="R1381" s="195"/>
      <c r="S1381" s="197"/>
      <c r="T1381" s="180"/>
      <c r="U1381" s="189" t="str">
        <f>IFERROR(IF(Tableau3[[#This Row],[Dettes]]=0,"",(Tableau3[[#This Row],[Dettes]]/Tableau3[[#This Row],[EBE]])),"")</f>
        <v/>
      </c>
      <c r="V1381" s="190" t="str">
        <f>IFERROR(Tableau3[[#This Row],[Fonds propres]]/Tableau3[[#This Row],[Total Bilan]],"")</f>
        <v/>
      </c>
      <c r="W1381" s="180"/>
      <c r="X1381" s="191"/>
      <c r="Y1381" s="180"/>
      <c r="Z1381" s="192" t="str">
        <f>IFERROR(Tableau3[[#This Row],[Chiffre d''affaires]]/Tableau3[[#This Row],[Salariés]],"")</f>
        <v/>
      </c>
      <c r="AA1381" s="197"/>
      <c r="AB1381" s="197"/>
      <c r="AC1381" s="177" t="s">
        <v>962</v>
      </c>
    </row>
    <row r="1382" spans="1:29" s="226" customFormat="1" ht="20.25" customHeight="1">
      <c r="A1382" s="217"/>
      <c r="B1382" s="216"/>
      <c r="C1382" s="178"/>
      <c r="D1382" s="178"/>
      <c r="E1382" s="178"/>
      <c r="F1382" s="214"/>
      <c r="G1382" s="188"/>
      <c r="H1382" s="188"/>
      <c r="I1382" s="178"/>
      <c r="J1382" s="178"/>
      <c r="K1382" s="188"/>
      <c r="L1382" s="178"/>
      <c r="M1382" s="177"/>
      <c r="N1382" s="178"/>
      <c r="O1382" s="177"/>
      <c r="P1382" s="188"/>
      <c r="Q1382" s="188"/>
      <c r="R1382" s="195"/>
      <c r="S1382" s="197"/>
      <c r="T1382" s="180"/>
      <c r="U1382" s="189" t="str">
        <f>IFERROR(IF(Tableau3[[#This Row],[Dettes]]=0,"",(Tableau3[[#This Row],[Dettes]]/Tableau3[[#This Row],[EBE]])),"")</f>
        <v/>
      </c>
      <c r="V1382" s="190" t="str">
        <f>IFERROR(Tableau3[[#This Row],[Fonds propres]]/Tableau3[[#This Row],[Total Bilan]],"")</f>
        <v/>
      </c>
      <c r="W1382" s="180"/>
      <c r="X1382" s="191"/>
      <c r="Y1382" s="180"/>
      <c r="Z1382" s="192" t="str">
        <f>IFERROR(Tableau3[[#This Row],[Chiffre d''affaires]]/Tableau3[[#This Row],[Salariés]],"")</f>
        <v/>
      </c>
      <c r="AA1382" s="197"/>
      <c r="AB1382" s="197"/>
      <c r="AC1382" s="177" t="s">
        <v>963</v>
      </c>
    </row>
    <row r="1383" spans="1:29" s="226" customFormat="1" ht="20.25" customHeight="1">
      <c r="A1383" s="217"/>
      <c r="B1383" s="216"/>
      <c r="C1383" s="178"/>
      <c r="D1383" s="178"/>
      <c r="E1383" s="178"/>
      <c r="F1383" s="214"/>
      <c r="G1383" s="188"/>
      <c r="H1383" s="188"/>
      <c r="I1383" s="178"/>
      <c r="J1383" s="178"/>
      <c r="K1383" s="188"/>
      <c r="L1383" s="178"/>
      <c r="M1383" s="177"/>
      <c r="N1383" s="178"/>
      <c r="O1383" s="177"/>
      <c r="P1383" s="188"/>
      <c r="Q1383" s="188"/>
      <c r="R1383" s="195"/>
      <c r="S1383" s="197"/>
      <c r="T1383" s="180"/>
      <c r="U1383" s="189" t="str">
        <f>IFERROR(IF(Tableau3[[#This Row],[Dettes]]=0,"",(Tableau3[[#This Row],[Dettes]]/Tableau3[[#This Row],[EBE]])),"")</f>
        <v/>
      </c>
      <c r="V1383" s="190" t="str">
        <f>IFERROR(Tableau3[[#This Row],[Fonds propres]]/Tableau3[[#This Row],[Total Bilan]],"")</f>
        <v/>
      </c>
      <c r="W1383" s="180"/>
      <c r="X1383" s="191"/>
      <c r="Y1383" s="180"/>
      <c r="Z1383" s="192" t="str">
        <f>IFERROR(Tableau3[[#This Row],[Chiffre d''affaires]]/Tableau3[[#This Row],[Salariés]],"")</f>
        <v/>
      </c>
      <c r="AA1383" s="197"/>
      <c r="AB1383" s="197"/>
      <c r="AC1383" s="177" t="s">
        <v>964</v>
      </c>
    </row>
    <row r="1384" spans="1:29" s="226" customFormat="1" ht="20.25" customHeight="1">
      <c r="A1384" s="217"/>
      <c r="B1384" s="216"/>
      <c r="C1384" s="178"/>
      <c r="D1384" s="178"/>
      <c r="E1384" s="178"/>
      <c r="F1384" s="214"/>
      <c r="G1384" s="188"/>
      <c r="H1384" s="188"/>
      <c r="I1384" s="178"/>
      <c r="J1384" s="178"/>
      <c r="K1384" s="188"/>
      <c r="L1384" s="178"/>
      <c r="M1384" s="178"/>
      <c r="N1384" s="178"/>
      <c r="O1384" s="178"/>
      <c r="P1384" s="188"/>
      <c r="Q1384" s="188"/>
      <c r="R1384" s="195"/>
      <c r="S1384" s="197"/>
      <c r="T1384" s="180"/>
      <c r="U1384" s="189" t="str">
        <f>IFERROR(IF(Tableau3[[#This Row],[Dettes]]=0,"",(Tableau3[[#This Row],[Dettes]]/Tableau3[[#This Row],[EBE]])),"")</f>
        <v/>
      </c>
      <c r="V1384" s="190" t="str">
        <f>IFERROR(Tableau3[[#This Row],[Fonds propres]]/Tableau3[[#This Row],[Total Bilan]],"")</f>
        <v/>
      </c>
      <c r="W1384" s="180"/>
      <c r="X1384" s="191"/>
      <c r="Y1384" s="180"/>
      <c r="Z1384" s="192" t="str">
        <f>IFERROR(Tableau3[[#This Row],[Chiffre d''affaires]]/Tableau3[[#This Row],[Salariés]],"")</f>
        <v/>
      </c>
      <c r="AA1384" s="197"/>
      <c r="AB1384" s="197"/>
    </row>
    <row r="1385" spans="1:29" s="226" customFormat="1" ht="20.25" customHeight="1">
      <c r="A1385" s="217"/>
      <c r="B1385" s="216"/>
      <c r="C1385" s="178"/>
      <c r="D1385" s="178"/>
      <c r="E1385" s="178"/>
      <c r="F1385" s="214"/>
      <c r="G1385" s="188"/>
      <c r="H1385" s="188"/>
      <c r="I1385" s="178"/>
      <c r="J1385" s="178"/>
      <c r="K1385" s="188"/>
      <c r="L1385" s="178"/>
      <c r="M1385" s="178"/>
      <c r="N1385" s="178"/>
      <c r="O1385" s="178"/>
      <c r="P1385" s="188"/>
      <c r="Q1385" s="188"/>
      <c r="R1385" s="195"/>
      <c r="S1385" s="197"/>
      <c r="T1385" s="180"/>
      <c r="U1385" s="189" t="str">
        <f>IFERROR(IF(Tableau3[[#This Row],[Dettes]]=0,"",(Tableau3[[#This Row],[Dettes]]/Tableau3[[#This Row],[EBE]])),"")</f>
        <v/>
      </c>
      <c r="V1385" s="190" t="str">
        <f>IFERROR(Tableau3[[#This Row],[Fonds propres]]/Tableau3[[#This Row],[Total Bilan]],"")</f>
        <v/>
      </c>
      <c r="W1385" s="180"/>
      <c r="X1385" s="191"/>
      <c r="Y1385" s="180"/>
      <c r="Z1385" s="192" t="str">
        <f>IFERROR(Tableau3[[#This Row],[Chiffre d''affaires]]/Tableau3[[#This Row],[Salariés]],"")</f>
        <v/>
      </c>
      <c r="AA1385" s="197"/>
      <c r="AB1385" s="197"/>
    </row>
    <row r="1386" spans="1:29" s="226" customFormat="1" ht="20.25" customHeight="1">
      <c r="A1386" s="217"/>
      <c r="B1386" s="216"/>
      <c r="C1386" s="178"/>
      <c r="D1386" s="178"/>
      <c r="E1386" s="178"/>
      <c r="F1386" s="214"/>
      <c r="G1386" s="188"/>
      <c r="H1386" s="188"/>
      <c r="I1386" s="178"/>
      <c r="J1386" s="178"/>
      <c r="K1386" s="188"/>
      <c r="L1386" s="178"/>
      <c r="M1386" s="177"/>
      <c r="N1386" s="178"/>
      <c r="O1386" s="177"/>
      <c r="P1386" s="188"/>
      <c r="Q1386" s="188"/>
      <c r="R1386" s="195"/>
      <c r="S1386" s="197"/>
      <c r="T1386" s="180"/>
      <c r="U1386" s="189" t="str">
        <f>IFERROR(IF(Tableau3[[#This Row],[Dettes]]=0,"",(Tableau3[[#This Row],[Dettes]]/Tableau3[[#This Row],[EBE]])),"")</f>
        <v/>
      </c>
      <c r="V1386" s="190" t="str">
        <f>IFERROR(Tableau3[[#This Row],[Fonds propres]]/Tableau3[[#This Row],[Total Bilan]],"")</f>
        <v/>
      </c>
      <c r="W1386" s="180"/>
      <c r="X1386" s="191"/>
      <c r="Y1386" s="180"/>
      <c r="Z1386" s="192" t="str">
        <f>IFERROR(Tableau3[[#This Row],[Chiffre d''affaires]]/Tableau3[[#This Row],[Salariés]],"")</f>
        <v/>
      </c>
      <c r="AA1386" s="197"/>
      <c r="AB1386" s="197"/>
      <c r="AC1386" s="177"/>
    </row>
    <row r="1387" spans="1:29" s="226" customFormat="1" ht="20.25" customHeight="1">
      <c r="A1387" s="217" t="s">
        <v>965</v>
      </c>
      <c r="B1387" s="212" t="s">
        <v>966</v>
      </c>
      <c r="C1387" s="188" t="s">
        <v>84</v>
      </c>
      <c r="D1387" s="188" t="s">
        <v>85</v>
      </c>
      <c r="E1387" s="178">
        <v>16.100000000000001</v>
      </c>
      <c r="F1387" s="178">
        <v>2021</v>
      </c>
      <c r="G1387" s="188">
        <v>71000000000</v>
      </c>
      <c r="H1387" s="188">
        <v>4550000000</v>
      </c>
      <c r="I1387" s="188">
        <v>2250000000</v>
      </c>
      <c r="J1387" s="188">
        <v>1150000000</v>
      </c>
      <c r="K1387" s="188">
        <v>2500000000</v>
      </c>
      <c r="L1387" s="188">
        <v>10795000000</v>
      </c>
      <c r="M1387" s="194">
        <f>L1387/P1387</f>
        <v>13.372304336690695</v>
      </c>
      <c r="N1387" s="190">
        <f>J1387/L1387</f>
        <v>0.10653080129689671</v>
      </c>
      <c r="O1387" s="190">
        <f>(I1387*0.6666)/(K1387+L1387)</f>
        <v>0.11281308762692742</v>
      </c>
      <c r="P1387" s="188">
        <v>807265504</v>
      </c>
      <c r="Q1387" s="226">
        <f>E1387*P1387</f>
        <v>12996974614.400002</v>
      </c>
      <c r="R1387" s="195">
        <f>Q1387/L1387</f>
        <v>1.2039809740064846</v>
      </c>
      <c r="S1387" s="197">
        <f>(Q1387+K1387)/H1387</f>
        <v>3.4059284866813191</v>
      </c>
      <c r="T1387" s="180"/>
      <c r="U1387" s="189">
        <f>IFERROR(IF(Tableau3[[#This Row],[Dettes]]=0,"",(Tableau3[[#This Row],[Dettes]]/Tableau3[[#This Row],[EBE]])),"")</f>
        <v>0.5494505494505495</v>
      </c>
      <c r="V1387" s="190" t="str">
        <f>IFERROR(Tableau3[[#This Row],[Fonds propres]]/Tableau3[[#This Row],[Total Bilan]],"")</f>
        <v/>
      </c>
      <c r="W1387" s="180"/>
      <c r="X1387" s="191" t="s">
        <v>318</v>
      </c>
      <c r="Y1387" s="180"/>
      <c r="Z1387" s="192" t="str">
        <f>IFERROR(Tableau3[[#This Row],[Chiffre d''affaires]]/Tableau3[[#This Row],[Salariés]],"")</f>
        <v/>
      </c>
      <c r="AA1387" s="197"/>
      <c r="AB1387" s="197"/>
      <c r="AC1387" s="177" t="s">
        <v>967</v>
      </c>
    </row>
    <row r="1388" spans="1:29" s="226" customFormat="1" ht="20.25" customHeight="1">
      <c r="A1388" s="217"/>
      <c r="B1388" s="216"/>
      <c r="C1388" s="178"/>
      <c r="D1388" s="178"/>
      <c r="E1388" s="178"/>
      <c r="F1388" s="214"/>
      <c r="G1388" s="202">
        <f>(G1387/G1389)-1</f>
        <v>1.4764103077165025E-2</v>
      </c>
      <c r="H1388" s="203">
        <f>(H1387/H1389)-1</f>
        <v>1.903695408734607E-2</v>
      </c>
      <c r="I1388" s="203">
        <f>(I1387/I1389)-1</f>
        <v>3.5434882650713373E-2</v>
      </c>
      <c r="J1388" s="203">
        <f>(J1387/J1389)-1</f>
        <v>0.13748763600395653</v>
      </c>
      <c r="K1388" s="188"/>
      <c r="L1388" s="178"/>
      <c r="M1388" s="177"/>
      <c r="N1388" s="178"/>
      <c r="O1388" s="177"/>
      <c r="P1388" s="188"/>
      <c r="Q1388" s="188"/>
      <c r="R1388" s="195"/>
      <c r="S1388" s="197"/>
      <c r="T1388" s="180"/>
      <c r="U1388" s="189" t="str">
        <f>IFERROR(IF(Tableau3[[#This Row],[Dettes]]=0,"",(Tableau3[[#This Row],[Dettes]]/Tableau3[[#This Row],[EBE]])),"")</f>
        <v/>
      </c>
      <c r="V1388" s="190" t="str">
        <f>IFERROR(Tableau3[[#This Row],[Fonds propres]]/Tableau3[[#This Row],[Total Bilan]],"")</f>
        <v/>
      </c>
      <c r="W1388" s="180"/>
      <c r="X1388" s="191"/>
      <c r="Y1388" s="180"/>
      <c r="Z1388" s="192" t="str">
        <f>IFERROR(Tableau3[[#This Row],[Chiffre d''affaires]]/Tableau3[[#This Row],[Salariés]],"")</f>
        <v/>
      </c>
      <c r="AA1388" s="197"/>
      <c r="AB1388" s="197"/>
      <c r="AC1388" s="177" t="s">
        <v>969</v>
      </c>
    </row>
    <row r="1389" spans="1:29" s="226" customFormat="1" ht="20.25" customHeight="1">
      <c r="A1389" s="276"/>
      <c r="B1389" s="212"/>
      <c r="C1389" s="188"/>
      <c r="D1389" s="188"/>
      <c r="E1389" s="187">
        <v>15</v>
      </c>
      <c r="F1389" s="178">
        <v>2020</v>
      </c>
      <c r="G1389" s="188">
        <v>69967000000</v>
      </c>
      <c r="H1389" s="188">
        <v>4465000000</v>
      </c>
      <c r="I1389" s="188">
        <v>2173000000</v>
      </c>
      <c r="J1389" s="188">
        <v>1011000000</v>
      </c>
      <c r="K1389" s="188">
        <v>2616000000</v>
      </c>
      <c r="L1389" s="188">
        <v>9795000000</v>
      </c>
      <c r="M1389" s="194">
        <f>L1389/P1389</f>
        <v>12.133554513931021</v>
      </c>
      <c r="N1389" s="190">
        <f>J1389/L1389</f>
        <v>0.10321592649310873</v>
      </c>
      <c r="O1389" s="190">
        <f>(I1389*0.6666)/(K1389+L1389)</f>
        <v>0.11671273869954073</v>
      </c>
      <c r="P1389" s="188">
        <v>807265504</v>
      </c>
      <c r="Q1389" s="226">
        <f>E1389*P1389</f>
        <v>12108982560</v>
      </c>
      <c r="R1389" s="195">
        <f>Q1389/L1389</f>
        <v>1.2362412006125574</v>
      </c>
      <c r="S1389" s="197">
        <f>(Q1389+K1389)/H1389</f>
        <v>3.2978684344904816</v>
      </c>
      <c r="T1389" s="180"/>
      <c r="U1389" s="189">
        <f>IFERROR(IF(Tableau3[[#This Row],[Dettes]]=0,"",(Tableau3[[#This Row],[Dettes]]/Tableau3[[#This Row],[EBE]])),"")</f>
        <v>0.58589025755879054</v>
      </c>
      <c r="V1389" s="190" t="str">
        <f>IFERROR(Tableau3[[#This Row],[Fonds propres]]/Tableau3[[#This Row],[Total Bilan]],"")</f>
        <v/>
      </c>
      <c r="W1389" s="180"/>
      <c r="X1389" s="182"/>
      <c r="Y1389" s="180"/>
      <c r="Z1389" s="192" t="str">
        <f>IFERROR(Tableau3[[#This Row],[Chiffre d''affaires]]/Tableau3[[#This Row],[Salariés]],"")</f>
        <v/>
      </c>
      <c r="AA1389" s="177"/>
      <c r="AB1389" s="178"/>
      <c r="AC1389" s="177" t="s">
        <v>970</v>
      </c>
    </row>
    <row r="1390" spans="1:29" s="226" customFormat="1" ht="20.25" customHeight="1">
      <c r="A1390" s="217"/>
      <c r="B1390" s="216"/>
      <c r="C1390" s="178"/>
      <c r="D1390" s="178"/>
      <c r="E1390" s="178"/>
      <c r="F1390" s="214"/>
      <c r="G1390" s="202">
        <f>(G1389/G1391)-1</f>
        <v>-2.3502812242676252E-2</v>
      </c>
      <c r="H1390" s="203">
        <f>(H1389/H1391)-1</f>
        <v>1.0867104369481462E-2</v>
      </c>
      <c r="I1390" s="203">
        <f>(I1389/I1391)-1</f>
        <v>4.0708812260536353E-2</v>
      </c>
      <c r="J1390" s="203">
        <f>(J1389/J1391)-1</f>
        <v>0.17421602787456436</v>
      </c>
      <c r="K1390" s="188"/>
      <c r="L1390" s="178"/>
      <c r="M1390" s="177"/>
      <c r="N1390" s="178"/>
      <c r="O1390" s="177"/>
      <c r="P1390" s="188"/>
      <c r="Q1390" s="188"/>
      <c r="R1390" s="195"/>
      <c r="S1390" s="197"/>
      <c r="T1390" s="180"/>
      <c r="U1390" s="189" t="str">
        <f>IFERROR(IF(Tableau3[[#This Row],[Dettes]]=0,"",(Tableau3[[#This Row],[Dettes]]/Tableau3[[#This Row],[EBE]])),"")</f>
        <v/>
      </c>
      <c r="V1390" s="190" t="str">
        <f>IFERROR(Tableau3[[#This Row],[Fonds propres]]/Tableau3[[#This Row],[Total Bilan]],"")</f>
        <v/>
      </c>
      <c r="W1390" s="180"/>
      <c r="X1390" s="191"/>
      <c r="Y1390" s="180"/>
      <c r="Z1390" s="192" t="str">
        <f>IFERROR(Tableau3[[#This Row],[Chiffre d''affaires]]/Tableau3[[#This Row],[Salariés]],"")</f>
        <v/>
      </c>
      <c r="AA1390" s="197"/>
      <c r="AB1390" s="197"/>
      <c r="AC1390" s="177" t="s">
        <v>971</v>
      </c>
    </row>
    <row r="1391" spans="1:29" s="226" customFormat="1" ht="20.25" customHeight="1">
      <c r="A1391" s="217"/>
      <c r="B1391" s="216"/>
      <c r="C1391" s="178"/>
      <c r="D1391" s="178"/>
      <c r="E1391" s="187">
        <v>14.03</v>
      </c>
      <c r="F1391" s="178">
        <v>2019</v>
      </c>
      <c r="G1391" s="188">
        <v>71651000000</v>
      </c>
      <c r="H1391" s="188">
        <v>4417000000</v>
      </c>
      <c r="I1391" s="188">
        <v>2088000000</v>
      </c>
      <c r="J1391" s="188">
        <v>861000000</v>
      </c>
      <c r="K1391" s="188">
        <v>2615000000</v>
      </c>
      <c r="L1391" s="188">
        <v>9940000000</v>
      </c>
      <c r="M1391" s="194">
        <f>L1391/P1391</f>
        <v>12.313173238231172</v>
      </c>
      <c r="N1391" s="190">
        <f>J1391/L1391</f>
        <v>8.6619718309859151E-2</v>
      </c>
      <c r="O1391" s="190">
        <f>(I1391*0.6666)/(K1391+L1391)</f>
        <v>0.11086107526881721</v>
      </c>
      <c r="P1391" s="188">
        <v>807265504</v>
      </c>
      <c r="Q1391" s="226">
        <f>E1391*P1391</f>
        <v>11325935021.119999</v>
      </c>
      <c r="R1391" s="195">
        <f>Q1391/L1391</f>
        <v>1.1394300826076458</v>
      </c>
      <c r="S1391" s="197">
        <f>(Q1391+K1391)/H1391</f>
        <v>3.1561999142223227</v>
      </c>
      <c r="T1391" s="180"/>
      <c r="U1391" s="189">
        <f>IFERROR(IF(Tableau3[[#This Row],[Dettes]]=0,"",(Tableau3[[#This Row],[Dettes]]/Tableau3[[#This Row],[EBE]])),"")</f>
        <v>0.59203079012904691</v>
      </c>
      <c r="V1391" s="190" t="str">
        <f>IFERROR(Tableau3[[#This Row],[Fonds propres]]/Tableau3[[#This Row],[Total Bilan]],"")</f>
        <v/>
      </c>
      <c r="W1391" s="180"/>
      <c r="X1391" s="191"/>
      <c r="Y1391" s="180"/>
      <c r="Z1391" s="192" t="str">
        <f>IFERROR(Tableau3[[#This Row],[Chiffre d''affaires]]/Tableau3[[#This Row],[Salariés]],"")</f>
        <v/>
      </c>
      <c r="AA1391" s="197"/>
      <c r="AB1391" s="197"/>
      <c r="AC1391" s="177" t="s">
        <v>972</v>
      </c>
    </row>
    <row r="1392" spans="1:29" s="226" customFormat="1" ht="20.25" customHeight="1">
      <c r="A1392" s="217"/>
      <c r="B1392" s="216"/>
      <c r="C1392" s="178"/>
      <c r="D1392" s="178"/>
      <c r="E1392" s="187"/>
      <c r="F1392" s="178"/>
      <c r="G1392" s="202">
        <f>(G1391/G1393)-1</f>
        <v>-3.8233740233016844E-3</v>
      </c>
      <c r="H1392" s="203">
        <f>(H1391/H1393)-1</f>
        <v>0.26888825050272902</v>
      </c>
      <c r="I1392" s="203">
        <f>(I1391/I1393)-1</f>
        <v>7.7955601445534262E-2</v>
      </c>
      <c r="J1392" s="203">
        <f>(J1391/J1393)-1</f>
        <v>4.2372881355932313E-2</v>
      </c>
      <c r="K1392" s="188"/>
      <c r="L1392" s="188"/>
      <c r="M1392" s="177"/>
      <c r="N1392" s="178"/>
      <c r="O1392" s="177"/>
      <c r="P1392" s="188"/>
      <c r="Q1392" s="188"/>
      <c r="R1392" s="195"/>
      <c r="S1392" s="197"/>
      <c r="T1392" s="180"/>
      <c r="U1392" s="189" t="str">
        <f>IFERROR(IF(Tableau3[[#This Row],[Dettes]]=0,"",(Tableau3[[#This Row],[Dettes]]/Tableau3[[#This Row],[EBE]])),"")</f>
        <v/>
      </c>
      <c r="V1392" s="190" t="str">
        <f>IFERROR(Tableau3[[#This Row],[Fonds propres]]/Tableau3[[#This Row],[Total Bilan]],"")</f>
        <v/>
      </c>
      <c r="W1392" s="180"/>
      <c r="X1392" s="182"/>
      <c r="Y1392" s="180"/>
      <c r="Z1392" s="192" t="str">
        <f>IFERROR(Tableau3[[#This Row],[Chiffre d''affaires]]/Tableau3[[#This Row],[Salariés]],"")</f>
        <v/>
      </c>
      <c r="AA1392" s="177"/>
      <c r="AB1392" s="178"/>
      <c r="AC1392" s="177" t="s">
        <v>973</v>
      </c>
    </row>
    <row r="1393" spans="1:29" s="226" customFormat="1" ht="20.25" customHeight="1">
      <c r="A1393" s="217"/>
      <c r="B1393" s="216"/>
      <c r="C1393" s="178"/>
      <c r="D1393" s="178"/>
      <c r="E1393" s="187">
        <v>15</v>
      </c>
      <c r="F1393" s="178">
        <v>2018</v>
      </c>
      <c r="G1393" s="188">
        <v>71926000000</v>
      </c>
      <c r="H1393" s="188">
        <v>3481000000</v>
      </c>
      <c r="I1393" s="188">
        <v>1937000000</v>
      </c>
      <c r="J1393" s="188">
        <v>826000000</v>
      </c>
      <c r="K1393" s="188">
        <v>3510000000</v>
      </c>
      <c r="L1393" s="188">
        <v>9169000000</v>
      </c>
      <c r="M1393" s="194">
        <f>L1393/P1393</f>
        <v>12.124535538320135</v>
      </c>
      <c r="N1393" s="190">
        <f>J1393/L1393</f>
        <v>9.0086159886574327E-2</v>
      </c>
      <c r="O1393" s="190">
        <f>(I1393*0.6666)/(K1393+L1393)</f>
        <v>0.10183801561637353</v>
      </c>
      <c r="P1393" s="188">
        <v>756235154</v>
      </c>
      <c r="Q1393" s="226">
        <f>E1393*P1393</f>
        <v>11343527310</v>
      </c>
      <c r="R1393" s="195">
        <f>Q1393/L1393</f>
        <v>1.2371607928890829</v>
      </c>
      <c r="S1393" s="197">
        <f>(Q1393+K1393)/H1393</f>
        <v>4.2670288164320596</v>
      </c>
      <c r="T1393" s="180"/>
      <c r="U1393" s="189">
        <f>IFERROR(IF(Tableau3[[#This Row],[Dettes]]=0,"",(Tableau3[[#This Row],[Dettes]]/Tableau3[[#This Row],[EBE]])),"")</f>
        <v>1.0083309393852342</v>
      </c>
      <c r="V1393" s="190" t="str">
        <f>IFERROR(Tableau3[[#This Row],[Fonds propres]]/Tableau3[[#This Row],[Total Bilan]],"")</f>
        <v/>
      </c>
      <c r="W1393" s="180"/>
      <c r="X1393" s="191"/>
      <c r="Y1393" s="180"/>
      <c r="Z1393" s="192" t="str">
        <f>IFERROR(Tableau3[[#This Row],[Chiffre d''affaires]]/Tableau3[[#This Row],[Salariés]],"")</f>
        <v/>
      </c>
      <c r="AA1393" s="197"/>
      <c r="AB1393" s="197"/>
      <c r="AC1393" s="177" t="s">
        <v>974</v>
      </c>
    </row>
    <row r="1394" spans="1:29" s="226" customFormat="1" ht="20.25" customHeight="1">
      <c r="A1394" s="217"/>
      <c r="B1394" s="216"/>
      <c r="C1394" s="178"/>
      <c r="D1394" s="178"/>
      <c r="E1394" s="187"/>
      <c r="F1394" s="214"/>
      <c r="G1394" s="202">
        <f>(G1393/G1395)-1</f>
        <v>-5.2090478798026529E-2</v>
      </c>
      <c r="H1394" s="203">
        <f>(H1393/H1395)-1</f>
        <v>-2.3916116119324315E-2</v>
      </c>
      <c r="I1394" s="203">
        <f>(I1393/I1395)-1</f>
        <v>1.947368421052631E-2</v>
      </c>
      <c r="J1394" s="203" t="e">
        <f>(J1393/J1395)-1</f>
        <v>#DIV/0!</v>
      </c>
      <c r="K1394" s="197"/>
      <c r="L1394" s="178"/>
      <c r="M1394" s="177"/>
      <c r="N1394" s="178"/>
      <c r="O1394" s="177"/>
      <c r="P1394" s="177"/>
      <c r="Q1394" s="177"/>
      <c r="R1394" s="195"/>
      <c r="S1394" s="178"/>
      <c r="T1394" s="180"/>
      <c r="U1394" s="189" t="str">
        <f>IFERROR(IF(Tableau3[[#This Row],[Dettes]]=0,"",(Tableau3[[#This Row],[Dettes]]/Tableau3[[#This Row],[EBE]])),"")</f>
        <v/>
      </c>
      <c r="V1394" s="190" t="str">
        <f>IFERROR(Tableau3[[#This Row],[Fonds propres]]/Tableau3[[#This Row],[Total Bilan]],"")</f>
        <v/>
      </c>
      <c r="W1394" s="180"/>
      <c r="X1394" s="182"/>
      <c r="Y1394" s="180"/>
      <c r="Z1394" s="192" t="str">
        <f>IFERROR(Tableau3[[#This Row],[Chiffre d''affaires]]/Tableau3[[#This Row],[Salariés]],"")</f>
        <v/>
      </c>
      <c r="AA1394" s="177"/>
      <c r="AB1394" s="178"/>
      <c r="AC1394" s="177" t="s">
        <v>975</v>
      </c>
    </row>
    <row r="1395" spans="1:29" s="226" customFormat="1" ht="20.25" customHeight="1">
      <c r="A1395" s="217"/>
      <c r="B1395" s="216"/>
      <c r="C1395" s="178"/>
      <c r="D1395" s="178"/>
      <c r="E1395" s="187">
        <v>15.5</v>
      </c>
      <c r="F1395" s="178">
        <v>2017</v>
      </c>
      <c r="G1395" s="188">
        <f>G1397*0.99</f>
        <v>75878550000</v>
      </c>
      <c r="H1395" s="188">
        <f>G1395*0.047</f>
        <v>3566291850</v>
      </c>
      <c r="I1395" s="188">
        <v>1900000000</v>
      </c>
      <c r="J1395" s="188">
        <v>0</v>
      </c>
      <c r="K1395" s="188">
        <v>4850000000</v>
      </c>
      <c r="L1395" s="188">
        <v>10059000000</v>
      </c>
      <c r="M1395" s="194">
        <f>L1395/P1395</f>
        <v>13.301418145922373</v>
      </c>
      <c r="N1395" s="190">
        <f>J1395/L1395</f>
        <v>0</v>
      </c>
      <c r="O1395" s="190">
        <f>(I1395*0.6666)/(K1395+L1395)</f>
        <v>8.4951371654705218E-2</v>
      </c>
      <c r="P1395" s="188">
        <v>756235154</v>
      </c>
      <c r="Q1395" s="226">
        <f>E1395*P1395</f>
        <v>11721644887</v>
      </c>
      <c r="R1395" s="195">
        <f>Q1395/L1395</f>
        <v>1.1652892819365741</v>
      </c>
      <c r="S1395" s="197">
        <f>(Q1395+K1395)/H1395</f>
        <v>4.6467438964648951</v>
      </c>
      <c r="T1395" s="180"/>
      <c r="U1395" s="189">
        <f>IFERROR(IF(Tableau3[[#This Row],[Dettes]]=0,"",(Tableau3[[#This Row],[Dettes]]/Tableau3[[#This Row],[EBE]])),"")</f>
        <v>1.3599560002359314</v>
      </c>
      <c r="V1395" s="190" t="str">
        <f>IFERROR(Tableau3[[#This Row],[Fonds propres]]/Tableau3[[#This Row],[Total Bilan]],"")</f>
        <v/>
      </c>
      <c r="W1395" s="180"/>
      <c r="X1395" s="182"/>
      <c r="Y1395" s="180"/>
      <c r="Z1395" s="192" t="str">
        <f>IFERROR(Tableau3[[#This Row],[Chiffre d''affaires]]/Tableau3[[#This Row],[Salariés]],"")</f>
        <v/>
      </c>
      <c r="AA1395" s="177"/>
      <c r="AB1395" s="178"/>
      <c r="AC1395" s="177" t="s">
        <v>572</v>
      </c>
    </row>
    <row r="1396" spans="1:29" s="226" customFormat="1" ht="20.25" customHeight="1">
      <c r="A1396" s="217"/>
      <c r="B1396" s="216"/>
      <c r="C1396" s="178"/>
      <c r="D1396" s="178"/>
      <c r="E1396" s="187"/>
      <c r="F1396" s="214"/>
      <c r="G1396" s="202">
        <f>(G1395/G1397)-1</f>
        <v>-1.0000000000000009E-2</v>
      </c>
      <c r="H1396" s="203">
        <f>(H1395/H1397)-1</f>
        <v>-6.9400000000000017E-2</v>
      </c>
      <c r="I1396" s="203">
        <f>(I1395/I1397)-1</f>
        <v>-0.19183326244151422</v>
      </c>
      <c r="J1396" s="203">
        <f>(J1395/J1397)-1</f>
        <v>-1</v>
      </c>
      <c r="K1396" s="197"/>
      <c r="L1396" s="178"/>
      <c r="M1396" s="177"/>
      <c r="N1396" s="178"/>
      <c r="O1396" s="177"/>
      <c r="P1396" s="177"/>
      <c r="Q1396" s="177"/>
      <c r="R1396" s="195"/>
      <c r="S1396" s="178"/>
      <c r="T1396" s="180"/>
      <c r="U1396" s="189" t="str">
        <f>IFERROR(IF(Tableau3[[#This Row],[Dettes]]=0,"",(Tableau3[[#This Row],[Dettes]]/Tableau3[[#This Row],[EBE]])),"")</f>
        <v/>
      </c>
      <c r="V1396" s="190" t="str">
        <f>IFERROR(Tableau3[[#This Row],[Fonds propres]]/Tableau3[[#This Row],[Total Bilan]],"")</f>
        <v/>
      </c>
      <c r="W1396" s="180"/>
      <c r="X1396" s="182"/>
      <c r="Y1396" s="180"/>
      <c r="Z1396" s="192" t="str">
        <f>IFERROR(Tableau3[[#This Row],[Chiffre d''affaires]]/Tableau3[[#This Row],[Salariés]],"")</f>
        <v/>
      </c>
      <c r="AA1396" s="177"/>
      <c r="AB1396" s="178"/>
      <c r="AC1396" s="177" t="s">
        <v>976</v>
      </c>
    </row>
    <row r="1397" spans="1:29" s="226" customFormat="1" ht="20.25" customHeight="1">
      <c r="A1397" s="212"/>
      <c r="B1397" s="212"/>
      <c r="C1397" s="188"/>
      <c r="D1397" s="188"/>
      <c r="E1397" s="187">
        <v>22.89</v>
      </c>
      <c r="F1397" s="178">
        <v>2016</v>
      </c>
      <c r="G1397" s="188">
        <v>76645000000</v>
      </c>
      <c r="H1397" s="188">
        <f>G1397*0.05</f>
        <v>3832250000</v>
      </c>
      <c r="I1397" s="188">
        <v>2351000000</v>
      </c>
      <c r="J1397" s="188">
        <v>1031000000</v>
      </c>
      <c r="K1397" s="188">
        <v>4531000000</v>
      </c>
      <c r="L1397" s="188">
        <v>10426000000</v>
      </c>
      <c r="M1397" s="194">
        <f>L1397/P1397</f>
        <v>13.786716929057228</v>
      </c>
      <c r="N1397" s="190">
        <f>J1397/L1397</f>
        <v>9.8887396892384419E-2</v>
      </c>
      <c r="O1397" s="190">
        <f>(I1397*0.6666)/(K1397+L1397)</f>
        <v>0.10477880591027612</v>
      </c>
      <c r="P1397" s="188">
        <v>756235154</v>
      </c>
      <c r="Q1397" s="226">
        <f>E1397*P1397</f>
        <v>17310222675.060001</v>
      </c>
      <c r="R1397" s="195">
        <f>Q1397/L1397</f>
        <v>1.6602937536025322</v>
      </c>
      <c r="S1397" s="197">
        <f>(Q1397+K1397)/H1397</f>
        <v>5.6993209407162899</v>
      </c>
      <c r="T1397" s="180"/>
      <c r="U1397" s="189">
        <f>IFERROR(IF(Tableau3[[#This Row],[Dettes]]=0,"",(Tableau3[[#This Row],[Dettes]]/Tableau3[[#This Row],[EBE]])),"")</f>
        <v>1.1823341379085395</v>
      </c>
      <c r="V1397" s="190" t="str">
        <f>IFERROR(Tableau3[[#This Row],[Fonds propres]]/Tableau3[[#This Row],[Total Bilan]],"")</f>
        <v/>
      </c>
      <c r="W1397" s="180"/>
      <c r="X1397" s="191"/>
      <c r="Y1397" s="180"/>
      <c r="Z1397" s="192" t="str">
        <f>IFERROR(Tableau3[[#This Row],[Chiffre d''affaires]]/Tableau3[[#This Row],[Salariés]],"")</f>
        <v/>
      </c>
      <c r="AA1397" s="197"/>
      <c r="AB1397" s="197"/>
      <c r="AC1397" s="177" t="s">
        <v>485</v>
      </c>
    </row>
    <row r="1398" spans="1:29" s="226" customFormat="1" ht="20.25" customHeight="1">
      <c r="A1398" s="276"/>
      <c r="B1398" s="212"/>
      <c r="C1398" s="188"/>
      <c r="D1398" s="188"/>
      <c r="E1398" s="187"/>
      <c r="F1398" s="178"/>
      <c r="G1398" s="202">
        <f>(G1397/G1399)-1</f>
        <v>-3.8988888166872071E-3</v>
      </c>
      <c r="H1398" s="203">
        <f>(H1397/H1399)-1</f>
        <v>-3.1036662452591623E-2</v>
      </c>
      <c r="I1398" s="203">
        <f>(I1397/I1399)-1</f>
        <v>-3.8445807770961182E-2</v>
      </c>
      <c r="J1398" s="203">
        <f>(J1397/J1399)-1</f>
        <v>-7.3674752920035891E-2</v>
      </c>
      <c r="K1398" s="188"/>
      <c r="L1398" s="188"/>
      <c r="M1398" s="194"/>
      <c r="N1398" s="190"/>
      <c r="O1398" s="190"/>
      <c r="P1398" s="188"/>
      <c r="Q1398" s="188"/>
      <c r="R1398" s="195"/>
      <c r="S1398" s="197"/>
      <c r="T1398" s="180"/>
      <c r="U1398" s="189" t="str">
        <f>IFERROR(IF(Tableau3[[#This Row],[Dettes]]=0,"",(Tableau3[[#This Row],[Dettes]]/Tableau3[[#This Row],[EBE]])),"")</f>
        <v/>
      </c>
      <c r="V1398" s="190" t="str">
        <f>IFERROR(Tableau3[[#This Row],[Fonds propres]]/Tableau3[[#This Row],[Total Bilan]],"")</f>
        <v/>
      </c>
      <c r="W1398" s="180"/>
      <c r="X1398" s="191"/>
      <c r="Y1398" s="180"/>
      <c r="Z1398" s="192" t="str">
        <f>IFERROR(Tableau3[[#This Row],[Chiffre d''affaires]]/Tableau3[[#This Row],[Salariés]],"")</f>
        <v/>
      </c>
      <c r="AA1398" s="197"/>
      <c r="AB1398" s="197"/>
    </row>
    <row r="1399" spans="1:29" s="226" customFormat="1" ht="20.25" customHeight="1">
      <c r="A1399" s="276"/>
      <c r="B1399" s="212"/>
      <c r="C1399" s="188"/>
      <c r="D1399" s="188"/>
      <c r="E1399" s="187">
        <v>22.745000000000001</v>
      </c>
      <c r="F1399" s="178">
        <v>2015</v>
      </c>
      <c r="G1399" s="188">
        <v>76945000000</v>
      </c>
      <c r="H1399" s="188">
        <v>3955000000</v>
      </c>
      <c r="I1399" s="188">
        <v>2445000000</v>
      </c>
      <c r="J1399" s="188">
        <v>1113000000</v>
      </c>
      <c r="K1399" s="188">
        <v>4546000000</v>
      </c>
      <c r="L1399" s="188">
        <v>9633000000</v>
      </c>
      <c r="M1399" s="194">
        <f>L1399/P1399</f>
        <v>13.04452400591485</v>
      </c>
      <c r="N1399" s="190">
        <f>J1399/L1399</f>
        <v>0.11554033011522891</v>
      </c>
      <c r="O1399" s="190">
        <f>(I1399*0.6666)/(K1399+L1399)</f>
        <v>0.11494724592707525</v>
      </c>
      <c r="P1399" s="188">
        <v>738470794</v>
      </c>
      <c r="Q1399" s="226">
        <f>E1399*P1399</f>
        <v>16796518209.530001</v>
      </c>
      <c r="R1399" s="195">
        <f>Q1399/L1399</f>
        <v>1.7436435388279872</v>
      </c>
      <c r="S1399" s="197">
        <f>(Q1399+K1399)/H1399</f>
        <v>5.396338358920354</v>
      </c>
      <c r="T1399" s="180"/>
      <c r="U1399" s="189">
        <f>IFERROR(IF(Tableau3[[#This Row],[Dettes]]=0,"",(Tableau3[[#This Row],[Dettes]]/Tableau3[[#This Row],[EBE]])),"")</f>
        <v>1.1494310998735777</v>
      </c>
      <c r="V1399" s="190" t="str">
        <f>IFERROR(Tableau3[[#This Row],[Fonds propres]]/Tableau3[[#This Row],[Total Bilan]],"")</f>
        <v/>
      </c>
      <c r="W1399" s="180"/>
      <c r="X1399" s="191"/>
      <c r="Y1399" s="180"/>
      <c r="Z1399" s="192" t="str">
        <f>IFERROR(Tableau3[[#This Row],[Chiffre d''affaires]]/Tableau3[[#This Row],[Salariés]],"")</f>
        <v/>
      </c>
      <c r="AA1399" s="197"/>
      <c r="AB1399" s="197"/>
    </row>
    <row r="1400" spans="1:29" s="226" customFormat="1" ht="20.25" customHeight="1">
      <c r="A1400" s="276"/>
      <c r="B1400" s="212"/>
      <c r="C1400" s="188"/>
      <c r="D1400" s="188"/>
      <c r="E1400" s="187"/>
      <c r="F1400" s="178"/>
      <c r="G1400" s="188"/>
      <c r="H1400" s="188"/>
      <c r="I1400" s="188"/>
      <c r="J1400" s="188"/>
      <c r="K1400" s="188"/>
      <c r="L1400" s="188"/>
      <c r="M1400" s="194"/>
      <c r="N1400" s="190"/>
      <c r="O1400" s="190"/>
      <c r="P1400" s="188"/>
      <c r="R1400" s="195"/>
      <c r="S1400" s="197"/>
      <c r="T1400" s="180"/>
      <c r="U1400" s="189" t="str">
        <f>IFERROR(IF(Tableau3[[#This Row],[Dettes]]=0,"",(Tableau3[[#This Row],[Dettes]]/Tableau3[[#This Row],[EBE]])),"")</f>
        <v/>
      </c>
      <c r="V1400" s="190" t="str">
        <f>IFERROR(Tableau3[[#This Row],[Fonds propres]]/Tableau3[[#This Row],[Total Bilan]],"")</f>
        <v/>
      </c>
      <c r="W1400" s="180"/>
      <c r="X1400" s="191"/>
      <c r="Y1400" s="180"/>
      <c r="Z1400" s="192" t="str">
        <f>IFERROR(Tableau3[[#This Row],[Chiffre d''affaires]]/Tableau3[[#This Row],[Salariés]],"")</f>
        <v/>
      </c>
      <c r="AA1400" s="197"/>
      <c r="AB1400" s="197"/>
    </row>
    <row r="1401" spans="1:29" ht="20.25" customHeight="1">
      <c r="A1401" s="276"/>
      <c r="B1401" s="212"/>
      <c r="C1401" s="188"/>
      <c r="D1401" s="188"/>
      <c r="E1401" s="187"/>
      <c r="F1401" s="178">
        <v>2014</v>
      </c>
      <c r="G1401" s="188"/>
      <c r="H1401" s="188"/>
      <c r="I1401" s="188"/>
      <c r="J1401" s="188"/>
      <c r="K1401" s="188"/>
      <c r="L1401" s="188"/>
      <c r="M1401" s="194"/>
      <c r="N1401" s="190"/>
      <c r="O1401" s="190"/>
      <c r="P1401" s="188"/>
      <c r="Q1401" s="226"/>
      <c r="R1401" s="195"/>
      <c r="S1401" s="188"/>
      <c r="T1401" s="180"/>
      <c r="U1401" s="189" t="str">
        <f>IFERROR(IF(Tableau3[[#This Row],[Dettes]]=0,"",(Tableau3[[#This Row],[Dettes]]/Tableau3[[#This Row],[EBE]])),"")</f>
        <v/>
      </c>
      <c r="V1401" s="190" t="str">
        <f>IFERROR(Tableau3[[#This Row],[Fonds propres]]/Tableau3[[#This Row],[Total Bilan]],"")</f>
        <v/>
      </c>
      <c r="W1401" s="180"/>
      <c r="X1401" s="192"/>
      <c r="Y1401" s="180"/>
      <c r="Z1401" s="192" t="str">
        <f>IFERROR(Tableau3[[#This Row],[Chiffre d''affaires]]/Tableau3[[#This Row],[Salariés]],"")</f>
        <v/>
      </c>
      <c r="AA1401" s="188"/>
      <c r="AB1401" s="188"/>
      <c r="AC1401" s="226"/>
    </row>
    <row r="1402" spans="1:29" ht="20.25" customHeight="1">
      <c r="A1402" s="276"/>
      <c r="B1402" s="212"/>
      <c r="C1402" s="188"/>
      <c r="D1402" s="188"/>
      <c r="E1402" s="187"/>
      <c r="G1402" s="188"/>
      <c r="H1402" s="188"/>
      <c r="I1402" s="188"/>
      <c r="J1402" s="188"/>
      <c r="K1402" s="188"/>
      <c r="L1402" s="188"/>
      <c r="M1402" s="194"/>
      <c r="N1402" s="190"/>
      <c r="O1402" s="190"/>
      <c r="P1402" s="188"/>
      <c r="Q1402" s="226"/>
      <c r="R1402" s="195"/>
      <c r="S1402" s="188"/>
      <c r="T1402" s="180"/>
      <c r="U1402" s="189" t="str">
        <f>IFERROR(IF(Tableau3[[#This Row],[Dettes]]=0,"",(Tableau3[[#This Row],[Dettes]]/Tableau3[[#This Row],[EBE]])),"")</f>
        <v/>
      </c>
      <c r="V1402" s="190" t="str">
        <f>IFERROR(Tableau3[[#This Row],[Fonds propres]]/Tableau3[[#This Row],[Total Bilan]],"")</f>
        <v/>
      </c>
      <c r="W1402" s="180"/>
      <c r="X1402" s="192"/>
      <c r="Y1402" s="180"/>
      <c r="Z1402" s="192" t="str">
        <f>IFERROR(Tableau3[[#This Row],[Chiffre d''affaires]]/Tableau3[[#This Row],[Salariés]],"")</f>
        <v/>
      </c>
      <c r="AA1402" s="188"/>
      <c r="AB1402" s="188"/>
      <c r="AC1402" s="226"/>
    </row>
    <row r="1403" spans="1:29" ht="20.25" customHeight="1">
      <c r="A1403" s="276"/>
      <c r="B1403" s="212"/>
      <c r="C1403" s="188"/>
      <c r="D1403" s="188"/>
      <c r="E1403" s="187"/>
      <c r="F1403" s="178">
        <v>2013</v>
      </c>
      <c r="G1403" s="188"/>
      <c r="H1403" s="188"/>
      <c r="I1403" s="188"/>
      <c r="J1403" s="188"/>
      <c r="K1403" s="188"/>
      <c r="L1403" s="188"/>
      <c r="M1403" s="194"/>
      <c r="N1403" s="190"/>
      <c r="O1403" s="190"/>
      <c r="P1403" s="226"/>
      <c r="Q1403" s="226"/>
      <c r="R1403" s="195"/>
      <c r="S1403" s="188"/>
      <c r="T1403" s="180"/>
      <c r="U1403" s="189" t="str">
        <f>IFERROR(IF(Tableau3[[#This Row],[Dettes]]=0,"",(Tableau3[[#This Row],[Dettes]]/Tableau3[[#This Row],[EBE]])),"")</f>
        <v/>
      </c>
      <c r="V1403" s="190" t="str">
        <f>IFERROR(Tableau3[[#This Row],[Fonds propres]]/Tableau3[[#This Row],[Total Bilan]],"")</f>
        <v/>
      </c>
      <c r="W1403" s="180"/>
      <c r="X1403" s="192"/>
      <c r="Y1403" s="180"/>
      <c r="Z1403" s="192" t="str">
        <f>IFERROR(Tableau3[[#This Row],[Chiffre d''affaires]]/Tableau3[[#This Row],[Salariés]],"")</f>
        <v/>
      </c>
      <c r="AA1403" s="226"/>
      <c r="AB1403" s="188"/>
      <c r="AC1403" s="226"/>
    </row>
    <row r="1404" spans="1:29" ht="20.25" customHeight="1">
      <c r="A1404" s="276"/>
      <c r="B1404" s="212"/>
      <c r="C1404" s="188"/>
      <c r="D1404" s="188"/>
      <c r="E1404" s="187"/>
      <c r="G1404" s="188"/>
      <c r="H1404" s="188"/>
      <c r="I1404" s="188"/>
      <c r="J1404" s="188"/>
      <c r="K1404" s="188"/>
      <c r="L1404" s="188"/>
      <c r="M1404" s="194"/>
      <c r="N1404" s="190"/>
      <c r="O1404" s="190"/>
      <c r="P1404" s="226"/>
      <c r="Q1404" s="226"/>
      <c r="R1404" s="195"/>
      <c r="S1404" s="188"/>
      <c r="T1404" s="180"/>
      <c r="U1404" s="189" t="str">
        <f>IFERROR(IF(Tableau3[[#This Row],[Dettes]]=0,"",(Tableau3[[#This Row],[Dettes]]/Tableau3[[#This Row],[EBE]])),"")</f>
        <v/>
      </c>
      <c r="V1404" s="190" t="str">
        <f>IFERROR(Tableau3[[#This Row],[Fonds propres]]/Tableau3[[#This Row],[Total Bilan]],"")</f>
        <v/>
      </c>
      <c r="W1404" s="180"/>
      <c r="X1404" s="192"/>
      <c r="Y1404" s="180"/>
      <c r="Z1404" s="192" t="str">
        <f>IFERROR(Tableau3[[#This Row],[Chiffre d''affaires]]/Tableau3[[#This Row],[Salariés]],"")</f>
        <v/>
      </c>
      <c r="AA1404" s="226"/>
      <c r="AB1404" s="188"/>
      <c r="AC1404" s="226"/>
    </row>
    <row r="1405" spans="1:29" ht="20.25" customHeight="1">
      <c r="A1405" s="276"/>
      <c r="B1405" s="212"/>
      <c r="C1405" s="188"/>
      <c r="D1405" s="188"/>
      <c r="E1405" s="187">
        <v>20.53</v>
      </c>
      <c r="F1405" s="178">
        <v>2012</v>
      </c>
      <c r="G1405" s="188">
        <v>76789000000</v>
      </c>
      <c r="H1405" s="188">
        <v>3688000000</v>
      </c>
      <c r="I1405" s="188">
        <v>2140000000</v>
      </c>
      <c r="J1405" s="188">
        <v>1283000000</v>
      </c>
      <c r="K1405" s="188">
        <v>4320000000</v>
      </c>
      <c r="L1405" s="188">
        <v>7487000000</v>
      </c>
      <c r="M1405" s="194">
        <f>L1405/P1405</f>
        <v>10.589816124469589</v>
      </c>
      <c r="N1405" s="190">
        <f>J1405/L1405</f>
        <v>0.17136369707492988</v>
      </c>
      <c r="O1405" s="190">
        <f>(I1405*0.6666)/(K1405+L1405)</f>
        <v>0.12082019141187431</v>
      </c>
      <c r="P1405" s="226">
        <v>707000000</v>
      </c>
      <c r="Q1405" s="226">
        <f>E1405*P1405</f>
        <v>14514710000</v>
      </c>
      <c r="R1405" s="195">
        <f>Q1405/L1405</f>
        <v>1.9386550020034727</v>
      </c>
      <c r="S1405" s="197">
        <f>(Q1405+K1405)/H1405</f>
        <v>5.1070254880694144</v>
      </c>
      <c r="T1405" s="180"/>
      <c r="U1405" s="189">
        <f>IFERROR(IF(Tableau3[[#This Row],[Dettes]]=0,"",(Tableau3[[#This Row],[Dettes]]/Tableau3[[#This Row],[EBE]])),"")</f>
        <v>1.1713665943600868</v>
      </c>
      <c r="V1405" s="190" t="str">
        <f>IFERROR(Tableau3[[#This Row],[Fonds propres]]/Tableau3[[#This Row],[Total Bilan]],"")</f>
        <v/>
      </c>
      <c r="W1405" s="180"/>
      <c r="X1405" s="191"/>
      <c r="Y1405" s="180"/>
      <c r="Z1405" s="192" t="str">
        <f>IFERROR(Tableau3[[#This Row],[Chiffre d''affaires]]/Tableau3[[#This Row],[Salariés]],"")</f>
        <v/>
      </c>
      <c r="AA1405" s="197"/>
      <c r="AB1405" s="197"/>
      <c r="AC1405" s="226"/>
    </row>
    <row r="1406" spans="1:29" ht="20.25" customHeight="1">
      <c r="A1406" s="276"/>
      <c r="B1406" s="212"/>
      <c r="C1406" s="188"/>
      <c r="D1406" s="188"/>
      <c r="E1406" s="187"/>
      <c r="G1406" s="202">
        <f>(G1405/G1407)-1</f>
        <v>-5.514882307342106E-2</v>
      </c>
      <c r="H1406" s="203">
        <f>(H1405/H1407)-1</f>
        <v>-5.0218902910120988E-2</v>
      </c>
      <c r="I1406" s="203">
        <f>(I1405/I1407)-1</f>
        <v>-5.4490644490644486</v>
      </c>
      <c r="J1406" s="203">
        <f>(J1405/J1407)-1</f>
        <v>2.4582210242587603</v>
      </c>
      <c r="K1406" s="188"/>
      <c r="L1406" s="188"/>
      <c r="M1406" s="194"/>
      <c r="N1406" s="190"/>
      <c r="O1406" s="190"/>
      <c r="P1406" s="226"/>
      <c r="Q1406" s="226"/>
      <c r="R1406" s="195"/>
      <c r="S1406" s="197"/>
      <c r="T1406" s="180"/>
      <c r="U1406" s="189" t="str">
        <f>IFERROR(IF(Tableau3[[#This Row],[Dettes]]=0,"",(Tableau3[[#This Row],[Dettes]]/Tableau3[[#This Row],[EBE]])),"")</f>
        <v/>
      </c>
      <c r="V1406" s="190" t="str">
        <f>IFERROR(Tableau3[[#This Row],[Fonds propres]]/Tableau3[[#This Row],[Total Bilan]],"")</f>
        <v/>
      </c>
      <c r="W1406" s="180"/>
      <c r="X1406" s="191"/>
      <c r="Y1406" s="180"/>
      <c r="Z1406" s="192" t="str">
        <f>IFERROR(Tableau3[[#This Row],[Chiffre d''affaires]]/Tableau3[[#This Row],[Salariés]],"")</f>
        <v/>
      </c>
      <c r="AA1406" s="197"/>
      <c r="AB1406" s="197"/>
      <c r="AC1406" s="226"/>
    </row>
    <row r="1407" spans="1:29" ht="20.25" customHeight="1">
      <c r="A1407" s="276"/>
      <c r="B1407" s="212"/>
      <c r="C1407" s="188"/>
      <c r="D1407" s="188"/>
      <c r="E1407" s="187">
        <v>17</v>
      </c>
      <c r="F1407" s="178">
        <v>2011</v>
      </c>
      <c r="G1407" s="188">
        <v>81271000000</v>
      </c>
      <c r="H1407" s="188">
        <v>3883000000</v>
      </c>
      <c r="I1407" s="188">
        <v>-481000000</v>
      </c>
      <c r="J1407" s="188">
        <v>371000000</v>
      </c>
      <c r="K1407" s="188">
        <v>6911000000</v>
      </c>
      <c r="L1407" s="188">
        <v>6618000000</v>
      </c>
      <c r="M1407" s="194">
        <f>L1407/P1407</f>
        <v>9.3606789250353604</v>
      </c>
      <c r="N1407" s="190">
        <f>J1407/L1407</f>
        <v>5.6059232396494407E-2</v>
      </c>
      <c r="O1407" s="190">
        <f>(I1407*0.6666)/(K1407+L1407)</f>
        <v>-2.3699800428708701E-2</v>
      </c>
      <c r="P1407" s="226">
        <v>707000000</v>
      </c>
      <c r="Q1407" s="226">
        <f>E1407*P1407</f>
        <v>12019000000</v>
      </c>
      <c r="R1407" s="195">
        <f>Q1407/L1407</f>
        <v>1.8161075853732245</v>
      </c>
      <c r="S1407" s="197">
        <f>(Q1407+K1407)/H1407</f>
        <v>4.8750965748132886</v>
      </c>
      <c r="T1407" s="180"/>
      <c r="U1407" s="189">
        <f>IFERROR(IF(Tableau3[[#This Row],[Dettes]]=0,"",(Tableau3[[#This Row],[Dettes]]/Tableau3[[#This Row],[EBE]])),"")</f>
        <v>1.7798094257017769</v>
      </c>
      <c r="V1407" s="190" t="str">
        <f>IFERROR(Tableau3[[#This Row],[Fonds propres]]/Tableau3[[#This Row],[Total Bilan]],"")</f>
        <v/>
      </c>
      <c r="W1407" s="180"/>
      <c r="X1407" s="191"/>
      <c r="Y1407" s="180"/>
      <c r="Z1407" s="192" t="str">
        <f>IFERROR(Tableau3[[#This Row],[Chiffre d''affaires]]/Tableau3[[#This Row],[Salariés]],"")</f>
        <v/>
      </c>
      <c r="AA1407" s="197"/>
      <c r="AB1407" s="197"/>
      <c r="AC1407" s="226"/>
    </row>
    <row r="1408" spans="1:29" ht="20.25" customHeight="1">
      <c r="A1408" s="276"/>
      <c r="B1408" s="212"/>
      <c r="C1408" s="188"/>
      <c r="D1408" s="188"/>
      <c r="E1408" s="187"/>
      <c r="G1408" s="202">
        <f>(G1407/G1409)-1</f>
        <v>9.4397038913938136E-3</v>
      </c>
      <c r="H1408" s="203">
        <f>(H1407/H1409)-1</f>
        <v>-0.11286269134110116</v>
      </c>
      <c r="I1408" s="203">
        <f>(I1407/I1409)-1</f>
        <v>-1.178082191780822</v>
      </c>
      <c r="J1408" s="203">
        <f>(J1407/J1409)-1</f>
        <v>-0.14318706697459582</v>
      </c>
      <c r="K1408" s="188"/>
      <c r="L1408" s="188"/>
      <c r="M1408" s="194"/>
      <c r="N1408" s="190"/>
      <c r="O1408" s="190"/>
      <c r="P1408" s="226"/>
      <c r="Q1408" s="226"/>
      <c r="R1408" s="195"/>
      <c r="S1408" s="197"/>
      <c r="T1408" s="180"/>
      <c r="U1408" s="189" t="str">
        <f>IFERROR(IF(Tableau3[[#This Row],[Dettes]]=0,"",(Tableau3[[#This Row],[Dettes]]/Tableau3[[#This Row],[EBE]])),"")</f>
        <v/>
      </c>
      <c r="V1408" s="190" t="str">
        <f>IFERROR(Tableau3[[#This Row],[Fonds propres]]/Tableau3[[#This Row],[Total Bilan]],"")</f>
        <v/>
      </c>
      <c r="W1408" s="180"/>
      <c r="X1408" s="191"/>
      <c r="Y1408" s="180"/>
      <c r="Z1408" s="192" t="str">
        <f>IFERROR(Tableau3[[#This Row],[Chiffre d''affaires]]/Tableau3[[#This Row],[Salariés]],"")</f>
        <v/>
      </c>
      <c r="AA1408" s="197"/>
      <c r="AB1408" s="197"/>
      <c r="AC1408" s="226"/>
    </row>
    <row r="1409" spans="1:29" ht="20.25" customHeight="1">
      <c r="A1409" s="276"/>
      <c r="B1409" s="212"/>
      <c r="C1409" s="188"/>
      <c r="D1409" s="188"/>
      <c r="E1409" s="187">
        <v>32</v>
      </c>
      <c r="F1409" s="178">
        <v>2010</v>
      </c>
      <c r="G1409" s="188">
        <v>80511000000</v>
      </c>
      <c r="H1409" s="188">
        <v>4377000000</v>
      </c>
      <c r="I1409" s="188">
        <v>2701000000</v>
      </c>
      <c r="J1409" s="188">
        <v>433000000</v>
      </c>
      <c r="K1409" s="226">
        <v>7997000000</v>
      </c>
      <c r="L1409" s="188">
        <v>9584000000</v>
      </c>
      <c r="M1409" s="194">
        <f>L1409/P1409</f>
        <v>13.555869872701557</v>
      </c>
      <c r="N1409" s="190">
        <f>J1409/L1409</f>
        <v>4.5179465776293823E-2</v>
      </c>
      <c r="O1409" s="190">
        <f>(I1409*0.6666)/(K1409+L1409)</f>
        <v>0.10241093225641318</v>
      </c>
      <c r="P1409" s="226">
        <v>707000000</v>
      </c>
      <c r="Q1409" s="226">
        <f>E1409*P1409</f>
        <v>22624000000</v>
      </c>
      <c r="R1409" s="195">
        <f>Q1409/L1409</f>
        <v>2.360601001669449</v>
      </c>
      <c r="S1409" s="197">
        <f>(Q1409+K1409)/H1409</f>
        <v>6.9958875942426317</v>
      </c>
      <c r="T1409" s="180"/>
      <c r="U1409" s="189">
        <f>IFERROR(IF(Tableau3[[#This Row],[Dettes]]=0,"",(Tableau3[[#This Row],[Dettes]]/Tableau3[[#This Row],[EBE]])),"")</f>
        <v>1.8270504912040211</v>
      </c>
      <c r="V1409" s="190" t="str">
        <f>IFERROR(Tableau3[[#This Row],[Fonds propres]]/Tableau3[[#This Row],[Total Bilan]],"")</f>
        <v/>
      </c>
      <c r="W1409" s="180"/>
      <c r="X1409" s="191"/>
      <c r="Y1409" s="180"/>
      <c r="Z1409" s="192" t="str">
        <f>IFERROR(Tableau3[[#This Row],[Chiffre d''affaires]]/Tableau3[[#This Row],[Salariés]],"")</f>
        <v/>
      </c>
      <c r="AA1409" s="197"/>
      <c r="AB1409" s="197"/>
      <c r="AC1409" s="226"/>
    </row>
    <row r="1410" spans="1:29" ht="20.25" customHeight="1">
      <c r="A1410" s="276"/>
      <c r="B1410" s="212"/>
      <c r="C1410" s="188"/>
      <c r="D1410" s="188"/>
      <c r="E1410" s="187"/>
      <c r="G1410" s="188"/>
      <c r="H1410" s="188"/>
      <c r="I1410" s="188"/>
      <c r="J1410" s="188"/>
      <c r="K1410" s="226"/>
      <c r="L1410" s="188"/>
      <c r="M1410" s="194"/>
      <c r="N1410" s="190"/>
      <c r="O1410" s="190"/>
      <c r="P1410" s="226"/>
      <c r="Q1410" s="226"/>
      <c r="R1410" s="195"/>
      <c r="S1410" s="197"/>
      <c r="T1410" s="180"/>
      <c r="U1410" s="189" t="str">
        <f>IFERROR(IF(Tableau3[[#This Row],[Dettes]]=0,"",(Tableau3[[#This Row],[Dettes]]/Tableau3[[#This Row],[EBE]])),"")</f>
        <v/>
      </c>
      <c r="V1410" s="190" t="str">
        <f>IFERROR(Tableau3[[#This Row],[Fonds propres]]/Tableau3[[#This Row],[Total Bilan]],"")</f>
        <v/>
      </c>
      <c r="W1410" s="180"/>
      <c r="X1410" s="191"/>
      <c r="Y1410" s="180"/>
      <c r="Z1410" s="192" t="str">
        <f>IFERROR(Tableau3[[#This Row],[Chiffre d''affaires]]/Tableau3[[#This Row],[Salariés]],"")</f>
        <v/>
      </c>
      <c r="AA1410" s="197"/>
      <c r="AB1410" s="197"/>
      <c r="AC1410" s="226"/>
    </row>
    <row r="1411" spans="1:29" ht="20.25" customHeight="1">
      <c r="A1411" s="276"/>
      <c r="B1411" s="212"/>
      <c r="C1411" s="188"/>
      <c r="D1411" s="188"/>
      <c r="E1411" s="187"/>
      <c r="G1411" s="188"/>
      <c r="H1411" s="188"/>
      <c r="I1411" s="188"/>
      <c r="J1411" s="188"/>
      <c r="K1411" s="226"/>
      <c r="L1411" s="188"/>
      <c r="M1411" s="194"/>
      <c r="N1411" s="190"/>
      <c r="O1411" s="190"/>
      <c r="P1411" s="226"/>
      <c r="Q1411" s="226"/>
      <c r="R1411" s="195"/>
      <c r="S1411" s="197"/>
      <c r="T1411" s="180"/>
      <c r="U1411" s="189" t="str">
        <f>IFERROR(IF(Tableau3[[#This Row],[Dettes]]=0,"",(Tableau3[[#This Row],[Dettes]]/Tableau3[[#This Row],[EBE]])),"")</f>
        <v/>
      </c>
      <c r="V1411" s="190" t="str">
        <f>IFERROR(Tableau3[[#This Row],[Fonds propres]]/Tableau3[[#This Row],[Total Bilan]],"")</f>
        <v/>
      </c>
      <c r="W1411" s="180"/>
      <c r="X1411" s="191"/>
      <c r="Y1411" s="180"/>
      <c r="Z1411" s="192" t="str">
        <f>IFERROR(Tableau3[[#This Row],[Chiffre d''affaires]]/Tableau3[[#This Row],[Salariés]],"")</f>
        <v/>
      </c>
      <c r="AA1411" s="197"/>
      <c r="AB1411" s="197"/>
      <c r="AC1411" s="226"/>
    </row>
    <row r="1412" spans="1:29" ht="20.25" customHeight="1">
      <c r="A1412" s="276"/>
      <c r="B1412" s="212"/>
      <c r="C1412" s="188"/>
      <c r="D1412" s="188"/>
      <c r="E1412" s="187"/>
      <c r="G1412" s="188"/>
      <c r="H1412" s="188"/>
      <c r="I1412" s="188"/>
      <c r="J1412" s="188"/>
      <c r="K1412" s="226"/>
      <c r="L1412" s="188"/>
      <c r="M1412" s="194"/>
      <c r="N1412" s="190"/>
      <c r="O1412" s="190"/>
      <c r="P1412" s="226"/>
      <c r="Q1412" s="226"/>
      <c r="R1412" s="195"/>
      <c r="S1412" s="197"/>
      <c r="T1412" s="180"/>
      <c r="U1412" s="189" t="str">
        <f>IFERROR(IF(Tableau3[[#This Row],[Dettes]]=0,"",(Tableau3[[#This Row],[Dettes]]/Tableau3[[#This Row],[EBE]])),"")</f>
        <v/>
      </c>
      <c r="V1412" s="190" t="str">
        <f>IFERROR(Tableau3[[#This Row],[Fonds propres]]/Tableau3[[#This Row],[Total Bilan]],"")</f>
        <v/>
      </c>
      <c r="W1412" s="180"/>
      <c r="X1412" s="191"/>
      <c r="Y1412" s="180"/>
      <c r="Z1412" s="192" t="str">
        <f>IFERROR(Tableau3[[#This Row],[Chiffre d''affaires]]/Tableau3[[#This Row],[Salariés]],"")</f>
        <v/>
      </c>
      <c r="AA1412" s="197"/>
      <c r="AB1412" s="197"/>
      <c r="AC1412" s="226"/>
    </row>
    <row r="1413" spans="1:29" ht="20.25" customHeight="1">
      <c r="A1413" s="276"/>
      <c r="B1413" s="212"/>
      <c r="C1413" s="188"/>
      <c r="D1413" s="188"/>
      <c r="E1413" s="187"/>
      <c r="G1413" s="188"/>
      <c r="H1413" s="188"/>
      <c r="I1413" s="188"/>
      <c r="J1413" s="188"/>
      <c r="K1413" s="226"/>
      <c r="L1413" s="188"/>
      <c r="M1413" s="194"/>
      <c r="N1413" s="190"/>
      <c r="O1413" s="190"/>
      <c r="P1413" s="226"/>
      <c r="Q1413" s="226"/>
      <c r="R1413" s="195"/>
      <c r="S1413" s="197"/>
      <c r="T1413" s="180"/>
      <c r="U1413" s="189" t="str">
        <f>IFERROR(IF(Tableau3[[#This Row],[Dettes]]=0,"",(Tableau3[[#This Row],[Dettes]]/Tableau3[[#This Row],[EBE]])),"")</f>
        <v/>
      </c>
      <c r="V1413" s="190" t="str">
        <f>IFERROR(Tableau3[[#This Row],[Fonds propres]]/Tableau3[[#This Row],[Total Bilan]],"")</f>
        <v/>
      </c>
      <c r="W1413" s="180"/>
      <c r="X1413" s="191"/>
      <c r="Y1413" s="180"/>
      <c r="Z1413" s="192" t="str">
        <f>IFERROR(Tableau3[[#This Row],[Chiffre d''affaires]]/Tableau3[[#This Row],[Salariés]],"")</f>
        <v/>
      </c>
      <c r="AA1413" s="197"/>
      <c r="AB1413" s="197"/>
      <c r="AC1413" s="226"/>
    </row>
    <row r="1414" spans="1:29" ht="20.25" customHeight="1">
      <c r="A1414" s="276"/>
      <c r="B1414" s="212"/>
      <c r="C1414" s="188"/>
      <c r="D1414" s="188"/>
      <c r="E1414" s="187"/>
      <c r="G1414" s="188"/>
      <c r="H1414" s="188"/>
      <c r="I1414" s="188"/>
      <c r="J1414" s="188"/>
      <c r="K1414" s="226"/>
      <c r="L1414" s="188"/>
      <c r="M1414" s="194"/>
      <c r="N1414" s="190"/>
      <c r="O1414" s="190"/>
      <c r="P1414" s="226"/>
      <c r="Q1414" s="226"/>
      <c r="R1414" s="195"/>
      <c r="S1414" s="197"/>
      <c r="T1414" s="180"/>
      <c r="U1414" s="189" t="str">
        <f>IFERROR(IF(Tableau3[[#This Row],[Dettes]]=0,"",(Tableau3[[#This Row],[Dettes]]/Tableau3[[#This Row],[EBE]])),"")</f>
        <v/>
      </c>
      <c r="V1414" s="190" t="str">
        <f>IFERROR(Tableau3[[#This Row],[Fonds propres]]/Tableau3[[#This Row],[Total Bilan]],"")</f>
        <v/>
      </c>
      <c r="W1414" s="180"/>
      <c r="X1414" s="191"/>
      <c r="Y1414" s="180"/>
      <c r="Z1414" s="192" t="str">
        <f>IFERROR(Tableau3[[#This Row],[Chiffre d''affaires]]/Tableau3[[#This Row],[Salariés]],"")</f>
        <v/>
      </c>
      <c r="AA1414" s="197"/>
      <c r="AB1414" s="197"/>
      <c r="AC1414" s="226"/>
    </row>
    <row r="1415" spans="1:29" ht="20.25" customHeight="1">
      <c r="A1415" s="217" t="s">
        <v>977</v>
      </c>
      <c r="B1415" s="216" t="s">
        <v>978</v>
      </c>
      <c r="C1415" s="178" t="s">
        <v>84</v>
      </c>
      <c r="D1415" s="178" t="s">
        <v>85</v>
      </c>
      <c r="E1415" s="187"/>
      <c r="F1415" s="178">
        <v>2025</v>
      </c>
      <c r="G1415" s="188"/>
      <c r="H1415" s="188"/>
      <c r="I1415" s="188"/>
      <c r="J1415" s="188"/>
      <c r="K1415" s="226"/>
      <c r="L1415" s="188"/>
      <c r="M1415" s="194"/>
      <c r="N1415" s="190"/>
      <c r="O1415" s="190"/>
      <c r="P1415" s="226"/>
      <c r="Q1415" s="226"/>
      <c r="R1415" s="195"/>
      <c r="S1415" s="197"/>
      <c r="T1415" s="180"/>
      <c r="U1415" s="189" t="str">
        <f>IFERROR(IF(Tableau3[[#This Row],[Dettes]]=0,"",(Tableau3[[#This Row],[Dettes]]/Tableau3[[#This Row],[EBE]])),"")</f>
        <v/>
      </c>
      <c r="V1415" s="190" t="str">
        <f>IFERROR(Tableau3[[#This Row],[Fonds propres]]/Tableau3[[#This Row],[Total Bilan]],"")</f>
        <v/>
      </c>
      <c r="W1415" s="180"/>
      <c r="X1415" s="191" t="s">
        <v>4902</v>
      </c>
      <c r="Y1415" s="180"/>
      <c r="Z1415" s="192" t="str">
        <f>IFERROR(Tableau3[[#This Row],[Chiffre d''affaires]]/Tableau3[[#This Row],[Salariés]],"")</f>
        <v/>
      </c>
      <c r="AA1415" s="197" t="s">
        <v>981</v>
      </c>
      <c r="AB1415" s="197"/>
      <c r="AC1415" s="177" t="s">
        <v>979</v>
      </c>
    </row>
    <row r="1416" spans="1:29" ht="20.25" customHeight="1">
      <c r="A1416" s="276"/>
      <c r="B1416" s="212"/>
      <c r="C1416" s="188"/>
      <c r="D1416" s="188"/>
      <c r="E1416" s="187"/>
      <c r="G1416" s="188"/>
      <c r="H1416" s="188"/>
      <c r="I1416" s="188"/>
      <c r="J1416" s="188"/>
      <c r="K1416" s="226"/>
      <c r="L1416" s="188"/>
      <c r="M1416" s="194"/>
      <c r="N1416" s="190"/>
      <c r="O1416" s="190"/>
      <c r="P1416" s="226"/>
      <c r="Q1416" s="226"/>
      <c r="R1416" s="195"/>
      <c r="S1416" s="197"/>
      <c r="T1416" s="180"/>
      <c r="U1416" s="189" t="str">
        <f>IFERROR(IF(Tableau3[[#This Row],[Dettes]]=0,"",(Tableau3[[#This Row],[Dettes]]/Tableau3[[#This Row],[EBE]])),"")</f>
        <v/>
      </c>
      <c r="V1416" s="190" t="str">
        <f>IFERROR(Tableau3[[#This Row],[Fonds propres]]/Tableau3[[#This Row],[Total Bilan]],"")</f>
        <v/>
      </c>
      <c r="W1416" s="180"/>
      <c r="X1416" s="191"/>
      <c r="Y1416" s="180"/>
      <c r="Z1416" s="192" t="str">
        <f>IFERROR(Tableau3[[#This Row],[Chiffre d''affaires]]/Tableau3[[#This Row],[Salariés]],"")</f>
        <v/>
      </c>
      <c r="AA1416" s="197" t="s">
        <v>982</v>
      </c>
      <c r="AB1416" s="197"/>
      <c r="AC1416" s="177" t="s">
        <v>4479</v>
      </c>
    </row>
    <row r="1417" spans="1:29" ht="20.25" customHeight="1">
      <c r="A1417" s="276"/>
      <c r="B1417" s="212"/>
      <c r="C1417" s="188"/>
      <c r="D1417" s="188"/>
      <c r="E1417" s="187">
        <v>156.91999999999999</v>
      </c>
      <c r="F1417" s="178">
        <v>2024</v>
      </c>
      <c r="G1417" s="188">
        <v>27058000000</v>
      </c>
      <c r="H1417" s="188"/>
      <c r="I1417" s="188">
        <v>5391000000</v>
      </c>
      <c r="J1417" s="188">
        <v>3306000000</v>
      </c>
      <c r="K1417" s="226">
        <v>9159200000</v>
      </c>
      <c r="L1417" s="188">
        <v>26860000000</v>
      </c>
      <c r="M1417" s="194">
        <f>L1417/P1417</f>
        <v>46.594930273132817</v>
      </c>
      <c r="N1417" s="190">
        <f>J1417/L1419</f>
        <v>0.13592911621404929</v>
      </c>
      <c r="O1417" s="190">
        <f>(Tableau3[[#This Row],[Résultat d''exploitation]]*0.74)/(K1419+L1419)</f>
        <v>0.11893388984124618</v>
      </c>
      <c r="P1417" s="226">
        <v>576457564</v>
      </c>
      <c r="Q1417" s="231">
        <f>P1417*E1417</f>
        <v>90457720942.87999</v>
      </c>
      <c r="R1417" s="195">
        <f t="shared" ref="R1417" si="127">Q1417/L1417</f>
        <v>3.3677483597498137</v>
      </c>
      <c r="S1417" s="197" t="e">
        <f t="shared" ref="S1417" si="128">(Q1417+K1417)/H1417</f>
        <v>#DIV/0!</v>
      </c>
      <c r="T1417" s="180"/>
      <c r="U1417" s="189" t="str">
        <f>IFERROR(IF(Tableau3[[#This Row],[Dettes]]=0,"",(Tableau3[[#This Row],[Dettes]]/Tableau3[[#This Row],[EBE]])),"")</f>
        <v/>
      </c>
      <c r="V1417" s="190">
        <f>IFERROR(Tableau3[[#This Row],[Fonds propres]]/Tableau3[[#This Row],[Total Bilan]],"")</f>
        <v>0.51785800356678069</v>
      </c>
      <c r="W1417" s="180">
        <v>51867500000</v>
      </c>
      <c r="X1417" s="192"/>
      <c r="Y1417" s="180">
        <v>66500</v>
      </c>
      <c r="Z1417" s="192">
        <f>IFERROR(Tableau3[[#This Row],[Chiffre d''affaires]]/Tableau3[[#This Row],[Salariés]],"")</f>
        <v>406887.21804511279</v>
      </c>
      <c r="AA1417" s="197" t="s">
        <v>983</v>
      </c>
      <c r="AB1417" s="197"/>
      <c r="AC1417" s="177" t="s">
        <v>4897</v>
      </c>
    </row>
    <row r="1418" spans="1:29" ht="20.25" customHeight="1">
      <c r="A1418" s="276"/>
      <c r="B1418" s="212"/>
      <c r="C1418" s="188"/>
      <c r="D1418" s="188"/>
      <c r="E1418" s="187"/>
      <c r="G1418" s="202">
        <f>(G1417/G1419)-1</f>
        <v>-1.9921761808171512E-2</v>
      </c>
      <c r="H1418" s="203"/>
      <c r="I1418" s="203">
        <f>(I1417/I1419)-1</f>
        <v>6.3733228097869077E-2</v>
      </c>
      <c r="J1418" s="203">
        <f>(J1417/J1419)-1</f>
        <v>7.4074074074074181E-2</v>
      </c>
      <c r="K1418" s="226"/>
      <c r="L1418" s="188"/>
      <c r="M1418" s="194"/>
      <c r="N1418" s="190"/>
      <c r="O1418" s="190"/>
      <c r="P1418" s="226"/>
      <c r="Q1418" s="226"/>
      <c r="R1418" s="195"/>
      <c r="S1418" s="197"/>
      <c r="T1418" s="180"/>
      <c r="U1418" s="189" t="str">
        <f>IFERROR(IF(Tableau3[[#This Row],[Dettes]]=0,"",(Tableau3[[#This Row],[Dettes]]/Tableau3[[#This Row],[EBE]])),"")</f>
        <v/>
      </c>
      <c r="V1418" s="190" t="str">
        <f>IFERROR(Tableau3[[#This Row],[Fonds propres]]/Tableau3[[#This Row],[Total Bilan]],"")</f>
        <v/>
      </c>
      <c r="W1418" s="180"/>
      <c r="X1418" s="191"/>
      <c r="Y1418" s="180"/>
      <c r="Z1418" s="192" t="str">
        <f>IFERROR(Tableau3[[#This Row],[Chiffre d''affaires]]/Tableau3[[#This Row],[Salariés]],"")</f>
        <v/>
      </c>
      <c r="AA1418" s="226"/>
      <c r="AB1418" s="197"/>
      <c r="AC1418" s="177" t="s">
        <v>4898</v>
      </c>
    </row>
    <row r="1419" spans="1:29" ht="20.25" customHeight="1">
      <c r="A1419" s="276"/>
      <c r="B1419" s="212"/>
      <c r="C1419" s="188"/>
      <c r="D1419" s="188"/>
      <c r="E1419" s="187">
        <v>176.12</v>
      </c>
      <c r="F1419" s="178">
        <v>2023</v>
      </c>
      <c r="G1419" s="188">
        <v>27608000000</v>
      </c>
      <c r="H1419" s="188"/>
      <c r="I1419" s="188">
        <v>5068000000</v>
      </c>
      <c r="J1419" s="188">
        <v>3078000000</v>
      </c>
      <c r="K1419" s="226">
        <v>9221000000</v>
      </c>
      <c r="L1419" s="188">
        <v>24321500000</v>
      </c>
      <c r="M1419" s="194">
        <f>L1419/P1419</f>
        <v>46.583089449253833</v>
      </c>
      <c r="N1419" s="190">
        <f>J1419/L1421</f>
        <v>0.12967425557371801</v>
      </c>
      <c r="O1419" s="190">
        <f>(Tableau3[[#This Row],[Résultat d''exploitation]]*0.74)/(K1421+L1421)</f>
        <v>0.11031196503262014</v>
      </c>
      <c r="P1419" s="226">
        <v>522110068</v>
      </c>
      <c r="Q1419" s="231">
        <f>P1419*E1419</f>
        <v>91954025176.160004</v>
      </c>
      <c r="R1419" s="195">
        <f t="shared" ref="R1419" si="129">Q1419/L1419</f>
        <v>3.7807711356684415</v>
      </c>
      <c r="S1419" s="197" t="e">
        <f>(Q1419+K1419)/H1419</f>
        <v>#DIV/0!</v>
      </c>
      <c r="T1419" s="180"/>
      <c r="U1419" s="189" t="str">
        <f>IFERROR(IF(Tableau3[[#This Row],[Dettes]]=0,"",(Tableau3[[#This Row],[Dettes]]/Tableau3[[#This Row],[EBE]])),"")</f>
        <v/>
      </c>
      <c r="V1419" s="190">
        <f>IFERROR(Tableau3[[#This Row],[Fonds propres]]/Tableau3[[#This Row],[Total Bilan]],"")</f>
        <v>0.50321316549560957</v>
      </c>
      <c r="W1419" s="180">
        <v>48332400000</v>
      </c>
      <c r="X1419" s="192"/>
      <c r="Y1419" s="180">
        <v>67800</v>
      </c>
      <c r="Z1419" s="192">
        <f>IFERROR(Tableau3[[#This Row],[Chiffre d''affaires]]/Tableau3[[#This Row],[Salariés]],"")</f>
        <v>407197.6401179941</v>
      </c>
      <c r="AA1419" s="226"/>
      <c r="AB1419" s="197"/>
      <c r="AC1419" s="177" t="s">
        <v>4899</v>
      </c>
    </row>
    <row r="1420" spans="1:29" ht="20.25" customHeight="1">
      <c r="A1420" s="276"/>
      <c r="B1420" s="212"/>
      <c r="C1420" s="188"/>
      <c r="D1420" s="188"/>
      <c r="E1420" s="187"/>
      <c r="G1420" s="202">
        <f>(G1419/G1421)-1</f>
        <v>-7.7704282755395204E-2</v>
      </c>
      <c r="H1420" s="203"/>
      <c r="I1420" s="203">
        <f>(I1419/I1421)-1</f>
        <v>0.18104914823704887</v>
      </c>
      <c r="J1420" s="203">
        <f>(J1419/J1421)-1</f>
        <v>0.11570247933884303</v>
      </c>
      <c r="K1420" s="226"/>
      <c r="L1420" s="188"/>
      <c r="M1420" s="194"/>
      <c r="N1420" s="190"/>
      <c r="O1420" s="190"/>
      <c r="P1420" s="226"/>
      <c r="Q1420" s="226"/>
      <c r="R1420" s="195"/>
      <c r="S1420" s="197"/>
      <c r="T1420" s="180"/>
      <c r="U1420" s="189" t="str">
        <f>IFERROR(IF(Tableau3[[#This Row],[Dettes]]=0,"",(Tableau3[[#This Row],[Dettes]]/Tableau3[[#This Row],[EBE]])),"")</f>
        <v/>
      </c>
      <c r="V1420" s="190" t="str">
        <f>IFERROR(Tableau3[[#This Row],[Fonds propres]]/Tableau3[[#This Row],[Total Bilan]],"")</f>
        <v/>
      </c>
      <c r="W1420" s="180"/>
      <c r="X1420" s="191"/>
      <c r="Y1420" s="180"/>
      <c r="Z1420" s="192" t="str">
        <f>IFERROR(Tableau3[[#This Row],[Chiffre d''affaires]]/Tableau3[[#This Row],[Salariés]],"")</f>
        <v/>
      </c>
      <c r="AA1420" s="226"/>
      <c r="AB1420" s="197"/>
      <c r="AC1420" s="177" t="s">
        <v>4903</v>
      </c>
    </row>
    <row r="1421" spans="1:29" ht="20.25" customHeight="1">
      <c r="A1421" s="276"/>
      <c r="B1421" s="212"/>
      <c r="C1421" s="188"/>
      <c r="D1421" s="188"/>
      <c r="E1421" s="187">
        <v>132.4</v>
      </c>
      <c r="F1421" s="178">
        <v>2022</v>
      </c>
      <c r="G1421" s="188">
        <v>29934000000</v>
      </c>
      <c r="H1421" s="188"/>
      <c r="I1421" s="188">
        <v>4291100000</v>
      </c>
      <c r="J1421" s="188">
        <v>2758800000</v>
      </c>
      <c r="K1421" s="226">
        <v>10261000000</v>
      </c>
      <c r="L1421" s="188">
        <v>23736400000</v>
      </c>
      <c r="M1421" s="194">
        <f>L1421/P1421</f>
        <v>45.34847603527416</v>
      </c>
      <c r="N1421" s="190">
        <f>J1421/L1423</f>
        <v>0.1285434721833939</v>
      </c>
      <c r="O1421" s="190">
        <f>(Tableau3[[#This Row],[Résultat d''exploitation]]*0.74)/(K1423+L1423)</f>
        <v>9.9511563773111877E-2</v>
      </c>
      <c r="P1421" s="226">
        <v>523422220</v>
      </c>
      <c r="Q1421" s="231">
        <f>P1421*E1421</f>
        <v>69301101928</v>
      </c>
      <c r="R1421" s="195">
        <f t="shared" ref="R1421" si="130">Q1421/L1421</f>
        <v>2.9196129964105761</v>
      </c>
      <c r="S1421" s="197" t="e">
        <f t="shared" ref="S1421" si="131">(Q1421+K1421)/H1421</f>
        <v>#DIV/0!</v>
      </c>
      <c r="T1421" s="180"/>
      <c r="U1421" s="189" t="str">
        <f>IFERROR(IF(Tableau3[[#This Row],[Dettes]]=0,"",(Tableau3[[#This Row],[Dettes]]/Tableau3[[#This Row],[EBE]])),"")</f>
        <v/>
      </c>
      <c r="V1421" s="190">
        <f>IFERROR(Tableau3[[#This Row],[Fonds propres]]/Tableau3[[#This Row],[Total Bilan]],"")</f>
        <v>0.47934892362373277</v>
      </c>
      <c r="W1421" s="180">
        <v>49518000000</v>
      </c>
      <c r="X1421" s="191"/>
      <c r="Y1421" s="180">
        <v>67100</v>
      </c>
      <c r="Z1421" s="192">
        <f>IFERROR(Tableau3[[#This Row],[Chiffre d''affaires]]/Tableau3[[#This Row],[Salariés]],"")</f>
        <v>446110.28315946349</v>
      </c>
      <c r="AA1421" s="226"/>
      <c r="AB1421" s="197"/>
      <c r="AC1421" s="177" t="s">
        <v>4900</v>
      </c>
    </row>
    <row r="1422" spans="1:29" ht="20.25" customHeight="1">
      <c r="A1422" s="276"/>
      <c r="B1422" s="212"/>
      <c r="C1422" s="188"/>
      <c r="D1422" s="188"/>
      <c r="E1422" s="187"/>
      <c r="G1422" s="202">
        <f>(G1421/G1423)-1</f>
        <v>0.28279408613670443</v>
      </c>
      <c r="H1422" s="203"/>
      <c r="I1422" s="203">
        <f>(I1421/I1423)-1</f>
        <v>3.1514423076923093E-2</v>
      </c>
      <c r="J1422" s="203">
        <f>(J1421/J1423)-1</f>
        <v>7.2628304821150902E-2</v>
      </c>
      <c r="K1422" s="226"/>
      <c r="L1422" s="188"/>
      <c r="M1422" s="194"/>
      <c r="N1422" s="190"/>
      <c r="O1422" s="190"/>
      <c r="P1422" s="226"/>
      <c r="Q1422" s="226"/>
      <c r="R1422" s="195"/>
      <c r="S1422" s="197"/>
      <c r="T1422" s="180"/>
      <c r="U1422" s="189" t="str">
        <f>IFERROR(IF(Tableau3[[#This Row],[Dettes]]=0,"",(Tableau3[[#This Row],[Dettes]]/Tableau3[[#This Row],[EBE]])),"")</f>
        <v/>
      </c>
      <c r="V1422" s="190" t="str">
        <f>IFERROR(Tableau3[[#This Row],[Fonds propres]]/Tableau3[[#This Row],[Total Bilan]],"")</f>
        <v/>
      </c>
      <c r="W1422" s="180"/>
      <c r="X1422" s="191"/>
      <c r="Y1422" s="180"/>
      <c r="Z1422" s="192" t="str">
        <f>IFERROR(Tableau3[[#This Row],[Chiffre d''affaires]]/Tableau3[[#This Row],[Salariés]],"")</f>
        <v/>
      </c>
      <c r="AA1422" s="226"/>
      <c r="AB1422" s="197"/>
      <c r="AC1422" s="6" t="s">
        <v>4615</v>
      </c>
    </row>
    <row r="1423" spans="1:29" ht="20.25" customHeight="1">
      <c r="A1423" s="217"/>
      <c r="E1423" s="187">
        <v>153.5</v>
      </c>
      <c r="F1423" s="178">
        <v>2021</v>
      </c>
      <c r="G1423" s="188">
        <v>23335000000</v>
      </c>
      <c r="H1423" s="188">
        <v>6333000000</v>
      </c>
      <c r="I1423" s="188">
        <v>4160000000</v>
      </c>
      <c r="J1423" s="188">
        <v>2572000000</v>
      </c>
      <c r="K1423" s="188">
        <v>10448000000</v>
      </c>
      <c r="L1423" s="188">
        <v>21462000000</v>
      </c>
      <c r="M1423" s="194">
        <f>L1423/P1423</f>
        <v>45.310913302577312</v>
      </c>
      <c r="N1423" s="190">
        <f>J1423/L1425</f>
        <v>0.13870986878650438</v>
      </c>
      <c r="O1423" s="190">
        <f>(Tableau3[[#This Row],[Résultat d''exploitation]]*0.74)/(K1425+L1425)</f>
        <v>0.10560077938205158</v>
      </c>
      <c r="P1423" s="188">
        <v>473660724</v>
      </c>
      <c r="Q1423" s="231">
        <f>P1423*E1423</f>
        <v>72706921134</v>
      </c>
      <c r="R1423" s="195">
        <f>Q1423/L1423</f>
        <v>3.3877048333799271</v>
      </c>
      <c r="S1423" s="197">
        <f>(Q1423+K1423)/H1423</f>
        <v>13.130415464077057</v>
      </c>
      <c r="T1423" s="180">
        <v>2219100000</v>
      </c>
      <c r="U1423" s="189">
        <f>IFERROR(IF(Tableau3[[#This Row],[Dettes]]=0,"",(Tableau3[[#This Row],[Dettes]]/Tableau3[[#This Row],[EBE]])),"")</f>
        <v>1.6497710405810833</v>
      </c>
      <c r="V1423" s="190">
        <f>IFERROR(Tableau3[[#This Row],[Fonds propres]]/Tableau3[[#This Row],[Total Bilan]],"")</f>
        <v>0.45875638586666095</v>
      </c>
      <c r="W1423" s="180">
        <v>46783000000</v>
      </c>
      <c r="X1423" s="192"/>
      <c r="Y1423" s="180">
        <v>66400</v>
      </c>
      <c r="Z1423" s="192">
        <f>IFERROR(Tableau3[[#This Row],[Chiffre d''affaires]]/Tableau3[[#This Row],[Salariés]],"")</f>
        <v>351430.72289156629</v>
      </c>
      <c r="AA1423" s="226"/>
      <c r="AB1423" s="197"/>
      <c r="AC1423" s="10" t="s">
        <v>4616</v>
      </c>
    </row>
    <row r="1424" spans="1:29" ht="20.25" customHeight="1">
      <c r="A1424" s="276"/>
      <c r="B1424" s="212"/>
      <c r="C1424" s="188"/>
      <c r="D1424" s="188"/>
      <c r="G1424" s="202">
        <f>(G1423/G1425)-1</f>
        <v>0.1391261898950451</v>
      </c>
      <c r="H1424" s="203">
        <f>(H1423/H1425)-1</f>
        <v>6.8409953606073381E-2</v>
      </c>
      <c r="I1424" s="203">
        <f>(I1423/I1425)-1</f>
        <v>9.7625329815303363E-2</v>
      </c>
      <c r="J1424" s="203">
        <f>(J1423/J1425)-1</f>
        <v>9.8675779581375522E-2</v>
      </c>
      <c r="K1424" s="226"/>
      <c r="L1424" s="188"/>
      <c r="M1424" s="194"/>
      <c r="N1424" s="190"/>
      <c r="O1424" s="190"/>
      <c r="P1424" s="226"/>
      <c r="Q1424" s="226"/>
      <c r="R1424" s="195"/>
      <c r="S1424" s="197"/>
      <c r="T1424" s="180"/>
      <c r="U1424" s="189" t="str">
        <f>IFERROR(IF(Tableau3[[#This Row],[Dettes]]=0,"",(Tableau3[[#This Row],[Dettes]]/Tableau3[[#This Row],[EBE]])),"")</f>
        <v/>
      </c>
      <c r="V1424" s="190" t="str">
        <f>IFERROR(Tableau3[[#This Row],[Fonds propres]]/Tableau3[[#This Row],[Total Bilan]],"")</f>
        <v/>
      </c>
      <c r="W1424" s="180"/>
      <c r="X1424" s="191"/>
      <c r="Y1424" s="180"/>
      <c r="Z1424" s="192" t="str">
        <f>IFERROR(Tableau3[[#This Row],[Chiffre d''affaires]]/Tableau3[[#This Row],[Salariés]],"")</f>
        <v/>
      </c>
      <c r="AA1424" s="197"/>
      <c r="AB1424" s="197"/>
      <c r="AC1424" s="10" t="s">
        <v>4618</v>
      </c>
    </row>
    <row r="1425" spans="1:29" ht="20.25" customHeight="1">
      <c r="A1425" s="212"/>
      <c r="B1425" s="212"/>
      <c r="C1425" s="188"/>
      <c r="D1425" s="188"/>
      <c r="E1425" s="187">
        <v>134.25</v>
      </c>
      <c r="F1425" s="178">
        <v>2020</v>
      </c>
      <c r="G1425" s="188">
        <v>20485000000</v>
      </c>
      <c r="H1425" s="188">
        <v>5927500000</v>
      </c>
      <c r="I1425" s="188">
        <v>3790000000</v>
      </c>
      <c r="J1425" s="188">
        <v>2341000000</v>
      </c>
      <c r="K1425" s="188">
        <v>10609000000</v>
      </c>
      <c r="L1425" s="188">
        <v>18542300000</v>
      </c>
      <c r="M1425" s="194">
        <f>L1425/P1425</f>
        <v>39.317569986686777</v>
      </c>
      <c r="N1425" s="190">
        <f>J1425/L1427</f>
        <v>0.12405672375784298</v>
      </c>
      <c r="O1425" s="190">
        <f>(Tableau3[[#This Row],[Résultat d''exploitation]]*0.74)/(K1427+L1427)</f>
        <v>8.9766158612699001E-2</v>
      </c>
      <c r="P1425" s="188">
        <v>471603408</v>
      </c>
      <c r="Q1425" s="231">
        <f>P1425*E1425</f>
        <v>63312757524</v>
      </c>
      <c r="R1425" s="195">
        <f>Q1425/L1425</f>
        <v>3.4145040002588676</v>
      </c>
      <c r="S1425" s="197">
        <f>(Q1425+K1425)/H1425</f>
        <v>12.470983977056095</v>
      </c>
      <c r="T1425" s="180">
        <v>3251100000</v>
      </c>
      <c r="U1425" s="189">
        <f>IFERROR(IF(Tableau3[[#This Row],[Dettes]]=0,"",(Tableau3[[#This Row],[Dettes]]/Tableau3[[#This Row],[EBE]])),"")</f>
        <v>1.7897933361450864</v>
      </c>
      <c r="V1425" s="190">
        <f>IFERROR(Tableau3[[#This Row],[Fonds propres]]/Tableau3[[#This Row],[Total Bilan]],"")</f>
        <v>0.44172523048335993</v>
      </c>
      <c r="W1425" s="180">
        <v>41977000000</v>
      </c>
      <c r="X1425" s="191"/>
      <c r="Y1425" s="180">
        <v>64445</v>
      </c>
      <c r="Z1425" s="192">
        <f>IFERROR(Tableau3[[#This Row],[Chiffre d''affaires]]/Tableau3[[#This Row],[Salariés]],"")</f>
        <v>317867.9494142292</v>
      </c>
      <c r="AA1425" s="197"/>
      <c r="AB1425" s="197"/>
      <c r="AC1425" s="6" t="s">
        <v>457</v>
      </c>
    </row>
    <row r="1426" spans="1:29" ht="20.25" customHeight="1">
      <c r="A1426" s="276"/>
      <c r="B1426" s="212"/>
      <c r="C1426" s="188"/>
      <c r="D1426" s="188"/>
      <c r="E1426" s="187"/>
      <c r="G1426" s="202">
        <f>(G1425/G1427)-1</f>
        <v>-6.546532846715325E-2</v>
      </c>
      <c r="H1426" s="203">
        <f>(H1425/H1427)-1</f>
        <v>-6.7436567478718068E-4</v>
      </c>
      <c r="I1426" s="203">
        <f>(I1425/I1427)-1</f>
        <v>-1.0016342453477156E-3</v>
      </c>
      <c r="J1426" s="203">
        <f>(J1425/J1427)-1</f>
        <v>1.473775465973115E-2</v>
      </c>
      <c r="K1426" s="226"/>
      <c r="L1426" s="188"/>
      <c r="M1426" s="194"/>
      <c r="N1426" s="190"/>
      <c r="O1426" s="190"/>
      <c r="P1426" s="226"/>
      <c r="Q1426" s="226"/>
      <c r="R1426" s="195"/>
      <c r="S1426" s="197"/>
      <c r="T1426" s="180"/>
      <c r="U1426" s="189" t="str">
        <f>IFERROR(IF(Tableau3[[#This Row],[Dettes]]=0,"",(Tableau3[[#This Row],[Dettes]]/Tableau3[[#This Row],[EBE]])),"")</f>
        <v/>
      </c>
      <c r="V1426" s="190" t="str">
        <f>IFERROR(Tableau3[[#This Row],[Fonds propres]]/Tableau3[[#This Row],[Total Bilan]],"")</f>
        <v/>
      </c>
      <c r="W1426" s="180"/>
      <c r="X1426" s="191"/>
      <c r="Y1426" s="180"/>
      <c r="Z1426" s="192" t="str">
        <f>IFERROR(Tableau3[[#This Row],[Chiffre d''affaires]]/Tableau3[[#This Row],[Salariés]],"")</f>
        <v/>
      </c>
      <c r="AA1426" s="197"/>
      <c r="AB1426" s="197"/>
      <c r="AC1426" s="177" t="s">
        <v>984</v>
      </c>
    </row>
    <row r="1427" spans="1:29" ht="20.25" customHeight="1">
      <c r="A1427" s="212"/>
      <c r="B1427" s="212"/>
      <c r="C1427" s="188"/>
      <c r="D1427" s="188"/>
      <c r="E1427" s="187">
        <v>120</v>
      </c>
      <c r="F1427" s="178">
        <v>2019</v>
      </c>
      <c r="G1427" s="188">
        <v>21920000000</v>
      </c>
      <c r="H1427" s="188">
        <v>5931500000</v>
      </c>
      <c r="I1427" s="188">
        <v>3793800000</v>
      </c>
      <c r="J1427" s="188">
        <v>2307000000</v>
      </c>
      <c r="K1427" s="188">
        <v>12373000000</v>
      </c>
      <c r="L1427" s="188">
        <v>18870400000</v>
      </c>
      <c r="M1427" s="194">
        <f>L1427/P1427</f>
        <v>40.04626627245112</v>
      </c>
      <c r="N1427" s="190">
        <f>J1427/L1429</f>
        <v>0.12972991210756279</v>
      </c>
      <c r="O1427" s="190">
        <f>(Tableau3[[#This Row],[Résultat d''exploitation]]*0.74)/(K1429+L1429)</f>
        <v>9.259854674270486E-2</v>
      </c>
      <c r="P1427" s="188">
        <v>471214966</v>
      </c>
      <c r="Q1427" s="231">
        <f>P1427*E1427</f>
        <v>56545795920</v>
      </c>
      <c r="R1427" s="195">
        <f>Q1427/L1427</f>
        <v>2.9965340384941497</v>
      </c>
      <c r="S1427" s="197">
        <f>(Q1427+K1429)/H1427</f>
        <v>11.646429388856108</v>
      </c>
      <c r="T1427" s="180">
        <v>2127400000</v>
      </c>
      <c r="U1427" s="189">
        <f>IFERROR(IF(Tableau3[[#This Row],[Dettes]]=0,"",(Tableau3[[#This Row],[Dettes]]/Tableau3[[#This Row],[EBE]])),"")</f>
        <v>2.0859816235353619</v>
      </c>
      <c r="V1427" s="190">
        <f>IFERROR(Tableau3[[#This Row],[Fonds propres]]/Tableau3[[#This Row],[Total Bilan]],"")</f>
        <v>0.43214326608193832</v>
      </c>
      <c r="W1427" s="180">
        <v>43667000000</v>
      </c>
      <c r="X1427" s="191"/>
      <c r="Y1427" s="180">
        <v>67200</v>
      </c>
      <c r="Z1427" s="192">
        <f>IFERROR(Tableau3[[#This Row],[Chiffre d''affaires]]/Tableau3[[#This Row],[Salariés]],"")</f>
        <v>326190.47619047621</v>
      </c>
      <c r="AA1427" s="197"/>
      <c r="AB1427" s="197"/>
      <c r="AC1427" s="177" t="s">
        <v>985</v>
      </c>
    </row>
    <row r="1428" spans="1:29" ht="20.25" customHeight="1">
      <c r="A1428" s="276"/>
      <c r="B1428" s="212"/>
      <c r="C1428" s="188"/>
      <c r="D1428" s="188"/>
      <c r="E1428" s="187"/>
      <c r="G1428" s="202">
        <f>(G1427/G1429)-1</f>
        <v>4.3263052686687953E-2</v>
      </c>
      <c r="H1428" s="203">
        <f>(H1427/H1429)-1</f>
        <v>0.13743575976068123</v>
      </c>
      <c r="I1428" s="203">
        <f>(I1427/I1429)-1</f>
        <v>0.10013049151805142</v>
      </c>
      <c r="J1428" s="203">
        <f>(J1427/J1429)-1</f>
        <v>9.1812588736393863E-2</v>
      </c>
      <c r="K1428" s="226"/>
      <c r="L1428" s="188"/>
      <c r="M1428" s="194"/>
      <c r="N1428" s="190"/>
      <c r="O1428" s="190"/>
      <c r="P1428" s="226"/>
      <c r="Q1428" s="226"/>
      <c r="R1428" s="195"/>
      <c r="S1428" s="197"/>
      <c r="T1428" s="180"/>
      <c r="U1428" s="189" t="str">
        <f>IFERROR(IF(Tableau3[[#This Row],[Dettes]]=0,"",(Tableau3[[#This Row],[Dettes]]/Tableau3[[#This Row],[EBE]])),"")</f>
        <v/>
      </c>
      <c r="V1428" s="190" t="str">
        <f>IFERROR(Tableau3[[#This Row],[Fonds propres]]/Tableau3[[#This Row],[Total Bilan]],"")</f>
        <v/>
      </c>
      <c r="W1428" s="180"/>
      <c r="Y1428" s="180"/>
      <c r="Z1428" s="192" t="str">
        <f>IFERROR(Tableau3[[#This Row],[Chiffre d''affaires]]/Tableau3[[#This Row],[Salariés]],"")</f>
        <v/>
      </c>
      <c r="AA1428" s="177"/>
      <c r="AC1428" s="177" t="s">
        <v>986</v>
      </c>
    </row>
    <row r="1429" spans="1:29" ht="20.25" customHeight="1">
      <c r="A1429" s="212"/>
      <c r="B1429" s="212"/>
      <c r="C1429" s="188"/>
      <c r="D1429" s="188"/>
      <c r="E1429" s="187">
        <v>108</v>
      </c>
      <c r="F1429" s="230">
        <v>2018</v>
      </c>
      <c r="G1429" s="188">
        <v>21011000000</v>
      </c>
      <c r="H1429" s="188">
        <v>5214800000</v>
      </c>
      <c r="I1429" s="188">
        <v>3448500000</v>
      </c>
      <c r="J1429" s="188">
        <v>2113000000</v>
      </c>
      <c r="K1429" s="188">
        <v>12535000000</v>
      </c>
      <c r="L1429" s="188">
        <v>17783100000</v>
      </c>
      <c r="M1429" s="194">
        <f>L1429/P1429</f>
        <v>41.678412262184459</v>
      </c>
      <c r="N1429" s="190">
        <f>J1429/L1431</f>
        <v>0.1263876926021629</v>
      </c>
      <c r="O1429" s="190">
        <f>(Tableau3[[#This Row],[Résultat d''exploitation]]*0.74)/(K1431+L1431)</f>
        <v>8.4810265409080945E-2</v>
      </c>
      <c r="P1429" s="188">
        <v>426674123</v>
      </c>
      <c r="Q1429" s="231">
        <f>P1429*E1429</f>
        <v>46080805284</v>
      </c>
      <c r="R1429" s="195">
        <f>Q1429/L1429</f>
        <v>2.5912695359076876</v>
      </c>
      <c r="S1429" s="197">
        <f>(Q1429+K1427)/H1429</f>
        <v>11.209213255350157</v>
      </c>
      <c r="T1429" s="180">
        <v>2446200000</v>
      </c>
      <c r="U1429" s="189">
        <f>IFERROR(IF(Tableau3[[#This Row],[Dettes]]=0,"",(Tableau3[[#This Row],[Dettes]]/Tableau3[[#This Row],[EBE]])),"")</f>
        <v>2.4037355219759147</v>
      </c>
      <c r="V1429" s="190">
        <f>IFERROR(Tableau3[[#This Row],[Fonds propres]]/Tableau3[[#This Row],[Total Bilan]],"")</f>
        <v>0.42359877087253756</v>
      </c>
      <c r="W1429" s="180">
        <v>41981000000</v>
      </c>
      <c r="X1429" s="191"/>
      <c r="Y1429" s="180">
        <v>66000</v>
      </c>
      <c r="Z1429" s="192">
        <f>IFERROR(Tableau3[[#This Row],[Chiffre d''affaires]]/Tableau3[[#This Row],[Salariés]],"")</f>
        <v>318348.48484848486</v>
      </c>
      <c r="AA1429" s="197"/>
      <c r="AB1429" s="197"/>
      <c r="AC1429" s="177" t="s">
        <v>987</v>
      </c>
    </row>
    <row r="1430" spans="1:29" ht="20.25" customHeight="1">
      <c r="A1430" s="217"/>
      <c r="E1430" s="187"/>
      <c r="G1430" s="202">
        <f>(G1429/G1431)-1</f>
        <v>3.2532311170082151E-2</v>
      </c>
      <c r="H1430" s="203">
        <f>(H1429/H1431)-1</f>
        <v>1.4157915208090177E-2</v>
      </c>
      <c r="I1430" s="203">
        <f>(I1429/I1431)-1</f>
        <v>2.511890606420919E-2</v>
      </c>
      <c r="J1430" s="203">
        <f>(J1429/J1431)-1</f>
        <v>-4.345857854232682E-2</v>
      </c>
      <c r="K1430" s="178"/>
      <c r="L1430" s="178"/>
      <c r="M1430" s="177"/>
      <c r="N1430" s="178"/>
      <c r="O1430" s="177"/>
      <c r="P1430" s="177"/>
      <c r="Q1430" s="177"/>
      <c r="R1430" s="195"/>
      <c r="S1430" s="178"/>
      <c r="T1430" s="180"/>
      <c r="U1430" s="189" t="str">
        <f>IFERROR(IF(Tableau3[[#This Row],[Dettes]]=0,"",(Tableau3[[#This Row],[Dettes]]/Tableau3[[#This Row],[EBE]])),"")</f>
        <v/>
      </c>
      <c r="V1430" s="190" t="str">
        <f>IFERROR(Tableau3[[#This Row],[Fonds propres]]/Tableau3[[#This Row],[Total Bilan]],"")</f>
        <v/>
      </c>
      <c r="W1430" s="180"/>
      <c r="Y1430" s="180"/>
      <c r="Z1430" s="192" t="str">
        <f>IFERROR(Tableau3[[#This Row],[Chiffre d''affaires]]/Tableau3[[#This Row],[Salariés]],"")</f>
        <v/>
      </c>
      <c r="AA1430" s="177"/>
      <c r="AB1430" s="178" t="s">
        <v>1313</v>
      </c>
      <c r="AC1430" s="177" t="s">
        <v>988</v>
      </c>
    </row>
    <row r="1431" spans="1:29" ht="20.25" customHeight="1">
      <c r="A1431" s="217"/>
      <c r="E1431" s="187">
        <v>110.8</v>
      </c>
      <c r="F1431" s="230">
        <v>2017</v>
      </c>
      <c r="G1431" s="188">
        <v>20349000000</v>
      </c>
      <c r="H1431" s="188">
        <v>5142000000</v>
      </c>
      <c r="I1431" s="188">
        <v>3364000000</v>
      </c>
      <c r="J1431" s="188">
        <v>2209000000</v>
      </c>
      <c r="K1431" s="188">
        <v>13371000000</v>
      </c>
      <c r="L1431" s="188">
        <v>16718400000</v>
      </c>
      <c r="M1431" s="194">
        <f>L1431/P1431</f>
        <v>39.025433268701001</v>
      </c>
      <c r="N1431" s="190">
        <f>J1431/L1433</f>
        <v>0.128992700729927</v>
      </c>
      <c r="O1431" s="190">
        <f>(Tableau3[[#This Row],[Résultat d''exploitation]]*0.74)/(K1433+L1433)</f>
        <v>7.6612193395500572E-2</v>
      </c>
      <c r="P1431" s="188">
        <v>428397550</v>
      </c>
      <c r="Q1431" s="231">
        <f>P1431*E1431</f>
        <v>47466448540</v>
      </c>
      <c r="R1431" s="195">
        <f>Q1431/L1431</f>
        <v>2.8391741159441093</v>
      </c>
      <c r="S1431" s="197">
        <f>(Q1431+K1431)/H1431</f>
        <v>11.831475795410347</v>
      </c>
      <c r="T1431" s="180">
        <v>2408300000</v>
      </c>
      <c r="U1431" s="189">
        <f>IFERROR(IF(Tableau3[[#This Row],[Dettes]]=0,"",(Tableau3[[#This Row],[Dettes]]/Tableau3[[#This Row],[EBE]])),"")</f>
        <v>2.6003500583430572</v>
      </c>
      <c r="V1431" s="190">
        <f>IFERROR(Tableau3[[#This Row],[Fonds propres]]/Tableau3[[#This Row],[Total Bilan]],"")</f>
        <v>0.407497501645258</v>
      </c>
      <c r="W1431" s="180">
        <v>41027000000</v>
      </c>
      <c r="X1431" s="191"/>
      <c r="Y1431" s="180">
        <v>65200</v>
      </c>
      <c r="Z1431" s="192">
        <f>IFERROR(Tableau3[[#This Row],[Chiffre d''affaires]]/Tableau3[[#This Row],[Salariés]],"")</f>
        <v>312101.22699386504</v>
      </c>
      <c r="AA1431" s="197"/>
      <c r="AB1431" s="197"/>
      <c r="AC1431" s="177" t="s">
        <v>989</v>
      </c>
    </row>
    <row r="1432" spans="1:29" ht="20.25" customHeight="1">
      <c r="A1432" s="217"/>
      <c r="E1432" s="187"/>
      <c r="F1432" s="230"/>
      <c r="G1432" s="202">
        <f>(G1431/G1433)-1</f>
        <v>0.12208436724565752</v>
      </c>
      <c r="H1432" s="203">
        <f>(H1431/H1433)-1</f>
        <v>0.11515940143135972</v>
      </c>
      <c r="I1432" s="203">
        <f>(I1431/I1433)-1</f>
        <v>0.11243386243386233</v>
      </c>
      <c r="J1432" s="203">
        <f>(J1431/J1433)-1</f>
        <v>0.19793926247288507</v>
      </c>
      <c r="K1432" s="197"/>
      <c r="L1432" s="178"/>
      <c r="M1432" s="177"/>
      <c r="N1432" s="190"/>
      <c r="O1432" s="190"/>
      <c r="P1432" s="188"/>
      <c r="Q1432" s="231"/>
      <c r="R1432" s="195"/>
      <c r="S1432" s="178"/>
      <c r="T1432" s="180"/>
      <c r="U1432" s="189" t="str">
        <f>IFERROR(IF(Tableau3[[#This Row],[Dettes]]=0,"",(Tableau3[[#This Row],[Dettes]]/Tableau3[[#This Row],[EBE]])),"")</f>
        <v/>
      </c>
      <c r="V1432" s="190" t="str">
        <f>IFERROR(Tableau3[[#This Row],[Fonds propres]]/Tableau3[[#This Row],[Total Bilan]],"")</f>
        <v/>
      </c>
      <c r="W1432" s="180"/>
      <c r="Y1432" s="180"/>
      <c r="Z1432" s="192" t="str">
        <f>IFERROR(Tableau3[[#This Row],[Chiffre d''affaires]]/Tableau3[[#This Row],[Salariés]],"")</f>
        <v/>
      </c>
      <c r="AA1432" s="177"/>
      <c r="AC1432" s="177" t="s">
        <v>4614</v>
      </c>
    </row>
    <row r="1433" spans="1:29" ht="20.25" customHeight="1">
      <c r="A1433" s="217"/>
      <c r="E1433" s="187">
        <v>106</v>
      </c>
      <c r="F1433" s="230">
        <v>2016</v>
      </c>
      <c r="G1433" s="188">
        <v>18135000000</v>
      </c>
      <c r="H1433" s="188">
        <v>4611000000</v>
      </c>
      <c r="I1433" s="188">
        <v>3024000000</v>
      </c>
      <c r="J1433" s="188">
        <v>1844000000</v>
      </c>
      <c r="K1433" s="188">
        <v>15368000000</v>
      </c>
      <c r="L1433" s="188">
        <v>17125000000</v>
      </c>
      <c r="M1433" s="194">
        <f>L1433/P1433</f>
        <v>44.037200868377084</v>
      </c>
      <c r="N1433" s="190">
        <f>J1433/L1435</f>
        <v>0.14438963276172578</v>
      </c>
      <c r="O1433" s="190">
        <f>(Tableau3[[#This Row],[Résultat d''exploitation]]*0.74)/(K1435+L1435)</f>
        <v>0.11183208395802099</v>
      </c>
      <c r="P1433" s="188">
        <v>388875761</v>
      </c>
      <c r="Q1433" s="231">
        <f>P1433*E1433</f>
        <v>41220830666</v>
      </c>
      <c r="R1433" s="195">
        <f>Q1433/L1433</f>
        <v>2.4070558053138686</v>
      </c>
      <c r="S1433" s="197">
        <f>(Q1433+K1433)/H1433</f>
        <v>12.272572254608544</v>
      </c>
      <c r="T1433" s="180">
        <v>-9897800000</v>
      </c>
      <c r="U1433" s="189">
        <f>IFERROR(IF(Tableau3[[#This Row],[Dettes]]=0,"",(Tableau3[[#This Row],[Dettes]]/Tableau3[[#This Row],[EBE]])),"")</f>
        <v>3.3328995879418781</v>
      </c>
      <c r="V1433" s="190">
        <f>IFERROR(Tableau3[[#This Row],[Fonds propres]]/Tableau3[[#This Row],[Total Bilan]],"")</f>
        <v>0.38816356135817581</v>
      </c>
      <c r="W1433" s="180">
        <v>44118000000</v>
      </c>
      <c r="Y1433" s="180">
        <v>66700</v>
      </c>
      <c r="Z1433" s="192">
        <f>IFERROR(Tableau3[[#This Row],[Chiffre d''affaires]]/Tableau3[[#This Row],[Salariés]],"")</f>
        <v>271889.05547226389</v>
      </c>
      <c r="AA1433" s="177"/>
      <c r="AC1433" s="177" t="s">
        <v>4613</v>
      </c>
    </row>
    <row r="1434" spans="1:29" ht="20.25" customHeight="1">
      <c r="A1434" s="217"/>
      <c r="E1434" s="187"/>
      <c r="F1434" s="230"/>
      <c r="G1434" s="202">
        <f>(G1433/G1435)-1</f>
        <v>0.14640622036791195</v>
      </c>
      <c r="H1434" s="203">
        <f>(H1433/H1435)-1</f>
        <v>8.1886438291881802E-2</v>
      </c>
      <c r="I1434" s="203">
        <f>(I1433/I1435)-1</f>
        <v>5.8823529411764719E-2</v>
      </c>
      <c r="J1434" s="203">
        <f>(J1433/J1435)-1</f>
        <v>5.0113895216400861E-2</v>
      </c>
      <c r="K1434" s="188"/>
      <c r="L1434" s="188"/>
      <c r="M1434" s="177"/>
      <c r="N1434" s="190"/>
      <c r="O1434" s="190"/>
      <c r="P1434" s="188"/>
      <c r="Q1434" s="231"/>
      <c r="R1434" s="195"/>
      <c r="S1434" s="178"/>
      <c r="T1434" s="180"/>
      <c r="U1434" s="189" t="str">
        <f>IFERROR(IF(Tableau3[[#This Row],[Dettes]]=0,"",(Tableau3[[#This Row],[Dettes]]/Tableau3[[#This Row],[EBE]])),"")</f>
        <v/>
      </c>
      <c r="V1434" s="190" t="str">
        <f>IFERROR(Tableau3[[#This Row],[Fonds propres]]/Tableau3[[#This Row],[Total Bilan]],"")</f>
        <v/>
      </c>
      <c r="W1434" s="180"/>
      <c r="Y1434" s="180"/>
      <c r="Z1434" s="192" t="str">
        <f>IFERROR(Tableau3[[#This Row],[Chiffre d''affaires]]/Tableau3[[#This Row],[Salariés]],"")</f>
        <v/>
      </c>
      <c r="AA1434" s="177"/>
      <c r="AC1434" s="177" t="s">
        <v>990</v>
      </c>
    </row>
    <row r="1435" spans="1:29" ht="20.25" customHeight="1">
      <c r="A1435" s="217"/>
      <c r="E1435" s="187">
        <v>92.72</v>
      </c>
      <c r="F1435" s="230">
        <v>2015</v>
      </c>
      <c r="G1435" s="188">
        <v>15819000000</v>
      </c>
      <c r="H1435" s="188">
        <v>4262000000</v>
      </c>
      <c r="I1435" s="188">
        <v>2856000000</v>
      </c>
      <c r="J1435" s="188">
        <v>1756000000</v>
      </c>
      <c r="K1435" s="188">
        <v>7239000000</v>
      </c>
      <c r="L1435" s="188">
        <v>12771000000</v>
      </c>
      <c r="M1435" s="194">
        <f>L1435/P1435</f>
        <v>37.107417017205748</v>
      </c>
      <c r="N1435" s="190">
        <f>J1435/L1437</f>
        <v>0.15220594608650428</v>
      </c>
      <c r="O1435" s="190">
        <f>(Tableau3[[#This Row],[Résultat d''exploitation]]*0.74)/(K1437+L1437)</f>
        <v>0.11856007270320153</v>
      </c>
      <c r="P1435" s="188">
        <v>344163001</v>
      </c>
      <c r="Q1435" s="231">
        <f>P1435*E1435</f>
        <v>31910793452.720001</v>
      </c>
      <c r="R1435" s="195">
        <f>Q1435/L1435</f>
        <v>2.4986918371873776</v>
      </c>
      <c r="S1435" s="197">
        <f>(Q1435+K1435)/H1435</f>
        <v>9.1857797871234173</v>
      </c>
      <c r="T1435" s="180">
        <v>551300000</v>
      </c>
      <c r="U1435" s="189">
        <f>IFERROR(IF(Tableau3[[#This Row],[Dettes]]=0,"",(Tableau3[[#This Row],[Dettes]]/Tableau3[[#This Row],[EBE]])),"")</f>
        <v>1.6984983575786017</v>
      </c>
      <c r="V1435" s="190">
        <f>IFERROR(Tableau3[[#This Row],[Fonds propres]]/Tableau3[[#This Row],[Total Bilan]],"")</f>
        <v>0.44127708095781071</v>
      </c>
      <c r="W1435" s="180">
        <v>28941000000</v>
      </c>
      <c r="Y1435" s="180">
        <v>51500</v>
      </c>
      <c r="Z1435" s="192">
        <f>IFERROR(Tableau3[[#This Row],[Chiffre d''affaires]]/Tableau3[[#This Row],[Salariés]],"")</f>
        <v>307165.04854368931</v>
      </c>
      <c r="AA1435" s="177"/>
      <c r="AC1435" s="177" t="s">
        <v>991</v>
      </c>
    </row>
    <row r="1436" spans="1:29" ht="20.25" customHeight="1">
      <c r="A1436" s="217"/>
      <c r="E1436" s="187"/>
      <c r="F1436" s="230"/>
      <c r="G1436" s="202">
        <f>(G1435/G1437)-1</f>
        <v>3.0016929287667748E-2</v>
      </c>
      <c r="H1436" s="203">
        <f>(H1435/H1437)-1</f>
        <v>9.6193415637860102E-2</v>
      </c>
      <c r="I1436" s="203">
        <f>(I1435/I1437)-1</f>
        <v>8.4282460136674286E-2</v>
      </c>
      <c r="J1436" s="203">
        <f>(J1435/J1437)-1</f>
        <v>5.4654654654654689E-2</v>
      </c>
      <c r="K1436" s="188"/>
      <c r="L1436" s="188"/>
      <c r="M1436" s="177"/>
      <c r="N1436" s="190"/>
      <c r="O1436" s="190"/>
      <c r="P1436" s="188"/>
      <c r="Q1436" s="231"/>
      <c r="R1436" s="195"/>
      <c r="S1436" s="178"/>
      <c r="T1436" s="180"/>
      <c r="U1436" s="189" t="str">
        <f>IFERROR(IF(Tableau3[[#This Row],[Dettes]]=0,"",(Tableau3[[#This Row],[Dettes]]/Tableau3[[#This Row],[EBE]])),"")</f>
        <v/>
      </c>
      <c r="V1436" s="190" t="str">
        <f>IFERROR(Tableau3[[#This Row],[Fonds propres]]/Tableau3[[#This Row],[Total Bilan]],"")</f>
        <v/>
      </c>
      <c r="W1436" s="180"/>
      <c r="Y1436" s="180"/>
      <c r="Z1436" s="192" t="str">
        <f>IFERROR(Tableau3[[#This Row],[Chiffre d''affaires]]/Tableau3[[#This Row],[Salariés]],"")</f>
        <v/>
      </c>
      <c r="AA1436" s="177"/>
      <c r="AC1436" s="177" t="s">
        <v>992</v>
      </c>
    </row>
    <row r="1437" spans="1:29" ht="20.25" customHeight="1">
      <c r="A1437" s="217"/>
      <c r="E1437" s="187">
        <v>68.42</v>
      </c>
      <c r="F1437" s="230">
        <v>2014</v>
      </c>
      <c r="G1437" s="188">
        <v>15358000000</v>
      </c>
      <c r="H1437" s="188">
        <v>3888000000</v>
      </c>
      <c r="I1437" s="188">
        <v>2634000000</v>
      </c>
      <c r="J1437" s="188">
        <v>1665000000</v>
      </c>
      <c r="K1437" s="188">
        <v>6288900000</v>
      </c>
      <c r="L1437" s="188">
        <v>11537000000</v>
      </c>
      <c r="M1437" s="194">
        <f t="shared" ref="M1437" si="132">L1437/P1437</f>
        <v>33.452905602902966</v>
      </c>
      <c r="N1437" s="190">
        <f>J1437/L1439</f>
        <v>0.15670588235294117</v>
      </c>
      <c r="O1437" s="190">
        <f>(Tableau3[[#This Row],[Résultat d''exploitation]]*0.74)/(K1439+L1439)</f>
        <v>0.1170842468839165</v>
      </c>
      <c r="P1437" s="188">
        <v>344872883</v>
      </c>
      <c r="Q1437" s="231">
        <f t="shared" ref="Q1437" si="133">P1437*E1437</f>
        <v>23596202654.860001</v>
      </c>
      <c r="R1437" s="195">
        <f t="shared" ref="R1437" si="134">Q1437/L1437</f>
        <v>2.0452632967721245</v>
      </c>
      <c r="S1437" s="197">
        <f t="shared" ref="S1437" si="135">(Q1437+K1437)/H1437</f>
        <v>7.6864975964146094</v>
      </c>
      <c r="T1437" s="180"/>
      <c r="U1437" s="189">
        <f>IFERROR(IF(Tableau3[[#This Row],[Dettes]]=0,"",(Tableau3[[#This Row],[Dettes]]/Tableau3[[#This Row],[EBE]])),"")</f>
        <v>1.6175154320987655</v>
      </c>
      <c r="V1437" s="190">
        <f>IFERROR(Tableau3[[#This Row],[Fonds propres]]/Tableau3[[#This Row],[Total Bilan]],"")</f>
        <v>0.43169317118802619</v>
      </c>
      <c r="W1437" s="180">
        <v>26725000000</v>
      </c>
      <c r="Y1437" s="180">
        <v>50300</v>
      </c>
      <c r="Z1437" s="192">
        <f>IFERROR(Tableau3[[#This Row],[Chiffre d''affaires]]/Tableau3[[#This Row],[Salariés]],"")</f>
        <v>305328.03180914512</v>
      </c>
      <c r="AA1437" s="177"/>
      <c r="AC1437" s="177" t="s">
        <v>993</v>
      </c>
    </row>
    <row r="1438" spans="1:29" ht="20.25" customHeight="1">
      <c r="A1438" s="217"/>
      <c r="E1438" s="187"/>
      <c r="F1438" s="230"/>
      <c r="G1438" s="202">
        <f>(G1437/G1439)-1</f>
        <v>8.7356321839080486E-3</v>
      </c>
      <c r="H1438" s="203">
        <f>(H1437/H1439)-1</f>
        <v>1.593937810295265E-2</v>
      </c>
      <c r="I1438" s="203">
        <f>(I1437/I1439)-1</f>
        <v>2.0534676481983816E-2</v>
      </c>
      <c r="J1438" s="203">
        <f>(J1437/J1439)-1</f>
        <v>1.5243902439024293E-2</v>
      </c>
      <c r="K1438" s="188"/>
      <c r="L1438" s="188"/>
      <c r="M1438" s="177"/>
      <c r="N1438" s="190"/>
      <c r="O1438" s="190"/>
      <c r="P1438" s="188"/>
      <c r="Q1438" s="231"/>
      <c r="R1438" s="195"/>
      <c r="S1438" s="178"/>
      <c r="T1438" s="180"/>
      <c r="U1438" s="189" t="str">
        <f>IFERROR(IF(Tableau3[[#This Row],[Dettes]]=0,"",(Tableau3[[#This Row],[Dettes]]/Tableau3[[#This Row],[EBE]])),"")</f>
        <v/>
      </c>
      <c r="V1438" s="190" t="str">
        <f>IFERROR(Tableau3[[#This Row],[Fonds propres]]/Tableau3[[#This Row],[Total Bilan]],"")</f>
        <v/>
      </c>
      <c r="W1438" s="180"/>
      <c r="Y1438" s="180"/>
      <c r="Z1438" s="192" t="str">
        <f>IFERROR(Tableau3[[#This Row],[Chiffre d''affaires]]/Tableau3[[#This Row],[Salariés]],"")</f>
        <v/>
      </c>
      <c r="AA1438" s="177"/>
      <c r="AC1438" s="177" t="s">
        <v>994</v>
      </c>
    </row>
    <row r="1439" spans="1:29" ht="20.25" customHeight="1">
      <c r="A1439" s="217"/>
      <c r="E1439" s="187">
        <v>62.17</v>
      </c>
      <c r="F1439" s="178">
        <v>2013</v>
      </c>
      <c r="G1439" s="188">
        <v>15225000000</v>
      </c>
      <c r="H1439" s="188">
        <v>3827000000</v>
      </c>
      <c r="I1439" s="188">
        <v>2581000000</v>
      </c>
      <c r="J1439" s="188">
        <v>1640000000</v>
      </c>
      <c r="K1439" s="188">
        <v>6022500000</v>
      </c>
      <c r="L1439" s="188">
        <v>10625000000</v>
      </c>
      <c r="M1439" s="194">
        <f t="shared" ref="M1439" si="136">L1439/P1439</f>
        <v>33.963951911314759</v>
      </c>
      <c r="N1439" s="190">
        <f>J1439/L1441</f>
        <v>0.16094210009813542</v>
      </c>
      <c r="O1439" s="190">
        <f>(Tableau3[[#This Row],[Résultat d''exploitation]]*0.74)/(K1441+L1441)</f>
        <v>0.11800533821021675</v>
      </c>
      <c r="P1439" s="188">
        <v>312831676</v>
      </c>
      <c r="Q1439" s="231">
        <f t="shared" ref="Q1439" si="137">P1439*E1439</f>
        <v>19448745296.920002</v>
      </c>
      <c r="R1439" s="195">
        <f t="shared" ref="R1439" si="138">Q1439/L1439</f>
        <v>1.8304701455924708</v>
      </c>
      <c r="S1439" s="197">
        <f t="shared" ref="S1439" si="139">(Q1439+K1439)/H1439</f>
        <v>6.6556690088633399</v>
      </c>
      <c r="T1439" s="180"/>
      <c r="U1439" s="189">
        <f>IFERROR(IF(Tableau3[[#This Row],[Dettes]]=0,"",(Tableau3[[#This Row],[Dettes]]/Tableau3[[#This Row],[EBE]])),"")</f>
        <v>1.5736869610661093</v>
      </c>
      <c r="V1439" s="190">
        <f>IFERROR(Tableau3[[#This Row],[Fonds propres]]/Tableau3[[#This Row],[Total Bilan]],"")</f>
        <v>0.42339111376768279</v>
      </c>
      <c r="W1439" s="180">
        <v>25095000000</v>
      </c>
      <c r="X1439" s="191"/>
      <c r="Y1439" s="180">
        <v>50250</v>
      </c>
      <c r="Z1439" s="192">
        <f>IFERROR(Tableau3[[#This Row],[Chiffre d''affaires]]/Tableau3[[#This Row],[Salariés]],"")</f>
        <v>302985.07462686568</v>
      </c>
      <c r="AA1439" s="197"/>
      <c r="AB1439" s="197"/>
      <c r="AC1439" s="177" t="s">
        <v>4901</v>
      </c>
    </row>
    <row r="1440" spans="1:29" ht="20.25" customHeight="1">
      <c r="A1440" s="217"/>
      <c r="E1440" s="187"/>
      <c r="F1440" s="230"/>
      <c r="G1440" s="202">
        <f>(G1439/G1441)-1</f>
        <v>-6.5901083126712612E-3</v>
      </c>
      <c r="H1440" s="203">
        <f>(H1439/H1441)-1</f>
        <v>1.4850172368072068E-2</v>
      </c>
      <c r="I1440" s="203">
        <f>(I1439/I1441)-1</f>
        <v>1.0967489228358884E-2</v>
      </c>
      <c r="J1440" s="203">
        <f>(J1439/J1441)-1</f>
        <v>3.0798240100565755E-2</v>
      </c>
      <c r="K1440" s="188"/>
      <c r="L1440" s="188"/>
      <c r="M1440" s="177"/>
      <c r="N1440" s="190"/>
      <c r="O1440" s="190"/>
      <c r="P1440" s="188"/>
      <c r="Q1440" s="231"/>
      <c r="R1440" s="195"/>
      <c r="S1440" s="178"/>
      <c r="T1440" s="180"/>
      <c r="U1440" s="189" t="str">
        <f>IFERROR(IF(Tableau3[[#This Row],[Dettes]]=0,"",(Tableau3[[#This Row],[Dettes]]/Tableau3[[#This Row],[EBE]])),"")</f>
        <v/>
      </c>
      <c r="V1440" s="190" t="str">
        <f>IFERROR(Tableau3[[#This Row],[Fonds propres]]/Tableau3[[#This Row],[Total Bilan]],"")</f>
        <v/>
      </c>
      <c r="W1440" s="180"/>
      <c r="X1440" s="191"/>
      <c r="Y1440" s="180"/>
      <c r="Z1440" s="192" t="str">
        <f>IFERROR(Tableau3[[#This Row],[Chiffre d''affaires]]/Tableau3[[#This Row],[Salariés]],"")</f>
        <v/>
      </c>
      <c r="AA1440" s="197"/>
      <c r="AB1440" s="197"/>
      <c r="AC1440" s="177" t="s">
        <v>4619</v>
      </c>
    </row>
    <row r="1441" spans="1:29" ht="20.25" customHeight="1">
      <c r="A1441" s="217"/>
      <c r="E1441" s="187">
        <v>57.48</v>
      </c>
      <c r="F1441" s="230">
        <v>2012</v>
      </c>
      <c r="G1441" s="188">
        <v>15326000000</v>
      </c>
      <c r="H1441" s="188">
        <v>3771000000</v>
      </c>
      <c r="I1441" s="188">
        <v>2553000000</v>
      </c>
      <c r="J1441" s="188">
        <v>1591000000</v>
      </c>
      <c r="K1441" s="188">
        <v>5995200000</v>
      </c>
      <c r="L1441" s="188">
        <v>10190000000</v>
      </c>
      <c r="M1441" s="194">
        <f t="shared" ref="M1441" si="140">L1441/P1441</f>
        <v>32.630851097872352</v>
      </c>
      <c r="N1441" s="190">
        <f>J1441/L1443</f>
        <v>0.16302899887283534</v>
      </c>
      <c r="O1441" s="190">
        <f>(Tableau3[[#This Row],[Résultat d''exploitation]]*0.74)/(K1443+L1443)</f>
        <v>0.12669975186104218</v>
      </c>
      <c r="P1441" s="188">
        <v>312281159</v>
      </c>
      <c r="Q1441" s="231">
        <f t="shared" ref="Q1441" si="141">P1441*E1441</f>
        <v>17949921019.32</v>
      </c>
      <c r="R1441" s="195">
        <f t="shared" ref="R1441" si="142">Q1441/L1441</f>
        <v>1.7615231618567222</v>
      </c>
      <c r="S1441" s="197">
        <f t="shared" ref="S1441" si="143">(Q1441+K1441)/H1441</f>
        <v>6.349806687700875</v>
      </c>
      <c r="T1441" s="180"/>
      <c r="U1441" s="189">
        <f>IFERROR(IF(Tableau3[[#This Row],[Dettes]]=0,"",(Tableau3[[#This Row],[Dettes]]/Tableau3[[#This Row],[EBE]])),"")</f>
        <v>1.5898170246618935</v>
      </c>
      <c r="V1441" s="190">
        <f>IFERROR(Tableau3[[#This Row],[Fonds propres]]/Tableau3[[#This Row],[Total Bilan]],"")</f>
        <v>0.40742073487665426</v>
      </c>
      <c r="W1441" s="180">
        <v>25011000000</v>
      </c>
      <c r="X1441" s="191"/>
      <c r="Y1441" s="180">
        <v>49500</v>
      </c>
      <c r="Z1441" s="192">
        <f>IFERROR(Tableau3[[#This Row],[Chiffre d''affaires]]/Tableau3[[#This Row],[Salariés]],"")</f>
        <v>309616.16161616164</v>
      </c>
      <c r="AA1441" s="197"/>
      <c r="AB1441" s="197"/>
      <c r="AC1441" s="177" t="s">
        <v>4620</v>
      </c>
    </row>
    <row r="1442" spans="1:29" ht="20.25" customHeight="1">
      <c r="A1442" s="217"/>
      <c r="E1442" s="187"/>
      <c r="F1442" s="230"/>
      <c r="G1442" s="202">
        <f>(G1441/G1443)-1</f>
        <v>6.0109289617486406E-2</v>
      </c>
      <c r="H1442" s="203">
        <f>(H1441/H1443)-1</f>
        <v>6.2852311161217589E-2</v>
      </c>
      <c r="I1442" s="203">
        <f>(I1441/I1443)-1</f>
        <v>5.9775840597758423E-2</v>
      </c>
      <c r="J1442" s="203">
        <f>(J1441/J1443)-1</f>
        <v>3.6482084690553807E-2</v>
      </c>
      <c r="K1442" s="188"/>
      <c r="L1442" s="188"/>
      <c r="M1442" s="177"/>
      <c r="N1442" s="190"/>
      <c r="O1442" s="190"/>
      <c r="P1442" s="188"/>
      <c r="Q1442" s="231"/>
      <c r="R1442" s="195"/>
      <c r="S1442" s="178"/>
      <c r="T1442" s="180"/>
      <c r="U1442" s="189" t="str">
        <f>IFERROR(IF(Tableau3[[#This Row],[Dettes]]=0,"",(Tableau3[[#This Row],[Dettes]]/Tableau3[[#This Row],[EBE]])),"")</f>
        <v/>
      </c>
      <c r="V1442" s="190" t="str">
        <f>IFERROR(Tableau3[[#This Row],[Fonds propres]]/Tableau3[[#This Row],[Total Bilan]],"")</f>
        <v/>
      </c>
      <c r="W1442" s="180"/>
      <c r="X1442" s="191"/>
      <c r="Y1442" s="180"/>
      <c r="Z1442" s="192" t="str">
        <f>IFERROR(Tableau3[[#This Row],[Chiffre d''affaires]]/Tableau3[[#This Row],[Salariés]],"")</f>
        <v/>
      </c>
      <c r="AA1442" s="197"/>
      <c r="AB1442" s="197"/>
      <c r="AC1442" s="177" t="s">
        <v>995</v>
      </c>
    </row>
    <row r="1443" spans="1:29" ht="20.25" customHeight="1">
      <c r="A1443" s="217"/>
      <c r="E1443" s="187">
        <v>52.44</v>
      </c>
      <c r="F1443" s="230">
        <v>2011</v>
      </c>
      <c r="G1443" s="188">
        <v>14457000000</v>
      </c>
      <c r="H1443" s="188">
        <v>3548000000</v>
      </c>
      <c r="I1443" s="188">
        <v>2409000000</v>
      </c>
      <c r="J1443" s="188">
        <v>1535000000</v>
      </c>
      <c r="K1443" s="188">
        <v>5152000000</v>
      </c>
      <c r="L1443" s="188">
        <v>9759000000</v>
      </c>
      <c r="M1443" s="194">
        <f t="shared" ref="M1443" si="144">L1443/P1443</f>
        <v>34.385324240729389</v>
      </c>
      <c r="N1443" s="190"/>
      <c r="O1443" s="190"/>
      <c r="P1443" s="188">
        <v>283812941</v>
      </c>
      <c r="Q1443" s="231">
        <f t="shared" ref="Q1443" si="145">P1443*E1443</f>
        <v>14883150626.039999</v>
      </c>
      <c r="R1443" s="195">
        <f t="shared" ref="R1443" si="146">Q1443/L1443</f>
        <v>1.5250692310728557</v>
      </c>
      <c r="S1443" s="197">
        <f t="shared" ref="S1443" si="147">(Q1443+K1443)/H1443</f>
        <v>5.64688574578354</v>
      </c>
      <c r="T1443" s="180"/>
      <c r="U1443" s="189">
        <f>IFERROR(IF(Tableau3[[#This Row],[Dettes]]=0,"",(Tableau3[[#This Row],[Dettes]]/Tableau3[[#This Row],[EBE]])),"")</f>
        <v>1.4520856820744081</v>
      </c>
      <c r="V1443" s="190">
        <f>IFERROR(Tableau3[[#This Row],[Fonds propres]]/Tableau3[[#This Row],[Total Bilan]],"")</f>
        <v>0.40455167267752767</v>
      </c>
      <c r="W1443" s="180">
        <v>24123000000</v>
      </c>
      <c r="X1443" s="191"/>
      <c r="Y1443" s="180">
        <v>46200</v>
      </c>
      <c r="Z1443" s="192">
        <f>IFERROR(Tableau3[[#This Row],[Chiffre d''affaires]]/Tableau3[[#This Row],[Salariés]],"")</f>
        <v>312922.07792207791</v>
      </c>
      <c r="AA1443" s="197"/>
      <c r="AB1443" s="197"/>
      <c r="AC1443" s="177" t="s">
        <v>4894</v>
      </c>
    </row>
    <row r="1444" spans="1:29" ht="20.25" customHeight="1">
      <c r="A1444" s="217"/>
      <c r="E1444" s="187"/>
      <c r="F1444" s="230"/>
      <c r="G1444" s="188"/>
      <c r="H1444" s="188"/>
      <c r="I1444" s="188"/>
      <c r="J1444" s="188"/>
      <c r="K1444" s="188"/>
      <c r="L1444" s="188"/>
      <c r="M1444" s="177"/>
      <c r="N1444" s="190"/>
      <c r="O1444" s="190"/>
      <c r="P1444" s="188"/>
      <c r="Q1444" s="231"/>
      <c r="R1444" s="195"/>
      <c r="S1444" s="178"/>
      <c r="T1444" s="180"/>
      <c r="U1444" s="189" t="str">
        <f>IFERROR(IF(Tableau3[[#This Row],[Dettes]]=0,"",(Tableau3[[#This Row],[Dettes]]/Tableau3[[#This Row],[EBE]])),"")</f>
        <v/>
      </c>
      <c r="V1444" s="190" t="str">
        <f>IFERROR(Tableau3[[#This Row],[Fonds propres]]/Tableau3[[#This Row],[Total Bilan]],"")</f>
        <v/>
      </c>
      <c r="W1444" s="180"/>
      <c r="X1444" s="191"/>
      <c r="Y1444" s="180"/>
      <c r="Z1444" s="192" t="str">
        <f>IFERROR(Tableau3[[#This Row],[Chiffre d''affaires]]/Tableau3[[#This Row],[Salariés]],"")</f>
        <v/>
      </c>
      <c r="AA1444" s="197"/>
      <c r="AB1444" s="197"/>
      <c r="AC1444" s="177" t="s">
        <v>4480</v>
      </c>
    </row>
    <row r="1445" spans="1:29" ht="20.25" customHeight="1">
      <c r="A1445" s="217"/>
      <c r="E1445" s="187"/>
      <c r="F1445" s="230"/>
      <c r="G1445" s="188"/>
      <c r="H1445" s="188"/>
      <c r="I1445" s="188"/>
      <c r="J1445" s="188"/>
      <c r="K1445" s="188"/>
      <c r="L1445" s="188"/>
      <c r="M1445" s="178"/>
      <c r="N1445" s="190"/>
      <c r="O1445" s="190"/>
      <c r="P1445" s="188"/>
      <c r="Q1445" s="211"/>
      <c r="R1445" s="195"/>
      <c r="S1445" s="178"/>
      <c r="T1445" s="180"/>
      <c r="U1445" s="189" t="str">
        <f>IFERROR(IF(Tableau3[[#This Row],[Dettes]]=0,"",(Tableau3[[#This Row],[Dettes]]/Tableau3[[#This Row],[EBE]])),"")</f>
        <v/>
      </c>
      <c r="V1445" s="190" t="str">
        <f>IFERROR(Tableau3[[#This Row],[Fonds propres]]/Tableau3[[#This Row],[Total Bilan]],"")</f>
        <v/>
      </c>
      <c r="W1445" s="180"/>
      <c r="X1445" s="191"/>
      <c r="Y1445" s="180"/>
      <c r="Z1445" s="192" t="str">
        <f>IFERROR(Tableau3[[#This Row],[Chiffre d''affaires]]/Tableau3[[#This Row],[Salariés]],"")</f>
        <v/>
      </c>
      <c r="AA1445" s="197"/>
      <c r="AB1445" s="197"/>
      <c r="AC1445" s="177" t="s">
        <v>996</v>
      </c>
    </row>
    <row r="1446" spans="1:29" ht="20.25" customHeight="1">
      <c r="A1446" s="217"/>
      <c r="E1446" s="187"/>
      <c r="F1446" s="230"/>
      <c r="G1446" s="188"/>
      <c r="H1446" s="188"/>
      <c r="I1446" s="188"/>
      <c r="J1446" s="188"/>
      <c r="K1446" s="188"/>
      <c r="L1446" s="188"/>
      <c r="M1446" s="178"/>
      <c r="N1446" s="190"/>
      <c r="O1446" s="190"/>
      <c r="P1446" s="188"/>
      <c r="Q1446" s="211"/>
      <c r="R1446" s="195"/>
      <c r="S1446" s="178"/>
      <c r="T1446" s="180"/>
      <c r="U1446" s="189" t="str">
        <f>IFERROR(IF(Tableau3[[#This Row],[Dettes]]=0,"",(Tableau3[[#This Row],[Dettes]]/Tableau3[[#This Row],[EBE]])),"")</f>
        <v/>
      </c>
      <c r="V1446" s="190" t="str">
        <f>IFERROR(Tableau3[[#This Row],[Fonds propres]]/Tableau3[[#This Row],[Total Bilan]],"")</f>
        <v/>
      </c>
      <c r="W1446" s="180"/>
      <c r="X1446" s="191"/>
      <c r="Y1446" s="180"/>
      <c r="Z1446" s="192" t="str">
        <f>IFERROR(Tableau3[[#This Row],[Chiffre d''affaires]]/Tableau3[[#This Row],[Salariés]],"")</f>
        <v/>
      </c>
      <c r="AA1446" s="197"/>
      <c r="AB1446" s="197"/>
    </row>
    <row r="1447" spans="1:29" ht="20.25" customHeight="1">
      <c r="A1447" s="217"/>
      <c r="E1447" s="187"/>
      <c r="F1447" s="230"/>
      <c r="G1447" s="188"/>
      <c r="H1447" s="188"/>
      <c r="I1447" s="188"/>
      <c r="J1447" s="188"/>
      <c r="K1447" s="188"/>
      <c r="L1447" s="188"/>
      <c r="M1447" s="178"/>
      <c r="N1447" s="190"/>
      <c r="O1447" s="190"/>
      <c r="P1447" s="188"/>
      <c r="Q1447" s="211"/>
      <c r="R1447" s="195"/>
      <c r="S1447" s="178"/>
      <c r="T1447" s="180"/>
      <c r="U1447" s="189" t="str">
        <f>IFERROR(IF(Tableau3[[#This Row],[Dettes]]=0,"",(Tableau3[[#This Row],[Dettes]]/Tableau3[[#This Row],[EBE]])),"")</f>
        <v/>
      </c>
      <c r="V1447" s="190" t="str">
        <f>IFERROR(Tableau3[[#This Row],[Fonds propres]]/Tableau3[[#This Row],[Total Bilan]],"")</f>
        <v/>
      </c>
      <c r="W1447" s="180"/>
      <c r="X1447" s="191"/>
      <c r="Y1447" s="180"/>
      <c r="Z1447" s="192" t="str">
        <f>IFERROR(Tableau3[[#This Row],[Chiffre d''affaires]]/Tableau3[[#This Row],[Salariés]],"")</f>
        <v/>
      </c>
      <c r="AA1447" s="197"/>
      <c r="AB1447" s="197"/>
    </row>
    <row r="1448" spans="1:29" ht="20.25" customHeight="1">
      <c r="A1448" s="217"/>
      <c r="E1448" s="187"/>
      <c r="F1448" s="230"/>
      <c r="G1448" s="188"/>
      <c r="H1448" s="188"/>
      <c r="I1448" s="188"/>
      <c r="J1448" s="188"/>
      <c r="K1448" s="188"/>
      <c r="L1448" s="188"/>
      <c r="M1448" s="178"/>
      <c r="N1448" s="190"/>
      <c r="O1448" s="190"/>
      <c r="P1448" s="188"/>
      <c r="Q1448" s="211"/>
      <c r="R1448" s="195"/>
      <c r="S1448" s="178"/>
      <c r="T1448" s="180"/>
      <c r="U1448" s="189" t="str">
        <f>IFERROR(IF(Tableau3[[#This Row],[Dettes]]=0,"",(Tableau3[[#This Row],[Dettes]]/Tableau3[[#This Row],[EBE]])),"")</f>
        <v/>
      </c>
      <c r="V1448" s="190" t="str">
        <f>IFERROR(Tableau3[[#This Row],[Fonds propres]]/Tableau3[[#This Row],[Total Bilan]],"")</f>
        <v/>
      </c>
      <c r="W1448" s="180"/>
      <c r="X1448" s="191"/>
      <c r="Y1448" s="180"/>
      <c r="Z1448" s="192" t="str">
        <f>IFERROR(Tableau3[[#This Row],[Chiffre d''affaires]]/Tableau3[[#This Row],[Salariés]],"")</f>
        <v/>
      </c>
      <c r="AA1448" s="197"/>
      <c r="AB1448" s="197"/>
    </row>
    <row r="1449" spans="1:29" ht="20.25" customHeight="1">
      <c r="A1449" s="217"/>
      <c r="E1449" s="187"/>
      <c r="F1449" s="230"/>
      <c r="G1449" s="188"/>
      <c r="H1449" s="188"/>
      <c r="I1449" s="188"/>
      <c r="J1449" s="188"/>
      <c r="K1449" s="188"/>
      <c r="L1449" s="188"/>
      <c r="M1449" s="194"/>
      <c r="N1449" s="190"/>
      <c r="O1449" s="190"/>
      <c r="P1449" s="188"/>
      <c r="Q1449" s="211"/>
      <c r="R1449" s="195"/>
      <c r="S1449" s="197"/>
      <c r="T1449" s="180"/>
      <c r="U1449" s="189" t="str">
        <f>IFERROR(IF(Tableau3[[#This Row],[Dettes]]=0,"",(Tableau3[[#This Row],[Dettes]]/Tableau3[[#This Row],[EBE]])),"")</f>
        <v/>
      </c>
      <c r="V1449" s="190" t="str">
        <f>IFERROR(Tableau3[[#This Row],[Fonds propres]]/Tableau3[[#This Row],[Total Bilan]],"")</f>
        <v/>
      </c>
      <c r="W1449" s="180"/>
      <c r="X1449" s="191"/>
      <c r="Y1449" s="180"/>
      <c r="Z1449" s="192" t="str">
        <f>IFERROR(Tableau3[[#This Row],[Chiffre d''affaires]]/Tableau3[[#This Row],[Salariés]],"")</f>
        <v/>
      </c>
      <c r="AA1449" s="197"/>
      <c r="AB1449" s="197"/>
    </row>
    <row r="1450" spans="1:29" ht="20.25" customHeight="1">
      <c r="A1450" s="217"/>
      <c r="E1450" s="187"/>
      <c r="F1450" s="230"/>
      <c r="G1450" s="188"/>
      <c r="H1450" s="188"/>
      <c r="I1450" s="188"/>
      <c r="J1450" s="188"/>
      <c r="K1450" s="188"/>
      <c r="L1450" s="188"/>
      <c r="M1450" s="194"/>
      <c r="N1450" s="190"/>
      <c r="O1450" s="190"/>
      <c r="P1450" s="188"/>
      <c r="Q1450" s="231"/>
      <c r="R1450" s="195"/>
      <c r="S1450" s="197"/>
      <c r="T1450" s="180"/>
      <c r="U1450" s="189" t="str">
        <f>IFERROR(IF(Tableau3[[#This Row],[Dettes]]=0,"",(Tableau3[[#This Row],[Dettes]]/Tableau3[[#This Row],[EBE]])),"")</f>
        <v/>
      </c>
      <c r="V1450" s="190" t="str">
        <f>IFERROR(Tableau3[[#This Row],[Fonds propres]]/Tableau3[[#This Row],[Total Bilan]],"")</f>
        <v/>
      </c>
      <c r="W1450" s="180"/>
      <c r="X1450" s="191"/>
      <c r="Y1450" s="180"/>
      <c r="Z1450" s="192" t="str">
        <f>IFERROR(Tableau3[[#This Row],[Chiffre d''affaires]]/Tableau3[[#This Row],[Salariés]],"")</f>
        <v/>
      </c>
      <c r="AA1450" s="197"/>
      <c r="AB1450" s="197"/>
    </row>
    <row r="1451" spans="1:29" ht="20.25" customHeight="1">
      <c r="A1451" s="217" t="s">
        <v>997</v>
      </c>
      <c r="B1451" s="216" t="s">
        <v>998</v>
      </c>
      <c r="C1451" s="178" t="s">
        <v>84</v>
      </c>
      <c r="D1451" s="178" t="s">
        <v>85</v>
      </c>
      <c r="E1451" s="187">
        <v>75</v>
      </c>
      <c r="F1451" s="230">
        <v>2025</v>
      </c>
      <c r="G1451" s="188"/>
      <c r="H1451" s="188"/>
      <c r="I1451" s="188"/>
      <c r="J1451" s="188"/>
      <c r="K1451" s="188"/>
      <c r="L1451" s="188"/>
      <c r="M1451" s="194">
        <f>L1451/P1451</f>
        <v>0</v>
      </c>
      <c r="N1451" s="190"/>
      <c r="O1451" s="190"/>
      <c r="P1451" s="188">
        <v>73085760</v>
      </c>
      <c r="Q1451" s="231">
        <f>P1451*E1451</f>
        <v>5481432000</v>
      </c>
      <c r="R1451" s="214" t="e">
        <f>Q1451/L1451</f>
        <v>#DIV/0!</v>
      </c>
      <c r="S1451" s="197"/>
      <c r="T1451" s="180"/>
      <c r="U1451" s="189" t="str">
        <f>IFERROR(IF(Tableau3[[#This Row],[Dettes]]=0,"",(Tableau3[[#This Row],[Dettes]]/Tableau3[[#This Row],[EBE]])),"")</f>
        <v/>
      </c>
      <c r="V1451" s="190" t="str">
        <f>IFERROR(Tableau3[[#This Row],[Fonds propres]]/Tableau3[[#This Row],[Total Bilan]],"")</f>
        <v/>
      </c>
      <c r="W1451" s="180"/>
      <c r="X1451" s="182" t="s">
        <v>106</v>
      </c>
      <c r="Y1451" s="180"/>
      <c r="Z1451" s="192" t="str">
        <f>IFERROR(Tableau3[[#This Row],[Chiffre d''affaires]]/Tableau3[[#This Row],[Salariés]],"")</f>
        <v/>
      </c>
      <c r="AA1451" s="197"/>
      <c r="AB1451" s="197"/>
      <c r="AC1451" s="177" t="s">
        <v>999</v>
      </c>
    </row>
    <row r="1452" spans="1:29" ht="20.25" customHeight="1">
      <c r="A1452" s="217"/>
      <c r="E1452" s="187"/>
      <c r="F1452" s="230"/>
      <c r="G1452" s="188"/>
      <c r="H1452" s="188"/>
      <c r="I1452" s="188"/>
      <c r="J1452" s="188"/>
      <c r="K1452" s="188"/>
      <c r="L1452" s="188"/>
      <c r="M1452" s="194"/>
      <c r="N1452" s="190"/>
      <c r="O1452" s="190"/>
      <c r="P1452" s="188"/>
      <c r="Q1452" s="231"/>
      <c r="R1452" s="195"/>
      <c r="S1452" s="197"/>
      <c r="T1452" s="180"/>
      <c r="U1452" s="189" t="str">
        <f>IFERROR(IF(Tableau3[[#This Row],[Dettes]]=0,"",(Tableau3[[#This Row],[Dettes]]/Tableau3[[#This Row],[EBE]])),"")</f>
        <v/>
      </c>
      <c r="V1452" s="190" t="str">
        <f>IFERROR(Tableau3[[#This Row],[Fonds propres]]/Tableau3[[#This Row],[Total Bilan]],"")</f>
        <v/>
      </c>
      <c r="W1452" s="180"/>
      <c r="X1452" s="191"/>
      <c r="Y1452" s="180"/>
      <c r="Z1452" s="192" t="str">
        <f>IFERROR(Tableau3[[#This Row],[Chiffre d''affaires]]/Tableau3[[#This Row],[Salariés]],"")</f>
        <v/>
      </c>
      <c r="AA1452" s="197"/>
      <c r="AB1452" s="197"/>
      <c r="AC1452" s="177" t="s">
        <v>1001</v>
      </c>
    </row>
    <row r="1453" spans="1:29" ht="20.25" customHeight="1">
      <c r="A1453" s="217"/>
      <c r="E1453" s="187">
        <v>71.95</v>
      </c>
      <c r="F1453" s="230">
        <v>2024</v>
      </c>
      <c r="G1453" s="188"/>
      <c r="H1453" s="188"/>
      <c r="I1453" s="188"/>
      <c r="J1453" s="188">
        <v>-430000000</v>
      </c>
      <c r="K1453" s="188"/>
      <c r="L1453" s="188"/>
      <c r="M1453" s="194">
        <v>107.8</v>
      </c>
      <c r="N1453" s="190"/>
      <c r="O1453" s="190"/>
      <c r="P1453" s="188">
        <v>76081874</v>
      </c>
      <c r="Q1453" s="231">
        <f>P1453*E1453</f>
        <v>5474090834.3000002</v>
      </c>
      <c r="R1453" s="214" t="e">
        <f>Q1453/L1453</f>
        <v>#DIV/0!</v>
      </c>
      <c r="S1453" s="197"/>
      <c r="T1453" s="180"/>
      <c r="U1453" s="189" t="str">
        <f>IFERROR(IF(Tableau3[[#This Row],[Dettes]]=0,"",(Tableau3[[#This Row],[Dettes]]/Tableau3[[#This Row],[EBE]])),"")</f>
        <v/>
      </c>
      <c r="V1453" s="190" t="str">
        <f>IFERROR(Tableau3[[#This Row],[Fonds propres]]/Tableau3[[#This Row],[Total Bilan]],"")</f>
        <v/>
      </c>
      <c r="W1453" s="180"/>
      <c r="Y1453" s="180"/>
      <c r="Z1453" s="192" t="str">
        <f>IFERROR(Tableau3[[#This Row],[Chiffre d''affaires]]/Tableau3[[#This Row],[Salariés]],"")</f>
        <v/>
      </c>
      <c r="AA1453" s="197"/>
      <c r="AB1453" s="197"/>
      <c r="AC1453" s="177" t="s">
        <v>1002</v>
      </c>
    </row>
    <row r="1454" spans="1:29" ht="20.25" customHeight="1">
      <c r="A1454" s="217"/>
      <c r="E1454" s="187"/>
      <c r="F1454" s="230"/>
      <c r="G1454" s="188"/>
      <c r="H1454" s="188"/>
      <c r="I1454" s="188"/>
      <c r="J1454" s="188"/>
      <c r="K1454" s="188"/>
      <c r="L1454" s="188"/>
      <c r="M1454" s="194"/>
      <c r="N1454" s="190"/>
      <c r="O1454" s="190"/>
      <c r="P1454" s="188"/>
      <c r="Q1454" s="231"/>
      <c r="R1454" s="195"/>
      <c r="S1454" s="197"/>
      <c r="T1454" s="180"/>
      <c r="U1454" s="189" t="str">
        <f>IFERROR(IF(Tableau3[[#This Row],[Dettes]]=0,"",(Tableau3[[#This Row],[Dettes]]/Tableau3[[#This Row],[EBE]])),"")</f>
        <v/>
      </c>
      <c r="V1454" s="190" t="str">
        <f>IFERROR(Tableau3[[#This Row],[Fonds propres]]/Tableau3[[#This Row],[Total Bilan]],"")</f>
        <v/>
      </c>
      <c r="W1454" s="180"/>
      <c r="X1454" s="191"/>
      <c r="Y1454" s="180"/>
      <c r="Z1454" s="192" t="str">
        <f>IFERROR(Tableau3[[#This Row],[Chiffre d''affaires]]/Tableau3[[#This Row],[Salariés]],"")</f>
        <v/>
      </c>
      <c r="AA1454" s="197"/>
      <c r="AB1454" s="197"/>
      <c r="AC1454" s="177" t="s">
        <v>1004</v>
      </c>
    </row>
    <row r="1455" spans="1:29" ht="20.25" customHeight="1">
      <c r="A1455" s="217"/>
      <c r="E1455" s="187">
        <v>71.849999999999994</v>
      </c>
      <c r="F1455" s="230">
        <v>2023</v>
      </c>
      <c r="G1455" s="188">
        <v>343700000</v>
      </c>
      <c r="H1455" s="188">
        <v>95199000</v>
      </c>
      <c r="I1455" s="188">
        <v>1911377000</v>
      </c>
      <c r="J1455" s="188">
        <v>1824317000</v>
      </c>
      <c r="K1455" s="188"/>
      <c r="L1455" s="188">
        <v>8102041000</v>
      </c>
      <c r="M1455" s="194">
        <f>L1455/P1455</f>
        <v>106.4910809110722</v>
      </c>
      <c r="N1455" s="190"/>
      <c r="O1455" s="190"/>
      <c r="P1455" s="188">
        <v>76081874</v>
      </c>
      <c r="Q1455" s="231">
        <f>P1455*E1455</f>
        <v>5466482646.8999996</v>
      </c>
      <c r="R1455" s="214">
        <f>Q1455/L1455</f>
        <v>0.67470439200443444</v>
      </c>
      <c r="S1455" s="197"/>
      <c r="T1455" s="180"/>
      <c r="U1455" s="189" t="str">
        <f>IFERROR(IF(Tableau3[[#This Row],[Dettes]]=0,"",(Tableau3[[#This Row],[Dettes]]/Tableau3[[#This Row],[EBE]])),"")</f>
        <v/>
      </c>
      <c r="V1455" s="190">
        <f>IFERROR(Tableau3[[#This Row],[Fonds propres]]/Tableau3[[#This Row],[Total Bilan]],"")</f>
        <v>0.8295888538717654</v>
      </c>
      <c r="W1455" s="180">
        <v>9766333000</v>
      </c>
      <c r="Y1455" s="180">
        <v>445</v>
      </c>
      <c r="Z1455" s="192">
        <f>34000000000/Tableau3[[#This Row],[Salariés]]</f>
        <v>76404494.38202247</v>
      </c>
      <c r="AA1455" s="197"/>
      <c r="AB1455" s="197"/>
      <c r="AC1455" s="177" t="s">
        <v>1003</v>
      </c>
    </row>
    <row r="1456" spans="1:29" ht="20.25" customHeight="1">
      <c r="A1456" s="217"/>
      <c r="E1456" s="187"/>
      <c r="F1456" s="230"/>
      <c r="G1456" s="188"/>
      <c r="H1456" s="188"/>
      <c r="I1456" s="188"/>
      <c r="J1456" s="188"/>
      <c r="K1456" s="188"/>
      <c r="L1456" s="188"/>
      <c r="M1456" s="194"/>
      <c r="N1456" s="190"/>
      <c r="O1456" s="190"/>
      <c r="P1456" s="188"/>
      <c r="Q1456" s="231"/>
      <c r="R1456" s="195"/>
      <c r="S1456" s="197"/>
      <c r="T1456" s="180"/>
      <c r="U1456" s="189" t="str">
        <f>IFERROR(IF(Tableau3[[#This Row],[Dettes]]=0,"",(Tableau3[[#This Row],[Dettes]]/Tableau3[[#This Row],[EBE]])),"")</f>
        <v/>
      </c>
      <c r="V1456" s="190" t="str">
        <f>IFERROR(Tableau3[[#This Row],[Fonds propres]]/Tableau3[[#This Row],[Total Bilan]],"")</f>
        <v/>
      </c>
      <c r="W1456" s="180"/>
      <c r="X1456" s="191"/>
      <c r="Y1456" s="180"/>
      <c r="Z1456" s="192" t="str">
        <f>IFERROR(Tableau3[[#This Row],[Chiffre d''affaires]]/Tableau3[[#This Row],[Salariés]],"")</f>
        <v/>
      </c>
      <c r="AA1456" s="197"/>
      <c r="AB1456" s="197"/>
      <c r="AC1456" s="177" t="s">
        <v>5054</v>
      </c>
    </row>
    <row r="1457" spans="1:29" ht="20.25" customHeight="1">
      <c r="A1457" s="217"/>
      <c r="E1457" s="187">
        <v>58.1</v>
      </c>
      <c r="F1457" s="230">
        <v>2022</v>
      </c>
      <c r="G1457" s="188">
        <v>4639548000</v>
      </c>
      <c r="H1457" s="188">
        <v>1359248000</v>
      </c>
      <c r="I1457" s="188">
        <v>966563000</v>
      </c>
      <c r="J1457" s="188">
        <v>595465200</v>
      </c>
      <c r="K1457" s="188"/>
      <c r="L1457" s="188">
        <v>6475408000</v>
      </c>
      <c r="M1457" s="194">
        <f>L1457/P1457</f>
        <v>81.734887941081979</v>
      </c>
      <c r="N1457" s="190"/>
      <c r="O1457" s="190"/>
      <c r="P1457" s="188">
        <v>79224529</v>
      </c>
      <c r="Q1457" s="231">
        <f>P1457*E1457</f>
        <v>4602945134.9000006</v>
      </c>
      <c r="R1457" s="214">
        <f>Q1457/L1457</f>
        <v>0.71083476668960477</v>
      </c>
      <c r="S1457" s="197"/>
      <c r="T1457" s="180"/>
      <c r="U1457" s="189" t="str">
        <f>IFERROR(IF(Tableau3[[#This Row],[Dettes]]=0,"",(Tableau3[[#This Row],[Dettes]]/Tableau3[[#This Row],[EBE]])),"")</f>
        <v/>
      </c>
      <c r="V1457" s="190">
        <f>IFERROR(Tableau3[[#This Row],[Fonds propres]]/Tableau3[[#This Row],[Total Bilan]],"")</f>
        <v>0.34343185661989623</v>
      </c>
      <c r="W1457" s="180">
        <v>18855001000</v>
      </c>
      <c r="Y1457" s="180">
        <v>360</v>
      </c>
      <c r="Z1457" s="192">
        <f>31000000000/Tableau3[[#This Row],[Salariés]]</f>
        <v>86111111.111111104</v>
      </c>
      <c r="AA1457" s="197"/>
      <c r="AB1457" s="197"/>
      <c r="AC1457" s="177" t="s">
        <v>1005</v>
      </c>
    </row>
    <row r="1458" spans="1:29" ht="20.25" customHeight="1">
      <c r="A1458" s="217"/>
      <c r="E1458" s="187"/>
      <c r="F1458" s="230"/>
      <c r="G1458" s="188"/>
      <c r="H1458" s="188"/>
      <c r="I1458" s="188"/>
      <c r="J1458" s="188"/>
      <c r="K1458" s="188"/>
      <c r="L1458" s="188"/>
      <c r="M1458" s="194"/>
      <c r="N1458" s="190"/>
      <c r="O1458" s="190"/>
      <c r="P1458" s="188"/>
      <c r="Q1458" s="231"/>
      <c r="R1458" s="195"/>
      <c r="S1458" s="197"/>
      <c r="T1458" s="180"/>
      <c r="U1458" s="189" t="str">
        <f>IFERROR(IF(Tableau3[[#This Row],[Dettes]]=0,"",(Tableau3[[#This Row],[Dettes]]/Tableau3[[#This Row],[EBE]])),"")</f>
        <v/>
      </c>
      <c r="V1458" s="190" t="str">
        <f>IFERROR(Tableau3[[#This Row],[Fonds propres]]/Tableau3[[#This Row],[Total Bilan]],"")</f>
        <v/>
      </c>
      <c r="W1458" s="180"/>
      <c r="X1458" s="191"/>
      <c r="Y1458" s="180"/>
      <c r="Z1458" s="192" t="str">
        <f>IFERROR(Tableau3[[#This Row],[Chiffre d''affaires]]/Tableau3[[#This Row],[Salariés]],"")</f>
        <v/>
      </c>
      <c r="AA1458" s="197"/>
      <c r="AB1458" s="197"/>
      <c r="AC1458" s="177" t="s">
        <v>5055</v>
      </c>
    </row>
    <row r="1459" spans="1:29" ht="20.25" customHeight="1">
      <c r="A1459" s="217"/>
      <c r="E1459" s="187">
        <v>76.849999999999994</v>
      </c>
      <c r="F1459" s="230">
        <v>2021</v>
      </c>
      <c r="G1459" s="188">
        <v>4493187000</v>
      </c>
      <c r="H1459" s="188">
        <v>2569000000</v>
      </c>
      <c r="I1459" s="188">
        <v>2253523000</v>
      </c>
      <c r="J1459" s="188">
        <v>1569594000</v>
      </c>
      <c r="K1459" s="188"/>
      <c r="L1459" s="188">
        <v>6157521000</v>
      </c>
      <c r="M1459" s="194">
        <f>L1459/P1459</f>
        <v>77.722405897799661</v>
      </c>
      <c r="N1459" s="190"/>
      <c r="O1459" s="190"/>
      <c r="P1459" s="188">
        <v>79224529</v>
      </c>
      <c r="Q1459" s="231">
        <f>P1459*E1459</f>
        <v>6088405053.6499996</v>
      </c>
      <c r="R1459" s="214">
        <f>Q1459/L1459</f>
        <v>0.98877536165122293</v>
      </c>
      <c r="S1459" s="197"/>
      <c r="T1459" s="180"/>
      <c r="U1459" s="189" t="str">
        <f>IFERROR(IF(Tableau3[[#This Row],[Dettes]]=0,"",(Tableau3[[#This Row],[Dettes]]/Tableau3[[#This Row],[EBE]])),"")</f>
        <v/>
      </c>
      <c r="V1459" s="190">
        <f>IFERROR(Tableau3[[#This Row],[Fonds propres]]/Tableau3[[#This Row],[Total Bilan]],"")</f>
        <v>0.37786525361805895</v>
      </c>
      <c r="W1459" s="180">
        <v>16295547000</v>
      </c>
      <c r="Y1459" s="180">
        <v>360</v>
      </c>
      <c r="Z1459" s="192">
        <f>33000000000/Tableau3[[#This Row],[Salariés]]</f>
        <v>91666666.666666672</v>
      </c>
      <c r="AA1459" s="197"/>
      <c r="AB1459" s="197"/>
      <c r="AC1459" s="177" t="s">
        <v>1006</v>
      </c>
    </row>
    <row r="1460" spans="1:29" ht="20.25" customHeight="1">
      <c r="A1460" s="217"/>
      <c r="E1460" s="187"/>
      <c r="F1460" s="230"/>
      <c r="G1460" s="188"/>
      <c r="H1460" s="188"/>
      <c r="I1460" s="188"/>
      <c r="J1460" s="188"/>
      <c r="K1460" s="188"/>
      <c r="L1460" s="188"/>
      <c r="M1460" s="194"/>
      <c r="N1460" s="190"/>
      <c r="O1460" s="190"/>
      <c r="P1460" s="188"/>
      <c r="Q1460" s="231"/>
      <c r="R1460" s="195"/>
      <c r="S1460" s="197"/>
      <c r="T1460" s="180"/>
      <c r="U1460" s="189" t="str">
        <f>IFERROR(IF(Tableau3[[#This Row],[Dettes]]=0,"",(Tableau3[[#This Row],[Dettes]]/Tableau3[[#This Row],[EBE]])),"")</f>
        <v/>
      </c>
      <c r="V1460" s="190" t="str">
        <f>IFERROR(Tableau3[[#This Row],[Fonds propres]]/Tableau3[[#This Row],[Total Bilan]],"")</f>
        <v/>
      </c>
      <c r="W1460" s="180"/>
      <c r="X1460" s="191"/>
      <c r="Y1460" s="180"/>
      <c r="Z1460" s="192" t="str">
        <f>IFERROR(Tableau3[[#This Row],[Chiffre d''affaires]]/Tableau3[[#This Row],[Salariés]],"")</f>
        <v/>
      </c>
      <c r="AA1460" s="197"/>
      <c r="AB1460" s="197"/>
      <c r="AC1460" s="177" t="s">
        <v>1007</v>
      </c>
    </row>
    <row r="1461" spans="1:29" ht="20.25" customHeight="1">
      <c r="A1461" s="217"/>
      <c r="E1461" s="187">
        <v>55.5</v>
      </c>
      <c r="F1461" s="230">
        <v>2020</v>
      </c>
      <c r="G1461" s="188">
        <v>4420000000</v>
      </c>
      <c r="H1461" s="188">
        <v>1080000000</v>
      </c>
      <c r="I1461" s="188">
        <v>607960000</v>
      </c>
      <c r="J1461" s="188">
        <v>-160477000</v>
      </c>
      <c r="K1461" s="188"/>
      <c r="L1461" s="188">
        <v>4673767000</v>
      </c>
      <c r="M1461" s="194">
        <f>L1461/P1461</f>
        <v>59.149984248664857</v>
      </c>
      <c r="N1461" s="190"/>
      <c r="O1461" s="190"/>
      <c r="P1461" s="188">
        <v>79015524</v>
      </c>
      <c r="Q1461" s="231">
        <f>P1461*E1461</f>
        <v>4385361582</v>
      </c>
      <c r="R1461" s="214">
        <f>Q1461/L1461</f>
        <v>0.93829272661645302</v>
      </c>
      <c r="S1461" s="197"/>
      <c r="T1461" s="180"/>
      <c r="U1461" s="189" t="str">
        <f>IFERROR(IF(Tableau3[[#This Row],[Dettes]]=0,"",(Tableau3[[#This Row],[Dettes]]/Tableau3[[#This Row],[EBE]])),"")</f>
        <v/>
      </c>
      <c r="V1461" s="190" t="str">
        <f>IFERROR(Tableau3[[#This Row],[Fonds propres]]/Tableau3[[#This Row],[Total Bilan]],"")</f>
        <v/>
      </c>
      <c r="W1461" s="180"/>
      <c r="X1461" s="191"/>
      <c r="Y1461" s="180"/>
      <c r="Z1461" s="192" t="str">
        <f>IFERROR(Tableau3[[#This Row],[Chiffre d''affaires]]/Tableau3[[#This Row],[Salariés]],"")</f>
        <v/>
      </c>
      <c r="AA1461" s="197"/>
      <c r="AB1461" s="197"/>
      <c r="AC1461" s="177" t="s">
        <v>4633</v>
      </c>
    </row>
    <row r="1462" spans="1:29" ht="20.25" customHeight="1">
      <c r="A1462" s="217"/>
      <c r="E1462" s="187"/>
      <c r="F1462" s="230"/>
      <c r="G1462" s="188"/>
      <c r="H1462" s="188"/>
      <c r="I1462" s="188"/>
      <c r="J1462" s="188"/>
      <c r="K1462" s="188"/>
      <c r="L1462" s="178"/>
      <c r="M1462" s="194"/>
      <c r="N1462" s="190"/>
      <c r="O1462" s="190"/>
      <c r="P1462" s="188"/>
      <c r="Q1462" s="231"/>
      <c r="R1462" s="195"/>
      <c r="S1462" s="197"/>
      <c r="T1462" s="180"/>
      <c r="U1462" s="189" t="str">
        <f>IFERROR(IF(Tableau3[[#This Row],[Dettes]]=0,"",(Tableau3[[#This Row],[Dettes]]/Tableau3[[#This Row],[EBE]])),"")</f>
        <v/>
      </c>
      <c r="V1462" s="190" t="str">
        <f>IFERROR(Tableau3[[#This Row],[Fonds propres]]/Tableau3[[#This Row],[Total Bilan]],"")</f>
        <v/>
      </c>
      <c r="W1462" s="180"/>
      <c r="X1462" s="191"/>
      <c r="Y1462" s="180"/>
      <c r="Z1462" s="192" t="str">
        <f>IFERROR(Tableau3[[#This Row],[Chiffre d''affaires]]/Tableau3[[#This Row],[Salariés]],"")</f>
        <v/>
      </c>
      <c r="AA1462" s="197"/>
      <c r="AB1462" s="197"/>
      <c r="AC1462" s="177" t="s">
        <v>1008</v>
      </c>
    </row>
    <row r="1463" spans="1:29" ht="20.25" customHeight="1">
      <c r="A1463" s="217"/>
      <c r="E1463" s="187">
        <v>63.45</v>
      </c>
      <c r="F1463" s="230">
        <v>2019</v>
      </c>
      <c r="G1463" s="188">
        <v>5140000000</v>
      </c>
      <c r="H1463" s="188">
        <v>1020000000</v>
      </c>
      <c r="I1463" s="188">
        <v>581080000</v>
      </c>
      <c r="J1463" s="188">
        <v>122948000</v>
      </c>
      <c r="K1463" s="188"/>
      <c r="L1463" s="188">
        <v>5015507000</v>
      </c>
      <c r="M1463" s="194">
        <f>L1463/P1461</f>
        <v>63.474957148926833</v>
      </c>
      <c r="N1463" s="190"/>
      <c r="O1463" s="190"/>
      <c r="P1463" s="188">
        <v>78645486</v>
      </c>
      <c r="Q1463" s="231">
        <f>P1463*E1463</f>
        <v>4990056086.6999998</v>
      </c>
      <c r="R1463" s="214">
        <f>Q1463/L1463</f>
        <v>0.99492555522303128</v>
      </c>
      <c r="S1463" s="197"/>
      <c r="T1463" s="180"/>
      <c r="U1463" s="189" t="str">
        <f>IFERROR(IF(Tableau3[[#This Row],[Dettes]]=0,"",(Tableau3[[#This Row],[Dettes]]/Tableau3[[#This Row],[EBE]])),"")</f>
        <v/>
      </c>
      <c r="V1463" s="190" t="str">
        <f>IFERROR(Tableau3[[#This Row],[Fonds propres]]/Tableau3[[#This Row],[Total Bilan]],"")</f>
        <v/>
      </c>
      <c r="W1463" s="180"/>
      <c r="X1463" s="191"/>
      <c r="Y1463" s="180"/>
      <c r="Z1463" s="192" t="str">
        <f>IFERROR(Tableau3[[#This Row],[Chiffre d''affaires]]/Tableau3[[#This Row],[Salariés]],"")</f>
        <v/>
      </c>
      <c r="AA1463" s="197"/>
      <c r="AB1463" s="197"/>
      <c r="AC1463" s="177" t="s">
        <v>1009</v>
      </c>
    </row>
    <row r="1464" spans="1:29" ht="20.25" customHeight="1">
      <c r="A1464" s="217"/>
      <c r="E1464" s="187"/>
      <c r="F1464" s="214"/>
      <c r="G1464" s="188"/>
      <c r="H1464" s="188"/>
      <c r="I1464" s="188"/>
      <c r="J1464" s="188"/>
      <c r="K1464" s="197"/>
      <c r="L1464" s="188"/>
      <c r="M1464" s="194"/>
      <c r="N1464" s="178"/>
      <c r="O1464" s="177"/>
      <c r="P1464" s="177"/>
      <c r="Q1464" s="177"/>
      <c r="R1464" s="195"/>
      <c r="S1464" s="195"/>
      <c r="T1464" s="180"/>
      <c r="U1464" s="189" t="str">
        <f>IFERROR(IF(Tableau3[[#This Row],[Dettes]]=0,"",(Tableau3[[#This Row],[Dettes]]/Tableau3[[#This Row],[EBE]])),"")</f>
        <v/>
      </c>
      <c r="V1464" s="190" t="str">
        <f>IFERROR(Tableau3[[#This Row],[Fonds propres]]/Tableau3[[#This Row],[Total Bilan]],"")</f>
        <v/>
      </c>
      <c r="W1464" s="180"/>
      <c r="X1464" s="244"/>
      <c r="Y1464" s="180"/>
      <c r="Z1464" s="192" t="str">
        <f>IFERROR(Tableau3[[#This Row],[Chiffre d''affaires]]/Tableau3[[#This Row],[Salariés]],"")</f>
        <v/>
      </c>
      <c r="AA1464" s="245"/>
      <c r="AB1464" s="195"/>
      <c r="AC1464" s="177" t="s">
        <v>1010</v>
      </c>
    </row>
    <row r="1465" spans="1:29" ht="20.25" customHeight="1">
      <c r="A1465" s="217"/>
      <c r="E1465" s="187">
        <v>70</v>
      </c>
      <c r="F1465" s="178">
        <v>2018</v>
      </c>
      <c r="G1465" s="188">
        <v>4920000000</v>
      </c>
      <c r="H1465" s="188">
        <v>1010000000</v>
      </c>
      <c r="I1465" s="188">
        <v>646920000</v>
      </c>
      <c r="J1465" s="188">
        <v>245407000</v>
      </c>
      <c r="K1465" s="197"/>
      <c r="L1465" s="188">
        <v>5070632000</v>
      </c>
      <c r="M1465" s="194">
        <v>73.8</v>
      </c>
      <c r="N1465" s="178"/>
      <c r="O1465" s="177"/>
      <c r="P1465" s="188">
        <v>76261650</v>
      </c>
      <c r="Q1465" s="231">
        <f>P1465*E1465</f>
        <v>5338315500</v>
      </c>
      <c r="R1465" s="214">
        <f>Q1465/L1465</f>
        <v>1.0527909538692612</v>
      </c>
      <c r="S1465" s="178"/>
      <c r="T1465" s="180"/>
      <c r="U1465" s="189" t="str">
        <f>IFERROR(IF(Tableau3[[#This Row],[Dettes]]=0,"",(Tableau3[[#This Row],[Dettes]]/Tableau3[[#This Row],[EBE]])),"")</f>
        <v/>
      </c>
      <c r="V1465" s="190" t="str">
        <f>IFERROR(Tableau3[[#This Row],[Fonds propres]]/Tableau3[[#This Row],[Total Bilan]],"")</f>
        <v/>
      </c>
      <c r="W1465" s="180"/>
      <c r="Y1465" s="180"/>
      <c r="Z1465" s="192" t="str">
        <f>IFERROR(Tableau3[[#This Row],[Chiffre d''affaires]]/Tableau3[[#This Row],[Salariés]],"")</f>
        <v/>
      </c>
      <c r="AA1465" s="177"/>
      <c r="AC1465" s="177" t="s">
        <v>1011</v>
      </c>
    </row>
    <row r="1466" spans="1:29" ht="20.25" customHeight="1">
      <c r="A1466" s="217"/>
      <c r="E1466" s="187"/>
      <c r="G1466" s="188"/>
      <c r="H1466" s="188"/>
      <c r="I1466" s="188"/>
      <c r="J1466" s="188"/>
      <c r="K1466" s="197"/>
      <c r="L1466" s="188"/>
      <c r="M1466" s="194"/>
      <c r="N1466" s="178"/>
      <c r="O1466" s="177"/>
      <c r="P1466" s="188"/>
      <c r="Q1466" s="177"/>
      <c r="R1466" s="214"/>
      <c r="S1466" s="178"/>
      <c r="T1466" s="180"/>
      <c r="U1466" s="189" t="str">
        <f>IFERROR(IF(Tableau3[[#This Row],[Dettes]]=0,"",(Tableau3[[#This Row],[Dettes]]/Tableau3[[#This Row],[EBE]])),"")</f>
        <v/>
      </c>
      <c r="V1466" s="190" t="str">
        <f>IFERROR(Tableau3[[#This Row],[Fonds propres]]/Tableau3[[#This Row],[Total Bilan]],"")</f>
        <v/>
      </c>
      <c r="W1466" s="180"/>
      <c r="Y1466" s="180"/>
      <c r="Z1466" s="192" t="str">
        <f>IFERROR(Tableau3[[#This Row],[Chiffre d''affaires]]/Tableau3[[#This Row],[Salariés]],"")</f>
        <v/>
      </c>
      <c r="AA1466" s="177"/>
      <c r="AC1466" s="177" t="s">
        <v>1012</v>
      </c>
    </row>
    <row r="1467" spans="1:29" ht="20.25" customHeight="1">
      <c r="A1467" s="217"/>
      <c r="E1467" s="187">
        <v>75</v>
      </c>
      <c r="F1467" s="230">
        <v>2017</v>
      </c>
      <c r="G1467" s="188">
        <v>4020000000</v>
      </c>
      <c r="H1467" s="188">
        <v>927020000</v>
      </c>
      <c r="I1467" s="188">
        <v>721930000</v>
      </c>
      <c r="J1467" s="188">
        <v>440609000</v>
      </c>
      <c r="K1467" s="197"/>
      <c r="L1467" s="188">
        <v>4722105000</v>
      </c>
      <c r="M1467" s="194">
        <f>L1467/P1467</f>
        <v>61.122319065390364</v>
      </c>
      <c r="N1467" s="178"/>
      <c r="O1467" s="178"/>
      <c r="P1467" s="188">
        <v>77256640</v>
      </c>
      <c r="Q1467" s="231">
        <f>P1467*E1467</f>
        <v>5794248000</v>
      </c>
      <c r="R1467" s="214">
        <f>Q1467/L1467</f>
        <v>1.227047683183665</v>
      </c>
      <c r="S1467" s="178"/>
      <c r="T1467" s="180"/>
      <c r="U1467" s="189" t="str">
        <f>IFERROR(IF(Tableau3[[#This Row],[Dettes]]=0,"",(Tableau3[[#This Row],[Dettes]]/Tableau3[[#This Row],[EBE]])),"")</f>
        <v/>
      </c>
      <c r="V1467" s="190" t="str">
        <f>IFERROR(Tableau3[[#This Row],[Fonds propres]]/Tableau3[[#This Row],[Total Bilan]],"")</f>
        <v/>
      </c>
      <c r="W1467" s="180"/>
      <c r="Y1467" s="180"/>
      <c r="Z1467" s="192" t="str">
        <f>IFERROR(Tableau3[[#This Row],[Chiffre d''affaires]]/Tableau3[[#This Row],[Salariés]],"")</f>
        <v/>
      </c>
      <c r="AA1467" s="177"/>
      <c r="AC1467" s="177" t="s">
        <v>1013</v>
      </c>
    </row>
    <row r="1468" spans="1:29" ht="20.25" customHeight="1">
      <c r="A1468" s="217"/>
      <c r="E1468" s="187"/>
      <c r="F1468" s="214" t="s">
        <v>1014</v>
      </c>
      <c r="G1468" s="188"/>
      <c r="H1468" s="188"/>
      <c r="I1468" s="188"/>
      <c r="J1468" s="188"/>
      <c r="K1468" s="197"/>
      <c r="L1468" s="188"/>
      <c r="M1468" s="194"/>
      <c r="N1468" s="178"/>
      <c r="O1468" s="178"/>
      <c r="P1468" s="188"/>
      <c r="Q1468" s="177"/>
      <c r="R1468" s="190"/>
      <c r="S1468" s="178"/>
      <c r="T1468" s="180"/>
      <c r="U1468" s="189" t="str">
        <f>IFERROR(IF(Tableau3[[#This Row],[Dettes]]=0,"",(Tableau3[[#This Row],[Dettes]]/Tableau3[[#This Row],[EBE]])),"")</f>
        <v/>
      </c>
      <c r="V1468" s="190" t="str">
        <f>IFERROR(Tableau3[[#This Row],[Fonds propres]]/Tableau3[[#This Row],[Total Bilan]],"")</f>
        <v/>
      </c>
      <c r="W1468" s="180"/>
      <c r="Y1468" s="180"/>
      <c r="Z1468" s="192" t="str">
        <f>IFERROR(Tableau3[[#This Row],[Chiffre d''affaires]]/Tableau3[[#This Row],[Salariés]],"")</f>
        <v/>
      </c>
      <c r="AA1468" s="177"/>
      <c r="AC1468" s="177" t="s">
        <v>1015</v>
      </c>
    </row>
    <row r="1469" spans="1:29" ht="20.25" customHeight="1">
      <c r="A1469" s="217"/>
      <c r="E1469" s="187">
        <v>75</v>
      </c>
      <c r="F1469" s="230">
        <v>2017</v>
      </c>
      <c r="G1469" s="188"/>
      <c r="H1469" s="188"/>
      <c r="I1469" s="188"/>
      <c r="J1469" s="188"/>
      <c r="K1469" s="197"/>
      <c r="L1469" s="188">
        <v>4487013000</v>
      </c>
      <c r="M1469" s="194">
        <f>L1469/P1469</f>
        <v>62.687257906618804</v>
      </c>
      <c r="N1469" s="178"/>
      <c r="O1469" s="178"/>
      <c r="P1469" s="188">
        <v>71577752</v>
      </c>
      <c r="Q1469" s="231">
        <f>P1469*E1469</f>
        <v>5368331400</v>
      </c>
      <c r="R1469" s="214">
        <f>Q1469/L1469</f>
        <v>1.1964153881435156</v>
      </c>
      <c r="S1469" s="178"/>
      <c r="T1469" s="180"/>
      <c r="U1469" s="189" t="str">
        <f>IFERROR(IF(Tableau3[[#This Row],[Dettes]]=0,"",(Tableau3[[#This Row],[Dettes]]/Tableau3[[#This Row],[EBE]])),"")</f>
        <v/>
      </c>
      <c r="V1469" s="190" t="str">
        <f>IFERROR(Tableau3[[#This Row],[Fonds propres]]/Tableau3[[#This Row],[Total Bilan]],"")</f>
        <v/>
      </c>
      <c r="W1469" s="180"/>
      <c r="Y1469" s="180"/>
      <c r="Z1469" s="192" t="str">
        <f>IFERROR(Tableau3[[#This Row],[Chiffre d''affaires]]/Tableau3[[#This Row],[Salariés]],"")</f>
        <v/>
      </c>
      <c r="AA1469" s="177"/>
      <c r="AC1469" s="177" t="s">
        <v>1016</v>
      </c>
    </row>
    <row r="1470" spans="1:29" ht="20.25" customHeight="1">
      <c r="A1470" s="217"/>
      <c r="E1470" s="187"/>
      <c r="F1470" s="214"/>
      <c r="G1470" s="188"/>
      <c r="H1470" s="188"/>
      <c r="I1470" s="188"/>
      <c r="J1470" s="188"/>
      <c r="K1470" s="197"/>
      <c r="L1470" s="188"/>
      <c r="M1470" s="194"/>
      <c r="N1470" s="178"/>
      <c r="O1470" s="178"/>
      <c r="P1470" s="188"/>
      <c r="Q1470" s="177"/>
      <c r="R1470" s="190"/>
      <c r="S1470" s="178"/>
      <c r="T1470" s="180"/>
      <c r="U1470" s="189" t="str">
        <f>IFERROR(IF(Tableau3[[#This Row],[Dettes]]=0,"",(Tableau3[[#This Row],[Dettes]]/Tableau3[[#This Row],[EBE]])),"")</f>
        <v/>
      </c>
      <c r="V1470" s="190" t="str">
        <f>IFERROR(Tableau3[[#This Row],[Fonds propres]]/Tableau3[[#This Row],[Total Bilan]],"")</f>
        <v/>
      </c>
      <c r="W1470" s="180"/>
      <c r="Y1470" s="180"/>
      <c r="Z1470" s="192" t="str">
        <f>IFERROR(Tableau3[[#This Row],[Chiffre d''affaires]]/Tableau3[[#This Row],[Salariés]],"")</f>
        <v/>
      </c>
      <c r="AA1470" s="177"/>
      <c r="AC1470" s="177" t="s">
        <v>5052</v>
      </c>
    </row>
    <row r="1471" spans="1:29" ht="20.25" customHeight="1">
      <c r="A1471" s="217"/>
      <c r="E1471" s="187">
        <v>55.7</v>
      </c>
      <c r="F1471" s="230">
        <v>2016</v>
      </c>
      <c r="G1471" s="188"/>
      <c r="H1471" s="188"/>
      <c r="I1471" s="188"/>
      <c r="J1471" s="188">
        <v>519747000</v>
      </c>
      <c r="K1471" s="197"/>
      <c r="L1471" s="188">
        <v>4487013000</v>
      </c>
      <c r="M1471" s="194">
        <f>L1471/P1471</f>
        <v>61.4878051618116</v>
      </c>
      <c r="N1471" s="178"/>
      <c r="O1471" s="178"/>
      <c r="P1471" s="188">
        <v>72974031</v>
      </c>
      <c r="Q1471" s="231">
        <f>P1471*E1471</f>
        <v>4064653526.7000003</v>
      </c>
      <c r="R1471" s="214">
        <f>Q1471/L1471</f>
        <v>0.9058706820550777</v>
      </c>
      <c r="S1471" s="178"/>
      <c r="T1471" s="180"/>
      <c r="U1471" s="189" t="str">
        <f>IFERROR(IF(Tableau3[[#This Row],[Dettes]]=0,"",(Tableau3[[#This Row],[Dettes]]/Tableau3[[#This Row],[EBE]])),"")</f>
        <v/>
      </c>
      <c r="V1471" s="190" t="str">
        <f>IFERROR(Tableau3[[#This Row],[Fonds propres]]/Tableau3[[#This Row],[Total Bilan]],"")</f>
        <v/>
      </c>
      <c r="W1471" s="180"/>
      <c r="Y1471" s="180"/>
      <c r="Z1471" s="192" t="str">
        <f>IFERROR(Tableau3[[#This Row],[Chiffre d''affaires]]/Tableau3[[#This Row],[Salariés]],"")</f>
        <v/>
      </c>
      <c r="AA1471" s="177"/>
      <c r="AC1471" s="177" t="s">
        <v>1017</v>
      </c>
    </row>
    <row r="1472" spans="1:29" ht="20.25" customHeight="1">
      <c r="A1472" s="217"/>
      <c r="E1472" s="187"/>
      <c r="F1472" s="230"/>
      <c r="G1472" s="188"/>
      <c r="H1472" s="188"/>
      <c r="I1472" s="188"/>
      <c r="J1472" s="188"/>
      <c r="K1472" s="197"/>
      <c r="L1472" s="178"/>
      <c r="M1472" s="177"/>
      <c r="N1472" s="178"/>
      <c r="O1472" s="177"/>
      <c r="P1472" s="188"/>
      <c r="Q1472" s="177"/>
      <c r="R1472" s="190"/>
      <c r="S1472" s="178"/>
      <c r="T1472" s="180"/>
      <c r="U1472" s="189" t="str">
        <f>IFERROR(IF(Tableau3[[#This Row],[Dettes]]=0,"",(Tableau3[[#This Row],[Dettes]]/Tableau3[[#This Row],[EBE]])),"")</f>
        <v/>
      </c>
      <c r="V1472" s="190" t="str">
        <f>IFERROR(Tableau3[[#This Row],[Fonds propres]]/Tableau3[[#This Row],[Total Bilan]],"")</f>
        <v/>
      </c>
      <c r="W1472" s="180"/>
      <c r="Y1472" s="180"/>
      <c r="Z1472" s="192" t="str">
        <f>IFERROR(Tableau3[[#This Row],[Chiffre d''affaires]]/Tableau3[[#This Row],[Salariés]],"")</f>
        <v/>
      </c>
      <c r="AA1472" s="177"/>
      <c r="AC1472" s="177" t="s">
        <v>1018</v>
      </c>
    </row>
    <row r="1473" spans="1:29" ht="20.25" customHeight="1">
      <c r="A1473" s="217"/>
      <c r="E1473" s="187">
        <v>63.5</v>
      </c>
      <c r="F1473" s="230">
        <v>2015</v>
      </c>
      <c r="G1473" s="188"/>
      <c r="H1473" s="188"/>
      <c r="I1473" s="188"/>
      <c r="J1473" s="188">
        <v>1276040000</v>
      </c>
      <c r="K1473" s="197"/>
      <c r="L1473" s="188">
        <v>4317676000</v>
      </c>
      <c r="M1473" s="194">
        <f>L1473/P1473</f>
        <v>61.542695534019728</v>
      </c>
      <c r="N1473" s="178"/>
      <c r="O1473" s="177"/>
      <c r="P1473" s="188">
        <v>70157408</v>
      </c>
      <c r="Q1473" s="231">
        <f>P1473*E1473</f>
        <v>4454995408</v>
      </c>
      <c r="R1473" s="214">
        <f>Q1473/L1473</f>
        <v>1.0318040093791196</v>
      </c>
      <c r="S1473" s="178"/>
      <c r="T1473" s="180"/>
      <c r="U1473" s="189" t="str">
        <f>IFERROR(IF(Tableau3[[#This Row],[Dettes]]=0,"",(Tableau3[[#This Row],[Dettes]]/Tableau3[[#This Row],[EBE]])),"")</f>
        <v/>
      </c>
      <c r="V1473" s="190" t="str">
        <f>IFERROR(Tableau3[[#This Row],[Fonds propres]]/Tableau3[[#This Row],[Total Bilan]],"")</f>
        <v/>
      </c>
      <c r="W1473" s="180"/>
      <c r="Y1473" s="180"/>
      <c r="Z1473" s="192" t="str">
        <f>IFERROR(Tableau3[[#This Row],[Chiffre d''affaires]]/Tableau3[[#This Row],[Salariés]],"")</f>
        <v/>
      </c>
      <c r="AA1473" s="177"/>
      <c r="AC1473" s="177" t="s">
        <v>1019</v>
      </c>
    </row>
    <row r="1474" spans="1:29" ht="20.25" customHeight="1">
      <c r="A1474" s="217"/>
      <c r="F1474" s="230"/>
      <c r="G1474" s="188"/>
      <c r="H1474" s="188"/>
      <c r="I1474" s="188"/>
      <c r="J1474" s="188"/>
      <c r="K1474" s="197"/>
      <c r="L1474" s="178"/>
      <c r="M1474" s="177"/>
      <c r="N1474" s="178"/>
      <c r="O1474" s="177"/>
      <c r="P1474" s="177"/>
      <c r="Q1474" s="177"/>
      <c r="R1474" s="195"/>
      <c r="S1474" s="178"/>
      <c r="T1474" s="180"/>
      <c r="U1474" s="189" t="str">
        <f>IFERROR(IF(Tableau3[[#This Row],[Dettes]]=0,"",(Tableau3[[#This Row],[Dettes]]/Tableau3[[#This Row],[EBE]])),"")</f>
        <v/>
      </c>
      <c r="V1474" s="190" t="str">
        <f>IFERROR(Tableau3[[#This Row],[Fonds propres]]/Tableau3[[#This Row],[Total Bilan]],"")</f>
        <v/>
      </c>
      <c r="W1474" s="180"/>
      <c r="Y1474" s="180"/>
      <c r="Z1474" s="192" t="str">
        <f>IFERROR(Tableau3[[#This Row],[Chiffre d''affaires]]/Tableau3[[#This Row],[Salariés]],"")</f>
        <v/>
      </c>
      <c r="AA1474" s="177"/>
      <c r="AC1474" s="177" t="s">
        <v>1020</v>
      </c>
    </row>
    <row r="1475" spans="1:29" ht="20.25" customHeight="1">
      <c r="A1475" s="217"/>
      <c r="E1475" s="187">
        <v>53</v>
      </c>
      <c r="F1475" s="230">
        <v>2014</v>
      </c>
      <c r="G1475" s="188"/>
      <c r="H1475" s="188"/>
      <c r="I1475" s="188"/>
      <c r="J1475" s="188">
        <v>-88975000</v>
      </c>
      <c r="K1475" s="197"/>
      <c r="L1475" s="188">
        <v>3226141000</v>
      </c>
      <c r="M1475" s="194">
        <f>L1475/P1475</f>
        <v>46.648476580263754</v>
      </c>
      <c r="N1475" s="178"/>
      <c r="O1475" s="177"/>
      <c r="P1475" s="188">
        <v>69158550</v>
      </c>
      <c r="Q1475" s="231">
        <f>P1475*E1475</f>
        <v>3665403150</v>
      </c>
      <c r="R1475" s="214">
        <f>Q1475/L1475</f>
        <v>1.1361571456424253</v>
      </c>
      <c r="S1475" s="178"/>
      <c r="T1475" s="180"/>
      <c r="U1475" s="189" t="str">
        <f>IFERROR(IF(Tableau3[[#This Row],[Dettes]]=0,"",(Tableau3[[#This Row],[Dettes]]/Tableau3[[#This Row],[EBE]])),"")</f>
        <v/>
      </c>
      <c r="V1475" s="190" t="str">
        <f>IFERROR(Tableau3[[#This Row],[Fonds propres]]/Tableau3[[#This Row],[Total Bilan]],"")</f>
        <v/>
      </c>
      <c r="W1475" s="180"/>
      <c r="Y1475" s="180"/>
      <c r="Z1475" s="192" t="str">
        <f>IFERROR(Tableau3[[#This Row],[Chiffre d''affaires]]/Tableau3[[#This Row],[Salariés]],"")</f>
        <v/>
      </c>
      <c r="AA1475" s="177"/>
      <c r="AC1475" s="177" t="s">
        <v>5048</v>
      </c>
    </row>
    <row r="1476" spans="1:29" ht="20.25" customHeight="1">
      <c r="A1476" s="217"/>
      <c r="F1476" s="230"/>
      <c r="G1476" s="188"/>
      <c r="H1476" s="188"/>
      <c r="I1476" s="188"/>
      <c r="J1476" s="188"/>
      <c r="K1476" s="197"/>
      <c r="L1476" s="178"/>
      <c r="M1476" s="177"/>
      <c r="N1476" s="178"/>
      <c r="O1476" s="177"/>
      <c r="P1476" s="177"/>
      <c r="Q1476" s="177"/>
      <c r="R1476" s="195"/>
      <c r="S1476" s="178"/>
      <c r="T1476" s="180"/>
      <c r="U1476" s="189" t="str">
        <f>IFERROR(IF(Tableau3[[#This Row],[Dettes]]=0,"",(Tableau3[[#This Row],[Dettes]]/Tableau3[[#This Row],[EBE]])),"")</f>
        <v/>
      </c>
      <c r="V1476" s="190" t="str">
        <f>IFERROR(Tableau3[[#This Row],[Fonds propres]]/Tableau3[[#This Row],[Total Bilan]],"")</f>
        <v/>
      </c>
      <c r="W1476" s="180"/>
      <c r="Y1476" s="180"/>
      <c r="Z1476" s="192" t="str">
        <f>IFERROR(Tableau3[[#This Row],[Chiffre d''affaires]]/Tableau3[[#This Row],[Salariés]],"")</f>
        <v/>
      </c>
      <c r="AA1476" s="177"/>
      <c r="AC1476" s="177" t="s">
        <v>1021</v>
      </c>
    </row>
    <row r="1477" spans="1:29" ht="20.25" customHeight="1">
      <c r="A1477" s="217"/>
      <c r="F1477" s="230"/>
      <c r="G1477" s="188"/>
      <c r="H1477" s="188"/>
      <c r="I1477" s="188"/>
      <c r="J1477" s="188"/>
      <c r="K1477" s="197"/>
      <c r="L1477" s="178"/>
      <c r="M1477" s="177"/>
      <c r="N1477" s="178"/>
      <c r="O1477" s="177"/>
      <c r="P1477" s="177"/>
      <c r="Q1477" s="177"/>
      <c r="R1477" s="195"/>
      <c r="S1477" s="178"/>
      <c r="T1477" s="180"/>
      <c r="U1477" s="189" t="str">
        <f>IFERROR(IF(Tableau3[[#This Row],[Dettes]]=0,"",(Tableau3[[#This Row],[Dettes]]/Tableau3[[#This Row],[EBE]])),"")</f>
        <v/>
      </c>
      <c r="V1477" s="190" t="str">
        <f>IFERROR(Tableau3[[#This Row],[Fonds propres]]/Tableau3[[#This Row],[Total Bilan]],"")</f>
        <v/>
      </c>
      <c r="W1477" s="180"/>
      <c r="Y1477" s="180"/>
      <c r="Z1477" s="192" t="str">
        <f>IFERROR(Tableau3[[#This Row],[Chiffre d''affaires]]/Tableau3[[#This Row],[Salariés]],"")</f>
        <v/>
      </c>
      <c r="AA1477" s="177"/>
      <c r="AC1477" s="177" t="s">
        <v>5051</v>
      </c>
    </row>
    <row r="1478" spans="1:29" ht="20.25" customHeight="1">
      <c r="A1478" s="217"/>
      <c r="F1478" s="230"/>
      <c r="G1478" s="188"/>
      <c r="H1478" s="188"/>
      <c r="I1478" s="188"/>
      <c r="J1478" s="188"/>
      <c r="K1478" s="197"/>
      <c r="L1478" s="178"/>
      <c r="M1478" s="177"/>
      <c r="N1478" s="178"/>
      <c r="O1478" s="177"/>
      <c r="P1478" s="177"/>
      <c r="Q1478" s="177"/>
      <c r="R1478" s="195"/>
      <c r="S1478" s="178"/>
      <c r="T1478" s="180"/>
      <c r="U1478" s="189" t="str">
        <f>IFERROR(IF(Tableau3[[#This Row],[Dettes]]=0,"",(Tableau3[[#This Row],[Dettes]]/Tableau3[[#This Row],[EBE]])),"")</f>
        <v/>
      </c>
      <c r="V1478" s="190" t="str">
        <f>IFERROR(Tableau3[[#This Row],[Fonds propres]]/Tableau3[[#This Row],[Total Bilan]],"")</f>
        <v/>
      </c>
      <c r="W1478" s="180"/>
      <c r="Y1478" s="180"/>
      <c r="Z1478" s="192" t="str">
        <f>IFERROR(Tableau3[[#This Row],[Chiffre d''affaires]]/Tableau3[[#This Row],[Salariés]],"")</f>
        <v/>
      </c>
      <c r="AA1478" s="177"/>
      <c r="AC1478" s="177" t="s">
        <v>1022</v>
      </c>
    </row>
    <row r="1479" spans="1:29" ht="20.25" customHeight="1">
      <c r="A1479" s="217"/>
      <c r="F1479" s="230"/>
      <c r="G1479" s="188"/>
      <c r="H1479" s="188"/>
      <c r="I1479" s="188"/>
      <c r="J1479" s="188"/>
      <c r="K1479" s="197"/>
      <c r="L1479" s="178"/>
      <c r="M1479" s="177"/>
      <c r="N1479" s="178"/>
      <c r="O1479" s="177"/>
      <c r="P1479" s="177"/>
      <c r="Q1479" s="177"/>
      <c r="R1479" s="195"/>
      <c r="S1479" s="178"/>
      <c r="T1479" s="180"/>
      <c r="U1479" s="189" t="str">
        <f>IFERROR(IF(Tableau3[[#This Row],[Dettes]]=0,"",(Tableau3[[#This Row],[Dettes]]/Tableau3[[#This Row],[EBE]])),"")</f>
        <v/>
      </c>
      <c r="V1479" s="190" t="str">
        <f>IFERROR(Tableau3[[#This Row],[Fonds propres]]/Tableau3[[#This Row],[Total Bilan]],"")</f>
        <v/>
      </c>
      <c r="W1479" s="180"/>
      <c r="Y1479" s="180"/>
      <c r="Z1479" s="192" t="str">
        <f>IFERROR(Tableau3[[#This Row],[Chiffre d''affaires]]/Tableau3[[#This Row],[Salariés]],"")</f>
        <v/>
      </c>
      <c r="AA1479" s="177"/>
      <c r="AC1479" s="177" t="s">
        <v>5049</v>
      </c>
    </row>
    <row r="1480" spans="1:29" ht="20.25" customHeight="1">
      <c r="A1480" s="217"/>
      <c r="F1480" s="230"/>
      <c r="G1480" s="188"/>
      <c r="H1480" s="188"/>
      <c r="I1480" s="188"/>
      <c r="J1480" s="188"/>
      <c r="K1480" s="197"/>
      <c r="L1480" s="178"/>
      <c r="M1480" s="177"/>
      <c r="N1480" s="178"/>
      <c r="O1480" s="177"/>
      <c r="P1480" s="177"/>
      <c r="Q1480" s="177"/>
      <c r="R1480" s="195"/>
      <c r="S1480" s="178"/>
      <c r="T1480" s="180"/>
      <c r="U1480" s="189" t="str">
        <f>IFERROR(IF(Tableau3[[#This Row],[Dettes]]=0,"",(Tableau3[[#This Row],[Dettes]]/Tableau3[[#This Row],[EBE]])),"")</f>
        <v/>
      </c>
      <c r="V1480" s="190" t="str">
        <f>IFERROR(Tableau3[[#This Row],[Fonds propres]]/Tableau3[[#This Row],[Total Bilan]],"")</f>
        <v/>
      </c>
      <c r="W1480" s="180"/>
      <c r="Y1480" s="180"/>
      <c r="Z1480" s="192" t="str">
        <f>IFERROR(Tableau3[[#This Row],[Chiffre d''affaires]]/Tableau3[[#This Row],[Salariés]],"")</f>
        <v/>
      </c>
      <c r="AA1480" s="177"/>
      <c r="AC1480" s="177" t="s">
        <v>5050</v>
      </c>
    </row>
    <row r="1481" spans="1:29" ht="20.25" customHeight="1">
      <c r="A1481" s="217"/>
      <c r="F1481" s="230"/>
      <c r="G1481" s="188"/>
      <c r="H1481" s="188"/>
      <c r="I1481" s="188"/>
      <c r="J1481" s="188"/>
      <c r="K1481" s="197"/>
      <c r="L1481" s="178"/>
      <c r="M1481" s="177"/>
      <c r="N1481" s="178"/>
      <c r="O1481" s="177"/>
      <c r="P1481" s="177"/>
      <c r="Q1481" s="177"/>
      <c r="R1481" s="195"/>
      <c r="S1481" s="178"/>
      <c r="T1481" s="180"/>
      <c r="U1481" s="189" t="str">
        <f>IFERROR(IF(Tableau3[[#This Row],[Dettes]]=0,"",(Tableau3[[#This Row],[Dettes]]/Tableau3[[#This Row],[EBE]])),"")</f>
        <v/>
      </c>
      <c r="V1481" s="190" t="str">
        <f>IFERROR(Tableau3[[#This Row],[Fonds propres]]/Tableau3[[#This Row],[Total Bilan]],"")</f>
        <v/>
      </c>
      <c r="W1481" s="180"/>
      <c r="Y1481" s="180"/>
      <c r="Z1481" s="192" t="str">
        <f>IFERROR(Tableau3[[#This Row],[Chiffre d''affaires]]/Tableau3[[#This Row],[Salariés]],"")</f>
        <v/>
      </c>
      <c r="AA1481" s="177"/>
      <c r="AC1481" s="274" t="s">
        <v>5047</v>
      </c>
    </row>
    <row r="1482" spans="1:29" ht="20.25" customHeight="1">
      <c r="A1482" s="217"/>
      <c r="F1482" s="230"/>
      <c r="G1482" s="188"/>
      <c r="H1482" s="188"/>
      <c r="I1482" s="188"/>
      <c r="J1482" s="188"/>
      <c r="K1482" s="197"/>
      <c r="L1482" s="178"/>
      <c r="M1482" s="177"/>
      <c r="N1482" s="178"/>
      <c r="O1482" s="177"/>
      <c r="P1482" s="177"/>
      <c r="Q1482" s="177"/>
      <c r="R1482" s="195"/>
      <c r="S1482" s="178"/>
      <c r="T1482" s="180"/>
      <c r="U1482" s="189" t="str">
        <f>IFERROR(IF(Tableau3[[#This Row],[Dettes]]=0,"",(Tableau3[[#This Row],[Dettes]]/Tableau3[[#This Row],[EBE]])),"")</f>
        <v/>
      </c>
      <c r="V1482" s="190" t="str">
        <f>IFERROR(Tableau3[[#This Row],[Fonds propres]]/Tableau3[[#This Row],[Total Bilan]],"")</f>
        <v/>
      </c>
      <c r="W1482" s="180"/>
      <c r="Y1482" s="180"/>
      <c r="Z1482" s="192" t="str">
        <f>IFERROR(Tableau3[[#This Row],[Chiffre d''affaires]]/Tableau3[[#This Row],[Salariés]],"")</f>
        <v/>
      </c>
      <c r="AA1482" s="177"/>
      <c r="AC1482" s="216">
        <v>2025</v>
      </c>
    </row>
    <row r="1483" spans="1:29" ht="20.25" customHeight="1">
      <c r="A1483" s="217"/>
      <c r="F1483" s="230"/>
      <c r="G1483" s="188"/>
      <c r="H1483" s="188"/>
      <c r="I1483" s="188"/>
      <c r="J1483" s="188"/>
      <c r="K1483" s="197"/>
      <c r="L1483" s="178"/>
      <c r="M1483" s="177"/>
      <c r="N1483" s="178"/>
      <c r="O1483" s="177"/>
      <c r="P1483" s="177"/>
      <c r="Q1483" s="177"/>
      <c r="R1483" s="195"/>
      <c r="S1483" s="178"/>
      <c r="T1483" s="180"/>
      <c r="U1483" s="189" t="str">
        <f>IFERROR(IF(Tableau3[[#This Row],[Dettes]]=0,"",(Tableau3[[#This Row],[Dettes]]/Tableau3[[#This Row],[EBE]])),"")</f>
        <v/>
      </c>
      <c r="V1483" s="190" t="str">
        <f>IFERROR(Tableau3[[#This Row],[Fonds propres]]/Tableau3[[#This Row],[Total Bilan]],"")</f>
        <v/>
      </c>
      <c r="W1483" s="180"/>
      <c r="Y1483" s="180"/>
      <c r="Z1483" s="192" t="str">
        <f>IFERROR(Tableau3[[#This Row],[Chiffre d''affaires]]/Tableau3[[#This Row],[Salariés]],"")</f>
        <v/>
      </c>
      <c r="AA1483" s="177"/>
      <c r="AC1483" s="177" t="s">
        <v>5053</v>
      </c>
    </row>
    <row r="1484" spans="1:29" ht="20.25" customHeight="1">
      <c r="A1484" s="217"/>
      <c r="F1484" s="230"/>
      <c r="G1484" s="188"/>
      <c r="H1484" s="188"/>
      <c r="I1484" s="188"/>
      <c r="J1484" s="188"/>
      <c r="K1484" s="197"/>
      <c r="L1484" s="178"/>
      <c r="M1484" s="177"/>
      <c r="N1484" s="178"/>
      <c r="O1484" s="177"/>
      <c r="P1484" s="177"/>
      <c r="Q1484" s="177"/>
      <c r="R1484" s="195"/>
      <c r="S1484" s="178"/>
      <c r="T1484" s="180"/>
      <c r="U1484" s="189" t="str">
        <f>IFERROR(IF(Tableau3[[#This Row],[Dettes]]=0,"",(Tableau3[[#This Row],[Dettes]]/Tableau3[[#This Row],[EBE]])),"")</f>
        <v/>
      </c>
      <c r="V1484" s="190" t="str">
        <f>IFERROR(Tableau3[[#This Row],[Fonds propres]]/Tableau3[[#This Row],[Total Bilan]],"")</f>
        <v/>
      </c>
      <c r="W1484" s="180"/>
      <c r="Y1484" s="180"/>
      <c r="Z1484" s="192" t="str">
        <f>IFERROR(Tableau3[[#This Row],[Chiffre d''affaires]]/Tableau3[[#This Row],[Salariés]],"")</f>
        <v/>
      </c>
      <c r="AA1484" s="177"/>
      <c r="AC1484" s="177" t="s">
        <v>1023</v>
      </c>
    </row>
    <row r="1485" spans="1:29" ht="20.25" customHeight="1">
      <c r="A1485" s="217"/>
      <c r="F1485" s="230"/>
      <c r="G1485" s="188"/>
      <c r="H1485" s="188"/>
      <c r="I1485" s="188"/>
      <c r="J1485" s="188"/>
      <c r="K1485" s="197"/>
      <c r="L1485" s="178"/>
      <c r="M1485" s="177"/>
      <c r="N1485" s="178"/>
      <c r="O1485" s="177"/>
      <c r="P1485" s="177"/>
      <c r="Q1485" s="177"/>
      <c r="R1485" s="195"/>
      <c r="S1485" s="178"/>
      <c r="T1485" s="180"/>
      <c r="U1485" s="189" t="str">
        <f>IFERROR(IF(Tableau3[[#This Row],[Dettes]]=0,"",(Tableau3[[#This Row],[Dettes]]/Tableau3[[#This Row],[EBE]])),"")</f>
        <v/>
      </c>
      <c r="V1485" s="190" t="str">
        <f>IFERROR(Tableau3[[#This Row],[Fonds propres]]/Tableau3[[#This Row],[Total Bilan]],"")</f>
        <v/>
      </c>
      <c r="W1485" s="180"/>
      <c r="Y1485" s="180"/>
      <c r="Z1485" s="192" t="str">
        <f>IFERROR(Tableau3[[#This Row],[Chiffre d''affaires]]/Tableau3[[#This Row],[Salariés]],"")</f>
        <v/>
      </c>
      <c r="AA1485" s="177"/>
      <c r="AC1485" s="177" t="s">
        <v>1024</v>
      </c>
    </row>
    <row r="1486" spans="1:29" ht="20.25" customHeight="1">
      <c r="A1486" s="217"/>
      <c r="F1486" s="230"/>
      <c r="G1486" s="188"/>
      <c r="H1486" s="188"/>
      <c r="I1486" s="188"/>
      <c r="J1486" s="188"/>
      <c r="K1486" s="197"/>
      <c r="L1486" s="178"/>
      <c r="M1486" s="177"/>
      <c r="N1486" s="178"/>
      <c r="O1486" s="177"/>
      <c r="P1486" s="177"/>
      <c r="Q1486" s="177"/>
      <c r="R1486" s="195"/>
      <c r="S1486" s="178"/>
      <c r="T1486" s="180"/>
      <c r="U1486" s="189" t="str">
        <f>IFERROR(IF(Tableau3[[#This Row],[Dettes]]=0,"",(Tableau3[[#This Row],[Dettes]]/Tableau3[[#This Row],[EBE]])),"")</f>
        <v/>
      </c>
      <c r="V1486" s="190" t="str">
        <f>IFERROR(Tableau3[[#This Row],[Fonds propres]]/Tableau3[[#This Row],[Total Bilan]],"")</f>
        <v/>
      </c>
      <c r="W1486" s="180"/>
      <c r="Y1486" s="180"/>
      <c r="Z1486" s="192" t="str">
        <f>IFERROR(Tableau3[[#This Row],[Chiffre d''affaires]]/Tableau3[[#This Row],[Salariés]],"")</f>
        <v/>
      </c>
      <c r="AA1486" s="177"/>
      <c r="AC1486" s="177" t="s">
        <v>1025</v>
      </c>
    </row>
    <row r="1487" spans="1:29" ht="20.25" customHeight="1">
      <c r="A1487" s="217"/>
      <c r="F1487" s="230"/>
      <c r="G1487" s="188"/>
      <c r="H1487" s="188"/>
      <c r="I1487" s="188"/>
      <c r="J1487" s="188"/>
      <c r="K1487" s="197"/>
      <c r="L1487" s="178"/>
      <c r="M1487" s="177"/>
      <c r="N1487" s="178"/>
      <c r="O1487" s="177"/>
      <c r="P1487" s="177"/>
      <c r="Q1487" s="177"/>
      <c r="R1487" s="195"/>
      <c r="S1487" s="178"/>
      <c r="T1487" s="180"/>
      <c r="U1487" s="189" t="str">
        <f>IFERROR(IF(Tableau3[[#This Row],[Dettes]]=0,"",(Tableau3[[#This Row],[Dettes]]/Tableau3[[#This Row],[EBE]])),"")</f>
        <v/>
      </c>
      <c r="V1487" s="190" t="str">
        <f>IFERROR(Tableau3[[#This Row],[Fonds propres]]/Tableau3[[#This Row],[Total Bilan]],"")</f>
        <v/>
      </c>
      <c r="W1487" s="180"/>
      <c r="Y1487" s="180"/>
      <c r="Z1487" s="192" t="str">
        <f>IFERROR(Tableau3[[#This Row],[Chiffre d''affaires]]/Tableau3[[#This Row],[Salariés]],"")</f>
        <v/>
      </c>
      <c r="AA1487" s="177"/>
    </row>
    <row r="1488" spans="1:29" ht="20.25" customHeight="1">
      <c r="A1488" s="217"/>
      <c r="F1488" s="230"/>
      <c r="G1488" s="188"/>
      <c r="H1488" s="188"/>
      <c r="I1488" s="188"/>
      <c r="J1488" s="188"/>
      <c r="K1488" s="197"/>
      <c r="L1488" s="178"/>
      <c r="M1488" s="177"/>
      <c r="N1488" s="178"/>
      <c r="O1488" s="177"/>
      <c r="P1488" s="177"/>
      <c r="Q1488" s="177"/>
      <c r="R1488" s="195"/>
      <c r="S1488" s="178"/>
      <c r="T1488" s="180"/>
      <c r="U1488" s="189" t="str">
        <f>IFERROR(IF(Tableau3[[#This Row],[Dettes]]=0,"",(Tableau3[[#This Row],[Dettes]]/Tableau3[[#This Row],[EBE]])),"")</f>
        <v/>
      </c>
      <c r="V1488" s="190" t="str">
        <f>IFERROR(Tableau3[[#This Row],[Fonds propres]]/Tableau3[[#This Row],[Total Bilan]],"")</f>
        <v/>
      </c>
      <c r="W1488" s="180"/>
      <c r="Y1488" s="180"/>
      <c r="Z1488" s="192" t="str">
        <f>IFERROR(Tableau3[[#This Row],[Chiffre d''affaires]]/Tableau3[[#This Row],[Salariés]],"")</f>
        <v/>
      </c>
      <c r="AA1488" s="177"/>
    </row>
    <row r="1489" spans="1:29" ht="20.25" customHeight="1">
      <c r="A1489" s="217"/>
      <c r="F1489" s="230"/>
      <c r="G1489" s="188"/>
      <c r="H1489" s="188"/>
      <c r="I1489" s="188"/>
      <c r="J1489" s="188"/>
      <c r="K1489" s="197"/>
      <c r="L1489" s="178"/>
      <c r="M1489" s="177"/>
      <c r="N1489" s="178"/>
      <c r="O1489" s="177"/>
      <c r="P1489" s="177"/>
      <c r="Q1489" s="177"/>
      <c r="R1489" s="195"/>
      <c r="S1489" s="178"/>
      <c r="T1489" s="180"/>
      <c r="U1489" s="189" t="str">
        <f>IFERROR(IF(Tableau3[[#This Row],[Dettes]]=0,"",(Tableau3[[#This Row],[Dettes]]/Tableau3[[#This Row],[EBE]])),"")</f>
        <v/>
      </c>
      <c r="V1489" s="190" t="str">
        <f>IFERROR(Tableau3[[#This Row],[Fonds propres]]/Tableau3[[#This Row],[Total Bilan]],"")</f>
        <v/>
      </c>
      <c r="W1489" s="180"/>
      <c r="Y1489" s="180"/>
      <c r="Z1489" s="192" t="str">
        <f>IFERROR(Tableau3[[#This Row],[Chiffre d''affaires]]/Tableau3[[#This Row],[Salariés]],"")</f>
        <v/>
      </c>
      <c r="AA1489" s="177"/>
    </row>
    <row r="1490" spans="1:29" ht="20.25" customHeight="1">
      <c r="A1490" s="217"/>
      <c r="F1490" s="230"/>
      <c r="G1490" s="188"/>
      <c r="H1490" s="188"/>
      <c r="I1490" s="188"/>
      <c r="J1490" s="188"/>
      <c r="K1490" s="197"/>
      <c r="L1490" s="178"/>
      <c r="M1490" s="178"/>
      <c r="N1490" s="178"/>
      <c r="O1490" s="178"/>
      <c r="P1490" s="178"/>
      <c r="Q1490" s="178"/>
      <c r="R1490" s="195"/>
      <c r="S1490" s="178"/>
      <c r="T1490" s="180"/>
      <c r="U1490" s="189" t="str">
        <f>IFERROR(IF(Tableau3[[#This Row],[Dettes]]=0,"",(Tableau3[[#This Row],[Dettes]]/Tableau3[[#This Row],[EBE]])),"")</f>
        <v/>
      </c>
      <c r="V1490" s="190" t="str">
        <f>IFERROR(Tableau3[[#This Row],[Fonds propres]]/Tableau3[[#This Row],[Total Bilan]],"")</f>
        <v/>
      </c>
      <c r="W1490" s="180"/>
      <c r="Y1490" s="180"/>
      <c r="Z1490" s="192" t="str">
        <f>IFERROR(Tableau3[[#This Row],[Chiffre d''affaires]]/Tableau3[[#This Row],[Salariés]],"")</f>
        <v/>
      </c>
      <c r="AA1490" s="177"/>
    </row>
    <row r="1491" spans="1:29" ht="20.25" customHeight="1">
      <c r="A1491" s="217"/>
      <c r="F1491" s="230"/>
      <c r="G1491" s="188"/>
      <c r="H1491" s="188"/>
      <c r="I1491" s="188"/>
      <c r="J1491" s="188"/>
      <c r="K1491" s="197"/>
      <c r="L1491" s="178"/>
      <c r="M1491" s="178"/>
      <c r="N1491" s="178"/>
      <c r="O1491" s="178"/>
      <c r="P1491" s="178"/>
      <c r="Q1491" s="178"/>
      <c r="R1491" s="195"/>
      <c r="S1491" s="178"/>
      <c r="T1491" s="180"/>
      <c r="U1491" s="189" t="str">
        <f>IFERROR(IF(Tableau3[[#This Row],[Dettes]]=0,"",(Tableau3[[#This Row],[Dettes]]/Tableau3[[#This Row],[EBE]])),"")</f>
        <v/>
      </c>
      <c r="V1491" s="190" t="str">
        <f>IFERROR(Tableau3[[#This Row],[Fonds propres]]/Tableau3[[#This Row],[Total Bilan]],"")</f>
        <v/>
      </c>
      <c r="W1491" s="180"/>
      <c r="Y1491" s="180"/>
      <c r="Z1491" s="192" t="str">
        <f>IFERROR(Tableau3[[#This Row],[Chiffre d''affaires]]/Tableau3[[#This Row],[Salariés]],"")</f>
        <v/>
      </c>
      <c r="AA1491" s="177"/>
    </row>
    <row r="1492" spans="1:29" ht="20.25" customHeight="1">
      <c r="A1492" s="217"/>
      <c r="F1492" s="230"/>
      <c r="G1492" s="188"/>
      <c r="H1492" s="188"/>
      <c r="I1492" s="188"/>
      <c r="J1492" s="188"/>
      <c r="K1492" s="197"/>
      <c r="L1492" s="178"/>
      <c r="M1492" s="178"/>
      <c r="N1492" s="178"/>
      <c r="O1492" s="178"/>
      <c r="P1492" s="178"/>
      <c r="Q1492" s="178"/>
      <c r="R1492" s="195"/>
      <c r="S1492" s="178"/>
      <c r="T1492" s="180"/>
      <c r="U1492" s="189" t="str">
        <f>IFERROR(IF(Tableau3[[#This Row],[Dettes]]=0,"",(Tableau3[[#This Row],[Dettes]]/Tableau3[[#This Row],[EBE]])),"")</f>
        <v/>
      </c>
      <c r="V1492" s="190" t="str">
        <f>IFERROR(Tableau3[[#This Row],[Fonds propres]]/Tableau3[[#This Row],[Total Bilan]],"")</f>
        <v/>
      </c>
      <c r="W1492" s="180"/>
      <c r="Y1492" s="180"/>
      <c r="Z1492" s="192" t="str">
        <f>IFERROR(Tableau3[[#This Row],[Chiffre d''affaires]]/Tableau3[[#This Row],[Salariés]],"")</f>
        <v/>
      </c>
      <c r="AA1492" s="177"/>
    </row>
    <row r="1493" spans="1:29" ht="20.25" customHeight="1">
      <c r="A1493" s="217"/>
      <c r="F1493" s="230"/>
      <c r="G1493" s="188"/>
      <c r="H1493" s="188"/>
      <c r="I1493" s="188"/>
      <c r="J1493" s="188"/>
      <c r="K1493" s="197"/>
      <c r="L1493" s="178"/>
      <c r="M1493" s="177"/>
      <c r="N1493" s="178"/>
      <c r="O1493" s="177"/>
      <c r="P1493" s="177"/>
      <c r="Q1493" s="177"/>
      <c r="R1493" s="195"/>
      <c r="S1493" s="178"/>
      <c r="T1493" s="180"/>
      <c r="U1493" s="189" t="str">
        <f>IFERROR(IF(Tableau3[[#This Row],[Dettes]]=0,"",(Tableau3[[#This Row],[Dettes]]/Tableau3[[#This Row],[EBE]])),"")</f>
        <v/>
      </c>
      <c r="V1493" s="190" t="str">
        <f>IFERROR(Tableau3[[#This Row],[Fonds propres]]/Tableau3[[#This Row],[Total Bilan]],"")</f>
        <v/>
      </c>
      <c r="W1493" s="180"/>
      <c r="Y1493" s="180"/>
      <c r="Z1493" s="192" t="str">
        <f>IFERROR(Tableau3[[#This Row],[Chiffre d''affaires]]/Tableau3[[#This Row],[Salariés]],"")</f>
        <v/>
      </c>
      <c r="AA1493" s="177"/>
    </row>
    <row r="1494" spans="1:29" ht="20.25" customHeight="1">
      <c r="A1494" s="217" t="s">
        <v>1026</v>
      </c>
      <c r="B1494" s="216" t="s">
        <v>1027</v>
      </c>
      <c r="C1494" s="178" t="s">
        <v>427</v>
      </c>
      <c r="D1494" s="178" t="s">
        <v>85</v>
      </c>
      <c r="E1494" s="187">
        <v>40.78</v>
      </c>
      <c r="F1494" s="230">
        <v>2021</v>
      </c>
      <c r="G1494" s="188"/>
      <c r="H1494" s="188"/>
      <c r="I1494" s="188"/>
      <c r="J1494" s="188"/>
      <c r="K1494" s="197"/>
      <c r="L1494" s="178"/>
      <c r="M1494" s="177"/>
      <c r="N1494" s="178"/>
      <c r="O1494" s="177"/>
      <c r="P1494" s="188">
        <v>150000000</v>
      </c>
      <c r="Q1494" s="246">
        <f>P1494*E1494</f>
        <v>6117000000</v>
      </c>
      <c r="R1494" s="195"/>
      <c r="S1494" s="178"/>
      <c r="T1494" s="180"/>
      <c r="U1494" s="189" t="str">
        <f>IFERROR(IF(Tableau3[[#This Row],[Dettes]]=0,"",(Tableau3[[#This Row],[Dettes]]/Tableau3[[#This Row],[EBE]])),"")</f>
        <v/>
      </c>
      <c r="V1494" s="190" t="str">
        <f>IFERROR(Tableau3[[#This Row],[Fonds propres]]/Tableau3[[#This Row],[Total Bilan]],"")</f>
        <v/>
      </c>
      <c r="W1494" s="180"/>
      <c r="Y1494" s="180"/>
      <c r="Z1494" s="192" t="str">
        <f>IFERROR(Tableau3[[#This Row],[Chiffre d''affaires]]/Tableau3[[#This Row],[Salariés]],"")</f>
        <v/>
      </c>
      <c r="AA1494" s="177"/>
      <c r="AC1494" s="177" t="s">
        <v>1028</v>
      </c>
    </row>
    <row r="1495" spans="1:29" ht="20.25" customHeight="1">
      <c r="A1495" s="217"/>
      <c r="F1495" s="230"/>
      <c r="G1495" s="188"/>
      <c r="H1495" s="188"/>
      <c r="I1495" s="188"/>
      <c r="J1495" s="188"/>
      <c r="K1495" s="197"/>
      <c r="L1495" s="178"/>
      <c r="M1495" s="177"/>
      <c r="N1495" s="178"/>
      <c r="O1495" s="177"/>
      <c r="P1495" s="177"/>
      <c r="Q1495" s="177"/>
      <c r="R1495" s="195"/>
      <c r="S1495" s="178"/>
      <c r="T1495" s="180"/>
      <c r="U1495" s="189" t="str">
        <f>IFERROR(IF(Tableau3[[#This Row],[Dettes]]=0,"",(Tableau3[[#This Row],[Dettes]]/Tableau3[[#This Row],[EBE]])),"")</f>
        <v/>
      </c>
      <c r="V1495" s="190" t="str">
        <f>IFERROR(Tableau3[[#This Row],[Fonds propres]]/Tableau3[[#This Row],[Total Bilan]],"")</f>
        <v/>
      </c>
      <c r="W1495" s="180"/>
      <c r="Y1495" s="180"/>
      <c r="Z1495" s="192" t="str">
        <f>IFERROR(Tableau3[[#This Row],[Chiffre d''affaires]]/Tableau3[[#This Row],[Salariés]],"")</f>
        <v/>
      </c>
      <c r="AA1495" s="177"/>
      <c r="AC1495" s="177" t="s">
        <v>1030</v>
      </c>
    </row>
    <row r="1496" spans="1:29" ht="20.25" customHeight="1">
      <c r="A1496" s="217"/>
      <c r="E1496" s="178">
        <v>34.799999999999997</v>
      </c>
      <c r="F1496" s="230">
        <v>2020</v>
      </c>
      <c r="G1496" s="188"/>
      <c r="H1496" s="188"/>
      <c r="I1496" s="188"/>
      <c r="J1496" s="188"/>
      <c r="K1496" s="197"/>
      <c r="L1496" s="178"/>
      <c r="M1496" s="177"/>
      <c r="N1496" s="178"/>
      <c r="O1496" s="177"/>
      <c r="P1496" s="177"/>
      <c r="Q1496" s="177"/>
      <c r="R1496" s="195"/>
      <c r="S1496" s="178"/>
      <c r="T1496" s="180"/>
      <c r="U1496" s="189" t="str">
        <f>IFERROR(IF(Tableau3[[#This Row],[Dettes]]=0,"",(Tableau3[[#This Row],[Dettes]]/Tableau3[[#This Row],[EBE]])),"")</f>
        <v/>
      </c>
      <c r="V1496" s="190" t="str">
        <f>IFERROR(Tableau3[[#This Row],[Fonds propres]]/Tableau3[[#This Row],[Total Bilan]],"")</f>
        <v/>
      </c>
      <c r="W1496" s="180"/>
      <c r="Y1496" s="180"/>
      <c r="Z1496" s="192" t="str">
        <f>IFERROR(Tableau3[[#This Row],[Chiffre d''affaires]]/Tableau3[[#This Row],[Salariés]],"")</f>
        <v/>
      </c>
      <c r="AA1496" s="177"/>
      <c r="AC1496" s="177" t="s">
        <v>1031</v>
      </c>
    </row>
    <row r="1497" spans="1:29" ht="20.25" customHeight="1">
      <c r="A1497" s="217"/>
      <c r="F1497" s="230"/>
      <c r="G1497" s="188"/>
      <c r="H1497" s="188"/>
      <c r="I1497" s="188"/>
      <c r="J1497" s="188"/>
      <c r="K1497" s="197"/>
      <c r="L1497" s="178"/>
      <c r="M1497" s="177"/>
      <c r="N1497" s="178"/>
      <c r="O1497" s="177"/>
      <c r="P1497" s="177"/>
      <c r="Q1497" s="177"/>
      <c r="R1497" s="195"/>
      <c r="S1497" s="178"/>
      <c r="T1497" s="180"/>
      <c r="U1497" s="189" t="str">
        <f>IFERROR(IF(Tableau3[[#This Row],[Dettes]]=0,"",(Tableau3[[#This Row],[Dettes]]/Tableau3[[#This Row],[EBE]])),"")</f>
        <v/>
      </c>
      <c r="V1497" s="190" t="str">
        <f>IFERROR(Tableau3[[#This Row],[Fonds propres]]/Tableau3[[#This Row],[Total Bilan]],"")</f>
        <v/>
      </c>
      <c r="W1497" s="180"/>
      <c r="Y1497" s="180"/>
      <c r="Z1497" s="192" t="str">
        <f>IFERROR(Tableau3[[#This Row],[Chiffre d''affaires]]/Tableau3[[#This Row],[Salariés]],"")</f>
        <v/>
      </c>
      <c r="AA1497" s="177"/>
      <c r="AC1497" s="177" t="s">
        <v>1032</v>
      </c>
    </row>
    <row r="1498" spans="1:29" ht="20.25" customHeight="1">
      <c r="A1498" s="217"/>
      <c r="E1498" s="178">
        <v>28.7</v>
      </c>
      <c r="F1498" s="230">
        <v>2019</v>
      </c>
      <c r="G1498" s="188"/>
      <c r="H1498" s="188"/>
      <c r="I1498" s="188"/>
      <c r="J1498" s="188"/>
      <c r="K1498" s="197"/>
      <c r="L1498" s="178"/>
      <c r="M1498" s="177"/>
      <c r="N1498" s="178"/>
      <c r="O1498" s="177"/>
      <c r="P1498" s="177"/>
      <c r="Q1498" s="177"/>
      <c r="R1498" s="195"/>
      <c r="S1498" s="178"/>
      <c r="T1498" s="180"/>
      <c r="U1498" s="189" t="str">
        <f>IFERROR(IF(Tableau3[[#This Row],[Dettes]]=0,"",(Tableau3[[#This Row],[Dettes]]/Tableau3[[#This Row],[EBE]])),"")</f>
        <v/>
      </c>
      <c r="V1498" s="190" t="str">
        <f>IFERROR(Tableau3[[#This Row],[Fonds propres]]/Tableau3[[#This Row],[Total Bilan]],"")</f>
        <v/>
      </c>
      <c r="W1498" s="180"/>
      <c r="Y1498" s="180"/>
      <c r="Z1498" s="192" t="str">
        <f>IFERROR(Tableau3[[#This Row],[Chiffre d''affaires]]/Tableau3[[#This Row],[Salariés]],"")</f>
        <v/>
      </c>
      <c r="AA1498" s="177"/>
      <c r="AC1498" s="177" t="s">
        <v>1033</v>
      </c>
    </row>
    <row r="1499" spans="1:29" ht="20.25" customHeight="1">
      <c r="A1499" s="217"/>
      <c r="F1499" s="230"/>
      <c r="G1499" s="188"/>
      <c r="H1499" s="188"/>
      <c r="I1499" s="188"/>
      <c r="J1499" s="188"/>
      <c r="K1499" s="197"/>
      <c r="L1499" s="178"/>
      <c r="M1499" s="177"/>
      <c r="N1499" s="178"/>
      <c r="O1499" s="177"/>
      <c r="P1499" s="177"/>
      <c r="Q1499" s="177"/>
      <c r="R1499" s="195"/>
      <c r="S1499" s="178"/>
      <c r="T1499" s="180"/>
      <c r="U1499" s="189" t="str">
        <f>IFERROR(IF(Tableau3[[#This Row],[Dettes]]=0,"",(Tableau3[[#This Row],[Dettes]]/Tableau3[[#This Row],[EBE]])),"")</f>
        <v/>
      </c>
      <c r="V1499" s="190" t="str">
        <f>IFERROR(Tableau3[[#This Row],[Fonds propres]]/Tableau3[[#This Row],[Total Bilan]],"")</f>
        <v/>
      </c>
      <c r="W1499" s="180"/>
      <c r="Y1499" s="180"/>
      <c r="Z1499" s="192" t="str">
        <f>IFERROR(Tableau3[[#This Row],[Chiffre d''affaires]]/Tableau3[[#This Row],[Salariés]],"")</f>
        <v/>
      </c>
      <c r="AA1499" s="177"/>
      <c r="AC1499" s="177" t="s">
        <v>1034</v>
      </c>
    </row>
    <row r="1500" spans="1:29" ht="20.25" customHeight="1">
      <c r="A1500" s="217"/>
      <c r="E1500" s="178">
        <v>20.3</v>
      </c>
      <c r="F1500" s="230">
        <v>2018</v>
      </c>
      <c r="G1500" s="188"/>
      <c r="H1500" s="188"/>
      <c r="I1500" s="188"/>
      <c r="J1500" s="188"/>
      <c r="K1500" s="197"/>
      <c r="L1500" s="178"/>
      <c r="M1500" s="177"/>
      <c r="N1500" s="178"/>
      <c r="O1500" s="177"/>
      <c r="P1500" s="177"/>
      <c r="Q1500" s="177"/>
      <c r="R1500" s="195"/>
      <c r="S1500" s="178"/>
      <c r="T1500" s="180"/>
      <c r="U1500" s="189" t="str">
        <f>IFERROR(IF(Tableau3[[#This Row],[Dettes]]=0,"",(Tableau3[[#This Row],[Dettes]]/Tableau3[[#This Row],[EBE]])),"")</f>
        <v/>
      </c>
      <c r="V1500" s="190" t="str">
        <f>IFERROR(Tableau3[[#This Row],[Fonds propres]]/Tableau3[[#This Row],[Total Bilan]],"")</f>
        <v/>
      </c>
      <c r="W1500" s="180"/>
      <c r="Y1500" s="180"/>
      <c r="Z1500" s="192" t="str">
        <f>IFERROR(Tableau3[[#This Row],[Chiffre d''affaires]]/Tableau3[[#This Row],[Salariés]],"")</f>
        <v/>
      </c>
      <c r="AA1500" s="177"/>
    </row>
    <row r="1501" spans="1:29" ht="20.25" customHeight="1">
      <c r="A1501" s="217"/>
      <c r="F1501" s="230"/>
      <c r="G1501" s="188"/>
      <c r="H1501" s="188"/>
      <c r="I1501" s="188"/>
      <c r="J1501" s="188"/>
      <c r="K1501" s="197"/>
      <c r="L1501" s="178"/>
      <c r="M1501" s="177"/>
      <c r="N1501" s="178"/>
      <c r="O1501" s="177"/>
      <c r="P1501" s="177"/>
      <c r="Q1501" s="177"/>
      <c r="R1501" s="195"/>
      <c r="S1501" s="178"/>
      <c r="T1501" s="180"/>
      <c r="U1501" s="189" t="str">
        <f>IFERROR(IF(Tableau3[[#This Row],[Dettes]]=0,"",(Tableau3[[#This Row],[Dettes]]/Tableau3[[#This Row],[EBE]])),"")</f>
        <v/>
      </c>
      <c r="V1501" s="190" t="str">
        <f>IFERROR(Tableau3[[#This Row],[Fonds propres]]/Tableau3[[#This Row],[Total Bilan]],"")</f>
        <v/>
      </c>
      <c r="W1501" s="180"/>
      <c r="Y1501" s="180"/>
      <c r="Z1501" s="192" t="str">
        <f>IFERROR(Tableau3[[#This Row],[Chiffre d''affaires]]/Tableau3[[#This Row],[Salariés]],"")</f>
        <v/>
      </c>
      <c r="AA1501" s="177"/>
    </row>
    <row r="1502" spans="1:29" ht="20.25" customHeight="1">
      <c r="A1502" s="217"/>
      <c r="E1502" s="187">
        <v>34.53</v>
      </c>
      <c r="F1502" s="178">
        <v>2017</v>
      </c>
      <c r="G1502" s="188">
        <v>6965000000</v>
      </c>
      <c r="H1502" s="188">
        <v>571000000</v>
      </c>
      <c r="I1502" s="188">
        <v>441000000</v>
      </c>
      <c r="J1502" s="188">
        <v>281000000</v>
      </c>
      <c r="K1502" s="188">
        <v>367000000</v>
      </c>
      <c r="L1502" s="188">
        <v>2321000000</v>
      </c>
      <c r="M1502" s="194">
        <f>L1502/P1502</f>
        <v>15.473333333333333</v>
      </c>
      <c r="N1502" s="190">
        <f>J1502/L1504</f>
        <v>0.10007122507122507</v>
      </c>
      <c r="O1502" s="190">
        <f>(I1502*0.64)/(K1502+(M1502*P1502))</f>
        <v>0.105</v>
      </c>
      <c r="P1502" s="188">
        <v>150000000</v>
      </c>
      <c r="Q1502" s="188">
        <f>P1502*E1502</f>
        <v>5179500000</v>
      </c>
      <c r="R1502" s="195">
        <f>Q1502/L1502</f>
        <v>2.2315812149935375</v>
      </c>
      <c r="S1502" s="197">
        <f>(Q1502+K1502)/H1502</f>
        <v>9.7136602451838883</v>
      </c>
      <c r="T1502" s="180"/>
      <c r="U1502" s="189">
        <f>IFERROR(IF(Tableau3[[#This Row],[Dettes]]=0,"",(Tableau3[[#This Row],[Dettes]]/Tableau3[[#This Row],[EBE]])),"")</f>
        <v>0.64273204903677761</v>
      </c>
      <c r="V1502" s="190" t="str">
        <f>IFERROR(Tableau3[[#This Row],[Fonds propres]]/Tableau3[[#This Row],[Total Bilan]],"")</f>
        <v/>
      </c>
      <c r="W1502" s="180"/>
      <c r="X1502" s="191"/>
      <c r="Y1502" s="180"/>
      <c r="Z1502" s="192" t="str">
        <f>IFERROR(Tableau3[[#This Row],[Chiffre d''affaires]]/Tableau3[[#This Row],[Salariés]],"")</f>
        <v/>
      </c>
      <c r="AA1502" s="197"/>
      <c r="AB1502" s="197"/>
    </row>
    <row r="1503" spans="1:29" ht="20.25" customHeight="1">
      <c r="A1503" s="217"/>
      <c r="E1503" s="187"/>
      <c r="G1503" s="202">
        <f>(G1502/G1504)-1</f>
        <v>-2.1082220660576301E-2</v>
      </c>
      <c r="H1503" s="203">
        <f>(H1502/H1504)-1</f>
        <v>0.1920668058455115</v>
      </c>
      <c r="I1503" s="203">
        <f>(I1502/I1504)-1</f>
        <v>0.19512195121951215</v>
      </c>
      <c r="J1503" s="203">
        <f>(J1502/J1504)-1</f>
        <v>0.51891891891891895</v>
      </c>
      <c r="K1503" s="188"/>
      <c r="L1503" s="188"/>
      <c r="M1503" s="188"/>
      <c r="N1503" s="188"/>
      <c r="O1503" s="188"/>
      <c r="P1503" s="188"/>
      <c r="Q1503" s="188"/>
      <c r="R1503" s="195"/>
      <c r="S1503" s="188"/>
      <c r="T1503" s="180"/>
      <c r="U1503" s="189" t="str">
        <f>IFERROR(IF(Tableau3[[#This Row],[Dettes]]=0,"",(Tableau3[[#This Row],[Dettes]]/Tableau3[[#This Row],[EBE]])),"")</f>
        <v/>
      </c>
      <c r="V1503" s="190" t="str">
        <f>IFERROR(Tableau3[[#This Row],[Fonds propres]]/Tableau3[[#This Row],[Total Bilan]],"")</f>
        <v/>
      </c>
      <c r="W1503" s="180"/>
      <c r="X1503" s="192"/>
      <c r="Y1503" s="180"/>
      <c r="Z1503" s="192" t="str">
        <f>IFERROR(Tableau3[[#This Row],[Chiffre d''affaires]]/Tableau3[[#This Row],[Salariés]],"")</f>
        <v/>
      </c>
      <c r="AA1503" s="188"/>
      <c r="AB1503" s="188"/>
    </row>
    <row r="1504" spans="1:29" ht="20.25" customHeight="1">
      <c r="A1504" s="217"/>
      <c r="E1504" s="187">
        <v>22</v>
      </c>
      <c r="F1504" s="178">
        <v>2016</v>
      </c>
      <c r="G1504" s="188">
        <v>7115000000</v>
      </c>
      <c r="H1504" s="188">
        <v>479000000</v>
      </c>
      <c r="I1504" s="188">
        <v>369000000</v>
      </c>
      <c r="J1504" s="188">
        <v>185000000</v>
      </c>
      <c r="K1504" s="188">
        <v>341000000</v>
      </c>
      <c r="L1504" s="188">
        <v>2808000000</v>
      </c>
      <c r="M1504" s="194">
        <f>L1504/P1504</f>
        <v>18.72</v>
      </c>
      <c r="N1504" s="190">
        <f>J1504/(M1504*P1504)</f>
        <v>6.588319088319089E-2</v>
      </c>
      <c r="O1504" s="190">
        <f>(I1504*0.64)/(K1504+(M1504*P1504))</f>
        <v>7.4995236583042232E-2</v>
      </c>
      <c r="P1504" s="188">
        <v>150000000</v>
      </c>
      <c r="Q1504" s="188">
        <f>P1504*E1502</f>
        <v>5179500000</v>
      </c>
      <c r="R1504" s="195">
        <f>Q1504/L1504</f>
        <v>1.8445512820512822</v>
      </c>
      <c r="S1504" s="197">
        <f>(Q1504+K1504)/H1504</f>
        <v>11.525052192066806</v>
      </c>
      <c r="T1504" s="180"/>
      <c r="U1504" s="189">
        <f>IFERROR(IF(Tableau3[[#This Row],[Dettes]]=0,"",(Tableau3[[#This Row],[Dettes]]/Tableau3[[#This Row],[EBE]])),"")</f>
        <v>0.71189979123173275</v>
      </c>
      <c r="V1504" s="190" t="str">
        <f>IFERROR(Tableau3[[#This Row],[Fonds propres]]/Tableau3[[#This Row],[Total Bilan]],"")</f>
        <v/>
      </c>
      <c r="W1504" s="180"/>
      <c r="X1504" s="191"/>
      <c r="Y1504" s="180"/>
      <c r="Z1504" s="192" t="str">
        <f>IFERROR(Tableau3[[#This Row],[Chiffre d''affaires]]/Tableau3[[#This Row],[Salariés]],"")</f>
        <v/>
      </c>
      <c r="AA1504" s="197"/>
      <c r="AB1504" s="197"/>
    </row>
    <row r="1505" spans="1:29" ht="20.25" customHeight="1">
      <c r="A1505" s="217"/>
      <c r="G1505" s="202">
        <f>(G1504/G1506)-1</f>
        <v>-4.688546550569328E-2</v>
      </c>
      <c r="H1505" s="203">
        <f>(H1504/H1506)-1</f>
        <v>9.3607305936073137E-2</v>
      </c>
      <c r="I1505" s="203">
        <f>(I1504/I1506)-1</f>
        <v>0.11480362537764344</v>
      </c>
      <c r="J1505" s="203">
        <f>(J1504/J1506)-1</f>
        <v>-0.22916666666666663</v>
      </c>
      <c r="K1505" s="188"/>
      <c r="L1505" s="188"/>
      <c r="M1505" s="194"/>
      <c r="N1505" s="190"/>
      <c r="O1505" s="190"/>
      <c r="P1505" s="188"/>
      <c r="Q1505" s="188"/>
      <c r="R1505" s="195"/>
      <c r="S1505" s="197"/>
      <c r="T1505" s="180"/>
      <c r="U1505" s="189" t="str">
        <f>IFERROR(IF(Tableau3[[#This Row],[Dettes]]=0,"",(Tableau3[[#This Row],[Dettes]]/Tableau3[[#This Row],[EBE]])),"")</f>
        <v/>
      </c>
      <c r="V1505" s="190" t="str">
        <f>IFERROR(Tableau3[[#This Row],[Fonds propres]]/Tableau3[[#This Row],[Total Bilan]],"")</f>
        <v/>
      </c>
      <c r="W1505" s="180"/>
      <c r="X1505" s="191"/>
      <c r="Y1505" s="180"/>
      <c r="Z1505" s="192" t="str">
        <f>IFERROR(Tableau3[[#This Row],[Chiffre d''affaires]]/Tableau3[[#This Row],[Salariés]],"")</f>
        <v/>
      </c>
      <c r="AA1505" s="197"/>
      <c r="AB1505" s="197"/>
    </row>
    <row r="1506" spans="1:29" ht="20.25" customHeight="1">
      <c r="A1506" s="217"/>
      <c r="F1506" s="178">
        <v>2015</v>
      </c>
      <c r="G1506" s="188">
        <v>7465000000</v>
      </c>
      <c r="H1506" s="188">
        <v>438000000</v>
      </c>
      <c r="I1506" s="188">
        <v>331000000</v>
      </c>
      <c r="J1506" s="188">
        <v>240000000</v>
      </c>
      <c r="K1506" s="188">
        <v>950000000</v>
      </c>
      <c r="L1506" s="188">
        <v>2583000000</v>
      </c>
      <c r="M1506" s="194">
        <f>L1506/P1506</f>
        <v>17.22</v>
      </c>
      <c r="N1506" s="190">
        <f>J1506/(M1506*P1506)</f>
        <v>9.2915214866434379E-2</v>
      </c>
      <c r="O1506" s="190">
        <f>(I1506*0.64)/(K1506+(M1506*P1506))</f>
        <v>5.9960373620152843E-2</v>
      </c>
      <c r="P1506" s="188">
        <v>150000000</v>
      </c>
      <c r="Q1506" s="188">
        <f>P1506*E1502</f>
        <v>5179500000</v>
      </c>
      <c r="R1506" s="195">
        <f>Q1506/L1506</f>
        <v>2.005226480836237</v>
      </c>
      <c r="S1506" s="197">
        <f>(Q1506+K1506)/H1506</f>
        <v>13.994292237442922</v>
      </c>
      <c r="T1506" s="180"/>
      <c r="U1506" s="189">
        <f>IFERROR(IF(Tableau3[[#This Row],[Dettes]]=0,"",(Tableau3[[#This Row],[Dettes]]/Tableau3[[#This Row],[EBE]])),"")</f>
        <v>2.1689497716894977</v>
      </c>
      <c r="V1506" s="190" t="str">
        <f>IFERROR(Tableau3[[#This Row],[Fonds propres]]/Tableau3[[#This Row],[Total Bilan]],"")</f>
        <v/>
      </c>
      <c r="W1506" s="180"/>
      <c r="X1506" s="191"/>
      <c r="Y1506" s="180"/>
      <c r="Z1506" s="192" t="str">
        <f>IFERROR(Tableau3[[#This Row],[Chiffre d''affaires]]/Tableau3[[#This Row],[Salariés]],"")</f>
        <v/>
      </c>
      <c r="AA1506" s="197"/>
      <c r="AB1506" s="197"/>
    </row>
    <row r="1507" spans="1:29" ht="20.25" customHeight="1">
      <c r="A1507" s="217"/>
      <c r="G1507" s="188"/>
      <c r="H1507" s="188"/>
      <c r="I1507" s="188"/>
      <c r="J1507" s="188"/>
      <c r="K1507" s="188"/>
      <c r="L1507" s="188"/>
      <c r="M1507" s="194"/>
      <c r="N1507" s="190"/>
      <c r="O1507" s="190"/>
      <c r="P1507" s="188"/>
      <c r="Q1507" s="188"/>
      <c r="R1507" s="195"/>
      <c r="S1507" s="197"/>
      <c r="T1507" s="180"/>
      <c r="U1507" s="189" t="str">
        <f>IFERROR(IF(Tableau3[[#This Row],[Dettes]]=0,"",(Tableau3[[#This Row],[Dettes]]/Tableau3[[#This Row],[EBE]])),"")</f>
        <v/>
      </c>
      <c r="V1507" s="190" t="str">
        <f>IFERROR(Tableau3[[#This Row],[Fonds propres]]/Tableau3[[#This Row],[Total Bilan]],"")</f>
        <v/>
      </c>
      <c r="W1507" s="180"/>
      <c r="X1507" s="191"/>
      <c r="Y1507" s="180"/>
      <c r="Z1507" s="192" t="str">
        <f>IFERROR(Tableau3[[#This Row],[Chiffre d''affaires]]/Tableau3[[#This Row],[Salariés]],"")</f>
        <v/>
      </c>
      <c r="AA1507" s="197"/>
      <c r="AB1507" s="197"/>
    </row>
    <row r="1508" spans="1:29" ht="20.25" customHeight="1">
      <c r="A1508" s="217"/>
      <c r="F1508" s="217" t="s">
        <v>1035</v>
      </c>
      <c r="G1508" s="188"/>
      <c r="H1508" s="178"/>
      <c r="I1508" s="178"/>
      <c r="J1508" s="178"/>
      <c r="K1508" s="178"/>
      <c r="L1508" s="178"/>
      <c r="M1508" s="178"/>
      <c r="N1508" s="178"/>
      <c r="O1508" s="178"/>
      <c r="P1508" s="178"/>
      <c r="Q1508" s="178"/>
      <c r="R1508" s="195"/>
      <c r="S1508" s="178"/>
      <c r="T1508" s="180"/>
      <c r="U1508" s="189" t="str">
        <f>IFERROR(IF(Tableau3[[#This Row],[Dettes]]=0,"",(Tableau3[[#This Row],[Dettes]]/Tableau3[[#This Row],[EBE]])),"")</f>
        <v/>
      </c>
      <c r="V1508" s="190" t="str">
        <f>IFERROR(Tableau3[[#This Row],[Fonds propres]]/Tableau3[[#This Row],[Total Bilan]],"")</f>
        <v/>
      </c>
      <c r="W1508" s="180"/>
      <c r="Y1508" s="180"/>
      <c r="Z1508" s="192" t="str">
        <f>IFERROR(Tableau3[[#This Row],[Chiffre d''affaires]]/Tableau3[[#This Row],[Salariés]],"")</f>
        <v/>
      </c>
      <c r="AA1508" s="177"/>
    </row>
    <row r="1509" spans="1:29" ht="20.25" customHeight="1">
      <c r="A1509" s="217"/>
      <c r="G1509" s="188"/>
      <c r="H1509" s="178"/>
      <c r="I1509" s="178"/>
      <c r="J1509" s="178"/>
      <c r="K1509" s="178"/>
      <c r="L1509" s="178"/>
      <c r="M1509" s="178"/>
      <c r="N1509" s="178"/>
      <c r="O1509" s="178"/>
      <c r="P1509" s="178"/>
      <c r="Q1509" s="178"/>
      <c r="R1509" s="195"/>
      <c r="S1509" s="178"/>
      <c r="T1509" s="180"/>
      <c r="U1509" s="189" t="str">
        <f>IFERROR(IF(Tableau3[[#This Row],[Dettes]]=0,"",(Tableau3[[#This Row],[Dettes]]/Tableau3[[#This Row],[EBE]])),"")</f>
        <v/>
      </c>
      <c r="V1509" s="190" t="str">
        <f>IFERROR(Tableau3[[#This Row],[Fonds propres]]/Tableau3[[#This Row],[Total Bilan]],"")</f>
        <v/>
      </c>
      <c r="W1509" s="180"/>
      <c r="Y1509" s="180"/>
      <c r="Z1509" s="192" t="str">
        <f>IFERROR(Tableau3[[#This Row],[Chiffre d''affaires]]/Tableau3[[#This Row],[Salariés]],"")</f>
        <v/>
      </c>
      <c r="AA1509" s="177"/>
    </row>
    <row r="1510" spans="1:29" ht="20.25" customHeight="1">
      <c r="A1510" s="217"/>
      <c r="G1510" s="188"/>
      <c r="H1510" s="178"/>
      <c r="I1510" s="178"/>
      <c r="J1510" s="178"/>
      <c r="K1510" s="178"/>
      <c r="L1510" s="178"/>
      <c r="M1510" s="178"/>
      <c r="N1510" s="178"/>
      <c r="O1510" s="178"/>
      <c r="P1510" s="178"/>
      <c r="Q1510" s="178"/>
      <c r="R1510" s="195"/>
      <c r="S1510" s="178"/>
      <c r="T1510" s="180"/>
      <c r="U1510" s="189" t="str">
        <f>IFERROR(IF(Tableau3[[#This Row],[Dettes]]=0,"",(Tableau3[[#This Row],[Dettes]]/Tableau3[[#This Row],[EBE]])),"")</f>
        <v/>
      </c>
      <c r="V1510" s="190" t="str">
        <f>IFERROR(Tableau3[[#This Row],[Fonds propres]]/Tableau3[[#This Row],[Total Bilan]],"")</f>
        <v/>
      </c>
      <c r="W1510" s="180"/>
      <c r="Y1510" s="180"/>
      <c r="Z1510" s="192" t="str">
        <f>IFERROR(Tableau3[[#This Row],[Chiffre d''affaires]]/Tableau3[[#This Row],[Salariés]],"")</f>
        <v/>
      </c>
      <c r="AA1510" s="177"/>
    </row>
    <row r="1511" spans="1:29" ht="20.25" customHeight="1">
      <c r="A1511" s="217"/>
      <c r="G1511" s="188"/>
      <c r="H1511" s="178"/>
      <c r="I1511" s="178"/>
      <c r="J1511" s="178"/>
      <c r="K1511" s="178"/>
      <c r="L1511" s="178"/>
      <c r="M1511" s="178"/>
      <c r="N1511" s="178"/>
      <c r="O1511" s="178"/>
      <c r="P1511" s="178"/>
      <c r="Q1511" s="178"/>
      <c r="R1511" s="195"/>
      <c r="S1511" s="178"/>
      <c r="T1511" s="180"/>
      <c r="U1511" s="189" t="str">
        <f>IFERROR(IF(Tableau3[[#This Row],[Dettes]]=0,"",(Tableau3[[#This Row],[Dettes]]/Tableau3[[#This Row],[EBE]])),"")</f>
        <v/>
      </c>
      <c r="V1511" s="190" t="str">
        <f>IFERROR(Tableau3[[#This Row],[Fonds propres]]/Tableau3[[#This Row],[Total Bilan]],"")</f>
        <v/>
      </c>
      <c r="W1511" s="180"/>
      <c r="Y1511" s="180"/>
      <c r="Z1511" s="192" t="str">
        <f>IFERROR(Tableau3[[#This Row],[Chiffre d''affaires]]/Tableau3[[#This Row],[Salariés]],"")</f>
        <v/>
      </c>
      <c r="AA1511" s="177"/>
    </row>
    <row r="1512" spans="1:29" ht="20.25" customHeight="1">
      <c r="A1512" s="217" t="s">
        <v>1036</v>
      </c>
      <c r="B1512" s="216" t="s">
        <v>1037</v>
      </c>
      <c r="C1512" s="178" t="s">
        <v>382</v>
      </c>
      <c r="D1512" s="178" t="s">
        <v>383</v>
      </c>
      <c r="E1512" s="187">
        <v>23.02</v>
      </c>
      <c r="F1512" s="178">
        <v>2021</v>
      </c>
      <c r="G1512" s="188"/>
      <c r="H1512" s="178"/>
      <c r="I1512" s="178"/>
      <c r="J1512" s="178"/>
      <c r="K1512" s="178"/>
      <c r="L1512" s="178"/>
      <c r="M1512" s="178"/>
      <c r="N1512" s="178"/>
      <c r="O1512" s="178"/>
      <c r="P1512" s="188">
        <v>414660200</v>
      </c>
      <c r="Q1512" s="188">
        <f>P1512*E1512</f>
        <v>9545477804</v>
      </c>
      <c r="R1512" s="195"/>
      <c r="S1512" s="178"/>
      <c r="T1512" s="180"/>
      <c r="U1512" s="189" t="str">
        <f>IFERROR(IF(Tableau3[[#This Row],[Dettes]]=0,"",(Tableau3[[#This Row],[Dettes]]/Tableau3[[#This Row],[EBE]])),"")</f>
        <v/>
      </c>
      <c r="V1512" s="190" t="str">
        <f>IFERROR(Tableau3[[#This Row],[Fonds propres]]/Tableau3[[#This Row],[Total Bilan]],"")</f>
        <v/>
      </c>
      <c r="W1512" s="180"/>
      <c r="Y1512" s="180"/>
      <c r="Z1512" s="192" t="str">
        <f>IFERROR(Tableau3[[#This Row],[Chiffre d''affaires]]/Tableau3[[#This Row],[Salariés]],"")</f>
        <v/>
      </c>
      <c r="AA1512" s="177"/>
      <c r="AC1512" s="177" t="s">
        <v>1038</v>
      </c>
    </row>
    <row r="1513" spans="1:29" ht="20.25" customHeight="1">
      <c r="A1513" s="217"/>
      <c r="G1513" s="188"/>
      <c r="H1513" s="178"/>
      <c r="I1513" s="178"/>
      <c r="J1513" s="178"/>
      <c r="K1513" s="178"/>
      <c r="L1513" s="178"/>
      <c r="M1513" s="178"/>
      <c r="N1513" s="178"/>
      <c r="O1513" s="178"/>
      <c r="P1513" s="178"/>
      <c r="Q1513" s="178"/>
      <c r="R1513" s="195"/>
      <c r="S1513" s="178"/>
      <c r="T1513" s="180"/>
      <c r="U1513" s="189" t="str">
        <f>IFERROR(IF(Tableau3[[#This Row],[Dettes]]=0,"",(Tableau3[[#This Row],[Dettes]]/Tableau3[[#This Row],[EBE]])),"")</f>
        <v/>
      </c>
      <c r="V1513" s="190" t="str">
        <f>IFERROR(Tableau3[[#This Row],[Fonds propres]]/Tableau3[[#This Row],[Total Bilan]],"")</f>
        <v/>
      </c>
      <c r="W1513" s="180"/>
      <c r="Y1513" s="180"/>
      <c r="Z1513" s="192" t="str">
        <f>IFERROR(Tableau3[[#This Row],[Chiffre d''affaires]]/Tableau3[[#This Row],[Salariés]],"")</f>
        <v/>
      </c>
      <c r="AA1513" s="177"/>
      <c r="AC1513" s="177" t="s">
        <v>1040</v>
      </c>
    </row>
    <row r="1514" spans="1:29" ht="20.25" customHeight="1">
      <c r="A1514" s="217"/>
      <c r="E1514" s="187">
        <v>17.43</v>
      </c>
      <c r="F1514" s="178">
        <v>2016</v>
      </c>
      <c r="G1514" s="188">
        <v>4734000000</v>
      </c>
      <c r="H1514" s="178"/>
      <c r="I1514" s="188">
        <v>1176400000</v>
      </c>
      <c r="J1514" s="188">
        <v>854200000</v>
      </c>
      <c r="K1514" s="188">
        <f>2102000000-1328000000</f>
        <v>774000000</v>
      </c>
      <c r="L1514" s="188"/>
      <c r="M1514" s="188"/>
      <c r="N1514" s="188"/>
      <c r="O1514" s="188"/>
      <c r="P1514" s="188">
        <v>414660200</v>
      </c>
      <c r="Q1514" s="188">
        <f>P1514*E1514</f>
        <v>7227527286</v>
      </c>
      <c r="R1514" s="195" t="e">
        <f>Q1514/L1514</f>
        <v>#DIV/0!</v>
      </c>
      <c r="S1514" s="197">
        <f>(Q1514+K1514)/I1514</f>
        <v>6.8017062954777288</v>
      </c>
      <c r="T1514" s="180"/>
      <c r="U1514" s="189" t="str">
        <f>IFERROR(IF(Tableau3[[#This Row],[Dettes]]=0,"",(Tableau3[[#This Row],[Dettes]]/Tableau3[[#This Row],[EBE]])),"")</f>
        <v/>
      </c>
      <c r="V1514" s="190" t="str">
        <f>IFERROR(Tableau3[[#This Row],[Fonds propres]]/Tableau3[[#This Row],[Total Bilan]],"")</f>
        <v/>
      </c>
      <c r="W1514" s="180"/>
      <c r="X1514" s="191"/>
      <c r="Y1514" s="180"/>
      <c r="Z1514" s="192" t="str">
        <f>IFERROR(Tableau3[[#This Row],[Chiffre d''affaires]]/Tableau3[[#This Row],[Salariés]],"")</f>
        <v/>
      </c>
      <c r="AA1514" s="197"/>
      <c r="AB1514" s="197"/>
      <c r="AC1514" s="177" t="s">
        <v>1041</v>
      </c>
    </row>
    <row r="1515" spans="1:29" ht="20.25" customHeight="1">
      <c r="A1515" s="217"/>
      <c r="E1515" s="187"/>
      <c r="G1515" s="202">
        <f>(G1514/G1516)-1</f>
        <v>-7.5914033067208009E-2</v>
      </c>
      <c r="H1515" s="203" t="e">
        <f>(H1514/H1516)-1</f>
        <v>#DIV/0!</v>
      </c>
      <c r="I1515" s="203">
        <f>(I1514/I1516)-1</f>
        <v>-0.13398115429917545</v>
      </c>
      <c r="J1515" s="203">
        <f>(J1514/J1516)-1</f>
        <v>-0.11765313500671415</v>
      </c>
      <c r="K1515" s="188"/>
      <c r="L1515" s="188"/>
      <c r="M1515" s="188"/>
      <c r="N1515" s="188"/>
      <c r="O1515" s="188"/>
      <c r="P1515" s="188"/>
      <c r="Q1515" s="188"/>
      <c r="R1515" s="195"/>
      <c r="S1515" s="197"/>
      <c r="T1515" s="180"/>
      <c r="U1515" s="189" t="str">
        <f>IFERROR(IF(Tableau3[[#This Row],[Dettes]]=0,"",(Tableau3[[#This Row],[Dettes]]/Tableau3[[#This Row],[EBE]])),"")</f>
        <v/>
      </c>
      <c r="V1515" s="190" t="str">
        <f>IFERROR(Tableau3[[#This Row],[Fonds propres]]/Tableau3[[#This Row],[Total Bilan]],"")</f>
        <v/>
      </c>
      <c r="W1515" s="180"/>
      <c r="X1515" s="191"/>
      <c r="Y1515" s="180"/>
      <c r="Z1515" s="192" t="str">
        <f>IFERROR(Tableau3[[#This Row],[Chiffre d''affaires]]/Tableau3[[#This Row],[Salariés]],"")</f>
        <v/>
      </c>
      <c r="AA1515" s="197"/>
      <c r="AB1515" s="197"/>
      <c r="AC1515" s="177" t="s">
        <v>1042</v>
      </c>
    </row>
    <row r="1516" spans="1:29" ht="20.25" customHeight="1">
      <c r="A1516" s="217"/>
      <c r="E1516" s="187"/>
      <c r="F1516" s="178">
        <v>2015</v>
      </c>
      <c r="G1516" s="188">
        <v>5122900000</v>
      </c>
      <c r="H1516" s="178"/>
      <c r="I1516" s="188">
        <v>1358400000</v>
      </c>
      <c r="J1516" s="188">
        <v>968100000</v>
      </c>
      <c r="K1516" s="188"/>
      <c r="L1516" s="188"/>
      <c r="M1516" s="188"/>
      <c r="N1516" s="188"/>
      <c r="O1516" s="188"/>
      <c r="P1516" s="188">
        <v>428900000</v>
      </c>
      <c r="Q1516" s="188">
        <f>P1516*E1514</f>
        <v>7475727000</v>
      </c>
      <c r="R1516" s="195" t="e">
        <f>Q1516/L1516</f>
        <v>#DIV/0!</v>
      </c>
      <c r="S1516" s="197">
        <f>(Q1516+K1516)/I1516</f>
        <v>5.503332597173145</v>
      </c>
      <c r="T1516" s="180"/>
      <c r="U1516" s="189" t="str">
        <f>IFERROR(IF(Tableau3[[#This Row],[Dettes]]=0,"",(Tableau3[[#This Row],[Dettes]]/Tableau3[[#This Row],[EBE]])),"")</f>
        <v/>
      </c>
      <c r="V1516" s="190" t="str">
        <f>IFERROR(Tableau3[[#This Row],[Fonds propres]]/Tableau3[[#This Row],[Total Bilan]],"")</f>
        <v/>
      </c>
      <c r="W1516" s="180"/>
      <c r="X1516" s="192"/>
      <c r="Y1516" s="180"/>
      <c r="Z1516" s="192" t="str">
        <f>IFERROR(Tableau3[[#This Row],[Chiffre d''affaires]]/Tableau3[[#This Row],[Salariés]],"")</f>
        <v/>
      </c>
      <c r="AA1516" s="188"/>
      <c r="AB1516" s="188"/>
      <c r="AC1516" s="177" t="s">
        <v>1043</v>
      </c>
    </row>
    <row r="1517" spans="1:29" ht="20.25" customHeight="1">
      <c r="A1517" s="217"/>
      <c r="E1517" s="187"/>
      <c r="G1517" s="188"/>
      <c r="H1517" s="178"/>
      <c r="I1517" s="188"/>
      <c r="J1517" s="188"/>
      <c r="K1517" s="188"/>
      <c r="L1517" s="188"/>
      <c r="M1517" s="188"/>
      <c r="N1517" s="188"/>
      <c r="O1517" s="188"/>
      <c r="P1517" s="188"/>
      <c r="Q1517" s="188"/>
      <c r="R1517" s="195"/>
      <c r="S1517" s="188"/>
      <c r="T1517" s="180"/>
      <c r="U1517" s="189" t="str">
        <f>IFERROR(IF(Tableau3[[#This Row],[Dettes]]=0,"",(Tableau3[[#This Row],[Dettes]]/Tableau3[[#This Row],[EBE]])),"")</f>
        <v/>
      </c>
      <c r="V1517" s="190" t="str">
        <f>IFERROR(Tableau3[[#This Row],[Fonds propres]]/Tableau3[[#This Row],[Total Bilan]],"")</f>
        <v/>
      </c>
      <c r="W1517" s="180"/>
      <c r="X1517" s="192"/>
      <c r="Y1517" s="180"/>
      <c r="Z1517" s="192" t="str">
        <f>IFERROR(Tableau3[[#This Row],[Chiffre d''affaires]]/Tableau3[[#This Row],[Salariés]],"")</f>
        <v/>
      </c>
      <c r="AA1517" s="188"/>
      <c r="AB1517" s="188"/>
    </row>
    <row r="1518" spans="1:29" ht="20.25" customHeight="1">
      <c r="A1518" s="217"/>
      <c r="E1518" s="187"/>
      <c r="G1518" s="188"/>
      <c r="H1518" s="178"/>
      <c r="I1518" s="188"/>
      <c r="J1518" s="188"/>
      <c r="K1518" s="188"/>
      <c r="L1518" s="188"/>
      <c r="M1518" s="188"/>
      <c r="N1518" s="188"/>
      <c r="O1518" s="188"/>
      <c r="P1518" s="188"/>
      <c r="Q1518" s="188"/>
      <c r="R1518" s="195"/>
      <c r="S1518" s="188"/>
      <c r="T1518" s="180"/>
      <c r="U1518" s="189" t="str">
        <f>IFERROR(IF(Tableau3[[#This Row],[Dettes]]=0,"",(Tableau3[[#This Row],[Dettes]]/Tableau3[[#This Row],[EBE]])),"")</f>
        <v/>
      </c>
      <c r="V1518" s="190" t="str">
        <f>IFERROR(Tableau3[[#This Row],[Fonds propres]]/Tableau3[[#This Row],[Total Bilan]],"")</f>
        <v/>
      </c>
      <c r="W1518" s="180"/>
      <c r="X1518" s="192"/>
      <c r="Y1518" s="180"/>
      <c r="Z1518" s="192" t="str">
        <f>IFERROR(Tableau3[[#This Row],[Chiffre d''affaires]]/Tableau3[[#This Row],[Salariés]],"")</f>
        <v/>
      </c>
      <c r="AA1518" s="188"/>
      <c r="AB1518" s="188"/>
    </row>
    <row r="1519" spans="1:29" ht="20.25" customHeight="1">
      <c r="A1519" s="217"/>
      <c r="E1519" s="187"/>
      <c r="G1519" s="188"/>
      <c r="H1519" s="178"/>
      <c r="I1519" s="188"/>
      <c r="J1519" s="188"/>
      <c r="K1519" s="188"/>
      <c r="L1519" s="188"/>
      <c r="M1519" s="188"/>
      <c r="N1519" s="188"/>
      <c r="O1519" s="188"/>
      <c r="P1519" s="188"/>
      <c r="Q1519" s="188"/>
      <c r="R1519" s="195"/>
      <c r="S1519" s="188"/>
      <c r="T1519" s="180"/>
      <c r="U1519" s="189" t="str">
        <f>IFERROR(IF(Tableau3[[#This Row],[Dettes]]=0,"",(Tableau3[[#This Row],[Dettes]]/Tableau3[[#This Row],[EBE]])),"")</f>
        <v/>
      </c>
      <c r="V1519" s="190" t="str">
        <f>IFERROR(Tableau3[[#This Row],[Fonds propres]]/Tableau3[[#This Row],[Total Bilan]],"")</f>
        <v/>
      </c>
      <c r="W1519" s="180"/>
      <c r="X1519" s="192"/>
      <c r="Y1519" s="180"/>
      <c r="Z1519" s="192" t="str">
        <f>IFERROR(Tableau3[[#This Row],[Chiffre d''affaires]]/Tableau3[[#This Row],[Salariés]],"")</f>
        <v/>
      </c>
      <c r="AA1519" s="188"/>
      <c r="AB1519" s="188"/>
    </row>
    <row r="1520" spans="1:29" ht="20.25" customHeight="1">
      <c r="A1520" s="217" t="s">
        <v>1044</v>
      </c>
      <c r="B1520" s="216" t="s">
        <v>1045</v>
      </c>
      <c r="C1520" s="178" t="s">
        <v>84</v>
      </c>
      <c r="D1520" s="178" t="s">
        <v>85</v>
      </c>
      <c r="E1520" s="187"/>
      <c r="F1520" s="178">
        <v>2025</v>
      </c>
      <c r="G1520" s="188"/>
      <c r="H1520" s="178"/>
      <c r="I1520" s="188"/>
      <c r="J1520" s="188"/>
      <c r="K1520" s="188"/>
      <c r="L1520" s="188"/>
      <c r="M1520" s="188"/>
      <c r="N1520" s="188"/>
      <c r="O1520" s="188"/>
      <c r="P1520" s="188"/>
      <c r="Q1520" s="188"/>
      <c r="R1520" s="195"/>
      <c r="S1520" s="188"/>
      <c r="T1520" s="180"/>
      <c r="U1520" s="189" t="str">
        <f>IFERROR(IF(Tableau3[[#This Row],[Dettes]]=0,"",(Tableau3[[#This Row],[Dettes]]/Tableau3[[#This Row],[EBE]])),"")</f>
        <v/>
      </c>
      <c r="V1520" s="190" t="str">
        <f>IFERROR(Tableau3[[#This Row],[Fonds propres]]/Tableau3[[#This Row],[Total Bilan]],"")</f>
        <v/>
      </c>
      <c r="W1520" s="180"/>
      <c r="X1520" s="192" t="s">
        <v>1046</v>
      </c>
      <c r="Y1520" s="180"/>
      <c r="Z1520" s="192" t="str">
        <f>IFERROR(Tableau3[[#This Row],[Chiffre d''affaires]]/Tableau3[[#This Row],[Salariés]],"")</f>
        <v/>
      </c>
      <c r="AA1520" s="188" t="s">
        <v>101</v>
      </c>
      <c r="AB1520" s="188"/>
      <c r="AC1520" s="177" t="s">
        <v>1047</v>
      </c>
    </row>
    <row r="1521" spans="1:29" ht="20.25" customHeight="1">
      <c r="A1521" s="217"/>
      <c r="E1521" s="187"/>
      <c r="G1521" s="188"/>
      <c r="H1521" s="178"/>
      <c r="I1521" s="188"/>
      <c r="J1521" s="188"/>
      <c r="K1521" s="188"/>
      <c r="L1521" s="188"/>
      <c r="M1521" s="188"/>
      <c r="N1521" s="188"/>
      <c r="O1521" s="188"/>
      <c r="P1521" s="188"/>
      <c r="Q1521" s="188"/>
      <c r="R1521" s="195"/>
      <c r="S1521" s="188"/>
      <c r="T1521" s="180"/>
      <c r="U1521" s="189" t="str">
        <f>IFERROR(IF(Tableau3[[#This Row],[Dettes]]=0,"",(Tableau3[[#This Row],[Dettes]]/Tableau3[[#This Row],[EBE]])),"")</f>
        <v/>
      </c>
      <c r="V1521" s="190" t="str">
        <f>IFERROR(Tableau3[[#This Row],[Fonds propres]]/Tableau3[[#This Row],[Total Bilan]],"")</f>
        <v/>
      </c>
      <c r="W1521" s="180"/>
      <c r="X1521" s="192"/>
      <c r="Y1521" s="180"/>
      <c r="Z1521" s="192" t="str">
        <f>IFERROR(Tableau3[[#This Row],[Chiffre d''affaires]]/Tableau3[[#This Row],[Salariés]],"")</f>
        <v/>
      </c>
      <c r="AA1521" s="188" t="s">
        <v>1049</v>
      </c>
      <c r="AB1521" s="188"/>
      <c r="AC1521" s="177" t="s">
        <v>1050</v>
      </c>
    </row>
    <row r="1522" spans="1:29" ht="20.25" customHeight="1">
      <c r="A1522" s="217"/>
      <c r="E1522" s="187">
        <v>64.2</v>
      </c>
      <c r="F1522" s="178">
        <v>2024</v>
      </c>
      <c r="G1522" s="188">
        <f>G1524*1.06</f>
        <v>3396240000</v>
      </c>
      <c r="H1522" s="188">
        <v>1600000000</v>
      </c>
      <c r="I1522" s="188">
        <v>1600000000</v>
      </c>
      <c r="J1522" s="188">
        <v>1350000000</v>
      </c>
      <c r="K1522" s="188">
        <v>-1600000000</v>
      </c>
      <c r="L1522" s="188">
        <v>11500000000</v>
      </c>
      <c r="M1522" s="194">
        <f>L1522/P1522</f>
        <v>56.194150771369287</v>
      </c>
      <c r="N1522" s="190">
        <f>Tableau3[[#This Row],[Résultat Net (PdG)]]/L1524</f>
        <v>0.12272727272727273</v>
      </c>
      <c r="O1522" s="190">
        <f>(I1522*0.76)/(K1524+L1524)</f>
        <v>0.12666666666666668</v>
      </c>
      <c r="P1522" s="188">
        <v>204647634</v>
      </c>
      <c r="Q1522" s="188">
        <f>P1522*E1522</f>
        <v>13138378102.800001</v>
      </c>
      <c r="R1522" s="195">
        <f>Q1522/L1522</f>
        <v>1.1424676611130435</v>
      </c>
      <c r="S1522" s="197">
        <f>(Q1522+K1522)/I1522</f>
        <v>7.211486314250001</v>
      </c>
      <c r="T1522" s="180"/>
      <c r="U1522" s="189">
        <f>IFERROR(IF(Tableau3[[#This Row],[Dettes]]=0,"",(Tableau3[[#This Row],[Dettes]]/Tableau3[[#This Row],[EBE]])),"")</f>
        <v>-1</v>
      </c>
      <c r="V1522" s="190" t="str">
        <f>IFERROR(Tableau3[[#This Row],[Fonds propres]]/Tableau3[[#This Row],[Total Bilan]],"")</f>
        <v/>
      </c>
      <c r="W1522" s="180"/>
      <c r="Y1522" s="180">
        <v>5400</v>
      </c>
      <c r="Z1522" s="192">
        <f>IFERROR(Tableau3[[#This Row],[Chiffre d''affaires]]/Tableau3[[#This Row],[Salariés]],"")</f>
        <v>628933.33333333337</v>
      </c>
      <c r="AA1522" s="194" t="s">
        <v>107</v>
      </c>
      <c r="AB1522" s="188"/>
      <c r="AC1522" s="177" t="s">
        <v>1051</v>
      </c>
    </row>
    <row r="1523" spans="1:29" ht="20.25" customHeight="1">
      <c r="A1523" s="217"/>
      <c r="E1523" s="187"/>
      <c r="G1523" s="202">
        <f>(G1522/G1524)-1</f>
        <v>6.0000000000000053E-2</v>
      </c>
      <c r="H1523" s="203">
        <f>(H1522/H1524)-1</f>
        <v>6.809078771695587E-2</v>
      </c>
      <c r="I1523" s="203">
        <f>(I1522/I1524)-1</f>
        <v>6.809078771695587E-2</v>
      </c>
      <c r="J1523" s="203">
        <f>(J1522/J1524)-1</f>
        <v>0.10294117647058831</v>
      </c>
      <c r="K1523" s="188"/>
      <c r="L1523" s="188"/>
      <c r="M1523" s="188"/>
      <c r="N1523" s="188"/>
      <c r="O1523" s="188"/>
      <c r="P1523" s="188"/>
      <c r="Q1523" s="188"/>
      <c r="R1523" s="195"/>
      <c r="S1523" s="188"/>
      <c r="T1523" s="180"/>
      <c r="U1523" s="189" t="str">
        <f>IFERROR(IF(Tableau3[[#This Row],[Dettes]]=0,"",(Tableau3[[#This Row],[Dettes]]/Tableau3[[#This Row],[EBE]])),"")</f>
        <v/>
      </c>
      <c r="V1523" s="190" t="str">
        <f>IFERROR(Tableau3[[#This Row],[Fonds propres]]/Tableau3[[#This Row],[Total Bilan]],"")</f>
        <v/>
      </c>
      <c r="W1523" s="180"/>
      <c r="X1523" s="192"/>
      <c r="Y1523" s="180"/>
      <c r="Z1523" s="192" t="str">
        <f>IFERROR(Tableau3[[#This Row],[Chiffre d''affaires]]/Tableau3[[#This Row],[Salariés]],"")</f>
        <v/>
      </c>
      <c r="AB1523" s="188"/>
      <c r="AC1523" s="177" t="s">
        <v>1052</v>
      </c>
    </row>
    <row r="1524" spans="1:29" ht="20.25" customHeight="1">
      <c r="A1524" s="217"/>
      <c r="E1524" s="187">
        <v>61.6</v>
      </c>
      <c r="F1524" s="178">
        <v>2023</v>
      </c>
      <c r="G1524" s="188">
        <v>3204000000</v>
      </c>
      <c r="H1524" s="188">
        <v>1498000000</v>
      </c>
      <c r="I1524" s="188">
        <v>1498000000</v>
      </c>
      <c r="J1524" s="188">
        <v>1224000000</v>
      </c>
      <c r="K1524" s="188">
        <v>-1400000000</v>
      </c>
      <c r="L1524" s="188">
        <v>11000000000</v>
      </c>
      <c r="M1524" s="194">
        <f>L1524/P1524</f>
        <v>53.750926824788017</v>
      </c>
      <c r="N1524" s="190">
        <f>Tableau3[[#This Row],[Résultat Net (PdG)]]/L1526</f>
        <v>0.11657142857142858</v>
      </c>
      <c r="O1524" s="190">
        <f>(I1524*0.76)/(K1526+L1526)</f>
        <v>0.13002284148012791</v>
      </c>
      <c r="P1524" s="188">
        <v>204647634</v>
      </c>
      <c r="Q1524" s="188">
        <f>P1524*E1524</f>
        <v>12606294254.4</v>
      </c>
      <c r="R1524" s="195">
        <f>Q1524/L1524</f>
        <v>1.1460267503999999</v>
      </c>
      <c r="S1524" s="197">
        <f>(Q1524+K1524)/I1524</f>
        <v>7.4808372859813081</v>
      </c>
      <c r="T1524" s="180"/>
      <c r="U1524" s="189">
        <f>IFERROR(IF(Tableau3[[#This Row],[Dettes]]=0,"",(Tableau3[[#This Row],[Dettes]]/Tableau3[[#This Row],[EBE]])),"")</f>
        <v>-0.93457943925233644</v>
      </c>
      <c r="V1524" s="190">
        <f>IFERROR(Tableau3[[#This Row],[Fonds propres]]/Tableau3[[#This Row],[Total Bilan]],"")</f>
        <v>0.30546400968887405</v>
      </c>
      <c r="W1524" s="180">
        <v>36010789000</v>
      </c>
      <c r="Y1524" s="180">
        <v>5400</v>
      </c>
      <c r="Z1524" s="192">
        <f>IFERROR(Tableau3[[#This Row],[Chiffre d''affaires]]/Tableau3[[#This Row],[Salariés]],"")</f>
        <v>593333.33333333337</v>
      </c>
      <c r="AB1524" s="188"/>
      <c r="AC1524" s="177" t="s">
        <v>4466</v>
      </c>
    </row>
    <row r="1525" spans="1:29" ht="20.25" customHeight="1">
      <c r="A1525" s="217"/>
      <c r="E1525" s="187"/>
      <c r="G1525" s="202">
        <f>(G1524/G1526)-1</f>
        <v>2.168367346938771E-2</v>
      </c>
      <c r="H1525" s="203">
        <f>(H1524/H1526)-1</f>
        <v>2.1828103683492417E-2</v>
      </c>
      <c r="I1525" s="203">
        <f>(I1524/I1526)-1</f>
        <v>2.1828103683492417E-2</v>
      </c>
      <c r="J1525" s="203">
        <f>(J1524/J1526)-1</f>
        <v>0.13966480446927365</v>
      </c>
      <c r="K1525" s="188"/>
      <c r="L1525" s="188"/>
      <c r="M1525" s="188"/>
      <c r="N1525" s="188"/>
      <c r="O1525" s="188"/>
      <c r="P1525" s="188"/>
      <c r="Q1525" s="188"/>
      <c r="R1525" s="195"/>
      <c r="S1525" s="188"/>
      <c r="T1525" s="180"/>
      <c r="U1525" s="189" t="str">
        <f>IFERROR(IF(Tableau3[[#This Row],[Dettes]]=0,"",(Tableau3[[#This Row],[Dettes]]/Tableau3[[#This Row],[EBE]])),"")</f>
        <v/>
      </c>
      <c r="V1525" s="190" t="str">
        <f>IFERROR(Tableau3[[#This Row],[Fonds propres]]/Tableau3[[#This Row],[Total Bilan]],"")</f>
        <v/>
      </c>
      <c r="W1525" s="180"/>
      <c r="X1525" s="192"/>
      <c r="Y1525" s="180"/>
      <c r="Z1525" s="192" t="str">
        <f>IFERROR(Tableau3[[#This Row],[Chiffre d''affaires]]/Tableau3[[#This Row],[Salariés]],"")</f>
        <v/>
      </c>
      <c r="AB1525" s="188"/>
      <c r="AC1525" s="177" t="s">
        <v>4467</v>
      </c>
    </row>
    <row r="1526" spans="1:29" ht="20.25" customHeight="1">
      <c r="A1526" s="217"/>
      <c r="E1526" s="187">
        <v>53</v>
      </c>
      <c r="F1526" s="178">
        <v>2022</v>
      </c>
      <c r="G1526" s="188">
        <v>3136000000</v>
      </c>
      <c r="H1526" s="188">
        <v>1466000000</v>
      </c>
      <c r="I1526" s="188">
        <v>1466000000</v>
      </c>
      <c r="J1526" s="188">
        <v>1074000000</v>
      </c>
      <c r="K1526" s="188">
        <v>-1744000000</v>
      </c>
      <c r="L1526" s="188">
        <v>10500000000</v>
      </c>
      <c r="M1526" s="194">
        <f>L1526/P1526</f>
        <v>51.505902348311551</v>
      </c>
      <c r="N1526" s="190">
        <f>Tableau3[[#This Row],[Résultat Net (PdG)]]/L1528</f>
        <v>0.10529411764705883</v>
      </c>
      <c r="O1526" s="190">
        <f>(I1526*0.76)/(K1528+L1528)</f>
        <v>0.13588974265154288</v>
      </c>
      <c r="P1526" s="188">
        <v>203860131</v>
      </c>
      <c r="Q1526" s="188">
        <f>P1526*E1526</f>
        <v>10804586943</v>
      </c>
      <c r="R1526" s="195">
        <f>Q1526/L1526</f>
        <v>1.0290082802857143</v>
      </c>
      <c r="S1526" s="197">
        <f>(Q1526+K1526)/I1526</f>
        <v>6.1804822257844476</v>
      </c>
      <c r="T1526" s="180">
        <v>-233420000</v>
      </c>
      <c r="U1526" s="189">
        <f>IFERROR(IF(Tableau3[[#This Row],[Dettes]]=0,"",(Tableau3[[#This Row],[Dettes]]/Tableau3[[#This Row],[EBE]])),"")</f>
        <v>-1.1896316507503411</v>
      </c>
      <c r="V1526" s="190">
        <f>IFERROR(Tableau3[[#This Row],[Fonds propres]]/Tableau3[[#This Row],[Total Bilan]],"")</f>
        <v>0.36691800200358193</v>
      </c>
      <c r="W1526" s="180">
        <v>28616748000</v>
      </c>
      <c r="Y1526" s="180">
        <v>5400</v>
      </c>
      <c r="Z1526" s="192">
        <f>IFERROR(Tableau3[[#This Row],[Chiffre d''affaires]]/Tableau3[[#This Row],[Salariés]],"")</f>
        <v>580740.74074074079</v>
      </c>
      <c r="AB1526" s="194"/>
      <c r="AC1526" s="177" t="s">
        <v>1053</v>
      </c>
    </row>
    <row r="1527" spans="1:29" ht="20.25" customHeight="1">
      <c r="A1527" s="217"/>
      <c r="E1527" s="187"/>
      <c r="G1527" s="202">
        <f>(G1526/G1528)-1</f>
        <v>-2.0000000000000018E-2</v>
      </c>
      <c r="H1527" s="203">
        <f>(H1526/H1528)-1</f>
        <v>-0.11151515151515157</v>
      </c>
      <c r="I1527" s="203">
        <f>(I1526/I1528)-1</f>
        <v>1.1034482758620623E-2</v>
      </c>
      <c r="J1527" s="203">
        <f>(J1526/J1528)-1</f>
        <v>-0.14080000000000004</v>
      </c>
      <c r="K1527" s="188"/>
      <c r="L1527" s="188"/>
      <c r="M1527" s="188"/>
      <c r="N1527" s="188"/>
      <c r="O1527" s="188"/>
      <c r="P1527" s="188"/>
      <c r="Q1527" s="188"/>
      <c r="R1527" s="195"/>
      <c r="S1527" s="188"/>
      <c r="T1527" s="180"/>
      <c r="U1527" s="189" t="str">
        <f>IFERROR(IF(Tableau3[[#This Row],[Dettes]]=0,"",(Tableau3[[#This Row],[Dettes]]/Tableau3[[#This Row],[EBE]])),"")</f>
        <v/>
      </c>
      <c r="V1527" s="190" t="str">
        <f>IFERROR(Tableau3[[#This Row],[Fonds propres]]/Tableau3[[#This Row],[Total Bilan]],"")</f>
        <v/>
      </c>
      <c r="W1527" s="180"/>
      <c r="X1527" s="192"/>
      <c r="Y1527" s="180"/>
      <c r="Z1527" s="192" t="str">
        <f>IFERROR(Tableau3[[#This Row],[Chiffre d''affaires]]/Tableau3[[#This Row],[Salariés]],"")</f>
        <v/>
      </c>
      <c r="AA1527" s="188"/>
      <c r="AB1527" s="188"/>
      <c r="AC1527" s="177" t="s">
        <v>1054</v>
      </c>
    </row>
    <row r="1528" spans="1:29" ht="20.25" customHeight="1">
      <c r="A1528" s="217"/>
      <c r="E1528" s="187">
        <v>74.150000000000006</v>
      </c>
      <c r="F1528" s="178">
        <v>2021</v>
      </c>
      <c r="G1528" s="188">
        <v>3200000000</v>
      </c>
      <c r="H1528" s="188">
        <v>1650000000</v>
      </c>
      <c r="I1528" s="188">
        <v>1450000000</v>
      </c>
      <c r="J1528" s="188">
        <v>1250000000</v>
      </c>
      <c r="K1528" s="188">
        <v>-2001000000</v>
      </c>
      <c r="L1528" s="188">
        <v>10200000000</v>
      </c>
      <c r="M1528" s="194">
        <f>L1528/P1528</f>
        <v>50.2278346892247</v>
      </c>
      <c r="N1528" s="190">
        <f>Tableau3[[#This Row],[Résultat Net (PdG)]]/L1530</f>
        <v>0.12893008554665891</v>
      </c>
      <c r="O1528" s="190">
        <f>(I1528*0.76)/(K1530+L1530)</f>
        <v>0.14126073539928655</v>
      </c>
      <c r="P1528" s="188">
        <v>203074651</v>
      </c>
      <c r="Q1528" s="188">
        <f>P1528*E1528</f>
        <v>15057985371.650002</v>
      </c>
      <c r="R1528" s="195">
        <f>Q1528/L1528</f>
        <v>1.4762730756519609</v>
      </c>
      <c r="S1528" s="197">
        <f>(Q1528+K1528)/I1528</f>
        <v>9.0048174976896558</v>
      </c>
      <c r="T1528" s="180">
        <v>1311610000</v>
      </c>
      <c r="U1528" s="189">
        <f>IFERROR(IF(Tableau3[[#This Row],[Dettes]]=0,"",(Tableau3[[#This Row],[Dettes]]/Tableau3[[#This Row],[EBE]])),"")</f>
        <v>-1.2127272727272727</v>
      </c>
      <c r="V1528" s="190">
        <f>IFERROR(Tableau3[[#This Row],[Fonds propres]]/Tableau3[[#This Row],[Total Bilan]],"")</f>
        <v>0.35515320334261841</v>
      </c>
      <c r="W1528" s="180">
        <v>28720000000</v>
      </c>
      <c r="Y1528" s="180">
        <v>4800</v>
      </c>
      <c r="Z1528" s="192">
        <f>IFERROR(Tableau3[[#This Row],[Chiffre d''affaires]]/Tableau3[[#This Row],[Salariés]],"")</f>
        <v>666666.66666666663</v>
      </c>
      <c r="AA1528" s="194"/>
      <c r="AB1528" s="194"/>
      <c r="AC1528" s="177" t="s">
        <v>1055</v>
      </c>
    </row>
    <row r="1529" spans="1:29" ht="20.25" customHeight="1">
      <c r="A1529" s="217"/>
      <c r="E1529" s="187"/>
      <c r="G1529" s="202">
        <f>(G1528/G1530)-1</f>
        <v>0.26923938846459716</v>
      </c>
      <c r="H1529" s="203">
        <f>(H1528/H1530)-1</f>
        <v>0.39787861330441565</v>
      </c>
      <c r="I1529" s="203">
        <f>(I1528/I1530)-1</f>
        <v>0.18508492972446366</v>
      </c>
      <c r="J1529" s="203">
        <f>(J1528/J1530)-1</f>
        <v>0.37820929817172266</v>
      </c>
      <c r="K1529" s="188"/>
      <c r="L1529" s="188"/>
      <c r="M1529" s="188"/>
      <c r="N1529" s="188"/>
      <c r="O1529" s="188"/>
      <c r="P1529" s="188"/>
      <c r="Q1529" s="188"/>
      <c r="R1529" s="188"/>
      <c r="S1529" s="188"/>
      <c r="T1529" s="180"/>
      <c r="U1529" s="189" t="str">
        <f>IFERROR(IF(Tableau3[[#This Row],[Dettes]]=0,"",(Tableau3[[#This Row],[Dettes]]/Tableau3[[#This Row],[EBE]])),"")</f>
        <v/>
      </c>
      <c r="V1529" s="190" t="str">
        <f>IFERROR(Tableau3[[#This Row],[Fonds propres]]/Tableau3[[#This Row],[Total Bilan]],"")</f>
        <v/>
      </c>
      <c r="W1529" s="180"/>
      <c r="X1529" s="192"/>
      <c r="Y1529" s="180"/>
      <c r="Z1529" s="192" t="str">
        <f>IFERROR(Tableau3[[#This Row],[Chiffre d''affaires]]/Tableau3[[#This Row],[Salariés]],"")</f>
        <v/>
      </c>
      <c r="AA1529" s="188"/>
      <c r="AB1529" s="188"/>
      <c r="AC1529" s="177" t="s">
        <v>1056</v>
      </c>
    </row>
    <row r="1530" spans="1:29" ht="20.25" customHeight="1">
      <c r="A1530" s="217"/>
      <c r="E1530" s="187">
        <v>69.8</v>
      </c>
      <c r="F1530" s="178">
        <v>2020</v>
      </c>
      <c r="G1530" s="188">
        <v>2521195000</v>
      </c>
      <c r="H1530" s="188">
        <v>1180360000</v>
      </c>
      <c r="I1530" s="188">
        <v>1223541000</v>
      </c>
      <c r="J1530" s="188">
        <v>906974000</v>
      </c>
      <c r="K1530" s="188">
        <v>-1894000000</v>
      </c>
      <c r="L1530" s="188">
        <v>9695177000</v>
      </c>
      <c r="M1530" s="194">
        <f>L1530/P1530</f>
        <v>47.857103893081863</v>
      </c>
      <c r="N1530" s="190">
        <f>Tableau3[[#This Row],[Résultat Net (PdG)]]/L1532</f>
        <v>0.10190737421550421</v>
      </c>
      <c r="O1530" s="190">
        <f>(I1530*0.76)/(K1532+L1532)</f>
        <v>0.10448234064241015</v>
      </c>
      <c r="P1530" s="188">
        <v>202585953</v>
      </c>
      <c r="Q1530" s="188">
        <f>P1530*E1530</f>
        <v>14140499519.4</v>
      </c>
      <c r="R1530" s="195">
        <f>Q1530/L1530</f>
        <v>1.4585086501669851</v>
      </c>
      <c r="S1530" s="197">
        <f>(Q1530+K1530)/I1530</f>
        <v>10.009063463668156</v>
      </c>
      <c r="T1530" s="180">
        <v>1264149000</v>
      </c>
      <c r="U1530" s="189">
        <f>IFERROR(IF(Tableau3[[#This Row],[Dettes]]=0,"",(Tableau3[[#This Row],[Dettes]]/Tableau3[[#This Row],[EBE]])),"")</f>
        <v>-1.6045952082415533</v>
      </c>
      <c r="V1530" s="190">
        <f>IFERROR(Tableau3[[#This Row],[Fonds propres]]/Tableau3[[#This Row],[Total Bilan]],"")</f>
        <v>0.33558937348563517</v>
      </c>
      <c r="W1530" s="180">
        <v>28890000000</v>
      </c>
      <c r="X1530" s="192"/>
      <c r="Y1530" s="180">
        <v>4700</v>
      </c>
      <c r="Z1530" s="192">
        <f>IFERROR(Tableau3[[#This Row],[Chiffre d''affaires]]/Tableau3[[#This Row],[Salariés]],"")</f>
        <v>536424.46808510635</v>
      </c>
      <c r="AA1530" s="194"/>
      <c r="AB1530" s="194"/>
      <c r="AC1530" s="177" t="s">
        <v>1057</v>
      </c>
    </row>
    <row r="1531" spans="1:29" ht="20.25" customHeight="1">
      <c r="A1531" s="217"/>
      <c r="E1531" s="187"/>
      <c r="G1531" s="202">
        <f>(G1530/G1532)-1</f>
        <v>-4.3612959123211503E-2</v>
      </c>
      <c r="H1531" s="203">
        <f>(H1530/H1532)-1</f>
        <v>-6.2754835067369785E-2</v>
      </c>
      <c r="I1531" s="203">
        <f>(I1530/I1532)-1</f>
        <v>-5.520112306452063E-2</v>
      </c>
      <c r="J1531" s="203">
        <f>(J1530/J1532)-1</f>
        <v>-5.4567705108399478E-2</v>
      </c>
      <c r="K1531" s="188"/>
      <c r="L1531" s="188"/>
      <c r="M1531" s="188"/>
      <c r="N1531" s="188"/>
      <c r="O1531" s="188"/>
      <c r="P1531" s="188"/>
      <c r="Q1531" s="188"/>
      <c r="R1531" s="188"/>
      <c r="S1531" s="188"/>
      <c r="T1531" s="180"/>
      <c r="U1531" s="189" t="str">
        <f>IFERROR(IF(Tableau3[[#This Row],[Dettes]]=0,"",(Tableau3[[#This Row],[Dettes]]/Tableau3[[#This Row],[EBE]])),"")</f>
        <v/>
      </c>
      <c r="V1531" s="190" t="str">
        <f>IFERROR(Tableau3[[#This Row],[Fonds propres]]/Tableau3[[#This Row],[Total Bilan]],"")</f>
        <v/>
      </c>
      <c r="W1531" s="180"/>
      <c r="X1531" s="192"/>
      <c r="Y1531" s="180"/>
      <c r="Z1531" s="192" t="str">
        <f>IFERROR(Tableau3[[#This Row],[Chiffre d''affaires]]/Tableau3[[#This Row],[Salariés]],"")</f>
        <v/>
      </c>
      <c r="AA1531" s="188"/>
      <c r="AB1531" s="188"/>
      <c r="AC1531" s="177" t="s">
        <v>1058</v>
      </c>
    </row>
    <row r="1532" spans="1:29" ht="20.25" customHeight="1">
      <c r="A1532" s="217"/>
      <c r="E1532" s="187">
        <v>70</v>
      </c>
      <c r="F1532" s="178">
        <v>2019</v>
      </c>
      <c r="G1532" s="188">
        <v>2636166000</v>
      </c>
      <c r="H1532" s="188">
        <v>1259393000</v>
      </c>
      <c r="I1532" s="188">
        <v>1295028000</v>
      </c>
      <c r="J1532" s="188">
        <v>959322000</v>
      </c>
      <c r="K1532" s="188">
        <v>0</v>
      </c>
      <c r="L1532" s="188">
        <v>8899984000</v>
      </c>
      <c r="M1532" s="194">
        <f>L1532/P1532</f>
        <v>44.023736157261574</v>
      </c>
      <c r="N1532" s="190">
        <f>J1532/(M1532*P1532)</f>
        <v>0.10778918254235063</v>
      </c>
      <c r="O1532" s="190">
        <f>(I1532*0.76)/(K1534+L1534)</f>
        <v>0.11540888476762298</v>
      </c>
      <c r="P1532" s="188">
        <v>202163305</v>
      </c>
      <c r="Q1532" s="188">
        <f>P1532*E1532</f>
        <v>14151431350</v>
      </c>
      <c r="R1532" s="195">
        <f>Q1532/L1532</f>
        <v>1.5900513248113703</v>
      </c>
      <c r="S1532" s="197">
        <f>(Q1532+K1532)/I1532</f>
        <v>10.927509945730904</v>
      </c>
      <c r="T1532" s="180">
        <v>982035000</v>
      </c>
      <c r="U1532" s="189" t="str">
        <f>IFERROR(IF(Tableau3[[#This Row],[Dettes]]=0,"",(Tableau3[[#This Row],[Dettes]]/Tableau3[[#This Row],[EBE]])),"")</f>
        <v/>
      </c>
      <c r="V1532" s="190">
        <f>IFERROR(Tableau3[[#This Row],[Fonds propres]]/Tableau3[[#This Row],[Total Bilan]],"")</f>
        <v>0.3668583676834295</v>
      </c>
      <c r="W1532" s="180">
        <v>24260000000</v>
      </c>
      <c r="X1532" s="192"/>
      <c r="Y1532" s="180">
        <v>4500</v>
      </c>
      <c r="Z1532" s="192">
        <f>IFERROR(Tableau3[[#This Row],[Chiffre d''affaires]]/Tableau3[[#This Row],[Salariés]],"")</f>
        <v>585814.66666666663</v>
      </c>
      <c r="AA1532" s="194"/>
      <c r="AB1532" s="194"/>
      <c r="AC1532" s="177" t="s">
        <v>1059</v>
      </c>
    </row>
    <row r="1533" spans="1:29" ht="20.25" customHeight="1">
      <c r="A1533" s="217"/>
      <c r="E1533" s="187"/>
      <c r="G1533" s="202">
        <f>(G1532/G1534)-1</f>
        <v>5.0082933801140594E-2</v>
      </c>
      <c r="H1533" s="203">
        <f>(H1532/H1534)-1</f>
        <v>0.12121851507608383</v>
      </c>
      <c r="I1533" s="203">
        <f>(I1532/I1534)-1</f>
        <v>0.11484842693553299</v>
      </c>
      <c r="J1533" s="203">
        <f>(J1532/J1534)-1</f>
        <v>0.12200878592380859</v>
      </c>
      <c r="K1533" s="188"/>
      <c r="L1533" s="188"/>
      <c r="M1533" s="188"/>
      <c r="N1533" s="188"/>
      <c r="O1533" s="188"/>
      <c r="P1533" s="188"/>
      <c r="Q1533" s="188"/>
      <c r="R1533" s="188"/>
      <c r="S1533" s="188"/>
      <c r="T1533" s="180"/>
      <c r="U1533" s="189" t="str">
        <f>IFERROR(IF(Tableau3[[#This Row],[Dettes]]=0,"",(Tableau3[[#This Row],[Dettes]]/Tableau3[[#This Row],[EBE]])),"")</f>
        <v/>
      </c>
      <c r="V1533" s="190" t="str">
        <f>IFERROR(Tableau3[[#This Row],[Fonds propres]]/Tableau3[[#This Row],[Total Bilan]],"")</f>
        <v/>
      </c>
      <c r="W1533" s="180"/>
      <c r="X1533" s="192"/>
      <c r="Y1533" s="180"/>
      <c r="Z1533" s="192" t="str">
        <f>IFERROR(Tableau3[[#This Row],[Chiffre d''affaires]]/Tableau3[[#This Row],[Salariés]],"")</f>
        <v/>
      </c>
      <c r="AA1533" s="188"/>
      <c r="AB1533" s="188"/>
      <c r="AC1533" s="177" t="s">
        <v>1060</v>
      </c>
    </row>
    <row r="1534" spans="1:29" ht="20.25" customHeight="1">
      <c r="A1534" s="217"/>
      <c r="E1534" s="187">
        <v>48.1</v>
      </c>
      <c r="F1534" s="178">
        <v>2018</v>
      </c>
      <c r="G1534" s="188">
        <v>2510436000</v>
      </c>
      <c r="H1534" s="188">
        <v>1123236000</v>
      </c>
      <c r="I1534" s="188">
        <v>1161618000</v>
      </c>
      <c r="J1534" s="188">
        <v>855004000</v>
      </c>
      <c r="K1534" s="188">
        <v>0</v>
      </c>
      <c r="L1534" s="188">
        <v>8528124000</v>
      </c>
      <c r="M1534" s="194">
        <f>L1534/P1534</f>
        <v>42.280316864156539</v>
      </c>
      <c r="N1534" s="190">
        <f>Tableau3[[#This Row],[Résultat Net (PdG)]]/L1536</f>
        <v>0.10422917340191215</v>
      </c>
      <c r="O1534" s="190">
        <f>(I1534*0.76)/(K1536+L1536)</f>
        <v>0.10762126001875386</v>
      </c>
      <c r="P1534" s="188">
        <v>201704354</v>
      </c>
      <c r="Q1534" s="188">
        <f>P1534*E1534</f>
        <v>9701979427.3999996</v>
      </c>
      <c r="R1534" s="195">
        <f>Q1534/L1534</f>
        <v>1.137645210998339</v>
      </c>
      <c r="S1534" s="197">
        <f>(Q1534+K1534)/I1534</f>
        <v>8.3521255932673224</v>
      </c>
      <c r="T1534" s="180">
        <v>593943000</v>
      </c>
      <c r="U1534" s="189" t="str">
        <f>IFERROR(IF(Tableau3[[#This Row],[Dettes]]=0,"",(Tableau3[[#This Row],[Dettes]]/Tableau3[[#This Row],[EBE]])),"")</f>
        <v/>
      </c>
      <c r="V1534" s="190">
        <f>IFERROR(Tableau3[[#This Row],[Fonds propres]]/Tableau3[[#This Row],[Total Bilan]],"")</f>
        <v>0.40726475644699139</v>
      </c>
      <c r="W1534" s="180">
        <v>20940000000</v>
      </c>
      <c r="X1534" s="192"/>
      <c r="Y1534" s="180">
        <v>4500</v>
      </c>
      <c r="Z1534" s="192">
        <f>IFERROR(Tableau3[[#This Row],[Chiffre d''affaires]]/Tableau3[[#This Row],[Salariés]],"")</f>
        <v>557874.66666666663</v>
      </c>
      <c r="AA1534" s="194"/>
      <c r="AB1534" s="194"/>
      <c r="AC1534" s="177" t="s">
        <v>1061</v>
      </c>
    </row>
    <row r="1535" spans="1:29" ht="20.25" customHeight="1">
      <c r="A1535" s="217"/>
      <c r="E1535" s="187"/>
      <c r="G1535" s="202">
        <f>(G1534/G1536)-1</f>
        <v>0.11222481647047355</v>
      </c>
      <c r="H1535" s="203">
        <f>(H1534/H1536)-1</f>
        <v>0.18413861736849646</v>
      </c>
      <c r="I1535" s="203">
        <f>(I1534/I1536)-1</f>
        <v>0.20113411112179591</v>
      </c>
      <c r="J1535" s="203">
        <f>(J1534/J1536)-1</f>
        <v>0.25497068813170243</v>
      </c>
      <c r="K1535" s="188"/>
      <c r="L1535" s="188"/>
      <c r="M1535" s="188"/>
      <c r="N1535" s="188"/>
      <c r="O1535" s="188"/>
      <c r="P1535" s="188"/>
      <c r="Q1535" s="188"/>
      <c r="R1535" s="188"/>
      <c r="S1535" s="188"/>
      <c r="T1535" s="180"/>
      <c r="U1535" s="189" t="str">
        <f>IFERROR(IF(Tableau3[[#This Row],[Dettes]]=0,"",(Tableau3[[#This Row],[Dettes]]/Tableau3[[#This Row],[EBE]])),"")</f>
        <v/>
      </c>
      <c r="V1535" s="190" t="str">
        <f>IFERROR(Tableau3[[#This Row],[Fonds propres]]/Tableau3[[#This Row],[Total Bilan]],"")</f>
        <v/>
      </c>
      <c r="W1535" s="180"/>
      <c r="X1535" s="192"/>
      <c r="Y1535" s="180"/>
      <c r="Z1535" s="192" t="str">
        <f>IFERROR(Tableau3[[#This Row],[Chiffre d''affaires]]/Tableau3[[#This Row],[Salariés]],"")</f>
        <v/>
      </c>
      <c r="AA1535" s="188"/>
      <c r="AB1535" s="188"/>
      <c r="AC1535" s="177" t="s">
        <v>1062</v>
      </c>
    </row>
    <row r="1536" spans="1:29" ht="20.25" customHeight="1">
      <c r="A1536" s="217"/>
      <c r="E1536" s="187">
        <v>70.650000000000006</v>
      </c>
      <c r="F1536" s="178">
        <v>2017</v>
      </c>
      <c r="G1536" s="188">
        <v>2257130000</v>
      </c>
      <c r="H1536" s="188">
        <v>948568000</v>
      </c>
      <c r="I1536" s="188">
        <v>967101000</v>
      </c>
      <c r="J1536" s="188">
        <v>681294000</v>
      </c>
      <c r="K1536" s="188">
        <v>0</v>
      </c>
      <c r="L1536" s="188">
        <v>8203116000</v>
      </c>
      <c r="M1536" s="194">
        <f>L1536/P1536</f>
        <v>40.708119309398782</v>
      </c>
      <c r="N1536" s="190">
        <f>Tableau3[[#This Row],[Résultat Net (PdG)]]/L1538</f>
        <v>0.10253726659698345</v>
      </c>
      <c r="O1536" s="190">
        <f>(I1536*0.76)/(K1538+L1538)</f>
        <v>0.11061973058332976</v>
      </c>
      <c r="P1536" s="188">
        <v>201510562</v>
      </c>
      <c r="Q1536" s="188">
        <f>P1536*E1536</f>
        <v>14236721205.300001</v>
      </c>
      <c r="R1536" s="195">
        <f>Q1536/L1536</f>
        <v>1.73552601295654</v>
      </c>
      <c r="S1536" s="197">
        <f>(Q1536+K1536)/I1536</f>
        <v>14.721028315863597</v>
      </c>
      <c r="T1536" s="180">
        <v>2019715000</v>
      </c>
      <c r="U1536" s="189" t="str">
        <f>IFERROR(IF(Tableau3[[#This Row],[Dettes]]=0,"",(Tableau3[[#This Row],[Dettes]]/Tableau3[[#This Row],[EBE]])),"")</f>
        <v/>
      </c>
      <c r="V1536" s="190" t="str">
        <f>IFERROR(Tableau3[[#This Row],[Fonds propres]]/Tableau3[[#This Row],[Total Bilan]],"")</f>
        <v/>
      </c>
      <c r="W1536" s="180"/>
      <c r="X1536" s="192"/>
      <c r="Y1536" s="180">
        <v>5000</v>
      </c>
      <c r="Z1536" s="192">
        <f>IFERROR(Tableau3[[#This Row],[Chiffre d''affaires]]/Tableau3[[#This Row],[Salariés]],"")</f>
        <v>451426</v>
      </c>
      <c r="AA1536" s="194"/>
      <c r="AB1536" s="194"/>
      <c r="AC1536" s="177" t="s">
        <v>1063</v>
      </c>
    </row>
    <row r="1537" spans="1:29" ht="20.25" customHeight="1">
      <c r="A1537" s="217"/>
      <c r="E1537" s="187"/>
      <c r="G1537" s="202">
        <f>(G1536/G1538)-1</f>
        <v>0.34564113692674936</v>
      </c>
      <c r="H1537" s="203">
        <f>(H1536/H1538)-1</f>
        <v>0.18637882106037273</v>
      </c>
      <c r="I1537" s="203">
        <f>(I1536/I1538)-1</f>
        <v>0.16869787783246704</v>
      </c>
      <c r="J1537" s="203">
        <f>(J1536/J1538)-1</f>
        <v>0.19890192075880098</v>
      </c>
      <c r="K1537" s="188"/>
      <c r="L1537" s="188"/>
      <c r="M1537" s="188"/>
      <c r="N1537" s="188"/>
      <c r="O1537" s="188"/>
      <c r="P1537" s="188"/>
      <c r="Q1537" s="188"/>
      <c r="R1537" s="188"/>
      <c r="S1537" s="188"/>
      <c r="T1537" s="180"/>
      <c r="U1537" s="189" t="str">
        <f>IFERROR(IF(Tableau3[[#This Row],[Dettes]]=0,"",(Tableau3[[#This Row],[Dettes]]/Tableau3[[#This Row],[EBE]])),"")</f>
        <v/>
      </c>
      <c r="V1537" s="190" t="str">
        <f>IFERROR(Tableau3[[#This Row],[Fonds propres]]/Tableau3[[#This Row],[Total Bilan]],"")</f>
        <v/>
      </c>
      <c r="W1537" s="180"/>
      <c r="X1537" s="192"/>
      <c r="Y1537" s="180"/>
      <c r="Z1537" s="192" t="str">
        <f>IFERROR(Tableau3[[#This Row],[Chiffre d''affaires]]/Tableau3[[#This Row],[Salariés]],"")</f>
        <v/>
      </c>
      <c r="AA1537" s="188"/>
      <c r="AB1537" s="188"/>
      <c r="AC1537" s="177" t="s">
        <v>1064</v>
      </c>
    </row>
    <row r="1538" spans="1:29" ht="20.25" customHeight="1">
      <c r="A1538" s="217"/>
      <c r="E1538" s="187">
        <v>48.4</v>
      </c>
      <c r="F1538" s="178">
        <v>2016</v>
      </c>
      <c r="G1538" s="188">
        <v>1677364000</v>
      </c>
      <c r="H1538" s="188">
        <v>799549000</v>
      </c>
      <c r="I1538" s="188">
        <v>827503000</v>
      </c>
      <c r="J1538" s="188">
        <v>568265000</v>
      </c>
      <c r="K1538" s="188">
        <v>0</v>
      </c>
      <c r="L1538" s="188">
        <v>6644355000</v>
      </c>
      <c r="M1538" s="194">
        <f>L1538/P1538</f>
        <v>39.567285650993178</v>
      </c>
      <c r="N1538" s="190">
        <f>Tableau3[[#This Row],[Résultat Net (PdG)]]/L1540</f>
        <v>8.8697705439612931E-2</v>
      </c>
      <c r="O1538" s="190">
        <f>(I1538*0.76)/(K1540+L1540)</f>
        <v>9.8162282001779053E-2</v>
      </c>
      <c r="P1538" s="188">
        <v>167925469</v>
      </c>
      <c r="Q1538" s="188">
        <f>P1538*E1538</f>
        <v>8127592699.5999994</v>
      </c>
      <c r="R1538" s="195">
        <f>Q1538/L1538</f>
        <v>1.2232327591767749</v>
      </c>
      <c r="S1538" s="197">
        <f>(Q1538+K1538)/I1538</f>
        <v>9.8218286817087055</v>
      </c>
      <c r="T1538" s="180">
        <v>435383000</v>
      </c>
      <c r="U1538" s="189" t="str">
        <f>IFERROR(IF(Tableau3[[#This Row],[Dettes]]=0,"",(Tableau3[[#This Row],[Dettes]]/Tableau3[[#This Row],[EBE]])),"")</f>
        <v/>
      </c>
      <c r="V1538" s="190" t="str">
        <f>IFERROR(Tableau3[[#This Row],[Fonds propres]]/Tableau3[[#This Row],[Total Bilan]],"")</f>
        <v/>
      </c>
      <c r="W1538" s="180"/>
      <c r="X1538" s="192"/>
      <c r="Y1538" s="180">
        <v>4100</v>
      </c>
      <c r="Z1538" s="192">
        <f>IFERROR(Tableau3[[#This Row],[Chiffre d''affaires]]/Tableau3[[#This Row],[Salariés]],"")</f>
        <v>409113.1707317073</v>
      </c>
      <c r="AA1538" s="194"/>
      <c r="AB1538" s="194"/>
      <c r="AC1538" s="177" t="s">
        <v>1065</v>
      </c>
    </row>
    <row r="1539" spans="1:29" ht="20.25" customHeight="1">
      <c r="A1539" s="217"/>
      <c r="E1539" s="187"/>
      <c r="G1539" s="202">
        <f>(G1538/G1540)-1</f>
        <v>1.2362384504378987E-2</v>
      </c>
      <c r="H1539" s="203">
        <f>(H1538/H1540)-1</f>
        <v>3.3460348317482236E-2</v>
      </c>
      <c r="I1539" s="203">
        <f>(I1538/I1540)-1</f>
        <v>2.6807329454435314E-2</v>
      </c>
      <c r="J1539" s="203">
        <f>(J1538/J1540)-1</f>
        <v>9.5704066482849015E-2</v>
      </c>
      <c r="K1539" s="188"/>
      <c r="L1539" s="188"/>
      <c r="M1539" s="188"/>
      <c r="N1539" s="188"/>
      <c r="O1539" s="188"/>
      <c r="P1539" s="188"/>
      <c r="Q1539" s="188"/>
      <c r="R1539" s="188"/>
      <c r="S1539" s="188"/>
      <c r="T1539" s="180"/>
      <c r="U1539" s="189" t="str">
        <f>IFERROR(IF(Tableau3[[#This Row],[Dettes]]=0,"",(Tableau3[[#This Row],[Dettes]]/Tableau3[[#This Row],[EBE]])),"")</f>
        <v/>
      </c>
      <c r="V1539" s="190" t="str">
        <f>IFERROR(Tableau3[[#This Row],[Fonds propres]]/Tableau3[[#This Row],[Total Bilan]],"")</f>
        <v/>
      </c>
      <c r="W1539" s="180"/>
      <c r="X1539" s="192"/>
      <c r="Y1539" s="180"/>
      <c r="Z1539" s="192" t="str">
        <f>IFERROR(Tableau3[[#This Row],[Chiffre d''affaires]]/Tableau3[[#This Row],[Salariés]],"")</f>
        <v/>
      </c>
      <c r="AA1539" s="188"/>
      <c r="AB1539" s="188"/>
      <c r="AC1539" s="177" t="s">
        <v>1066</v>
      </c>
    </row>
    <row r="1540" spans="1:29" ht="20.25" customHeight="1">
      <c r="A1540" s="217"/>
      <c r="E1540" s="187">
        <v>41.7</v>
      </c>
      <c r="F1540" s="178">
        <v>2015</v>
      </c>
      <c r="G1540" s="188">
        <v>1656881000</v>
      </c>
      <c r="H1540" s="188">
        <v>773662000</v>
      </c>
      <c r="I1540" s="188">
        <v>805899000</v>
      </c>
      <c r="J1540" s="188">
        <v>518630000</v>
      </c>
      <c r="K1540" s="188">
        <v>0</v>
      </c>
      <c r="L1540" s="188">
        <v>6406761000</v>
      </c>
      <c r="M1540" s="194">
        <f>L1540/P1540</f>
        <v>38.30758420940861</v>
      </c>
      <c r="N1540" s="190">
        <f>Tableau3[[#This Row],[Résultat Net (PdG)]]/Tableau3[[#This Row],[Fonds propres]]</f>
        <v>8.0950420969347847E-2</v>
      </c>
      <c r="O1540" s="190">
        <f>(I1540*0.76)/(K1540+L1540)</f>
        <v>9.5599514325569498E-2</v>
      </c>
      <c r="P1540" s="188">
        <v>167245237</v>
      </c>
      <c r="Q1540" s="188">
        <f>P1540*E1540</f>
        <v>6974126382.9000006</v>
      </c>
      <c r="R1540" s="195">
        <f>Q1540/L1540</f>
        <v>1.0885572886049597</v>
      </c>
      <c r="S1540" s="197">
        <f>(Q1540+K1540)/I1540</f>
        <v>8.6538466766927371</v>
      </c>
      <c r="T1540" s="180">
        <v>341515000</v>
      </c>
      <c r="U1540" s="189" t="str">
        <f>IFERROR(IF(Tableau3[[#This Row],[Dettes]]=0,"",(Tableau3[[#This Row],[Dettes]]/Tableau3[[#This Row],[EBE]])),"")</f>
        <v/>
      </c>
      <c r="V1540" s="190" t="str">
        <f>IFERROR(Tableau3[[#This Row],[Fonds propres]]/Tableau3[[#This Row],[Total Bilan]],"")</f>
        <v/>
      </c>
      <c r="W1540" s="180"/>
      <c r="X1540" s="192"/>
      <c r="Y1540" s="180">
        <v>4000</v>
      </c>
      <c r="Z1540" s="192">
        <f>IFERROR(Tableau3[[#This Row],[Chiffre d''affaires]]/Tableau3[[#This Row],[Salariés]],"")</f>
        <v>414220.25</v>
      </c>
      <c r="AA1540" s="188"/>
      <c r="AB1540" s="188"/>
      <c r="AC1540" s="177" t="s">
        <v>1067</v>
      </c>
    </row>
    <row r="1541" spans="1:29" ht="20.25" customHeight="1">
      <c r="A1541" s="217"/>
      <c r="E1541" s="187"/>
      <c r="G1541" s="188"/>
      <c r="H1541" s="178"/>
      <c r="I1541" s="188"/>
      <c r="J1541" s="188"/>
      <c r="K1541" s="188"/>
      <c r="L1541" s="188"/>
      <c r="M1541" s="188"/>
      <c r="N1541" s="188"/>
      <c r="O1541" s="188"/>
      <c r="P1541" s="188"/>
      <c r="Q1541" s="188"/>
      <c r="R1541" s="188"/>
      <c r="S1541" s="188"/>
      <c r="T1541" s="180"/>
      <c r="U1541" s="189" t="str">
        <f>IFERROR(IF(Tableau3[[#This Row],[Dettes]]=0,"",(Tableau3[[#This Row],[Dettes]]/Tableau3[[#This Row],[EBE]])),"")</f>
        <v/>
      </c>
      <c r="V1541" s="190" t="str">
        <f>IFERROR(Tableau3[[#This Row],[Fonds propres]]/Tableau3[[#This Row],[Total Bilan]],"")</f>
        <v/>
      </c>
      <c r="W1541" s="180"/>
      <c r="X1541" s="192"/>
      <c r="Y1541" s="180"/>
      <c r="Z1541" s="192" t="str">
        <f>IFERROR(Tableau3[[#This Row],[Chiffre d''affaires]]/Tableau3[[#This Row],[Salariés]],"")</f>
        <v/>
      </c>
      <c r="AA1541" s="188"/>
      <c r="AB1541" s="188"/>
      <c r="AC1541" s="177" t="s">
        <v>1068</v>
      </c>
    </row>
    <row r="1542" spans="1:29" ht="20.25" customHeight="1">
      <c r="A1542" s="217"/>
      <c r="F1542" s="217" t="s">
        <v>1071</v>
      </c>
      <c r="G1542" s="188"/>
      <c r="H1542" s="178"/>
      <c r="I1542" s="188"/>
      <c r="J1542" s="188"/>
      <c r="K1542" s="188"/>
      <c r="L1542" s="188"/>
      <c r="M1542" s="188"/>
      <c r="N1542" s="188"/>
      <c r="O1542" s="188"/>
      <c r="P1542" s="188"/>
      <c r="Q1542" s="188"/>
      <c r="R1542" s="195"/>
      <c r="S1542" s="188"/>
      <c r="T1542" s="180"/>
      <c r="U1542" s="189" t="str">
        <f>IFERROR(IF(Tableau3[[#This Row],[Dettes]]=0,"",(Tableau3[[#This Row],[Dettes]]/Tableau3[[#This Row],[EBE]])),"")</f>
        <v/>
      </c>
      <c r="V1542" s="190" t="str">
        <f>IFERROR(Tableau3[[#This Row],[Fonds propres]]/Tableau3[[#This Row],[Total Bilan]],"")</f>
        <v/>
      </c>
      <c r="W1542" s="180"/>
      <c r="X1542" s="192"/>
      <c r="Y1542" s="180"/>
      <c r="Z1542" s="192" t="str">
        <f>IFERROR(Tableau3[[#This Row],[Chiffre d''affaires]]/Tableau3[[#This Row],[Salariés]],"")</f>
        <v/>
      </c>
      <c r="AA1542" s="188"/>
      <c r="AB1542" s="188"/>
      <c r="AC1542" s="177" t="s">
        <v>1069</v>
      </c>
    </row>
    <row r="1543" spans="1:29" ht="20.25" customHeight="1">
      <c r="A1543" s="217"/>
      <c r="E1543" s="187"/>
      <c r="G1543" s="188"/>
      <c r="H1543" s="178"/>
      <c r="I1543" s="188"/>
      <c r="J1543" s="188"/>
      <c r="K1543" s="188"/>
      <c r="L1543" s="188"/>
      <c r="M1543" s="188"/>
      <c r="N1543" s="188"/>
      <c r="O1543" s="188"/>
      <c r="P1543" s="188"/>
      <c r="Q1543" s="188"/>
      <c r="R1543" s="195"/>
      <c r="S1543" s="188"/>
      <c r="T1543" s="180"/>
      <c r="U1543" s="189" t="str">
        <f>IFERROR(IF(Tableau3[[#This Row],[Dettes]]=0,"",(Tableau3[[#This Row],[Dettes]]/Tableau3[[#This Row],[EBE]])),"")</f>
        <v/>
      </c>
      <c r="V1543" s="190" t="str">
        <f>IFERROR(Tableau3[[#This Row],[Fonds propres]]/Tableau3[[#This Row],[Total Bilan]],"")</f>
        <v/>
      </c>
      <c r="W1543" s="180"/>
      <c r="X1543" s="192"/>
      <c r="Y1543" s="180"/>
      <c r="Z1543" s="192" t="str">
        <f>IFERROR(Tableau3[[#This Row],[Chiffre d''affaires]]/Tableau3[[#This Row],[Salariés]],"")</f>
        <v/>
      </c>
      <c r="AA1543" s="188"/>
      <c r="AB1543" s="188"/>
      <c r="AC1543" s="177" t="s">
        <v>1070</v>
      </c>
    </row>
    <row r="1544" spans="1:29" ht="20.25" customHeight="1">
      <c r="A1544" s="217"/>
      <c r="E1544" s="187"/>
      <c r="G1544" s="188"/>
      <c r="H1544" s="178"/>
      <c r="I1544" s="188"/>
      <c r="J1544" s="188"/>
      <c r="K1544" s="188"/>
      <c r="L1544" s="188"/>
      <c r="M1544" s="188"/>
      <c r="N1544" s="188"/>
      <c r="O1544" s="188"/>
      <c r="P1544" s="188"/>
      <c r="Q1544" s="188"/>
      <c r="R1544" s="195"/>
      <c r="S1544" s="188"/>
      <c r="T1544" s="180"/>
      <c r="U1544" s="189" t="str">
        <f>IFERROR(IF(Tableau3[[#This Row],[Dettes]]=0,"",(Tableau3[[#This Row],[Dettes]]/Tableau3[[#This Row],[EBE]])),"")</f>
        <v/>
      </c>
      <c r="V1544" s="190" t="str">
        <f>IFERROR(Tableau3[[#This Row],[Fonds propres]]/Tableau3[[#This Row],[Total Bilan]],"")</f>
        <v/>
      </c>
      <c r="W1544" s="180"/>
      <c r="X1544" s="192"/>
      <c r="Y1544" s="180"/>
      <c r="Z1544" s="192" t="str">
        <f>IFERROR(Tableau3[[#This Row],[Chiffre d''affaires]]/Tableau3[[#This Row],[Salariés]],"")</f>
        <v/>
      </c>
    </row>
    <row r="1545" spans="1:29" ht="20.25" customHeight="1">
      <c r="A1545" s="217"/>
      <c r="E1545" s="187"/>
      <c r="G1545" s="188"/>
      <c r="H1545" s="178"/>
      <c r="I1545" s="188"/>
      <c r="J1545" s="188"/>
      <c r="K1545" s="188"/>
      <c r="L1545" s="188"/>
      <c r="M1545" s="188"/>
      <c r="N1545" s="188"/>
      <c r="O1545" s="188"/>
      <c r="P1545" s="188"/>
      <c r="Q1545" s="188"/>
      <c r="R1545" s="195"/>
      <c r="S1545" s="188"/>
      <c r="T1545" s="180"/>
      <c r="U1545" s="189" t="str">
        <f>IFERROR(IF(Tableau3[[#This Row],[Dettes]]=0,"",(Tableau3[[#This Row],[Dettes]]/Tableau3[[#This Row],[EBE]])),"")</f>
        <v/>
      </c>
      <c r="V1545" s="190" t="str">
        <f>IFERROR(Tableau3[[#This Row],[Fonds propres]]/Tableau3[[#This Row],[Total Bilan]],"")</f>
        <v/>
      </c>
      <c r="W1545" s="180"/>
      <c r="X1545" s="192"/>
      <c r="Y1545" s="180"/>
      <c r="Z1545" s="192" t="str">
        <f>IFERROR(Tableau3[[#This Row],[Chiffre d''affaires]]/Tableau3[[#This Row],[Salariés]],"")</f>
        <v/>
      </c>
    </row>
    <row r="1546" spans="1:29" ht="20.25" customHeight="1">
      <c r="A1546" s="217"/>
      <c r="E1546" s="187"/>
      <c r="G1546" s="188"/>
      <c r="H1546" s="178"/>
      <c r="I1546" s="188"/>
      <c r="J1546" s="188"/>
      <c r="K1546" s="188"/>
      <c r="L1546" s="188"/>
      <c r="M1546" s="188"/>
      <c r="N1546" s="188"/>
      <c r="O1546" s="188"/>
      <c r="P1546" s="188"/>
      <c r="Q1546" s="188"/>
      <c r="R1546" s="195"/>
      <c r="S1546" s="188"/>
      <c r="T1546" s="180"/>
      <c r="U1546" s="189" t="str">
        <f>IFERROR(IF(Tableau3[[#This Row],[Dettes]]=0,"",(Tableau3[[#This Row],[Dettes]]/Tableau3[[#This Row],[EBE]])),"")</f>
        <v/>
      </c>
      <c r="V1546" s="190" t="str">
        <f>IFERROR(Tableau3[[#This Row],[Fonds propres]]/Tableau3[[#This Row],[Total Bilan]],"")</f>
        <v/>
      </c>
      <c r="W1546" s="180"/>
      <c r="X1546" s="192"/>
      <c r="Y1546" s="180"/>
      <c r="Z1546" s="192" t="str">
        <f>IFERROR(Tableau3[[#This Row],[Chiffre d''affaires]]/Tableau3[[#This Row],[Salariés]],"")</f>
        <v/>
      </c>
      <c r="AA1546" s="188"/>
      <c r="AB1546" s="188"/>
    </row>
    <row r="1547" spans="1:29" ht="20.25" customHeight="1">
      <c r="A1547" s="217" t="s">
        <v>1072</v>
      </c>
      <c r="B1547" s="216" t="s">
        <v>1073</v>
      </c>
      <c r="C1547" s="178" t="s">
        <v>84</v>
      </c>
      <c r="D1547" s="178" t="s">
        <v>85</v>
      </c>
      <c r="E1547" s="187">
        <v>7</v>
      </c>
      <c r="F1547" s="207">
        <v>44742</v>
      </c>
      <c r="G1547" s="188">
        <v>1151600000</v>
      </c>
      <c r="H1547" s="211">
        <f>G1547*0.76</f>
        <v>875216000</v>
      </c>
      <c r="I1547" s="188">
        <v>424800000</v>
      </c>
      <c r="J1547" s="188">
        <v>239800000</v>
      </c>
      <c r="K1547" s="188">
        <v>3081000000</v>
      </c>
      <c r="L1547" s="188">
        <f>2860700000-83400000</f>
        <v>2777300000</v>
      </c>
      <c r="M1547" s="194">
        <f>L1547/P1547</f>
        <v>11.931282804932762</v>
      </c>
      <c r="N1547" s="190">
        <f>J1547/(M1547*P1547)</f>
        <v>8.6342850970366897E-2</v>
      </c>
      <c r="O1547" s="190">
        <f>(I1547*0.64)/(K1547+(M1547*P1547))</f>
        <v>4.6408002321492586E-2</v>
      </c>
      <c r="P1547" s="211">
        <f>P1549</f>
        <v>232774635</v>
      </c>
      <c r="Q1547" s="188">
        <f>P1547*E1547</f>
        <v>1629422445</v>
      </c>
      <c r="R1547" s="195">
        <f>Q1547/L1547</f>
        <v>0.5866929913945198</v>
      </c>
      <c r="S1547" s="197">
        <f>(Q1547+K1547)/H1547</f>
        <v>5.3820113491983692</v>
      </c>
      <c r="T1547" s="180">
        <v>420000000</v>
      </c>
      <c r="U1547" s="189">
        <f>IFERROR(IF(Tableau3[[#This Row],[Dettes]]=0,"",(Tableau3[[#This Row],[Dettes]]/Tableau3[[#This Row],[EBE]])),"")</f>
        <v>3.5202738523975796</v>
      </c>
      <c r="V1547" s="190" t="str">
        <f>IFERROR(Tableau3[[#This Row],[Fonds propres]]/Tableau3[[#This Row],[Total Bilan]],"")</f>
        <v/>
      </c>
      <c r="W1547" s="180"/>
      <c r="X1547" s="191" t="s">
        <v>132</v>
      </c>
      <c r="Y1547" s="180"/>
      <c r="Z1547" s="192" t="str">
        <f>IFERROR(Tableau3[[#This Row],[Chiffre d''affaires]]/Tableau3[[#This Row],[Salariés]],"")</f>
        <v/>
      </c>
      <c r="AA1547" s="188"/>
      <c r="AB1547" s="188"/>
      <c r="AC1547" s="177" t="s">
        <v>1074</v>
      </c>
    </row>
    <row r="1548" spans="1:29" ht="20.25" customHeight="1">
      <c r="A1548" s="217"/>
      <c r="E1548" s="187"/>
      <c r="G1548" s="202">
        <f>(G1547/G1549)-1</f>
        <v>3.2825112107623289E-2</v>
      </c>
      <c r="H1548" s="203">
        <f>(H1547/H1549)-1</f>
        <v>4.6596113602391576E-2</v>
      </c>
      <c r="I1548" s="203">
        <f>(I1547/I1549)-1</f>
        <v>0.22350230414746552</v>
      </c>
      <c r="J1548" s="203">
        <f>(J1547/J1549)-1</f>
        <v>0.12003736571695467</v>
      </c>
      <c r="K1548" s="188"/>
      <c r="L1548" s="188"/>
      <c r="M1548" s="188"/>
      <c r="N1548" s="188"/>
      <c r="O1548" s="188"/>
      <c r="P1548" s="188"/>
      <c r="Q1548" s="188"/>
      <c r="R1548" s="195"/>
      <c r="S1548" s="188"/>
      <c r="T1548" s="180"/>
      <c r="U1548" s="189" t="str">
        <f>IFERROR(IF(Tableau3[[#This Row],[Dettes]]=0,"",(Tableau3[[#This Row],[Dettes]]/Tableau3[[#This Row],[EBE]])),"")</f>
        <v/>
      </c>
      <c r="V1548" s="190" t="str">
        <f>IFERROR(Tableau3[[#This Row],[Fonds propres]]/Tableau3[[#This Row],[Total Bilan]],"")</f>
        <v/>
      </c>
      <c r="W1548" s="180"/>
      <c r="X1548" s="192"/>
      <c r="Y1548" s="180"/>
      <c r="Z1548" s="192" t="str">
        <f>IFERROR(Tableau3[[#This Row],[Chiffre d''affaires]]/Tableau3[[#This Row],[Salariés]],"")</f>
        <v/>
      </c>
      <c r="AA1548" s="188"/>
      <c r="AB1548" s="188"/>
      <c r="AC1548" s="177" t="s">
        <v>5027</v>
      </c>
    </row>
    <row r="1549" spans="1:29" ht="20.25" customHeight="1">
      <c r="A1549" s="217"/>
      <c r="E1549" s="187">
        <v>10.68</v>
      </c>
      <c r="F1549" s="207">
        <v>44377</v>
      </c>
      <c r="G1549" s="188">
        <v>1115000000</v>
      </c>
      <c r="H1549" s="211">
        <f>G1549*0.75</f>
        <v>836250000</v>
      </c>
      <c r="I1549" s="188">
        <v>347200000</v>
      </c>
      <c r="J1549" s="188">
        <v>214100000</v>
      </c>
      <c r="K1549" s="188">
        <v>2655500000</v>
      </c>
      <c r="L1549" s="188">
        <f>2690700000-76200000</f>
        <v>2614500000</v>
      </c>
      <c r="M1549" s="194">
        <f>L1549/P1549</f>
        <v>11.231893887407448</v>
      </c>
      <c r="N1549" s="190">
        <f>J1549/(M1549*P1549)</f>
        <v>8.1889462612354177E-2</v>
      </c>
      <c r="O1549" s="190">
        <f>(I1549*0.64)/(K1549+(M1549*P1549))</f>
        <v>4.2164705882352944E-2</v>
      </c>
      <c r="P1549" s="211">
        <f>P1551</f>
        <v>232774635</v>
      </c>
      <c r="Q1549" s="188">
        <f>P1549*E1549</f>
        <v>2486033101.7999997</v>
      </c>
      <c r="R1549" s="195">
        <f>Q1549/L1549</f>
        <v>0.95086368399311516</v>
      </c>
      <c r="S1549" s="197">
        <f>(Q1549+K1549)/H1549</f>
        <v>6.1483206000597894</v>
      </c>
      <c r="T1549" s="180"/>
      <c r="U1549" s="189">
        <f>IFERROR(IF(Tableau3[[#This Row],[Dettes]]=0,"",(Tableau3[[#This Row],[Dettes]]/Tableau3[[#This Row],[EBE]])),"")</f>
        <v>3.1754857997010464</v>
      </c>
      <c r="V1549" s="190" t="str">
        <f>IFERROR(Tableau3[[#This Row],[Fonds propres]]/Tableau3[[#This Row],[Total Bilan]],"")</f>
        <v/>
      </c>
      <c r="W1549" s="180"/>
      <c r="Y1549" s="180"/>
      <c r="Z1549" s="192" t="str">
        <f>IFERROR(Tableau3[[#This Row],[Chiffre d''affaires]]/Tableau3[[#This Row],[Salariés]],"")</f>
        <v/>
      </c>
      <c r="AA1549" s="197"/>
      <c r="AB1549" s="197"/>
      <c r="AC1549" s="177" t="s">
        <v>1076</v>
      </c>
    </row>
    <row r="1550" spans="1:29" ht="20.25" customHeight="1">
      <c r="A1550" s="217"/>
      <c r="E1550" s="187"/>
      <c r="G1550" s="202">
        <f>(G1549/G1551)-1</f>
        <v>-0.12774779003363845</v>
      </c>
      <c r="H1550" s="203">
        <f>(H1549/H1551)-1</f>
        <v>-0.14842158859470467</v>
      </c>
      <c r="I1550" s="203">
        <f>(I1549/I1551)-1</f>
        <v>-0.22844444444444445</v>
      </c>
      <c r="J1550" s="203">
        <f>(J1549/J1551)-1</f>
        <v>-0.28057795698924726</v>
      </c>
      <c r="K1550" s="188"/>
      <c r="L1550" s="188"/>
      <c r="M1550" s="188"/>
      <c r="N1550" s="188"/>
      <c r="O1550" s="188"/>
      <c r="P1550" s="188"/>
      <c r="Q1550" s="188"/>
      <c r="R1550" s="195"/>
      <c r="S1550" s="188"/>
      <c r="T1550" s="180"/>
      <c r="U1550" s="189" t="str">
        <f>IFERROR(IF(Tableau3[[#This Row],[Dettes]]=0,"",(Tableau3[[#This Row],[Dettes]]/Tableau3[[#This Row],[EBE]])),"")</f>
        <v/>
      </c>
      <c r="V1550" s="190" t="str">
        <f>IFERROR(Tableau3[[#This Row],[Fonds propres]]/Tableau3[[#This Row],[Total Bilan]],"")</f>
        <v/>
      </c>
      <c r="W1550" s="180"/>
      <c r="Y1550" s="180"/>
      <c r="Z1550" s="192" t="str">
        <f>IFERROR(Tableau3[[#This Row],[Chiffre d''affaires]]/Tableau3[[#This Row],[Salariés]],"")</f>
        <v/>
      </c>
      <c r="AA1550" s="177"/>
      <c r="AC1550" s="177" t="s">
        <v>1078</v>
      </c>
    </row>
    <row r="1551" spans="1:29" ht="20.25" customHeight="1">
      <c r="A1551" s="217"/>
      <c r="E1551" s="187">
        <v>10.5</v>
      </c>
      <c r="F1551" s="207">
        <v>44012</v>
      </c>
      <c r="G1551" s="188">
        <v>1278300000</v>
      </c>
      <c r="H1551" s="211">
        <v>982000000</v>
      </c>
      <c r="I1551" s="188">
        <v>450000000</v>
      </c>
      <c r="J1551" s="188">
        <v>297600000</v>
      </c>
      <c r="K1551" s="188">
        <v>2999400000</v>
      </c>
      <c r="L1551" s="188">
        <v>2659000000</v>
      </c>
      <c r="M1551" s="194">
        <f>L1551/P1551</f>
        <v>11.423065919531997</v>
      </c>
      <c r="N1551" s="190">
        <f>J1551/(M1551*P1551)</f>
        <v>0.11192177510342234</v>
      </c>
      <c r="O1551" s="190">
        <f>(I1551*0.64)/(K1551+(M1551*P1551))</f>
        <v>5.0897780291248411E-2</v>
      </c>
      <c r="P1551" s="211">
        <f>P1553</f>
        <v>232774635</v>
      </c>
      <c r="Q1551" s="188">
        <f>P1551*E1551</f>
        <v>2444133667.5</v>
      </c>
      <c r="R1551" s="195">
        <f>Q1551/L1551</f>
        <v>0.91919280462579922</v>
      </c>
      <c r="S1551" s="197">
        <f>(Q1551+K1551)/H1551</f>
        <v>5.5433133070264766</v>
      </c>
      <c r="T1551" s="180"/>
      <c r="U1551" s="189">
        <f>IFERROR(IF(Tableau3[[#This Row],[Dettes]]=0,"",(Tableau3[[#This Row],[Dettes]]/Tableau3[[#This Row],[EBE]])),"")</f>
        <v>3.0543788187372707</v>
      </c>
      <c r="V1551" s="190" t="str">
        <f>IFERROR(Tableau3[[#This Row],[Fonds propres]]/Tableau3[[#This Row],[Total Bilan]],"")</f>
        <v/>
      </c>
      <c r="W1551" s="180"/>
      <c r="X1551" s="191"/>
      <c r="Y1551" s="180"/>
      <c r="Z1551" s="192" t="str">
        <f>IFERROR(Tableau3[[#This Row],[Chiffre d''affaires]]/Tableau3[[#This Row],[Salariés]],"")</f>
        <v/>
      </c>
      <c r="AA1551" s="197"/>
      <c r="AB1551" s="197"/>
      <c r="AC1551" s="177" t="s">
        <v>5025</v>
      </c>
    </row>
    <row r="1552" spans="1:29" ht="20.25" customHeight="1">
      <c r="A1552" s="217"/>
      <c r="E1552" s="187"/>
      <c r="G1552" s="202">
        <f>(G1551/G1553)-1</f>
        <v>-3.2323996971990954E-2</v>
      </c>
      <c r="H1552" s="203">
        <f>(H1551/H1553)-1</f>
        <v>-4.881828748547079E-2</v>
      </c>
      <c r="I1552" s="203">
        <f>(I1551/I1553)-1</f>
        <v>-0.14464930621554839</v>
      </c>
      <c r="J1552" s="203">
        <f>(J1551/J1553)-1</f>
        <v>-0.12573443008225615</v>
      </c>
      <c r="K1552" s="178"/>
      <c r="L1552" s="178"/>
      <c r="M1552" s="178"/>
      <c r="N1552" s="178"/>
      <c r="O1552" s="178"/>
      <c r="P1552" s="178"/>
      <c r="Q1552" s="178"/>
      <c r="R1552" s="195"/>
      <c r="S1552" s="178"/>
      <c r="T1552" s="180"/>
      <c r="U1552" s="189" t="str">
        <f>IFERROR(IF(Tableau3[[#This Row],[Dettes]]=0,"",(Tableau3[[#This Row],[Dettes]]/Tableau3[[#This Row],[EBE]])),"")</f>
        <v/>
      </c>
      <c r="V1552" s="190" t="str">
        <f>IFERROR(Tableau3[[#This Row],[Fonds propres]]/Tableau3[[#This Row],[Total Bilan]],"")</f>
        <v/>
      </c>
      <c r="W1552" s="180"/>
      <c r="Y1552" s="180"/>
      <c r="Z1552" s="192" t="str">
        <f>IFERROR(Tableau3[[#This Row],[Chiffre d''affaires]]/Tableau3[[#This Row],[Salariés]],"")</f>
        <v/>
      </c>
      <c r="AA1552" s="177"/>
      <c r="AC1552" s="177" t="s">
        <v>5024</v>
      </c>
    </row>
    <row r="1553" spans="1:29" ht="20.25" customHeight="1">
      <c r="A1553" s="217"/>
      <c r="E1553" s="187">
        <v>17</v>
      </c>
      <c r="F1553" s="207">
        <v>43646</v>
      </c>
      <c r="G1553" s="188">
        <v>1321000000</v>
      </c>
      <c r="H1553" s="188">
        <v>1032400000</v>
      </c>
      <c r="I1553" s="188">
        <v>526100000</v>
      </c>
      <c r="J1553" s="188">
        <v>340400000</v>
      </c>
      <c r="K1553" s="188">
        <v>3072800000</v>
      </c>
      <c r="L1553" s="188">
        <v>2681000000</v>
      </c>
      <c r="M1553" s="194">
        <f>L1555/P1553</f>
        <v>11.453997124729677</v>
      </c>
      <c r="N1553" s="190">
        <f>J1553/(M1553*P1553)</f>
        <v>0.12767234265996549</v>
      </c>
      <c r="O1553" s="190">
        <f>(I1553*0.64)/(K1553+(M1553*P1553))</f>
        <v>5.8669454608816868E-2</v>
      </c>
      <c r="P1553" s="211">
        <f>P1555</f>
        <v>232774635</v>
      </c>
      <c r="Q1553" s="188">
        <f>P1553*E1553</f>
        <v>3957168795</v>
      </c>
      <c r="R1553" s="195">
        <f>Q1553/L1553</f>
        <v>1.4760047724729579</v>
      </c>
      <c r="S1553" s="197">
        <f>(Q1553+K1553)/H1553</f>
        <v>6.8093459850833007</v>
      </c>
      <c r="T1553" s="180"/>
      <c r="U1553" s="189">
        <f>IFERROR(IF(Tableau3[[#This Row],[Dettes]]=0,"",(Tableau3[[#This Row],[Dettes]]/Tableau3[[#This Row],[EBE]])),"")</f>
        <v>2.9763657497094149</v>
      </c>
      <c r="V1553" s="190" t="str">
        <f>IFERROR(Tableau3[[#This Row],[Fonds propres]]/Tableau3[[#This Row],[Total Bilan]],"")</f>
        <v/>
      </c>
      <c r="W1553" s="180"/>
      <c r="X1553" s="191"/>
      <c r="Y1553" s="180"/>
      <c r="Z1553" s="192" t="str">
        <f>IFERROR(Tableau3[[#This Row],[Chiffre d''affaires]]/Tableau3[[#This Row],[Salariés]],"")</f>
        <v/>
      </c>
      <c r="AA1553" s="197"/>
      <c r="AB1553" s="197"/>
      <c r="AC1553" s="177" t="s">
        <v>1077</v>
      </c>
    </row>
    <row r="1554" spans="1:29" ht="20.25" customHeight="1">
      <c r="A1554" s="217"/>
      <c r="E1554" s="187"/>
      <c r="G1554" s="202">
        <f>(G1553/G1555)-1</f>
        <v>-6.1723133745294367E-2</v>
      </c>
      <c r="H1554" s="203">
        <f>(H1553/H1555)-1</f>
        <v>-4.132231404958675E-2</v>
      </c>
      <c r="I1554" s="203">
        <f>(I1553/I1555)-1</f>
        <v>-4.7782805429864239E-2</v>
      </c>
      <c r="J1554" s="203">
        <f>(J1553/J1555)-1</f>
        <v>0.17338848672871432</v>
      </c>
      <c r="K1554" s="178"/>
      <c r="L1554" s="178"/>
      <c r="M1554" s="178"/>
      <c r="N1554" s="178"/>
      <c r="O1554" s="178"/>
      <c r="P1554" s="178"/>
      <c r="Q1554" s="178"/>
      <c r="R1554" s="195"/>
      <c r="S1554" s="178"/>
      <c r="T1554" s="180"/>
      <c r="U1554" s="189" t="str">
        <f>IFERROR(IF(Tableau3[[#This Row],[Dettes]]=0,"",(Tableau3[[#This Row],[Dettes]]/Tableau3[[#This Row],[EBE]])),"")</f>
        <v/>
      </c>
      <c r="V1554" s="190" t="str">
        <f>IFERROR(Tableau3[[#This Row],[Fonds propres]]/Tableau3[[#This Row],[Total Bilan]],"")</f>
        <v/>
      </c>
      <c r="W1554" s="180"/>
      <c r="Y1554" s="180"/>
      <c r="Z1554" s="192" t="str">
        <f>IFERROR(Tableau3[[#This Row],[Chiffre d''affaires]]/Tableau3[[#This Row],[Salariés]],"")</f>
        <v/>
      </c>
      <c r="AA1554" s="177"/>
      <c r="AC1554" s="177" t="s">
        <v>1079</v>
      </c>
    </row>
    <row r="1555" spans="1:29" ht="20.25" customHeight="1">
      <c r="A1555" s="217"/>
      <c r="E1555" s="187">
        <v>21.3</v>
      </c>
      <c r="F1555" s="207">
        <v>43281</v>
      </c>
      <c r="G1555" s="188">
        <v>1407900000</v>
      </c>
      <c r="H1555" s="211">
        <v>1076900000</v>
      </c>
      <c r="I1555" s="188">
        <v>552500000</v>
      </c>
      <c r="J1555" s="188">
        <v>290100000</v>
      </c>
      <c r="K1555" s="188">
        <v>3241600000</v>
      </c>
      <c r="L1555" s="188">
        <v>2666200000</v>
      </c>
      <c r="M1555" s="194">
        <f>L1557/P1555</f>
        <v>11.642161956348895</v>
      </c>
      <c r="N1555" s="190">
        <f>J1555/(M1555*P1555)</f>
        <v>0.1070479704797048</v>
      </c>
      <c r="O1555" s="190">
        <f>(I1555*0.64)/(K1555+(M1555*P1555))</f>
        <v>5.941259493245514E-2</v>
      </c>
      <c r="P1555" s="211">
        <f>P1557</f>
        <v>232774635</v>
      </c>
      <c r="Q1555" s="188">
        <f>P1555*E1555</f>
        <v>4958099725.5</v>
      </c>
      <c r="R1555" s="195">
        <f>Q1555/L1555</f>
        <v>1.8596128293076288</v>
      </c>
      <c r="S1555" s="197">
        <f>(Q1555+K1555)/H1555</f>
        <v>7.6141700487510446</v>
      </c>
      <c r="T1555" s="180"/>
      <c r="U1555" s="189">
        <f>IFERROR(IF(Tableau3[[#This Row],[Dettes]]=0,"",(Tableau3[[#This Row],[Dettes]]/Tableau3[[#This Row],[EBE]])),"")</f>
        <v>3.0101216454638315</v>
      </c>
      <c r="V1555" s="190" t="str">
        <f>IFERROR(Tableau3[[#This Row],[Fonds propres]]/Tableau3[[#This Row],[Total Bilan]],"")</f>
        <v/>
      </c>
      <c r="W1555" s="180"/>
      <c r="X1555" s="191"/>
      <c r="Y1555" s="180"/>
      <c r="Z1555" s="192" t="str">
        <f>IFERROR(Tableau3[[#This Row],[Chiffre d''affaires]]/Tableau3[[#This Row],[Salariés]],"")</f>
        <v/>
      </c>
      <c r="AA1555" s="197"/>
      <c r="AB1555" s="197"/>
      <c r="AC1555" s="177" t="s">
        <v>1080</v>
      </c>
    </row>
    <row r="1556" spans="1:29" ht="20.25" customHeight="1">
      <c r="A1556" s="217"/>
      <c r="E1556" s="187"/>
      <c r="G1556" s="202">
        <f>(G1555/G1557)-1</f>
        <v>-4.7364503687664983E-2</v>
      </c>
      <c r="H1556" s="203">
        <f>(H1555/H1557)-1</f>
        <v>-5.0017642907551174E-2</v>
      </c>
      <c r="I1556" s="203">
        <f>(I1555/I1557)-1</f>
        <v>-0.10133376707872477</v>
      </c>
      <c r="J1556" s="203">
        <f>(J1555/J1557)-1</f>
        <v>-0.17538374076179652</v>
      </c>
      <c r="K1556" s="178"/>
      <c r="L1556" s="178"/>
      <c r="M1556" s="178"/>
      <c r="N1556" s="178"/>
      <c r="O1556" s="178"/>
      <c r="P1556" s="178"/>
      <c r="Q1556" s="178"/>
      <c r="R1556" s="195"/>
      <c r="S1556" s="178"/>
      <c r="T1556" s="180"/>
      <c r="U1556" s="189" t="str">
        <f>IFERROR(IF(Tableau3[[#This Row],[Dettes]]=0,"",(Tableau3[[#This Row],[Dettes]]/Tableau3[[#This Row],[EBE]])),"")</f>
        <v/>
      </c>
      <c r="V1556" s="190" t="str">
        <f>IFERROR(Tableau3[[#This Row],[Fonds propres]]/Tableau3[[#This Row],[Total Bilan]],"")</f>
        <v/>
      </c>
      <c r="W1556" s="180"/>
      <c r="Y1556" s="180"/>
      <c r="Z1556" s="192" t="str">
        <f>IFERROR(Tableau3[[#This Row],[Chiffre d''affaires]]/Tableau3[[#This Row],[Salariés]],"")</f>
        <v/>
      </c>
      <c r="AA1556" s="177"/>
      <c r="AC1556" s="177" t="s">
        <v>1081</v>
      </c>
    </row>
    <row r="1557" spans="1:29" ht="20.25" customHeight="1">
      <c r="A1557" s="217"/>
      <c r="E1557" s="187">
        <v>20</v>
      </c>
      <c r="F1557" s="207">
        <v>42916</v>
      </c>
      <c r="G1557" s="188">
        <v>1477900000</v>
      </c>
      <c r="H1557" s="188">
        <v>1133600000</v>
      </c>
      <c r="I1557" s="188">
        <v>614800000</v>
      </c>
      <c r="J1557" s="188">
        <v>351800000</v>
      </c>
      <c r="K1557" s="188">
        <v>3640700000</v>
      </c>
      <c r="L1557" s="188">
        <v>2710000000</v>
      </c>
      <c r="M1557" s="194">
        <f>L1557/P1557</f>
        <v>11.642161956348895</v>
      </c>
      <c r="N1557" s="190">
        <f>J1557/(M1557*P1557)</f>
        <v>0.12981549815498156</v>
      </c>
      <c r="O1557" s="190">
        <f>(I1557*0.64)/(K1557+(M1557*P1557))</f>
        <v>6.1957264553513788E-2</v>
      </c>
      <c r="P1557" s="188">
        <v>232774635</v>
      </c>
      <c r="Q1557" s="188">
        <f>P1557*E1557</f>
        <v>4655492700</v>
      </c>
      <c r="R1557" s="195">
        <f>Q1557/L1557</f>
        <v>1.7178939852398525</v>
      </c>
      <c r="S1557" s="197">
        <f>(Q1557+K1557)/H1557</f>
        <v>7.3184480416372617</v>
      </c>
      <c r="T1557" s="180"/>
      <c r="U1557" s="189">
        <f>IFERROR(IF(Tableau3[[#This Row],[Dettes]]=0,"",(Tableau3[[#This Row],[Dettes]]/Tableau3[[#This Row],[EBE]])),"")</f>
        <v>3.2116266760762175</v>
      </c>
      <c r="V1557" s="190" t="str">
        <f>IFERROR(Tableau3[[#This Row],[Fonds propres]]/Tableau3[[#This Row],[Total Bilan]],"")</f>
        <v/>
      </c>
      <c r="W1557" s="180"/>
      <c r="X1557" s="191"/>
      <c r="Y1557" s="180"/>
      <c r="Z1557" s="192" t="str">
        <f>IFERROR(Tableau3[[#This Row],[Chiffre d''affaires]]/Tableau3[[#This Row],[Salariés]],"")</f>
        <v/>
      </c>
      <c r="AA1557" s="197"/>
      <c r="AB1557" s="197"/>
      <c r="AC1557" s="177" t="s">
        <v>1082</v>
      </c>
    </row>
    <row r="1558" spans="1:29" ht="20.25" customHeight="1">
      <c r="A1558" s="217"/>
      <c r="E1558" s="187"/>
      <c r="G1558" s="202">
        <f>(G1557/G1559)-1</f>
        <v>-3.342053629823416E-2</v>
      </c>
      <c r="H1558" s="203">
        <f>(H1557/H1559)-1</f>
        <v>-2.6116838487972527E-2</v>
      </c>
      <c r="I1558" s="203">
        <f>(I1557/I1559)-1</f>
        <v>-7.1299093655589174E-2</v>
      </c>
      <c r="J1558" s="203">
        <f>(J1557/J1559)-1</f>
        <v>9.46915351506461E-3</v>
      </c>
      <c r="K1558" s="188"/>
      <c r="L1558" s="188"/>
      <c r="M1558" s="188"/>
      <c r="N1558" s="190"/>
      <c r="O1558" s="190"/>
      <c r="P1558" s="188"/>
      <c r="Q1558" s="188"/>
      <c r="R1558" s="195"/>
      <c r="S1558" s="178"/>
      <c r="T1558" s="180"/>
      <c r="U1558" s="189" t="str">
        <f>IFERROR(IF(Tableau3[[#This Row],[Dettes]]=0,"",(Tableau3[[#This Row],[Dettes]]/Tableau3[[#This Row],[EBE]])),"")</f>
        <v/>
      </c>
      <c r="V1558" s="190" t="str">
        <f>IFERROR(Tableau3[[#This Row],[Fonds propres]]/Tableau3[[#This Row],[Total Bilan]],"")</f>
        <v/>
      </c>
      <c r="W1558" s="180"/>
      <c r="Y1558" s="180"/>
      <c r="Z1558" s="192" t="str">
        <f>IFERROR(Tableau3[[#This Row],[Chiffre d''affaires]]/Tableau3[[#This Row],[Salariés]],"")</f>
        <v/>
      </c>
      <c r="AA1558" s="177"/>
      <c r="AC1558" s="177" t="s">
        <v>5022</v>
      </c>
    </row>
    <row r="1559" spans="1:29" ht="20.25" customHeight="1">
      <c r="A1559" s="217"/>
      <c r="E1559" s="187">
        <v>17</v>
      </c>
      <c r="F1559" s="207">
        <v>42551</v>
      </c>
      <c r="G1559" s="188">
        <v>1529000000</v>
      </c>
      <c r="H1559" s="188">
        <v>1164000000</v>
      </c>
      <c r="I1559" s="188">
        <v>662000000</v>
      </c>
      <c r="J1559" s="188">
        <v>348500000</v>
      </c>
      <c r="K1559" s="188">
        <v>4006000000</v>
      </c>
      <c r="L1559" s="188">
        <v>2734000000</v>
      </c>
      <c r="M1559" s="194">
        <f>L1559/P1559</f>
        <v>11.745265973674494</v>
      </c>
      <c r="N1559" s="190">
        <f>J1559/(M1559*P1559)</f>
        <v>0.12746891002194588</v>
      </c>
      <c r="O1559" s="190">
        <f>(I1559*0.64)/(K1559+(M1559*P1559))</f>
        <v>6.2860534124629081E-2</v>
      </c>
      <c r="P1559" s="188">
        <v>232774635</v>
      </c>
      <c r="Q1559" s="188">
        <f>P1559*E1559</f>
        <v>3957168795</v>
      </c>
      <c r="R1559" s="195">
        <f>Q1559/L1559</f>
        <v>1.4473916587417703</v>
      </c>
      <c r="S1559" s="197">
        <f>(Q1559+K1559)/H1559</f>
        <v>6.8412103049828179</v>
      </c>
      <c r="T1559" s="180"/>
      <c r="U1559" s="189">
        <f>IFERROR(IF(Tableau3[[#This Row],[Dettes]]=0,"",(Tableau3[[#This Row],[Dettes]]/Tableau3[[#This Row],[EBE]])),"")</f>
        <v>3.4415807560137459</v>
      </c>
      <c r="V1559" s="190" t="str">
        <f>IFERROR(Tableau3[[#This Row],[Fonds propres]]/Tableau3[[#This Row],[Total Bilan]],"")</f>
        <v/>
      </c>
      <c r="W1559" s="180"/>
      <c r="X1559" s="191"/>
      <c r="Y1559" s="180"/>
      <c r="Z1559" s="192" t="str">
        <f>IFERROR(Tableau3[[#This Row],[Chiffre d''affaires]]/Tableau3[[#This Row],[Salariés]],"")</f>
        <v/>
      </c>
      <c r="AA1559" s="197"/>
      <c r="AB1559" s="197"/>
      <c r="AC1559" s="177" t="s">
        <v>1083</v>
      </c>
    </row>
    <row r="1560" spans="1:29" ht="20.25" customHeight="1">
      <c r="A1560" s="217"/>
      <c r="E1560" s="187"/>
      <c r="G1560" s="202">
        <f>(G1559/G1561)-1</f>
        <v>3.5907859078590842E-2</v>
      </c>
      <c r="H1560" s="203">
        <f>(H1559/H1561)-1</f>
        <v>2.8268551236749095E-2</v>
      </c>
      <c r="I1560" s="203">
        <f>(I1559/I1561)-1</f>
        <v>0</v>
      </c>
      <c r="J1560" s="203">
        <f>(J1559/J1561)-1</f>
        <v>0</v>
      </c>
      <c r="K1560" s="178"/>
      <c r="L1560" s="178"/>
      <c r="M1560" s="178"/>
      <c r="N1560" s="178"/>
      <c r="O1560" s="178"/>
      <c r="P1560" s="178"/>
      <c r="Q1560" s="178"/>
      <c r="R1560" s="195"/>
      <c r="S1560" s="178"/>
      <c r="T1560" s="180"/>
      <c r="U1560" s="189" t="str">
        <f>IFERROR(IF(Tableau3[[#This Row],[Dettes]]=0,"",(Tableau3[[#This Row],[Dettes]]/Tableau3[[#This Row],[EBE]])),"")</f>
        <v/>
      </c>
      <c r="V1560" s="190" t="str">
        <f>IFERROR(Tableau3[[#This Row],[Fonds propres]]/Tableau3[[#This Row],[Total Bilan]],"")</f>
        <v/>
      </c>
      <c r="W1560" s="180"/>
      <c r="Y1560" s="180"/>
      <c r="Z1560" s="192" t="str">
        <f>IFERROR(Tableau3[[#This Row],[Chiffre d''affaires]]/Tableau3[[#This Row],[Salariés]],"")</f>
        <v/>
      </c>
      <c r="AA1560" s="177"/>
      <c r="AC1560" s="177" t="s">
        <v>1084</v>
      </c>
    </row>
    <row r="1561" spans="1:29" ht="20.25" customHeight="1">
      <c r="A1561" s="217"/>
      <c r="E1561" s="187">
        <v>28</v>
      </c>
      <c r="F1561" s="207">
        <v>42185</v>
      </c>
      <c r="G1561" s="188">
        <v>1476000000</v>
      </c>
      <c r="H1561" s="188">
        <v>1132000000</v>
      </c>
      <c r="I1561" s="188">
        <v>662000000</v>
      </c>
      <c r="J1561" s="188">
        <v>348500000</v>
      </c>
      <c r="K1561" s="188">
        <v>3841000000</v>
      </c>
      <c r="L1561" s="188">
        <v>2533900000</v>
      </c>
      <c r="M1561" s="194">
        <f>L1561/P1561</f>
        <v>10.885636229222312</v>
      </c>
      <c r="N1561" s="190">
        <f>J1561/(M1561*P1561)</f>
        <v>0.13753502506018392</v>
      </c>
      <c r="O1561" s="190">
        <f>(I1561*0.64)/(K1561+(M1561*P1561))</f>
        <v>6.6460650363142956E-2</v>
      </c>
      <c r="P1561" s="188">
        <v>232774635</v>
      </c>
      <c r="Q1561" s="188">
        <f>P1561*E1561</f>
        <v>6517689780</v>
      </c>
      <c r="R1561" s="195">
        <f>Q1561/L1561</f>
        <v>2.5721969217411895</v>
      </c>
      <c r="S1561" s="197">
        <f>(Q1561+K1561)/H1561</f>
        <v>9.1507860247349821</v>
      </c>
      <c r="T1561" s="180"/>
      <c r="U1561" s="189">
        <f>IFERROR(IF(Tableau3[[#This Row],[Dettes]]=0,"",(Tableau3[[#This Row],[Dettes]]/Tableau3[[#This Row],[EBE]])),"")</f>
        <v>3.3931095406360425</v>
      </c>
      <c r="V1561" s="190" t="str">
        <f>IFERROR(Tableau3[[#This Row],[Fonds propres]]/Tableau3[[#This Row],[Total Bilan]],"")</f>
        <v/>
      </c>
      <c r="W1561" s="180"/>
      <c r="X1561" s="191"/>
      <c r="Y1561" s="180"/>
      <c r="Z1561" s="192" t="str">
        <f>IFERROR(Tableau3[[#This Row],[Chiffre d''affaires]]/Tableau3[[#This Row],[Salariés]],"")</f>
        <v/>
      </c>
      <c r="AA1561" s="197"/>
      <c r="AB1561" s="197"/>
      <c r="AC1561" s="177" t="s">
        <v>5023</v>
      </c>
    </row>
    <row r="1562" spans="1:29" ht="20.25" customHeight="1">
      <c r="A1562" s="217"/>
      <c r="E1562" s="187"/>
      <c r="G1562" s="202">
        <f>(G1561/G1563)-1</f>
        <v>9.4955489614243271E-2</v>
      </c>
      <c r="H1562" s="203">
        <f>(H1561/H1563)-1</f>
        <v>9.5837366892546072E-2</v>
      </c>
      <c r="I1562" s="203">
        <f>(I1561/I1563)-1</f>
        <v>6.2600321027287409E-2</v>
      </c>
      <c r="J1562" s="203">
        <f>(J1561/J1563)-1</f>
        <v>0.15016501650165015</v>
      </c>
      <c r="K1562" s="188"/>
      <c r="L1562" s="188"/>
      <c r="M1562" s="178"/>
      <c r="N1562" s="178"/>
      <c r="O1562" s="178"/>
      <c r="P1562" s="178"/>
      <c r="Q1562" s="178"/>
      <c r="R1562" s="195"/>
      <c r="S1562" s="178"/>
      <c r="T1562" s="180"/>
      <c r="U1562" s="189" t="str">
        <f>IFERROR(IF(Tableau3[[#This Row],[Dettes]]=0,"",(Tableau3[[#This Row],[Dettes]]/Tableau3[[#This Row],[EBE]])),"")</f>
        <v/>
      </c>
      <c r="V1562" s="190" t="str">
        <f>IFERROR(Tableau3[[#This Row],[Fonds propres]]/Tableau3[[#This Row],[Total Bilan]],"")</f>
        <v/>
      </c>
      <c r="W1562" s="180"/>
      <c r="Y1562" s="180"/>
      <c r="Z1562" s="192" t="str">
        <f>IFERROR(Tableau3[[#This Row],[Chiffre d''affaires]]/Tableau3[[#This Row],[Salariés]],"")</f>
        <v/>
      </c>
      <c r="AA1562" s="177"/>
      <c r="AC1562" s="177" t="s">
        <v>1085</v>
      </c>
    </row>
    <row r="1563" spans="1:29" ht="20.25" customHeight="1">
      <c r="A1563" s="217"/>
      <c r="E1563" s="187">
        <v>25.4</v>
      </c>
      <c r="F1563" s="207">
        <v>41820</v>
      </c>
      <c r="G1563" s="188">
        <v>1348000000</v>
      </c>
      <c r="H1563" s="188">
        <v>1033000000</v>
      </c>
      <c r="I1563" s="188">
        <v>623000000</v>
      </c>
      <c r="J1563" s="188">
        <v>303000000</v>
      </c>
      <c r="K1563" s="188">
        <v>3779000000</v>
      </c>
      <c r="L1563" s="188">
        <v>2030700000</v>
      </c>
      <c r="M1563" s="194">
        <f>L1563/P1563</f>
        <v>8.9469052391750044</v>
      </c>
      <c r="N1563" s="190">
        <f>J1563/(M1563*P1563)</f>
        <v>0.14920963214655045</v>
      </c>
      <c r="O1563" s="190">
        <f>(I1563*0.64)/(K1563+(M1563*P1563))</f>
        <v>6.8630049744393004E-2</v>
      </c>
      <c r="P1563" s="188">
        <v>226972338</v>
      </c>
      <c r="Q1563" s="188">
        <f>P1563*E1563</f>
        <v>5765097385.1999998</v>
      </c>
      <c r="R1563" s="195">
        <f>Q1563/L1563</f>
        <v>2.8389704954941646</v>
      </c>
      <c r="S1563" s="197">
        <f>(Q1563+K1563)/H1563</f>
        <v>9.2392036642788007</v>
      </c>
      <c r="T1563" s="180"/>
      <c r="U1563" s="189">
        <f>IFERROR(IF(Tableau3[[#This Row],[Dettes]]=0,"",(Tableau3[[#This Row],[Dettes]]/Tableau3[[#This Row],[EBE]])),"")</f>
        <v>3.6582768635043563</v>
      </c>
      <c r="V1563" s="190" t="str">
        <f>IFERROR(Tableau3[[#This Row],[Fonds propres]]/Tableau3[[#This Row],[Total Bilan]],"")</f>
        <v/>
      </c>
      <c r="W1563" s="180"/>
      <c r="X1563" s="191"/>
      <c r="Y1563" s="180"/>
      <c r="Z1563" s="192" t="str">
        <f>IFERROR(Tableau3[[#This Row],[Chiffre d''affaires]]/Tableau3[[#This Row],[Salariés]],"")</f>
        <v/>
      </c>
      <c r="AA1563" s="197"/>
      <c r="AB1563" s="197"/>
      <c r="AC1563" s="177" t="s">
        <v>1086</v>
      </c>
    </row>
    <row r="1564" spans="1:29" ht="20.25" customHeight="1">
      <c r="A1564" s="217"/>
      <c r="E1564" s="187"/>
      <c r="G1564" s="202">
        <f>(G1563/G1565)-1</f>
        <v>4.9762479557666772E-2</v>
      </c>
      <c r="H1564" s="203">
        <f>(H1563/H1565)-1</f>
        <v>3.787802672561047E-2</v>
      </c>
      <c r="I1564" s="203">
        <f>(I1563/I1565)-1</f>
        <v>-8.5840058694057197E-2</v>
      </c>
      <c r="J1564" s="203">
        <f>(J1563/J1565)-1</f>
        <v>-0.14623837700760778</v>
      </c>
      <c r="K1564" s="188"/>
      <c r="L1564" s="188"/>
      <c r="M1564" s="178"/>
      <c r="N1564" s="178"/>
      <c r="O1564" s="178"/>
      <c r="P1564" s="178"/>
      <c r="Q1564" s="178"/>
      <c r="R1564" s="195"/>
      <c r="S1564" s="178"/>
      <c r="T1564" s="180"/>
      <c r="U1564" s="189" t="str">
        <f>IFERROR(IF(Tableau3[[#This Row],[Dettes]]=0,"",(Tableau3[[#This Row],[Dettes]]/Tableau3[[#This Row],[EBE]])),"")</f>
        <v/>
      </c>
      <c r="V1564" s="190" t="str">
        <f>IFERROR(Tableau3[[#This Row],[Fonds propres]]/Tableau3[[#This Row],[Total Bilan]],"")</f>
        <v/>
      </c>
      <c r="W1564" s="180"/>
      <c r="Y1564" s="180"/>
      <c r="Z1564" s="192" t="str">
        <f>IFERROR(Tableau3[[#This Row],[Chiffre d''affaires]]/Tableau3[[#This Row],[Salariés]],"")</f>
        <v/>
      </c>
      <c r="AA1564" s="177"/>
      <c r="AC1564" s="177" t="s">
        <v>5026</v>
      </c>
    </row>
    <row r="1565" spans="1:29" ht="20.25" customHeight="1">
      <c r="A1565" s="217"/>
      <c r="E1565" s="187">
        <v>20.94</v>
      </c>
      <c r="F1565" s="207">
        <v>41455</v>
      </c>
      <c r="G1565" s="188">
        <v>1284100000</v>
      </c>
      <c r="H1565" s="188">
        <v>995300000</v>
      </c>
      <c r="I1565" s="188">
        <v>681500000</v>
      </c>
      <c r="J1565" s="188">
        <v>354900000</v>
      </c>
      <c r="K1565" s="188">
        <v>2647000000</v>
      </c>
      <c r="L1565" s="188">
        <v>1983200000</v>
      </c>
      <c r="M1565" s="194">
        <f>L1565/P1565</f>
        <v>9.0098774370453221</v>
      </c>
      <c r="N1565" s="190">
        <f>J1565/(M1565*P1565)</f>
        <v>0.17895320693828154</v>
      </c>
      <c r="O1565" s="190">
        <f>(I1565*0.64)/(K1565+(M1565*P1565))</f>
        <v>9.4198954688782338E-2</v>
      </c>
      <c r="P1565" s="188">
        <v>220113982</v>
      </c>
      <c r="Q1565" s="188">
        <f>P1565*E1565</f>
        <v>4609186783.0799999</v>
      </c>
      <c r="R1565" s="195">
        <f>Q1565/L1565</f>
        <v>2.3241159656514725</v>
      </c>
      <c r="S1565" s="197">
        <f>(Q1565+K1565)/H1565</f>
        <v>7.2904519070431029</v>
      </c>
      <c r="T1565" s="180"/>
      <c r="U1565" s="189">
        <f>IFERROR(IF(Tableau3[[#This Row],[Dettes]]=0,"",(Tableau3[[#This Row],[Dettes]]/Tableau3[[#This Row],[EBE]])),"")</f>
        <v>2.6594996483472322</v>
      </c>
      <c r="V1565" s="190" t="str">
        <f>IFERROR(Tableau3[[#This Row],[Fonds propres]]/Tableau3[[#This Row],[Total Bilan]],"")</f>
        <v/>
      </c>
      <c r="W1565" s="180"/>
      <c r="Y1565" s="180"/>
      <c r="Z1565" s="192" t="str">
        <f>IFERROR(Tableau3[[#This Row],[Chiffre d''affaires]]/Tableau3[[#This Row],[Salariés]],"")</f>
        <v/>
      </c>
      <c r="AA1565" s="177"/>
    </row>
    <row r="1566" spans="1:29" ht="20.25" customHeight="1">
      <c r="A1566" s="217"/>
      <c r="E1566" s="187"/>
      <c r="G1566" s="202">
        <f>(G1565/G1567)-1</f>
        <v>5.0646375388643472E-2</v>
      </c>
      <c r="H1566" s="203">
        <f>(H1565/H1567)-1</f>
        <v>3.9803593815294525E-2</v>
      </c>
      <c r="I1566" s="203">
        <f>(I1565/I1567)-1</f>
        <v>6.268517074692026E-2</v>
      </c>
      <c r="J1566" s="203">
        <f>(J1565/J1567)-1</f>
        <v>4.0457343887422947E-2</v>
      </c>
      <c r="K1566" s="188"/>
      <c r="L1566" s="188"/>
      <c r="M1566" s="178"/>
      <c r="N1566" s="178"/>
      <c r="O1566" s="178"/>
      <c r="P1566" s="178"/>
      <c r="Q1566" s="178"/>
      <c r="R1566" s="195"/>
      <c r="S1566" s="178"/>
      <c r="T1566" s="180"/>
      <c r="U1566" s="189" t="str">
        <f>IFERROR(IF(Tableau3[[#This Row],[Dettes]]=0,"",(Tableau3[[#This Row],[Dettes]]/Tableau3[[#This Row],[EBE]])),"")</f>
        <v/>
      </c>
      <c r="V1566" s="190" t="str">
        <f>IFERROR(Tableau3[[#This Row],[Fonds propres]]/Tableau3[[#This Row],[Total Bilan]],"")</f>
        <v/>
      </c>
      <c r="W1566" s="180"/>
      <c r="Y1566" s="180"/>
      <c r="Z1566" s="192" t="str">
        <f>IFERROR(Tableau3[[#This Row],[Chiffre d''affaires]]/Tableau3[[#This Row],[Salariés]],"")</f>
        <v/>
      </c>
      <c r="AA1566" s="177"/>
    </row>
    <row r="1567" spans="1:29" ht="20.25" customHeight="1">
      <c r="A1567" s="217"/>
      <c r="E1567" s="187">
        <v>25.3</v>
      </c>
      <c r="F1567" s="207">
        <v>41090</v>
      </c>
      <c r="G1567" s="188">
        <v>1222200000</v>
      </c>
      <c r="H1567" s="188">
        <v>957200000</v>
      </c>
      <c r="I1567" s="188">
        <v>641300000</v>
      </c>
      <c r="J1567" s="188">
        <v>341100000</v>
      </c>
      <c r="K1567" s="188">
        <v>2374000000</v>
      </c>
      <c r="L1567" s="188">
        <v>1847900000</v>
      </c>
      <c r="M1567" s="194">
        <f>L1567/P1567</f>
        <v>8.3951959035478261</v>
      </c>
      <c r="N1567" s="190">
        <f>J1567/(M1567*P1567)</f>
        <v>0.18458791060122301</v>
      </c>
      <c r="O1567" s="190">
        <f>(I1567*0.64)/(K1567+(M1567*P1567))</f>
        <v>9.7214997986688464E-2</v>
      </c>
      <c r="P1567" s="188">
        <v>220113982</v>
      </c>
      <c r="Q1567" s="188">
        <f>P1567*E1567</f>
        <v>5568883744.6000004</v>
      </c>
      <c r="R1567" s="195">
        <f>Q1567/L1567</f>
        <v>3.0136283048866281</v>
      </c>
      <c r="S1567" s="197">
        <f>(Q1567+K1567)/H1567</f>
        <v>8.298039850188049</v>
      </c>
      <c r="T1567" s="180"/>
      <c r="U1567" s="189">
        <f>IFERROR(IF(Tableau3[[#This Row],[Dettes]]=0,"",(Tableau3[[#This Row],[Dettes]]/Tableau3[[#This Row],[EBE]])),"")</f>
        <v>2.4801504387797744</v>
      </c>
      <c r="V1567" s="190" t="str">
        <f>IFERROR(Tableau3[[#This Row],[Fonds propres]]/Tableau3[[#This Row],[Total Bilan]],"")</f>
        <v/>
      </c>
      <c r="W1567" s="180"/>
      <c r="X1567" s="191"/>
      <c r="Y1567" s="180"/>
      <c r="Z1567" s="192" t="str">
        <f>IFERROR(Tableau3[[#This Row],[Chiffre d''affaires]]/Tableau3[[#This Row],[Salariés]],"")</f>
        <v/>
      </c>
      <c r="AA1567" s="197"/>
      <c r="AB1567" s="197"/>
    </row>
    <row r="1568" spans="1:29" ht="20.25" customHeight="1">
      <c r="A1568" s="217"/>
      <c r="E1568" s="187"/>
      <c r="F1568" s="207"/>
      <c r="G1568" s="188"/>
      <c r="H1568" s="203"/>
      <c r="I1568" s="203"/>
      <c r="J1568" s="203"/>
      <c r="K1568" s="188"/>
      <c r="L1568" s="188"/>
      <c r="M1568" s="194"/>
      <c r="N1568" s="190"/>
      <c r="O1568" s="190"/>
      <c r="P1568" s="188"/>
      <c r="Q1568" s="188"/>
      <c r="R1568" s="195"/>
      <c r="S1568" s="197"/>
      <c r="T1568" s="180"/>
      <c r="U1568" s="189" t="str">
        <f>IFERROR(IF(Tableau3[[#This Row],[Dettes]]=0,"",(Tableau3[[#This Row],[Dettes]]/Tableau3[[#This Row],[EBE]])),"")</f>
        <v/>
      </c>
      <c r="V1568" s="190" t="str">
        <f>IFERROR(Tableau3[[#This Row],[Fonds propres]]/Tableau3[[#This Row],[Total Bilan]],"")</f>
        <v/>
      </c>
      <c r="W1568" s="180"/>
      <c r="X1568" s="191"/>
      <c r="Y1568" s="180"/>
      <c r="Z1568" s="192" t="str">
        <f>IFERROR(Tableau3[[#This Row],[Chiffre d''affaires]]/Tableau3[[#This Row],[Salariés]],"")</f>
        <v/>
      </c>
      <c r="AA1568" s="197"/>
      <c r="AB1568" s="197"/>
    </row>
    <row r="1569" spans="1:29" ht="20.25" customHeight="1">
      <c r="A1569" s="217"/>
      <c r="E1569" s="187">
        <v>16.149999999999999</v>
      </c>
      <c r="F1569" s="207">
        <v>39263</v>
      </c>
      <c r="G1569" s="188">
        <v>829100000</v>
      </c>
      <c r="H1569" s="188">
        <v>652600000</v>
      </c>
      <c r="I1569" s="188">
        <v>362500000</v>
      </c>
      <c r="J1569" s="188">
        <v>170000000</v>
      </c>
      <c r="K1569" s="188">
        <v>2295000000</v>
      </c>
      <c r="L1569" s="188">
        <v>1311513000</v>
      </c>
      <c r="M1569" s="194">
        <f>L1569/P1569</f>
        <v>5.5392137815455413</v>
      </c>
      <c r="N1569" s="190">
        <f>J1569/(M1569*P1569)</f>
        <v>0.12962128472992643</v>
      </c>
      <c r="O1569" s="190">
        <f>(I1569*0.64)/(K1569+(M1569*P1569))</f>
        <v>6.4328064254863357E-2</v>
      </c>
      <c r="P1569" s="188">
        <v>236768800</v>
      </c>
      <c r="Q1569" s="188">
        <f>P1569*E1569</f>
        <v>3823816119.9999995</v>
      </c>
      <c r="R1569" s="195">
        <f>Q1569/L1569</f>
        <v>2.9155762237964851</v>
      </c>
      <c r="S1569" s="197">
        <f>(Q1569+K1569)/H1569</f>
        <v>9.3760590254367155</v>
      </c>
      <c r="T1569" s="180"/>
      <c r="U1569" s="189">
        <f>IFERROR(IF(Tableau3[[#This Row],[Dettes]]=0,"",(Tableau3[[#This Row],[Dettes]]/Tableau3[[#This Row],[EBE]])),"")</f>
        <v>3.5167024210848914</v>
      </c>
      <c r="V1569" s="190" t="str">
        <f>IFERROR(Tableau3[[#This Row],[Fonds propres]]/Tableau3[[#This Row],[Total Bilan]],"")</f>
        <v/>
      </c>
      <c r="W1569" s="180"/>
      <c r="X1569" s="191"/>
      <c r="Y1569" s="180"/>
      <c r="Z1569" s="192" t="str">
        <f>IFERROR(Tableau3[[#This Row],[Chiffre d''affaires]]/Tableau3[[#This Row],[Salariés]],"")</f>
        <v/>
      </c>
      <c r="AA1569" s="197"/>
      <c r="AB1569" s="197"/>
    </row>
    <row r="1570" spans="1:29" ht="20.25" customHeight="1">
      <c r="A1570" s="217"/>
      <c r="E1570" s="187"/>
      <c r="F1570" s="207"/>
      <c r="G1570" s="188"/>
      <c r="H1570" s="188"/>
      <c r="I1570" s="188"/>
      <c r="J1570" s="188"/>
      <c r="K1570" s="188"/>
      <c r="L1570" s="188"/>
      <c r="M1570" s="194"/>
      <c r="N1570" s="190"/>
      <c r="O1570" s="190"/>
      <c r="P1570" s="188"/>
      <c r="Q1570" s="188"/>
      <c r="R1570" s="195"/>
      <c r="S1570" s="197"/>
      <c r="T1570" s="180"/>
      <c r="U1570" s="189" t="str">
        <f>IFERROR(IF(Tableau3[[#This Row],[Dettes]]=0,"",(Tableau3[[#This Row],[Dettes]]/Tableau3[[#This Row],[EBE]])),"")</f>
        <v/>
      </c>
      <c r="V1570" s="190" t="str">
        <f>IFERROR(Tableau3[[#This Row],[Fonds propres]]/Tableau3[[#This Row],[Total Bilan]],"")</f>
        <v/>
      </c>
      <c r="W1570" s="180"/>
      <c r="X1570" s="191"/>
      <c r="Y1570" s="180"/>
      <c r="Z1570" s="192" t="str">
        <f>IFERROR(Tableau3[[#This Row],[Chiffre d''affaires]]/Tableau3[[#This Row],[Salariés]],"")</f>
        <v/>
      </c>
      <c r="AA1570" s="197"/>
      <c r="AB1570" s="197"/>
    </row>
    <row r="1571" spans="1:29" ht="20.25" customHeight="1">
      <c r="A1571" s="217"/>
      <c r="E1571" s="187"/>
      <c r="G1571" s="188"/>
      <c r="H1571" s="178"/>
      <c r="I1571" s="178"/>
      <c r="J1571" s="178"/>
      <c r="K1571" s="178"/>
      <c r="L1571" s="178"/>
      <c r="M1571" s="178"/>
      <c r="N1571" s="178"/>
      <c r="O1571" s="178"/>
      <c r="P1571" s="188"/>
      <c r="Q1571" s="178"/>
      <c r="R1571" s="195"/>
      <c r="S1571" s="178"/>
      <c r="T1571" s="180"/>
      <c r="U1571" s="189" t="str">
        <f>IFERROR(IF(Tableau3[[#This Row],[Dettes]]=0,"",(Tableau3[[#This Row],[Dettes]]/Tableau3[[#This Row],[EBE]])),"")</f>
        <v/>
      </c>
      <c r="V1571" s="190" t="str">
        <f>IFERROR(Tableau3[[#This Row],[Fonds propres]]/Tableau3[[#This Row],[Total Bilan]],"")</f>
        <v/>
      </c>
      <c r="W1571" s="180"/>
      <c r="Y1571" s="180"/>
      <c r="Z1571" s="192" t="str">
        <f>IFERROR(Tableau3[[#This Row],[Chiffre d''affaires]]/Tableau3[[#This Row],[Salariés]],"")</f>
        <v/>
      </c>
      <c r="AA1571" s="177"/>
    </row>
    <row r="1572" spans="1:29" ht="20.25" customHeight="1">
      <c r="A1572" s="217"/>
      <c r="E1572" s="187"/>
      <c r="G1572" s="188"/>
      <c r="H1572" s="178"/>
      <c r="I1572" s="178"/>
      <c r="J1572" s="178"/>
      <c r="K1572" s="178"/>
      <c r="L1572" s="178"/>
      <c r="M1572" s="178"/>
      <c r="N1572" s="178"/>
      <c r="O1572" s="178"/>
      <c r="P1572" s="178"/>
      <c r="Q1572" s="178"/>
      <c r="R1572" s="195"/>
      <c r="S1572" s="178"/>
      <c r="T1572" s="180"/>
      <c r="U1572" s="189" t="str">
        <f>IFERROR(IF(Tableau3[[#This Row],[Dettes]]=0,"",(Tableau3[[#This Row],[Dettes]]/Tableau3[[#This Row],[EBE]])),"")</f>
        <v/>
      </c>
      <c r="V1572" s="190" t="str">
        <f>IFERROR(Tableau3[[#This Row],[Fonds propres]]/Tableau3[[#This Row],[Total Bilan]],"")</f>
        <v/>
      </c>
      <c r="W1572" s="180"/>
      <c r="Y1572" s="180"/>
      <c r="Z1572" s="192" t="str">
        <f>IFERROR(Tableau3[[#This Row],[Chiffre d''affaires]]/Tableau3[[#This Row],[Salariés]],"")</f>
        <v/>
      </c>
      <c r="AA1572" s="177"/>
    </row>
    <row r="1573" spans="1:29" ht="20.25" customHeight="1">
      <c r="A1573" s="217" t="s">
        <v>1087</v>
      </c>
      <c r="B1573" s="216" t="s">
        <v>1073</v>
      </c>
      <c r="C1573" s="178" t="s">
        <v>290</v>
      </c>
      <c r="D1573" s="178" t="s">
        <v>85</v>
      </c>
      <c r="E1573" s="187">
        <v>6.97</v>
      </c>
      <c r="G1573" s="188"/>
      <c r="H1573" s="178"/>
      <c r="I1573" s="178"/>
      <c r="J1573" s="178"/>
      <c r="K1573" s="178"/>
      <c r="L1573" s="178"/>
      <c r="M1573" s="178"/>
      <c r="N1573" s="178"/>
      <c r="O1573" s="178"/>
      <c r="P1573" s="178"/>
      <c r="Q1573" s="178"/>
      <c r="R1573" s="195"/>
      <c r="S1573" s="178"/>
      <c r="T1573" s="180"/>
      <c r="U1573" s="189" t="str">
        <f>IFERROR(IF(Tableau3[[#This Row],[Dettes]]=0,"",(Tableau3[[#This Row],[Dettes]]/Tableau3[[#This Row],[EBE]])),"")</f>
        <v/>
      </c>
      <c r="V1573" s="190" t="str">
        <f>IFERROR(Tableau3[[#This Row],[Fonds propres]]/Tableau3[[#This Row],[Total Bilan]],"")</f>
        <v/>
      </c>
      <c r="W1573" s="180"/>
      <c r="Y1573" s="180"/>
      <c r="Z1573" s="192" t="str">
        <f>IFERROR(Tableau3[[#This Row],[Chiffre d''affaires]]/Tableau3[[#This Row],[Salariés]],"")</f>
        <v/>
      </c>
      <c r="AA1573" s="177"/>
    </row>
    <row r="1574" spans="1:29" ht="20.25" customHeight="1">
      <c r="A1574" s="217"/>
      <c r="E1574" s="187"/>
      <c r="G1574" s="188"/>
      <c r="H1574" s="178"/>
      <c r="I1574" s="178"/>
      <c r="J1574" s="178"/>
      <c r="K1574" s="178"/>
      <c r="L1574" s="178"/>
      <c r="M1574" s="178"/>
      <c r="N1574" s="178"/>
      <c r="O1574" s="178"/>
      <c r="P1574" s="178"/>
      <c r="Q1574" s="178"/>
      <c r="R1574" s="195"/>
      <c r="S1574" s="178"/>
      <c r="T1574" s="180"/>
      <c r="U1574" s="189" t="str">
        <f>IFERROR(IF(Tableau3[[#This Row],[Dettes]]=0,"",(Tableau3[[#This Row],[Dettes]]/Tableau3[[#This Row],[EBE]])),"")</f>
        <v/>
      </c>
      <c r="V1574" s="190" t="str">
        <f>IFERROR(Tableau3[[#This Row],[Fonds propres]]/Tableau3[[#This Row],[Total Bilan]],"")</f>
        <v/>
      </c>
      <c r="W1574" s="180"/>
      <c r="Y1574" s="180"/>
      <c r="Z1574" s="192" t="str">
        <f>IFERROR(Tableau3[[#This Row],[Chiffre d''affaires]]/Tableau3[[#This Row],[Salariés]],"")</f>
        <v/>
      </c>
      <c r="AA1574" s="177"/>
    </row>
    <row r="1575" spans="1:29" ht="20.25" customHeight="1">
      <c r="A1575" s="217"/>
      <c r="E1575" s="187"/>
      <c r="G1575" s="188"/>
      <c r="H1575" s="178"/>
      <c r="I1575" s="178"/>
      <c r="J1575" s="178"/>
      <c r="K1575" s="178"/>
      <c r="L1575" s="178"/>
      <c r="M1575" s="178"/>
      <c r="N1575" s="178"/>
      <c r="O1575" s="178"/>
      <c r="P1575" s="178"/>
      <c r="Q1575" s="178"/>
      <c r="R1575" s="195"/>
      <c r="S1575" s="178"/>
      <c r="T1575" s="180"/>
      <c r="U1575" s="189" t="str">
        <f>IFERROR(IF(Tableau3[[#This Row],[Dettes]]=0,"",(Tableau3[[#This Row],[Dettes]]/Tableau3[[#This Row],[EBE]])),"")</f>
        <v/>
      </c>
      <c r="V1575" s="190" t="str">
        <f>IFERROR(Tableau3[[#This Row],[Fonds propres]]/Tableau3[[#This Row],[Total Bilan]],"")</f>
        <v/>
      </c>
      <c r="W1575" s="180"/>
      <c r="Y1575" s="180"/>
      <c r="Z1575" s="192" t="str">
        <f>IFERROR(Tableau3[[#This Row],[Chiffre d''affaires]]/Tableau3[[#This Row],[Salariés]],"")</f>
        <v/>
      </c>
      <c r="AA1575" s="177"/>
    </row>
    <row r="1576" spans="1:29" ht="20.25" customHeight="1">
      <c r="A1576" s="217"/>
      <c r="E1576" s="187"/>
      <c r="G1576" s="188"/>
      <c r="H1576" s="178"/>
      <c r="I1576" s="178"/>
      <c r="J1576" s="178"/>
      <c r="K1576" s="178"/>
      <c r="L1576" s="178"/>
      <c r="M1576" s="178"/>
      <c r="N1576" s="178"/>
      <c r="O1576" s="178"/>
      <c r="P1576" s="178"/>
      <c r="Q1576" s="178"/>
      <c r="R1576" s="195"/>
      <c r="S1576" s="178"/>
      <c r="T1576" s="180"/>
      <c r="U1576" s="189" t="str">
        <f>IFERROR(IF(Tableau3[[#This Row],[Dettes]]=0,"",(Tableau3[[#This Row],[Dettes]]/Tableau3[[#This Row],[EBE]])),"")</f>
        <v/>
      </c>
      <c r="V1576" s="190" t="str">
        <f>IFERROR(Tableau3[[#This Row],[Fonds propres]]/Tableau3[[#This Row],[Total Bilan]],"")</f>
        <v/>
      </c>
      <c r="W1576" s="180"/>
      <c r="Y1576" s="180"/>
      <c r="Z1576" s="192" t="str">
        <f>IFERROR(Tableau3[[#This Row],[Chiffre d''affaires]]/Tableau3[[#This Row],[Salariés]],"")</f>
        <v/>
      </c>
      <c r="AA1576" s="177"/>
    </row>
    <row r="1577" spans="1:29" ht="20.25" customHeight="1">
      <c r="A1577" s="217" t="s">
        <v>1089</v>
      </c>
      <c r="B1577" s="216" t="s">
        <v>1090</v>
      </c>
      <c r="C1577" s="178" t="s">
        <v>84</v>
      </c>
      <c r="D1577" s="178" t="s">
        <v>383</v>
      </c>
      <c r="E1577" s="187">
        <v>44.63</v>
      </c>
      <c r="F1577" s="178">
        <v>2021</v>
      </c>
      <c r="G1577" s="188"/>
      <c r="H1577" s="178"/>
      <c r="I1577" s="178"/>
      <c r="J1577" s="178"/>
      <c r="K1577" s="178"/>
      <c r="L1577" s="178"/>
      <c r="M1577" s="178"/>
      <c r="N1577" s="178"/>
      <c r="O1577" s="178"/>
      <c r="P1577" s="188">
        <v>2430365862</v>
      </c>
      <c r="Q1577" s="188">
        <f>P1577*E1577</f>
        <v>108467228421.06001</v>
      </c>
      <c r="R1577" s="195"/>
      <c r="S1577" s="178"/>
      <c r="T1577" s="180"/>
      <c r="U1577" s="189" t="str">
        <f>IFERROR(IF(Tableau3[[#This Row],[Dettes]]=0,"",(Tableau3[[#This Row],[Dettes]]/Tableau3[[#This Row],[EBE]])),"")</f>
        <v/>
      </c>
      <c r="V1577" s="190" t="str">
        <f>IFERROR(Tableau3[[#This Row],[Fonds propres]]/Tableau3[[#This Row],[Total Bilan]],"")</f>
        <v/>
      </c>
      <c r="W1577" s="180"/>
      <c r="X1577" s="191" t="s">
        <v>1091</v>
      </c>
      <c r="Y1577" s="180"/>
      <c r="Z1577" s="192" t="str">
        <f>IFERROR(Tableau3[[#This Row],[Chiffre d''affaires]]/Tableau3[[#This Row],[Salariés]],"")</f>
        <v/>
      </c>
      <c r="AA1577" s="197"/>
      <c r="AB1577" s="197"/>
      <c r="AC1577" s="177" t="s">
        <v>1092</v>
      </c>
    </row>
    <row r="1578" spans="1:29" ht="20.25" customHeight="1">
      <c r="A1578" s="217"/>
      <c r="E1578" s="187"/>
      <c r="G1578" s="188"/>
      <c r="H1578" s="178"/>
      <c r="I1578" s="178"/>
      <c r="J1578" s="178"/>
      <c r="K1578" s="178"/>
      <c r="L1578" s="178"/>
      <c r="M1578" s="178"/>
      <c r="N1578" s="178"/>
      <c r="O1578" s="178"/>
      <c r="P1578" s="178"/>
      <c r="Q1578" s="178"/>
      <c r="R1578" s="195"/>
      <c r="S1578" s="178"/>
      <c r="T1578" s="180"/>
      <c r="U1578" s="189" t="str">
        <f>IFERROR(IF(Tableau3[[#This Row],[Dettes]]=0,"",(Tableau3[[#This Row],[Dettes]]/Tableau3[[#This Row],[EBE]])),"")</f>
        <v/>
      </c>
      <c r="V1578" s="190" t="str">
        <f>IFERROR(Tableau3[[#This Row],[Fonds propres]]/Tableau3[[#This Row],[Total Bilan]],"")</f>
        <v/>
      </c>
      <c r="W1578" s="180"/>
      <c r="Y1578" s="180"/>
      <c r="Z1578" s="192" t="str">
        <f>IFERROR(Tableau3[[#This Row],[Chiffre d''affaires]]/Tableau3[[#This Row],[Salariés]],"")</f>
        <v/>
      </c>
      <c r="AA1578" s="177"/>
      <c r="AC1578" s="177" t="s">
        <v>1094</v>
      </c>
    </row>
    <row r="1579" spans="1:29" ht="20.25" customHeight="1">
      <c r="A1579" s="217"/>
      <c r="E1579" s="187">
        <v>35.299999999999997</v>
      </c>
      <c r="F1579" s="178">
        <v>2017</v>
      </c>
      <c r="G1579" s="188">
        <v>160000000000</v>
      </c>
      <c r="H1579" s="211">
        <v>25000000000</v>
      </c>
      <c r="I1579" s="188">
        <v>11000000000</v>
      </c>
      <c r="J1579" s="188">
        <v>10000000000</v>
      </c>
      <c r="K1579" s="188">
        <v>21961000000</v>
      </c>
      <c r="L1579" s="188">
        <v>107188000000</v>
      </c>
      <c r="M1579" s="194">
        <f>L1579/P1579</f>
        <v>44.103647798851448</v>
      </c>
      <c r="N1579" s="190">
        <f>J1579/L1579</f>
        <v>9.3294025450610149E-2</v>
      </c>
      <c r="O1579" s="190">
        <f>(I1579*0.64)/(K1579+(M1579*P1579))</f>
        <v>5.4510681460948208E-2</v>
      </c>
      <c r="P1579" s="188">
        <v>2430365862</v>
      </c>
      <c r="Q1579" s="188">
        <f>P1579*E1579</f>
        <v>85791914928.599991</v>
      </c>
      <c r="R1579" s="195">
        <f>Q1579/L1579</f>
        <v>0.80038730948053882</v>
      </c>
      <c r="S1579" s="197">
        <f>(Q1579+K1579)/H1579</f>
        <v>4.3101165971439999</v>
      </c>
      <c r="T1579" s="180"/>
      <c r="U1579" s="189">
        <f>IFERROR(IF(Tableau3[[#This Row],[Dettes]]=0,"",(Tableau3[[#This Row],[Dettes]]/Tableau3[[#This Row],[EBE]])),"")</f>
        <v>0.87844</v>
      </c>
      <c r="V1579" s="190" t="str">
        <f>IFERROR(Tableau3[[#This Row],[Fonds propres]]/Tableau3[[#This Row],[Total Bilan]],"")</f>
        <v/>
      </c>
      <c r="W1579" s="180"/>
      <c r="Y1579" s="180"/>
      <c r="Z1579" s="192" t="str">
        <f>IFERROR(Tableau3[[#This Row],[Chiffre d''affaires]]/Tableau3[[#This Row],[Salariés]],"")</f>
        <v/>
      </c>
      <c r="AA1579" s="177"/>
      <c r="AC1579" s="177" t="s">
        <v>1095</v>
      </c>
    </row>
    <row r="1580" spans="1:29" ht="20.25" customHeight="1">
      <c r="A1580" s="217"/>
      <c r="E1580" s="187"/>
      <c r="G1580" s="202">
        <f>(G1579/G1581)-1</f>
        <v>6.8461682292918713E-2</v>
      </c>
      <c r="H1580" s="203">
        <f>(H1579/H1581)-1</f>
        <v>8.9656975983960274E-2</v>
      </c>
      <c r="I1580" s="203">
        <f>(I1579/I1581)-1</f>
        <v>0.16772823779193202</v>
      </c>
      <c r="J1580" s="203">
        <f>(J1579/J1581)-1</f>
        <v>0.61394448030987725</v>
      </c>
      <c r="K1580" s="178"/>
      <c r="L1580" s="178"/>
      <c r="M1580" s="178"/>
      <c r="N1580" s="178"/>
      <c r="O1580" s="178"/>
      <c r="P1580" s="178"/>
      <c r="Q1580" s="178"/>
      <c r="R1580" s="195"/>
      <c r="S1580" s="178"/>
      <c r="T1580" s="180"/>
      <c r="U1580" s="189" t="str">
        <f>IFERROR(IF(Tableau3[[#This Row],[Dettes]]=0,"",(Tableau3[[#This Row],[Dettes]]/Tableau3[[#This Row],[EBE]])),"")</f>
        <v/>
      </c>
      <c r="V1580" s="190" t="str">
        <f>IFERROR(Tableau3[[#This Row],[Fonds propres]]/Tableau3[[#This Row],[Total Bilan]],"")</f>
        <v/>
      </c>
      <c r="W1580" s="180"/>
      <c r="Y1580" s="180"/>
      <c r="Z1580" s="192" t="str">
        <f>IFERROR(Tableau3[[#This Row],[Chiffre d''affaires]]/Tableau3[[#This Row],[Salariés]],"")</f>
        <v/>
      </c>
      <c r="AA1580" s="177"/>
      <c r="AC1580" s="177" t="s">
        <v>1096</v>
      </c>
    </row>
    <row r="1581" spans="1:29" ht="20.25" customHeight="1">
      <c r="A1581" s="217"/>
      <c r="E1581" s="187">
        <f>47/1.06</f>
        <v>44.339622641509429</v>
      </c>
      <c r="F1581" s="178">
        <v>2016</v>
      </c>
      <c r="G1581" s="188">
        <v>149748000000</v>
      </c>
      <c r="H1581" s="211">
        <f>I1581+13523000000</f>
        <v>22943000000</v>
      </c>
      <c r="I1581" s="188">
        <v>9420000000</v>
      </c>
      <c r="J1581" s="188">
        <v>6196000000</v>
      </c>
      <c r="K1581" s="188">
        <v>27121000000</v>
      </c>
      <c r="L1581" s="188">
        <v>98680000000</v>
      </c>
      <c r="M1581" s="194">
        <f>L1581/P1581</f>
        <v>40.602940299200107</v>
      </c>
      <c r="N1581" s="190">
        <f>J1581/L1581</f>
        <v>6.2788812322659093E-2</v>
      </c>
      <c r="O1581" s="190">
        <f>(I1581*0.64)/(K1581+(M1581*P1581))</f>
        <v>4.7923307445886756E-2</v>
      </c>
      <c r="P1581" s="188">
        <v>2430365862</v>
      </c>
      <c r="Q1581" s="188">
        <f>P1581*E1581</f>
        <v>107761505201.88678</v>
      </c>
      <c r="R1581" s="195">
        <f>Q1581/L1581</f>
        <v>1.0920298459858815</v>
      </c>
      <c r="S1581" s="197">
        <f>(Q1581+K1581)/H1581</f>
        <v>5.8790265092571499</v>
      </c>
      <c r="T1581" s="180"/>
      <c r="U1581" s="189">
        <f>IFERROR(IF(Tableau3[[#This Row],[Dettes]]=0,"",(Tableau3[[#This Row],[Dettes]]/Tableau3[[#This Row],[EBE]])),"")</f>
        <v>1.1821034738264395</v>
      </c>
      <c r="V1581" s="190" t="str">
        <f>IFERROR(Tableau3[[#This Row],[Fonds propres]]/Tableau3[[#This Row],[Total Bilan]],"")</f>
        <v/>
      </c>
      <c r="W1581" s="180"/>
      <c r="X1581" s="191"/>
      <c r="Y1581" s="180"/>
      <c r="Z1581" s="192" t="str">
        <f>IFERROR(Tableau3[[#This Row],[Chiffre d''affaires]]/Tableau3[[#This Row],[Salariés]],"")</f>
        <v/>
      </c>
      <c r="AA1581" s="197"/>
      <c r="AB1581" s="197"/>
      <c r="AC1581" s="177" t="s">
        <v>1097</v>
      </c>
    </row>
    <row r="1582" spans="1:29" ht="20.25" customHeight="1">
      <c r="A1582" s="217"/>
      <c r="E1582" s="187"/>
      <c r="G1582" s="202">
        <f>(G1581/G1583)-1</f>
        <v>-8.3308336955257523E-2</v>
      </c>
      <c r="H1582" s="203">
        <f>(H1581/H1583)-1</f>
        <v>-0.21109277216147448</v>
      </c>
      <c r="I1582" s="203">
        <f>(I1581/I1583)-1</f>
        <v>-0.17092061256820978</v>
      </c>
      <c r="J1582" s="203">
        <f>(J1581/J1583)-1</f>
        <v>0.21800668370355814</v>
      </c>
      <c r="K1582" s="188"/>
      <c r="L1582" s="188"/>
      <c r="M1582" s="194"/>
      <c r="N1582" s="190"/>
      <c r="O1582" s="190"/>
      <c r="P1582" s="188"/>
      <c r="Q1582" s="188"/>
      <c r="R1582" s="195"/>
      <c r="S1582" s="178"/>
      <c r="T1582" s="180"/>
      <c r="U1582" s="189" t="str">
        <f>IFERROR(IF(Tableau3[[#This Row],[Dettes]]=0,"",(Tableau3[[#This Row],[Dettes]]/Tableau3[[#This Row],[EBE]])),"")</f>
        <v/>
      </c>
      <c r="V1582" s="190" t="str">
        <f>IFERROR(Tableau3[[#This Row],[Fonds propres]]/Tableau3[[#This Row],[Total Bilan]],"")</f>
        <v/>
      </c>
      <c r="W1582" s="180"/>
      <c r="Y1582" s="180"/>
      <c r="Z1582" s="192" t="str">
        <f>IFERROR(Tableau3[[#This Row],[Chiffre d''affaires]]/Tableau3[[#This Row],[Salariés]],"")</f>
        <v/>
      </c>
      <c r="AA1582" s="177"/>
      <c r="AC1582" s="177" t="s">
        <v>1098</v>
      </c>
    </row>
    <row r="1583" spans="1:29" ht="20.25" customHeight="1">
      <c r="A1583" s="217"/>
      <c r="E1583" s="187">
        <f>40/1.06</f>
        <v>37.735849056603769</v>
      </c>
      <c r="F1583" s="178">
        <v>2015</v>
      </c>
      <c r="G1583" s="188">
        <v>163357000000</v>
      </c>
      <c r="H1583" s="211">
        <f>I1583+17720000000</f>
        <v>29082000000</v>
      </c>
      <c r="I1583" s="188">
        <v>11362000000</v>
      </c>
      <c r="J1583" s="188">
        <v>5087000000</v>
      </c>
      <c r="K1583" s="188">
        <v>26386000000</v>
      </c>
      <c r="L1583" s="188">
        <v>92494000000</v>
      </c>
      <c r="M1583" s="194">
        <f>L1583/P1583</f>
        <v>37.906477811206905</v>
      </c>
      <c r="N1583" s="190">
        <f>J1583/L1583</f>
        <v>5.4998162042943326E-2</v>
      </c>
      <c r="O1583" s="190">
        <f>(I1583*0.64)/(K1583+(M1583*P1583))</f>
        <v>6.1168236877523555E-2</v>
      </c>
      <c r="P1583" s="188">
        <v>2440057883</v>
      </c>
      <c r="Q1583" s="188">
        <f>P1583*E1583</f>
        <v>92077655962.264145</v>
      </c>
      <c r="R1583" s="195">
        <f>Q1583/L1583</f>
        <v>0.99549869139905445</v>
      </c>
      <c r="S1583" s="197">
        <f>(Q1583+K1583)/H1583</f>
        <v>4.0734356633747382</v>
      </c>
      <c r="T1583" s="180"/>
      <c r="U1583" s="189">
        <f>IFERROR(IF(Tableau3[[#This Row],[Dettes]]=0,"",(Tableau3[[#This Row],[Dettes]]/Tableau3[[#This Row],[EBE]])),"")</f>
        <v>0.9072966095866859</v>
      </c>
      <c r="V1583" s="190" t="str">
        <f>IFERROR(Tableau3[[#This Row],[Fonds propres]]/Tableau3[[#This Row],[Total Bilan]],"")</f>
        <v/>
      </c>
      <c r="W1583" s="180"/>
      <c r="X1583" s="191"/>
      <c r="Y1583" s="180"/>
      <c r="Z1583" s="192" t="str">
        <f>IFERROR(Tableau3[[#This Row],[Chiffre d''affaires]]/Tableau3[[#This Row],[Salariés]],"")</f>
        <v/>
      </c>
      <c r="AA1583" s="197"/>
      <c r="AB1583" s="197"/>
      <c r="AC1583" s="177" t="s">
        <v>1099</v>
      </c>
    </row>
    <row r="1584" spans="1:29" ht="20.25" customHeight="1">
      <c r="A1584" s="217"/>
      <c r="E1584" s="187"/>
      <c r="G1584" s="188"/>
      <c r="H1584" s="211"/>
      <c r="I1584" s="188"/>
      <c r="J1584" s="188"/>
      <c r="K1584" s="188"/>
      <c r="L1584" s="188"/>
      <c r="M1584" s="194"/>
      <c r="N1584" s="190"/>
      <c r="O1584" s="190"/>
      <c r="P1584" s="188"/>
      <c r="Q1584" s="188"/>
      <c r="R1584" s="195"/>
      <c r="S1584" s="197"/>
      <c r="T1584" s="180"/>
      <c r="U1584" s="189" t="str">
        <f>IFERROR(IF(Tableau3[[#This Row],[Dettes]]=0,"",(Tableau3[[#This Row],[Dettes]]/Tableau3[[#This Row],[EBE]])),"")</f>
        <v/>
      </c>
      <c r="V1584" s="190" t="str">
        <f>IFERROR(Tableau3[[#This Row],[Fonds propres]]/Tableau3[[#This Row],[Total Bilan]],"")</f>
        <v/>
      </c>
      <c r="W1584" s="180"/>
      <c r="X1584" s="191"/>
      <c r="Y1584" s="180"/>
      <c r="Z1584" s="192" t="str">
        <f>IFERROR(Tableau3[[#This Row],[Chiffre d''affaires]]/Tableau3[[#This Row],[Salariés]],"")</f>
        <v/>
      </c>
      <c r="AA1584" s="197"/>
      <c r="AB1584" s="197"/>
      <c r="AC1584" s="177" t="s">
        <v>192</v>
      </c>
    </row>
    <row r="1585" spans="1:29" ht="20.25" customHeight="1">
      <c r="A1585" s="217"/>
      <c r="E1585" s="187"/>
      <c r="G1585" s="188"/>
      <c r="H1585" s="211"/>
      <c r="I1585" s="188"/>
      <c r="J1585" s="188"/>
      <c r="K1585" s="188"/>
      <c r="L1585" s="188"/>
      <c r="M1585" s="194"/>
      <c r="N1585" s="190"/>
      <c r="O1585" s="190"/>
      <c r="P1585" s="188"/>
      <c r="Q1585" s="188"/>
      <c r="R1585" s="195"/>
      <c r="S1585" s="197"/>
      <c r="T1585" s="180"/>
      <c r="U1585" s="189" t="str">
        <f>IFERROR(IF(Tableau3[[#This Row],[Dettes]]=0,"",(Tableau3[[#This Row],[Dettes]]/Tableau3[[#This Row],[EBE]])),"")</f>
        <v/>
      </c>
      <c r="V1585" s="190" t="str">
        <f>IFERROR(Tableau3[[#This Row],[Fonds propres]]/Tableau3[[#This Row],[Total Bilan]],"")</f>
        <v/>
      </c>
      <c r="W1585" s="180"/>
      <c r="X1585" s="191"/>
      <c r="Y1585" s="180"/>
      <c r="Z1585" s="192" t="str">
        <f>IFERROR(Tableau3[[#This Row],[Chiffre d''affaires]]/Tableau3[[#This Row],[Salariés]],"")</f>
        <v/>
      </c>
      <c r="AA1585" s="197"/>
      <c r="AB1585" s="197"/>
      <c r="AC1585" s="177" t="s">
        <v>1100</v>
      </c>
    </row>
    <row r="1586" spans="1:29" ht="20.25" customHeight="1">
      <c r="A1586" s="217"/>
      <c r="E1586" s="187"/>
      <c r="G1586" s="188"/>
      <c r="H1586" s="211"/>
      <c r="I1586" s="188"/>
      <c r="J1586" s="188"/>
      <c r="K1586" s="188"/>
      <c r="L1586" s="188"/>
      <c r="M1586" s="194"/>
      <c r="N1586" s="190"/>
      <c r="O1586" s="190"/>
      <c r="P1586" s="188"/>
      <c r="Q1586" s="188"/>
      <c r="R1586" s="195"/>
      <c r="S1586" s="197"/>
      <c r="T1586" s="180"/>
      <c r="U1586" s="189" t="str">
        <f>IFERROR(IF(Tableau3[[#This Row],[Dettes]]=0,"",(Tableau3[[#This Row],[Dettes]]/Tableau3[[#This Row],[EBE]])),"")</f>
        <v/>
      </c>
      <c r="V1586" s="190" t="str">
        <f>IFERROR(Tableau3[[#This Row],[Fonds propres]]/Tableau3[[#This Row],[Total Bilan]],"")</f>
        <v/>
      </c>
      <c r="W1586" s="180"/>
      <c r="X1586" s="191"/>
      <c r="Y1586" s="180"/>
      <c r="Z1586" s="192" t="str">
        <f>IFERROR(Tableau3[[#This Row],[Chiffre d''affaires]]/Tableau3[[#This Row],[Salariés]],"")</f>
        <v/>
      </c>
      <c r="AA1586" s="197"/>
      <c r="AB1586" s="197"/>
    </row>
    <row r="1587" spans="1:29" ht="20.25" customHeight="1">
      <c r="A1587" s="217"/>
      <c r="E1587" s="187"/>
      <c r="G1587" s="188"/>
      <c r="H1587" s="211"/>
      <c r="I1587" s="188"/>
      <c r="J1587" s="188"/>
      <c r="K1587" s="188"/>
      <c r="L1587" s="188"/>
      <c r="M1587" s="194"/>
      <c r="N1587" s="190"/>
      <c r="O1587" s="190"/>
      <c r="P1587" s="188"/>
      <c r="Q1587" s="188"/>
      <c r="R1587" s="195"/>
      <c r="S1587" s="197"/>
      <c r="T1587" s="180"/>
      <c r="U1587" s="189" t="str">
        <f>IFERROR(IF(Tableau3[[#This Row],[Dettes]]=0,"",(Tableau3[[#This Row],[Dettes]]/Tableau3[[#This Row],[EBE]])),"")</f>
        <v/>
      </c>
      <c r="V1587" s="190" t="str">
        <f>IFERROR(Tableau3[[#This Row],[Fonds propres]]/Tableau3[[#This Row],[Total Bilan]],"")</f>
        <v/>
      </c>
      <c r="W1587" s="180"/>
      <c r="X1587" s="191"/>
      <c r="Y1587" s="180"/>
      <c r="Z1587" s="192" t="str">
        <f>IFERROR(Tableau3[[#This Row],[Chiffre d''affaires]]/Tableau3[[#This Row],[Salariés]],"")</f>
        <v/>
      </c>
      <c r="AA1587" s="197"/>
      <c r="AB1587" s="197"/>
      <c r="AC1587" s="6"/>
    </row>
    <row r="1588" spans="1:29" ht="20.25" customHeight="1">
      <c r="A1588" s="217"/>
      <c r="E1588" s="187"/>
      <c r="G1588" s="188"/>
      <c r="H1588" s="211"/>
      <c r="I1588" s="188"/>
      <c r="J1588" s="188"/>
      <c r="K1588" s="188"/>
      <c r="L1588" s="188"/>
      <c r="M1588" s="194"/>
      <c r="N1588" s="190"/>
      <c r="O1588" s="190"/>
      <c r="P1588" s="188"/>
      <c r="Q1588" s="188"/>
      <c r="R1588" s="195"/>
      <c r="S1588" s="197"/>
      <c r="T1588" s="180"/>
      <c r="U1588" s="189" t="str">
        <f>IFERROR(IF(Tableau3[[#This Row],[Dettes]]=0,"",(Tableau3[[#This Row],[Dettes]]/Tableau3[[#This Row],[EBE]])),"")</f>
        <v/>
      </c>
      <c r="V1588" s="190" t="str">
        <f>IFERROR(Tableau3[[#This Row],[Fonds propres]]/Tableau3[[#This Row],[Total Bilan]],"")</f>
        <v/>
      </c>
      <c r="W1588" s="180"/>
      <c r="X1588" s="191"/>
      <c r="Y1588" s="180"/>
      <c r="Z1588" s="192" t="str">
        <f>IFERROR(Tableau3[[#This Row],[Chiffre d''affaires]]/Tableau3[[#This Row],[Salariés]],"")</f>
        <v/>
      </c>
      <c r="AA1588" s="197"/>
      <c r="AB1588" s="197"/>
    </row>
    <row r="1589" spans="1:29" ht="20.25" customHeight="1">
      <c r="A1589" s="217"/>
      <c r="E1589" s="187"/>
      <c r="G1589" s="188"/>
      <c r="H1589" s="211"/>
      <c r="I1589" s="188"/>
      <c r="J1589" s="188"/>
      <c r="K1589" s="188"/>
      <c r="L1589" s="188"/>
      <c r="M1589" s="194"/>
      <c r="N1589" s="190"/>
      <c r="O1589" s="190"/>
      <c r="P1589" s="188"/>
      <c r="Q1589" s="188"/>
      <c r="R1589" s="195"/>
      <c r="S1589" s="197"/>
      <c r="T1589" s="180"/>
      <c r="U1589" s="189" t="str">
        <f>IFERROR(IF(Tableau3[[#This Row],[Dettes]]=0,"",(Tableau3[[#This Row],[Dettes]]/Tableau3[[#This Row],[EBE]])),"")</f>
        <v/>
      </c>
      <c r="V1589" s="190" t="str">
        <f>IFERROR(Tableau3[[#This Row],[Fonds propres]]/Tableau3[[#This Row],[Total Bilan]],"")</f>
        <v/>
      </c>
      <c r="W1589" s="180"/>
      <c r="X1589" s="191"/>
      <c r="Y1589" s="180"/>
      <c r="Z1589" s="192" t="str">
        <f>IFERROR(Tableau3[[#This Row],[Chiffre d''affaires]]/Tableau3[[#This Row],[Salariés]],"")</f>
        <v/>
      </c>
      <c r="AA1589" s="197"/>
      <c r="AB1589" s="197"/>
    </row>
    <row r="1590" spans="1:29" ht="20.25" customHeight="1">
      <c r="A1590" s="217" t="s">
        <v>1101</v>
      </c>
      <c r="B1590" s="216" t="s">
        <v>1102</v>
      </c>
      <c r="C1590" s="178" t="s">
        <v>84</v>
      </c>
      <c r="D1590" s="178" t="s">
        <v>85</v>
      </c>
      <c r="E1590" s="187"/>
      <c r="F1590" s="178">
        <v>2025</v>
      </c>
      <c r="G1590" s="188"/>
      <c r="H1590" s="211"/>
      <c r="I1590" s="188"/>
      <c r="J1590" s="188"/>
      <c r="K1590" s="188"/>
      <c r="L1590" s="188"/>
      <c r="M1590" s="194"/>
      <c r="N1590" s="190"/>
      <c r="O1590" s="190"/>
      <c r="P1590" s="188"/>
      <c r="Q1590" s="188"/>
      <c r="R1590" s="195"/>
      <c r="S1590" s="197"/>
      <c r="T1590" s="180"/>
      <c r="U1590" s="189" t="str">
        <f>IFERROR(IF(Tableau3[[#This Row],[Dettes]]=0,"",(Tableau3[[#This Row],[Dettes]]/Tableau3[[#This Row],[EBE]])),"")</f>
        <v/>
      </c>
      <c r="V1590" s="190" t="str">
        <f>IFERROR(Tableau3[[#This Row],[Fonds propres]]/Tableau3[[#This Row],[Total Bilan]],"")</f>
        <v/>
      </c>
      <c r="W1590" s="180"/>
      <c r="X1590" s="191"/>
      <c r="Y1590" s="180"/>
      <c r="Z1590" s="192" t="str">
        <f>IFERROR(Tableau3[[#This Row],[Chiffre d''affaires]]/Tableau3[[#This Row],[Salariés]],"")</f>
        <v/>
      </c>
      <c r="AA1590" s="197"/>
      <c r="AB1590" s="197"/>
      <c r="AC1590" s="177" t="s">
        <v>1103</v>
      </c>
    </row>
    <row r="1591" spans="1:29" ht="20.25" customHeight="1">
      <c r="A1591" s="217"/>
      <c r="E1591" s="187"/>
      <c r="G1591" s="188"/>
      <c r="H1591" s="211"/>
      <c r="I1591" s="188"/>
      <c r="J1591" s="188"/>
      <c r="K1591" s="188"/>
      <c r="L1591" s="188"/>
      <c r="M1591" s="194"/>
      <c r="N1591" s="190"/>
      <c r="O1591" s="190"/>
      <c r="P1591" s="188"/>
      <c r="Q1591" s="188"/>
      <c r="R1591" s="195"/>
      <c r="S1591" s="197"/>
      <c r="T1591" s="180"/>
      <c r="U1591" s="189" t="str">
        <f>IFERROR(IF(Tableau3[[#This Row],[Dettes]]=0,"",(Tableau3[[#This Row],[Dettes]]/Tableau3[[#This Row],[EBE]])),"")</f>
        <v/>
      </c>
      <c r="V1591" s="190" t="str">
        <f>IFERROR(Tableau3[[#This Row],[Fonds propres]]/Tableau3[[#This Row],[Total Bilan]],"")</f>
        <v/>
      </c>
      <c r="W1591" s="180"/>
      <c r="X1591" s="191"/>
      <c r="Y1591" s="180"/>
      <c r="Z1591" s="192" t="str">
        <f>IFERROR(Tableau3[[#This Row],[Chiffre d''affaires]]/Tableau3[[#This Row],[Salariés]],"")</f>
        <v/>
      </c>
      <c r="AA1591" s="197"/>
      <c r="AB1591" s="197"/>
      <c r="AC1591" s="177" t="s">
        <v>1105</v>
      </c>
    </row>
    <row r="1592" spans="1:29" ht="20.25" customHeight="1">
      <c r="A1592" s="217"/>
      <c r="E1592" s="187">
        <v>104.2</v>
      </c>
      <c r="F1592" s="178">
        <v>2024</v>
      </c>
      <c r="G1592" s="188">
        <v>7078000000</v>
      </c>
      <c r="H1592" s="211">
        <v>804000000</v>
      </c>
      <c r="I1592" s="188">
        <v>566000000</v>
      </c>
      <c r="J1592" s="188">
        <v>283000000</v>
      </c>
      <c r="K1592" s="188">
        <v>681000000</v>
      </c>
      <c r="L1592" s="188">
        <v>1813000000</v>
      </c>
      <c r="M1592" s="194">
        <f>L1592/P1592</f>
        <v>41.550622477827943</v>
      </c>
      <c r="N1592" s="190">
        <f>J1592/L1592</f>
        <v>0.15609487038058467</v>
      </c>
      <c r="O1592" s="190">
        <f>(I1592*0.64)/(K1592+L1592)</f>
        <v>0.14524458700882117</v>
      </c>
      <c r="P1592" s="188">
        <v>43633522</v>
      </c>
      <c r="Q1592" s="188">
        <f>P1592*E1592</f>
        <v>4546612992.4000006</v>
      </c>
      <c r="R1592" s="195">
        <f>Q1592/L1592</f>
        <v>2.5077843311638173</v>
      </c>
      <c r="S1592" s="197">
        <f>(Q1592+K1592)/H1592</f>
        <v>6.5020062094527367</v>
      </c>
      <c r="T1592" s="180">
        <v>375000000</v>
      </c>
      <c r="U1592" s="189">
        <f>IFERROR(IF(Tableau3[[#This Row],[Dettes]]=0,"",(Tableau3[[#This Row],[Dettes]]/Tableau3[[#This Row],[EBE]])),"")</f>
        <v>0.84701492537313428</v>
      </c>
      <c r="V1592" s="190">
        <f>IFERROR(Tableau3[[#This Row],[Fonds propres]]/Tableau3[[#This Row],[Total Bilan]],"")</f>
        <v>0.2362830705069725</v>
      </c>
      <c r="W1592" s="180">
        <v>7673000000</v>
      </c>
      <c r="X1592" s="191" t="s">
        <v>1106</v>
      </c>
      <c r="Y1592" s="180">
        <v>28500</v>
      </c>
      <c r="Z1592" s="192">
        <f>IFERROR(Tableau3[[#This Row],[Chiffre d''affaires]]/Tableau3[[#This Row],[Salariés]],"")</f>
        <v>248350.87719298244</v>
      </c>
      <c r="AA1592" s="197" t="s">
        <v>101</v>
      </c>
      <c r="AB1592" s="197"/>
      <c r="AC1592" s="177" t="s">
        <v>1107</v>
      </c>
    </row>
    <row r="1593" spans="1:29" ht="20.25" customHeight="1">
      <c r="A1593" s="217"/>
      <c r="E1593" s="187"/>
      <c r="G1593" s="202">
        <f>(G1592/G1594)-1</f>
        <v>8.6916461916461962E-2</v>
      </c>
      <c r="H1593" s="203">
        <f>(H1592/H1594)-1</f>
        <v>0.20902255639097755</v>
      </c>
      <c r="I1593" s="203">
        <f>(I1592/I1594)-1</f>
        <v>0.31018518518518512</v>
      </c>
      <c r="J1593" s="203">
        <f>(J1592/J1594)-1</f>
        <v>0.28054298642533926</v>
      </c>
      <c r="K1593" s="188"/>
      <c r="L1593" s="188"/>
      <c r="M1593" s="194"/>
      <c r="N1593" s="190"/>
      <c r="O1593" s="190"/>
      <c r="P1593" s="188"/>
      <c r="Q1593" s="188"/>
      <c r="R1593" s="195"/>
      <c r="S1593" s="197"/>
      <c r="T1593" s="180"/>
      <c r="U1593" s="189" t="str">
        <f>IFERROR(IF(Tableau3[[#This Row],[Dettes]]=0,"",(Tableau3[[#This Row],[Dettes]]/Tableau3[[#This Row],[EBE]])),"")</f>
        <v/>
      </c>
      <c r="V1593" s="190" t="str">
        <f>IFERROR(Tableau3[[#This Row],[Fonds propres]]/Tableau3[[#This Row],[Total Bilan]],"")</f>
        <v/>
      </c>
      <c r="W1593" s="180"/>
      <c r="X1593" s="191"/>
      <c r="Y1593" s="180"/>
      <c r="Z1593" s="192" t="str">
        <f>IFERROR(Tableau3[[#This Row],[Chiffre d''affaires]]/Tableau3[[#This Row],[Salariés]],"")</f>
        <v/>
      </c>
      <c r="AA1593" s="197" t="s">
        <v>493</v>
      </c>
      <c r="AB1593" s="197"/>
      <c r="AC1593" s="177" t="s">
        <v>1108</v>
      </c>
    </row>
    <row r="1594" spans="1:29" ht="20.25" customHeight="1">
      <c r="A1594" s="217"/>
      <c r="E1594" s="187">
        <v>79.25</v>
      </c>
      <c r="F1594" s="178">
        <v>2023</v>
      </c>
      <c r="G1594" s="188">
        <v>6512000000</v>
      </c>
      <c r="H1594" s="211">
        <v>665000000</v>
      </c>
      <c r="I1594" s="188">
        <v>432000000</v>
      </c>
      <c r="J1594" s="188">
        <v>221000000</v>
      </c>
      <c r="K1594" s="188">
        <v>214000000</v>
      </c>
      <c r="L1594" s="188">
        <v>1695000000</v>
      </c>
      <c r="M1594" s="194">
        <f>L1594/P1594</f>
        <v>38.846279702106102</v>
      </c>
      <c r="N1594" s="190">
        <f>J1594/L1594</f>
        <v>0.13038348082595871</v>
      </c>
      <c r="O1594" s="190">
        <f>(I1594*0.64)/(K1594+L1594)</f>
        <v>0.14482975379779989</v>
      </c>
      <c r="P1594" s="188">
        <v>43633522</v>
      </c>
      <c r="Q1594" s="188">
        <f>P1594*E1594</f>
        <v>3457956618.5</v>
      </c>
      <c r="R1594" s="195">
        <f>Q1594/L1594</f>
        <v>2.0400924002949852</v>
      </c>
      <c r="S1594" s="197">
        <f>(Q1594+K1594)/H1594</f>
        <v>5.5217392759398498</v>
      </c>
      <c r="T1594" s="180">
        <v>220000000</v>
      </c>
      <c r="U1594" s="189">
        <f>IFERROR(IF(Tableau3[[#This Row],[Dettes]]=0,"",(Tableau3[[#This Row],[Dettes]]/Tableau3[[#This Row],[EBE]])),"")</f>
        <v>0.32180451127819548</v>
      </c>
      <c r="V1594" s="190">
        <f>IFERROR(Tableau3[[#This Row],[Fonds propres]]/Tableau3[[#This Row],[Total Bilan]],"")</f>
        <v>0.2593329253365973</v>
      </c>
      <c r="W1594" s="180">
        <v>6536000000</v>
      </c>
      <c r="X1594" s="191"/>
      <c r="Y1594" s="180">
        <v>28541</v>
      </c>
      <c r="Z1594" s="192">
        <f>IFERROR(Tableau3[[#This Row],[Chiffre d''affaires]]/Tableau3[[#This Row],[Salariés]],"")</f>
        <v>228162.9935881714</v>
      </c>
      <c r="AA1594" s="197" t="s">
        <v>1109</v>
      </c>
      <c r="AB1594" s="197"/>
      <c r="AC1594" s="6" t="s">
        <v>457</v>
      </c>
    </row>
    <row r="1595" spans="1:29" ht="20.25" customHeight="1">
      <c r="A1595" s="217"/>
      <c r="E1595" s="187"/>
      <c r="G1595" s="202">
        <f>(G1594/G1596)-1</f>
        <v>-3.4544106745737602E-2</v>
      </c>
      <c r="H1595" s="203">
        <f>(H1594/H1596)-1</f>
        <v>7.9545454545454586E-2</v>
      </c>
      <c r="I1595" s="203">
        <f>(I1594/I1596)-1</f>
        <v>2.857142857142847E-2</v>
      </c>
      <c r="J1595" s="203">
        <f>(J1594/J1596)-1</f>
        <v>-9.7959183673469341E-2</v>
      </c>
      <c r="K1595" s="188"/>
      <c r="L1595" s="188"/>
      <c r="M1595" s="194"/>
      <c r="N1595" s="190"/>
      <c r="O1595" s="190"/>
      <c r="P1595" s="188"/>
      <c r="Q1595" s="188"/>
      <c r="R1595" s="195"/>
      <c r="S1595" s="197"/>
      <c r="T1595" s="180"/>
      <c r="U1595" s="189" t="str">
        <f>IFERROR(IF(Tableau3[[#This Row],[Dettes]]=0,"",(Tableau3[[#This Row],[Dettes]]/Tableau3[[#This Row],[EBE]])),"")</f>
        <v/>
      </c>
      <c r="V1595" s="190" t="str">
        <f>IFERROR(Tableau3[[#This Row],[Fonds propres]]/Tableau3[[#This Row],[Total Bilan]],"")</f>
        <v/>
      </c>
      <c r="W1595" s="180"/>
      <c r="X1595" s="247"/>
      <c r="Y1595" s="180"/>
      <c r="Z1595" s="192" t="str">
        <f>IFERROR(Tableau3[[#This Row],[Chiffre d''affaires]]/Tableau3[[#This Row],[Salariés]],"")</f>
        <v/>
      </c>
      <c r="AB1595" s="197"/>
      <c r="AC1595" s="177" t="s">
        <v>1110</v>
      </c>
    </row>
    <row r="1596" spans="1:29" ht="20.25" customHeight="1">
      <c r="A1596" s="217"/>
      <c r="E1596" s="187">
        <v>84.45</v>
      </c>
      <c r="F1596" s="178">
        <v>2022</v>
      </c>
      <c r="G1596" s="188">
        <v>6745000000</v>
      </c>
      <c r="H1596" s="211">
        <v>616000000</v>
      </c>
      <c r="I1596" s="188">
        <v>420000000</v>
      </c>
      <c r="J1596" s="188">
        <v>245000000</v>
      </c>
      <c r="K1596" s="188">
        <v>182000000</v>
      </c>
      <c r="L1596" s="188">
        <v>1750000000</v>
      </c>
      <c r="M1596" s="194">
        <f>L1596/P1596</f>
        <v>40.103683835023162</v>
      </c>
      <c r="N1596" s="190">
        <f>J1596/L1596</f>
        <v>0.14000000000000001</v>
      </c>
      <c r="O1596" s="190">
        <f>(I1596*0.64)/(K1596+L1596)</f>
        <v>0.1391304347826087</v>
      </c>
      <c r="P1596" s="211">
        <v>43636889</v>
      </c>
      <c r="Q1596" s="188">
        <f>P1596*E1596</f>
        <v>3685135276.0500002</v>
      </c>
      <c r="R1596" s="195">
        <f>Q1596/L1596</f>
        <v>2.105791586314286</v>
      </c>
      <c r="S1596" s="197">
        <f>(Q1596+K1596)/H1596</f>
        <v>6.2778170065746757</v>
      </c>
      <c r="T1596" s="180">
        <v>275000000</v>
      </c>
      <c r="U1596" s="189">
        <f>IFERROR(IF(Tableau3[[#This Row],[Dettes]]=0,"",(Tableau3[[#This Row],[Dettes]]/Tableau3[[#This Row],[EBE]])),"")</f>
        <v>0.29545454545454547</v>
      </c>
      <c r="V1596" s="190">
        <f>IFERROR(Tableau3[[#This Row],[Fonds propres]]/Tableau3[[#This Row],[Total Bilan]],"")</f>
        <v>0.31305903398926654</v>
      </c>
      <c r="W1596" s="180">
        <v>5590000000</v>
      </c>
      <c r="Y1596" s="180">
        <v>26910</v>
      </c>
      <c r="Z1596" s="192">
        <f>IFERROR(Tableau3[[#This Row],[Chiffre d''affaires]]/Tableau3[[#This Row],[Salariés]],"")</f>
        <v>250650.31586770716</v>
      </c>
      <c r="AB1596" s="197"/>
      <c r="AC1596" s="216" t="s">
        <v>4611</v>
      </c>
    </row>
    <row r="1597" spans="1:29" ht="20.25" customHeight="1">
      <c r="A1597" s="217"/>
      <c r="E1597" s="187"/>
      <c r="G1597" s="202">
        <f>(G1596/G1598)-1</f>
        <v>0.11413941195903532</v>
      </c>
      <c r="H1597" s="203">
        <f>(H1596/H1598)-1</f>
        <v>0.33045356371490286</v>
      </c>
      <c r="I1597" s="203">
        <f>(I1596/I1598)-1</f>
        <v>0.40468227424749159</v>
      </c>
      <c r="J1597" s="203">
        <f>(J1596/J1598)-1</f>
        <v>0.49390243902439024</v>
      </c>
      <c r="K1597" s="188"/>
      <c r="L1597" s="188"/>
      <c r="M1597" s="194"/>
      <c r="N1597" s="190"/>
      <c r="O1597" s="190"/>
      <c r="P1597" s="188"/>
      <c r="Q1597" s="188"/>
      <c r="R1597" s="195"/>
      <c r="S1597" s="197"/>
      <c r="T1597" s="180"/>
      <c r="U1597" s="189" t="str">
        <f>IFERROR(IF(Tableau3[[#This Row],[Dettes]]=0,"",(Tableau3[[#This Row],[Dettes]]/Tableau3[[#This Row],[EBE]])),"")</f>
        <v/>
      </c>
      <c r="V1597" s="190" t="str">
        <f>IFERROR(Tableau3[[#This Row],[Fonds propres]]/Tableau3[[#This Row],[Total Bilan]],"")</f>
        <v/>
      </c>
      <c r="W1597" s="180"/>
      <c r="Y1597" s="180"/>
      <c r="Z1597" s="192" t="str">
        <f>IFERROR(Tableau3[[#This Row],[Chiffre d''affaires]]/Tableau3[[#This Row],[Salariés]],"")</f>
        <v/>
      </c>
      <c r="AB1597" s="197"/>
      <c r="AC1597" s="10" t="s">
        <v>4612</v>
      </c>
    </row>
    <row r="1598" spans="1:29" ht="20.25" customHeight="1">
      <c r="A1598" s="217"/>
      <c r="E1598" s="187">
        <v>85.85</v>
      </c>
      <c r="F1598" s="178">
        <v>2021</v>
      </c>
      <c r="G1598" s="188">
        <v>6054000000</v>
      </c>
      <c r="H1598" s="211">
        <v>463000000</v>
      </c>
      <c r="I1598" s="188">
        <v>299000000</v>
      </c>
      <c r="J1598" s="188">
        <v>164000000</v>
      </c>
      <c r="K1598" s="188">
        <v>74000000</v>
      </c>
      <c r="L1598" s="188">
        <v>1447000000</v>
      </c>
      <c r="M1598" s="194">
        <f>L1598/P1598</f>
        <v>33.160017433873435</v>
      </c>
      <c r="N1598" s="190">
        <f>J1598/L1598</f>
        <v>0.11333794056668971</v>
      </c>
      <c r="O1598" s="190">
        <f>(I1598*0.64)/(K1598+L1598)</f>
        <v>0.12581196581196583</v>
      </c>
      <c r="P1598" s="211">
        <v>43636889</v>
      </c>
      <c r="Q1598" s="188">
        <f>P1598*E1598</f>
        <v>3746226920.6499996</v>
      </c>
      <c r="R1598" s="195">
        <f>Q1598/L1598</f>
        <v>2.5889612444022112</v>
      </c>
      <c r="S1598" s="197">
        <f>(Q1598+K1598)/H1598</f>
        <v>8.2510300661987035</v>
      </c>
      <c r="T1598" s="180">
        <v>179000000</v>
      </c>
      <c r="U1598" s="189">
        <f>IFERROR(IF(Tableau3[[#This Row],[Dettes]]=0,"",(Tableau3[[#This Row],[Dettes]]/Tableau3[[#This Row],[EBE]])),"")</f>
        <v>0.15982721382289417</v>
      </c>
      <c r="V1598" s="190">
        <f>IFERROR(Tableau3[[#This Row],[Fonds propres]]/Tableau3[[#This Row],[Total Bilan]],"")</f>
        <v>0.27667304015296368</v>
      </c>
      <c r="W1598" s="180">
        <v>5230000000</v>
      </c>
      <c r="Y1598" s="180"/>
      <c r="Z1598" s="192" t="str">
        <f>IFERROR(Tableau3[[#This Row],[Chiffre d''affaires]]/Tableau3[[#This Row],[Salariés]],"")</f>
        <v/>
      </c>
      <c r="AB1598" s="197"/>
      <c r="AC1598" s="177" t="s">
        <v>1111</v>
      </c>
    </row>
    <row r="1599" spans="1:29" ht="20.25" customHeight="1">
      <c r="A1599" s="217"/>
      <c r="E1599" s="187"/>
      <c r="G1599" s="202">
        <f>(G1598/G1600)-1</f>
        <v>5.3602506091193769E-2</v>
      </c>
      <c r="H1599" s="203">
        <f>(H1598/H1600)-1</f>
        <v>0.33429394812680124</v>
      </c>
      <c r="I1599" s="203">
        <f>(I1598/I1600)-1</f>
        <v>0.54922279792746109</v>
      </c>
      <c r="J1599" s="203">
        <f>(J1598/J1600)-1</f>
        <v>1.0499999999999998</v>
      </c>
      <c r="K1599" s="188"/>
      <c r="L1599" s="188"/>
      <c r="M1599" s="194"/>
      <c r="N1599" s="190"/>
      <c r="O1599" s="190"/>
      <c r="P1599" s="188"/>
      <c r="Q1599" s="188"/>
      <c r="R1599" s="195"/>
      <c r="S1599" s="197"/>
      <c r="T1599" s="180"/>
      <c r="U1599" s="189" t="str">
        <f>IFERROR(IF(Tableau3[[#This Row],[Dettes]]=0,"",(Tableau3[[#This Row],[Dettes]]/Tableau3[[#This Row],[EBE]])),"")</f>
        <v/>
      </c>
      <c r="V1599" s="190" t="str">
        <f>IFERROR(Tableau3[[#This Row],[Fonds propres]]/Tableau3[[#This Row],[Total Bilan]],"")</f>
        <v/>
      </c>
      <c r="W1599" s="180"/>
      <c r="Y1599" s="180"/>
      <c r="Z1599" s="192" t="str">
        <f>IFERROR(Tableau3[[#This Row],[Chiffre d''affaires]]/Tableau3[[#This Row],[Salariés]],"")</f>
        <v/>
      </c>
      <c r="AA1599" s="248"/>
      <c r="AB1599" s="248"/>
      <c r="AC1599" s="177" t="s">
        <v>1112</v>
      </c>
    </row>
    <row r="1600" spans="1:29" ht="20.25" customHeight="1">
      <c r="A1600" s="217"/>
      <c r="E1600" s="187">
        <v>59.25</v>
      </c>
      <c r="F1600" s="178">
        <v>2020</v>
      </c>
      <c r="G1600" s="188">
        <v>5746000000</v>
      </c>
      <c r="H1600" s="188">
        <v>347000000</v>
      </c>
      <c r="I1600" s="188">
        <v>193000000</v>
      </c>
      <c r="J1600" s="188">
        <v>80000000</v>
      </c>
      <c r="K1600" s="188">
        <v>179000000</v>
      </c>
      <c r="L1600" s="188">
        <v>1216000000</v>
      </c>
      <c r="M1600" s="194">
        <f>L1600/P1600</f>
        <v>27.858936276165636</v>
      </c>
      <c r="N1600" s="190">
        <f>J1600/L1600</f>
        <v>6.5789473684210523E-2</v>
      </c>
      <c r="O1600" s="190">
        <f>(I1600*0.64)/(K1600+L1600)</f>
        <v>8.8544802867383518E-2</v>
      </c>
      <c r="P1600" s="211">
        <v>43648472</v>
      </c>
      <c r="Q1600" s="188">
        <f>P1600*E1600</f>
        <v>2586171966</v>
      </c>
      <c r="R1600" s="195">
        <f>Q1600/L1600</f>
        <v>2.1267861562500001</v>
      </c>
      <c r="S1600" s="197">
        <f>(Q1600+K1600)/H1600</f>
        <v>7.9687952910662823</v>
      </c>
      <c r="T1600" s="180">
        <v>157000000</v>
      </c>
      <c r="U1600" s="189">
        <f>IFERROR(IF(Tableau3[[#This Row],[Dettes]]=0,"",(Tableau3[[#This Row],[Dettes]]/Tableau3[[#This Row],[EBE]])),"")</f>
        <v>0.51585014409221897</v>
      </c>
      <c r="V1600" s="190">
        <f>IFERROR(Tableau3[[#This Row],[Fonds propres]]/Tableau3[[#This Row],[Total Bilan]],"")</f>
        <v>0.23749999999999999</v>
      </c>
      <c r="W1600" s="180">
        <v>5120000000</v>
      </c>
      <c r="X1600" s="191"/>
      <c r="Y1600" s="180"/>
      <c r="Z1600" s="192" t="str">
        <f>IFERROR(Tableau3[[#This Row],[Chiffre d''affaires]]/Tableau3[[#This Row],[Salariés]],"")</f>
        <v/>
      </c>
      <c r="AA1600" s="197"/>
      <c r="AB1600" s="197"/>
      <c r="AC1600" s="177" t="s">
        <v>1113</v>
      </c>
    </row>
    <row r="1601" spans="1:32" ht="20.25" customHeight="1">
      <c r="A1601" s="217"/>
      <c r="E1601" s="187"/>
      <c r="G1601" s="202">
        <f>(G1600/G1602)-1</f>
        <v>0.24777415852334417</v>
      </c>
      <c r="H1601" s="203">
        <f>(H1600/H1602)-1</f>
        <v>-0.15980629539951574</v>
      </c>
      <c r="I1601" s="203">
        <f>(I1600/I1602)-1</f>
        <v>-18.545454545454547</v>
      </c>
      <c r="J1601" s="203">
        <f>(J1600/J1602)-1</f>
        <v>-1.6779661016949152</v>
      </c>
      <c r="K1601" s="178"/>
      <c r="L1601" s="178"/>
      <c r="M1601" s="178"/>
      <c r="N1601" s="178"/>
      <c r="O1601" s="178"/>
      <c r="P1601" s="178"/>
      <c r="Q1601" s="178"/>
      <c r="R1601" s="195"/>
      <c r="S1601" s="178"/>
      <c r="T1601" s="180"/>
      <c r="U1601" s="189" t="str">
        <f>IFERROR(IF(Tableau3[[#This Row],[Dettes]]=0,"",(Tableau3[[#This Row],[Dettes]]/Tableau3[[#This Row],[EBE]])),"")</f>
        <v/>
      </c>
      <c r="V1601" s="190" t="str">
        <f>IFERROR(Tableau3[[#This Row],[Fonds propres]]/Tableau3[[#This Row],[Total Bilan]],"")</f>
        <v/>
      </c>
      <c r="W1601" s="180"/>
      <c r="Y1601" s="180"/>
      <c r="Z1601" s="192" t="str">
        <f>IFERROR(Tableau3[[#This Row],[Chiffre d''affaires]]/Tableau3[[#This Row],[Salariés]],"")</f>
        <v/>
      </c>
      <c r="AA1601" s="177"/>
      <c r="AC1601" s="177" t="s">
        <v>1114</v>
      </c>
    </row>
    <row r="1602" spans="1:32" ht="20.25" customHeight="1">
      <c r="A1602" s="217"/>
      <c r="E1602" s="187">
        <v>43</v>
      </c>
      <c r="F1602" s="178">
        <v>2019</v>
      </c>
      <c r="G1602" s="188">
        <v>4605000000</v>
      </c>
      <c r="H1602" s="188">
        <v>413000000</v>
      </c>
      <c r="I1602" s="188">
        <v>-11000000</v>
      </c>
      <c r="J1602" s="188">
        <v>-118000000</v>
      </c>
      <c r="K1602" s="188">
        <v>471000000</v>
      </c>
      <c r="L1602" s="188">
        <v>1209000000</v>
      </c>
      <c r="M1602" s="194">
        <f>L1602/P1602</f>
        <v>27.725338895829779</v>
      </c>
      <c r="N1602" s="190">
        <f>J1602/L1602</f>
        <v>-9.7601323407775026E-2</v>
      </c>
      <c r="O1602" s="190">
        <f>(I1602*0.64)/(K1602+(M1602*P1602))</f>
        <v>-4.1904761904761906E-3</v>
      </c>
      <c r="P1602" s="211">
        <v>43606320</v>
      </c>
      <c r="Q1602" s="188">
        <f>P1602*E1602</f>
        <v>1875071760</v>
      </c>
      <c r="R1602" s="195">
        <f>Q1602/L1602</f>
        <v>1.550927841191067</v>
      </c>
      <c r="S1602" s="197">
        <f>(Q1602+K1602)/H1602</f>
        <v>5.6805611622276029</v>
      </c>
      <c r="T1602" s="180"/>
      <c r="U1602" s="189">
        <f>IFERROR(IF(Tableau3[[#This Row],[Dettes]]=0,"",(Tableau3[[#This Row],[Dettes]]/Tableau3[[#This Row],[EBE]])),"")</f>
        <v>1.1404358353510895</v>
      </c>
      <c r="V1602" s="190">
        <f>IFERROR(Tableau3[[#This Row],[Fonds propres]]/Tableau3[[#This Row],[Total Bilan]],"")</f>
        <v>0.23799212598425196</v>
      </c>
      <c r="W1602" s="180">
        <v>5080000000</v>
      </c>
      <c r="X1602" s="191"/>
      <c r="Y1602" s="180"/>
      <c r="Z1602" s="192" t="str">
        <f>IFERROR(Tableau3[[#This Row],[Chiffre d''affaires]]/Tableau3[[#This Row],[Salariés]],"")</f>
        <v/>
      </c>
      <c r="AA1602" s="197"/>
      <c r="AB1602" s="197"/>
      <c r="AC1602" s="177" t="s">
        <v>1115</v>
      </c>
    </row>
    <row r="1603" spans="1:32" ht="20.25" customHeight="1">
      <c r="A1603" s="217"/>
      <c r="E1603" s="187"/>
      <c r="G1603" s="202">
        <f>(G1602/G1604)-1</f>
        <v>4.4454524835563669E-2</v>
      </c>
      <c r="H1603" s="203">
        <f>(H1602/H1604)-1</f>
        <v>0.27076923076923087</v>
      </c>
      <c r="I1603" s="203">
        <f>(I1602/I1604)-1</f>
        <v>-1.0982142857142858</v>
      </c>
      <c r="J1603" s="203">
        <f>(J1602/J1604)-1</f>
        <v>-9.4285714285714288</v>
      </c>
      <c r="K1603" s="178"/>
      <c r="L1603" s="178"/>
      <c r="M1603" s="178"/>
      <c r="N1603" s="178"/>
      <c r="O1603" s="178"/>
      <c r="P1603" s="178"/>
      <c r="Q1603" s="178"/>
      <c r="R1603" s="195"/>
      <c r="S1603" s="178"/>
      <c r="T1603" s="180"/>
      <c r="U1603" s="189" t="str">
        <f>IFERROR(IF(Tableau3[[#This Row],[Dettes]]=0,"",(Tableau3[[#This Row],[Dettes]]/Tableau3[[#This Row],[EBE]])),"")</f>
        <v/>
      </c>
      <c r="V1603" s="190" t="str">
        <f>IFERROR(Tableau3[[#This Row],[Fonds propres]]/Tableau3[[#This Row],[Total Bilan]],"")</f>
        <v/>
      </c>
      <c r="W1603" s="180"/>
      <c r="Y1603" s="180"/>
      <c r="Z1603" s="192" t="str">
        <f>IFERROR(Tableau3[[#This Row],[Chiffre d''affaires]]/Tableau3[[#This Row],[Salariés]],"")</f>
        <v/>
      </c>
      <c r="AA1603" s="177"/>
      <c r="AC1603" s="177" t="s">
        <v>1116</v>
      </c>
    </row>
    <row r="1604" spans="1:32" ht="20.25" customHeight="1">
      <c r="A1604" s="217"/>
      <c r="E1604" s="187">
        <v>23</v>
      </c>
      <c r="F1604" s="178">
        <v>2018</v>
      </c>
      <c r="G1604" s="188">
        <v>4409000000</v>
      </c>
      <c r="H1604" s="188">
        <v>325000000</v>
      </c>
      <c r="I1604" s="188">
        <v>112000000</v>
      </c>
      <c r="J1604" s="188">
        <v>14000000</v>
      </c>
      <c r="K1604" s="188">
        <v>330000000</v>
      </c>
      <c r="L1604" s="188">
        <v>1325000000</v>
      </c>
      <c r="M1604" s="194">
        <f>L1604/P1604</f>
        <v>30.463488061106123</v>
      </c>
      <c r="N1604" s="190">
        <f>J1604/L1604</f>
        <v>1.0566037735849057E-2</v>
      </c>
      <c r="O1604" s="190">
        <f>(I1604*0.64)/(K1604+(M1604*P1604))</f>
        <v>4.3311178247734138E-2</v>
      </c>
      <c r="P1604" s="211">
        <v>43494691</v>
      </c>
      <c r="Q1604" s="188">
        <f>P1604*E1604</f>
        <v>1000377893</v>
      </c>
      <c r="R1604" s="195">
        <f>Q1604/L1604</f>
        <v>0.75500218339622638</v>
      </c>
      <c r="S1604" s="197">
        <f>(Q1604+K1604)/H1604</f>
        <v>4.0934704399999999</v>
      </c>
      <c r="T1604" s="180"/>
      <c r="U1604" s="189">
        <f>IFERROR(IF(Tableau3[[#This Row],[Dettes]]=0,"",(Tableau3[[#This Row],[Dettes]]/Tableau3[[#This Row],[EBE]])),"")</f>
        <v>1.0153846153846153</v>
      </c>
      <c r="V1604" s="190">
        <f>IFERROR(Tableau3[[#This Row],[Fonds propres]]/Tableau3[[#This Row],[Total Bilan]],"")</f>
        <v>0.25</v>
      </c>
      <c r="W1604" s="180">
        <v>5300000000</v>
      </c>
      <c r="X1604" s="191"/>
      <c r="Y1604" s="180"/>
      <c r="Z1604" s="192" t="str">
        <f>IFERROR(Tableau3[[#This Row],[Chiffre d''affaires]]/Tableau3[[#This Row],[Salariés]],"")</f>
        <v/>
      </c>
      <c r="AA1604" s="197"/>
      <c r="AB1604" s="197"/>
      <c r="AC1604" s="177" t="s">
        <v>1117</v>
      </c>
    </row>
    <row r="1605" spans="1:32" ht="20.25" customHeight="1">
      <c r="A1605" s="217"/>
      <c r="E1605" s="187"/>
      <c r="G1605" s="202">
        <f>(G1604/G1606)-1</f>
        <v>-3.544082257711656E-2</v>
      </c>
      <c r="H1605" s="203">
        <f>(H1604/H1606)-1</f>
        <v>-0.20924574209245739</v>
      </c>
      <c r="I1605" s="203">
        <f>(I1604/I1606)-1</f>
        <v>-0.58823529411764708</v>
      </c>
      <c r="J1605" s="203">
        <f>(J1604/J1606)-1</f>
        <v>-0.88800000000000001</v>
      </c>
      <c r="K1605" s="188"/>
      <c r="L1605" s="188"/>
      <c r="M1605" s="178"/>
      <c r="N1605" s="178"/>
      <c r="O1605" s="178"/>
      <c r="P1605" s="178"/>
      <c r="Q1605" s="178"/>
      <c r="R1605" s="195"/>
      <c r="S1605" s="178"/>
      <c r="T1605" s="180"/>
      <c r="U1605" s="189" t="str">
        <f>IFERROR(IF(Tableau3[[#This Row],[Dettes]]=0,"",(Tableau3[[#This Row],[Dettes]]/Tableau3[[#This Row],[EBE]])),"")</f>
        <v/>
      </c>
      <c r="V1605" s="190" t="str">
        <f>IFERROR(Tableau3[[#This Row],[Fonds propres]]/Tableau3[[#This Row],[Total Bilan]],"")</f>
        <v/>
      </c>
      <c r="W1605" s="180"/>
      <c r="Y1605" s="180"/>
      <c r="Z1605" s="192" t="str">
        <f>IFERROR(Tableau3[[#This Row],[Chiffre d''affaires]]/Tableau3[[#This Row],[Salariés]],"")</f>
        <v/>
      </c>
      <c r="AA1605" s="177"/>
      <c r="AC1605" s="177" t="s">
        <v>1118</v>
      </c>
    </row>
    <row r="1606" spans="1:32" ht="20.25" customHeight="1">
      <c r="A1606" s="217"/>
      <c r="E1606" s="187">
        <v>48</v>
      </c>
      <c r="F1606" s="178" t="s">
        <v>1122</v>
      </c>
      <c r="G1606" s="188">
        <f>G1608</f>
        <v>4571000000</v>
      </c>
      <c r="H1606" s="188">
        <f>H1608</f>
        <v>411000000</v>
      </c>
      <c r="I1606" s="188">
        <f>I1608</f>
        <v>272000000</v>
      </c>
      <c r="J1606" s="188">
        <f>J1608</f>
        <v>125000000</v>
      </c>
      <c r="K1606" s="188">
        <f>K1608</f>
        <v>332000000</v>
      </c>
      <c r="L1606" s="188">
        <v>1419000000</v>
      </c>
      <c r="M1606" s="194">
        <f>L1606/P1606</f>
        <v>29.224697806532994</v>
      </c>
      <c r="N1606" s="190">
        <f>J1606/L1606</f>
        <v>8.809020436927413E-2</v>
      </c>
      <c r="O1606" s="190">
        <f>(I1606*0.64)/(K1606+(M1606*P1606))</f>
        <v>9.9417475728155347E-2</v>
      </c>
      <c r="P1606" s="188">
        <v>48554822</v>
      </c>
      <c r="Q1606" s="188">
        <f>P1606*E1606</f>
        <v>2330631456</v>
      </c>
      <c r="R1606" s="195">
        <f>Q1606/L1606</f>
        <v>1.6424464101479916</v>
      </c>
      <c r="S1606" s="197">
        <f>(Q1606+K1606)/H1606</f>
        <v>6.4784220340632608</v>
      </c>
      <c r="T1606" s="180"/>
      <c r="U1606" s="189">
        <f>IFERROR(IF(Tableau3[[#This Row],[Dettes]]=0,"",(Tableau3[[#This Row],[Dettes]]/Tableau3[[#This Row],[EBE]])),"")</f>
        <v>0.80778588807785889</v>
      </c>
      <c r="V1606" s="190" t="str">
        <f>IFERROR(Tableau3[[#This Row],[Fonds propres]]/Tableau3[[#This Row],[Total Bilan]],"")</f>
        <v/>
      </c>
      <c r="W1606" s="180"/>
      <c r="X1606" s="191"/>
      <c r="Y1606" s="180"/>
      <c r="Z1606" s="192" t="str">
        <f>IFERROR(Tableau3[[#This Row],[Chiffre d''affaires]]/Tableau3[[#This Row],[Salariés]],"")</f>
        <v/>
      </c>
      <c r="AA1606" s="197"/>
      <c r="AB1606" s="197"/>
      <c r="AC1606" s="177" t="s">
        <v>1119</v>
      </c>
    </row>
    <row r="1607" spans="1:32" ht="20.25" customHeight="1">
      <c r="A1607" s="217"/>
      <c r="E1607" s="187"/>
      <c r="G1607" s="188"/>
      <c r="H1607" s="178"/>
      <c r="I1607" s="178"/>
      <c r="J1607" s="178"/>
      <c r="K1607" s="178"/>
      <c r="L1607" s="178"/>
      <c r="M1607" s="178"/>
      <c r="N1607" s="178"/>
      <c r="O1607" s="178"/>
      <c r="P1607" s="178"/>
      <c r="Q1607" s="178"/>
      <c r="R1607" s="195"/>
      <c r="S1607" s="178"/>
      <c r="T1607" s="180"/>
      <c r="U1607" s="189" t="str">
        <f>IFERROR(IF(Tableau3[[#This Row],[Dettes]]=0,"",(Tableau3[[#This Row],[Dettes]]/Tableau3[[#This Row],[EBE]])),"")</f>
        <v/>
      </c>
      <c r="V1607" s="190" t="str">
        <f>IFERROR(Tableau3[[#This Row],[Fonds propres]]/Tableau3[[#This Row],[Total Bilan]],"")</f>
        <v/>
      </c>
      <c r="W1607" s="180"/>
      <c r="X1607" s="191"/>
      <c r="Y1607" s="180"/>
      <c r="Z1607" s="192" t="str">
        <f>IFERROR(Tableau3[[#This Row],[Chiffre d''affaires]]/Tableau3[[#This Row],[Salariés]],"")</f>
        <v/>
      </c>
      <c r="AA1607" s="197"/>
      <c r="AB1607" s="197"/>
      <c r="AC1607" s="177" t="s">
        <v>1120</v>
      </c>
    </row>
    <row r="1608" spans="1:32" ht="20.25" customHeight="1">
      <c r="A1608" s="217"/>
      <c r="E1608" s="187">
        <v>51</v>
      </c>
      <c r="F1608" s="178">
        <v>2017</v>
      </c>
      <c r="G1608" s="188">
        <v>4571000000</v>
      </c>
      <c r="H1608" s="188">
        <v>411000000</v>
      </c>
      <c r="I1608" s="188">
        <v>272000000</v>
      </c>
      <c r="J1608" s="188">
        <v>125000000</v>
      </c>
      <c r="K1608" s="188">
        <v>332000000</v>
      </c>
      <c r="L1608" s="188">
        <v>1424000000</v>
      </c>
      <c r="M1608" s="194">
        <f>L1608/P1608</f>
        <v>32.729284207566451</v>
      </c>
      <c r="N1608" s="190">
        <f>J1608/L1608</f>
        <v>8.7780898876404501E-2</v>
      </c>
      <c r="O1608" s="190">
        <f>(I1608*0.64)/(K1608+(M1608*P1608))</f>
        <v>9.9134396355353094E-2</v>
      </c>
      <c r="P1608" s="188">
        <v>43508437</v>
      </c>
      <c r="Q1608" s="188">
        <f>P1608*E1608</f>
        <v>2218930287</v>
      </c>
      <c r="R1608" s="195">
        <f>Q1608/L1608</f>
        <v>1.5582375610955057</v>
      </c>
      <c r="S1608" s="197">
        <f>(Q1608+K1608)/H1608</f>
        <v>6.2066430340632603</v>
      </c>
      <c r="T1608" s="180"/>
      <c r="U1608" s="189">
        <f>IFERROR(IF(Tableau3[[#This Row],[Dettes]]=0,"",(Tableau3[[#This Row],[Dettes]]/Tableau3[[#This Row],[EBE]])),"")</f>
        <v>0.80778588807785889</v>
      </c>
      <c r="V1608" s="190" t="str">
        <f>IFERROR(Tableau3[[#This Row],[Fonds propres]]/Tableau3[[#This Row],[Total Bilan]],"")</f>
        <v/>
      </c>
      <c r="W1608" s="180"/>
      <c r="X1608" s="191"/>
      <c r="Y1608" s="180"/>
      <c r="Z1608" s="192" t="str">
        <f>IFERROR(Tableau3[[#This Row],[Chiffre d''affaires]]/Tableau3[[#This Row],[Salariés]],"")</f>
        <v/>
      </c>
      <c r="AA1608" s="197"/>
      <c r="AB1608" s="197"/>
      <c r="AC1608" s="177" t="s">
        <v>1121</v>
      </c>
    </row>
    <row r="1609" spans="1:32" ht="20.25" customHeight="1">
      <c r="A1609" s="217"/>
      <c r="E1609" s="187"/>
      <c r="G1609" s="202">
        <f>(G1608/G1610)-1</f>
        <v>3.1595576619273258E-2</v>
      </c>
      <c r="H1609" s="203">
        <f>(H1608/H1610)-1</f>
        <v>9.6000000000000085E-2</v>
      </c>
      <c r="I1609" s="203">
        <f>(I1608/I1610)-1</f>
        <v>0.12396694214876036</v>
      </c>
      <c r="J1609" s="203">
        <f>(J1608/J1610)-1</f>
        <v>1.0491803278688523</v>
      </c>
      <c r="K1609" s="188"/>
      <c r="L1609" s="188"/>
      <c r="M1609" s="188"/>
      <c r="N1609" s="188"/>
      <c r="O1609" s="188"/>
      <c r="P1609" s="188"/>
      <c r="Q1609" s="188"/>
      <c r="R1609" s="195"/>
      <c r="S1609" s="197"/>
      <c r="T1609" s="180"/>
      <c r="U1609" s="189" t="str">
        <f>IFERROR(IF(Tableau3[[#This Row],[Dettes]]=0,"",(Tableau3[[#This Row],[Dettes]]/Tableau3[[#This Row],[EBE]])),"")</f>
        <v/>
      </c>
      <c r="V1609" s="190" t="str">
        <f>IFERROR(Tableau3[[#This Row],[Fonds propres]]/Tableau3[[#This Row],[Total Bilan]],"")</f>
        <v/>
      </c>
      <c r="W1609" s="180"/>
      <c r="X1609" s="191"/>
      <c r="Y1609" s="180"/>
      <c r="Z1609" s="192" t="str">
        <f>IFERROR(Tableau3[[#This Row],[Chiffre d''affaires]]/Tableau3[[#This Row],[Salariés]],"")</f>
        <v/>
      </c>
      <c r="AA1609" s="197"/>
      <c r="AB1609" s="197"/>
      <c r="AC1609" s="177" t="s">
        <v>1123</v>
      </c>
    </row>
    <row r="1610" spans="1:32" ht="20.25" customHeight="1">
      <c r="A1610" s="217"/>
      <c r="E1610" s="187">
        <v>49.21</v>
      </c>
      <c r="F1610" s="178">
        <v>2016</v>
      </c>
      <c r="G1610" s="188">
        <v>4431000000</v>
      </c>
      <c r="H1610" s="188">
        <v>375000000</v>
      </c>
      <c r="I1610" s="188">
        <v>242000000</v>
      </c>
      <c r="J1610" s="188">
        <v>61000000</v>
      </c>
      <c r="K1610" s="188">
        <v>211000000</v>
      </c>
      <c r="L1610" s="188">
        <v>1412000000</v>
      </c>
      <c r="M1610" s="194">
        <f>L1610/P1610</f>
        <v>32.15139536486631</v>
      </c>
      <c r="N1610" s="190">
        <f>J1610/L1610</f>
        <v>4.320113314447592E-2</v>
      </c>
      <c r="O1610" s="190">
        <f>(I1610*0.64)/(K1610+(M1610*P1610))</f>
        <v>9.5428219346888471E-2</v>
      </c>
      <c r="P1610" s="188">
        <v>43917223</v>
      </c>
      <c r="Q1610" s="188">
        <f>P1610*E1610</f>
        <v>2161166543.8299999</v>
      </c>
      <c r="R1610" s="195">
        <f>Q1610/L1610</f>
        <v>1.5305712066784702</v>
      </c>
      <c r="S1610" s="197">
        <f>(Q1610+K1610)/H1610</f>
        <v>6.3257774502133328</v>
      </c>
      <c r="T1610" s="180"/>
      <c r="U1610" s="189">
        <f>IFERROR(IF(Tableau3[[#This Row],[Dettes]]=0,"",(Tableau3[[#This Row],[Dettes]]/Tableau3[[#This Row],[EBE]])),"")</f>
        <v>0.56266666666666665</v>
      </c>
      <c r="V1610" s="190" t="str">
        <f>IFERROR(Tableau3[[#This Row],[Fonds propres]]/Tableau3[[#This Row],[Total Bilan]],"")</f>
        <v/>
      </c>
      <c r="W1610" s="180"/>
      <c r="X1610" s="191"/>
      <c r="Y1610" s="180"/>
      <c r="Z1610" s="192" t="str">
        <f>IFERROR(Tableau3[[#This Row],[Chiffre d''affaires]]/Tableau3[[#This Row],[Salariés]],"")</f>
        <v/>
      </c>
      <c r="AA1610" s="197"/>
      <c r="AB1610" s="197"/>
      <c r="AC1610" s="177" t="s">
        <v>1124</v>
      </c>
    </row>
    <row r="1611" spans="1:32" ht="20.25" customHeight="1">
      <c r="A1611" s="217"/>
      <c r="E1611" s="187"/>
      <c r="G1611" s="202">
        <f>(G1610/G1612)-1</f>
        <v>-3.7576020851433523E-2</v>
      </c>
      <c r="H1611" s="203">
        <f>(H1610/H1612)-1</f>
        <v>0.12612612612612617</v>
      </c>
      <c r="I1611" s="203">
        <f>(I1610/I1612)-1</f>
        <v>0.24102564102564106</v>
      </c>
      <c r="J1611" s="203">
        <f>(J1610/J1612)-1</f>
        <v>-1.3144329896907216</v>
      </c>
      <c r="K1611" s="188"/>
      <c r="L1611" s="188"/>
      <c r="M1611" s="194"/>
      <c r="N1611" s="190"/>
      <c r="O1611" s="190"/>
      <c r="P1611" s="188"/>
      <c r="Q1611" s="188"/>
      <c r="R1611" s="195"/>
      <c r="S1611" s="197"/>
      <c r="T1611" s="180"/>
      <c r="U1611" s="189" t="str">
        <f>IFERROR(IF(Tableau3[[#This Row],[Dettes]]=0,"",(Tableau3[[#This Row],[Dettes]]/Tableau3[[#This Row],[EBE]])),"")</f>
        <v/>
      </c>
      <c r="V1611" s="190" t="str">
        <f>IFERROR(Tableau3[[#This Row],[Fonds propres]]/Tableau3[[#This Row],[Total Bilan]],"")</f>
        <v/>
      </c>
      <c r="W1611" s="180"/>
      <c r="X1611" s="191"/>
      <c r="Y1611" s="180"/>
      <c r="Z1611" s="192" t="str">
        <f>IFERROR(Tableau3[[#This Row],[Chiffre d''affaires]]/Tableau3[[#This Row],[Salariés]],"")</f>
        <v/>
      </c>
      <c r="AA1611" s="197"/>
      <c r="AB1611" s="197"/>
      <c r="AC1611" s="177" t="s">
        <v>1125</v>
      </c>
    </row>
    <row r="1612" spans="1:32" ht="20.25" customHeight="1">
      <c r="A1612" s="217"/>
      <c r="E1612" s="187">
        <v>33.83</v>
      </c>
      <c r="F1612" s="178">
        <v>2015</v>
      </c>
      <c r="G1612" s="188">
        <v>4604000000</v>
      </c>
      <c r="H1612" s="188">
        <v>333000000</v>
      </c>
      <c r="I1612" s="188">
        <v>195000000</v>
      </c>
      <c r="J1612" s="188">
        <v>-194000000</v>
      </c>
      <c r="K1612" s="188">
        <v>201000000</v>
      </c>
      <c r="L1612" s="188">
        <v>1173000000</v>
      </c>
      <c r="M1612" s="194">
        <f>L1612/P1612</f>
        <v>27.580950972849269</v>
      </c>
      <c r="N1612" s="190">
        <f>J1612/L1612</f>
        <v>-0.16538789428815004</v>
      </c>
      <c r="O1612" s="190">
        <f>(I1612*0.64)/(K1612+(M1612*P1612))</f>
        <v>9.0829694323144111E-2</v>
      </c>
      <c r="P1612" s="188">
        <v>42529353</v>
      </c>
      <c r="Q1612" s="188">
        <f>P1612*E1612</f>
        <v>1438768011.99</v>
      </c>
      <c r="R1612" s="195">
        <f>Q1612/L1612</f>
        <v>1.2265711952173912</v>
      </c>
      <c r="S1612" s="197">
        <f>(Q1612+K1612)/H1612</f>
        <v>4.9242282642342339</v>
      </c>
      <c r="T1612" s="180"/>
      <c r="U1612" s="189">
        <f>IFERROR(IF(Tableau3[[#This Row],[Dettes]]=0,"",(Tableau3[[#This Row],[Dettes]]/Tableau3[[#This Row],[EBE]])),"")</f>
        <v>0.60360360360360366</v>
      </c>
      <c r="V1612" s="190" t="str">
        <f>IFERROR(Tableau3[[#This Row],[Fonds propres]]/Tableau3[[#This Row],[Total Bilan]],"")</f>
        <v/>
      </c>
      <c r="W1612" s="180"/>
      <c r="X1612" s="191"/>
      <c r="Y1612" s="180"/>
      <c r="Z1612" s="192" t="str">
        <f>IFERROR(Tableau3[[#This Row],[Chiffre d''affaires]]/Tableau3[[#This Row],[Salariés]],"")</f>
        <v/>
      </c>
      <c r="AA1612" s="197"/>
      <c r="AB1612" s="197"/>
      <c r="AC1612" s="177" t="s">
        <v>1126</v>
      </c>
    </row>
    <row r="1613" spans="1:32" ht="20.25" customHeight="1">
      <c r="A1613" s="217"/>
      <c r="E1613" s="187"/>
      <c r="G1613" s="188"/>
      <c r="H1613" s="188"/>
      <c r="I1613" s="188"/>
      <c r="J1613" s="188"/>
      <c r="K1613" s="188"/>
      <c r="L1613" s="188"/>
      <c r="M1613" s="194"/>
      <c r="N1613" s="190"/>
      <c r="O1613" s="190"/>
      <c r="P1613" s="188"/>
      <c r="Q1613" s="188"/>
      <c r="R1613" s="195"/>
      <c r="S1613" s="197"/>
      <c r="T1613" s="180"/>
      <c r="U1613" s="189" t="str">
        <f>IFERROR(IF(Tableau3[[#This Row],[Dettes]]=0,"",(Tableau3[[#This Row],[Dettes]]/Tableau3[[#This Row],[EBE]])),"")</f>
        <v/>
      </c>
      <c r="V1613" s="190" t="str">
        <f>IFERROR(Tableau3[[#This Row],[Fonds propres]]/Tableau3[[#This Row],[Total Bilan]],"")</f>
        <v/>
      </c>
      <c r="W1613" s="180"/>
      <c r="X1613" s="191"/>
      <c r="Y1613" s="180"/>
      <c r="Z1613" s="192" t="str">
        <f>IFERROR(Tableau3[[#This Row],[Chiffre d''affaires]]/Tableau3[[#This Row],[Salariés]],"")</f>
        <v/>
      </c>
      <c r="AA1613" s="197"/>
      <c r="AB1613" s="197"/>
      <c r="AC1613" s="177" t="s">
        <v>1127</v>
      </c>
      <c r="AD1613" s="226"/>
      <c r="AE1613" s="226"/>
      <c r="AF1613" s="226"/>
    </row>
    <row r="1614" spans="1:32" ht="20.25" customHeight="1">
      <c r="A1614" s="217"/>
      <c r="E1614" s="187">
        <v>100</v>
      </c>
      <c r="F1614" s="178">
        <v>2007</v>
      </c>
      <c r="G1614" s="188">
        <v>4822000000</v>
      </c>
      <c r="H1614" s="188">
        <v>409000000</v>
      </c>
      <c r="I1614" s="188">
        <v>363000000</v>
      </c>
      <c r="J1614" s="188">
        <v>189000000</v>
      </c>
      <c r="K1614" s="188">
        <v>290000000</v>
      </c>
      <c r="L1614" s="188">
        <v>1758000000</v>
      </c>
      <c r="M1614" s="194">
        <f>L1614/P1614</f>
        <v>76.434782608695656</v>
      </c>
      <c r="N1614" s="190">
        <f>J1614/L1614</f>
        <v>0.10750853242320819</v>
      </c>
      <c r="O1614" s="190">
        <f>(I1614*0.64)/(K1614+(M1614*P1614))</f>
        <v>0.1134375</v>
      </c>
      <c r="P1614" s="188">
        <v>23000000</v>
      </c>
      <c r="Q1614" s="188">
        <f>P1614*E1614</f>
        <v>2300000000</v>
      </c>
      <c r="R1614" s="195">
        <f>Q1614/L1614</f>
        <v>1.3083048919226394</v>
      </c>
      <c r="S1614" s="197">
        <f>(Q1614+K1614)/H1614</f>
        <v>6.3325183374083132</v>
      </c>
      <c r="T1614" s="180"/>
      <c r="U1614" s="189">
        <f>IFERROR(IF(Tableau3[[#This Row],[Dettes]]=0,"",(Tableau3[[#This Row],[Dettes]]/Tableau3[[#This Row],[EBE]])),"")</f>
        <v>0.70904645476772621</v>
      </c>
      <c r="V1614" s="190" t="str">
        <f>IFERROR(Tableau3[[#This Row],[Fonds propres]]/Tableau3[[#This Row],[Total Bilan]],"")</f>
        <v/>
      </c>
      <c r="W1614" s="180"/>
      <c r="X1614" s="191"/>
      <c r="Y1614" s="180"/>
      <c r="Z1614" s="192" t="str">
        <f>IFERROR(Tableau3[[#This Row],[Chiffre d''affaires]]/Tableau3[[#This Row],[Salariés]],"")</f>
        <v/>
      </c>
      <c r="AA1614" s="197"/>
      <c r="AB1614" s="197"/>
      <c r="AC1614" s="177" t="s">
        <v>1128</v>
      </c>
      <c r="AD1614" s="226"/>
      <c r="AE1614" s="226"/>
      <c r="AF1614" s="226"/>
    </row>
    <row r="1615" spans="1:32" ht="20.25" customHeight="1">
      <c r="A1615" s="217"/>
      <c r="E1615" s="187"/>
      <c r="G1615" s="202">
        <f>(G1614/G1616)-1</f>
        <v>0.10267550880402476</v>
      </c>
      <c r="H1615" s="203">
        <f>(H1614/H1616)-1</f>
        <v>0.57307692307692304</v>
      </c>
      <c r="I1615" s="203">
        <f>(I1614/I1616)-1</f>
        <v>2.7624309392264568E-3</v>
      </c>
      <c r="J1615" s="203">
        <f>(J1614/J1616)-1</f>
        <v>-0.21576763485477179</v>
      </c>
      <c r="K1615" s="188"/>
      <c r="L1615" s="188"/>
      <c r="M1615" s="194"/>
      <c r="N1615" s="190"/>
      <c r="O1615" s="190"/>
      <c r="P1615" s="188"/>
      <c r="Q1615" s="188">
        <f>P1615*E1615</f>
        <v>0</v>
      </c>
      <c r="R1615" s="195"/>
      <c r="S1615" s="197"/>
      <c r="T1615" s="180"/>
      <c r="U1615" s="189" t="str">
        <f>IFERROR(IF(Tableau3[[#This Row],[Dettes]]=0,"",(Tableau3[[#This Row],[Dettes]]/Tableau3[[#This Row],[EBE]])),"")</f>
        <v/>
      </c>
      <c r="V1615" s="190" t="str">
        <f>IFERROR(Tableau3[[#This Row],[Fonds propres]]/Tableau3[[#This Row],[Total Bilan]],"")</f>
        <v/>
      </c>
      <c r="W1615" s="180"/>
      <c r="X1615" s="191"/>
      <c r="Y1615" s="180"/>
      <c r="Z1615" s="192" t="str">
        <f>IFERROR(Tableau3[[#This Row],[Chiffre d''affaires]]/Tableau3[[#This Row],[Salariés]],"")</f>
        <v/>
      </c>
      <c r="AA1615" s="197"/>
      <c r="AB1615" s="197"/>
      <c r="AC1615" s="177" t="s">
        <v>1129</v>
      </c>
      <c r="AD1615" s="226"/>
      <c r="AE1615" s="226"/>
      <c r="AF1615" s="226"/>
    </row>
    <row r="1616" spans="1:32" ht="20.25" customHeight="1">
      <c r="A1616" s="217"/>
      <c r="E1616" s="187">
        <v>100</v>
      </c>
      <c r="F1616" s="178">
        <v>2006</v>
      </c>
      <c r="G1616" s="188">
        <v>4373000000</v>
      </c>
      <c r="H1616" s="188">
        <v>260000000</v>
      </c>
      <c r="I1616" s="188">
        <v>362000000</v>
      </c>
      <c r="J1616" s="188">
        <v>241000000</v>
      </c>
      <c r="K1616" s="188">
        <v>633000000</v>
      </c>
      <c r="L1616" s="188">
        <v>1589000000</v>
      </c>
      <c r="M1616" s="194">
        <f>L1616/P1616</f>
        <v>69.086956521739125</v>
      </c>
      <c r="N1616" s="190">
        <f>J1616/L1616</f>
        <v>0.15166771554436753</v>
      </c>
      <c r="O1616" s="190">
        <f>(I1616*0.64)/(K1616+(M1616*P1616))</f>
        <v>0.10426642664266426</v>
      </c>
      <c r="P1616" s="188">
        <v>23000000</v>
      </c>
      <c r="Q1616" s="188">
        <f>P1616*E1616</f>
        <v>2300000000</v>
      </c>
      <c r="R1616" s="195">
        <f>Q1616/L1616</f>
        <v>1.44745122718691</v>
      </c>
      <c r="S1616" s="197">
        <f>(Q1616+K1616)/H1616</f>
        <v>11.280769230769231</v>
      </c>
      <c r="T1616" s="180"/>
      <c r="U1616" s="189">
        <f>IFERROR(IF(Tableau3[[#This Row],[Dettes]]=0,"",(Tableau3[[#This Row],[Dettes]]/Tableau3[[#This Row],[EBE]])),"")</f>
        <v>2.4346153846153844</v>
      </c>
      <c r="V1616" s="190" t="str">
        <f>IFERROR(Tableau3[[#This Row],[Fonds propres]]/Tableau3[[#This Row],[Total Bilan]],"")</f>
        <v/>
      </c>
      <c r="W1616" s="180"/>
      <c r="X1616" s="191"/>
      <c r="Y1616" s="180"/>
      <c r="Z1616" s="192" t="str">
        <f>IFERROR(Tableau3[[#This Row],[Chiffre d''affaires]]/Tableau3[[#This Row],[Salariés]],"")</f>
        <v/>
      </c>
      <c r="AA1616" s="197"/>
      <c r="AB1616" s="197"/>
      <c r="AC1616" s="177" t="s">
        <v>1130</v>
      </c>
      <c r="AD1616" s="226"/>
      <c r="AE1616" s="226"/>
      <c r="AF1616" s="226"/>
    </row>
    <row r="1617" spans="1:32" ht="20.25" customHeight="1">
      <c r="A1617" s="217"/>
      <c r="E1617" s="187"/>
      <c r="G1617" s="188"/>
      <c r="H1617" s="188"/>
      <c r="I1617" s="188"/>
      <c r="J1617" s="188"/>
      <c r="K1617" s="188"/>
      <c r="L1617" s="188"/>
      <c r="M1617" s="194"/>
      <c r="N1617" s="190"/>
      <c r="O1617" s="190"/>
      <c r="P1617" s="188"/>
      <c r="Q1617" s="188"/>
      <c r="R1617" s="195"/>
      <c r="S1617" s="197"/>
      <c r="T1617" s="180"/>
      <c r="U1617" s="189" t="str">
        <f>IFERROR(IF(Tableau3[[#This Row],[Dettes]]=0,"",(Tableau3[[#This Row],[Dettes]]/Tableau3[[#This Row],[EBE]])),"")</f>
        <v/>
      </c>
      <c r="V1617" s="190" t="str">
        <f>IFERROR(Tableau3[[#This Row],[Fonds propres]]/Tableau3[[#This Row],[Total Bilan]],"")</f>
        <v/>
      </c>
      <c r="W1617" s="180"/>
      <c r="X1617" s="191"/>
      <c r="Y1617" s="180"/>
      <c r="Z1617" s="192" t="str">
        <f>IFERROR(Tableau3[[#This Row],[Chiffre d''affaires]]/Tableau3[[#This Row],[Salariés]],"")</f>
        <v/>
      </c>
      <c r="AA1617" s="197"/>
      <c r="AB1617" s="197"/>
      <c r="AC1617" s="249" t="s">
        <v>1131</v>
      </c>
      <c r="AD1617" s="226"/>
      <c r="AE1617" s="226"/>
      <c r="AF1617" s="226"/>
    </row>
    <row r="1618" spans="1:32" ht="20.25" customHeight="1">
      <c r="A1618" s="217"/>
      <c r="E1618" s="187"/>
      <c r="G1618" s="188"/>
      <c r="H1618" s="188"/>
      <c r="I1618" s="188"/>
      <c r="J1618" s="188"/>
      <c r="K1618" s="188"/>
      <c r="L1618" s="188"/>
      <c r="M1618" s="194"/>
      <c r="N1618" s="190"/>
      <c r="O1618" s="190"/>
      <c r="P1618" s="188"/>
      <c r="Q1618" s="188"/>
      <c r="R1618" s="195"/>
      <c r="S1618" s="197"/>
      <c r="T1618" s="180"/>
      <c r="U1618" s="189" t="str">
        <f>IFERROR(IF(Tableau3[[#This Row],[Dettes]]=0,"",(Tableau3[[#This Row],[Dettes]]/Tableau3[[#This Row],[EBE]])),"")</f>
        <v/>
      </c>
      <c r="V1618" s="190" t="str">
        <f>IFERROR(Tableau3[[#This Row],[Fonds propres]]/Tableau3[[#This Row],[Total Bilan]],"")</f>
        <v/>
      </c>
      <c r="W1618" s="180"/>
      <c r="X1618" s="191"/>
      <c r="Y1618" s="180"/>
      <c r="Z1618" s="192" t="str">
        <f>IFERROR(Tableau3[[#This Row],[Chiffre d''affaires]]/Tableau3[[#This Row],[Salariés]],"")</f>
        <v/>
      </c>
      <c r="AA1618" s="197"/>
      <c r="AB1618" s="197"/>
      <c r="AC1618" s="177" t="s">
        <v>1132</v>
      </c>
      <c r="AD1618" s="226"/>
      <c r="AE1618" s="226"/>
      <c r="AF1618" s="226"/>
    </row>
    <row r="1619" spans="1:32" ht="20.25" customHeight="1">
      <c r="A1619" s="217"/>
      <c r="E1619" s="187"/>
      <c r="G1619" s="188"/>
      <c r="H1619" s="188"/>
      <c r="I1619" s="188"/>
      <c r="J1619" s="188"/>
      <c r="K1619" s="188"/>
      <c r="L1619" s="188"/>
      <c r="M1619" s="194"/>
      <c r="N1619" s="190"/>
      <c r="O1619" s="190"/>
      <c r="P1619" s="188"/>
      <c r="Q1619" s="188"/>
      <c r="R1619" s="195"/>
      <c r="S1619" s="197"/>
      <c r="T1619" s="180"/>
      <c r="U1619" s="189" t="str">
        <f>IFERROR(IF(Tableau3[[#This Row],[Dettes]]=0,"",(Tableau3[[#This Row],[Dettes]]/Tableau3[[#This Row],[EBE]])),"")</f>
        <v/>
      </c>
      <c r="V1619" s="190" t="str">
        <f>IFERROR(Tableau3[[#This Row],[Fonds propres]]/Tableau3[[#This Row],[Total Bilan]],"")</f>
        <v/>
      </c>
      <c r="W1619" s="180"/>
      <c r="X1619" s="191"/>
      <c r="Y1619" s="180"/>
      <c r="Z1619" s="192" t="str">
        <f>IFERROR(Tableau3[[#This Row],[Chiffre d''affaires]]/Tableau3[[#This Row],[Salariés]],"")</f>
        <v/>
      </c>
      <c r="AA1619" s="197"/>
      <c r="AB1619" s="197"/>
      <c r="AC1619" s="177" t="s">
        <v>5171</v>
      </c>
      <c r="AD1619" s="226"/>
      <c r="AE1619" s="226"/>
      <c r="AF1619" s="226"/>
    </row>
    <row r="1620" spans="1:32" ht="20.25" customHeight="1">
      <c r="A1620" s="217"/>
      <c r="E1620" s="187"/>
      <c r="G1620" s="188"/>
      <c r="H1620" s="188"/>
      <c r="I1620" s="188"/>
      <c r="J1620" s="188"/>
      <c r="K1620" s="188"/>
      <c r="L1620" s="188"/>
      <c r="M1620" s="194"/>
      <c r="N1620" s="190"/>
      <c r="O1620" s="190"/>
      <c r="P1620" s="188"/>
      <c r="Q1620" s="188"/>
      <c r="R1620" s="195"/>
      <c r="S1620" s="197"/>
      <c r="T1620" s="180"/>
      <c r="U1620" s="189" t="str">
        <f>IFERROR(IF(Tableau3[[#This Row],[Dettes]]=0,"",(Tableau3[[#This Row],[Dettes]]/Tableau3[[#This Row],[EBE]])),"")</f>
        <v/>
      </c>
      <c r="V1620" s="190" t="str">
        <f>IFERROR(Tableau3[[#This Row],[Fonds propres]]/Tableau3[[#This Row],[Total Bilan]],"")</f>
        <v/>
      </c>
      <c r="W1620" s="180"/>
      <c r="X1620" s="191"/>
      <c r="Y1620" s="180"/>
      <c r="Z1620" s="192" t="str">
        <f>IFERROR(Tableau3[[#This Row],[Chiffre d''affaires]]/Tableau3[[#This Row],[Salariés]],"")</f>
        <v/>
      </c>
      <c r="AA1620" s="197"/>
      <c r="AB1620" s="197"/>
      <c r="AC1620" s="177" t="s">
        <v>1133</v>
      </c>
      <c r="AD1620" s="226"/>
      <c r="AE1620" s="226"/>
      <c r="AF1620" s="226"/>
    </row>
    <row r="1621" spans="1:32" ht="20.25" customHeight="1">
      <c r="A1621" s="217"/>
      <c r="E1621" s="187"/>
      <c r="G1621" s="188"/>
      <c r="H1621" s="188"/>
      <c r="I1621" s="188"/>
      <c r="J1621" s="188"/>
      <c r="K1621" s="188"/>
      <c r="L1621" s="188"/>
      <c r="M1621" s="194"/>
      <c r="N1621" s="190"/>
      <c r="O1621" s="190"/>
      <c r="P1621" s="188"/>
      <c r="Q1621" s="188"/>
      <c r="R1621" s="195"/>
      <c r="S1621" s="197"/>
      <c r="T1621" s="180"/>
      <c r="U1621" s="189" t="str">
        <f>IFERROR(IF(Tableau3[[#This Row],[Dettes]]=0,"",(Tableau3[[#This Row],[Dettes]]/Tableau3[[#This Row],[EBE]])),"")</f>
        <v/>
      </c>
      <c r="V1621" s="190" t="str">
        <f>IFERROR(Tableau3[[#This Row],[Fonds propres]]/Tableau3[[#This Row],[Total Bilan]],"")</f>
        <v/>
      </c>
      <c r="W1621" s="180"/>
      <c r="X1621" s="191"/>
      <c r="Y1621" s="180"/>
      <c r="Z1621" s="192" t="str">
        <f>IFERROR(Tableau3[[#This Row],[Chiffre d''affaires]]/Tableau3[[#This Row],[Salariés]],"")</f>
        <v/>
      </c>
      <c r="AA1621" s="197"/>
      <c r="AB1621" s="197"/>
      <c r="AC1621" s="177" t="s">
        <v>1134</v>
      </c>
      <c r="AD1621" s="226"/>
      <c r="AE1621" s="226"/>
      <c r="AF1621" s="226"/>
    </row>
    <row r="1622" spans="1:32" ht="20.25" customHeight="1">
      <c r="A1622" s="217"/>
      <c r="E1622" s="187"/>
      <c r="G1622" s="188"/>
      <c r="H1622" s="188"/>
      <c r="I1622" s="188"/>
      <c r="J1622" s="188"/>
      <c r="K1622" s="188"/>
      <c r="L1622" s="188"/>
      <c r="M1622" s="194"/>
      <c r="N1622" s="190"/>
      <c r="O1622" s="190"/>
      <c r="P1622" s="188"/>
      <c r="Q1622" s="188"/>
      <c r="R1622" s="195"/>
      <c r="S1622" s="197"/>
      <c r="T1622" s="180"/>
      <c r="U1622" s="189" t="str">
        <f>IFERROR(IF(Tableau3[[#This Row],[Dettes]]=0,"",(Tableau3[[#This Row],[Dettes]]/Tableau3[[#This Row],[EBE]])),"")</f>
        <v/>
      </c>
      <c r="V1622" s="190" t="str">
        <f>IFERROR(Tableau3[[#This Row],[Fonds propres]]/Tableau3[[#This Row],[Total Bilan]],"")</f>
        <v/>
      </c>
      <c r="W1622" s="180"/>
      <c r="X1622" s="191"/>
      <c r="Y1622" s="180"/>
      <c r="Z1622" s="192" t="str">
        <f>IFERROR(Tableau3[[#This Row],[Chiffre d''affaires]]/Tableau3[[#This Row],[Salariés]],"")</f>
        <v/>
      </c>
      <c r="AA1622" s="197"/>
      <c r="AB1622" s="197"/>
      <c r="AC1622" s="177" t="s">
        <v>963</v>
      </c>
      <c r="AD1622" s="226"/>
      <c r="AE1622" s="226"/>
      <c r="AF1622" s="226"/>
    </row>
    <row r="1623" spans="1:32" ht="20.25" customHeight="1">
      <c r="A1623" s="217"/>
      <c r="E1623" s="187"/>
      <c r="G1623" s="188"/>
      <c r="H1623" s="188"/>
      <c r="I1623" s="188"/>
      <c r="J1623" s="188"/>
      <c r="K1623" s="188"/>
      <c r="L1623" s="188"/>
      <c r="M1623" s="194"/>
      <c r="N1623" s="190"/>
      <c r="O1623" s="190"/>
      <c r="P1623" s="188"/>
      <c r="Q1623" s="188"/>
      <c r="R1623" s="195"/>
      <c r="S1623" s="197"/>
      <c r="T1623" s="180"/>
      <c r="U1623" s="189" t="str">
        <f>IFERROR(IF(Tableau3[[#This Row],[Dettes]]=0,"",(Tableau3[[#This Row],[Dettes]]/Tableau3[[#This Row],[EBE]])),"")</f>
        <v/>
      </c>
      <c r="V1623" s="190" t="str">
        <f>IFERROR(Tableau3[[#This Row],[Fonds propres]]/Tableau3[[#This Row],[Total Bilan]],"")</f>
        <v/>
      </c>
      <c r="W1623" s="180"/>
      <c r="X1623" s="191"/>
      <c r="Y1623" s="180"/>
      <c r="Z1623" s="192" t="str">
        <f>IFERROR(Tableau3[[#This Row],[Chiffre d''affaires]]/Tableau3[[#This Row],[Salariés]],"")</f>
        <v/>
      </c>
      <c r="AA1623" s="197"/>
      <c r="AB1623" s="197"/>
      <c r="AC1623" s="177" t="s">
        <v>1135</v>
      </c>
      <c r="AD1623" s="226"/>
      <c r="AE1623" s="226"/>
      <c r="AF1623" s="226"/>
    </row>
    <row r="1624" spans="1:32" ht="20.25" customHeight="1">
      <c r="A1624" s="217"/>
      <c r="E1624" s="187"/>
      <c r="G1624" s="188"/>
      <c r="H1624" s="188"/>
      <c r="I1624" s="188"/>
      <c r="J1624" s="188"/>
      <c r="K1624" s="188"/>
      <c r="L1624" s="188"/>
      <c r="M1624" s="194"/>
      <c r="N1624" s="190"/>
      <c r="O1624" s="190"/>
      <c r="P1624" s="188"/>
      <c r="Q1624" s="188"/>
      <c r="R1624" s="195"/>
      <c r="S1624" s="197"/>
      <c r="T1624" s="180"/>
      <c r="U1624" s="189" t="str">
        <f>IFERROR(IF(Tableau3[[#This Row],[Dettes]]=0,"",(Tableau3[[#This Row],[Dettes]]/Tableau3[[#This Row],[EBE]])),"")</f>
        <v/>
      </c>
      <c r="V1624" s="190" t="str">
        <f>IFERROR(Tableau3[[#This Row],[Fonds propres]]/Tableau3[[#This Row],[Total Bilan]],"")</f>
        <v/>
      </c>
      <c r="W1624" s="180"/>
      <c r="Y1624" s="180"/>
      <c r="Z1624" s="192" t="str">
        <f>IFERROR(Tableau3[[#This Row],[Chiffre d''affaires]]/Tableau3[[#This Row],[Salariés]],"")</f>
        <v/>
      </c>
      <c r="AA1624" s="177"/>
      <c r="AD1624" s="226"/>
      <c r="AE1624" s="226"/>
      <c r="AF1624" s="226"/>
    </row>
    <row r="1625" spans="1:32" ht="20.25" customHeight="1">
      <c r="A1625" s="217"/>
      <c r="E1625" s="187"/>
      <c r="G1625" s="188"/>
      <c r="H1625" s="188"/>
      <c r="I1625" s="188"/>
      <c r="J1625" s="188"/>
      <c r="K1625" s="188"/>
      <c r="L1625" s="188"/>
      <c r="M1625" s="194"/>
      <c r="N1625" s="190"/>
      <c r="O1625" s="190"/>
      <c r="P1625" s="188"/>
      <c r="Q1625" s="188"/>
      <c r="R1625" s="195"/>
      <c r="S1625" s="197"/>
      <c r="T1625" s="180"/>
      <c r="U1625" s="189" t="str">
        <f>IFERROR(IF(Tableau3[[#This Row],[Dettes]]=0,"",(Tableau3[[#This Row],[Dettes]]/Tableau3[[#This Row],[EBE]])),"")</f>
        <v/>
      </c>
      <c r="V1625" s="190" t="str">
        <f>IFERROR(Tableau3[[#This Row],[Fonds propres]]/Tableau3[[#This Row],[Total Bilan]],"")</f>
        <v/>
      </c>
      <c r="W1625" s="180"/>
      <c r="Y1625" s="180"/>
      <c r="Z1625" s="192" t="str">
        <f>IFERROR(Tableau3[[#This Row],[Chiffre d''affaires]]/Tableau3[[#This Row],[Salariés]],"")</f>
        <v/>
      </c>
      <c r="AA1625" s="177"/>
      <c r="AD1625" s="226"/>
      <c r="AE1625" s="226"/>
      <c r="AF1625" s="226"/>
    </row>
    <row r="1626" spans="1:32" ht="20.25" customHeight="1">
      <c r="A1626" s="217" t="s">
        <v>1136</v>
      </c>
      <c r="B1626" s="216" t="s">
        <v>1102</v>
      </c>
      <c r="C1626" s="178" t="s">
        <v>619</v>
      </c>
      <c r="D1626" s="178" t="s">
        <v>85</v>
      </c>
      <c r="E1626" s="187"/>
      <c r="F1626" s="178">
        <v>2025</v>
      </c>
      <c r="G1626" s="188"/>
      <c r="H1626" s="188"/>
      <c r="I1626" s="188"/>
      <c r="J1626" s="188"/>
      <c r="K1626" s="188"/>
      <c r="L1626" s="188"/>
      <c r="M1626" s="194"/>
      <c r="N1626" s="190"/>
      <c r="O1626" s="190"/>
      <c r="P1626" s="188"/>
      <c r="Q1626" s="188"/>
      <c r="R1626" s="195"/>
      <c r="S1626" s="197"/>
      <c r="T1626" s="180"/>
      <c r="U1626" s="189" t="str">
        <f>IFERROR(IF(Tableau3[[#This Row],[Dettes]]=0,"",(Tableau3[[#This Row],[Dettes]]/Tableau3[[#This Row],[EBE]])),"")</f>
        <v/>
      </c>
      <c r="V1626" s="190" t="str">
        <f>IFERROR(Tableau3[[#This Row],[Fonds propres]]/Tableau3[[#This Row],[Total Bilan]],"")</f>
        <v/>
      </c>
      <c r="W1626" s="180"/>
      <c r="Y1626" s="180"/>
      <c r="Z1626" s="192" t="str">
        <f>IFERROR(Tableau3[[#This Row],[Chiffre d''affaires]]/Tableau3[[#This Row],[Salariés]],"")</f>
        <v/>
      </c>
      <c r="AA1626" s="177"/>
      <c r="AC1626" s="177" t="s">
        <v>1137</v>
      </c>
      <c r="AD1626" s="226"/>
      <c r="AE1626" s="226"/>
      <c r="AF1626" s="226"/>
    </row>
    <row r="1627" spans="1:32" ht="20.25" customHeight="1">
      <c r="A1627" s="217"/>
      <c r="E1627" s="187"/>
      <c r="G1627" s="188"/>
      <c r="H1627" s="188"/>
      <c r="I1627" s="188"/>
      <c r="J1627" s="188"/>
      <c r="K1627" s="188"/>
      <c r="L1627" s="188"/>
      <c r="M1627" s="194"/>
      <c r="N1627" s="190"/>
      <c r="O1627" s="190"/>
      <c r="P1627" s="188"/>
      <c r="Q1627" s="188"/>
      <c r="R1627" s="195"/>
      <c r="S1627" s="197"/>
      <c r="T1627" s="180"/>
      <c r="U1627" s="189" t="str">
        <f>IFERROR(IF(Tableau3[[#This Row],[Dettes]]=0,"",(Tableau3[[#This Row],[Dettes]]/Tableau3[[#This Row],[EBE]])),"")</f>
        <v/>
      </c>
      <c r="V1627" s="190" t="str">
        <f>IFERROR(Tableau3[[#This Row],[Fonds propres]]/Tableau3[[#This Row],[Total Bilan]],"")</f>
        <v/>
      </c>
      <c r="W1627" s="180"/>
      <c r="Y1627" s="180"/>
      <c r="Z1627" s="192" t="str">
        <f>IFERROR(Tableau3[[#This Row],[Chiffre d''affaires]]/Tableau3[[#This Row],[Salariés]],"")</f>
        <v/>
      </c>
      <c r="AA1627" s="177"/>
      <c r="AC1627" s="177" t="s">
        <v>1138</v>
      </c>
      <c r="AD1627" s="226"/>
      <c r="AE1627" s="226"/>
      <c r="AF1627" s="226"/>
    </row>
    <row r="1628" spans="1:32" ht="20.25" customHeight="1">
      <c r="A1628" s="217"/>
      <c r="E1628" s="187">
        <v>61.66</v>
      </c>
      <c r="F1628" s="178">
        <v>2024</v>
      </c>
      <c r="G1628" s="188">
        <v>17165000000</v>
      </c>
      <c r="H1628" s="188">
        <v>1927000000</v>
      </c>
      <c r="I1628" s="188">
        <v>1206000000</v>
      </c>
      <c r="J1628" s="188">
        <v>748000000</v>
      </c>
      <c r="K1628" s="188">
        <v>4296000000</v>
      </c>
      <c r="L1628" s="188">
        <v>5087000000</v>
      </c>
      <c r="M1628" s="194">
        <f>L1628/P1628</f>
        <v>18.971132425493106</v>
      </c>
      <c r="N1628" s="190">
        <f>J1628/L1628</f>
        <v>0.14704147827796343</v>
      </c>
      <c r="O1628" s="190">
        <f>(I1628*0.75)/(K1628+(M1628*P1628))</f>
        <v>9.6397740594692527E-2</v>
      </c>
      <c r="P1628" s="188">
        <v>268144246</v>
      </c>
      <c r="Q1628" s="188">
        <f>P1628*E1628</f>
        <v>16533774208.359999</v>
      </c>
      <c r="R1628" s="195">
        <f>Q1628/L1628</f>
        <v>3.250201338384116</v>
      </c>
      <c r="S1628" s="197">
        <f>(Q1628+K1628)/H1628</f>
        <v>10.809431348396471</v>
      </c>
      <c r="T1628" s="180"/>
      <c r="U1628" s="189">
        <f>IFERROR(IF(Tableau3[[#This Row],[Dettes]]=0,"",(Tableau3[[#This Row],[Dettes]]/Tableau3[[#This Row],[EBE]])),"")</f>
        <v>2.2293720809548523</v>
      </c>
      <c r="V1628" s="190">
        <f>IFERROR(Tableau3[[#This Row],[Fonds propres]]/Tableau3[[#This Row],[Total Bilan]],"")</f>
        <v>0.27947478299088013</v>
      </c>
      <c r="W1628" s="180">
        <v>18202000000</v>
      </c>
      <c r="X1628" s="191"/>
      <c r="Y1628" s="180"/>
      <c r="Z1628" s="192" t="str">
        <f>IFERROR(Tableau3[[#This Row],[Chiffre d''affaires]]/Tableau3[[#This Row],[Salariés]],"")</f>
        <v/>
      </c>
      <c r="AA1628" s="197"/>
      <c r="AB1628" s="197"/>
      <c r="AC1628" s="177" t="s">
        <v>1139</v>
      </c>
      <c r="AD1628" s="226"/>
      <c r="AE1628" s="226"/>
      <c r="AF1628" s="226"/>
    </row>
    <row r="1629" spans="1:32" ht="20.25" customHeight="1">
      <c r="A1629" s="217"/>
      <c r="E1629" s="187"/>
      <c r="G1629" s="202">
        <f>(G1628/G1630)-1</f>
        <v>0.1091367278366504</v>
      </c>
      <c r="H1629" s="203">
        <f>(H1628/H1630)-1</f>
        <v>0.41691176470588243</v>
      </c>
      <c r="I1629" s="203">
        <f>(I1628/I1630)-1</f>
        <v>0.4023255813953488</v>
      </c>
      <c r="J1629" s="203">
        <f>(J1628/J1630)-1</f>
        <v>0.4139886578449905</v>
      </c>
      <c r="K1629" s="188"/>
      <c r="L1629" s="188"/>
      <c r="M1629" s="194"/>
      <c r="N1629" s="190"/>
      <c r="O1629" s="190"/>
      <c r="P1629" s="188"/>
      <c r="Q1629" s="188"/>
      <c r="R1629" s="195"/>
      <c r="S1629" s="197"/>
      <c r="T1629" s="180"/>
      <c r="U1629" s="189" t="str">
        <f>IFERROR(IF(Tableau3[[#This Row],[Dettes]]=0,"",(Tableau3[[#This Row],[Dettes]]/Tableau3[[#This Row],[EBE]])),"")</f>
        <v/>
      </c>
      <c r="V1629" s="190" t="str">
        <f>IFERROR(Tableau3[[#This Row],[Fonds propres]]/Tableau3[[#This Row],[Total Bilan]],"")</f>
        <v/>
      </c>
      <c r="W1629" s="180"/>
      <c r="X1629" s="191"/>
      <c r="Y1629" s="180"/>
      <c r="Z1629" s="192" t="str">
        <f>IFERROR(Tableau3[[#This Row],[Chiffre d''affaires]]/Tableau3[[#This Row],[Salariés]],"")</f>
        <v/>
      </c>
      <c r="AA1629" s="197"/>
      <c r="AB1629" s="197"/>
      <c r="AC1629" s="177" t="s">
        <v>1140</v>
      </c>
      <c r="AD1629" s="226"/>
      <c r="AE1629" s="226"/>
      <c r="AF1629" s="226"/>
    </row>
    <row r="1630" spans="1:32" ht="20.25" customHeight="1">
      <c r="A1630" s="217"/>
      <c r="E1630" s="187">
        <v>39.24</v>
      </c>
      <c r="F1630" s="178">
        <v>2023</v>
      </c>
      <c r="G1630" s="188">
        <v>15476000000</v>
      </c>
      <c r="H1630" s="188">
        <v>1360000000</v>
      </c>
      <c r="I1630" s="188">
        <v>860000000</v>
      </c>
      <c r="J1630" s="188">
        <v>529000000</v>
      </c>
      <c r="K1630" s="188">
        <v>1250000000</v>
      </c>
      <c r="L1630" s="188">
        <v>3781000000</v>
      </c>
      <c r="M1630" s="194">
        <f>L1630/P1630</f>
        <v>14.100619559817069</v>
      </c>
      <c r="N1630" s="190">
        <f>J1630/L1630</f>
        <v>0.1399100766992859</v>
      </c>
      <c r="O1630" s="190">
        <f>(I1630*0.75)/(K1630+(M1630*P1630))</f>
        <v>0.12820512820512819</v>
      </c>
      <c r="P1630" s="188">
        <v>268144246</v>
      </c>
      <c r="Q1630" s="188">
        <f>P1630*E1630</f>
        <v>10521980213.040001</v>
      </c>
      <c r="R1630" s="195">
        <f>Q1630/L1630</f>
        <v>2.7828564435440364</v>
      </c>
      <c r="S1630" s="197">
        <f>(Q1630+K1630)/H1630</f>
        <v>8.6558678037058829</v>
      </c>
      <c r="T1630" s="180"/>
      <c r="U1630" s="189">
        <f>IFERROR(IF(Tableau3[[#This Row],[Dettes]]=0,"",(Tableau3[[#This Row],[Dettes]]/Tableau3[[#This Row],[EBE]])),"")</f>
        <v>0.91911764705882348</v>
      </c>
      <c r="V1630" s="190">
        <f>IFERROR(Tableau3[[#This Row],[Fonds propres]]/Tableau3[[#This Row],[Total Bilan]],"")</f>
        <v>0.2837949410793365</v>
      </c>
      <c r="W1630" s="180">
        <v>13323000000</v>
      </c>
      <c r="X1630" s="191"/>
      <c r="Y1630" s="180">
        <v>30000</v>
      </c>
      <c r="Z1630" s="192">
        <f>IFERROR(Tableau3[[#This Row],[Chiffre d''affaires]]/Tableau3[[#This Row],[Salariés]],"")</f>
        <v>515866.66666666669</v>
      </c>
      <c r="AA1630" s="197"/>
      <c r="AB1630" s="197"/>
      <c r="AC1630" s="177" t="s">
        <v>4931</v>
      </c>
      <c r="AD1630" s="226"/>
      <c r="AE1630" s="226"/>
      <c r="AF1630" s="226"/>
    </row>
    <row r="1631" spans="1:32" ht="20.25" customHeight="1">
      <c r="A1631" s="217"/>
      <c r="E1631" s="187"/>
      <c r="G1631" s="202">
        <f>(G1630/G1632)-1</f>
        <v>-3.6963285625388975E-2</v>
      </c>
      <c r="H1631" s="203">
        <f>(H1630/H1632)-1</f>
        <v>-1.9466474405191114E-2</v>
      </c>
      <c r="I1631" s="203">
        <f>(I1630/I1632)-1</f>
        <v>1.2956419316843437E-2</v>
      </c>
      <c r="J1631" s="203">
        <f>(J1630/J1632)-1</f>
        <v>3.9292730844793677E-2</v>
      </c>
      <c r="K1631" s="188"/>
      <c r="L1631" s="188"/>
      <c r="M1631" s="194"/>
      <c r="N1631" s="190"/>
      <c r="O1631" s="190"/>
      <c r="P1631" s="188"/>
      <c r="Q1631" s="188"/>
      <c r="R1631" s="195"/>
      <c r="S1631" s="197"/>
      <c r="T1631" s="180"/>
      <c r="U1631" s="189" t="str">
        <f>IFERROR(IF(Tableau3[[#This Row],[Dettes]]=0,"",(Tableau3[[#This Row],[Dettes]]/Tableau3[[#This Row],[EBE]])),"")</f>
        <v/>
      </c>
      <c r="V1631" s="190" t="str">
        <f>IFERROR(Tableau3[[#This Row],[Fonds propres]]/Tableau3[[#This Row],[Total Bilan]],"")</f>
        <v/>
      </c>
      <c r="W1631" s="180"/>
      <c r="X1631" s="191"/>
      <c r="Y1631" s="180"/>
      <c r="Z1631" s="192" t="str">
        <f>IFERROR(Tableau3[[#This Row],[Chiffre d''affaires]]/Tableau3[[#This Row],[Salariés]],"")</f>
        <v/>
      </c>
      <c r="AA1631" s="197"/>
      <c r="AB1631" s="197"/>
      <c r="AC1631" s="177" t="s">
        <v>4934</v>
      </c>
      <c r="AD1631" s="226"/>
      <c r="AE1631" s="226"/>
      <c r="AF1631" s="226"/>
    </row>
    <row r="1632" spans="1:32" ht="20.25" customHeight="1">
      <c r="A1632" s="217"/>
      <c r="E1632" s="187">
        <v>34.99</v>
      </c>
      <c r="F1632" s="178">
        <v>2022</v>
      </c>
      <c r="G1632" s="188">
        <v>16070000000</v>
      </c>
      <c r="H1632" s="188">
        <v>1387000000</v>
      </c>
      <c r="I1632" s="188">
        <v>849000000</v>
      </c>
      <c r="J1632" s="188">
        <v>509000000</v>
      </c>
      <c r="K1632" s="188">
        <v>1417000000</v>
      </c>
      <c r="L1632" s="188">
        <v>3585000000</v>
      </c>
      <c r="M1632" s="194">
        <f>L1632/P1632</f>
        <v>13.369669696361861</v>
      </c>
      <c r="N1632" s="190">
        <f>J1632/L1632</f>
        <v>0.14198047419804741</v>
      </c>
      <c r="O1632" s="190">
        <f>(I1632*0.75)/(K1632+(M1632*P1632))</f>
        <v>0.12729908036785287</v>
      </c>
      <c r="P1632" s="188">
        <v>268144246</v>
      </c>
      <c r="Q1632" s="188">
        <f>P1632*E1632</f>
        <v>9382367167.5400009</v>
      </c>
      <c r="R1632" s="195">
        <f>Q1632/L1632</f>
        <v>2.6171177594253838</v>
      </c>
      <c r="S1632" s="197">
        <f>(Q1632+K1632)/H1632</f>
        <v>7.7861335021917819</v>
      </c>
      <c r="T1632" s="180"/>
      <c r="U1632" s="189">
        <f>IFERROR(IF(Tableau3[[#This Row],[Dettes]]=0,"",(Tableau3[[#This Row],[Dettes]]/Tableau3[[#This Row],[EBE]])),"")</f>
        <v>1.021629416005768</v>
      </c>
      <c r="V1632" s="190">
        <f>IFERROR(Tableau3[[#This Row],[Fonds propres]]/Tableau3[[#This Row],[Total Bilan]],"")</f>
        <v>0.28095611285266459</v>
      </c>
      <c r="W1632" s="180">
        <v>12760000000</v>
      </c>
      <c r="X1632" s="191"/>
      <c r="Y1632" s="180">
        <v>30000</v>
      </c>
      <c r="Z1632" s="192">
        <f>IFERROR(Tableau3[[#This Row],[Chiffre d''affaires]]/Tableau3[[#This Row],[Salariés]],"")</f>
        <v>535666.66666666663</v>
      </c>
      <c r="AA1632" s="197"/>
      <c r="AB1632" s="197"/>
      <c r="AC1632" s="177" t="s">
        <v>3154</v>
      </c>
      <c r="AD1632" s="226"/>
      <c r="AE1632" s="226"/>
      <c r="AF1632" s="226"/>
    </row>
    <row r="1633" spans="1:32" ht="20.25" customHeight="1">
      <c r="A1633" s="217"/>
      <c r="E1633" s="187"/>
      <c r="G1633" s="202">
        <f>(G1632/G1634)-1</f>
        <v>0.26177763819095468</v>
      </c>
      <c r="H1633" s="203">
        <f>(H1632/H1634)-1</f>
        <v>0.49622437971952538</v>
      </c>
      <c r="I1633" s="203">
        <f>(I1632/I1634)-1</f>
        <v>0.48426573426573416</v>
      </c>
      <c r="J1633" s="203">
        <f>(J1632/J1634)-1</f>
        <v>0.64193548387096766</v>
      </c>
      <c r="K1633" s="188"/>
      <c r="L1633" s="188"/>
      <c r="M1633" s="194"/>
      <c r="N1633" s="190"/>
      <c r="O1633" s="190"/>
      <c r="P1633" s="188"/>
      <c r="Q1633" s="188"/>
      <c r="R1633" s="195"/>
      <c r="S1633" s="197"/>
      <c r="T1633" s="180"/>
      <c r="U1633" s="189" t="str">
        <f>IFERROR(IF(Tableau3[[#This Row],[Dettes]]=0,"",(Tableau3[[#This Row],[Dettes]]/Tableau3[[#This Row],[EBE]])),"")</f>
        <v/>
      </c>
      <c r="V1633" s="190" t="str">
        <f>IFERROR(Tableau3[[#This Row],[Fonds propres]]/Tableau3[[#This Row],[Total Bilan]],"")</f>
        <v/>
      </c>
      <c r="W1633" s="180"/>
      <c r="X1633" s="191"/>
      <c r="Y1633" s="180"/>
      <c r="Z1633" s="192" t="str">
        <f>IFERROR(Tableau3[[#This Row],[Chiffre d''affaires]]/Tableau3[[#This Row],[Salariés]],"")</f>
        <v/>
      </c>
      <c r="AA1633" s="197"/>
      <c r="AB1633" s="197"/>
      <c r="AC1633" s="216" t="s">
        <v>4932</v>
      </c>
      <c r="AD1633" s="226"/>
      <c r="AE1633" s="226"/>
      <c r="AF1633" s="226"/>
    </row>
    <row r="1634" spans="1:32" ht="20.25" customHeight="1">
      <c r="A1634" s="217"/>
      <c r="E1634" s="187">
        <v>33.049999999999997</v>
      </c>
      <c r="F1634" s="178">
        <v>2021</v>
      </c>
      <c r="G1634" s="188">
        <v>12736000000</v>
      </c>
      <c r="H1634" s="188">
        <v>927000000</v>
      </c>
      <c r="I1634" s="188">
        <v>572000000</v>
      </c>
      <c r="J1634" s="188">
        <v>310000000</v>
      </c>
      <c r="K1634" s="188">
        <v>1760000000</v>
      </c>
      <c r="L1634" s="188">
        <v>2915000000</v>
      </c>
      <c r="M1634" s="194">
        <f>L1634/P1634</f>
        <v>10.871014550877216</v>
      </c>
      <c r="N1634" s="190">
        <f>J1634/L1634</f>
        <v>0.10634648370497427</v>
      </c>
      <c r="O1634" s="190">
        <f t="shared" ref="O1634" si="148">(I1634*0.75)/(K1634+(M1634*P1634))</f>
        <v>9.1764705882352943E-2</v>
      </c>
      <c r="P1634" s="188">
        <v>268144246</v>
      </c>
      <c r="Q1634" s="188">
        <f>P1634*E1634</f>
        <v>8862167330.2999992</v>
      </c>
      <c r="R1634" s="195">
        <f>Q1634/L1634</f>
        <v>3.0401946244596911</v>
      </c>
      <c r="S1634" s="197">
        <f>(Q1634+K1634)/H1634</f>
        <v>11.458648684250269</v>
      </c>
      <c r="T1634" s="180"/>
      <c r="U1634" s="189">
        <f>IFERROR(IF(Tableau3[[#This Row],[Dettes]]=0,"",(Tableau3[[#This Row],[Dettes]]/Tableau3[[#This Row],[EBE]])),"")</f>
        <v>1.8985976267529665</v>
      </c>
      <c r="V1634" s="190">
        <f>IFERROR(Tableau3[[#This Row],[Fonds propres]]/Tableau3[[#This Row],[Total Bilan]],"")</f>
        <v>0.24251247920133112</v>
      </c>
      <c r="W1634" s="180">
        <v>12020000000</v>
      </c>
      <c r="X1634" s="191"/>
      <c r="Y1634" s="180"/>
      <c r="Z1634" s="192" t="str">
        <f>IFERROR(Tableau3[[#This Row],[Chiffre d''affaires]]/Tableau3[[#This Row],[Salariés]],"")</f>
        <v/>
      </c>
      <c r="AA1634" s="197"/>
      <c r="AB1634" s="197"/>
      <c r="AC1634" s="216" t="s">
        <v>4933</v>
      </c>
      <c r="AD1634" s="226"/>
      <c r="AE1634" s="226"/>
      <c r="AF1634" s="226"/>
    </row>
    <row r="1635" spans="1:32" ht="20.25" customHeight="1">
      <c r="A1635" s="217"/>
      <c r="E1635" s="187"/>
      <c r="G1635" s="188"/>
      <c r="H1635" s="188"/>
      <c r="I1635" s="188"/>
      <c r="J1635" s="188"/>
      <c r="K1635" s="188"/>
      <c r="L1635" s="188"/>
      <c r="M1635" s="194"/>
      <c r="N1635" s="190"/>
      <c r="O1635" s="190"/>
      <c r="P1635" s="188"/>
      <c r="Q1635" s="188"/>
      <c r="R1635" s="195"/>
      <c r="S1635" s="197"/>
      <c r="T1635" s="180"/>
      <c r="U1635" s="189" t="str">
        <f>IFERROR(IF(Tableau3[[#This Row],[Dettes]]=0,"",(Tableau3[[#This Row],[Dettes]]/Tableau3[[#This Row],[EBE]])),"")</f>
        <v/>
      </c>
      <c r="V1635" s="190" t="str">
        <f>IFERROR(Tableau3[[#This Row],[Fonds propres]]/Tableau3[[#This Row],[Total Bilan]],"")</f>
        <v/>
      </c>
      <c r="W1635" s="180"/>
      <c r="X1635" s="191"/>
      <c r="Y1635" s="180"/>
      <c r="Z1635" s="192" t="str">
        <f>IFERROR(Tableau3[[#This Row],[Chiffre d''affaires]]/Tableau3[[#This Row],[Salariés]],"")</f>
        <v/>
      </c>
      <c r="AA1635" s="197"/>
      <c r="AB1635" s="197"/>
      <c r="AC1635" s="177" t="s">
        <v>4930</v>
      </c>
      <c r="AD1635" s="226"/>
      <c r="AE1635" s="226"/>
      <c r="AF1635" s="226"/>
    </row>
    <row r="1636" spans="1:32" ht="20.25" customHeight="1">
      <c r="A1636" s="217"/>
      <c r="E1636" s="187"/>
      <c r="G1636" s="188"/>
      <c r="H1636" s="188"/>
      <c r="I1636" s="188"/>
      <c r="J1636" s="188"/>
      <c r="K1636" s="188"/>
      <c r="L1636" s="188"/>
      <c r="M1636" s="194"/>
      <c r="N1636" s="190"/>
      <c r="O1636" s="190"/>
      <c r="P1636" s="188"/>
      <c r="Q1636" s="188"/>
      <c r="R1636" s="195"/>
      <c r="S1636" s="197"/>
      <c r="T1636" s="180"/>
      <c r="U1636" s="189" t="str">
        <f>IFERROR(IF(Tableau3[[#This Row],[Dettes]]=0,"",(Tableau3[[#This Row],[Dettes]]/Tableau3[[#This Row],[EBE]])),"")</f>
        <v/>
      </c>
      <c r="V1636" s="190" t="str">
        <f>IFERROR(Tableau3[[#This Row],[Fonds propres]]/Tableau3[[#This Row],[Total Bilan]],"")</f>
        <v/>
      </c>
      <c r="W1636" s="180"/>
      <c r="X1636" s="191"/>
      <c r="Y1636" s="180"/>
      <c r="Z1636" s="192" t="str">
        <f>IFERROR(Tableau3[[#This Row],[Chiffre d''affaires]]/Tableau3[[#This Row],[Salariés]],"")</f>
        <v/>
      </c>
      <c r="AA1636" s="197"/>
      <c r="AB1636" s="197"/>
      <c r="AC1636" s="177" t="s">
        <v>4929</v>
      </c>
      <c r="AD1636" s="226"/>
      <c r="AE1636" s="226"/>
      <c r="AF1636" s="226"/>
    </row>
    <row r="1637" spans="1:32" ht="20.25" customHeight="1">
      <c r="A1637" s="217"/>
      <c r="E1637" s="187"/>
      <c r="G1637" s="188"/>
      <c r="H1637" s="188"/>
      <c r="I1637" s="188"/>
      <c r="J1637" s="188"/>
      <c r="K1637" s="188"/>
      <c r="L1637" s="188"/>
      <c r="M1637" s="194"/>
      <c r="N1637" s="190"/>
      <c r="O1637" s="190"/>
      <c r="P1637" s="188"/>
      <c r="Q1637" s="188"/>
      <c r="R1637" s="195"/>
      <c r="S1637" s="197"/>
      <c r="T1637" s="180"/>
      <c r="U1637" s="189" t="str">
        <f>IFERROR(IF(Tableau3[[#This Row],[Dettes]]=0,"",(Tableau3[[#This Row],[Dettes]]/Tableau3[[#This Row],[EBE]])),"")</f>
        <v/>
      </c>
      <c r="V1637" s="190" t="str">
        <f>IFERROR(Tableau3[[#This Row],[Fonds propres]]/Tableau3[[#This Row],[Total Bilan]],"")</f>
        <v/>
      </c>
      <c r="W1637" s="180"/>
      <c r="X1637" s="191"/>
      <c r="Y1637" s="180"/>
      <c r="Z1637" s="192" t="str">
        <f>IFERROR(Tableau3[[#This Row],[Chiffre d''affaires]]/Tableau3[[#This Row],[Salariés]],"")</f>
        <v/>
      </c>
      <c r="AA1637" s="197"/>
      <c r="AB1637" s="197"/>
      <c r="AC1637" s="177" t="s">
        <v>4935</v>
      </c>
      <c r="AD1637" s="226"/>
      <c r="AE1637" s="226"/>
      <c r="AF1637" s="226"/>
    </row>
    <row r="1638" spans="1:32" ht="20.25" customHeight="1">
      <c r="A1638" s="217"/>
      <c r="E1638" s="187"/>
      <c r="G1638" s="188"/>
      <c r="H1638" s="188"/>
      <c r="I1638" s="188"/>
      <c r="J1638" s="188"/>
      <c r="K1638" s="188"/>
      <c r="L1638" s="188"/>
      <c r="M1638" s="194"/>
      <c r="N1638" s="190"/>
      <c r="O1638" s="190"/>
      <c r="P1638" s="188"/>
      <c r="Q1638" s="188"/>
      <c r="R1638" s="195"/>
      <c r="S1638" s="197"/>
      <c r="T1638" s="180"/>
      <c r="U1638" s="189" t="str">
        <f>IFERROR(IF(Tableau3[[#This Row],[Dettes]]=0,"",(Tableau3[[#This Row],[Dettes]]/Tableau3[[#This Row],[EBE]])),"")</f>
        <v/>
      </c>
      <c r="V1638" s="190" t="str">
        <f>IFERROR(Tableau3[[#This Row],[Fonds propres]]/Tableau3[[#This Row],[Total Bilan]],"")</f>
        <v/>
      </c>
      <c r="W1638" s="180"/>
      <c r="X1638" s="191"/>
      <c r="Y1638" s="180"/>
      <c r="Z1638" s="192" t="str">
        <f>IFERROR(Tableau3[[#This Row],[Chiffre d''affaires]]/Tableau3[[#This Row],[Salariés]],"")</f>
        <v/>
      </c>
      <c r="AA1638" s="197"/>
      <c r="AB1638" s="197"/>
      <c r="AC1638" s="177" t="s">
        <v>483</v>
      </c>
      <c r="AD1638" s="226"/>
      <c r="AE1638" s="226"/>
      <c r="AF1638" s="226"/>
    </row>
    <row r="1639" spans="1:32" ht="20.25" customHeight="1">
      <c r="A1639" s="217"/>
      <c r="E1639" s="187"/>
      <c r="G1639" s="188"/>
      <c r="H1639" s="188"/>
      <c r="I1639" s="188"/>
      <c r="J1639" s="188"/>
      <c r="K1639" s="188"/>
      <c r="L1639" s="188"/>
      <c r="M1639" s="194"/>
      <c r="N1639" s="190"/>
      <c r="O1639" s="190"/>
      <c r="P1639" s="188"/>
      <c r="Q1639" s="188"/>
      <c r="R1639" s="195"/>
      <c r="S1639" s="197"/>
      <c r="T1639" s="180"/>
      <c r="U1639" s="189" t="str">
        <f>IFERROR(IF(Tableau3[[#This Row],[Dettes]]=0,"",(Tableau3[[#This Row],[Dettes]]/Tableau3[[#This Row],[EBE]])),"")</f>
        <v/>
      </c>
      <c r="V1639" s="190" t="str">
        <f>IFERROR(Tableau3[[#This Row],[Fonds propres]]/Tableau3[[#This Row],[Total Bilan]],"")</f>
        <v/>
      </c>
      <c r="W1639" s="180"/>
      <c r="X1639" s="191"/>
      <c r="Y1639" s="180"/>
      <c r="Z1639" s="192" t="str">
        <f>IFERROR(Tableau3[[#This Row],[Chiffre d''affaires]]/Tableau3[[#This Row],[Salariés]],"")</f>
        <v/>
      </c>
      <c r="AA1639" s="197"/>
      <c r="AB1639" s="197"/>
      <c r="AC1639" s="177" t="s">
        <v>4928</v>
      </c>
      <c r="AD1639" s="226"/>
      <c r="AE1639" s="226"/>
      <c r="AF1639" s="226"/>
    </row>
    <row r="1640" spans="1:32" ht="20.25" customHeight="1">
      <c r="A1640" s="217"/>
      <c r="E1640" s="187"/>
      <c r="G1640" s="188"/>
      <c r="H1640" s="188"/>
      <c r="I1640" s="188"/>
      <c r="J1640" s="188"/>
      <c r="K1640" s="188"/>
      <c r="L1640" s="188"/>
      <c r="M1640" s="194"/>
      <c r="N1640" s="190"/>
      <c r="O1640" s="190"/>
      <c r="P1640" s="188"/>
      <c r="Q1640" s="188"/>
      <c r="R1640" s="195"/>
      <c r="S1640" s="197"/>
      <c r="T1640" s="180"/>
      <c r="U1640" s="189" t="str">
        <f>IFERROR(IF(Tableau3[[#This Row],[Dettes]]=0,"",(Tableau3[[#This Row],[Dettes]]/Tableau3[[#This Row],[EBE]])),"")</f>
        <v/>
      </c>
      <c r="V1640" s="190" t="str">
        <f>IFERROR(Tableau3[[#This Row],[Fonds propres]]/Tableau3[[#This Row],[Total Bilan]],"")</f>
        <v/>
      </c>
      <c r="W1640" s="180"/>
      <c r="X1640" s="191"/>
      <c r="Y1640" s="180"/>
      <c r="Z1640" s="192" t="str">
        <f>IFERROR(Tableau3[[#This Row],[Chiffre d''affaires]]/Tableau3[[#This Row],[Salariés]],"")</f>
        <v/>
      </c>
      <c r="AA1640" s="197"/>
      <c r="AB1640" s="197"/>
      <c r="AC1640" s="177" t="s">
        <v>4927</v>
      </c>
      <c r="AD1640" s="226"/>
      <c r="AE1640" s="226"/>
      <c r="AF1640" s="226"/>
    </row>
    <row r="1641" spans="1:32" ht="20.25" customHeight="1">
      <c r="A1641" s="217"/>
      <c r="E1641" s="187"/>
      <c r="G1641" s="188"/>
      <c r="H1641" s="188"/>
      <c r="I1641" s="188"/>
      <c r="J1641" s="188"/>
      <c r="K1641" s="188"/>
      <c r="L1641" s="188"/>
      <c r="M1641" s="194"/>
      <c r="N1641" s="190"/>
      <c r="O1641" s="190"/>
      <c r="P1641" s="188"/>
      <c r="Q1641" s="188"/>
      <c r="R1641" s="195"/>
      <c r="S1641" s="197"/>
      <c r="T1641" s="180"/>
      <c r="U1641" s="189" t="str">
        <f>IFERROR(IF(Tableau3[[#This Row],[Dettes]]=0,"",(Tableau3[[#This Row],[Dettes]]/Tableau3[[#This Row],[EBE]])),"")</f>
        <v/>
      </c>
      <c r="V1641" s="190" t="str">
        <f>IFERROR(Tableau3[[#This Row],[Fonds propres]]/Tableau3[[#This Row],[Total Bilan]],"")</f>
        <v/>
      </c>
      <c r="W1641" s="180"/>
      <c r="X1641" s="191"/>
      <c r="Y1641" s="180"/>
      <c r="Z1641" s="192" t="str">
        <f>IFERROR(Tableau3[[#This Row],[Chiffre d''affaires]]/Tableau3[[#This Row],[Salariés]],"")</f>
        <v/>
      </c>
      <c r="AA1641" s="197"/>
      <c r="AB1641" s="197"/>
      <c r="AC1641" s="177" t="s">
        <v>2271</v>
      </c>
      <c r="AD1641" s="226"/>
      <c r="AE1641" s="226"/>
      <c r="AF1641" s="226"/>
    </row>
    <row r="1642" spans="1:32" ht="20.25" customHeight="1">
      <c r="A1642" s="217"/>
      <c r="E1642" s="187"/>
      <c r="G1642" s="188"/>
      <c r="H1642" s="188"/>
      <c r="I1642" s="188"/>
      <c r="J1642" s="188"/>
      <c r="K1642" s="188"/>
      <c r="L1642" s="188"/>
      <c r="M1642" s="194"/>
      <c r="N1642" s="190"/>
      <c r="O1642" s="190"/>
      <c r="P1642" s="188"/>
      <c r="Q1642" s="188"/>
      <c r="R1642" s="195"/>
      <c r="S1642" s="197"/>
      <c r="T1642" s="180"/>
      <c r="U1642" s="189" t="str">
        <f>IFERROR(IF(Tableau3[[#This Row],[Dettes]]=0,"",(Tableau3[[#This Row],[Dettes]]/Tableau3[[#This Row],[EBE]])),"")</f>
        <v/>
      </c>
      <c r="V1642" s="190" t="str">
        <f>IFERROR(Tableau3[[#This Row],[Fonds propres]]/Tableau3[[#This Row],[Total Bilan]],"")</f>
        <v/>
      </c>
      <c r="W1642" s="180"/>
      <c r="X1642" s="191"/>
      <c r="Y1642" s="180"/>
      <c r="Z1642" s="192" t="str">
        <f>IFERROR(Tableau3[[#This Row],[Chiffre d''affaires]]/Tableau3[[#This Row],[Salariés]],"")</f>
        <v/>
      </c>
      <c r="AA1642" s="197"/>
      <c r="AB1642" s="197"/>
      <c r="AD1642" s="226"/>
      <c r="AE1642" s="226"/>
      <c r="AF1642" s="226"/>
    </row>
    <row r="1643" spans="1:32" ht="20.25" customHeight="1">
      <c r="A1643" s="217"/>
      <c r="E1643" s="187"/>
      <c r="G1643" s="188"/>
      <c r="H1643" s="188"/>
      <c r="I1643" s="188"/>
      <c r="J1643" s="188"/>
      <c r="K1643" s="188"/>
      <c r="L1643" s="188"/>
      <c r="M1643" s="194"/>
      <c r="N1643" s="190"/>
      <c r="O1643" s="190"/>
      <c r="P1643" s="188"/>
      <c r="Q1643" s="188"/>
      <c r="R1643" s="195"/>
      <c r="S1643" s="197"/>
      <c r="T1643" s="180"/>
      <c r="U1643" s="189" t="str">
        <f>IFERROR(IF(Tableau3[[#This Row],[Dettes]]=0,"",(Tableau3[[#This Row],[Dettes]]/Tableau3[[#This Row],[EBE]])),"")</f>
        <v/>
      </c>
      <c r="V1643" s="190" t="str">
        <f>IFERROR(Tableau3[[#This Row],[Fonds propres]]/Tableau3[[#This Row],[Total Bilan]],"")</f>
        <v/>
      </c>
      <c r="W1643" s="180"/>
      <c r="Y1643" s="180"/>
      <c r="Z1643" s="192" t="str">
        <f>IFERROR(Tableau3[[#This Row],[Chiffre d''affaires]]/Tableau3[[#This Row],[Salariés]],"")</f>
        <v/>
      </c>
      <c r="AA1643" s="197"/>
      <c r="AB1643" s="197"/>
      <c r="AD1643" s="226"/>
      <c r="AE1643" s="226"/>
      <c r="AF1643" s="226"/>
    </row>
    <row r="1644" spans="1:32" ht="20.25" customHeight="1">
      <c r="A1644" s="217" t="s">
        <v>1141</v>
      </c>
      <c r="B1644" s="216" t="s">
        <v>1142</v>
      </c>
      <c r="C1644" s="178" t="s">
        <v>84</v>
      </c>
      <c r="D1644" s="178" t="s">
        <v>85</v>
      </c>
      <c r="E1644" s="187">
        <v>308</v>
      </c>
      <c r="F1644" s="178">
        <v>2025</v>
      </c>
      <c r="G1644" s="188">
        <f>G1646*1.07</f>
        <v>1495325000</v>
      </c>
      <c r="H1644" s="188">
        <v>310000000</v>
      </c>
      <c r="I1644" s="188">
        <f>Tableau3[[#This Row],[Chiffre d''affaires]]*0.16</f>
        <v>239252000</v>
      </c>
      <c r="J1644" s="188">
        <v>170000000</v>
      </c>
      <c r="K1644" s="188">
        <v>90000000</v>
      </c>
      <c r="L1644" s="188">
        <v>1100000000</v>
      </c>
      <c r="M1644" s="250">
        <f>L1644/P1644</f>
        <v>131.09814960920832</v>
      </c>
      <c r="N1644" s="190">
        <f>J1644/L1646</f>
        <v>0.16296543407281294</v>
      </c>
      <c r="O1644" s="190">
        <f>(I1644*0.72)/(K1646+L1646)</f>
        <v>0.14216907959784297</v>
      </c>
      <c r="P1644" s="188">
        <v>8390660</v>
      </c>
      <c r="Q1644" s="188">
        <f>P1644*E1644</f>
        <v>2584323280</v>
      </c>
      <c r="R1644" s="195">
        <f>Q1644/L1644</f>
        <v>2.3493848000000002</v>
      </c>
      <c r="S1644" s="197">
        <f>(Q1644+K1644)/H1644</f>
        <v>8.6268492903225802</v>
      </c>
      <c r="T1644" s="180">
        <v>120000000</v>
      </c>
      <c r="U1644" s="189">
        <f>IFERROR(IF(Tableau3[[#This Row],[Dettes]]=0,"",(Tableau3[[#This Row],[Dettes]]/Tableau3[[#This Row],[EBE]])),"")</f>
        <v>0.29032258064516131</v>
      </c>
      <c r="V1644" s="190">
        <f>IFERROR(Tableau3[[#This Row],[Fonds propres]]/Tableau3[[#This Row],[Total Bilan]],"")</f>
        <v>0.56994818652849744</v>
      </c>
      <c r="W1644" s="180">
        <v>1930000000</v>
      </c>
      <c r="X1644" s="191" t="s">
        <v>106</v>
      </c>
      <c r="Y1644" s="180">
        <v>6400</v>
      </c>
      <c r="Z1644" s="192">
        <f>IFERROR(Tableau3[[#This Row],[Chiffre d''affaires]]/Tableau3[[#This Row],[Salariés]],"")</f>
        <v>233644.53125</v>
      </c>
      <c r="AA1644" s="197" t="s">
        <v>488</v>
      </c>
      <c r="AB1644" s="197"/>
      <c r="AC1644" s="177" t="s">
        <v>1143</v>
      </c>
      <c r="AD1644" s="226"/>
      <c r="AE1644" s="226"/>
      <c r="AF1644" s="226"/>
    </row>
    <row r="1645" spans="1:32" ht="20.25" customHeight="1">
      <c r="A1645" s="217"/>
      <c r="E1645" s="187"/>
      <c r="G1645" s="202">
        <f>(G1644/G1646)-1</f>
        <v>7.0000000000000062E-2</v>
      </c>
      <c r="H1645" s="203">
        <f>(H1644/H1646)-1</f>
        <v>9.540636042402828E-2</v>
      </c>
      <c r="I1645" s="203">
        <f>(I1644/I1646)-1</f>
        <v>0.10216284694230104</v>
      </c>
      <c r="J1645" s="203">
        <f>(J1644/J1646)-1</f>
        <v>0.1700736458118246</v>
      </c>
      <c r="K1645" s="188"/>
      <c r="L1645" s="188"/>
      <c r="M1645" s="194"/>
      <c r="N1645" s="190"/>
      <c r="O1645" s="190"/>
      <c r="P1645" s="188"/>
      <c r="Q1645" s="188"/>
      <c r="R1645" s="195"/>
      <c r="S1645" s="197"/>
      <c r="T1645" s="180"/>
      <c r="U1645" s="189" t="str">
        <f>IFERROR(IF(Tableau3[[#This Row],[Dettes]]=0,"",(Tableau3[[#This Row],[Dettes]]/Tableau3[[#This Row],[EBE]])),"")</f>
        <v/>
      </c>
      <c r="V1645" s="190" t="str">
        <f>IFERROR(Tableau3[[#This Row],[Fonds propres]]/Tableau3[[#This Row],[Total Bilan]],"")</f>
        <v/>
      </c>
      <c r="W1645" s="180"/>
      <c r="X1645" s="191"/>
      <c r="Y1645" s="180"/>
      <c r="Z1645" s="192" t="str">
        <f>IFERROR(Tableau3[[#This Row],[Chiffre d''affaires]]/Tableau3[[#This Row],[Salariés]],"")</f>
        <v/>
      </c>
      <c r="AA1645" s="197" t="s">
        <v>491</v>
      </c>
      <c r="AB1645" s="197"/>
      <c r="AC1645" s="177" t="s">
        <v>1145</v>
      </c>
      <c r="AD1645" s="226"/>
      <c r="AE1645" s="226"/>
      <c r="AF1645" s="226"/>
    </row>
    <row r="1646" spans="1:32" ht="20.25" customHeight="1">
      <c r="A1646" s="217"/>
      <c r="E1646" s="187">
        <v>316.5</v>
      </c>
      <c r="F1646" s="178">
        <v>2024</v>
      </c>
      <c r="G1646" s="188">
        <f>1397500000</f>
        <v>1397500000</v>
      </c>
      <c r="H1646" s="188">
        <v>283000000</v>
      </c>
      <c r="I1646" s="188">
        <v>217075000</v>
      </c>
      <c r="J1646" s="188">
        <v>145290000</v>
      </c>
      <c r="K1646" s="188">
        <v>168500000</v>
      </c>
      <c r="L1646" s="188">
        <v>1043166000</v>
      </c>
      <c r="M1646" s="250">
        <f>L1646/P1646</f>
        <v>124.32466575930856</v>
      </c>
      <c r="N1646" s="190">
        <f>J1646/L1648</f>
        <v>0.16137954015328224</v>
      </c>
      <c r="O1646" s="190">
        <f>(I1646*0.72)/(K1648+L1648)</f>
        <v>0.1843306993749263</v>
      </c>
      <c r="P1646" s="188">
        <v>8390660</v>
      </c>
      <c r="Q1646" s="188">
        <f>P1646*E1646</f>
        <v>2655643890</v>
      </c>
      <c r="R1646" s="195">
        <f>Q1646/L1646</f>
        <v>2.5457538780980209</v>
      </c>
      <c r="S1646" s="197">
        <f>(Q1646+K1646)/H1646</f>
        <v>9.9793070318021204</v>
      </c>
      <c r="T1646" s="180">
        <v>119200000</v>
      </c>
      <c r="U1646" s="189">
        <f>IFERROR(IF(Tableau3[[#This Row],[Dettes]]=0,"",(Tableau3[[#This Row],[Dettes]]/Tableau3[[#This Row],[EBE]])),"")</f>
        <v>0.59540636042402828</v>
      </c>
      <c r="V1646" s="190">
        <f>IFERROR(Tableau3[[#This Row],[Fonds propres]]/Tableau3[[#This Row],[Total Bilan]],"")</f>
        <v>0.56432436292345989</v>
      </c>
      <c r="W1646" s="180">
        <v>1848522000</v>
      </c>
      <c r="X1646" s="191"/>
      <c r="Y1646" s="180">
        <v>6400</v>
      </c>
      <c r="Z1646" s="192">
        <f>IFERROR(Tableau3[[#This Row],[Chiffre d''affaires]]/Tableau3[[#This Row],[Salariés]],"")</f>
        <v>218359.375</v>
      </c>
      <c r="AA1646" s="197" t="s">
        <v>168</v>
      </c>
      <c r="AB1646" s="197"/>
      <c r="AC1646" s="177" t="s">
        <v>1146</v>
      </c>
      <c r="AD1646" s="226"/>
      <c r="AE1646" s="226"/>
      <c r="AF1646" s="226"/>
    </row>
    <row r="1647" spans="1:32" ht="20.25" customHeight="1">
      <c r="A1647" s="217"/>
      <c r="E1647" s="187"/>
      <c r="G1647" s="202">
        <f>(G1646/G1648)-1</f>
        <v>0.12076496234515943</v>
      </c>
      <c r="H1647" s="203">
        <f>(H1646/H1648)-1</f>
        <v>0.21563573883161502</v>
      </c>
      <c r="I1647" s="203">
        <f>(I1646/I1648)-1</f>
        <v>0.17976825835063415</v>
      </c>
      <c r="J1647" s="203">
        <f>(J1646/J1648)-1</f>
        <v>0.19975227085053682</v>
      </c>
      <c r="K1647" s="188"/>
      <c r="L1647" s="188"/>
      <c r="M1647" s="194"/>
      <c r="N1647" s="190"/>
      <c r="O1647" s="190"/>
      <c r="P1647" s="188"/>
      <c r="Q1647" s="188"/>
      <c r="R1647" s="195"/>
      <c r="S1647" s="197"/>
      <c r="T1647" s="180"/>
      <c r="U1647" s="189" t="str">
        <f>IFERROR(IF(Tableau3[[#This Row],[Dettes]]=0,"",(Tableau3[[#This Row],[Dettes]]/Tableau3[[#This Row],[EBE]])),"")</f>
        <v/>
      </c>
      <c r="V1647" s="190" t="str">
        <f>IFERROR(Tableau3[[#This Row],[Fonds propres]]/Tableau3[[#This Row],[Total Bilan]],"")</f>
        <v/>
      </c>
      <c r="W1647" s="180"/>
      <c r="X1647" s="191"/>
      <c r="Y1647" s="180"/>
      <c r="Z1647" s="192" t="str">
        <f>IFERROR(Tableau3[[#This Row],[Chiffre d''affaires]]/Tableau3[[#This Row],[Salariés]],"")</f>
        <v/>
      </c>
      <c r="AA1647" s="197" t="s">
        <v>107</v>
      </c>
      <c r="AB1647" s="197"/>
      <c r="AC1647" s="177" t="s">
        <v>5132</v>
      </c>
      <c r="AD1647" s="226"/>
      <c r="AE1647" s="226"/>
      <c r="AF1647" s="226"/>
    </row>
    <row r="1648" spans="1:32" ht="20.25" customHeight="1">
      <c r="A1648" s="217"/>
      <c r="E1648" s="187">
        <v>359.5</v>
      </c>
      <c r="F1648" s="178">
        <v>2023</v>
      </c>
      <c r="G1648" s="188">
        <f>G1650*1.0252</f>
        <v>1246916210.7599998</v>
      </c>
      <c r="H1648" s="188">
        <v>232800000</v>
      </c>
      <c r="I1648" s="188">
        <v>183998000</v>
      </c>
      <c r="J1648" s="188">
        <v>121100000</v>
      </c>
      <c r="K1648" s="188">
        <v>-52400000</v>
      </c>
      <c r="L1648" s="188">
        <v>900300000</v>
      </c>
      <c r="M1648" s="250">
        <f>L1648/P1648</f>
        <v>106.44360368881533</v>
      </c>
      <c r="N1648" s="190">
        <f>J1648/L1650</f>
        <v>0.14423535016674607</v>
      </c>
      <c r="O1648" s="190">
        <f>(I1648*0.72)/(K1650+L1650)</f>
        <v>0.17426803472770325</v>
      </c>
      <c r="P1648" s="188">
        <v>8458000</v>
      </c>
      <c r="Q1648" s="188">
        <f>P1648*E1648</f>
        <v>3040651000</v>
      </c>
      <c r="R1648" s="195">
        <f>Q1648/L1648</f>
        <v>3.3773753193379985</v>
      </c>
      <c r="S1648" s="197">
        <f>(Q1648+K1648)/H1648</f>
        <v>12.836129725085911</v>
      </c>
      <c r="T1648" s="180">
        <v>58600000</v>
      </c>
      <c r="U1648" s="189">
        <f>IFERROR(IF(Tableau3[[#This Row],[Dettes]]=0,"",(Tableau3[[#This Row],[Dettes]]/Tableau3[[#This Row],[EBE]])),"")</f>
        <v>-0.22508591065292097</v>
      </c>
      <c r="V1648" s="190">
        <f>IFERROR(Tableau3[[#This Row],[Fonds propres]]/Tableau3[[#This Row],[Total Bilan]],"")</f>
        <v>0.61845259766577598</v>
      </c>
      <c r="W1648" s="180">
        <v>1455730000</v>
      </c>
      <c r="X1648" s="191"/>
      <c r="Y1648" s="180">
        <v>5500</v>
      </c>
      <c r="Z1648" s="192">
        <f>IFERROR(Tableau3[[#This Row],[Chiffre d''affaires]]/Tableau3[[#This Row],[Salariés]],"")</f>
        <v>226712.03831999996</v>
      </c>
      <c r="AB1648" s="197"/>
      <c r="AC1648" s="177" t="s">
        <v>1147</v>
      </c>
      <c r="AD1648" s="226"/>
      <c r="AE1648" s="226"/>
      <c r="AF1648" s="226"/>
    </row>
    <row r="1649" spans="1:32" ht="20.25" customHeight="1">
      <c r="A1649" s="217"/>
      <c r="E1649" s="187"/>
      <c r="G1649" s="202">
        <f>(G1648/G1650)-1</f>
        <v>2.5199999999999889E-2</v>
      </c>
      <c r="H1649" s="203">
        <f>(H1648/H1650)-1</f>
        <v>1.6593886462882068E-2</v>
      </c>
      <c r="I1649" s="203">
        <f>(I1648/I1650)-1</f>
        <v>2.5058495821727034E-2</v>
      </c>
      <c r="J1649" s="203">
        <f>(J1648/J1650)-1</f>
        <v>-7.3770491803278881E-3</v>
      </c>
      <c r="K1649" s="188"/>
      <c r="L1649" s="188"/>
      <c r="M1649" s="250"/>
      <c r="N1649" s="190"/>
      <c r="O1649" s="190"/>
      <c r="P1649" s="188"/>
      <c r="Q1649" s="188"/>
      <c r="R1649" s="195"/>
      <c r="S1649" s="197"/>
      <c r="T1649" s="180"/>
      <c r="U1649" s="189" t="str">
        <f>IFERROR(IF(Tableau3[[#This Row],[Dettes]]=0,"",(Tableau3[[#This Row],[Dettes]]/Tableau3[[#This Row],[EBE]])),"")</f>
        <v/>
      </c>
      <c r="V1649" s="190" t="str">
        <f>IFERROR(Tableau3[[#This Row],[Fonds propres]]/Tableau3[[#This Row],[Total Bilan]],"")</f>
        <v/>
      </c>
      <c r="W1649" s="180"/>
      <c r="X1649" s="191"/>
      <c r="Y1649" s="180"/>
      <c r="Z1649" s="192" t="str">
        <f>IFERROR(Tableau3[[#This Row],[Chiffre d''affaires]]/Tableau3[[#This Row],[Salariés]],"")</f>
        <v/>
      </c>
      <c r="AB1649" s="197"/>
      <c r="AC1649" s="177" t="s">
        <v>5138</v>
      </c>
      <c r="AD1649" s="226"/>
      <c r="AE1649" s="226"/>
      <c r="AF1649" s="226"/>
    </row>
    <row r="1650" spans="1:32" ht="20.25" customHeight="1">
      <c r="A1650" s="217"/>
      <c r="E1650" s="187">
        <v>228</v>
      </c>
      <c r="F1650" s="178">
        <v>2022</v>
      </c>
      <c r="G1650" s="188">
        <f>G1652*1.143</f>
        <v>1216266300</v>
      </c>
      <c r="H1650" s="188">
        <v>229000000</v>
      </c>
      <c r="I1650" s="188">
        <v>179500000</v>
      </c>
      <c r="J1650" s="188">
        <v>122000000</v>
      </c>
      <c r="K1650" s="188">
        <v>-79400000</v>
      </c>
      <c r="L1650" s="188">
        <v>839600000</v>
      </c>
      <c r="M1650" s="250">
        <f>L1650/P1650</f>
        <v>99.266966185859545</v>
      </c>
      <c r="N1650" s="190">
        <f>J1650/L1652</f>
        <v>0.16829907573458408</v>
      </c>
      <c r="O1650" s="190">
        <f>(I1650*0.72)/(K1652+L1652)</f>
        <v>0.19849485486100446</v>
      </c>
      <c r="P1650" s="188">
        <v>8458000</v>
      </c>
      <c r="Q1650" s="188">
        <f>P1650*E1650</f>
        <v>1928424000</v>
      </c>
      <c r="R1650" s="195">
        <f>Q1650/L1650</f>
        <v>2.2968365888518343</v>
      </c>
      <c r="S1650" s="197">
        <f>(Q1650+K1650)/H1650</f>
        <v>8.0743406113537119</v>
      </c>
      <c r="T1650" s="180">
        <v>46500000</v>
      </c>
      <c r="U1650" s="189">
        <f>IFERROR(IF(Tableau3[[#This Row],[Dettes]]=0,"",(Tableau3[[#This Row],[Dettes]]/Tableau3[[#This Row],[EBE]])),"")</f>
        <v>-0.34672489082969432</v>
      </c>
      <c r="V1650" s="190">
        <f>IFERROR(Tableau3[[#This Row],[Fonds propres]]/Tableau3[[#This Row],[Total Bilan]],"")</f>
        <v>0.63127819548872177</v>
      </c>
      <c r="W1650" s="180">
        <v>1330000000</v>
      </c>
      <c r="X1650" s="191"/>
      <c r="Y1650" s="180">
        <v>5100</v>
      </c>
      <c r="Z1650" s="192">
        <f>IFERROR(Tableau3[[#This Row],[Chiffre d''affaires]]/Tableau3[[#This Row],[Salariés]],"")</f>
        <v>238483.58823529413</v>
      </c>
      <c r="AB1650" s="197"/>
      <c r="AC1650" s="177" t="s">
        <v>2645</v>
      </c>
      <c r="AD1650" s="226"/>
      <c r="AE1650" s="226"/>
      <c r="AF1650" s="226"/>
    </row>
    <row r="1651" spans="1:32" ht="20.25" customHeight="1">
      <c r="A1651" s="217"/>
      <c r="E1651" s="187"/>
      <c r="G1651" s="202">
        <f>(G1650/G1652)-1</f>
        <v>0.14300000000000002</v>
      </c>
      <c r="H1651" s="203">
        <f>(H1650/H1652)-1</f>
        <v>9.0476190476190377E-2</v>
      </c>
      <c r="I1651" s="203">
        <f>(I1650/I1652)-1</f>
        <v>7.1002386634844816E-2</v>
      </c>
      <c r="J1651" s="203">
        <f>(J1650/J1652)-1</f>
        <v>7.7738515901060179E-2</v>
      </c>
      <c r="K1651" s="188"/>
      <c r="L1651" s="188"/>
      <c r="M1651" s="250"/>
      <c r="N1651" s="190"/>
      <c r="O1651" s="190"/>
      <c r="P1651" s="188"/>
      <c r="Q1651" s="188"/>
      <c r="R1651" s="195"/>
      <c r="S1651" s="197"/>
      <c r="T1651" s="180"/>
      <c r="U1651" s="189" t="str">
        <f>IFERROR(IF(Tableau3[[#This Row],[Dettes]]=0,"",(Tableau3[[#This Row],[Dettes]]/Tableau3[[#This Row],[EBE]])),"")</f>
        <v/>
      </c>
      <c r="V1651" s="190" t="str">
        <f>IFERROR(Tableau3[[#This Row],[Fonds propres]]/Tableau3[[#This Row],[Total Bilan]],"")</f>
        <v/>
      </c>
      <c r="W1651" s="180"/>
      <c r="X1651" s="191"/>
      <c r="Y1651" s="180"/>
      <c r="Z1651" s="192" t="str">
        <f>IFERROR(Tableau3[[#This Row],[Chiffre d''affaires]]/Tableau3[[#This Row],[Salariés]],"")</f>
        <v/>
      </c>
      <c r="AB1651" s="197"/>
      <c r="AC1651" s="177" t="s">
        <v>5133</v>
      </c>
      <c r="AD1651" s="226"/>
      <c r="AE1651" s="226"/>
      <c r="AF1651" s="226"/>
    </row>
    <row r="1652" spans="1:32" ht="20.25" customHeight="1">
      <c r="A1652" s="217"/>
      <c r="E1652" s="187">
        <v>424.5</v>
      </c>
      <c r="F1652" s="178">
        <v>2021</v>
      </c>
      <c r="G1652" s="188">
        <v>1064100000</v>
      </c>
      <c r="H1652" s="188">
        <v>210000000</v>
      </c>
      <c r="I1652" s="188">
        <v>167600000</v>
      </c>
      <c r="J1652" s="188">
        <v>113200000</v>
      </c>
      <c r="K1652" s="188">
        <v>-73800000</v>
      </c>
      <c r="L1652" s="188">
        <v>724900000</v>
      </c>
      <c r="M1652" s="250">
        <f>L1652/P1652</f>
        <v>85.705840624261057</v>
      </c>
      <c r="N1652" s="190">
        <f>J1652/L1654</f>
        <v>0.1817306148659496</v>
      </c>
      <c r="O1652" s="190">
        <f>(I1652*0.72)/(K1654+L1654)</f>
        <v>0.21567828418230564</v>
      </c>
      <c r="P1652" s="188">
        <v>8458000</v>
      </c>
      <c r="Q1652" s="188">
        <f>P1652*E1652</f>
        <v>3590421000</v>
      </c>
      <c r="R1652" s="195">
        <f>Q1652/L1652</f>
        <v>4.9529879983445992</v>
      </c>
      <c r="S1652" s="197">
        <f>(Q1652+K1652)/H1652</f>
        <v>16.745814285714285</v>
      </c>
      <c r="T1652" s="180">
        <v>79100000</v>
      </c>
      <c r="U1652" s="189">
        <f>IFERROR(IF(Tableau3[[#This Row],[Dettes]]=0,"",(Tableau3[[#This Row],[Dettes]]/Tableau3[[#This Row],[EBE]])),"")</f>
        <v>-0.35142857142857142</v>
      </c>
      <c r="V1652" s="190">
        <f>IFERROR(Tableau3[[#This Row],[Fonds propres]]/Tableau3[[#This Row],[Total Bilan]],"")</f>
        <v>0.60408333333333331</v>
      </c>
      <c r="W1652" s="180">
        <v>1200000000</v>
      </c>
      <c r="X1652" s="191"/>
      <c r="Y1652" s="180">
        <v>5100</v>
      </c>
      <c r="Z1652" s="192">
        <f>IFERROR(Tableau3[[#This Row],[Chiffre d''affaires]]/Tableau3[[#This Row],[Salariés]],"")</f>
        <v>208647.0588235294</v>
      </c>
      <c r="AA1652" s="197"/>
      <c r="AB1652" s="197"/>
      <c r="AC1652" s="177" t="s">
        <v>5134</v>
      </c>
      <c r="AD1652" s="226"/>
      <c r="AE1652" s="226"/>
      <c r="AF1652" s="226"/>
    </row>
    <row r="1653" spans="1:32" ht="20.25" customHeight="1">
      <c r="A1653" s="217"/>
      <c r="E1653" s="187"/>
      <c r="G1653" s="202">
        <f>(G1652/G1654)-1</f>
        <v>0.13904945407835578</v>
      </c>
      <c r="H1653" s="203">
        <f>(H1652/H1654)-1</f>
        <v>0.60565189466923552</v>
      </c>
      <c r="I1653" s="203">
        <f>(I1652/I1654)-1</f>
        <v>0.39087136929460575</v>
      </c>
      <c r="J1653" s="203">
        <f>(J1652/J1654)-1</f>
        <v>-0.17672727272727273</v>
      </c>
      <c r="K1653" s="188"/>
      <c r="L1653" s="188"/>
      <c r="M1653" s="250"/>
      <c r="N1653" s="190"/>
      <c r="O1653" s="190"/>
      <c r="P1653" s="188"/>
      <c r="Q1653" s="188"/>
      <c r="R1653" s="195"/>
      <c r="S1653" s="197"/>
      <c r="T1653" s="180"/>
      <c r="U1653" s="189" t="str">
        <f>IFERROR(IF(Tableau3[[#This Row],[Dettes]]=0,"",(Tableau3[[#This Row],[Dettes]]/Tableau3[[#This Row],[EBE]])),"")</f>
        <v/>
      </c>
      <c r="V1653" s="190" t="str">
        <f>IFERROR(Tableau3[[#This Row],[Fonds propres]]/Tableau3[[#This Row],[Total Bilan]],"")</f>
        <v/>
      </c>
      <c r="W1653" s="180"/>
      <c r="X1653" s="191"/>
      <c r="Y1653" s="180"/>
      <c r="Z1653" s="192" t="str">
        <f>IFERROR(Tableau3[[#This Row],[Chiffre d''affaires]]/Tableau3[[#This Row],[Salariés]],"")</f>
        <v/>
      </c>
      <c r="AA1653" s="197"/>
      <c r="AB1653" s="197"/>
      <c r="AC1653" s="177" t="s">
        <v>1148</v>
      </c>
      <c r="AD1653" s="226"/>
      <c r="AE1653" s="226"/>
      <c r="AF1653" s="226"/>
    </row>
    <row r="1654" spans="1:32" ht="20.25" customHeight="1">
      <c r="A1654" s="217"/>
      <c r="E1654" s="187">
        <v>238</v>
      </c>
      <c r="F1654" s="178">
        <v>2020</v>
      </c>
      <c r="G1654" s="188">
        <v>934200000</v>
      </c>
      <c r="H1654" s="188">
        <f>G1654*0.14</f>
        <v>130788000.00000001</v>
      </c>
      <c r="I1654" s="188">
        <v>120500000</v>
      </c>
      <c r="J1654" s="188">
        <v>137500000</v>
      </c>
      <c r="K1654" s="188">
        <v>-63400000</v>
      </c>
      <c r="L1654" s="188">
        <v>622900000</v>
      </c>
      <c r="M1654" s="250">
        <f>L1654/P1654</f>
        <v>73.646252069047051</v>
      </c>
      <c r="N1654" s="190">
        <f>J1654/L1656</f>
        <v>0.26554654306682118</v>
      </c>
      <c r="O1654" s="190">
        <f>(I1654*0.72)/(K1656+L1656)</f>
        <v>9.7901150981719698E-2</v>
      </c>
      <c r="P1654" s="188">
        <v>8458000</v>
      </c>
      <c r="Q1654" s="188">
        <f>P1654*E1654</f>
        <v>2013004000</v>
      </c>
      <c r="R1654" s="195">
        <f>Q1654/L1654</f>
        <v>3.2316647937068552</v>
      </c>
      <c r="S1654" s="197">
        <f>(Q1654+K1654)/H1654</f>
        <v>14.906596935498667</v>
      </c>
      <c r="T1654" s="180">
        <v>169400000</v>
      </c>
      <c r="U1654" s="189">
        <f>IFERROR(IF(Tableau3[[#This Row],[Dettes]]=0,"",(Tableau3[[#This Row],[Dettes]]/Tableau3[[#This Row],[EBE]])),"")</f>
        <v>-0.48475395296204538</v>
      </c>
      <c r="V1654" s="190">
        <f>IFERROR(Tableau3[[#This Row],[Fonds propres]]/Tableau3[[#This Row],[Total Bilan]],"")</f>
        <v>0.56117117117117121</v>
      </c>
      <c r="W1654" s="180">
        <v>1110000000</v>
      </c>
      <c r="X1654" s="191"/>
      <c r="Y1654" s="180"/>
      <c r="Z1654" s="192" t="str">
        <f>IFERROR(Tableau3[[#This Row],[Chiffre d''affaires]]/Tableau3[[#This Row],[Salariés]],"")</f>
        <v/>
      </c>
      <c r="AA1654" s="197"/>
      <c r="AB1654" s="197"/>
      <c r="AC1654" s="177" t="s">
        <v>1149</v>
      </c>
      <c r="AD1654" s="226"/>
      <c r="AE1654" s="226"/>
      <c r="AF1654" s="226"/>
    </row>
    <row r="1655" spans="1:32" ht="20.25" customHeight="1">
      <c r="A1655" s="217"/>
      <c r="E1655" s="187"/>
      <c r="G1655" s="202">
        <f>(G1654/G1656)-1</f>
        <v>-4.2634832658281496E-3</v>
      </c>
      <c r="H1655" s="203">
        <f>(H1654/H1656)-1</f>
        <v>-0.15620645161290314</v>
      </c>
      <c r="I1655" s="203">
        <f>(I1654/I1656)-1</f>
        <v>0.12197392923649897</v>
      </c>
      <c r="J1655" s="203">
        <f>(J1654/J1656)-1</f>
        <v>1.6647286821705425</v>
      </c>
      <c r="K1655" s="188"/>
      <c r="L1655" s="188"/>
      <c r="M1655" s="250"/>
      <c r="N1655" s="190"/>
      <c r="O1655" s="190"/>
      <c r="P1655" s="188"/>
      <c r="Q1655" s="188"/>
      <c r="R1655" s="195"/>
      <c r="S1655" s="197"/>
      <c r="T1655" s="180"/>
      <c r="U1655" s="189" t="str">
        <f>IFERROR(IF(Tableau3[[#This Row],[Dettes]]=0,"",(Tableau3[[#This Row],[Dettes]]/Tableau3[[#This Row],[EBE]])),"")</f>
        <v/>
      </c>
      <c r="V1655" s="190" t="str">
        <f>IFERROR(Tableau3[[#This Row],[Fonds propres]]/Tableau3[[#This Row],[Total Bilan]],"")</f>
        <v/>
      </c>
      <c r="W1655" s="180"/>
      <c r="X1655" s="191"/>
      <c r="Y1655" s="180"/>
      <c r="Z1655" s="192" t="str">
        <f>IFERROR(Tableau3[[#This Row],[Chiffre d''affaires]]/Tableau3[[#This Row],[Salariés]],"")</f>
        <v/>
      </c>
      <c r="AA1655" s="197"/>
      <c r="AB1655" s="197"/>
      <c r="AC1655" s="177" t="s">
        <v>1150</v>
      </c>
      <c r="AD1655" s="226"/>
      <c r="AE1655" s="226"/>
      <c r="AF1655" s="226"/>
    </row>
    <row r="1656" spans="1:32" ht="20.25" customHeight="1">
      <c r="A1656" s="217"/>
      <c r="E1656" s="187">
        <v>230</v>
      </c>
      <c r="F1656" s="178">
        <v>2019</v>
      </c>
      <c r="G1656" s="188">
        <v>938200000</v>
      </c>
      <c r="H1656" s="188">
        <v>155000000</v>
      </c>
      <c r="I1656" s="188">
        <v>107400000</v>
      </c>
      <c r="J1656" s="188">
        <v>51600000</v>
      </c>
      <c r="K1656" s="188">
        <v>368400000</v>
      </c>
      <c r="L1656" s="188">
        <v>517800000</v>
      </c>
      <c r="M1656" s="250">
        <f>L1656/P1656</f>
        <v>61.220146606762825</v>
      </c>
      <c r="N1656" s="190">
        <f>J1656/L1658</f>
        <v>0.1121008038235933</v>
      </c>
      <c r="O1656" s="190">
        <f>(I1656*0.72)/(K1658+L1658)</f>
        <v>8.7238267148014442E-2</v>
      </c>
      <c r="P1656" s="188">
        <v>8458000</v>
      </c>
      <c r="Q1656" s="188">
        <f>P1656*E1656</f>
        <v>1945340000</v>
      </c>
      <c r="R1656" s="195">
        <f>Q1656/L1656</f>
        <v>3.7569331788335263</v>
      </c>
      <c r="S1656" s="197">
        <f>(Q1656+K1656)/H1656</f>
        <v>14.927354838709677</v>
      </c>
      <c r="T1656" s="180"/>
      <c r="U1656" s="189">
        <f>IFERROR(IF(Tableau3[[#This Row],[Dettes]]=0,"",(Tableau3[[#This Row],[Dettes]]/Tableau3[[#This Row],[EBE]])),"")</f>
        <v>2.3767741935483873</v>
      </c>
      <c r="V1656" s="190">
        <f>IFERROR(Tableau3[[#This Row],[Fonds propres]]/Tableau3[[#This Row],[Total Bilan]],"")</f>
        <v>0.39227272727272727</v>
      </c>
      <c r="W1656" s="180">
        <v>1320000000</v>
      </c>
      <c r="X1656" s="191"/>
      <c r="Y1656" s="180"/>
      <c r="Z1656" s="192" t="str">
        <f>IFERROR(Tableau3[[#This Row],[Chiffre d''affaires]]/Tableau3[[#This Row],[Salariés]],"")</f>
        <v/>
      </c>
      <c r="AA1656" s="197"/>
      <c r="AB1656" s="197"/>
      <c r="AC1656" s="177" t="s">
        <v>1151</v>
      </c>
      <c r="AD1656" s="226"/>
      <c r="AE1656" s="226"/>
      <c r="AF1656" s="226"/>
    </row>
    <row r="1657" spans="1:32" ht="20.25" customHeight="1">
      <c r="A1657" s="217"/>
      <c r="E1657" s="187"/>
      <c r="G1657" s="202">
        <f>(G1656/G1658)-1</f>
        <v>7.9880294659300244E-2</v>
      </c>
      <c r="H1657" s="203">
        <f>(H1656/H1658)-1</f>
        <v>0.3230900554844216</v>
      </c>
      <c r="I1657" s="203">
        <f>(I1656/I1658)-1</f>
        <v>0.65230769230769226</v>
      </c>
      <c r="J1657" s="203">
        <f>(J1656/J1658)-1</f>
        <v>1.5671641791044775</v>
      </c>
      <c r="K1657" s="188"/>
      <c r="L1657" s="188"/>
      <c r="M1657" s="250"/>
      <c r="N1657" s="190"/>
      <c r="O1657" s="190"/>
      <c r="P1657" s="188"/>
      <c r="Q1657" s="188"/>
      <c r="R1657" s="195"/>
      <c r="S1657" s="197"/>
      <c r="T1657" s="180"/>
      <c r="U1657" s="189" t="str">
        <f>IFERROR(IF(Tableau3[[#This Row],[Dettes]]=0,"",(Tableau3[[#This Row],[Dettes]]/Tableau3[[#This Row],[EBE]])),"")</f>
        <v/>
      </c>
      <c r="V1657" s="190" t="str">
        <f>IFERROR(Tableau3[[#This Row],[Fonds propres]]/Tableau3[[#This Row],[Total Bilan]],"")</f>
        <v/>
      </c>
      <c r="W1657" s="180"/>
      <c r="X1657" s="191"/>
      <c r="Y1657" s="180"/>
      <c r="Z1657" s="192" t="str">
        <f>IFERROR(Tableau3[[#This Row],[Chiffre d''affaires]]/Tableau3[[#This Row],[Salariés]],"")</f>
        <v/>
      </c>
      <c r="AA1657" s="177"/>
      <c r="AC1657" s="177" t="s">
        <v>5139</v>
      </c>
      <c r="AD1657" s="226"/>
      <c r="AE1657" s="226"/>
      <c r="AF1657" s="226"/>
    </row>
    <row r="1658" spans="1:32" ht="20.25" customHeight="1">
      <c r="A1658" s="217"/>
      <c r="E1658" s="187">
        <v>123</v>
      </c>
      <c r="F1658" s="178">
        <v>2018</v>
      </c>
      <c r="G1658" s="188">
        <v>868800000</v>
      </c>
      <c r="H1658" s="211">
        <v>117150000</v>
      </c>
      <c r="I1658" s="211">
        <v>65000000</v>
      </c>
      <c r="J1658" s="211">
        <v>20100000</v>
      </c>
      <c r="K1658" s="188">
        <v>426100000</v>
      </c>
      <c r="L1658" s="188">
        <v>460300000</v>
      </c>
      <c r="M1658" s="250">
        <f>L1658/P1658</f>
        <v>54.421849136911803</v>
      </c>
      <c r="N1658" s="190">
        <f>J1658/L1660</f>
        <v>4.6069218427687374E-2</v>
      </c>
      <c r="O1658" s="190">
        <f>(I1658*0.72)/(K1660+L1660)</f>
        <v>5.2214660269998887E-2</v>
      </c>
      <c r="P1658" s="188">
        <v>8458000</v>
      </c>
      <c r="Q1658" s="188">
        <f>P1658*E1658</f>
        <v>1040334000</v>
      </c>
      <c r="R1658" s="195">
        <f>Q1658/L1658</f>
        <v>2.2601216597870954</v>
      </c>
      <c r="S1658" s="197">
        <f>(Q1658+K1658)/H1658</f>
        <v>12.517575757575758</v>
      </c>
      <c r="T1658" s="180"/>
      <c r="U1658" s="189">
        <f>IFERROR(IF(Tableau3[[#This Row],[Dettes]]=0,"",(Tableau3[[#This Row],[Dettes]]/Tableau3[[#This Row],[EBE]])),"")</f>
        <v>3.6372172428510456</v>
      </c>
      <c r="V1658" s="190">
        <f>IFERROR(Tableau3[[#This Row],[Fonds propres]]/Tableau3[[#This Row],[Total Bilan]],"")</f>
        <v>0.36244094488188977</v>
      </c>
      <c r="W1658" s="180">
        <v>1270000000</v>
      </c>
      <c r="X1658" s="191"/>
      <c r="Y1658" s="180"/>
      <c r="Z1658" s="192" t="str">
        <f>IFERROR(Tableau3[[#This Row],[Chiffre d''affaires]]/Tableau3[[#This Row],[Salariés]],"")</f>
        <v/>
      </c>
      <c r="AA1658" s="197"/>
      <c r="AB1658" s="197"/>
      <c r="AC1658" s="177" t="s">
        <v>1152</v>
      </c>
      <c r="AD1658" s="226"/>
      <c r="AE1658" s="226"/>
      <c r="AF1658" s="226"/>
    </row>
    <row r="1659" spans="1:32" ht="20.25" customHeight="1">
      <c r="A1659" s="217"/>
      <c r="E1659" s="187"/>
      <c r="G1659" s="202">
        <f>(G1658/G1660)-1</f>
        <v>8.0055690915419309E-3</v>
      </c>
      <c r="H1659" s="203">
        <f>(H1658/H1660)-1</f>
        <v>9.6345514950166189E-2</v>
      </c>
      <c r="I1659" s="203">
        <f>(I1658/I1660)-1</f>
        <v>0.1206896551724137</v>
      </c>
      <c r="J1659" s="203">
        <f>(J1658/J1660)-1</f>
        <v>-8.7307692307692299</v>
      </c>
      <c r="K1659" s="178"/>
      <c r="L1659" s="178"/>
      <c r="M1659" s="251"/>
      <c r="N1659" s="178"/>
      <c r="O1659" s="178"/>
      <c r="P1659" s="178"/>
      <c r="Q1659" s="178"/>
      <c r="R1659" s="195"/>
      <c r="S1659" s="178"/>
      <c r="T1659" s="180"/>
      <c r="U1659" s="189" t="str">
        <f>IFERROR(IF(Tableau3[[#This Row],[Dettes]]=0,"",(Tableau3[[#This Row],[Dettes]]/Tableau3[[#This Row],[EBE]])),"")</f>
        <v/>
      </c>
      <c r="V1659" s="190" t="str">
        <f>IFERROR(Tableau3[[#This Row],[Fonds propres]]/Tableau3[[#This Row],[Total Bilan]],"")</f>
        <v/>
      </c>
      <c r="W1659" s="180"/>
      <c r="X1659" s="191"/>
      <c r="Y1659" s="180"/>
      <c r="Z1659" s="192" t="str">
        <f>IFERROR(Tableau3[[#This Row],[Chiffre d''affaires]]/Tableau3[[#This Row],[Salariés]],"")</f>
        <v/>
      </c>
      <c r="AA1659" s="226"/>
      <c r="AB1659" s="188"/>
      <c r="AC1659" s="177" t="s">
        <v>1153</v>
      </c>
      <c r="AD1659" s="226"/>
      <c r="AE1659" s="226"/>
      <c r="AF1659" s="226"/>
    </row>
    <row r="1660" spans="1:32" ht="20.25" customHeight="1">
      <c r="A1660" s="217"/>
      <c r="E1660" s="187">
        <v>123</v>
      </c>
      <c r="F1660" s="178">
        <v>2017</v>
      </c>
      <c r="G1660" s="188">
        <v>861900000</v>
      </c>
      <c r="H1660" s="188">
        <v>106855000</v>
      </c>
      <c r="I1660" s="188">
        <v>58000000</v>
      </c>
      <c r="J1660" s="188">
        <v>-2600000</v>
      </c>
      <c r="K1660" s="188">
        <v>460000000</v>
      </c>
      <c r="L1660" s="188">
        <v>436300000</v>
      </c>
      <c r="M1660" s="250">
        <f>L1660/P1660</f>
        <v>51.584298888626151</v>
      </c>
      <c r="N1660" s="190">
        <f>J1660/L1662</f>
        <v>-5.4898648648648652E-3</v>
      </c>
      <c r="O1660" s="190">
        <f>(I1660*0.72)/(K1662+L1662)</f>
        <v>4.0913098853727833E-2</v>
      </c>
      <c r="P1660" s="188">
        <v>8458000</v>
      </c>
      <c r="Q1660" s="188">
        <f>P1660*E1660</f>
        <v>1040334000</v>
      </c>
      <c r="R1660" s="195">
        <f>Q1660/L1660</f>
        <v>2.3844464817785926</v>
      </c>
      <c r="S1660" s="197">
        <f>(Q1660+K1660)/H1660</f>
        <v>14.040840391184314</v>
      </c>
      <c r="T1660" s="180"/>
      <c r="U1660" s="189">
        <f>IFERROR(IF(Tableau3[[#This Row],[Dettes]]=0,"",(Tableau3[[#This Row],[Dettes]]/Tableau3[[#This Row],[EBE]])),"")</f>
        <v>4.3048991624163584</v>
      </c>
      <c r="V1660" s="190" t="str">
        <f>IFERROR(Tableau3[[#This Row],[Fonds propres]]/Tableau3[[#This Row],[Total Bilan]],"")</f>
        <v/>
      </c>
      <c r="W1660" s="180"/>
      <c r="X1660" s="191"/>
      <c r="Y1660" s="180"/>
      <c r="Z1660" s="192" t="str">
        <f>IFERROR(Tableau3[[#This Row],[Chiffre d''affaires]]/Tableau3[[#This Row],[Salariés]],"")</f>
        <v/>
      </c>
      <c r="AA1660" s="197"/>
      <c r="AB1660" s="197"/>
      <c r="AC1660" s="177" t="s">
        <v>1154</v>
      </c>
      <c r="AD1660" s="226"/>
      <c r="AE1660" s="226"/>
      <c r="AF1660" s="226"/>
    </row>
    <row r="1661" spans="1:32" ht="20.25" customHeight="1">
      <c r="A1661" s="217"/>
      <c r="E1661" s="187"/>
      <c r="G1661" s="202">
        <f>(G1660/G1662)-1</f>
        <v>-1.1387567272443611E-2</v>
      </c>
      <c r="H1661" s="203">
        <f>(H1660/H1662)-1</f>
        <v>-2.7326433454399779E-2</v>
      </c>
      <c r="I1661" s="203">
        <f>(I1660/I1662)-1</f>
        <v>-0.15957863011316709</v>
      </c>
      <c r="J1661" s="203">
        <f>(J1660/J1662)-1</f>
        <v>-1.0750447382093171</v>
      </c>
      <c r="K1661" s="188"/>
      <c r="L1661" s="188"/>
      <c r="M1661" s="250"/>
      <c r="N1661" s="190"/>
      <c r="O1661" s="190"/>
      <c r="P1661" s="188"/>
      <c r="Q1661" s="188"/>
      <c r="R1661" s="195"/>
      <c r="S1661" s="188"/>
      <c r="T1661" s="180"/>
      <c r="U1661" s="189" t="str">
        <f>IFERROR(IF(Tableau3[[#This Row],[Dettes]]=0,"",(Tableau3[[#This Row],[Dettes]]/Tableau3[[#This Row],[EBE]])),"")</f>
        <v/>
      </c>
      <c r="V1661" s="190" t="str">
        <f>IFERROR(Tableau3[[#This Row],[Fonds propres]]/Tableau3[[#This Row],[Total Bilan]],"")</f>
        <v/>
      </c>
      <c r="W1661" s="180"/>
      <c r="X1661" s="191"/>
      <c r="Y1661" s="180"/>
      <c r="Z1661" s="192" t="str">
        <f>IFERROR(Tableau3[[#This Row],[Chiffre d''affaires]]/Tableau3[[#This Row],[Salariés]],"")</f>
        <v/>
      </c>
      <c r="AA1661" s="197"/>
      <c r="AB1661" s="197"/>
      <c r="AC1661" s="177" t="s">
        <v>1155</v>
      </c>
      <c r="AD1661" s="226"/>
      <c r="AE1661" s="226"/>
      <c r="AF1661" s="226"/>
    </row>
    <row r="1662" spans="1:32" ht="20.25" customHeight="1">
      <c r="A1662" s="217"/>
      <c r="E1662" s="187">
        <v>167.2</v>
      </c>
      <c r="F1662" s="178">
        <v>2016</v>
      </c>
      <c r="G1662" s="188">
        <v>871828000</v>
      </c>
      <c r="H1662" s="188">
        <v>109857000</v>
      </c>
      <c r="I1662" s="188">
        <v>69013000</v>
      </c>
      <c r="J1662" s="188">
        <v>34646000</v>
      </c>
      <c r="K1662" s="188">
        <v>547100000</v>
      </c>
      <c r="L1662" s="188">
        <v>473600000</v>
      </c>
      <c r="M1662" s="250">
        <f>L1662/P1662</f>
        <v>55.994324899503425</v>
      </c>
      <c r="N1662" s="190">
        <f>J1662/L1664</f>
        <v>7.9028284671532847E-2</v>
      </c>
      <c r="O1662" s="190">
        <f>(I1662*0.72)/(K1664+L1664)</f>
        <v>4.7622541690626796E-2</v>
      </c>
      <c r="P1662" s="188">
        <v>8458000</v>
      </c>
      <c r="Q1662" s="188">
        <f>P1662*E1662</f>
        <v>1414177600</v>
      </c>
      <c r="R1662" s="195">
        <f>Q1662/L1662</f>
        <v>2.9860168918918917</v>
      </c>
      <c r="S1662" s="197">
        <f>(Q1662+K1662)/H1662</f>
        <v>17.853005270487998</v>
      </c>
      <c r="T1662" s="180"/>
      <c r="U1662" s="189">
        <f>IFERROR(IF(Tableau3[[#This Row],[Dettes]]=0,"",(Tableau3[[#This Row],[Dettes]]/Tableau3[[#This Row],[EBE]])),"")</f>
        <v>4.9801105072958478</v>
      </c>
      <c r="V1662" s="190" t="str">
        <f>IFERROR(Tableau3[[#This Row],[Fonds propres]]/Tableau3[[#This Row],[Total Bilan]],"")</f>
        <v/>
      </c>
      <c r="W1662" s="180"/>
      <c r="X1662" s="191"/>
      <c r="Y1662" s="180"/>
      <c r="Z1662" s="192" t="str">
        <f>IFERROR(Tableau3[[#This Row],[Chiffre d''affaires]]/Tableau3[[#This Row],[Salariés]],"")</f>
        <v/>
      </c>
      <c r="AA1662" s="197"/>
      <c r="AB1662" s="197"/>
      <c r="AC1662" s="177" t="s">
        <v>1156</v>
      </c>
      <c r="AD1662" s="226"/>
      <c r="AE1662" s="226"/>
      <c r="AF1662" s="226"/>
    </row>
    <row r="1663" spans="1:32" ht="20.25" customHeight="1">
      <c r="A1663" s="217"/>
      <c r="E1663" s="187"/>
      <c r="G1663" s="202">
        <f>(G1662/G1664)-1</f>
        <v>2.2524609352550851E-2</v>
      </c>
      <c r="H1663" s="203">
        <f>(H1662/H1664)-1</f>
        <v>0.29905282202277483</v>
      </c>
      <c r="I1663" s="203">
        <f>(I1662/I1664)-1</f>
        <v>0.99985511026109131</v>
      </c>
      <c r="J1663" s="203">
        <f>(J1662/J1664)-1</f>
        <v>2.6857446808510637</v>
      </c>
      <c r="K1663" s="188"/>
      <c r="L1663" s="188"/>
      <c r="M1663" s="250"/>
      <c r="N1663" s="190"/>
      <c r="O1663" s="190"/>
      <c r="P1663" s="188"/>
      <c r="Q1663" s="188"/>
      <c r="R1663" s="195"/>
      <c r="S1663" s="197"/>
      <c r="T1663" s="180"/>
      <c r="U1663" s="189" t="str">
        <f>IFERROR(IF(Tableau3[[#This Row],[Dettes]]=0,"",(Tableau3[[#This Row],[Dettes]]/Tableau3[[#This Row],[EBE]])),"")</f>
        <v/>
      </c>
      <c r="V1663" s="190" t="str">
        <f>IFERROR(Tableau3[[#This Row],[Fonds propres]]/Tableau3[[#This Row],[Total Bilan]],"")</f>
        <v/>
      </c>
      <c r="W1663" s="180"/>
      <c r="X1663" s="191"/>
      <c r="Y1663" s="180"/>
      <c r="Z1663" s="192" t="str">
        <f>IFERROR(Tableau3[[#This Row],[Chiffre d''affaires]]/Tableau3[[#This Row],[Salariés]],"")</f>
        <v/>
      </c>
      <c r="AA1663" s="197"/>
      <c r="AB1663" s="197"/>
      <c r="AC1663" s="177" t="s">
        <v>1157</v>
      </c>
      <c r="AD1663" s="226"/>
      <c r="AE1663" s="226"/>
      <c r="AF1663" s="226"/>
    </row>
    <row r="1664" spans="1:32" ht="20.25" customHeight="1">
      <c r="A1664" s="217"/>
      <c r="E1664" s="187">
        <v>217.5</v>
      </c>
      <c r="F1664" s="178">
        <v>2015</v>
      </c>
      <c r="G1664" s="188">
        <v>852623000</v>
      </c>
      <c r="H1664" s="188">
        <v>84567000</v>
      </c>
      <c r="I1664" s="188">
        <v>34509000</v>
      </c>
      <c r="J1664" s="188">
        <v>9400000</v>
      </c>
      <c r="K1664" s="188">
        <v>605000000</v>
      </c>
      <c r="L1664" s="188">
        <v>438400000</v>
      </c>
      <c r="M1664" s="250">
        <f>L1664/P1664</f>
        <v>51.832584535351145</v>
      </c>
      <c r="N1664" s="190">
        <f>J1664/L1666</f>
        <v>2.1813287540899916E-2</v>
      </c>
      <c r="O1664" s="190">
        <f>(I1664*0.72)/(K1666+L1666)</f>
        <v>3.9594091119149681E-2</v>
      </c>
      <c r="P1664" s="188">
        <v>8458000</v>
      </c>
      <c r="Q1664" s="188">
        <f>P1664*E1664</f>
        <v>1839615000</v>
      </c>
      <c r="R1664" s="195">
        <f>Q1664/L1664</f>
        <v>4.1962020985401463</v>
      </c>
      <c r="S1664" s="197">
        <f>(Q1664+K1664)/H1664</f>
        <v>28.907434342001018</v>
      </c>
      <c r="T1664" s="180"/>
      <c r="U1664" s="189">
        <f>IFERROR(IF(Tableau3[[#This Row],[Dettes]]=0,"",(Tableau3[[#This Row],[Dettes]]/Tableau3[[#This Row],[EBE]])),"")</f>
        <v>7.1540908392162423</v>
      </c>
      <c r="V1664" s="190" t="str">
        <f>IFERROR(Tableau3[[#This Row],[Fonds propres]]/Tableau3[[#This Row],[Total Bilan]],"")</f>
        <v/>
      </c>
      <c r="W1664" s="180"/>
      <c r="X1664" s="191"/>
      <c r="Y1664" s="180"/>
      <c r="Z1664" s="192" t="str">
        <f>IFERROR(Tableau3[[#This Row],[Chiffre d''affaires]]/Tableau3[[#This Row],[Salariés]],"")</f>
        <v/>
      </c>
      <c r="AA1664" s="197"/>
      <c r="AB1664" s="197"/>
      <c r="AC1664" s="177" t="s">
        <v>1158</v>
      </c>
      <c r="AD1664" s="226"/>
      <c r="AE1664" s="226"/>
      <c r="AF1664" s="226"/>
    </row>
    <row r="1665" spans="1:32" ht="20.25" customHeight="1">
      <c r="A1665" s="217"/>
      <c r="E1665" s="187"/>
      <c r="G1665" s="202">
        <f>(G1664/G1666)-1</f>
        <v>0.10286250161686716</v>
      </c>
      <c r="H1665" s="203">
        <f>(H1664/H1666)-1</f>
        <v>-0.39776101865105651</v>
      </c>
      <c r="I1665" s="203">
        <f>(I1664/I1666)-1</f>
        <v>-0.68349368528216747</v>
      </c>
      <c r="J1665" s="203">
        <f>(J1664/J1666)-1</f>
        <v>-0.85219196175860112</v>
      </c>
      <c r="K1665" s="188"/>
      <c r="L1665" s="188"/>
      <c r="M1665" s="250"/>
      <c r="N1665" s="190"/>
      <c r="O1665" s="190"/>
      <c r="P1665" s="188"/>
      <c r="Q1665" s="188"/>
      <c r="R1665" s="195"/>
      <c r="S1665" s="197"/>
      <c r="T1665" s="180"/>
      <c r="U1665" s="189" t="str">
        <f>IFERROR(IF(Tableau3[[#This Row],[Dettes]]=0,"",(Tableau3[[#This Row],[Dettes]]/Tableau3[[#This Row],[EBE]])),"")</f>
        <v/>
      </c>
      <c r="V1665" s="190" t="str">
        <f>IFERROR(Tableau3[[#This Row],[Fonds propres]]/Tableau3[[#This Row],[Total Bilan]],"")</f>
        <v/>
      </c>
      <c r="W1665" s="180"/>
      <c r="X1665" s="191"/>
      <c r="Y1665" s="180"/>
      <c r="Z1665" s="192" t="str">
        <f>IFERROR(Tableau3[[#This Row],[Chiffre d''affaires]]/Tableau3[[#This Row],[Salariés]],"")</f>
        <v/>
      </c>
      <c r="AA1665" s="197"/>
      <c r="AB1665" s="197"/>
      <c r="AC1665" s="177" t="s">
        <v>1159</v>
      </c>
      <c r="AD1665" s="226"/>
      <c r="AE1665" s="226"/>
      <c r="AF1665" s="226"/>
    </row>
    <row r="1666" spans="1:32" ht="20.25" customHeight="1">
      <c r="A1666" s="217"/>
      <c r="E1666" s="187">
        <v>171</v>
      </c>
      <c r="F1666" s="178">
        <v>2014</v>
      </c>
      <c r="G1666" s="188">
        <v>773100000</v>
      </c>
      <c r="H1666" s="188">
        <f>I1666+31390000</f>
        <v>140421000</v>
      </c>
      <c r="I1666" s="188">
        <v>109031000</v>
      </c>
      <c r="J1666" s="188">
        <v>63596000</v>
      </c>
      <c r="K1666" s="188">
        <v>196600000</v>
      </c>
      <c r="L1666" s="188">
        <v>430930000</v>
      </c>
      <c r="M1666" s="250">
        <f>L1666/P1666</f>
        <v>50.949397020572242</v>
      </c>
      <c r="N1666" s="190">
        <f>J1666/L1668</f>
        <v>0.17620037126312582</v>
      </c>
      <c r="O1666" s="190">
        <f>(I1666*0.72)/(K1668+L1668)</f>
        <v>0.1456362725636792</v>
      </c>
      <c r="P1666" s="188">
        <v>8458000</v>
      </c>
      <c r="Q1666" s="188">
        <f>P1666*E1666</f>
        <v>1446318000</v>
      </c>
      <c r="R1666" s="195">
        <f>Q1666/L1666</f>
        <v>3.3562713201680086</v>
      </c>
      <c r="S1666" s="197">
        <f>(Q1666+K1666)/H1666</f>
        <v>11.699945164896988</v>
      </c>
      <c r="T1666" s="180"/>
      <c r="U1666" s="189">
        <f>IFERROR(IF(Tableau3[[#This Row],[Dettes]]=0,"",(Tableau3[[#This Row],[Dettes]]/Tableau3[[#This Row],[EBE]])),"")</f>
        <v>1.4000754872846655</v>
      </c>
      <c r="V1666" s="190" t="str">
        <f>IFERROR(Tableau3[[#This Row],[Fonds propres]]/Tableau3[[#This Row],[Total Bilan]],"")</f>
        <v/>
      </c>
      <c r="W1666" s="180"/>
      <c r="X1666" s="191"/>
      <c r="Y1666" s="180"/>
      <c r="Z1666" s="192" t="str">
        <f>IFERROR(Tableau3[[#This Row],[Chiffre d''affaires]]/Tableau3[[#This Row],[Salariés]],"")</f>
        <v/>
      </c>
      <c r="AA1666" s="197"/>
      <c r="AB1666" s="197"/>
      <c r="AC1666" s="177" t="s">
        <v>1160</v>
      </c>
      <c r="AD1666" s="226"/>
      <c r="AE1666" s="226"/>
      <c r="AF1666" s="226"/>
    </row>
    <row r="1667" spans="1:32" ht="20.25" customHeight="1">
      <c r="A1667" s="217"/>
      <c r="E1667" s="187"/>
      <c r="G1667" s="202">
        <f>(G1666/G1668)-1</f>
        <v>5.0264909659013757E-2</v>
      </c>
      <c r="H1667" s="203">
        <f>(H1666/H1668)-1</f>
        <v>5.8782280867106573E-2</v>
      </c>
      <c r="I1667" s="203">
        <f>(I1666/I1668)-1</f>
        <v>3.9499275417588242E-2</v>
      </c>
      <c r="J1667" s="203">
        <f>(J1666/J1668)-1</f>
        <v>5.0774085884705E-2</v>
      </c>
      <c r="K1667" s="188"/>
      <c r="L1667" s="188"/>
      <c r="M1667" s="250"/>
      <c r="N1667" s="190"/>
      <c r="O1667" s="190"/>
      <c r="P1667" s="188"/>
      <c r="Q1667" s="188"/>
      <c r="R1667" s="195"/>
      <c r="S1667" s="197"/>
      <c r="T1667" s="180"/>
      <c r="U1667" s="189" t="str">
        <f>IFERROR(IF(Tableau3[[#This Row],[Dettes]]=0,"",(Tableau3[[#This Row],[Dettes]]/Tableau3[[#This Row],[EBE]])),"")</f>
        <v/>
      </c>
      <c r="V1667" s="190" t="str">
        <f>IFERROR(Tableau3[[#This Row],[Fonds propres]]/Tableau3[[#This Row],[Total Bilan]],"")</f>
        <v/>
      </c>
      <c r="W1667" s="180"/>
      <c r="X1667" s="191"/>
      <c r="Y1667" s="180"/>
      <c r="Z1667" s="192" t="str">
        <f>IFERROR(Tableau3[[#This Row],[Chiffre d''affaires]]/Tableau3[[#This Row],[Salariés]],"")</f>
        <v/>
      </c>
      <c r="AA1667" s="197"/>
      <c r="AB1667" s="197"/>
      <c r="AC1667" s="177" t="s">
        <v>5136</v>
      </c>
      <c r="AD1667" s="226"/>
      <c r="AE1667" s="226"/>
      <c r="AF1667" s="226"/>
    </row>
    <row r="1668" spans="1:32" ht="20.25" customHeight="1">
      <c r="A1668" s="217"/>
      <c r="E1668" s="187">
        <v>159.62</v>
      </c>
      <c r="F1668" s="178">
        <v>2013</v>
      </c>
      <c r="G1668" s="188">
        <v>736100000</v>
      </c>
      <c r="H1668" s="188">
        <f>I1668+27737000</f>
        <v>132625000</v>
      </c>
      <c r="I1668" s="188">
        <v>104888000</v>
      </c>
      <c r="J1668" s="188">
        <v>60523000</v>
      </c>
      <c r="K1668" s="188">
        <v>178100000</v>
      </c>
      <c r="L1668" s="188">
        <v>360930000</v>
      </c>
      <c r="M1668" s="250">
        <f>L1668/P1668</f>
        <v>42.673208796405767</v>
      </c>
      <c r="N1668" s="190">
        <f>J1668/L1670</f>
        <v>0.17482091276718659</v>
      </c>
      <c r="O1668" s="190">
        <f>(I1668*0.72)/(K1670+L1670)</f>
        <v>0.15729922932722348</v>
      </c>
      <c r="P1668" s="188">
        <v>8458000</v>
      </c>
      <c r="Q1668" s="188">
        <f>P1668*E1668</f>
        <v>1350065960</v>
      </c>
      <c r="R1668" s="195">
        <f>Q1668/L1668</f>
        <v>3.7405202116753942</v>
      </c>
      <c r="S1668" s="197">
        <f>(Q1668+K1668)/H1668</f>
        <v>11.522457756833177</v>
      </c>
      <c r="T1668" s="180"/>
      <c r="U1668" s="189">
        <f>IFERROR(IF(Tableau3[[#This Row],[Dettes]]=0,"",(Tableau3[[#This Row],[Dettes]]/Tableau3[[#This Row],[EBE]])),"")</f>
        <v>1.3428840716305372</v>
      </c>
      <c r="V1668" s="190" t="str">
        <f>IFERROR(Tableau3[[#This Row],[Fonds propres]]/Tableau3[[#This Row],[Total Bilan]],"")</f>
        <v/>
      </c>
      <c r="W1668" s="180"/>
      <c r="X1668" s="191"/>
      <c r="Y1668" s="180"/>
      <c r="Z1668" s="192" t="str">
        <f>IFERROR(Tableau3[[#This Row],[Chiffre d''affaires]]/Tableau3[[#This Row],[Salariés]],"")</f>
        <v/>
      </c>
      <c r="AA1668" s="197"/>
      <c r="AB1668" s="197"/>
      <c r="AC1668" s="177" t="s">
        <v>5156</v>
      </c>
      <c r="AD1668" s="226"/>
      <c r="AE1668" s="226"/>
      <c r="AF1668" s="226"/>
    </row>
    <row r="1669" spans="1:32" ht="20.25" customHeight="1">
      <c r="A1669" s="217"/>
      <c r="E1669" s="187"/>
      <c r="G1669" s="202">
        <f>(G1668/G1670)-1</f>
        <v>5.883199079401602E-2</v>
      </c>
      <c r="H1669" s="203">
        <f>(H1668/H1670)-1</f>
        <v>8.6502383956220452E-2</v>
      </c>
      <c r="I1669" s="203">
        <f>(I1668/I1670)-1</f>
        <v>6.9194699286442507E-2</v>
      </c>
      <c r="J1669" s="203">
        <f>(J1668/J1670)-1</f>
        <v>-9.93601190476191E-2</v>
      </c>
      <c r="K1669" s="188"/>
      <c r="L1669" s="188"/>
      <c r="M1669" s="250"/>
      <c r="N1669" s="190"/>
      <c r="O1669" s="190"/>
      <c r="P1669" s="188"/>
      <c r="Q1669" s="188"/>
      <c r="R1669" s="195"/>
      <c r="S1669" s="197"/>
      <c r="T1669" s="180"/>
      <c r="U1669" s="189" t="str">
        <f>IFERROR(IF(Tableau3[[#This Row],[Dettes]]=0,"",(Tableau3[[#This Row],[Dettes]]/Tableau3[[#This Row],[EBE]])),"")</f>
        <v/>
      </c>
      <c r="V1669" s="190" t="str">
        <f>IFERROR(Tableau3[[#This Row],[Fonds propres]]/Tableau3[[#This Row],[Total Bilan]],"")</f>
        <v/>
      </c>
      <c r="W1669" s="180"/>
      <c r="X1669" s="191"/>
      <c r="Y1669" s="180"/>
      <c r="Z1669" s="192" t="str">
        <f>IFERROR(Tableau3[[#This Row],[Chiffre d''affaires]]/Tableau3[[#This Row],[Salariés]],"")</f>
        <v/>
      </c>
      <c r="AA1669" s="197"/>
      <c r="AB1669" s="197"/>
      <c r="AC1669" s="177" t="s">
        <v>1161</v>
      </c>
      <c r="AD1669" s="226"/>
      <c r="AE1669" s="226"/>
      <c r="AF1669" s="226"/>
    </row>
    <row r="1670" spans="1:32" ht="20.25" customHeight="1">
      <c r="A1670" s="217"/>
      <c r="E1670" s="187">
        <v>149.03</v>
      </c>
      <c r="F1670" s="178">
        <v>2012</v>
      </c>
      <c r="G1670" s="188">
        <v>695200000</v>
      </c>
      <c r="H1670" s="188">
        <f>I1670+23966000</f>
        <v>122066000</v>
      </c>
      <c r="I1670" s="188">
        <v>98100000</v>
      </c>
      <c r="J1670" s="188">
        <v>67200000</v>
      </c>
      <c r="K1670" s="188">
        <v>133900000</v>
      </c>
      <c r="L1670" s="188">
        <v>346200000</v>
      </c>
      <c r="M1670" s="250">
        <f>L1670/P1670</f>
        <v>40.931662331520457</v>
      </c>
      <c r="N1670" s="190">
        <f>J1670/L1672</f>
        <v>0.21579961464354527</v>
      </c>
      <c r="O1670" s="190">
        <f>(I1670*0.72)/(K1672+L1672)</f>
        <v>0.18533718184203621</v>
      </c>
      <c r="P1670" s="188">
        <v>8458000</v>
      </c>
      <c r="Q1670" s="188">
        <f>P1670*E1670</f>
        <v>1260495740</v>
      </c>
      <c r="R1670" s="195">
        <f>Q1670/L1670</f>
        <v>3.6409466782206819</v>
      </c>
      <c r="S1670" s="197">
        <f>(Q1670+K1670)/H1670</f>
        <v>11.423293464191502</v>
      </c>
      <c r="T1670" s="180"/>
      <c r="U1670" s="189">
        <f>IFERROR(IF(Tableau3[[#This Row],[Dettes]]=0,"",(Tableau3[[#This Row],[Dettes]]/Tableau3[[#This Row],[EBE]])),"")</f>
        <v>1.0969475529631512</v>
      </c>
      <c r="V1670" s="190" t="str">
        <f>IFERROR(Tableau3[[#This Row],[Fonds propres]]/Tableau3[[#This Row],[Total Bilan]],"")</f>
        <v/>
      </c>
      <c r="W1670" s="180"/>
      <c r="X1670" s="191"/>
      <c r="Y1670" s="180"/>
      <c r="Z1670" s="192" t="str">
        <f>IFERROR(Tableau3[[#This Row],[Chiffre d''affaires]]/Tableau3[[#This Row],[Salariés]],"")</f>
        <v/>
      </c>
      <c r="AC1670" s="177" t="s">
        <v>5137</v>
      </c>
      <c r="AD1670" s="226"/>
      <c r="AE1670" s="226"/>
      <c r="AF1670" s="226"/>
    </row>
    <row r="1671" spans="1:32" ht="20.25" customHeight="1">
      <c r="A1671" s="217"/>
      <c r="E1671" s="187"/>
      <c r="G1671" s="202">
        <f>(G1670/G1672)-1</f>
        <v>0.1157117637618359</v>
      </c>
      <c r="H1671" s="203">
        <f>(H1670/H1672)-1</f>
        <v>0.16017982568693978</v>
      </c>
      <c r="I1671" s="203">
        <f>(I1670/I1672)-1</f>
        <v>0.14469078179696626</v>
      </c>
      <c r="J1671" s="203">
        <f>(J1670/J1672)-1</f>
        <v>0.16869565217391314</v>
      </c>
      <c r="K1671" s="188"/>
      <c r="L1671" s="188"/>
      <c r="M1671" s="250"/>
      <c r="N1671" s="190"/>
      <c r="O1671" s="190"/>
      <c r="P1671" s="188"/>
      <c r="Q1671" s="188"/>
      <c r="R1671" s="195"/>
      <c r="S1671" s="197"/>
      <c r="T1671" s="180"/>
      <c r="U1671" s="189" t="str">
        <f>IFERROR(IF(Tableau3[[#This Row],[Dettes]]=0,"",(Tableau3[[#This Row],[Dettes]]/Tableau3[[#This Row],[EBE]])),"")</f>
        <v/>
      </c>
      <c r="V1671" s="190" t="str">
        <f>IFERROR(Tableau3[[#This Row],[Fonds propres]]/Tableau3[[#This Row],[Total Bilan]],"")</f>
        <v/>
      </c>
      <c r="W1671" s="180"/>
      <c r="X1671" s="191"/>
      <c r="Y1671" s="180"/>
      <c r="Z1671" s="192" t="str">
        <f>IFERROR(Tableau3[[#This Row],[Chiffre d''affaires]]/Tableau3[[#This Row],[Salariés]],"")</f>
        <v/>
      </c>
      <c r="AC1671" s="274" t="s">
        <v>5209</v>
      </c>
      <c r="AD1671" s="226"/>
      <c r="AE1671" s="226"/>
      <c r="AF1671" s="226"/>
    </row>
    <row r="1672" spans="1:32" ht="20.25" customHeight="1">
      <c r="A1672" s="217"/>
      <c r="E1672" s="187">
        <v>114.33</v>
      </c>
      <c r="F1672" s="178">
        <v>2011</v>
      </c>
      <c r="G1672" s="188">
        <v>623100000</v>
      </c>
      <c r="H1672" s="188">
        <f>I1672+19513000</f>
        <v>105213000</v>
      </c>
      <c r="I1672" s="188">
        <v>85700000</v>
      </c>
      <c r="J1672" s="188">
        <v>57500000</v>
      </c>
      <c r="K1672" s="188">
        <v>69700000</v>
      </c>
      <c r="L1672" s="188">
        <v>311400000</v>
      </c>
      <c r="M1672" s="250">
        <f>L1672/P1672</f>
        <v>35.734154415612316</v>
      </c>
      <c r="N1672" s="190">
        <f>J1672/L1672</f>
        <v>0.18464996788696211</v>
      </c>
      <c r="O1672" s="190">
        <f>(I1672*0.64)/(K1672+(M1672*P1672))</f>
        <v>0.14392023091052217</v>
      </c>
      <c r="P1672" s="188">
        <v>8714352</v>
      </c>
      <c r="Q1672" s="188">
        <f>P1672*E1672</f>
        <v>996311864.15999997</v>
      </c>
      <c r="R1672" s="195">
        <f>Q1672/L1672</f>
        <v>3.1994600647398843</v>
      </c>
      <c r="S1672" s="197">
        <f>(Q1672+K1672)/H1672</f>
        <v>10.131940579205992</v>
      </c>
      <c r="T1672" s="180"/>
      <c r="U1672" s="189">
        <f>IFERROR(IF(Tableau3[[#This Row],[Dettes]]=0,"",(Tableau3[[#This Row],[Dettes]]/Tableau3[[#This Row],[EBE]])),"")</f>
        <v>0.66246566488931979</v>
      </c>
      <c r="V1672" s="190" t="str">
        <f>IFERROR(Tableau3[[#This Row],[Fonds propres]]/Tableau3[[#This Row],[Total Bilan]],"")</f>
        <v/>
      </c>
      <c r="W1672" s="180"/>
      <c r="X1672" s="191"/>
      <c r="Y1672" s="180"/>
      <c r="Z1672" s="192" t="str">
        <f>IFERROR(Tableau3[[#This Row],[Chiffre d''affaires]]/Tableau3[[#This Row],[Salariés]],"")</f>
        <v/>
      </c>
      <c r="AA1672" s="197"/>
      <c r="AB1672" s="197"/>
      <c r="AC1672" s="177" t="s">
        <v>1162</v>
      </c>
      <c r="AD1672" s="226"/>
      <c r="AE1672" s="226"/>
      <c r="AF1672" s="226"/>
    </row>
    <row r="1673" spans="1:32" ht="20.25" customHeight="1">
      <c r="A1673" s="217"/>
      <c r="E1673" s="187"/>
      <c r="G1673" s="188"/>
      <c r="H1673" s="188"/>
      <c r="I1673" s="188"/>
      <c r="J1673" s="188"/>
      <c r="K1673" s="188"/>
      <c r="L1673" s="188"/>
      <c r="M1673" s="194"/>
      <c r="N1673" s="190"/>
      <c r="O1673" s="190"/>
      <c r="P1673" s="188"/>
      <c r="Q1673" s="188"/>
      <c r="R1673" s="195"/>
      <c r="S1673" s="197"/>
      <c r="T1673" s="180"/>
      <c r="U1673" s="189" t="str">
        <f>IFERROR(IF(Tableau3[[#This Row],[Dettes]]=0,"",(Tableau3[[#This Row],[Dettes]]/Tableau3[[#This Row],[EBE]])),"")</f>
        <v/>
      </c>
      <c r="V1673" s="190" t="str">
        <f>IFERROR(Tableau3[[#This Row],[Fonds propres]]/Tableau3[[#This Row],[Total Bilan]],"")</f>
        <v/>
      </c>
      <c r="W1673" s="180"/>
      <c r="X1673" s="191"/>
      <c r="Y1673" s="180"/>
      <c r="Z1673" s="192" t="str">
        <f>IFERROR(Tableau3[[#This Row],[Chiffre d''affaires]]/Tableau3[[#This Row],[Salariés]],"")</f>
        <v/>
      </c>
      <c r="AA1673" s="197"/>
      <c r="AB1673" s="197"/>
      <c r="AC1673" s="177" t="s">
        <v>5129</v>
      </c>
      <c r="AD1673" s="226"/>
      <c r="AE1673" s="226"/>
      <c r="AF1673" s="226"/>
    </row>
    <row r="1674" spans="1:32" ht="20.25" customHeight="1">
      <c r="A1674" s="217"/>
      <c r="E1674" s="187"/>
      <c r="G1674" s="188"/>
      <c r="H1674" s="188"/>
      <c r="I1674" s="188"/>
      <c r="J1674" s="188"/>
      <c r="K1674" s="188"/>
      <c r="L1674" s="188"/>
      <c r="M1674" s="194"/>
      <c r="N1674" s="190"/>
      <c r="O1674" s="190"/>
      <c r="P1674" s="188"/>
      <c r="Q1674" s="188"/>
      <c r="R1674" s="195"/>
      <c r="S1674" s="197"/>
      <c r="T1674" s="180"/>
      <c r="U1674" s="189" t="str">
        <f>IFERROR(IF(Tableau3[[#This Row],[Dettes]]=0,"",(Tableau3[[#This Row],[Dettes]]/Tableau3[[#This Row],[EBE]])),"")</f>
        <v/>
      </c>
      <c r="V1674" s="190" t="str">
        <f>IFERROR(Tableau3[[#This Row],[Fonds propres]]/Tableau3[[#This Row],[Total Bilan]],"")</f>
        <v/>
      </c>
      <c r="W1674" s="180"/>
      <c r="X1674" s="191"/>
      <c r="Y1674" s="180"/>
      <c r="Z1674" s="192" t="str">
        <f>IFERROR(Tableau3[[#This Row],[Chiffre d''affaires]]/Tableau3[[#This Row],[Salariés]],"")</f>
        <v/>
      </c>
      <c r="AA1674" s="197"/>
      <c r="AB1674" s="197"/>
      <c r="AC1674" s="177" t="s">
        <v>81</v>
      </c>
      <c r="AD1674" s="226"/>
      <c r="AE1674" s="226"/>
      <c r="AF1674" s="226"/>
    </row>
    <row r="1675" spans="1:32" ht="20.25" customHeight="1">
      <c r="A1675" s="217"/>
      <c r="E1675" s="187"/>
      <c r="G1675" s="188"/>
      <c r="H1675" s="188"/>
      <c r="I1675" s="188"/>
      <c r="J1675" s="188"/>
      <c r="K1675" s="188"/>
      <c r="L1675" s="188"/>
      <c r="M1675" s="194"/>
      <c r="N1675" s="190"/>
      <c r="O1675" s="190"/>
      <c r="P1675" s="188"/>
      <c r="Q1675" s="188"/>
      <c r="R1675" s="195"/>
      <c r="S1675" s="197"/>
      <c r="T1675" s="180"/>
      <c r="U1675" s="189" t="str">
        <f>IFERROR(IF(Tableau3[[#This Row],[Dettes]]=0,"",(Tableau3[[#This Row],[Dettes]]/Tableau3[[#This Row],[EBE]])),"")</f>
        <v/>
      </c>
      <c r="V1675" s="190" t="str">
        <f>IFERROR(Tableau3[[#This Row],[Fonds propres]]/Tableau3[[#This Row],[Total Bilan]],"")</f>
        <v/>
      </c>
      <c r="W1675" s="180"/>
      <c r="X1675" s="191"/>
      <c r="Y1675" s="180"/>
      <c r="Z1675" s="192" t="str">
        <f>IFERROR(Tableau3[[#This Row],[Chiffre d''affaires]]/Tableau3[[#This Row],[Salariés]],"")</f>
        <v/>
      </c>
      <c r="AA1675" s="197"/>
      <c r="AB1675" s="197"/>
      <c r="AC1675" s="177" t="s">
        <v>5135</v>
      </c>
      <c r="AD1675" s="226"/>
      <c r="AE1675" s="226"/>
      <c r="AF1675" s="226"/>
    </row>
    <row r="1676" spans="1:32" ht="20.25" customHeight="1">
      <c r="A1676" s="217"/>
      <c r="E1676" s="187"/>
      <c r="G1676" s="188"/>
      <c r="H1676" s="188"/>
      <c r="I1676" s="188"/>
      <c r="J1676" s="188"/>
      <c r="K1676" s="188"/>
      <c r="L1676" s="188"/>
      <c r="M1676" s="194"/>
      <c r="N1676" s="190"/>
      <c r="O1676" s="190"/>
      <c r="P1676" s="188"/>
      <c r="Q1676" s="188"/>
      <c r="R1676" s="195"/>
      <c r="S1676" s="197"/>
      <c r="T1676" s="180"/>
      <c r="U1676" s="189" t="str">
        <f>IFERROR(IF(Tableau3[[#This Row],[Dettes]]=0,"",(Tableau3[[#This Row],[Dettes]]/Tableau3[[#This Row],[EBE]])),"")</f>
        <v/>
      </c>
      <c r="V1676" s="190" t="str">
        <f>IFERROR(Tableau3[[#This Row],[Fonds propres]]/Tableau3[[#This Row],[Total Bilan]],"")</f>
        <v/>
      </c>
      <c r="W1676" s="180"/>
      <c r="X1676" s="191"/>
      <c r="Y1676" s="180"/>
      <c r="Z1676" s="192" t="str">
        <f>IFERROR(Tableau3[[#This Row],[Chiffre d''affaires]]/Tableau3[[#This Row],[Salariés]],"")</f>
        <v/>
      </c>
      <c r="AA1676" s="197"/>
      <c r="AB1676" s="197"/>
      <c r="AD1676" s="226"/>
      <c r="AE1676" s="226"/>
      <c r="AF1676" s="226"/>
    </row>
    <row r="1677" spans="1:32" ht="20.25" customHeight="1">
      <c r="A1677" s="217"/>
      <c r="E1677" s="187"/>
      <c r="G1677" s="188"/>
      <c r="H1677" s="188"/>
      <c r="I1677" s="188"/>
      <c r="J1677" s="188"/>
      <c r="K1677" s="188"/>
      <c r="L1677" s="188"/>
      <c r="M1677" s="194"/>
      <c r="N1677" s="190"/>
      <c r="O1677" s="190"/>
      <c r="P1677" s="188"/>
      <c r="Q1677" s="188"/>
      <c r="R1677" s="195"/>
      <c r="S1677" s="197"/>
      <c r="T1677" s="180"/>
      <c r="U1677" s="189" t="str">
        <f>IFERROR(IF(Tableau3[[#This Row],[Dettes]]=0,"",(Tableau3[[#This Row],[Dettes]]/Tableau3[[#This Row],[EBE]])),"")</f>
        <v/>
      </c>
      <c r="V1677" s="190" t="str">
        <f>IFERROR(Tableau3[[#This Row],[Fonds propres]]/Tableau3[[#This Row],[Total Bilan]],"")</f>
        <v/>
      </c>
      <c r="W1677" s="180"/>
      <c r="X1677" s="191"/>
      <c r="Y1677" s="180"/>
      <c r="Z1677" s="192" t="str">
        <f>IFERROR(Tableau3[[#This Row],[Chiffre d''affaires]]/Tableau3[[#This Row],[Salariés]],"")</f>
        <v/>
      </c>
      <c r="AA1677" s="197"/>
      <c r="AB1677" s="197"/>
      <c r="AD1677" s="226"/>
      <c r="AE1677" s="226"/>
      <c r="AF1677" s="226"/>
    </row>
    <row r="1678" spans="1:32" ht="20.25" customHeight="1">
      <c r="A1678" s="217"/>
      <c r="E1678" s="187"/>
      <c r="G1678" s="188"/>
      <c r="H1678" s="188"/>
      <c r="I1678" s="188"/>
      <c r="J1678" s="188"/>
      <c r="K1678" s="188"/>
      <c r="L1678" s="188"/>
      <c r="M1678" s="194"/>
      <c r="N1678" s="190"/>
      <c r="O1678" s="190"/>
      <c r="P1678" s="188"/>
      <c r="Q1678" s="188"/>
      <c r="R1678" s="195"/>
      <c r="S1678" s="197"/>
      <c r="T1678" s="180"/>
      <c r="U1678" s="189" t="str">
        <f>IFERROR(IF(Tableau3[[#This Row],[Dettes]]=0,"",(Tableau3[[#This Row],[Dettes]]/Tableau3[[#This Row],[EBE]])),"")</f>
        <v/>
      </c>
      <c r="V1678" s="190" t="str">
        <f>IFERROR(Tableau3[[#This Row],[Fonds propres]]/Tableau3[[#This Row],[Total Bilan]],"")</f>
        <v/>
      </c>
      <c r="W1678" s="180"/>
      <c r="X1678" s="191"/>
      <c r="Y1678" s="180"/>
      <c r="Z1678" s="192" t="str">
        <f>IFERROR(Tableau3[[#This Row],[Chiffre d''affaires]]/Tableau3[[#This Row],[Salariés]],"")</f>
        <v/>
      </c>
      <c r="AA1678" s="197"/>
      <c r="AB1678" s="197"/>
      <c r="AD1678" s="226"/>
      <c r="AE1678" s="226"/>
      <c r="AF1678" s="226"/>
    </row>
    <row r="1679" spans="1:32" ht="20.25" customHeight="1">
      <c r="A1679" s="217" t="s">
        <v>1163</v>
      </c>
      <c r="B1679" s="216" t="s">
        <v>1142</v>
      </c>
      <c r="C1679" s="178" t="s">
        <v>84</v>
      </c>
      <c r="D1679" s="178" t="s">
        <v>85</v>
      </c>
      <c r="E1679" s="187">
        <v>83.7</v>
      </c>
      <c r="F1679" s="178">
        <v>2025</v>
      </c>
      <c r="G1679" s="188"/>
      <c r="H1679" s="188"/>
      <c r="I1679" s="188"/>
      <c r="J1679" s="188"/>
      <c r="K1679" s="188"/>
      <c r="L1679" s="188"/>
      <c r="M1679" s="194"/>
      <c r="N1679" s="190"/>
      <c r="O1679" s="190"/>
      <c r="P1679" s="188"/>
      <c r="Q1679" s="188"/>
      <c r="R1679" s="195"/>
      <c r="S1679" s="197"/>
      <c r="T1679" s="180"/>
      <c r="U1679" s="189" t="str">
        <f>IFERROR(IF(Tableau3[[#This Row],[Dettes]]=0,"",(Tableau3[[#This Row],[Dettes]]/Tableau3[[#This Row],[EBE]])),"")</f>
        <v/>
      </c>
      <c r="V1679" s="190" t="str">
        <f>IFERROR(Tableau3[[#This Row],[Fonds propres]]/Tableau3[[#This Row],[Total Bilan]],"")</f>
        <v/>
      </c>
      <c r="W1679" s="180"/>
      <c r="X1679" s="191"/>
      <c r="Y1679" s="180"/>
      <c r="Z1679" s="192" t="str">
        <f>IFERROR(Tableau3[[#This Row],[Chiffre d''affaires]]/Tableau3[[#This Row],[Salariés]],"")</f>
        <v/>
      </c>
      <c r="AA1679" s="197"/>
      <c r="AB1679" s="197"/>
      <c r="AC1679" s="177" t="s">
        <v>5203</v>
      </c>
      <c r="AD1679" s="226"/>
      <c r="AE1679" s="226"/>
      <c r="AF1679" s="226"/>
    </row>
    <row r="1680" spans="1:32" ht="20.25" customHeight="1">
      <c r="A1680" s="217"/>
      <c r="E1680" s="187"/>
      <c r="G1680" s="188"/>
      <c r="H1680" s="188"/>
      <c r="I1680" s="188"/>
      <c r="J1680" s="188"/>
      <c r="K1680" s="188"/>
      <c r="L1680" s="188"/>
      <c r="M1680" s="194"/>
      <c r="N1680" s="190"/>
      <c r="O1680" s="190"/>
      <c r="P1680" s="188"/>
      <c r="Q1680" s="188"/>
      <c r="R1680" s="195"/>
      <c r="S1680" s="197"/>
      <c r="T1680" s="180"/>
      <c r="U1680" s="189" t="str">
        <f>IFERROR(IF(Tableau3[[#This Row],[Dettes]]=0,"",(Tableau3[[#This Row],[Dettes]]/Tableau3[[#This Row],[EBE]])),"")</f>
        <v/>
      </c>
      <c r="V1680" s="190" t="str">
        <f>IFERROR(Tableau3[[#This Row],[Fonds propres]]/Tableau3[[#This Row],[Total Bilan]],"")</f>
        <v/>
      </c>
      <c r="W1680" s="180"/>
      <c r="X1680" s="191"/>
      <c r="Y1680" s="180"/>
      <c r="Z1680" s="192" t="str">
        <f>IFERROR(Tableau3[[#This Row],[Chiffre d''affaires]]/Tableau3[[#This Row],[Salariés]],"")</f>
        <v/>
      </c>
      <c r="AA1680" s="197"/>
      <c r="AB1680" s="197"/>
      <c r="AC1680" s="177" t="s">
        <v>1165</v>
      </c>
      <c r="AD1680" s="226"/>
      <c r="AE1680" s="226"/>
      <c r="AF1680" s="226"/>
    </row>
    <row r="1681" spans="1:32" ht="20.25" customHeight="1">
      <c r="A1681" s="217"/>
      <c r="E1681" s="187">
        <v>74.900000000000006</v>
      </c>
      <c r="F1681" s="178">
        <v>2024</v>
      </c>
      <c r="G1681" s="188">
        <v>539200000</v>
      </c>
      <c r="H1681" s="188">
        <v>104300000</v>
      </c>
      <c r="I1681" s="188">
        <v>89000000</v>
      </c>
      <c r="J1681" s="188">
        <v>58700000</v>
      </c>
      <c r="K1681" s="188">
        <v>-185200000</v>
      </c>
      <c r="L1681" s="188"/>
      <c r="M1681" s="194">
        <f t="shared" ref="M1681" si="149">L1681/P1681</f>
        <v>0</v>
      </c>
      <c r="N1681" s="190">
        <f t="shared" ref="N1681" si="150">J1681/L1683</f>
        <v>0.11138245166627768</v>
      </c>
      <c r="O1681" s="190">
        <f t="shared" ref="O1681" si="151">(I1681*0.75)/(K1683+L1683)</f>
        <v>0.16813051461790923</v>
      </c>
      <c r="P1681" s="188">
        <v>11881902</v>
      </c>
      <c r="Q1681" s="188">
        <f>P1681*E1681</f>
        <v>889954459.80000007</v>
      </c>
      <c r="R1681" s="195" t="e">
        <f>Q1681/L1681</f>
        <v>#DIV/0!</v>
      </c>
      <c r="S1681" s="197">
        <f>(Q1681+K1683)/H1681</f>
        <v>7.2862364314477475</v>
      </c>
      <c r="T1681" s="180">
        <v>86000000</v>
      </c>
      <c r="U1681" s="189">
        <f>IFERROR(IF(Tableau3[[#This Row],[Dettes]]=0,"",(Tableau3[[#This Row],[Dettes]]/Tableau3[[#This Row],[EBE]])),"")</f>
        <v>-1.7756471716203259</v>
      </c>
      <c r="V1681" s="190" t="str">
        <f>IFERROR(Tableau3[[#This Row],[Fonds propres]]/Tableau3[[#This Row],[Total Bilan]],"")</f>
        <v/>
      </c>
      <c r="W1681" s="180"/>
      <c r="X1681" s="191"/>
      <c r="Y1681" s="180"/>
      <c r="Z1681" s="192" t="str">
        <f>IFERROR(Tableau3[[#This Row],[Chiffre d''affaires]]/Tableau3[[#This Row],[Salariés]],"")</f>
        <v/>
      </c>
      <c r="AA1681" s="197"/>
      <c r="AB1681" s="197"/>
      <c r="AC1681" s="177" t="s">
        <v>5202</v>
      </c>
      <c r="AD1681" s="226"/>
      <c r="AE1681" s="226"/>
      <c r="AF1681" s="226"/>
    </row>
    <row r="1682" spans="1:32" ht="20.25" customHeight="1">
      <c r="A1682" s="217"/>
      <c r="E1682" s="187"/>
      <c r="G1682" s="202">
        <f>(G1681/G1683)-1</f>
        <v>1.8703948611373589E-2</v>
      </c>
      <c r="H1682" s="203">
        <f>(H1681/H1683)-1</f>
        <v>-7.699115044247784E-2</v>
      </c>
      <c r="I1682" s="203">
        <f>(I1681/I1683)-1</f>
        <v>4.705882352941182E-2</v>
      </c>
      <c r="J1682" s="203">
        <f>(J1681/J1683)-1</f>
        <v>5.5755395683453335E-2</v>
      </c>
      <c r="K1682" s="188"/>
      <c r="L1682" s="188"/>
      <c r="M1682" s="194"/>
      <c r="N1682" s="190"/>
      <c r="O1682" s="190"/>
      <c r="P1682" s="188"/>
      <c r="Q1682" s="188"/>
      <c r="R1682" s="195"/>
      <c r="S1682" s="197"/>
      <c r="T1682" s="180"/>
      <c r="U1682" s="189" t="str">
        <f>IFERROR(IF(Tableau3[[#This Row],[Dettes]]=0,"",(Tableau3[[#This Row],[Dettes]]/Tableau3[[#This Row],[EBE]])),"")</f>
        <v/>
      </c>
      <c r="V1682" s="190" t="str">
        <f>IFERROR(Tableau3[[#This Row],[Fonds propres]]/Tableau3[[#This Row],[Total Bilan]],"")</f>
        <v/>
      </c>
      <c r="W1682" s="180"/>
      <c r="X1682" s="191"/>
      <c r="Y1682" s="180"/>
      <c r="Z1682" s="192" t="str">
        <f>IFERROR(Tableau3[[#This Row],[Chiffre d''affaires]]/Tableau3[[#This Row],[Salariés]],"")</f>
        <v/>
      </c>
      <c r="AA1682" s="197"/>
      <c r="AB1682" s="197"/>
      <c r="AC1682" s="177" t="s">
        <v>5206</v>
      </c>
      <c r="AD1682" s="226"/>
      <c r="AE1682" s="226"/>
      <c r="AF1682" s="226"/>
    </row>
    <row r="1683" spans="1:32" ht="20.25" customHeight="1">
      <c r="A1683" s="217"/>
      <c r="E1683" s="187">
        <v>102.4</v>
      </c>
      <c r="F1683" s="178">
        <v>2023</v>
      </c>
      <c r="G1683" s="188">
        <v>529300000</v>
      </c>
      <c r="H1683" s="188">
        <v>113000000</v>
      </c>
      <c r="I1683" s="188">
        <v>85000000</v>
      </c>
      <c r="J1683" s="188">
        <v>55600000</v>
      </c>
      <c r="K1683" s="188">
        <v>-130000000</v>
      </c>
      <c r="L1683" s="188">
        <v>527013000</v>
      </c>
      <c r="M1683" s="194">
        <f t="shared" ref="M1683" si="152">L1683/P1683</f>
        <v>44.35426247413924</v>
      </c>
      <c r="N1683" s="190">
        <f t="shared" ref="N1683" si="153">J1683/L1685</f>
        <v>0.11474066751827905</v>
      </c>
      <c r="O1683" s="190">
        <f t="shared" ref="O1683" si="154">(I1683*0.75)/(K1685+L1685)</f>
        <v>0.16156788005200584</v>
      </c>
      <c r="P1683" s="188">
        <v>11881902</v>
      </c>
      <c r="Q1683" s="188">
        <f>P1683*E1683</f>
        <v>1216706764.8</v>
      </c>
      <c r="R1683" s="195">
        <f>Q1683/L1683</f>
        <v>2.3086845387115686</v>
      </c>
      <c r="S1683" s="197">
        <f>(Q1683+K1685)/H1683</f>
        <v>9.9708563256637159</v>
      </c>
      <c r="T1683" s="180"/>
      <c r="U1683" s="189">
        <f>IFERROR(IF(Tableau3[[#This Row],[Dettes]]=0,"",(Tableau3[[#This Row],[Dettes]]/Tableau3[[#This Row],[EBE]])),"")</f>
        <v>-1.1504424778761062</v>
      </c>
      <c r="V1683" s="190">
        <f>IFERROR(Tableau3[[#This Row],[Fonds propres]]/Tableau3[[#This Row],[Total Bilan]],"")</f>
        <v>0.7613242381167008</v>
      </c>
      <c r="W1683" s="180">
        <v>692232000</v>
      </c>
      <c r="X1683" s="191"/>
      <c r="Y1683" s="180">
        <v>2501</v>
      </c>
      <c r="Z1683" s="192">
        <f>IFERROR(Tableau3[[#This Row],[Chiffre d''affaires]]/Tableau3[[#This Row],[Salariés]],"")</f>
        <v>211635.34586165534</v>
      </c>
      <c r="AA1683" s="197" t="s">
        <v>488</v>
      </c>
      <c r="AB1683" s="197"/>
      <c r="AC1683" s="177" t="s">
        <v>5201</v>
      </c>
      <c r="AD1683" s="226"/>
      <c r="AE1683" s="226"/>
      <c r="AF1683" s="226"/>
    </row>
    <row r="1684" spans="1:32" ht="20.25" customHeight="1">
      <c r="A1684" s="217"/>
      <c r="E1684" s="187"/>
      <c r="G1684" s="202">
        <f>(G1683/G1685)-1</f>
        <v>-1.9814814814814841E-2</v>
      </c>
      <c r="H1684" s="203">
        <f>(H1683/H1685)-1</f>
        <v>-1.7391304347826098E-2</v>
      </c>
      <c r="I1684" s="203">
        <f>(I1683/I1685)-1</f>
        <v>3.6585365853658569E-2</v>
      </c>
      <c r="J1684" s="203">
        <f>(J1683/J1685)-1</f>
        <v>1.0909090909090979E-2</v>
      </c>
      <c r="K1684" s="188"/>
      <c r="L1684" s="188"/>
      <c r="M1684" s="194"/>
      <c r="N1684" s="190"/>
      <c r="O1684" s="190"/>
      <c r="P1684" s="188"/>
      <c r="Q1684" s="188"/>
      <c r="R1684" s="195"/>
      <c r="S1684" s="197"/>
      <c r="T1684" s="180"/>
      <c r="U1684" s="189" t="str">
        <f>IFERROR(IF(Tableau3[[#This Row],[Dettes]]=0,"",(Tableau3[[#This Row],[Dettes]]/Tableau3[[#This Row],[EBE]])),"")</f>
        <v/>
      </c>
      <c r="V1684" s="190" t="str">
        <f>IFERROR(Tableau3[[#This Row],[Fonds propres]]/Tableau3[[#This Row],[Total Bilan]],"")</f>
        <v/>
      </c>
      <c r="W1684" s="180"/>
      <c r="X1684" s="191"/>
      <c r="Y1684" s="180"/>
      <c r="Z1684" s="192" t="str">
        <f>IFERROR(Tableau3[[#This Row],[Chiffre d''affaires]]/Tableau3[[#This Row],[Salariés]],"")</f>
        <v/>
      </c>
      <c r="AA1684" s="197" t="s">
        <v>491</v>
      </c>
      <c r="AB1684" s="197"/>
      <c r="AC1684" s="177" t="s">
        <v>5207</v>
      </c>
      <c r="AD1684" s="226"/>
      <c r="AE1684" s="226"/>
      <c r="AF1684" s="226"/>
    </row>
    <row r="1685" spans="1:32" ht="20.25" customHeight="1">
      <c r="A1685" s="217"/>
      <c r="E1685" s="187">
        <v>87.6</v>
      </c>
      <c r="F1685" s="178">
        <v>2022</v>
      </c>
      <c r="G1685" s="188">
        <v>540000000</v>
      </c>
      <c r="H1685" s="188">
        <v>115000000</v>
      </c>
      <c r="I1685" s="188">
        <v>82000000</v>
      </c>
      <c r="J1685" s="188">
        <v>55000000</v>
      </c>
      <c r="K1685" s="188">
        <v>-90000000</v>
      </c>
      <c r="L1685" s="188">
        <v>484571000</v>
      </c>
      <c r="M1685" s="194">
        <f>L1685/P1685</f>
        <v>40.782275430314101</v>
      </c>
      <c r="N1685" s="190">
        <f>J1685/L1687</f>
        <v>0.12464222017255015</v>
      </c>
      <c r="O1685" s="190">
        <f>(I1685*0.75)/(K1687+L1687)</f>
        <v>0.15864949296653916</v>
      </c>
      <c r="P1685" s="188">
        <v>11881902</v>
      </c>
      <c r="Q1685" s="188">
        <f>P1685*E1685</f>
        <v>1040854615.1999999</v>
      </c>
      <c r="R1685" s="195">
        <f>Q1685/L1685</f>
        <v>2.1479919665023286</v>
      </c>
      <c r="S1685" s="197">
        <f>(Q1685+K1687)/H1685</f>
        <v>8.5846836104347819</v>
      </c>
      <c r="T1685" s="180">
        <v>60000000</v>
      </c>
      <c r="U1685" s="189">
        <f>IFERROR(IF(Tableau3[[#This Row],[Dettes]]=0,"",(Tableau3[[#This Row],[Dettes]]/Tableau3[[#This Row],[EBE]])),"")</f>
        <v>-0.78260869565217395</v>
      </c>
      <c r="V1685" s="190">
        <f>IFERROR(Tableau3[[#This Row],[Fonds propres]]/Tableau3[[#This Row],[Total Bilan]],"")</f>
        <v>0.74338035861120999</v>
      </c>
      <c r="W1685" s="180">
        <v>651848000</v>
      </c>
      <c r="X1685" s="191"/>
      <c r="Y1685" s="180">
        <v>2550</v>
      </c>
      <c r="Z1685" s="192">
        <f>IFERROR(Tableau3[[#This Row],[Chiffre d''affaires]]/Tableau3[[#This Row],[Salariés]],"")</f>
        <v>211764.70588235295</v>
      </c>
      <c r="AA1685" s="197" t="s">
        <v>168</v>
      </c>
      <c r="AB1685" s="197"/>
      <c r="AC1685" s="216" t="s">
        <v>5204</v>
      </c>
      <c r="AD1685" s="226"/>
      <c r="AE1685" s="226"/>
      <c r="AF1685" s="226"/>
    </row>
    <row r="1686" spans="1:32" ht="20.25" customHeight="1">
      <c r="A1686" s="217"/>
      <c r="E1686" s="187"/>
      <c r="G1686" s="202">
        <f>(G1685/G1687)-1</f>
        <v>3.5871858814502167E-2</v>
      </c>
      <c r="H1686" s="203">
        <f>(H1685/H1687)-1</f>
        <v>-3.6180929792066552E-2</v>
      </c>
      <c r="I1686" s="203">
        <f>(I1685/I1687)-1</f>
        <v>-4.9561871204042873E-2</v>
      </c>
      <c r="J1686" s="203">
        <f>(J1685/J1687)-1</f>
        <v>-0.12515111026277281</v>
      </c>
      <c r="K1686" s="188"/>
      <c r="L1686" s="188"/>
      <c r="M1686" s="194"/>
      <c r="N1686" s="190"/>
      <c r="O1686" s="190"/>
      <c r="P1686" s="188"/>
      <c r="Q1686" s="188"/>
      <c r="R1686" s="195"/>
      <c r="S1686" s="197"/>
      <c r="T1686" s="180"/>
      <c r="U1686" s="189" t="str">
        <f>IFERROR(IF(Tableau3[[#This Row],[Dettes]]=0,"",(Tableau3[[#This Row],[Dettes]]/Tableau3[[#This Row],[EBE]])),"")</f>
        <v/>
      </c>
      <c r="V1686" s="190" t="str">
        <f>IFERROR(Tableau3[[#This Row],[Fonds propres]]/Tableau3[[#This Row],[Total Bilan]],"")</f>
        <v/>
      </c>
      <c r="W1686" s="180"/>
      <c r="X1686" s="191"/>
      <c r="Y1686" s="180"/>
      <c r="Z1686" s="192" t="str">
        <f>IFERROR(Tableau3[[#This Row],[Chiffre d''affaires]]/Tableau3[[#This Row],[Salariés]],"")</f>
        <v/>
      </c>
      <c r="AA1686" s="197" t="s">
        <v>107</v>
      </c>
      <c r="AB1686" s="197"/>
      <c r="AC1686" s="216" t="s">
        <v>5205</v>
      </c>
      <c r="AD1686" s="226"/>
      <c r="AE1686" s="226"/>
      <c r="AF1686" s="226"/>
    </row>
    <row r="1687" spans="1:32" ht="20.25" customHeight="1">
      <c r="A1687" s="217"/>
      <c r="E1687" s="187">
        <v>132</v>
      </c>
      <c r="F1687" s="178">
        <v>2021</v>
      </c>
      <c r="G1687" s="188">
        <v>521300000</v>
      </c>
      <c r="H1687" s="188">
        <v>119317000</v>
      </c>
      <c r="I1687" s="188">
        <v>86276000</v>
      </c>
      <c r="J1687" s="188">
        <v>62868000</v>
      </c>
      <c r="K1687" s="188">
        <v>-53616000</v>
      </c>
      <c r="L1687" s="188">
        <v>441263000</v>
      </c>
      <c r="M1687" s="194">
        <f>L1687/P1687</f>
        <v>37.13740443238801</v>
      </c>
      <c r="N1687" s="190">
        <f>J1687/L1689</f>
        <v>0.16911592623976113</v>
      </c>
      <c r="O1687" s="190">
        <f>(I1687*0.75)/(K1689+L1689)</f>
        <v>0.17623651813923086</v>
      </c>
      <c r="P1687" s="188">
        <v>11881902</v>
      </c>
      <c r="Q1687" s="188">
        <f>P1687*E1687</f>
        <v>1568411064</v>
      </c>
      <c r="R1687" s="195">
        <f>Q1687/L1687</f>
        <v>3.5543679483663939</v>
      </c>
      <c r="S1687" s="197">
        <f>(Q1687+K1689)/H1687</f>
        <v>13.106481591055759</v>
      </c>
      <c r="T1687" s="180">
        <v>90000000</v>
      </c>
      <c r="U1687" s="189">
        <f>IFERROR(IF(Tableau3[[#This Row],[Dettes]]=0,"",(Tableau3[[#This Row],[Dettes]]/Tableau3[[#This Row],[EBE]])),"")</f>
        <v>-0.44935759363711791</v>
      </c>
      <c r="V1687" s="190" t="str">
        <f>IFERROR(Tableau3[[#This Row],[Fonds propres]]/Tableau3[[#This Row],[Total Bilan]],"")</f>
        <v/>
      </c>
      <c r="W1687" s="180"/>
      <c r="X1687" s="191"/>
      <c r="Y1687" s="180">
        <v>2546</v>
      </c>
      <c r="Z1687" s="192">
        <f>IFERROR(Tableau3[[#This Row],[Chiffre d''affaires]]/Tableau3[[#This Row],[Salariés]],"")</f>
        <v>204752.55302435192</v>
      </c>
      <c r="AB1687" s="197"/>
      <c r="AC1687" s="177" t="s">
        <v>1166</v>
      </c>
      <c r="AD1687" s="226"/>
      <c r="AE1687" s="226"/>
      <c r="AF1687" s="226"/>
    </row>
    <row r="1688" spans="1:32" ht="20.25" customHeight="1">
      <c r="A1688" s="217"/>
      <c r="E1688" s="187"/>
      <c r="G1688" s="202">
        <f>(G1687/G1689)-1</f>
        <v>0.21941520467836262</v>
      </c>
      <c r="H1688" s="203">
        <f>(H1687/H1689)-1</f>
        <v>0.42204874560514871</v>
      </c>
      <c r="I1688" s="203">
        <f>(I1687/I1689)-1</f>
        <v>1.3258121040571504</v>
      </c>
      <c r="J1688" s="203">
        <f>(J1687/J1689)-1</f>
        <v>2.269436788184513</v>
      </c>
      <c r="K1688" s="178"/>
      <c r="L1688" s="188"/>
      <c r="M1688" s="194"/>
      <c r="N1688" s="190"/>
      <c r="O1688" s="190"/>
      <c r="P1688" s="188"/>
      <c r="Q1688" s="188"/>
      <c r="R1688" s="195"/>
      <c r="S1688" s="197"/>
      <c r="T1688" s="180"/>
      <c r="U1688" s="189" t="str">
        <f>IFERROR(IF(Tableau3[[#This Row],[Dettes]]=0,"",(Tableau3[[#This Row],[Dettes]]/Tableau3[[#This Row],[EBE]])),"")</f>
        <v/>
      </c>
      <c r="V1688" s="190" t="str">
        <f>IFERROR(Tableau3[[#This Row],[Fonds propres]]/Tableau3[[#This Row],[Total Bilan]],"")</f>
        <v/>
      </c>
      <c r="W1688" s="180"/>
      <c r="X1688" s="191"/>
      <c r="Y1688" s="180"/>
      <c r="Z1688" s="192" t="str">
        <f>IFERROR(Tableau3[[#This Row],[Chiffre d''affaires]]/Tableau3[[#This Row],[Salariés]],"")</f>
        <v/>
      </c>
      <c r="AB1688" s="197"/>
      <c r="AC1688" s="177" t="s">
        <v>1167</v>
      </c>
      <c r="AD1688" s="226"/>
      <c r="AE1688" s="226"/>
      <c r="AF1688" s="226"/>
    </row>
    <row r="1689" spans="1:32" ht="20.25" customHeight="1">
      <c r="A1689" s="217"/>
      <c r="E1689" s="187">
        <v>88.6</v>
      </c>
      <c r="F1689" s="178">
        <v>2020</v>
      </c>
      <c r="G1689" s="188">
        <v>427500000</v>
      </c>
      <c r="H1689" s="188">
        <v>83905000</v>
      </c>
      <c r="I1689" s="188">
        <v>37095000</v>
      </c>
      <c r="J1689" s="188">
        <v>19229000</v>
      </c>
      <c r="K1689" s="188">
        <v>-4585000</v>
      </c>
      <c r="L1689" s="188">
        <v>371745000</v>
      </c>
      <c r="M1689" s="194">
        <f>L1689/P1689</f>
        <v>31.28665764117563</v>
      </c>
      <c r="N1689" s="190">
        <f>J1689/L1691</f>
        <v>4.9770546624460017E-2</v>
      </c>
      <c r="O1689" s="190">
        <f>(I1689*0.75)/(K1691+L1691)</f>
        <v>8.8615971180399614E-2</v>
      </c>
      <c r="P1689" s="188">
        <v>11881902</v>
      </c>
      <c r="Q1689" s="188">
        <f>P1689*E1689</f>
        <v>1052736517.1999999</v>
      </c>
      <c r="R1689" s="195">
        <f>Q1689/L1689</f>
        <v>2.8318780809425812</v>
      </c>
      <c r="S1689" s="197">
        <f>(Q1689+K1691)/H1689</f>
        <v>11.683886743340683</v>
      </c>
      <c r="T1689" s="180">
        <v>92000000</v>
      </c>
      <c r="U1689" s="189">
        <f>IFERROR(IF(Tableau3[[#This Row],[Dettes]]=0,"",(Tableau3[[#This Row],[Dettes]]/Tableau3[[#This Row],[EBE]])),"")</f>
        <v>-5.4645134378165781E-2</v>
      </c>
      <c r="V1689" s="190" t="str">
        <f>IFERROR(Tableau3[[#This Row],[Fonds propres]]/Tableau3[[#This Row],[Total Bilan]],"")</f>
        <v/>
      </c>
      <c r="W1689" s="180"/>
      <c r="X1689" s="191"/>
      <c r="Y1689" s="180">
        <v>2400</v>
      </c>
      <c r="Z1689" s="192">
        <f>IFERROR(Tableau3[[#This Row],[Chiffre d''affaires]]/Tableau3[[#This Row],[Salariés]],"")</f>
        <v>178125</v>
      </c>
      <c r="AA1689" s="188"/>
      <c r="AB1689" s="188"/>
      <c r="AC1689" s="177" t="s">
        <v>1168</v>
      </c>
      <c r="AD1689" s="226"/>
      <c r="AE1689" s="226"/>
      <c r="AF1689" s="226"/>
    </row>
    <row r="1690" spans="1:32" ht="20.25" customHeight="1">
      <c r="A1690" s="217"/>
      <c r="E1690" s="187"/>
      <c r="G1690" s="202">
        <f>(G1689/G1691)-1</f>
        <v>7.9572716482739558E-2</v>
      </c>
      <c r="H1690" s="203">
        <f>(H1689/H1691)-1</f>
        <v>0.28295107033639133</v>
      </c>
      <c r="I1690" s="203">
        <f>(I1689/I1691)-1</f>
        <v>-9.2721224869148355E-2</v>
      </c>
      <c r="J1690" s="203">
        <f>(J1689/J1691)-1</f>
        <v>-0.32739864983035438</v>
      </c>
      <c r="K1690" s="188"/>
      <c r="L1690" s="188"/>
      <c r="M1690" s="194"/>
      <c r="N1690" s="190"/>
      <c r="O1690" s="190"/>
      <c r="P1690" s="188"/>
      <c r="Q1690" s="188"/>
      <c r="R1690" s="195"/>
      <c r="S1690" s="197"/>
      <c r="T1690" s="180"/>
      <c r="U1690" s="189" t="str">
        <f>IFERROR(IF(Tableau3[[#This Row],[Dettes]]=0,"",(Tableau3[[#This Row],[Dettes]]/Tableau3[[#This Row],[EBE]])),"")</f>
        <v/>
      </c>
      <c r="V1690" s="190" t="str">
        <f>IFERROR(Tableau3[[#This Row],[Fonds propres]]/Tableau3[[#This Row],[Total Bilan]],"")</f>
        <v/>
      </c>
      <c r="W1690" s="180"/>
      <c r="X1690" s="191"/>
      <c r="Y1690" s="180"/>
      <c r="Z1690" s="192" t="str">
        <f>IFERROR(Tableau3[[#This Row],[Chiffre d''affaires]]/Tableau3[[#This Row],[Salariés]],"")</f>
        <v/>
      </c>
      <c r="AA1690" s="188"/>
      <c r="AB1690" s="188"/>
      <c r="AC1690" s="177" t="s">
        <v>1169</v>
      </c>
      <c r="AD1690" s="226"/>
      <c r="AE1690" s="226"/>
      <c r="AF1690" s="226"/>
    </row>
    <row r="1691" spans="1:32" ht="20.25" customHeight="1">
      <c r="A1691" s="217"/>
      <c r="E1691" s="187">
        <v>64.400000000000006</v>
      </c>
      <c r="F1691" s="178">
        <v>2019</v>
      </c>
      <c r="G1691" s="188">
        <v>395990000</v>
      </c>
      <c r="H1691" s="188">
        <v>65400000</v>
      </c>
      <c r="I1691" s="188">
        <v>40886000</v>
      </c>
      <c r="J1691" s="188">
        <v>28589000</v>
      </c>
      <c r="K1691" s="188">
        <v>-72400000</v>
      </c>
      <c r="L1691" s="188">
        <v>386353000</v>
      </c>
      <c r="M1691" s="194">
        <f>L1691/P1691</f>
        <v>32.516090437372739</v>
      </c>
      <c r="N1691" s="190">
        <f>J1691/L1693</f>
        <v>7.873675281468262E-2</v>
      </c>
      <c r="O1691" s="190">
        <f>(I1691*0.75)/(K1693+L1693)</f>
        <v>0.1216381854531607</v>
      </c>
      <c r="P1691" s="188">
        <v>11881902</v>
      </c>
      <c r="Q1691" s="188">
        <f>P1691*E1691</f>
        <v>765194488.80000007</v>
      </c>
      <c r="R1691" s="195">
        <f>Q1691/L1691</f>
        <v>1.9805579063705991</v>
      </c>
      <c r="S1691" s="197">
        <f>(Q1691+K1693)/H1691</f>
        <v>10.002973834862386</v>
      </c>
      <c r="T1691" s="180">
        <v>52000000</v>
      </c>
      <c r="U1691" s="189">
        <f>IFERROR(IF(Tableau3[[#This Row],[Dettes]]=0,"",(Tableau3[[#This Row],[Dettes]]/Tableau3[[#This Row],[EBE]])),"")</f>
        <v>-1.107033639143731</v>
      </c>
      <c r="V1691" s="190" t="str">
        <f>IFERROR(Tableau3[[#This Row],[Fonds propres]]/Tableau3[[#This Row],[Total Bilan]],"")</f>
        <v/>
      </c>
      <c r="W1691" s="180"/>
      <c r="X1691" s="191"/>
      <c r="Y1691" s="180"/>
      <c r="Z1691" s="192" t="str">
        <f>IFERROR(Tableau3[[#This Row],[Chiffre d''affaires]]/Tableau3[[#This Row],[Salariés]],"")</f>
        <v/>
      </c>
      <c r="AA1691" s="188"/>
      <c r="AB1691" s="188"/>
      <c r="AC1691" s="177" t="s">
        <v>1170</v>
      </c>
      <c r="AD1691" s="226"/>
      <c r="AE1691" s="226"/>
      <c r="AF1691" s="226"/>
    </row>
    <row r="1692" spans="1:32" ht="20.25" customHeight="1">
      <c r="A1692" s="217"/>
      <c r="E1692" s="187"/>
      <c r="G1692" s="202">
        <f>(G1691/G1693)-1</f>
        <v>7.6232330726937247E-2</v>
      </c>
      <c r="H1692" s="203">
        <f>(H1691/H1693)-1</f>
        <v>8.2781456953642474E-2</v>
      </c>
      <c r="I1692" s="203">
        <f>(I1691/I1693)-1</f>
        <v>-0.15211215030795711</v>
      </c>
      <c r="J1692" s="203">
        <f>(J1691/J1693)-1</f>
        <v>-0.2115336881877603</v>
      </c>
      <c r="K1692" s="188"/>
      <c r="L1692" s="188"/>
      <c r="M1692" s="194"/>
      <c r="N1692" s="190"/>
      <c r="O1692" s="190"/>
      <c r="P1692" s="188"/>
      <c r="Q1692" s="188"/>
      <c r="R1692" s="195"/>
      <c r="S1692" s="197"/>
      <c r="T1692" s="180"/>
      <c r="U1692" s="189" t="str">
        <f>IFERROR(IF(Tableau3[[#This Row],[Dettes]]=0,"",(Tableau3[[#This Row],[Dettes]]/Tableau3[[#This Row],[EBE]])),"")</f>
        <v/>
      </c>
      <c r="V1692" s="190" t="str">
        <f>IFERROR(Tableau3[[#This Row],[Fonds propres]]/Tableau3[[#This Row],[Total Bilan]],"")</f>
        <v/>
      </c>
      <c r="W1692" s="180"/>
      <c r="X1692" s="191"/>
      <c r="Y1692" s="180"/>
      <c r="Z1692" s="192" t="str">
        <f>IFERROR(Tableau3[[#This Row],[Chiffre d''affaires]]/Tableau3[[#This Row],[Salariés]],"")</f>
        <v/>
      </c>
      <c r="AA1692" s="188"/>
      <c r="AB1692" s="188"/>
      <c r="AC1692" s="177" t="s">
        <v>1171</v>
      </c>
      <c r="AD1692" s="226"/>
      <c r="AE1692" s="226"/>
      <c r="AF1692" s="226"/>
    </row>
    <row r="1693" spans="1:32" ht="20.25" customHeight="1">
      <c r="A1693" s="217"/>
      <c r="E1693" s="187">
        <v>49</v>
      </c>
      <c r="F1693" s="178">
        <v>2018</v>
      </c>
      <c r="G1693" s="188">
        <v>367941000</v>
      </c>
      <c r="H1693" s="188">
        <v>60400000</v>
      </c>
      <c r="I1693" s="188">
        <v>48221000</v>
      </c>
      <c r="J1693" s="188">
        <v>36259000</v>
      </c>
      <c r="K1693" s="188">
        <v>-111000000</v>
      </c>
      <c r="L1693" s="188">
        <v>363096000</v>
      </c>
      <c r="M1693" s="194">
        <f>L1693/P1693</f>
        <v>30.558743877874097</v>
      </c>
      <c r="N1693" s="190">
        <f>J1693/L1695</f>
        <v>0.10801012809055704</v>
      </c>
      <c r="O1693" s="190">
        <f>(I1693*0.75)/(K1695+L1695)</f>
        <v>0.15182934508816121</v>
      </c>
      <c r="P1693" s="188">
        <v>11881902</v>
      </c>
      <c r="Q1693" s="188">
        <f>P1693*E1693</f>
        <v>582213198</v>
      </c>
      <c r="R1693" s="195">
        <f>Q1693/L1693</f>
        <v>1.6034690495075683</v>
      </c>
      <c r="S1693" s="197">
        <f>(Q1693+K1695)/H1693</f>
        <v>8.0250529470198675</v>
      </c>
      <c r="T1693" s="180">
        <v>26000000</v>
      </c>
      <c r="U1693" s="189">
        <f>IFERROR(IF(Tableau3[[#This Row],[Dettes]]=0,"",(Tableau3[[#This Row],[Dettes]]/Tableau3[[#This Row],[EBE]])),"")</f>
        <v>-1.8377483443708609</v>
      </c>
      <c r="V1693" s="190" t="str">
        <f>IFERROR(Tableau3[[#This Row],[Fonds propres]]/Tableau3[[#This Row],[Total Bilan]],"")</f>
        <v/>
      </c>
      <c r="W1693" s="180"/>
      <c r="X1693" s="191"/>
      <c r="Y1693" s="180"/>
      <c r="Z1693" s="192" t="str">
        <f>IFERROR(Tableau3[[#This Row],[Chiffre d''affaires]]/Tableau3[[#This Row],[Salariés]],"")</f>
        <v/>
      </c>
      <c r="AA1693" s="188"/>
      <c r="AB1693" s="188"/>
      <c r="AC1693" s="177" t="s">
        <v>5208</v>
      </c>
      <c r="AD1693" s="226"/>
      <c r="AE1693" s="226"/>
      <c r="AF1693" s="226"/>
    </row>
    <row r="1694" spans="1:32" ht="20.25" customHeight="1">
      <c r="A1694" s="217"/>
      <c r="E1694" s="187"/>
      <c r="G1694" s="202">
        <f>(G1693/G1695)-1</f>
        <v>4.4693356047700084E-2</v>
      </c>
      <c r="H1694" s="203">
        <f>(H1693/H1695)-1</f>
        <v>5.2264808362369353E-2</v>
      </c>
      <c r="I1694" s="203">
        <f>(I1693/I1695)-1</f>
        <v>4.8282608695652263E-2</v>
      </c>
      <c r="J1694" s="203">
        <f>(J1693/J1695)-1</f>
        <v>4.1925287356321839E-2</v>
      </c>
      <c r="K1694" s="188"/>
      <c r="L1694" s="188"/>
      <c r="M1694" s="194"/>
      <c r="N1694" s="190"/>
      <c r="O1694" s="190"/>
      <c r="P1694" s="188"/>
      <c r="Q1694" s="188"/>
      <c r="R1694" s="195"/>
      <c r="S1694" s="197"/>
      <c r="T1694" s="180"/>
      <c r="U1694" s="189" t="str">
        <f>IFERROR(IF(Tableau3[[#This Row],[Dettes]]=0,"",(Tableau3[[#This Row],[Dettes]]/Tableau3[[#This Row],[EBE]])),"")</f>
        <v/>
      </c>
      <c r="V1694" s="190" t="str">
        <f>IFERROR(Tableau3[[#This Row],[Fonds propres]]/Tableau3[[#This Row],[Total Bilan]],"")</f>
        <v/>
      </c>
      <c r="W1694" s="180"/>
      <c r="X1694" s="191"/>
      <c r="Y1694" s="180"/>
      <c r="Z1694" s="192" t="str">
        <f>IFERROR(Tableau3[[#This Row],[Chiffre d''affaires]]/Tableau3[[#This Row],[Salariés]],"")</f>
        <v/>
      </c>
      <c r="AA1694" s="188"/>
      <c r="AB1694" s="188"/>
      <c r="AC1694" s="216">
        <v>2023</v>
      </c>
      <c r="AD1694" s="226"/>
      <c r="AE1694" s="226"/>
      <c r="AF1694" s="226"/>
    </row>
    <row r="1695" spans="1:32" ht="20.25" customHeight="1">
      <c r="A1695" s="217"/>
      <c r="E1695" s="187">
        <v>83.6</v>
      </c>
      <c r="F1695" s="178">
        <v>2017</v>
      </c>
      <c r="G1695" s="188">
        <v>352200000</v>
      </c>
      <c r="H1695" s="188">
        <v>57400000</v>
      </c>
      <c r="I1695" s="188">
        <v>46000000</v>
      </c>
      <c r="J1695" s="188">
        <v>34800000</v>
      </c>
      <c r="K1695" s="188">
        <v>-97500000</v>
      </c>
      <c r="L1695" s="188">
        <v>335700000</v>
      </c>
      <c r="M1695" s="194">
        <f>L1695/P1695</f>
        <v>28.253052415345625</v>
      </c>
      <c r="N1695" s="190">
        <f>J1695/L1697</f>
        <v>0.10998735777496839</v>
      </c>
      <c r="O1695" s="190">
        <f>(I1695*0.75)/(K1697+L1697)</f>
        <v>0.14479432909862383</v>
      </c>
      <c r="P1695" s="188">
        <v>11881902</v>
      </c>
      <c r="Q1695" s="188">
        <f>P1695*E1695</f>
        <v>993327007.19999993</v>
      </c>
      <c r="R1695" s="195">
        <f>Q1695/L1695</f>
        <v>2.9589723181411971</v>
      </c>
      <c r="S1695" s="197">
        <f>(Q1695+K1695)/H1695</f>
        <v>15.606742285714285</v>
      </c>
      <c r="T1695" s="180">
        <v>25500000</v>
      </c>
      <c r="U1695" s="189">
        <f>IFERROR(IF(Tableau3[[#This Row],[Dettes]]=0,"",(Tableau3[[#This Row],[Dettes]]/Tableau3[[#This Row],[EBE]])),"")</f>
        <v>-1.6986062717770034</v>
      </c>
      <c r="V1695" s="190" t="str">
        <f>IFERROR(Tableau3[[#This Row],[Fonds propres]]/Tableau3[[#This Row],[Total Bilan]],"")</f>
        <v/>
      </c>
      <c r="W1695" s="180"/>
      <c r="X1695" s="191"/>
      <c r="Y1695" s="180"/>
      <c r="Z1695" s="192" t="str">
        <f>IFERROR(Tableau3[[#This Row],[Chiffre d''affaires]]/Tableau3[[#This Row],[Salariés]],"")</f>
        <v/>
      </c>
      <c r="AA1695" s="188"/>
      <c r="AB1695" s="188"/>
      <c r="AC1695" s="216">
        <v>2024</v>
      </c>
      <c r="AD1695" s="226"/>
      <c r="AE1695" s="226"/>
      <c r="AF1695" s="226"/>
    </row>
    <row r="1696" spans="1:32" ht="20.25" customHeight="1">
      <c r="A1696" s="217"/>
      <c r="E1696" s="187"/>
      <c r="G1696" s="202">
        <f>(G1695/G1697)-1</f>
        <v>5.2689565410983796E-3</v>
      </c>
      <c r="H1696" s="203">
        <f>(H1695/H1697)-1</f>
        <v>2.2480316363247654E-2</v>
      </c>
      <c r="I1696" s="203">
        <f>(I1695/I1697)-1</f>
        <v>9.3363757368321032E-2</v>
      </c>
      <c r="J1696" s="203">
        <f>(J1695/J1697)-1</f>
        <v>0.24865446716899897</v>
      </c>
      <c r="K1696" s="188"/>
      <c r="L1696" s="188"/>
      <c r="M1696" s="194"/>
      <c r="N1696" s="190"/>
      <c r="O1696" s="190"/>
      <c r="P1696" s="188"/>
      <c r="Q1696" s="188"/>
      <c r="R1696" s="195"/>
      <c r="S1696" s="197"/>
      <c r="T1696" s="180"/>
      <c r="U1696" s="189" t="str">
        <f>IFERROR(IF(Tableau3[[#This Row],[Dettes]]=0,"",(Tableau3[[#This Row],[Dettes]]/Tableau3[[#This Row],[EBE]])),"")</f>
        <v/>
      </c>
      <c r="V1696" s="190" t="str">
        <f>IFERROR(Tableau3[[#This Row],[Fonds propres]]/Tableau3[[#This Row],[Total Bilan]],"")</f>
        <v/>
      </c>
      <c r="W1696" s="180"/>
      <c r="X1696" s="191"/>
      <c r="Y1696" s="180"/>
      <c r="Z1696" s="192" t="str">
        <f>IFERROR(Tableau3[[#This Row],[Chiffre d''affaires]]/Tableau3[[#This Row],[Salariés]],"")</f>
        <v/>
      </c>
      <c r="AA1696" s="188"/>
      <c r="AB1696" s="188"/>
      <c r="AC1696" s="177" t="s">
        <v>1023</v>
      </c>
      <c r="AD1696" s="226"/>
      <c r="AE1696" s="226"/>
      <c r="AF1696" s="226"/>
    </row>
    <row r="1697" spans="1:32" ht="20.25" customHeight="1">
      <c r="A1697" s="217"/>
      <c r="E1697" s="187">
        <v>45.53</v>
      </c>
      <c r="F1697" s="178">
        <v>2016</v>
      </c>
      <c r="G1697" s="188">
        <v>350354000</v>
      </c>
      <c r="H1697" s="188">
        <v>56138000</v>
      </c>
      <c r="I1697" s="188">
        <v>42072000</v>
      </c>
      <c r="J1697" s="188">
        <v>27870000</v>
      </c>
      <c r="K1697" s="188">
        <v>-78131000</v>
      </c>
      <c r="L1697" s="188">
        <v>316400000</v>
      </c>
      <c r="M1697" s="194">
        <f>L1697/P1697</f>
        <v>26.628733345890247</v>
      </c>
      <c r="N1697" s="190">
        <f>J1697/L1699</f>
        <v>6.7567567567567571E-2</v>
      </c>
      <c r="O1697" s="190">
        <f>(I1697*0.75)/(K1699+L1699)</f>
        <v>8.7737981698314149E-2</v>
      </c>
      <c r="P1697" s="188">
        <v>11881902</v>
      </c>
      <c r="Q1697" s="188">
        <f>P1697*E1697</f>
        <v>540982998.06000006</v>
      </c>
      <c r="R1697" s="195">
        <f>Q1697/L1697</f>
        <v>1.709807199936789</v>
      </c>
      <c r="S1697" s="197">
        <f>(Q1697+K1697)/H1697</f>
        <v>8.244896470483452</v>
      </c>
      <c r="T1697" s="180">
        <v>29800000</v>
      </c>
      <c r="U1697" s="189">
        <f>IFERROR(IF(Tableau3[[#This Row],[Dettes]]=0,"",(Tableau3[[#This Row],[Dettes]]/Tableau3[[#This Row],[EBE]])),"")</f>
        <v>-1.3917667177313049</v>
      </c>
      <c r="V1697" s="190" t="str">
        <f>IFERROR(Tableau3[[#This Row],[Fonds propres]]/Tableau3[[#This Row],[Total Bilan]],"")</f>
        <v/>
      </c>
      <c r="W1697" s="180"/>
      <c r="X1697" s="191"/>
      <c r="Y1697" s="180"/>
      <c r="Z1697" s="192" t="str">
        <f>IFERROR(Tableau3[[#This Row],[Chiffre d''affaires]]/Tableau3[[#This Row],[Salariés]],"")</f>
        <v/>
      </c>
      <c r="AA1697" s="188"/>
      <c r="AB1697" s="188"/>
      <c r="AC1697" s="177" t="s">
        <v>4959</v>
      </c>
      <c r="AD1697" s="226"/>
      <c r="AE1697" s="226"/>
      <c r="AF1697" s="226"/>
    </row>
    <row r="1698" spans="1:32" ht="20.25" customHeight="1">
      <c r="A1698" s="217"/>
      <c r="E1698" s="187"/>
      <c r="G1698" s="202">
        <f>(G1697/G1699)-1</f>
        <v>2.2596990181313004E-2</v>
      </c>
      <c r="H1698" s="203">
        <f>(H1697/H1699)-1</f>
        <v>0.10201998390294653</v>
      </c>
      <c r="I1698" s="203">
        <f>(I1697/I1699)-1</f>
        <v>7.6423180248176958E-2</v>
      </c>
      <c r="J1698" s="203">
        <f>(J1697/J1699)-1</f>
        <v>0.1535596026490067</v>
      </c>
      <c r="K1698" s="188"/>
      <c r="L1698" s="188"/>
      <c r="M1698" s="194"/>
      <c r="N1698" s="190"/>
      <c r="O1698" s="190"/>
      <c r="P1698" s="188"/>
      <c r="Q1698" s="188"/>
      <c r="R1698" s="195"/>
      <c r="S1698" s="197"/>
      <c r="T1698" s="180"/>
      <c r="U1698" s="189" t="str">
        <f>IFERROR(IF(Tableau3[[#This Row],[Dettes]]=0,"",(Tableau3[[#This Row],[Dettes]]/Tableau3[[#This Row],[EBE]])),"")</f>
        <v/>
      </c>
      <c r="V1698" s="190" t="str">
        <f>IFERROR(Tableau3[[#This Row],[Fonds propres]]/Tableau3[[#This Row],[Total Bilan]],"")</f>
        <v/>
      </c>
      <c r="W1698" s="180"/>
      <c r="X1698" s="191"/>
      <c r="Y1698" s="180"/>
      <c r="Z1698" s="192" t="str">
        <f>IFERROR(Tableau3[[#This Row],[Chiffre d''affaires]]/Tableau3[[#This Row],[Salariés]],"")</f>
        <v/>
      </c>
      <c r="AA1698" s="197"/>
      <c r="AB1698" s="197"/>
      <c r="AC1698" s="177" t="s">
        <v>4476</v>
      </c>
      <c r="AD1698" s="226"/>
      <c r="AE1698" s="226"/>
      <c r="AF1698" s="226"/>
    </row>
    <row r="1699" spans="1:32" ht="20.25" customHeight="1">
      <c r="A1699" s="217"/>
      <c r="E1699" s="187">
        <v>39.4</v>
      </c>
      <c r="F1699" s="178">
        <v>2015</v>
      </c>
      <c r="G1699" s="188">
        <v>342612000</v>
      </c>
      <c r="H1699" s="188">
        <v>50941000</v>
      </c>
      <c r="I1699" s="188">
        <v>39085000</v>
      </c>
      <c r="J1699" s="188">
        <v>24160000</v>
      </c>
      <c r="K1699" s="188">
        <v>-52837000</v>
      </c>
      <c r="L1699" s="188">
        <v>412476000</v>
      </c>
      <c r="M1699" s="194">
        <f>L1699/P1699</f>
        <v>34.714644170605013</v>
      </c>
      <c r="N1699" s="190">
        <f>J1699/L1699</f>
        <v>5.8573104859434247E-2</v>
      </c>
      <c r="O1699" s="190">
        <f>(I1699*0.75)/(K1699+L1699)</f>
        <v>8.1508818565283525E-2</v>
      </c>
      <c r="P1699" s="188">
        <v>11881902</v>
      </c>
      <c r="Q1699" s="188">
        <f>P1699*E1699</f>
        <v>468146938.80000001</v>
      </c>
      <c r="R1699" s="195">
        <f>Q1699/L1699</f>
        <v>1.1349677043027959</v>
      </c>
      <c r="S1699" s="197">
        <f>(Q1699+K1699)/H1699</f>
        <v>8.1527637619991751</v>
      </c>
      <c r="T1699" s="180"/>
      <c r="U1699" s="189">
        <f>IFERROR(IF(Tableau3[[#This Row],[Dettes]]=0,"",(Tableau3[[#This Row],[Dettes]]/Tableau3[[#This Row],[EBE]])),"")</f>
        <v>-1.037219528474117</v>
      </c>
      <c r="V1699" s="190" t="str">
        <f>IFERROR(Tableau3[[#This Row],[Fonds propres]]/Tableau3[[#This Row],[Total Bilan]],"")</f>
        <v/>
      </c>
      <c r="W1699" s="180"/>
      <c r="X1699" s="191"/>
      <c r="Y1699" s="180"/>
      <c r="Z1699" s="192" t="str">
        <f>IFERROR(Tableau3[[#This Row],[Chiffre d''affaires]]/Tableau3[[#This Row],[Salariés]],"")</f>
        <v/>
      </c>
      <c r="AA1699" s="197"/>
      <c r="AB1699" s="197"/>
      <c r="AC1699" s="177" t="s">
        <v>1172</v>
      </c>
      <c r="AD1699" s="226"/>
      <c r="AE1699" s="226"/>
      <c r="AF1699" s="226"/>
    </row>
    <row r="1700" spans="1:32" ht="20.25" customHeight="1">
      <c r="A1700" s="217"/>
      <c r="E1700" s="187"/>
      <c r="G1700" s="188"/>
      <c r="H1700" s="188"/>
      <c r="I1700" s="188"/>
      <c r="J1700" s="188"/>
      <c r="K1700" s="188"/>
      <c r="L1700" s="188"/>
      <c r="M1700" s="194"/>
      <c r="N1700" s="190"/>
      <c r="O1700" s="190"/>
      <c r="P1700" s="188"/>
      <c r="Q1700" s="188"/>
      <c r="R1700" s="195"/>
      <c r="S1700" s="197"/>
      <c r="T1700" s="180"/>
      <c r="U1700" s="189" t="str">
        <f>IFERROR(IF(Tableau3[[#This Row],[Dettes]]=0,"",(Tableau3[[#This Row],[Dettes]]/Tableau3[[#This Row],[EBE]])),"")</f>
        <v/>
      </c>
      <c r="V1700" s="190" t="str">
        <f>IFERROR(Tableau3[[#This Row],[Fonds propres]]/Tableau3[[#This Row],[Total Bilan]],"")</f>
        <v/>
      </c>
      <c r="W1700" s="180"/>
      <c r="X1700" s="191"/>
      <c r="Y1700" s="180"/>
      <c r="Z1700" s="192" t="str">
        <f>IFERROR(Tableau3[[#This Row],[Chiffre d''affaires]]/Tableau3[[#This Row],[Salariés]],"")</f>
        <v/>
      </c>
      <c r="AA1700" s="197"/>
      <c r="AB1700" s="197"/>
      <c r="AD1700" s="226"/>
      <c r="AE1700" s="226"/>
      <c r="AF1700" s="226"/>
    </row>
    <row r="1701" spans="1:32" ht="20.25" customHeight="1">
      <c r="A1701" s="217"/>
      <c r="E1701" s="187"/>
      <c r="G1701" s="188"/>
      <c r="H1701" s="188"/>
      <c r="I1701" s="188"/>
      <c r="J1701" s="188"/>
      <c r="K1701" s="188"/>
      <c r="L1701" s="188"/>
      <c r="M1701" s="194"/>
      <c r="N1701" s="190"/>
      <c r="O1701" s="190"/>
      <c r="P1701" s="188"/>
      <c r="Q1701" s="188"/>
      <c r="R1701" s="195"/>
      <c r="S1701" s="197"/>
      <c r="T1701" s="180"/>
      <c r="U1701" s="189" t="str">
        <f>IFERROR(IF(Tableau3[[#This Row],[Dettes]]=0,"",(Tableau3[[#This Row],[Dettes]]/Tableau3[[#This Row],[EBE]])),"")</f>
        <v/>
      </c>
      <c r="V1701" s="190" t="str">
        <f>IFERROR(Tableau3[[#This Row],[Fonds propres]]/Tableau3[[#This Row],[Total Bilan]],"")</f>
        <v/>
      </c>
      <c r="W1701" s="180"/>
      <c r="X1701" s="191"/>
      <c r="Y1701" s="180"/>
      <c r="Z1701" s="192" t="str">
        <f>IFERROR(Tableau3[[#This Row],[Chiffre d''affaires]]/Tableau3[[#This Row],[Salariés]],"")</f>
        <v/>
      </c>
      <c r="AA1701" s="197"/>
      <c r="AB1701" s="197"/>
    </row>
    <row r="1702" spans="1:32" ht="20.25" customHeight="1">
      <c r="A1702" s="217"/>
      <c r="E1702" s="187"/>
      <c r="G1702" s="188"/>
      <c r="H1702" s="188"/>
      <c r="I1702" s="188"/>
      <c r="J1702" s="188"/>
      <c r="K1702" s="188"/>
      <c r="L1702" s="188"/>
      <c r="M1702" s="194"/>
      <c r="N1702" s="190"/>
      <c r="O1702" s="190"/>
      <c r="P1702" s="188"/>
      <c r="Q1702" s="188"/>
      <c r="R1702" s="195"/>
      <c r="S1702" s="197"/>
      <c r="T1702" s="180"/>
      <c r="U1702" s="189" t="str">
        <f>IFERROR(IF(Tableau3[[#This Row],[Dettes]]=0,"",(Tableau3[[#This Row],[Dettes]]/Tableau3[[#This Row],[EBE]])),"")</f>
        <v/>
      </c>
      <c r="V1702" s="190" t="str">
        <f>IFERROR(Tableau3[[#This Row],[Fonds propres]]/Tableau3[[#This Row],[Total Bilan]],"")</f>
        <v/>
      </c>
      <c r="W1702" s="180"/>
      <c r="X1702" s="191"/>
      <c r="Y1702" s="180"/>
      <c r="Z1702" s="192" t="str">
        <f>IFERROR(Tableau3[[#This Row],[Chiffre d''affaires]]/Tableau3[[#This Row],[Salariés]],"")</f>
        <v/>
      </c>
      <c r="AA1702" s="197"/>
      <c r="AB1702" s="197"/>
      <c r="AC1702" s="226"/>
    </row>
    <row r="1703" spans="1:32" ht="20.25" customHeight="1">
      <c r="A1703" s="217" t="s">
        <v>1173</v>
      </c>
      <c r="B1703" s="216" t="s">
        <v>1142</v>
      </c>
      <c r="C1703" s="178" t="s">
        <v>382</v>
      </c>
      <c r="D1703" s="178" t="s">
        <v>383</v>
      </c>
      <c r="E1703" s="187">
        <v>157</v>
      </c>
      <c r="F1703" s="178">
        <v>2025</v>
      </c>
      <c r="G1703" s="188">
        <v>9225000000</v>
      </c>
      <c r="H1703" s="188"/>
      <c r="I1703" s="188"/>
      <c r="J1703" s="188">
        <v>2700000000</v>
      </c>
      <c r="K1703" s="188"/>
      <c r="L1703" s="188"/>
      <c r="M1703" s="194"/>
      <c r="N1703" s="190"/>
      <c r="O1703" s="190"/>
      <c r="P1703" s="188">
        <v>451100000</v>
      </c>
      <c r="Q1703" s="188">
        <f>Tableau3[[#This Row],[Titres]]*Tableau3[[#This Row],[Cours]]</f>
        <v>70822700000</v>
      </c>
      <c r="R1703" s="195"/>
      <c r="S1703" s="197"/>
      <c r="T1703" s="180"/>
      <c r="U1703" s="189" t="str">
        <f>IFERROR(IF(Tableau3[[#This Row],[Dettes]]=0,"",(Tableau3[[#This Row],[Dettes]]/Tableau3[[#This Row],[EBE]])),"")</f>
        <v/>
      </c>
      <c r="V1703" s="190" t="str">
        <f>IFERROR(Tableau3[[#This Row],[Fonds propres]]/Tableau3[[#This Row],[Total Bilan]],"")</f>
        <v/>
      </c>
      <c r="W1703" s="180"/>
      <c r="X1703" s="191" t="s">
        <v>341</v>
      </c>
      <c r="Y1703" s="180">
        <v>13800</v>
      </c>
      <c r="Z1703" s="192">
        <f>IFERROR(Tableau3[[#This Row],[Chiffre d''affaires]]/Tableau3[[#This Row],[Salariés]],"")</f>
        <v>668478.26086956519</v>
      </c>
      <c r="AA1703" s="197"/>
      <c r="AB1703" s="197"/>
      <c r="AC1703" s="177" t="s">
        <v>4763</v>
      </c>
    </row>
    <row r="1704" spans="1:32" ht="20.25" customHeight="1">
      <c r="A1704" s="217"/>
      <c r="E1704" s="187"/>
      <c r="G1704" s="202">
        <f>(G1703/G1705)-1</f>
        <v>-3.3491789109766357E-3</v>
      </c>
      <c r="H1704" s="188"/>
      <c r="I1704" s="188"/>
      <c r="J1704" s="203">
        <f>(J1703/J1705)-1</f>
        <v>8.6082059533386879E-2</v>
      </c>
      <c r="K1704" s="188"/>
      <c r="L1704" s="188"/>
      <c r="M1704" s="194"/>
      <c r="N1704" s="190"/>
      <c r="O1704" s="190"/>
      <c r="P1704" s="188"/>
      <c r="Q1704" s="188"/>
      <c r="R1704" s="195"/>
      <c r="S1704" s="197"/>
      <c r="T1704" s="180"/>
      <c r="U1704" s="189" t="str">
        <f>IFERROR(IF(Tableau3[[#This Row],[Dettes]]=0,"",(Tableau3[[#This Row],[Dettes]]/Tableau3[[#This Row],[EBE]])),"")</f>
        <v/>
      </c>
      <c r="V1704" s="190" t="str">
        <f>IFERROR(Tableau3[[#This Row],[Fonds propres]]/Tableau3[[#This Row],[Total Bilan]],"")</f>
        <v/>
      </c>
      <c r="W1704" s="180"/>
      <c r="X1704" s="191"/>
      <c r="Y1704" s="180"/>
      <c r="Z1704" s="192" t="str">
        <f>IFERROR(Tableau3[[#This Row],[Chiffre d''affaires]]/Tableau3[[#This Row],[Salariés]],"")</f>
        <v/>
      </c>
      <c r="AA1704" s="197"/>
      <c r="AB1704" s="197"/>
      <c r="AC1704" s="177" t="s">
        <v>4784</v>
      </c>
    </row>
    <row r="1705" spans="1:32" ht="20.25" customHeight="1">
      <c r="A1705" s="217"/>
      <c r="E1705" s="187">
        <v>162.93</v>
      </c>
      <c r="F1705" s="178">
        <v>2024</v>
      </c>
      <c r="G1705" s="188">
        <v>9256000000</v>
      </c>
      <c r="H1705" s="188"/>
      <c r="I1705" s="188">
        <v>3133000000</v>
      </c>
      <c r="J1705" s="188">
        <v>2486000000</v>
      </c>
      <c r="K1705" s="188"/>
      <c r="L1705" s="188">
        <v>5991000000</v>
      </c>
      <c r="M1705" s="194">
        <f>L1705/P1705</f>
        <v>13.172823218997362</v>
      </c>
      <c r="N1705" s="190">
        <f>J1705/L1707</f>
        <v>0.49809657383289924</v>
      </c>
      <c r="O1705" s="190">
        <f>(I1705*0.8)/(K1707+L1707)</f>
        <v>0.26344334664704644</v>
      </c>
      <c r="P1705" s="188">
        <v>454800000</v>
      </c>
      <c r="Q1705" s="188">
        <f>Tableau3[[#This Row],[Titres]]*Tableau3[[#This Row],[Cours]]</f>
        <v>74100564000</v>
      </c>
      <c r="R1705" s="195">
        <f>Q1705/L1705</f>
        <v>12.368646970455684</v>
      </c>
      <c r="S1705" s="197"/>
      <c r="T1705" s="180"/>
      <c r="U1705" s="189" t="str">
        <f>IFERROR(IF(Tableau3[[#This Row],[Dettes]]=0,"",(Tableau3[[#This Row],[Dettes]]/Tableau3[[#This Row],[EBE]])),"")</f>
        <v/>
      </c>
      <c r="V1705" s="190" t="str">
        <f>IFERROR(Tableau3[[#This Row],[Fonds propres]]/Tableau3[[#This Row],[Total Bilan]],"")</f>
        <v/>
      </c>
      <c r="W1705" s="180"/>
      <c r="Y1705" s="180">
        <v>13800</v>
      </c>
      <c r="Z1705" s="192">
        <f>IFERROR(Tableau3[[#This Row],[Chiffre d''affaires]]/Tableau3[[#This Row],[Salariés]],"")</f>
        <v>670724.63768115942</v>
      </c>
      <c r="AA1705" s="197"/>
      <c r="AB1705" s="197"/>
      <c r="AC1705" s="177" t="s">
        <v>4777</v>
      </c>
    </row>
    <row r="1706" spans="1:32" ht="20.25" customHeight="1">
      <c r="A1706" s="217"/>
      <c r="E1706" s="187"/>
      <c r="G1706" s="202">
        <f>(G1705/G1707)-1</f>
        <v>8.3333333333333259E-2</v>
      </c>
      <c r="H1706" s="203"/>
      <c r="I1706" s="203">
        <f>(I1705/I1707)-1</f>
        <v>6.7098092643051777E-2</v>
      </c>
      <c r="J1706" s="203">
        <f>(J1705/J1707)-1</f>
        <v>6.0580204778156954E-2</v>
      </c>
      <c r="K1706" s="188"/>
      <c r="L1706" s="188"/>
      <c r="M1706" s="194"/>
      <c r="N1706" s="190"/>
      <c r="O1706" s="190"/>
      <c r="P1706" s="188"/>
      <c r="Q1706" s="188"/>
      <c r="R1706" s="195"/>
      <c r="S1706" s="197"/>
      <c r="T1706" s="180"/>
      <c r="U1706" s="189" t="str">
        <f>IFERROR(IF(Tableau3[[#This Row],[Dettes]]=0,"",(Tableau3[[#This Row],[Dettes]]/Tableau3[[#This Row],[EBE]])),"")</f>
        <v/>
      </c>
      <c r="V1706" s="190" t="str">
        <f>IFERROR(Tableau3[[#This Row],[Fonds propres]]/Tableau3[[#This Row],[Total Bilan]],"")</f>
        <v/>
      </c>
      <c r="W1706" s="180"/>
      <c r="X1706" s="191"/>
      <c r="Y1706" s="180"/>
      <c r="Z1706" s="192" t="str">
        <f>IFERROR(Tableau3[[#This Row],[Chiffre d''affaires]]/Tableau3[[#This Row],[Salariés]],"")</f>
        <v/>
      </c>
      <c r="AA1706" s="197"/>
      <c r="AB1706" s="197"/>
      <c r="AC1706" s="177" t="s">
        <v>4775</v>
      </c>
    </row>
    <row r="1707" spans="1:32" ht="20.25" customHeight="1">
      <c r="A1707" s="217"/>
      <c r="E1707" s="187">
        <v>197.37</v>
      </c>
      <c r="F1707" s="178">
        <v>2023</v>
      </c>
      <c r="G1707" s="188">
        <v>8544000000</v>
      </c>
      <c r="H1707" s="188"/>
      <c r="I1707" s="188">
        <v>2936000000</v>
      </c>
      <c r="J1707" s="188">
        <v>2344000000</v>
      </c>
      <c r="K1707" s="188">
        <v>4523000000</v>
      </c>
      <c r="L1707" s="188">
        <v>4991000000</v>
      </c>
      <c r="M1707" s="194">
        <f>L1707/P1707</f>
        <v>10.796019900497512</v>
      </c>
      <c r="N1707" s="190">
        <f>J1707/L1709</f>
        <v>0.5323642970701794</v>
      </c>
      <c r="O1707" s="190">
        <f>(I1707*0.8)/(K1709+L1709)</f>
        <v>0.31852454570111199</v>
      </c>
      <c r="P1707" s="188">
        <v>462300000</v>
      </c>
      <c r="Q1707" s="188">
        <f>Tableau3[[#This Row],[Titres]]*Tableau3[[#This Row],[Cours]]</f>
        <v>91244151000</v>
      </c>
      <c r="R1707" s="195">
        <f>Q1707/L1707</f>
        <v>18.281737327188939</v>
      </c>
      <c r="S1707" s="197"/>
      <c r="T1707" s="180">
        <v>1576000000</v>
      </c>
      <c r="U1707" s="189" t="str">
        <f>IFERROR(IF(Tableau3[[#This Row],[Dettes]]=0,"",(Tableau3[[#This Row],[Dettes]]/Tableau3[[#This Row],[EBE]])),"")</f>
        <v/>
      </c>
      <c r="V1707" s="190">
        <f>IFERROR(Tableau3[[#This Row],[Fonds propres]]/Tableau3[[#This Row],[Total Bilan]],"")</f>
        <v>0.34936301273974518</v>
      </c>
      <c r="W1707" s="180">
        <v>14286000000</v>
      </c>
      <c r="X1707" s="191"/>
      <c r="Y1707" s="180">
        <v>13800</v>
      </c>
      <c r="Z1707" s="192">
        <f>IFERROR(Tableau3[[#This Row],[Chiffre d''affaires]]/Tableau3[[#This Row],[Salariés]],"")</f>
        <v>619130.43478260865</v>
      </c>
      <c r="AA1707" s="197"/>
      <c r="AB1707" s="197"/>
      <c r="AC1707" s="177" t="s">
        <v>4774</v>
      </c>
    </row>
    <row r="1708" spans="1:32" ht="20.25" customHeight="1">
      <c r="A1708" s="217"/>
      <c r="E1708" s="187"/>
      <c r="G1708" s="202">
        <f>(G1707/G1709)-1</f>
        <v>5.7425742574257477E-2</v>
      </c>
      <c r="H1708" s="203"/>
      <c r="I1708" s="203">
        <f>(I1707/I1709)-1</f>
        <v>0.10542168674698793</v>
      </c>
      <c r="J1708" s="203">
        <f>(J1707/J1709)-1</f>
        <v>0.10879848628193001</v>
      </c>
      <c r="K1708" s="188"/>
      <c r="L1708" s="188"/>
      <c r="M1708" s="194"/>
      <c r="N1708" s="190"/>
      <c r="O1708" s="190"/>
      <c r="P1708" s="188"/>
      <c r="Q1708" s="188"/>
      <c r="R1708" s="195"/>
      <c r="S1708" s="197"/>
      <c r="T1708" s="180"/>
      <c r="U1708" s="189" t="str">
        <f>IFERROR(IF(Tableau3[[#This Row],[Dettes]]=0,"",(Tableau3[[#This Row],[Dettes]]/Tableau3[[#This Row],[EBE]])),"")</f>
        <v/>
      </c>
      <c r="V1708" s="190" t="str">
        <f>IFERROR(Tableau3[[#This Row],[Fonds propres]]/Tableau3[[#This Row],[Total Bilan]],"")</f>
        <v/>
      </c>
      <c r="W1708" s="180"/>
      <c r="X1708" s="191"/>
      <c r="Y1708" s="180"/>
      <c r="Z1708" s="192" t="str">
        <f>IFERROR(Tableau3[[#This Row],[Chiffre d''affaires]]/Tableau3[[#This Row],[Salariés]],"")</f>
        <v/>
      </c>
      <c r="AA1708" s="197"/>
      <c r="AB1708" s="197"/>
      <c r="AC1708" s="177" t="s">
        <v>4773</v>
      </c>
    </row>
    <row r="1709" spans="1:32" ht="20.25" customHeight="1">
      <c r="A1709" s="217"/>
      <c r="E1709" s="187">
        <v>148</v>
      </c>
      <c r="F1709" s="178">
        <v>2022</v>
      </c>
      <c r="G1709" s="188">
        <v>8080000000</v>
      </c>
      <c r="H1709" s="188"/>
      <c r="I1709" s="188">
        <v>2656000000</v>
      </c>
      <c r="J1709" s="188">
        <v>2114000000</v>
      </c>
      <c r="K1709" s="188">
        <v>2971000000</v>
      </c>
      <c r="L1709" s="188">
        <v>4403000000</v>
      </c>
      <c r="M1709" s="194">
        <f>L1709/P1709</f>
        <v>9.3289713100337739</v>
      </c>
      <c r="N1709" s="190">
        <f>J1709/L1711</f>
        <v>0.46533127889060094</v>
      </c>
      <c r="O1709" s="190">
        <f>(I1709*0.8)/(K1711+L1711)</f>
        <v>0.27775163398692809</v>
      </c>
      <c r="P1709" s="188">
        <v>471970580</v>
      </c>
      <c r="Q1709" s="188">
        <f>Tableau3[[#This Row],[Titres]]*Tableau3[[#This Row],[Cours]]</f>
        <v>69851645840</v>
      </c>
      <c r="R1709" s="195">
        <f>Q1709/L1709</f>
        <v>15.86455731092437</v>
      </c>
      <c r="S1709" s="197"/>
      <c r="T1709" s="180">
        <v>1029000000</v>
      </c>
      <c r="U1709" s="189" t="str">
        <f>IFERROR(IF(Tableau3[[#This Row],[Dettes]]=0,"",(Tableau3[[#This Row],[Dettes]]/Tableau3[[#This Row],[EBE]])),"")</f>
        <v/>
      </c>
      <c r="V1709" s="190">
        <f>IFERROR(Tableau3[[#This Row],[Fonds propres]]/Tableau3[[#This Row],[Total Bilan]],"")</f>
        <v>0.29500837520938022</v>
      </c>
      <c r="W1709" s="180">
        <v>14925000000</v>
      </c>
      <c r="Y1709" s="180"/>
      <c r="Z1709" s="192" t="str">
        <f>IFERROR(Tableau3[[#This Row],[Chiffre d''affaires]]/Tableau3[[#This Row],[Salariés]],"")</f>
        <v/>
      </c>
      <c r="AA1709" s="197"/>
      <c r="AB1709" s="197"/>
      <c r="AC1709" s="177" t="s">
        <v>4767</v>
      </c>
    </row>
    <row r="1710" spans="1:32" ht="20.25" customHeight="1">
      <c r="A1710" s="217"/>
      <c r="E1710" s="187"/>
      <c r="G1710" s="202">
        <f>(G1709/G1711)-1</f>
        <v>3.9094650205761416E-2</v>
      </c>
      <c r="H1710" s="203"/>
      <c r="I1710" s="203">
        <f>(I1709/I1711)-1</f>
        <v>6.7524115755627001E-2</v>
      </c>
      <c r="J1710" s="203">
        <f>(J1709/J1711)-1</f>
        <v>3.7800687285223455E-2</v>
      </c>
      <c r="K1710" s="188"/>
      <c r="L1710" s="188"/>
      <c r="M1710" s="194"/>
      <c r="N1710" s="190"/>
      <c r="O1710" s="190"/>
      <c r="P1710" s="188"/>
      <c r="Q1710" s="188"/>
      <c r="R1710" s="195"/>
      <c r="S1710" s="197"/>
      <c r="T1710" s="180"/>
      <c r="U1710" s="189" t="str">
        <f>IFERROR(IF(Tableau3[[#This Row],[Dettes]]=0,"",(Tableau3[[#This Row],[Dettes]]/Tableau3[[#This Row],[EBE]])),"")</f>
        <v/>
      </c>
      <c r="V1710" s="190" t="str">
        <f>IFERROR(Tableau3[[#This Row],[Fonds propres]]/Tableau3[[#This Row],[Total Bilan]],"")</f>
        <v/>
      </c>
      <c r="W1710" s="180"/>
      <c r="X1710" s="191"/>
      <c r="Y1710" s="180"/>
      <c r="Z1710" s="192" t="str">
        <f>IFERROR(Tableau3[[#This Row],[Chiffre d''affaires]]/Tableau3[[#This Row],[Salariés]],"")</f>
        <v/>
      </c>
      <c r="AA1710" s="197"/>
      <c r="AB1710" s="197"/>
      <c r="AC1710" s="177" t="s">
        <v>4776</v>
      </c>
    </row>
    <row r="1711" spans="1:32" ht="20.25" customHeight="1">
      <c r="A1711" s="217"/>
      <c r="E1711" s="187">
        <v>244.03</v>
      </c>
      <c r="F1711" s="178">
        <v>2021</v>
      </c>
      <c r="G1711" s="188">
        <v>7776000000</v>
      </c>
      <c r="H1711" s="188"/>
      <c r="I1711" s="188">
        <v>2488000000</v>
      </c>
      <c r="J1711" s="188">
        <v>2037000000</v>
      </c>
      <c r="K1711" s="188">
        <v>3107000000</v>
      </c>
      <c r="L1711" s="188">
        <v>4543000000</v>
      </c>
      <c r="M1711" s="194">
        <f>L1711/P1711</f>
        <v>9.5773567085768256</v>
      </c>
      <c r="N1711" s="190">
        <f>J1711/L1713</f>
        <v>0.53988868274582558</v>
      </c>
      <c r="O1711" s="190">
        <f>(I1711*0.8)/(K1713+L1713)</f>
        <v>0.29426374926079241</v>
      </c>
      <c r="P1711" s="188">
        <v>474348000</v>
      </c>
      <c r="Q1711" s="188">
        <f>Tableau3[[#This Row],[Titres]]*Tableau3[[#This Row],[Cours]]</f>
        <v>115755142440</v>
      </c>
      <c r="R1711" s="195">
        <f>Q1711/L1711</f>
        <v>25.479890477657936</v>
      </c>
      <c r="S1711" s="197"/>
      <c r="T1711" s="180"/>
      <c r="U1711" s="189" t="str">
        <f>IFERROR(IF(Tableau3[[#This Row],[Dettes]]=0,"",(Tableau3[[#This Row],[Dettes]]/Tableau3[[#This Row],[EBE]])),"")</f>
        <v/>
      </c>
      <c r="V1711" s="190" t="str">
        <f>IFERROR(Tableau3[[#This Row],[Fonds propres]]/Tableau3[[#This Row],[Total Bilan]],"")</f>
        <v/>
      </c>
      <c r="W1711" s="180"/>
      <c r="X1711" s="191"/>
      <c r="Y1711" s="180"/>
      <c r="Z1711" s="192" t="str">
        <f>IFERROR(Tableau3[[#This Row],[Chiffre d''affaires]]/Tableau3[[#This Row],[Salariés]],"")</f>
        <v/>
      </c>
      <c r="AA1711" s="197"/>
      <c r="AB1711" s="197"/>
      <c r="AC1711" s="216" t="s">
        <v>4780</v>
      </c>
    </row>
    <row r="1712" spans="1:32" ht="20.25" customHeight="1">
      <c r="A1712" s="217"/>
      <c r="E1712" s="187"/>
      <c r="G1712" s="202">
        <f>(G1711/G1713)-1</f>
        <v>0.1649438202247191</v>
      </c>
      <c r="H1712" s="203"/>
      <c r="I1712" s="203">
        <f>(I1711/I1713)-1</f>
        <v>0.2464929859719438</v>
      </c>
      <c r="J1712" s="203">
        <f>(J1711/J1713)-1</f>
        <v>0.24358974358974361</v>
      </c>
      <c r="K1712" s="188"/>
      <c r="L1712" s="188"/>
      <c r="M1712" s="194"/>
      <c r="N1712" s="190"/>
      <c r="O1712" s="190"/>
      <c r="P1712" s="188"/>
      <c r="Q1712" s="188"/>
      <c r="R1712" s="195"/>
      <c r="S1712" s="197"/>
      <c r="T1712" s="180"/>
      <c r="U1712" s="189" t="str">
        <f>IFERROR(IF(Tableau3[[#This Row],[Dettes]]=0,"",(Tableau3[[#This Row],[Dettes]]/Tableau3[[#This Row],[EBE]])),"")</f>
        <v/>
      </c>
      <c r="V1712" s="190" t="str">
        <f>IFERROR(Tableau3[[#This Row],[Fonds propres]]/Tableau3[[#This Row],[Total Bilan]],"")</f>
        <v/>
      </c>
      <c r="W1712" s="180"/>
      <c r="X1712" s="191"/>
      <c r="Y1712" s="180"/>
      <c r="Z1712" s="192" t="str">
        <f>IFERROR(Tableau3[[#This Row],[Chiffre d''affaires]]/Tableau3[[#This Row],[Salariés]],"")</f>
        <v/>
      </c>
      <c r="AA1712" s="197"/>
      <c r="AB1712" s="197"/>
      <c r="AC1712" s="216" t="s">
        <v>4782</v>
      </c>
    </row>
    <row r="1713" spans="1:29" ht="20.25" customHeight="1">
      <c r="A1713" s="217"/>
      <c r="E1713" s="187">
        <v>168</v>
      </c>
      <c r="F1713" s="178">
        <v>2020</v>
      </c>
      <c r="G1713" s="188">
        <v>6675000000</v>
      </c>
      <c r="H1713" s="188"/>
      <c r="I1713" s="188">
        <v>1996000000</v>
      </c>
      <c r="J1713" s="188">
        <v>1638000000</v>
      </c>
      <c r="K1713" s="188">
        <v>2991000000</v>
      </c>
      <c r="L1713" s="188">
        <v>3773000000</v>
      </c>
      <c r="M1713" s="194">
        <f>L1713/P1713</f>
        <v>7.9347720934927715</v>
      </c>
      <c r="N1713" s="190">
        <f>J1713/L1715</f>
        <v>0.60487444608567209</v>
      </c>
      <c r="O1713" s="190">
        <f>(I1713*0.8)/(K1715+L1715)</f>
        <v>0.58966026587887743</v>
      </c>
      <c r="P1713" s="188">
        <v>475502000</v>
      </c>
      <c r="Q1713" s="188">
        <f>Tableau3[[#This Row],[Titres]]*Tableau3[[#This Row],[Cours]]</f>
        <v>79884336000</v>
      </c>
      <c r="R1713" s="195">
        <f>Q1713/L1713</f>
        <v>21.172630797773653</v>
      </c>
      <c r="S1713" s="197"/>
      <c r="T1713" s="180"/>
      <c r="U1713" s="189" t="str">
        <f>IFERROR(IF(Tableau3[[#This Row],[Dettes]]=0,"",(Tableau3[[#This Row],[Dettes]]/Tableau3[[#This Row],[EBE]])),"")</f>
        <v/>
      </c>
      <c r="V1713" s="190" t="str">
        <f>IFERROR(Tableau3[[#This Row],[Fonds propres]]/Tableau3[[#This Row],[Total Bilan]],"")</f>
        <v/>
      </c>
      <c r="W1713" s="180"/>
      <c r="X1713" s="191"/>
      <c r="Y1713" s="180"/>
      <c r="Z1713" s="192" t="str">
        <f>IFERROR(Tableau3[[#This Row],[Chiffre d''affaires]]/Tableau3[[#This Row],[Salariés]],"")</f>
        <v/>
      </c>
      <c r="AA1713" s="197"/>
      <c r="AB1713" s="197"/>
      <c r="AC1713" s="177" t="s">
        <v>4769</v>
      </c>
    </row>
    <row r="1714" spans="1:29" ht="20.25" customHeight="1">
      <c r="A1714" s="217"/>
      <c r="E1714" s="187"/>
      <c r="G1714" s="202">
        <f>(G1713/G1715)-1</f>
        <v>6.6293929712460065E-2</v>
      </c>
      <c r="H1714" s="203"/>
      <c r="I1714" s="203">
        <f>(I1713/I1715)-1</f>
        <v>0.10827318156579668</v>
      </c>
      <c r="J1714" s="203">
        <f>(J1713/J1715)-1</f>
        <v>9.2000000000000082E-2</v>
      </c>
      <c r="K1714" s="188"/>
      <c r="L1714" s="188"/>
      <c r="M1714" s="194"/>
      <c r="N1714" s="190"/>
      <c r="O1714" s="190"/>
      <c r="P1714" s="188"/>
      <c r="Q1714" s="188"/>
      <c r="R1714" s="195"/>
      <c r="S1714" s="197"/>
      <c r="T1714" s="180"/>
      <c r="U1714" s="189" t="str">
        <f>IFERROR(IF(Tableau3[[#This Row],[Dettes]]=0,"",(Tableau3[[#This Row],[Dettes]]/Tableau3[[#This Row],[EBE]])),"")</f>
        <v/>
      </c>
      <c r="V1714" s="190" t="str">
        <f>IFERROR(Tableau3[[#This Row],[Fonds propres]]/Tableau3[[#This Row],[Total Bilan]],"")</f>
        <v/>
      </c>
      <c r="W1714" s="180"/>
      <c r="X1714" s="191"/>
      <c r="Y1714" s="180"/>
      <c r="Z1714" s="192" t="str">
        <f>IFERROR(Tableau3[[#This Row],[Chiffre d''affaires]]/Tableau3[[#This Row],[Salariés]],"")</f>
        <v/>
      </c>
      <c r="AA1714" s="197"/>
      <c r="AB1714" s="197"/>
      <c r="AC1714" s="177" t="s">
        <v>4770</v>
      </c>
    </row>
    <row r="1715" spans="1:29" ht="20.25" customHeight="1">
      <c r="A1715" s="217"/>
      <c r="E1715" s="187">
        <v>132</v>
      </c>
      <c r="F1715" s="178">
        <v>2019</v>
      </c>
      <c r="G1715" s="188">
        <v>6260000000</v>
      </c>
      <c r="H1715" s="188"/>
      <c r="I1715" s="188">
        <v>1801000000</v>
      </c>
      <c r="J1715" s="188">
        <v>1500000000</v>
      </c>
      <c r="K1715" s="188"/>
      <c r="L1715" s="188">
        <v>2708000000</v>
      </c>
      <c r="M1715" s="194">
        <f>L1715/P1715</f>
        <v>5.6637553123849678</v>
      </c>
      <c r="N1715" s="190">
        <f>J1715/L1717</f>
        <v>0.68649885583524028</v>
      </c>
      <c r="O1715" s="190">
        <f>(I1715*0.8)/(K1717+L1717)</f>
        <v>0.6594050343249428</v>
      </c>
      <c r="P1715" s="188">
        <v>478128000</v>
      </c>
      <c r="Q1715" s="188">
        <f>Tableau3[[#This Row],[Titres]]*Tableau3[[#This Row],[Cours]]</f>
        <v>63112896000</v>
      </c>
      <c r="R1715" s="195">
        <f>Q1715/L1715</f>
        <v>23.306091580502216</v>
      </c>
      <c r="S1715" s="197"/>
      <c r="T1715" s="180"/>
      <c r="U1715" s="189" t="str">
        <f>IFERROR(IF(Tableau3[[#This Row],[Dettes]]=0,"",(Tableau3[[#This Row],[Dettes]]/Tableau3[[#This Row],[EBE]])),"")</f>
        <v/>
      </c>
      <c r="V1715" s="190" t="str">
        <f>IFERROR(Tableau3[[#This Row],[Fonds propres]]/Tableau3[[#This Row],[Total Bilan]],"")</f>
        <v/>
      </c>
      <c r="W1715" s="180"/>
      <c r="X1715" s="191"/>
      <c r="Y1715" s="180"/>
      <c r="Z1715" s="192" t="str">
        <f>IFERROR(Tableau3[[#This Row],[Chiffre d''affaires]]/Tableau3[[#This Row],[Salariés]],"")</f>
        <v/>
      </c>
      <c r="AA1715" s="197"/>
      <c r="AB1715" s="197"/>
      <c r="AC1715" s="177" t="s">
        <v>4771</v>
      </c>
    </row>
    <row r="1716" spans="1:29" ht="20.25" customHeight="1">
      <c r="A1716" s="217"/>
      <c r="E1716" s="187"/>
      <c r="G1716" s="202">
        <f>(G1715/G1717)-1</f>
        <v>7.4678111587982876E-2</v>
      </c>
      <c r="H1716" s="203"/>
      <c r="I1716" s="203"/>
      <c r="J1716" s="203">
        <f>(J1715/J1717)-1</f>
        <v>-1.6393442622950838E-2</v>
      </c>
      <c r="K1716" s="188"/>
      <c r="L1716" s="188"/>
      <c r="M1716" s="194"/>
      <c r="N1716" s="190"/>
      <c r="O1716" s="190"/>
      <c r="P1716" s="188"/>
      <c r="Q1716" s="188"/>
      <c r="R1716" s="195"/>
      <c r="S1716" s="197"/>
      <c r="T1716" s="180"/>
      <c r="U1716" s="189" t="str">
        <f>IFERROR(IF(Tableau3[[#This Row],[Dettes]]=0,"",(Tableau3[[#This Row],[Dettes]]/Tableau3[[#This Row],[EBE]])),"")</f>
        <v/>
      </c>
      <c r="V1716" s="190" t="str">
        <f>IFERROR(Tableau3[[#This Row],[Fonds propres]]/Tableau3[[#This Row],[Total Bilan]],"")</f>
        <v/>
      </c>
      <c r="W1716" s="180"/>
      <c r="X1716" s="191"/>
      <c r="Y1716" s="180"/>
      <c r="Z1716" s="192" t="str">
        <f>IFERROR(Tableau3[[#This Row],[Chiffre d''affaires]]/Tableau3[[#This Row],[Salariés]],"")</f>
        <v/>
      </c>
      <c r="AA1716" s="197"/>
      <c r="AB1716" s="197"/>
      <c r="AC1716" s="177" t="s">
        <v>4766</v>
      </c>
    </row>
    <row r="1717" spans="1:29" ht="20.25" customHeight="1">
      <c r="A1717" s="217"/>
      <c r="E1717" s="187">
        <v>84.76</v>
      </c>
      <c r="F1717" s="178">
        <v>2018</v>
      </c>
      <c r="G1717" s="188">
        <v>5825000000</v>
      </c>
      <c r="H1717" s="188"/>
      <c r="I1717" s="188"/>
      <c r="J1717" s="188">
        <v>1525000000</v>
      </c>
      <c r="K1717" s="188"/>
      <c r="L1717" s="188">
        <v>2185000000</v>
      </c>
      <c r="M1717" s="194">
        <f>L1717/P1717</f>
        <v>4.4875928839305148</v>
      </c>
      <c r="N1717" s="190">
        <f>J1717/L1719</f>
        <v>1.0173448965977319</v>
      </c>
      <c r="O1717" s="190">
        <f>(I1717*0.8)/(K1719+L1719)</f>
        <v>0</v>
      </c>
      <c r="P1717" s="188">
        <v>486898000</v>
      </c>
      <c r="Q1717" s="188">
        <f>Tableau3[[#This Row],[Titres]]*Tableau3[[#This Row],[Cours]]</f>
        <v>41269474480</v>
      </c>
      <c r="R1717" s="195">
        <f>Q1717/L1717</f>
        <v>18.8876313409611</v>
      </c>
      <c r="S1717" s="197"/>
      <c r="T1717" s="180">
        <v>1790000000</v>
      </c>
      <c r="U1717" s="189" t="str">
        <f>IFERROR(IF(Tableau3[[#This Row],[Dettes]]=0,"",(Tableau3[[#This Row],[Dettes]]/Tableau3[[#This Row],[EBE]])),"")</f>
        <v/>
      </c>
      <c r="V1717" s="190" t="str">
        <f>IFERROR(Tableau3[[#This Row],[Fonds propres]]/Tableau3[[#This Row],[Total Bilan]],"")</f>
        <v/>
      </c>
      <c r="W1717" s="180"/>
      <c r="X1717" s="191"/>
      <c r="Y1717" s="180"/>
      <c r="Z1717" s="192" t="str">
        <f>IFERROR(Tableau3[[#This Row],[Chiffre d''affaires]]/Tableau3[[#This Row],[Salariés]],"")</f>
        <v/>
      </c>
      <c r="AA1717" s="197"/>
      <c r="AB1717" s="197"/>
      <c r="AC1717" s="177" t="s">
        <v>1175</v>
      </c>
    </row>
    <row r="1718" spans="1:29" ht="20.25" customHeight="1">
      <c r="A1718" s="217"/>
      <c r="E1718" s="187"/>
      <c r="G1718" s="202">
        <f>(G1717/G1719)-1</f>
        <v>9.7606934237799203E-2</v>
      </c>
      <c r="H1718" s="203"/>
      <c r="I1718" s="203"/>
      <c r="J1718" s="203">
        <f>(J1717/J1719)-1</f>
        <v>0.28691983122362874</v>
      </c>
      <c r="K1718" s="188"/>
      <c r="L1718" s="188"/>
      <c r="M1718" s="194"/>
      <c r="N1718" s="190"/>
      <c r="O1718" s="190"/>
      <c r="P1718" s="188"/>
      <c r="Q1718" s="188"/>
      <c r="R1718" s="195"/>
      <c r="S1718" s="197"/>
      <c r="T1718" s="180"/>
      <c r="U1718" s="189" t="str">
        <f>IFERROR(IF(Tableau3[[#This Row],[Dettes]]=0,"",(Tableau3[[#This Row],[Dettes]]/Tableau3[[#This Row],[EBE]])),"")</f>
        <v/>
      </c>
      <c r="V1718" s="190" t="str">
        <f>IFERROR(Tableau3[[#This Row],[Fonds propres]]/Tableau3[[#This Row],[Total Bilan]],"")</f>
        <v/>
      </c>
      <c r="W1718" s="180"/>
      <c r="X1718" s="191"/>
      <c r="Y1718" s="180"/>
      <c r="Z1718" s="192" t="str">
        <f>IFERROR(Tableau3[[#This Row],[Chiffre d''affaires]]/Tableau3[[#This Row],[Salariés]],"")</f>
        <v/>
      </c>
      <c r="AA1718" s="197"/>
      <c r="AB1718" s="197"/>
      <c r="AC1718" s="177" t="s">
        <v>4772</v>
      </c>
    </row>
    <row r="1719" spans="1:29" ht="20.25" customHeight="1">
      <c r="A1719" s="217"/>
      <c r="E1719" s="187">
        <v>165.5</v>
      </c>
      <c r="F1719" s="178">
        <v>2017</v>
      </c>
      <c r="G1719" s="188">
        <v>5307000000</v>
      </c>
      <c r="H1719" s="188">
        <f>H1721*1.1</f>
        <v>1626900000.0000002</v>
      </c>
      <c r="I1719" s="188">
        <f>I1721*1.15</f>
        <v>1603099999.9999998</v>
      </c>
      <c r="J1719" s="188">
        <v>1185000000</v>
      </c>
      <c r="K1719" s="188">
        <v>3751000000</v>
      </c>
      <c r="L1719" s="188">
        <v>1499000000</v>
      </c>
      <c r="M1719" s="194">
        <f>L1719/P1719</f>
        <v>3.0395753111052981</v>
      </c>
      <c r="N1719" s="190">
        <f>J1719/L1721</f>
        <v>0.79052701801200798</v>
      </c>
      <c r="O1719" s="190">
        <f>(I1719*0.8)/(K1721+L1721)</f>
        <v>0.24428190476190473</v>
      </c>
      <c r="P1719" s="188">
        <v>493161000</v>
      </c>
      <c r="Q1719" s="188">
        <f>Tableau3[[#This Row],[Titres]]*Tableau3[[#This Row],[Cours]]</f>
        <v>81618145500</v>
      </c>
      <c r="R1719" s="195">
        <f>Q1719/L1719</f>
        <v>54.448395930620414</v>
      </c>
      <c r="S1719" s="197">
        <f>(Q1719+K1719)/H1719</f>
        <v>52.473505132460502</v>
      </c>
      <c r="T1719" s="180">
        <v>1346000000</v>
      </c>
      <c r="U1719" s="189">
        <f>IFERROR(IF(Tableau3[[#This Row],[Dettes]]=0,"",(Tableau3[[#This Row],[Dettes]]/Tableau3[[#This Row],[EBE]])),"")</f>
        <v>2.3056118999323862</v>
      </c>
      <c r="V1719" s="190" t="str">
        <f>IFERROR(Tableau3[[#This Row],[Fonds propres]]/Tableau3[[#This Row],[Total Bilan]],"")</f>
        <v/>
      </c>
      <c r="W1719" s="180"/>
      <c r="X1719" s="191"/>
      <c r="Y1719" s="180"/>
      <c r="Z1719" s="192" t="str">
        <f>IFERROR(Tableau3[[#This Row],[Chiffre d''affaires]]/Tableau3[[#This Row],[Salariés]],"")</f>
        <v/>
      </c>
      <c r="AA1719" s="197"/>
      <c r="AB1719" s="197"/>
      <c r="AC1719" s="177" t="s">
        <v>4783</v>
      </c>
    </row>
    <row r="1720" spans="1:29" ht="20.25" customHeight="1">
      <c r="A1720" s="217"/>
      <c r="E1720" s="187"/>
      <c r="G1720" s="202">
        <f>(G1719/G1721)-1</f>
        <v>8.5720130932896987E-2</v>
      </c>
      <c r="H1720" s="203">
        <f>(H1719/H1721)-1</f>
        <v>0.10000000000000009</v>
      </c>
      <c r="I1720" s="203">
        <f>(I1719/I1721)-1</f>
        <v>0.14999999999999991</v>
      </c>
      <c r="J1720" s="203">
        <f>(J1719/J1721)-1</f>
        <v>0.21538461538461529</v>
      </c>
      <c r="K1720" s="188"/>
      <c r="L1720" s="188"/>
      <c r="M1720" s="194"/>
      <c r="N1720" s="190"/>
      <c r="O1720" s="190"/>
      <c r="P1720" s="188"/>
      <c r="Q1720" s="188"/>
      <c r="R1720" s="195"/>
      <c r="S1720" s="197"/>
      <c r="T1720" s="180"/>
      <c r="U1720" s="189" t="str">
        <f>IFERROR(IF(Tableau3[[#This Row],[Dettes]]=0,"",(Tableau3[[#This Row],[Dettes]]/Tableau3[[#This Row],[EBE]])),"")</f>
        <v/>
      </c>
      <c r="V1720" s="190" t="str">
        <f>IFERROR(Tableau3[[#This Row],[Fonds propres]]/Tableau3[[#This Row],[Total Bilan]],"")</f>
        <v/>
      </c>
      <c r="W1720" s="180"/>
      <c r="X1720" s="191"/>
      <c r="Y1720" s="180"/>
      <c r="Z1720" s="192" t="str">
        <f>IFERROR(Tableau3[[#This Row],[Chiffre d''affaires]]/Tableau3[[#This Row],[Salariés]],"")</f>
        <v/>
      </c>
      <c r="AA1720" s="197"/>
      <c r="AB1720" s="197"/>
      <c r="AC1720" s="177" t="s">
        <v>4765</v>
      </c>
    </row>
    <row r="1721" spans="1:29" ht="20.25" customHeight="1">
      <c r="A1721" s="217"/>
      <c r="E1721" s="187">
        <v>53.44</v>
      </c>
      <c r="F1721" s="178">
        <v>2016</v>
      </c>
      <c r="G1721" s="188">
        <v>4888000000</v>
      </c>
      <c r="H1721" s="188">
        <v>1479000000</v>
      </c>
      <c r="I1721" s="188">
        <v>1394000000</v>
      </c>
      <c r="J1721" s="188">
        <v>975000000</v>
      </c>
      <c r="K1721" s="188">
        <f>4478000000-727000000</f>
        <v>3751000000</v>
      </c>
      <c r="L1721" s="188">
        <v>1499000000</v>
      </c>
      <c r="M1721" s="194">
        <f>L1721/P1721</f>
        <v>3.0086808168999948</v>
      </c>
      <c r="N1721" s="190">
        <f>J1721/L1723</f>
        <v>0.89367552703941333</v>
      </c>
      <c r="O1721" s="190">
        <f>(I1721*0.8)/(K1723+L1723)</f>
        <v>0.25345454545454543</v>
      </c>
      <c r="P1721" s="188">
        <v>498225000</v>
      </c>
      <c r="Q1721" s="188">
        <f>Tableau3[[#This Row],[Titres]]*Tableau3[[#This Row],[Cours]]</f>
        <v>26625144000</v>
      </c>
      <c r="R1721" s="195">
        <f>Q1721/L1721</f>
        <v>17.761937291527683</v>
      </c>
      <c r="S1721" s="197">
        <f>(Q1721+K1721)/H1721</f>
        <v>20.538298850574712</v>
      </c>
      <c r="T1721" s="180">
        <v>713000000</v>
      </c>
      <c r="U1721" s="189">
        <f>IFERROR(IF(Tableau3[[#This Row],[Dettes]]=0,"",(Tableau3[[#This Row],[Dettes]]/Tableau3[[#This Row],[EBE]])),"")</f>
        <v>2.5361730899256254</v>
      </c>
      <c r="V1721" s="190" t="str">
        <f>IFERROR(Tableau3[[#This Row],[Fonds propres]]/Tableau3[[#This Row],[Total Bilan]],"")</f>
        <v/>
      </c>
      <c r="W1721" s="180"/>
      <c r="X1721" s="191"/>
      <c r="Y1721" s="180"/>
      <c r="Z1721" s="192" t="str">
        <f>IFERROR(Tableau3[[#This Row],[Chiffre d''affaires]]/Tableau3[[#This Row],[Salariés]],"")</f>
        <v/>
      </c>
      <c r="AA1721" s="197"/>
      <c r="AB1721" s="197"/>
      <c r="AC1721" s="177" t="s">
        <v>4779</v>
      </c>
    </row>
    <row r="1722" spans="1:29" ht="20.25" customHeight="1">
      <c r="A1722" s="217"/>
      <c r="E1722" s="187"/>
      <c r="G1722" s="202">
        <f>(G1721/G1723)-1</f>
        <v>2.5813221406085995E-2</v>
      </c>
      <c r="H1722" s="203">
        <f>(H1721/H1723)-1</f>
        <v>0.40857142857142859</v>
      </c>
      <c r="I1722" s="203">
        <f>(I1721/I1723)-1</f>
        <v>1.0837070254110612</v>
      </c>
      <c r="J1722" s="203">
        <f>(J1721/J1723)-1</f>
        <v>8.4538375973303603E-2</v>
      </c>
      <c r="K1722" s="188"/>
      <c r="L1722" s="188"/>
      <c r="M1722" s="194"/>
      <c r="N1722" s="190"/>
      <c r="O1722" s="190"/>
      <c r="P1722" s="188"/>
      <c r="Q1722" s="188"/>
      <c r="R1722" s="195"/>
      <c r="S1722" s="197"/>
      <c r="T1722" s="180"/>
      <c r="U1722" s="189" t="str">
        <f>IFERROR(IF(Tableau3[[#This Row],[Dettes]]=0,"",(Tableau3[[#This Row],[Dettes]]/Tableau3[[#This Row],[EBE]])),"")</f>
        <v/>
      </c>
      <c r="V1722" s="190" t="str">
        <f>IFERROR(Tableau3[[#This Row],[Fonds propres]]/Tableau3[[#This Row],[Total Bilan]],"")</f>
        <v/>
      </c>
      <c r="W1722" s="180"/>
      <c r="X1722" s="191"/>
      <c r="Y1722" s="180"/>
      <c r="Z1722" s="192" t="str">
        <f>IFERROR(Tableau3[[#This Row],[Chiffre d''affaires]]/Tableau3[[#This Row],[Salariés]],"")</f>
        <v/>
      </c>
      <c r="AA1722" s="197"/>
      <c r="AB1722" s="197"/>
      <c r="AC1722" s="177" t="s">
        <v>4764</v>
      </c>
    </row>
    <row r="1723" spans="1:29" ht="20.25" customHeight="1">
      <c r="A1723" s="217"/>
      <c r="E1723" s="187">
        <v>47.25</v>
      </c>
      <c r="F1723" s="178">
        <v>2015</v>
      </c>
      <c r="G1723" s="188">
        <v>4765000000</v>
      </c>
      <c r="H1723" s="188">
        <v>1050000000</v>
      </c>
      <c r="I1723" s="188">
        <v>669000000</v>
      </c>
      <c r="J1723" s="188">
        <v>899000000</v>
      </c>
      <c r="K1723" s="188">
        <f>4463000000-1154000000</f>
        <v>3309000000</v>
      </c>
      <c r="L1723" s="188">
        <v>1091000000</v>
      </c>
      <c r="M1723" s="194">
        <f>L1723/P1723</f>
        <v>2.1732245193907005</v>
      </c>
      <c r="N1723" s="190">
        <f>J1723/L1725</f>
        <v>1.1379746835443039</v>
      </c>
      <c r="O1723" s="190">
        <f>(I1723*0.8)/(K1725+L1725)</f>
        <v>0.12125056637970096</v>
      </c>
      <c r="P1723" s="188">
        <v>502019000</v>
      </c>
      <c r="Q1723" s="188">
        <f>Tableau3[[#This Row],[Titres]]*Tableau3[[#This Row],[Cours]]</f>
        <v>23720397750</v>
      </c>
      <c r="R1723" s="195">
        <f>Q1723/L1723</f>
        <v>21.741886113657195</v>
      </c>
      <c r="S1723" s="197">
        <f>(Q1723+K1723)/H1723</f>
        <v>25.742283571428572</v>
      </c>
      <c r="T1723" s="180"/>
      <c r="U1723" s="189">
        <f>IFERROR(IF(Tableau3[[#This Row],[Dettes]]=0,"",(Tableau3[[#This Row],[Dettes]]/Tableau3[[#This Row],[EBE]])),"")</f>
        <v>3.1514285714285712</v>
      </c>
      <c r="V1723" s="190" t="str">
        <f>IFERROR(Tableau3[[#This Row],[Fonds propres]]/Tableau3[[#This Row],[Total Bilan]],"")</f>
        <v/>
      </c>
      <c r="W1723" s="180"/>
      <c r="X1723" s="191"/>
      <c r="Y1723" s="180"/>
      <c r="Z1723" s="192" t="str">
        <f>IFERROR(Tableau3[[#This Row],[Chiffre d''affaires]]/Tableau3[[#This Row],[Salariés]],"")</f>
        <v/>
      </c>
      <c r="AA1723" s="197"/>
      <c r="AB1723" s="197"/>
      <c r="AC1723" s="177" t="s">
        <v>4781</v>
      </c>
    </row>
    <row r="1724" spans="1:29" ht="20.25" customHeight="1">
      <c r="A1724" s="217"/>
      <c r="E1724" s="187"/>
      <c r="G1724" s="202">
        <f>(G1723/G1725)-1</f>
        <v>-4.1797283176593369E-3</v>
      </c>
      <c r="H1724" s="203">
        <f>(H1723/H1725)-1</f>
        <v>2.0408163265306145E-2</v>
      </c>
      <c r="I1724" s="203">
        <f>(I1723/I1725)-1</f>
        <v>-0.28829787234042559</v>
      </c>
      <c r="J1724" s="203">
        <f>(J1723/J1725)-1</f>
        <v>0.13797468354430387</v>
      </c>
      <c r="K1724" s="188"/>
      <c r="L1724" s="188"/>
      <c r="M1724" s="194"/>
      <c r="N1724" s="190"/>
      <c r="O1724" s="190"/>
      <c r="P1724" s="188"/>
      <c r="Q1724" s="188"/>
      <c r="R1724" s="195"/>
      <c r="S1724" s="197"/>
      <c r="T1724" s="180"/>
      <c r="U1724" s="189" t="str">
        <f>IFERROR(IF(Tableau3[[#This Row],[Dettes]]=0,"",(Tableau3[[#This Row],[Dettes]]/Tableau3[[#This Row],[EBE]])),"")</f>
        <v/>
      </c>
      <c r="V1724" s="190" t="str">
        <f>IFERROR(Tableau3[[#This Row],[Fonds propres]]/Tableau3[[#This Row],[Total Bilan]],"")</f>
        <v/>
      </c>
      <c r="W1724" s="180"/>
      <c r="X1724" s="191"/>
      <c r="Y1724" s="180"/>
      <c r="Z1724" s="192" t="str">
        <f>IFERROR(Tableau3[[#This Row],[Chiffre d''affaires]]/Tableau3[[#This Row],[Salariés]],"")</f>
        <v/>
      </c>
      <c r="AA1724" s="197"/>
      <c r="AB1724" s="197"/>
      <c r="AC1724" s="216" t="s">
        <v>572</v>
      </c>
    </row>
    <row r="1725" spans="1:29" ht="20.25" customHeight="1">
      <c r="A1725" s="217"/>
      <c r="E1725" s="187">
        <v>42.4</v>
      </c>
      <c r="F1725" s="178">
        <v>2014</v>
      </c>
      <c r="G1725" s="188">
        <v>4785000000</v>
      </c>
      <c r="H1725" s="188">
        <v>1029000000</v>
      </c>
      <c r="I1725" s="188">
        <v>940000000</v>
      </c>
      <c r="J1725" s="188">
        <v>790000000</v>
      </c>
      <c r="K1725" s="188">
        <v>3624000000</v>
      </c>
      <c r="L1725" s="188">
        <v>790000000</v>
      </c>
      <c r="M1725" s="194">
        <f>L1725/P1725</f>
        <v>1.5736268114137741</v>
      </c>
      <c r="N1725" s="190">
        <f>J1725/L1727</f>
        <v>0.8212058212058212</v>
      </c>
      <c r="O1725" s="190">
        <f>(I1725*0.8)/(K1727+L1727)</f>
        <v>0.18828242363545317</v>
      </c>
      <c r="P1725" s="188">
        <v>502025000</v>
      </c>
      <c r="Q1725" s="188">
        <f>P1725*E1725</f>
        <v>21285860000</v>
      </c>
      <c r="R1725" s="195">
        <f>Q1725/L1725</f>
        <v>26.944126582278482</v>
      </c>
      <c r="S1725" s="197">
        <f>(Q1725+K1725)/H1725</f>
        <v>24.207832847424683</v>
      </c>
      <c r="T1725" s="180"/>
      <c r="U1725" s="189">
        <f>IFERROR(IF(Tableau3[[#This Row],[Dettes]]=0,"",(Tableau3[[#This Row],[Dettes]]/Tableau3[[#This Row],[EBE]])),"")</f>
        <v>3.5218658892128278</v>
      </c>
      <c r="V1725" s="190" t="str">
        <f>IFERROR(Tableau3[[#This Row],[Fonds propres]]/Tableau3[[#This Row],[Total Bilan]],"")</f>
        <v/>
      </c>
      <c r="W1725" s="180"/>
      <c r="X1725" s="191"/>
      <c r="Y1725" s="180"/>
      <c r="Z1725" s="192" t="str">
        <f>IFERROR(Tableau3[[#This Row],[Chiffre d''affaires]]/Tableau3[[#This Row],[Salariés]],"")</f>
        <v/>
      </c>
      <c r="AA1725" s="197"/>
      <c r="AB1725" s="197"/>
      <c r="AC1725" s="177" t="s">
        <v>4768</v>
      </c>
    </row>
    <row r="1726" spans="1:29" ht="20.25" customHeight="1">
      <c r="A1726" s="217"/>
      <c r="E1726" s="187"/>
      <c r="G1726" s="202">
        <f>(G1725/G1727)-1</f>
        <v>4.911203683402765E-2</v>
      </c>
      <c r="H1726" s="203">
        <f>(H1725/H1727)-1</f>
        <v>0.14587973273942101</v>
      </c>
      <c r="I1726" s="203">
        <f>(I1725/I1727)-1</f>
        <v>0.1576354679802956</v>
      </c>
      <c r="J1726" s="203">
        <f>(J1725/J1727)-1</f>
        <v>0.56746031746031744</v>
      </c>
      <c r="K1726" s="188"/>
      <c r="L1726" s="188"/>
      <c r="M1726" s="194"/>
      <c r="N1726" s="190"/>
      <c r="O1726" s="190"/>
      <c r="P1726" s="188"/>
      <c r="Q1726" s="188"/>
      <c r="R1726" s="195"/>
      <c r="S1726" s="197"/>
      <c r="T1726" s="180"/>
      <c r="U1726" s="189" t="str">
        <f>IFERROR(IF(Tableau3[[#This Row],[Dettes]]=0,"",(Tableau3[[#This Row],[Dettes]]/Tableau3[[#This Row],[EBE]])),"")</f>
        <v/>
      </c>
      <c r="V1726" s="190" t="str">
        <f>IFERROR(Tableau3[[#This Row],[Fonds propres]]/Tableau3[[#This Row],[Total Bilan]],"")</f>
        <v/>
      </c>
      <c r="W1726" s="180"/>
      <c r="X1726" s="191"/>
      <c r="Y1726" s="180"/>
      <c r="Z1726" s="192" t="str">
        <f>IFERROR(Tableau3[[#This Row],[Chiffre d''affaires]]/Tableau3[[#This Row],[Salariés]],"")</f>
        <v/>
      </c>
      <c r="AA1726" s="197"/>
      <c r="AB1726" s="197"/>
      <c r="AC1726" s="177" t="s">
        <v>81</v>
      </c>
    </row>
    <row r="1727" spans="1:29" ht="20.25" customHeight="1">
      <c r="A1727" s="217"/>
      <c r="E1727" s="187">
        <v>31.1</v>
      </c>
      <c r="F1727" s="178">
        <v>2013</v>
      </c>
      <c r="G1727" s="188">
        <v>4561000000</v>
      </c>
      <c r="H1727" s="188">
        <v>898000000</v>
      </c>
      <c r="I1727" s="188">
        <v>812000000</v>
      </c>
      <c r="J1727" s="188">
        <v>504000000</v>
      </c>
      <c r="K1727" s="188">
        <f>3642000000-610000000</f>
        <v>3032000000</v>
      </c>
      <c r="L1727" s="188">
        <v>962000000</v>
      </c>
      <c r="M1727" s="194">
        <f>L1727/P1727</f>
        <v>1.9227809568733423</v>
      </c>
      <c r="N1727" s="190">
        <f>J1727/L1729</f>
        <v>0.12472160356347439</v>
      </c>
      <c r="O1727" s="190">
        <f>(I1727*0.8)/(K1729+L1729)</f>
        <v>0.15346090243326246</v>
      </c>
      <c r="P1727" s="188">
        <v>500317000</v>
      </c>
      <c r="Q1727" s="188">
        <f>P1727*E1727</f>
        <v>15559858700</v>
      </c>
      <c r="R1727" s="195">
        <f>Q1727/L1727</f>
        <v>16.174489293139292</v>
      </c>
      <c r="S1727" s="197">
        <f>(Q1727+K1727)/H1727</f>
        <v>20.703628841870824</v>
      </c>
      <c r="T1727" s="180"/>
      <c r="U1727" s="189">
        <f>IFERROR(IF(Tableau3[[#This Row],[Dettes]]=0,"",(Tableau3[[#This Row],[Dettes]]/Tableau3[[#This Row],[EBE]])),"")</f>
        <v>3.376391982182628</v>
      </c>
      <c r="V1727" s="190" t="str">
        <f>IFERROR(Tableau3[[#This Row],[Fonds propres]]/Tableau3[[#This Row],[Total Bilan]],"")</f>
        <v/>
      </c>
      <c r="W1727" s="180"/>
      <c r="X1727" s="191"/>
      <c r="Y1727" s="180"/>
      <c r="Z1727" s="192" t="str">
        <f>IFERROR(Tableau3[[#This Row],[Chiffre d''affaires]]/Tableau3[[#This Row],[Salariés]],"")</f>
        <v/>
      </c>
      <c r="AA1727" s="197"/>
      <c r="AB1727" s="197"/>
      <c r="AC1727" s="216" t="s">
        <v>4778</v>
      </c>
    </row>
    <row r="1728" spans="1:29" ht="20.25" customHeight="1">
      <c r="A1728" s="217"/>
      <c r="E1728" s="187"/>
      <c r="G1728" s="202">
        <f>(G1727/G1729)-1</f>
        <v>5.1891143911439119E-2</v>
      </c>
      <c r="H1728" s="203">
        <f>(H1727/H1729)-1</f>
        <v>0.4391025641025641</v>
      </c>
      <c r="I1728" s="203">
        <f>(I1727/I1729)-1</f>
        <v>0.44999999999999996</v>
      </c>
      <c r="J1728" s="203">
        <f>(J1727/J1729)-1</f>
        <v>0.15596330275229353</v>
      </c>
      <c r="K1728" s="188"/>
      <c r="L1728" s="178"/>
      <c r="M1728" s="178"/>
      <c r="N1728" s="178"/>
      <c r="O1728" s="178"/>
      <c r="P1728" s="188"/>
      <c r="Q1728" s="188"/>
      <c r="R1728" s="195"/>
      <c r="S1728" s="197"/>
      <c r="T1728" s="180"/>
      <c r="U1728" s="189" t="str">
        <f>IFERROR(IF(Tableau3[[#This Row],[Dettes]]=0,"",(Tableau3[[#This Row],[Dettes]]/Tableau3[[#This Row],[EBE]])),"")</f>
        <v/>
      </c>
      <c r="V1728" s="190" t="str">
        <f>IFERROR(Tableau3[[#This Row],[Fonds propres]]/Tableau3[[#This Row],[Total Bilan]],"")</f>
        <v/>
      </c>
      <c r="W1728" s="180"/>
      <c r="X1728" s="191"/>
      <c r="Y1728" s="180"/>
      <c r="Z1728" s="192" t="str">
        <f>IFERROR(Tableau3[[#This Row],[Chiffre d''affaires]]/Tableau3[[#This Row],[Salariés]],"")</f>
        <v/>
      </c>
      <c r="AA1728" s="197"/>
      <c r="AB1728" s="197"/>
    </row>
    <row r="1729" spans="1:29" ht="20.25" customHeight="1">
      <c r="A1729" s="217"/>
      <c r="E1729" s="187">
        <v>30</v>
      </c>
      <c r="F1729" s="178">
        <v>2012</v>
      </c>
      <c r="G1729" s="188">
        <v>4336000000</v>
      </c>
      <c r="H1729" s="188">
        <v>624000000</v>
      </c>
      <c r="I1729" s="188">
        <v>560000000</v>
      </c>
      <c r="J1729" s="188">
        <v>436000000</v>
      </c>
      <c r="K1729" s="188">
        <f>509000000-317000000</f>
        <v>192000000</v>
      </c>
      <c r="L1729" s="188">
        <v>4041000000</v>
      </c>
      <c r="M1729" s="194">
        <f>L1729/P1729</f>
        <v>8.0820000000000007</v>
      </c>
      <c r="N1729" s="190">
        <f>J1729/L1729</f>
        <v>0.1078940856223707</v>
      </c>
      <c r="O1729" s="190">
        <f>(I1729*0.64)/(K1729+(M1729*P1729))</f>
        <v>8.4668084101110319E-2</v>
      </c>
      <c r="P1729" s="188">
        <v>500000000</v>
      </c>
      <c r="Q1729" s="188">
        <f>P1729*E1729</f>
        <v>15000000000</v>
      </c>
      <c r="R1729" s="195">
        <f>Q1729/L1729</f>
        <v>3.7119524870081664</v>
      </c>
      <c r="S1729" s="197">
        <f>(Q1729+K1729)/H1729</f>
        <v>24.346153846153847</v>
      </c>
      <c r="T1729" s="180"/>
      <c r="U1729" s="189">
        <f>IFERROR(IF(Tableau3[[#This Row],[Dettes]]=0,"",(Tableau3[[#This Row],[Dettes]]/Tableau3[[#This Row],[EBE]])),"")</f>
        <v>0.30769230769230771</v>
      </c>
      <c r="V1729" s="190" t="str">
        <f>IFERROR(Tableau3[[#This Row],[Fonds propres]]/Tableau3[[#This Row],[Total Bilan]],"")</f>
        <v/>
      </c>
      <c r="W1729" s="180"/>
      <c r="X1729" s="191"/>
      <c r="Y1729" s="180"/>
      <c r="Z1729" s="192" t="str">
        <f>IFERROR(Tableau3[[#This Row],[Chiffre d''affaires]]/Tableau3[[#This Row],[Salariés]],"")</f>
        <v/>
      </c>
      <c r="AA1729" s="197"/>
      <c r="AB1729" s="197"/>
    </row>
    <row r="1730" spans="1:29" ht="20.25" customHeight="1">
      <c r="A1730" s="217"/>
      <c r="G1730" s="188"/>
      <c r="H1730" s="188"/>
      <c r="I1730" s="188"/>
      <c r="J1730" s="188"/>
      <c r="K1730" s="188"/>
      <c r="L1730" s="188"/>
      <c r="M1730" s="194"/>
      <c r="N1730" s="190"/>
      <c r="O1730" s="190"/>
      <c r="P1730" s="188"/>
      <c r="Q1730" s="188"/>
      <c r="R1730" s="195"/>
      <c r="S1730" s="197"/>
      <c r="T1730" s="180"/>
      <c r="U1730" s="189" t="str">
        <f>IFERROR(IF(Tableau3[[#This Row],[Dettes]]=0,"",(Tableau3[[#This Row],[Dettes]]/Tableau3[[#This Row],[EBE]])),"")</f>
        <v/>
      </c>
      <c r="V1730" s="190" t="str">
        <f>IFERROR(Tableau3[[#This Row],[Fonds propres]]/Tableau3[[#This Row],[Total Bilan]],"")</f>
        <v/>
      </c>
      <c r="W1730" s="180"/>
      <c r="X1730" s="191"/>
      <c r="Y1730" s="180"/>
      <c r="Z1730" s="192" t="str">
        <f>IFERROR(Tableau3[[#This Row],[Chiffre d''affaires]]/Tableau3[[#This Row],[Salariés]],"")</f>
        <v/>
      </c>
      <c r="AA1730" s="197"/>
      <c r="AB1730" s="197"/>
      <c r="AC1730" s="226"/>
    </row>
    <row r="1731" spans="1:29" ht="20.25" customHeight="1">
      <c r="A1731" s="217"/>
      <c r="F1731" s="217" t="s">
        <v>1178</v>
      </c>
      <c r="G1731" s="188"/>
      <c r="H1731" s="188"/>
      <c r="I1731" s="188"/>
      <c r="J1731" s="188"/>
      <c r="K1731" s="188"/>
      <c r="L1731" s="188"/>
      <c r="M1731" s="194"/>
      <c r="N1731" s="190"/>
      <c r="O1731" s="190"/>
      <c r="P1731" s="188"/>
      <c r="Q1731" s="188"/>
      <c r="R1731" s="195"/>
      <c r="S1731" s="197"/>
      <c r="T1731" s="180"/>
      <c r="U1731" s="189" t="str">
        <f>IFERROR(IF(Tableau3[[#This Row],[Dettes]]=0,"",(Tableau3[[#This Row],[Dettes]]/Tableau3[[#This Row],[EBE]])),"")</f>
        <v/>
      </c>
      <c r="V1731" s="190" t="str">
        <f>IFERROR(Tableau3[[#This Row],[Fonds propres]]/Tableau3[[#This Row],[Total Bilan]],"")</f>
        <v/>
      </c>
      <c r="W1731" s="180"/>
      <c r="X1731" s="191"/>
      <c r="Y1731" s="180"/>
      <c r="Z1731" s="192" t="str">
        <f>IFERROR(Tableau3[[#This Row],[Chiffre d''affaires]]/Tableau3[[#This Row],[Salariés]],"")</f>
        <v/>
      </c>
      <c r="AA1731" s="197"/>
      <c r="AB1731" s="197"/>
      <c r="AC1731" s="226"/>
    </row>
    <row r="1732" spans="1:29" ht="20.25" customHeight="1">
      <c r="A1732" s="217"/>
      <c r="E1732" s="234"/>
      <c r="G1732" s="188"/>
      <c r="H1732" s="188"/>
      <c r="I1732" s="188"/>
      <c r="J1732" s="188"/>
      <c r="K1732" s="188"/>
      <c r="L1732" s="188"/>
      <c r="M1732" s="194"/>
      <c r="N1732" s="190"/>
      <c r="O1732" s="190"/>
      <c r="P1732" s="188"/>
      <c r="Q1732" s="188"/>
      <c r="R1732" s="195"/>
      <c r="S1732" s="197"/>
      <c r="T1732" s="180"/>
      <c r="U1732" s="189" t="str">
        <f>IFERROR(IF(Tableau3[[#This Row],[Dettes]]=0,"",(Tableau3[[#This Row],[Dettes]]/Tableau3[[#This Row],[EBE]])),"")</f>
        <v/>
      </c>
      <c r="V1732" s="190" t="str">
        <f>IFERROR(Tableau3[[#This Row],[Fonds propres]]/Tableau3[[#This Row],[Total Bilan]],"")</f>
        <v/>
      </c>
      <c r="W1732" s="180"/>
      <c r="X1732" s="191"/>
      <c r="Y1732" s="180"/>
      <c r="Z1732" s="192" t="str">
        <f>IFERROR(Tableau3[[#This Row],[Chiffre d''affaires]]/Tableau3[[#This Row],[Salariés]],"")</f>
        <v/>
      </c>
      <c r="AA1732" s="197"/>
      <c r="AB1732" s="197"/>
      <c r="AC1732" s="226"/>
    </row>
    <row r="1733" spans="1:29" ht="20.25" customHeight="1">
      <c r="A1733" s="217" t="s">
        <v>1179</v>
      </c>
      <c r="B1733" s="216" t="s">
        <v>1180</v>
      </c>
      <c r="C1733" s="178" t="s">
        <v>84</v>
      </c>
      <c r="D1733" s="178" t="s">
        <v>85</v>
      </c>
      <c r="E1733" s="187">
        <v>25.98</v>
      </c>
      <c r="F1733" s="178">
        <v>2022</v>
      </c>
      <c r="G1733" s="188">
        <v>28590000000</v>
      </c>
      <c r="H1733" s="188">
        <v>5262000000</v>
      </c>
      <c r="I1733" s="188">
        <v>3396000000</v>
      </c>
      <c r="J1733" s="188">
        <v>2009000000</v>
      </c>
      <c r="K1733" s="188">
        <f>4320000000</f>
        <v>4320000000</v>
      </c>
      <c r="L1733" s="188">
        <v>17116000000</v>
      </c>
      <c r="M1733" s="194">
        <f>L1733/P1733</f>
        <v>23.968047360906397</v>
      </c>
      <c r="N1733" s="190">
        <f>J1733/L1733</f>
        <v>0.11737555503622342</v>
      </c>
      <c r="O1733" s="190">
        <f>(I1733*0.64)/(K1733+(M1733*P1733))</f>
        <v>0.10139205075573801</v>
      </c>
      <c r="P1733" s="188">
        <v>714117414</v>
      </c>
      <c r="Q1733" s="188">
        <f>P1733*E1733</f>
        <v>18552770415.720001</v>
      </c>
      <c r="R1733" s="195">
        <f>Q1733/L1733</f>
        <v>1.0839431184692685</v>
      </c>
      <c r="S1733" s="197">
        <f>(Q1733+K1733)/H1733</f>
        <v>4.3467826711744584</v>
      </c>
      <c r="T1733" s="180"/>
      <c r="U1733" s="189">
        <f>IFERROR(IF(Tableau3[[#This Row],[Dettes]]=0,"",(Tableau3[[#This Row],[Dettes]]/Tableau3[[#This Row],[EBE]])),"")</f>
        <v>0.82098061573546177</v>
      </c>
      <c r="V1733" s="190" t="str">
        <f>IFERROR(Tableau3[[#This Row],[Fonds propres]]/Tableau3[[#This Row],[Total Bilan]],"")</f>
        <v/>
      </c>
      <c r="W1733" s="180"/>
      <c r="X1733" s="191" t="s">
        <v>1181</v>
      </c>
      <c r="Y1733" s="180"/>
      <c r="Z1733" s="192" t="str">
        <f>IFERROR(Tableau3[[#This Row],[Chiffre d''affaires]]/Tableau3[[#This Row],[Salariés]],"")</f>
        <v/>
      </c>
      <c r="AA1733" s="197" t="s">
        <v>540</v>
      </c>
      <c r="AB1733" s="197"/>
      <c r="AC1733" s="177" t="s">
        <v>1182</v>
      </c>
    </row>
    <row r="1734" spans="1:29" ht="20.25" customHeight="1">
      <c r="A1734" s="217"/>
      <c r="E1734" s="234"/>
      <c r="G1734" s="202">
        <f>(G1733/G1735)-1</f>
        <v>0.20151292288295863</v>
      </c>
      <c r="H1734" s="203">
        <f>(H1733/H1735)-1</f>
        <v>0.1195744680851063</v>
      </c>
      <c r="I1734" s="203">
        <f>(I1733/I1735)-1</f>
        <v>0.22290241267554922</v>
      </c>
      <c r="J1734" s="203">
        <f>(J1733/J1735)-1</f>
        <v>8.8888888888888795E-2</v>
      </c>
      <c r="K1734" s="188"/>
      <c r="L1734" s="188"/>
      <c r="M1734" s="194"/>
      <c r="N1734" s="190"/>
      <c r="O1734" s="190"/>
      <c r="P1734" s="188"/>
      <c r="Q1734" s="188"/>
      <c r="R1734" s="195"/>
      <c r="S1734" s="197"/>
      <c r="T1734" s="180"/>
      <c r="U1734" s="189" t="str">
        <f>IFERROR(IF(Tableau3[[#This Row],[Dettes]]=0,"",(Tableau3[[#This Row],[Dettes]]/Tableau3[[#This Row],[EBE]])),"")</f>
        <v/>
      </c>
      <c r="V1734" s="190" t="str">
        <f>IFERROR(Tableau3[[#This Row],[Fonds propres]]/Tableau3[[#This Row],[Total Bilan]],"")</f>
        <v/>
      </c>
      <c r="W1734" s="180"/>
      <c r="X1734" s="191"/>
      <c r="Y1734" s="180"/>
      <c r="Z1734" s="192" t="str">
        <f>IFERROR(Tableau3[[#This Row],[Chiffre d''affaires]]/Tableau3[[#This Row],[Salariés]],"")</f>
        <v/>
      </c>
      <c r="AA1734" s="197" t="s">
        <v>1184</v>
      </c>
      <c r="AB1734" s="197"/>
      <c r="AC1734" s="177" t="s">
        <v>1185</v>
      </c>
    </row>
    <row r="1735" spans="1:29" ht="20.25" customHeight="1">
      <c r="A1735" s="217"/>
      <c r="E1735" s="187">
        <v>144.15</v>
      </c>
      <c r="F1735" s="178">
        <v>2021</v>
      </c>
      <c r="G1735" s="188">
        <v>23795000000</v>
      </c>
      <c r="H1735" s="188">
        <v>4700000000</v>
      </c>
      <c r="I1735" s="188">
        <v>2777000000</v>
      </c>
      <c r="J1735" s="188">
        <v>1845000000</v>
      </c>
      <c r="K1735" s="188">
        <v>2789000000</v>
      </c>
      <c r="L1735" s="188">
        <v>13784000000</v>
      </c>
      <c r="M1735" s="194">
        <f>L1735/P1735</f>
        <v>77.286218031048477</v>
      </c>
      <c r="N1735" s="190">
        <f>J1735/L1735</f>
        <v>0.13385084155542659</v>
      </c>
      <c r="O1735" s="190">
        <f>(I1735*0.64)/(K1735+(M1735*P1735))</f>
        <v>0.1072394859108188</v>
      </c>
      <c r="P1735" s="188">
        <v>178350039</v>
      </c>
      <c r="Q1735" s="188">
        <f>P1735*E1735</f>
        <v>25709158121.850002</v>
      </c>
      <c r="R1735" s="195">
        <f>Q1735/L1735</f>
        <v>1.8651449595074001</v>
      </c>
      <c r="S1735" s="197">
        <f>(Q1735+K1735)/H1735</f>
        <v>6.063437898265958</v>
      </c>
      <c r="T1735" s="180">
        <v>1357000000</v>
      </c>
      <c r="U1735" s="189">
        <f>IFERROR(IF(Tableau3[[#This Row],[Dettes]]=0,"",(Tableau3[[#This Row],[Dettes]]/Tableau3[[#This Row],[EBE]])),"")</f>
        <v>0.59340425531914898</v>
      </c>
      <c r="V1735" s="190" t="str">
        <f>IFERROR(Tableau3[[#This Row],[Fonds propres]]/Tableau3[[#This Row],[Total Bilan]],"")</f>
        <v/>
      </c>
      <c r="W1735" s="180"/>
      <c r="Y1735" s="180">
        <v>124760</v>
      </c>
      <c r="Z1735" s="192">
        <f>IFERROR(Tableau3[[#This Row],[Chiffre d''affaires]]/Tableau3[[#This Row],[Salariés]],"")</f>
        <v>190726.19429304264</v>
      </c>
      <c r="AA1735" s="197" t="s">
        <v>1186</v>
      </c>
      <c r="AB1735" s="197"/>
      <c r="AC1735" s="177" t="s">
        <v>1187</v>
      </c>
    </row>
    <row r="1736" spans="1:29" ht="20.25" customHeight="1">
      <c r="A1736" s="217"/>
      <c r="E1736" s="234"/>
      <c r="G1736" s="202">
        <f>(G1735/G1737)-1</f>
        <v>0.16248961844740828</v>
      </c>
      <c r="H1736" s="203">
        <f>(H1735/H1737)-1</f>
        <v>0.29440925364913251</v>
      </c>
      <c r="I1736" s="203">
        <f>(I1735/I1737)-1</f>
        <v>0.97933000712758367</v>
      </c>
      <c r="J1736" s="203">
        <f>(J1735/J1737)-1</f>
        <v>1.952</v>
      </c>
      <c r="K1736" s="188"/>
      <c r="L1736" s="188"/>
      <c r="M1736" s="194"/>
      <c r="N1736" s="190"/>
      <c r="O1736" s="190"/>
      <c r="P1736" s="188"/>
      <c r="Q1736" s="188"/>
      <c r="R1736" s="195"/>
      <c r="S1736" s="197"/>
      <c r="T1736" s="180"/>
      <c r="U1736" s="189" t="str">
        <f>IFERROR(IF(Tableau3[[#This Row],[Dettes]]=0,"",(Tableau3[[#This Row],[Dettes]]/Tableau3[[#This Row],[EBE]])),"")</f>
        <v/>
      </c>
      <c r="V1736" s="190" t="str">
        <f>IFERROR(Tableau3[[#This Row],[Fonds propres]]/Tableau3[[#This Row],[Total Bilan]],"")</f>
        <v/>
      </c>
      <c r="W1736" s="180"/>
      <c r="X1736" s="191"/>
      <c r="Y1736" s="180"/>
      <c r="Z1736" s="192" t="str">
        <f>IFERROR(Tableau3[[#This Row],[Chiffre d''affaires]]/Tableau3[[#This Row],[Salariés]],"")</f>
        <v/>
      </c>
      <c r="AA1736" s="177"/>
      <c r="AC1736" s="177" t="s">
        <v>1188</v>
      </c>
    </row>
    <row r="1737" spans="1:29" ht="20.25" customHeight="1">
      <c r="A1737" s="217"/>
      <c r="E1737" s="187">
        <v>104.95</v>
      </c>
      <c r="F1737" s="178">
        <v>2020</v>
      </c>
      <c r="G1737" s="188">
        <v>20469000000</v>
      </c>
      <c r="H1737" s="188">
        <v>3631000000</v>
      </c>
      <c r="I1737" s="188">
        <v>1403000000</v>
      </c>
      <c r="J1737" s="188">
        <v>625000000</v>
      </c>
      <c r="K1737" s="188">
        <v>3531000000</v>
      </c>
      <c r="L1737" s="188">
        <v>12631000000</v>
      </c>
      <c r="M1737" s="194">
        <f>L1737/P1737</f>
        <v>70.825355551303261</v>
      </c>
      <c r="N1737" s="190">
        <f>J1737/L1737</f>
        <v>4.948143456575093E-2</v>
      </c>
      <c r="O1737" s="190">
        <f>(I1737*0.64)/(K1737+(M1737*P1737))</f>
        <v>5.5557480509837887E-2</v>
      </c>
      <c r="P1737" s="188">
        <v>178340086</v>
      </c>
      <c r="Q1737" s="188">
        <f>P1737*E1737</f>
        <v>18716792025.700001</v>
      </c>
      <c r="R1737" s="195">
        <f>Q1737/L1737</f>
        <v>1.4818139518407094</v>
      </c>
      <c r="S1737" s="197">
        <f>(Q1737+K1737)/H1737</f>
        <v>6.1271803981547786</v>
      </c>
      <c r="T1737" s="180">
        <v>2004000000</v>
      </c>
      <c r="U1737" s="189">
        <f>IFERROR(IF(Tableau3[[#This Row],[Dettes]]=0,"",(Tableau3[[#This Row],[Dettes]]/Tableau3[[#This Row],[EBE]])),"")</f>
        <v>0.97245937758193335</v>
      </c>
      <c r="V1737" s="190" t="str">
        <f>IFERROR(Tableau3[[#This Row],[Fonds propres]]/Tableau3[[#This Row],[Total Bilan]],"")</f>
        <v/>
      </c>
      <c r="W1737" s="180"/>
      <c r="X1737" s="191"/>
      <c r="Y1737" s="180">
        <v>123600</v>
      </c>
      <c r="Z1737" s="192">
        <f>IFERROR(Tableau3[[#This Row],[Chiffre d''affaires]]/Tableau3[[#This Row],[Salariés]],"")</f>
        <v>165606.79611650485</v>
      </c>
      <c r="AA1737" s="177"/>
      <c r="AC1737" s="177" t="s">
        <v>1189</v>
      </c>
    </row>
    <row r="1738" spans="1:29" ht="20.25" customHeight="1">
      <c r="A1738" s="217"/>
      <c r="E1738" s="232"/>
      <c r="G1738" s="202">
        <f>(G1737/G1739)-1</f>
        <v>-0.15189558732131758</v>
      </c>
      <c r="H1738" s="203">
        <f>(H1737/H1739)-1</f>
        <v>-0.23766533697249637</v>
      </c>
      <c r="I1738" s="203">
        <f>(I1737/I1739)-1</f>
        <v>-0.5337321369225656</v>
      </c>
      <c r="J1738" s="203">
        <f>(J1737/J1739)-1</f>
        <v>-0.6387283236994219</v>
      </c>
      <c r="K1738" s="188"/>
      <c r="L1738" s="188"/>
      <c r="M1738" s="194"/>
      <c r="N1738" s="190"/>
      <c r="O1738" s="190"/>
      <c r="P1738" s="188"/>
      <c r="Q1738" s="188"/>
      <c r="R1738" s="195"/>
      <c r="S1738" s="197"/>
      <c r="T1738" s="180"/>
      <c r="U1738" s="189" t="str">
        <f>IFERROR(IF(Tableau3[[#This Row],[Dettes]]=0,"",(Tableau3[[#This Row],[Dettes]]/Tableau3[[#This Row],[EBE]])),"")</f>
        <v/>
      </c>
      <c r="V1738" s="190" t="str">
        <f>IFERROR(Tableau3[[#This Row],[Fonds propres]]/Tableau3[[#This Row],[Total Bilan]],"")</f>
        <v/>
      </c>
      <c r="W1738" s="180"/>
      <c r="X1738" s="191"/>
      <c r="Y1738" s="180"/>
      <c r="Z1738" s="192" t="str">
        <f>IFERROR(Tableau3[[#This Row],[Chiffre d''affaires]]/Tableau3[[#This Row],[Salariés]],"")</f>
        <v/>
      </c>
      <c r="AA1738" s="197"/>
      <c r="AB1738" s="197"/>
      <c r="AC1738" s="177" t="s">
        <v>1190</v>
      </c>
    </row>
    <row r="1739" spans="1:29" ht="20.25" customHeight="1">
      <c r="A1739" s="217"/>
      <c r="E1739" s="187">
        <v>105</v>
      </c>
      <c r="F1739" s="178">
        <v>2019</v>
      </c>
      <c r="G1739" s="188">
        <v>24135000000</v>
      </c>
      <c r="H1739" s="188">
        <v>4763000000</v>
      </c>
      <c r="I1739" s="188">
        <v>3009000000</v>
      </c>
      <c r="J1739" s="188">
        <v>1730000000</v>
      </c>
      <c r="K1739" s="188">
        <v>5184000000</v>
      </c>
      <c r="L1739" s="188">
        <v>13229000000</v>
      </c>
      <c r="M1739" s="194">
        <f>L1739/P1739</f>
        <v>74.056983347087353</v>
      </c>
      <c r="N1739" s="190">
        <f>J1739/L1739</f>
        <v>0.1307733010809585</v>
      </c>
      <c r="O1739" s="190">
        <f>(I1739*0.64)/(K1739+(M1739*P1739))</f>
        <v>0.10458697659262478</v>
      </c>
      <c r="P1739" s="188">
        <v>178632715</v>
      </c>
      <c r="Q1739" s="188">
        <f>P1739*E1739</f>
        <v>18756435075</v>
      </c>
      <c r="R1739" s="195">
        <f>Q1739/L1739</f>
        <v>1.4178271279008239</v>
      </c>
      <c r="S1739" s="197">
        <f>(Q1739+K1739)/H1739</f>
        <v>5.0263353086290152</v>
      </c>
      <c r="T1739" s="180">
        <v>1142000000</v>
      </c>
      <c r="U1739" s="189">
        <f>IFERROR(IF(Tableau3[[#This Row],[Dettes]]=0,"",(Tableau3[[#This Row],[Dettes]]/Tableau3[[#This Row],[EBE]])),"")</f>
        <v>1.0883896703758136</v>
      </c>
      <c r="V1739" s="190" t="str">
        <f>IFERROR(Tableau3[[#This Row],[Fonds propres]]/Tableau3[[#This Row],[Total Bilan]],"")</f>
        <v/>
      </c>
      <c r="W1739" s="180"/>
      <c r="X1739" s="191"/>
      <c r="Y1739" s="180">
        <v>127200</v>
      </c>
      <c r="Z1739" s="192">
        <f>IFERROR(Tableau3[[#This Row],[Chiffre d''affaires]]/Tableau3[[#This Row],[Salariés]],"")</f>
        <v>189740.56603773584</v>
      </c>
      <c r="AA1739" s="197"/>
      <c r="AB1739" s="197"/>
      <c r="AC1739" s="177" t="s">
        <v>1191</v>
      </c>
    </row>
    <row r="1740" spans="1:29" ht="20.25" customHeight="1">
      <c r="A1740" s="217"/>
      <c r="E1740" s="232"/>
      <c r="G1740" s="202">
        <f>(G1739/G1741)-1</f>
        <v>9.5650989649536999E-2</v>
      </c>
      <c r="H1740" s="203">
        <f>(H1739/H1741)-1</f>
        <v>0.15634862830784169</v>
      </c>
      <c r="I1740" s="203">
        <f>(I1739/I1741)-1</f>
        <v>8.4324324324324351E-2</v>
      </c>
      <c r="J1740" s="203">
        <f>(J1739/J1741)-1</f>
        <v>4.2168674698795261E-2</v>
      </c>
      <c r="K1740" s="188"/>
      <c r="L1740" s="188"/>
      <c r="M1740" s="194"/>
      <c r="N1740" s="190"/>
      <c r="O1740" s="190"/>
      <c r="P1740" s="188"/>
      <c r="Q1740" s="188"/>
      <c r="R1740" s="195"/>
      <c r="S1740" s="197"/>
      <c r="T1740" s="180"/>
      <c r="U1740" s="189" t="str">
        <f>IFERROR(IF(Tableau3[[#This Row],[Dettes]]=0,"",(Tableau3[[#This Row],[Dettes]]/Tableau3[[#This Row],[EBE]])),"")</f>
        <v/>
      </c>
      <c r="V1740" s="190" t="str">
        <f>IFERROR(Tableau3[[#This Row],[Fonds propres]]/Tableau3[[#This Row],[Total Bilan]],"")</f>
        <v/>
      </c>
      <c r="W1740" s="180"/>
      <c r="X1740" s="192"/>
      <c r="Y1740" s="180"/>
      <c r="Z1740" s="192" t="str">
        <f>IFERROR(Tableau3[[#This Row],[Chiffre d''affaires]]/Tableau3[[#This Row],[Salariés]],"")</f>
        <v/>
      </c>
      <c r="AA1740" s="226"/>
      <c r="AB1740" s="188"/>
      <c r="AC1740" s="177" t="s">
        <v>1192</v>
      </c>
    </row>
    <row r="1741" spans="1:29" ht="20.25" customHeight="1">
      <c r="A1741" s="217"/>
      <c r="E1741" s="187">
        <v>85</v>
      </c>
      <c r="F1741" s="178">
        <v>2018</v>
      </c>
      <c r="G1741" s="188">
        <v>22028000000</v>
      </c>
      <c r="H1741" s="188">
        <v>4119000000</v>
      </c>
      <c r="I1741" s="188">
        <v>2775000000</v>
      </c>
      <c r="J1741" s="188">
        <v>1660000000</v>
      </c>
      <c r="K1741" s="188">
        <v>3719000000</v>
      </c>
      <c r="L1741" s="188">
        <v>11500000000</v>
      </c>
      <c r="M1741" s="194">
        <f>L1741/P1741</f>
        <v>64.237877575162457</v>
      </c>
      <c r="N1741" s="190">
        <f>J1741/L1741</f>
        <v>0.14434782608695651</v>
      </c>
      <c r="O1741" s="190">
        <f>(I1741*0.64)/(K1741+(M1741*P1741))</f>
        <v>0.11669623496944607</v>
      </c>
      <c r="P1741" s="188">
        <v>179022104</v>
      </c>
      <c r="Q1741" s="188">
        <f>P1741*E1741</f>
        <v>15216878840</v>
      </c>
      <c r="R1741" s="195">
        <f>Q1741/L1741</f>
        <v>1.3232068556521739</v>
      </c>
      <c r="S1741" s="197">
        <f>(Q1741+K1741)/H1741</f>
        <v>4.597202923039573</v>
      </c>
      <c r="T1741" s="180"/>
      <c r="U1741" s="189">
        <f>IFERROR(IF(Tableau3[[#This Row],[Dettes]]=0,"",(Tableau3[[#This Row],[Dettes]]/Tableau3[[#This Row],[EBE]])),"")</f>
        <v>0.90288905074047099</v>
      </c>
      <c r="V1741" s="190" t="str">
        <f>IFERROR(Tableau3[[#This Row],[Fonds propres]]/Tableau3[[#This Row],[Total Bilan]],"")</f>
        <v/>
      </c>
      <c r="W1741" s="180"/>
      <c r="X1741" s="191"/>
      <c r="Y1741" s="180"/>
      <c r="Z1741" s="192" t="str">
        <f>IFERROR(Tableau3[[#This Row],[Chiffre d''affaires]]/Tableau3[[#This Row],[Salariés]],"")</f>
        <v/>
      </c>
      <c r="AA1741" s="197"/>
      <c r="AB1741" s="197"/>
      <c r="AC1741" s="177" t="s">
        <v>1193</v>
      </c>
    </row>
    <row r="1742" spans="1:29" ht="20.25" customHeight="1">
      <c r="A1742" s="217"/>
      <c r="E1742" s="187"/>
      <c r="G1742" s="202">
        <f>(G1741/G1743)-1</f>
        <v>3.0965391621129434E-3</v>
      </c>
      <c r="H1742" s="203">
        <f>(H1741/H1743)-1</f>
        <v>7.8297039393198098E-3</v>
      </c>
      <c r="I1742" s="203">
        <f>(I1741/I1743)-1</f>
        <v>5.4732041049030844E-2</v>
      </c>
      <c r="J1742" s="203">
        <f>(J1741/J1743)-1</f>
        <v>-1.9492025989367945E-2</v>
      </c>
      <c r="K1742" s="188"/>
      <c r="L1742" s="188"/>
      <c r="M1742" s="188"/>
      <c r="N1742" s="188"/>
      <c r="O1742" s="188"/>
      <c r="P1742" s="188"/>
      <c r="Q1742" s="188"/>
      <c r="R1742" s="195"/>
      <c r="S1742" s="188"/>
      <c r="T1742" s="180"/>
      <c r="U1742" s="189" t="str">
        <f>IFERROR(IF(Tableau3[[#This Row],[Dettes]]=0,"",(Tableau3[[#This Row],[Dettes]]/Tableau3[[#This Row],[EBE]])),"")</f>
        <v/>
      </c>
      <c r="V1742" s="190" t="str">
        <f>IFERROR(Tableau3[[#This Row],[Fonds propres]]/Tableau3[[#This Row],[Total Bilan]],"")</f>
        <v/>
      </c>
      <c r="W1742" s="180"/>
      <c r="X1742" s="192"/>
      <c r="Y1742" s="180"/>
      <c r="Z1742" s="192" t="str">
        <f>IFERROR(Tableau3[[#This Row],[Chiffre d''affaires]]/Tableau3[[#This Row],[Salariés]],"")</f>
        <v/>
      </c>
      <c r="AA1742" s="188"/>
      <c r="AB1742" s="188"/>
      <c r="AC1742" s="177" t="s">
        <v>1194</v>
      </c>
    </row>
    <row r="1743" spans="1:29" ht="20.25" customHeight="1">
      <c r="A1743" s="217"/>
      <c r="E1743" s="187">
        <v>122</v>
      </c>
      <c r="F1743" s="178">
        <v>2017</v>
      </c>
      <c r="G1743" s="188">
        <v>21960000000</v>
      </c>
      <c r="H1743" s="188">
        <v>4087000000</v>
      </c>
      <c r="I1743" s="188">
        <v>2631000000</v>
      </c>
      <c r="J1743" s="188">
        <v>1693000000</v>
      </c>
      <c r="K1743" s="188">
        <v>716000000</v>
      </c>
      <c r="L1743" s="188">
        <v>11261000000</v>
      </c>
      <c r="M1743" s="194">
        <f>L1743/P1743</f>
        <v>62.728041930830074</v>
      </c>
      <c r="N1743" s="190">
        <f>J1743/L1743</f>
        <v>0.15034188793180001</v>
      </c>
      <c r="O1743" s="190">
        <f>(I1743*0.64)/(K1743+(M1743*P1743))</f>
        <v>0.14058946313768056</v>
      </c>
      <c r="P1743" s="188">
        <v>179520987</v>
      </c>
      <c r="Q1743" s="188">
        <f>P1743*E1743</f>
        <v>21901560414</v>
      </c>
      <c r="R1743" s="195">
        <f>Q1743/L1743</f>
        <v>1.9449036865287275</v>
      </c>
      <c r="S1743" s="197">
        <f>(Q1743+K1743)/H1743</f>
        <v>5.5340250584781012</v>
      </c>
      <c r="T1743" s="180"/>
      <c r="U1743" s="189">
        <f>IFERROR(IF(Tableau3[[#This Row],[Dettes]]=0,"",(Tableau3[[#This Row],[Dettes]]/Tableau3[[#This Row],[EBE]])),"")</f>
        <v>0.17518962564228041</v>
      </c>
      <c r="V1743" s="190" t="str">
        <f>IFERROR(Tableau3[[#This Row],[Fonds propres]]/Tableau3[[#This Row],[Total Bilan]],"")</f>
        <v/>
      </c>
      <c r="W1743" s="180"/>
      <c r="X1743" s="191"/>
      <c r="Y1743" s="180"/>
      <c r="Z1743" s="192" t="str">
        <f>IFERROR(Tableau3[[#This Row],[Chiffre d''affaires]]/Tableau3[[#This Row],[Salariés]],"")</f>
        <v/>
      </c>
      <c r="AA1743" s="197"/>
      <c r="AB1743" s="197"/>
      <c r="AC1743" s="177" t="s">
        <v>1195</v>
      </c>
    </row>
    <row r="1744" spans="1:29" ht="20.25" customHeight="1">
      <c r="A1744" s="217"/>
      <c r="E1744" s="187"/>
      <c r="G1744" s="202">
        <f>(G1743/G1745)-1</f>
        <v>5.0365906155833029E-2</v>
      </c>
      <c r="H1744" s="203">
        <f>(H1743/H1745)-1</f>
        <v>7.3457394711073931E-4</v>
      </c>
      <c r="I1744" s="203">
        <f>(I1743/I1745)-1</f>
        <v>-5.7327122895019733E-2</v>
      </c>
      <c r="J1744" s="203">
        <f>(J1743/J1745)-1</f>
        <v>1.559688062387532E-2</v>
      </c>
      <c r="K1744" s="188"/>
      <c r="L1744" s="188"/>
      <c r="M1744" s="194"/>
      <c r="N1744" s="190"/>
      <c r="O1744" s="190"/>
      <c r="P1744" s="188"/>
      <c r="Q1744" s="188"/>
      <c r="R1744" s="195"/>
      <c r="S1744" s="188"/>
      <c r="T1744" s="180"/>
      <c r="U1744" s="189" t="str">
        <f>IFERROR(IF(Tableau3[[#This Row],[Dettes]]=0,"",(Tableau3[[#This Row],[Dettes]]/Tableau3[[#This Row],[EBE]])),"")</f>
        <v/>
      </c>
      <c r="V1744" s="190" t="str">
        <f>IFERROR(Tableau3[[#This Row],[Fonds propres]]/Tableau3[[#This Row],[Total Bilan]],"")</f>
        <v/>
      </c>
      <c r="W1744" s="180"/>
      <c r="X1744" s="192"/>
      <c r="Y1744" s="180"/>
      <c r="Z1744" s="192" t="str">
        <f>IFERROR(Tableau3[[#This Row],[Chiffre d''affaires]]/Tableau3[[#This Row],[Salariés]],"")</f>
        <v/>
      </c>
      <c r="AA1744" s="188"/>
      <c r="AB1744" s="188"/>
      <c r="AC1744" s="177" t="s">
        <v>1196</v>
      </c>
    </row>
    <row r="1745" spans="1:29" ht="20.25" customHeight="1">
      <c r="A1745" s="217"/>
      <c r="E1745" s="187">
        <v>106.45</v>
      </c>
      <c r="F1745" s="178">
        <v>2016</v>
      </c>
      <c r="G1745" s="188">
        <v>20907000000</v>
      </c>
      <c r="H1745" s="188">
        <v>4084000000</v>
      </c>
      <c r="I1745" s="188">
        <v>2791000000</v>
      </c>
      <c r="J1745" s="188">
        <v>1667000000</v>
      </c>
      <c r="K1745" s="188">
        <v>944000000</v>
      </c>
      <c r="L1745" s="188">
        <v>10646000000</v>
      </c>
      <c r="M1745" s="194">
        <f>L1745/P1745</f>
        <v>59.122726367832406</v>
      </c>
      <c r="N1745" s="190">
        <f>J1745/L1745</f>
        <v>0.15658463272590645</v>
      </c>
      <c r="O1745" s="190">
        <f>(I1745*0.64)/(K1745+(M1745*P1745))</f>
        <v>0.1541190681622088</v>
      </c>
      <c r="P1745" s="188">
        <v>180066121</v>
      </c>
      <c r="Q1745" s="188">
        <f>P1745*E1745</f>
        <v>19168038580.450001</v>
      </c>
      <c r="R1745" s="195">
        <f>Q1745/L1745</f>
        <v>1.8004920703034004</v>
      </c>
      <c r="S1745" s="197">
        <f>(Q1745+K1745)/H1745</f>
        <v>4.9245931881611167</v>
      </c>
      <c r="T1745" s="180"/>
      <c r="U1745" s="189">
        <f>IFERROR(IF(Tableau3[[#This Row],[Dettes]]=0,"",(Tableau3[[#This Row],[Dettes]]/Tableau3[[#This Row],[EBE]])),"")</f>
        <v>0.23114593535749264</v>
      </c>
      <c r="V1745" s="190" t="str">
        <f>IFERROR(Tableau3[[#This Row],[Fonds propres]]/Tableau3[[#This Row],[Total Bilan]],"")</f>
        <v/>
      </c>
      <c r="W1745" s="180"/>
      <c r="X1745" s="191"/>
      <c r="Y1745" s="180"/>
      <c r="Z1745" s="192" t="str">
        <f>IFERROR(Tableau3[[#This Row],[Chiffre d''affaires]]/Tableau3[[#This Row],[Salariés]],"")</f>
        <v/>
      </c>
      <c r="AA1745" s="197"/>
      <c r="AB1745" s="197"/>
      <c r="AC1745" s="177" t="s">
        <v>1197</v>
      </c>
    </row>
    <row r="1746" spans="1:29" ht="20.25" customHeight="1">
      <c r="A1746" s="217"/>
      <c r="E1746" s="187"/>
      <c r="G1746" s="202">
        <f>(G1745/G1747)-1</f>
        <v>-1.3774234633709193E-2</v>
      </c>
      <c r="H1746" s="203">
        <f>(H1745/H1747)-1</f>
        <v>3.8129130655821131E-2</v>
      </c>
      <c r="I1746" s="203">
        <f>(I1745/I1747)-1</f>
        <v>0.26461259628454914</v>
      </c>
      <c r="J1746" s="203">
        <f>(J1745/J1747)-1</f>
        <v>0.43336199484092863</v>
      </c>
      <c r="K1746" s="188"/>
      <c r="L1746" s="188"/>
      <c r="M1746" s="194"/>
      <c r="N1746" s="190"/>
      <c r="O1746" s="190"/>
      <c r="P1746" s="188"/>
      <c r="Q1746" s="188"/>
      <c r="R1746" s="195"/>
      <c r="S1746" s="188"/>
      <c r="T1746" s="180"/>
      <c r="U1746" s="189" t="str">
        <f>IFERROR(IF(Tableau3[[#This Row],[Dettes]]=0,"",(Tableau3[[#This Row],[Dettes]]/Tableau3[[#This Row],[EBE]])),"")</f>
        <v/>
      </c>
      <c r="V1746" s="190" t="str">
        <f>IFERROR(Tableau3[[#This Row],[Fonds propres]]/Tableau3[[#This Row],[Total Bilan]],"")</f>
        <v/>
      </c>
      <c r="W1746" s="180"/>
      <c r="X1746" s="191"/>
      <c r="Y1746" s="180"/>
      <c r="Z1746" s="192" t="str">
        <f>IFERROR(Tableau3[[#This Row],[Chiffre d''affaires]]/Tableau3[[#This Row],[Salariés]],"")</f>
        <v/>
      </c>
      <c r="AA1746" s="197"/>
      <c r="AB1746" s="197"/>
      <c r="AC1746" s="177" t="s">
        <v>1198</v>
      </c>
    </row>
    <row r="1747" spans="1:29" ht="20.25" customHeight="1">
      <c r="A1747" s="217"/>
      <c r="E1747" s="187">
        <v>88.47</v>
      </c>
      <c r="F1747" s="178">
        <v>2015</v>
      </c>
      <c r="G1747" s="188">
        <v>21199000000</v>
      </c>
      <c r="H1747" s="188">
        <v>3934000000</v>
      </c>
      <c r="I1747" s="188">
        <v>2207000000</v>
      </c>
      <c r="J1747" s="188">
        <v>1163000000</v>
      </c>
      <c r="K1747" s="188">
        <v>1008000000</v>
      </c>
      <c r="L1747" s="188">
        <v>9542000000</v>
      </c>
      <c r="M1747" s="194">
        <f>L1747/P1747</f>
        <v>52.456764922149205</v>
      </c>
      <c r="N1747" s="190">
        <f>J1747/L1747</f>
        <v>0.12188220498847202</v>
      </c>
      <c r="O1747" s="190">
        <f>(I1747*0.64)/(K1747+(M1747*P1747))</f>
        <v>0.13388436018957345</v>
      </c>
      <c r="P1747" s="188">
        <v>181902182</v>
      </c>
      <c r="Q1747" s="188">
        <f>P1747*E1747</f>
        <v>16092886041.539999</v>
      </c>
      <c r="R1747" s="195">
        <f>Q1747/L1747</f>
        <v>1.6865317587025779</v>
      </c>
      <c r="S1747" s="197">
        <f>(Q1747+K1747)/H1747</f>
        <v>4.3469461213878997</v>
      </c>
      <c r="T1747" s="180"/>
      <c r="U1747" s="189">
        <f>IFERROR(IF(Tableau3[[#This Row],[Dettes]]=0,"",(Tableau3[[#This Row],[Dettes]]/Tableau3[[#This Row],[EBE]])),"")</f>
        <v>0.25622775800711745</v>
      </c>
      <c r="V1747" s="190" t="str">
        <f>IFERROR(Tableau3[[#This Row],[Fonds propres]]/Tableau3[[#This Row],[Total Bilan]],"")</f>
        <v/>
      </c>
      <c r="W1747" s="180"/>
      <c r="X1747" s="191"/>
      <c r="Y1747" s="180"/>
      <c r="Z1747" s="192" t="str">
        <f>IFERROR(Tableau3[[#This Row],[Chiffre d''affaires]]/Tableau3[[#This Row],[Salariés]],"")</f>
        <v/>
      </c>
      <c r="AA1747" s="197"/>
      <c r="AB1747" s="197"/>
      <c r="AC1747" s="177" t="s">
        <v>1199</v>
      </c>
    </row>
    <row r="1748" spans="1:29" ht="20.25" customHeight="1">
      <c r="A1748" s="217"/>
      <c r="E1748" s="187"/>
      <c r="G1748" s="202">
        <f>(G1747/G1749)-1</f>
        <v>8.4181455531120442E-2</v>
      </c>
      <c r="H1748" s="203">
        <f>(H1747/H1749)-1</f>
        <v>0.19720024345709075</v>
      </c>
      <c r="I1748" s="203">
        <f>(I1747/I1749)-1</f>
        <v>1.7050691244239635E-2</v>
      </c>
      <c r="J1748" s="203">
        <f>(J1747/J1749)-1</f>
        <v>0.12803103782735215</v>
      </c>
      <c r="K1748" s="188"/>
      <c r="L1748" s="188"/>
      <c r="M1748" s="194"/>
      <c r="N1748" s="190"/>
      <c r="O1748" s="190"/>
      <c r="P1748" s="188"/>
      <c r="Q1748" s="188"/>
      <c r="R1748" s="195"/>
      <c r="S1748" s="197"/>
      <c r="T1748" s="180"/>
      <c r="U1748" s="189" t="str">
        <f>IFERROR(IF(Tableau3[[#This Row],[Dettes]]=0,"",(Tableau3[[#This Row],[Dettes]]/Tableau3[[#This Row],[EBE]])),"")</f>
        <v/>
      </c>
      <c r="V1748" s="190" t="str">
        <f>IFERROR(Tableau3[[#This Row],[Fonds propres]]/Tableau3[[#This Row],[Total Bilan]],"")</f>
        <v/>
      </c>
      <c r="W1748" s="180"/>
      <c r="X1748" s="191"/>
      <c r="Y1748" s="180"/>
      <c r="Z1748" s="192" t="str">
        <f>IFERROR(Tableau3[[#This Row],[Chiffre d''affaires]]/Tableau3[[#This Row],[Salariés]],"")</f>
        <v/>
      </c>
      <c r="AA1748" s="197"/>
      <c r="AB1748" s="197"/>
      <c r="AC1748" s="177" t="s">
        <v>1200</v>
      </c>
    </row>
    <row r="1749" spans="1:29" ht="20.25" customHeight="1">
      <c r="A1749" s="217"/>
      <c r="E1749" s="187">
        <v>75.569999999999993</v>
      </c>
      <c r="F1749" s="178">
        <v>2014</v>
      </c>
      <c r="G1749" s="188">
        <v>19553000000</v>
      </c>
      <c r="H1749" s="188">
        <v>3286000000</v>
      </c>
      <c r="I1749" s="188">
        <v>2170000000</v>
      </c>
      <c r="J1749" s="188">
        <v>1031000000</v>
      </c>
      <c r="K1749" s="188">
        <v>707000000</v>
      </c>
      <c r="L1749" s="188">
        <v>9523000000</v>
      </c>
      <c r="M1749" s="194">
        <f>L1749/P1749</f>
        <v>51.274402857539755</v>
      </c>
      <c r="N1749" s="190">
        <f>J1749/L1749</f>
        <v>0.10826420245720886</v>
      </c>
      <c r="O1749" s="190">
        <f>(I1749*0.64)/(K1749+(M1749*P1749))</f>
        <v>0.13575757575757577</v>
      </c>
      <c r="P1749" s="188">
        <v>185726200</v>
      </c>
      <c r="Q1749" s="188">
        <f>P1749*E1749</f>
        <v>14035328933.999998</v>
      </c>
      <c r="R1749" s="195">
        <f>Q1749/L1749</f>
        <v>1.4738348140291924</v>
      </c>
      <c r="S1749" s="197">
        <f>(Q1749+K1749)/H1749</f>
        <v>4.4864056402921477</v>
      </c>
      <c r="T1749" s="180"/>
      <c r="U1749" s="189">
        <f>IFERROR(IF(Tableau3[[#This Row],[Dettes]]=0,"",(Tableau3[[#This Row],[Dettes]]/Tableau3[[#This Row],[EBE]])),"")</f>
        <v>0.21515520389531345</v>
      </c>
      <c r="V1749" s="190" t="str">
        <f>IFERROR(Tableau3[[#This Row],[Fonds propres]]/Tableau3[[#This Row],[Total Bilan]],"")</f>
        <v/>
      </c>
      <c r="W1749" s="180"/>
      <c r="X1749" s="191"/>
      <c r="Y1749" s="180"/>
      <c r="Z1749" s="192" t="str">
        <f>IFERROR(Tableau3[[#This Row],[Chiffre d''affaires]]/Tableau3[[#This Row],[Salariés]],"")</f>
        <v/>
      </c>
      <c r="AA1749" s="197"/>
      <c r="AB1749" s="197"/>
      <c r="AC1749" s="177" t="s">
        <v>1201</v>
      </c>
    </row>
    <row r="1750" spans="1:29" ht="20.25" customHeight="1">
      <c r="A1750" s="217"/>
      <c r="E1750" s="187"/>
      <c r="G1750" s="202">
        <f>(G1749/G1751)-1</f>
        <v>-3.4276682965377558E-2</v>
      </c>
      <c r="H1750" s="203">
        <f>(H1749/H1751)-1</f>
        <v>3.0441400304415112E-4</v>
      </c>
      <c r="I1750" s="203">
        <f>(I1749/I1751)-1</f>
        <v>-2.8648164726947201E-2</v>
      </c>
      <c r="J1750" s="203">
        <f>(J1749/J1751)-1</f>
        <v>-8.5181898846495074E-2</v>
      </c>
      <c r="K1750" s="188"/>
      <c r="L1750" s="188"/>
      <c r="M1750" s="194"/>
      <c r="N1750" s="190"/>
      <c r="O1750" s="190"/>
      <c r="P1750" s="188"/>
      <c r="Q1750" s="188"/>
      <c r="R1750" s="195"/>
      <c r="S1750" s="197"/>
      <c r="T1750" s="180"/>
      <c r="U1750" s="189" t="str">
        <f>IFERROR(IF(Tableau3[[#This Row],[Dettes]]=0,"",(Tableau3[[#This Row],[Dettes]]/Tableau3[[#This Row],[EBE]])),"")</f>
        <v/>
      </c>
      <c r="V1750" s="190" t="str">
        <f>IFERROR(Tableau3[[#This Row],[Fonds propres]]/Tableau3[[#This Row],[Total Bilan]],"")</f>
        <v/>
      </c>
      <c r="W1750" s="180"/>
      <c r="X1750" s="191"/>
      <c r="Y1750" s="180"/>
      <c r="Z1750" s="192" t="str">
        <f>IFERROR(Tableau3[[#This Row],[Chiffre d''affaires]]/Tableau3[[#This Row],[Salariés]],"")</f>
        <v/>
      </c>
      <c r="AA1750" s="197"/>
      <c r="AB1750" s="197"/>
      <c r="AC1750" s="177" t="s">
        <v>1202</v>
      </c>
    </row>
    <row r="1751" spans="1:29" ht="20.25" customHeight="1">
      <c r="A1751" s="217"/>
      <c r="E1751" s="187">
        <v>76.02</v>
      </c>
      <c r="F1751" s="178">
        <v>2013</v>
      </c>
      <c r="G1751" s="188">
        <v>20247000000</v>
      </c>
      <c r="H1751" s="188">
        <v>3285000000</v>
      </c>
      <c r="I1751" s="188">
        <v>2234000000</v>
      </c>
      <c r="J1751" s="188">
        <v>1127000000</v>
      </c>
      <c r="K1751" s="188">
        <v>142000000</v>
      </c>
      <c r="L1751" s="188">
        <v>9256000000</v>
      </c>
      <c r="M1751" s="194">
        <f>L1751/P1751</f>
        <v>49.819784625992312</v>
      </c>
      <c r="N1751" s="190">
        <f>J1751/L1751</f>
        <v>0.12175885911840968</v>
      </c>
      <c r="O1751" s="190">
        <f>(I1751*0.64)/(K1751+(M1751*P1751))</f>
        <v>0.15213449670142584</v>
      </c>
      <c r="P1751" s="188">
        <v>185789643</v>
      </c>
      <c r="Q1751" s="188">
        <f>P1751*E1751</f>
        <v>14123728660.859999</v>
      </c>
      <c r="R1751" s="195">
        <f>Q1751/L1751</f>
        <v>1.5258998121067415</v>
      </c>
      <c r="S1751" s="197">
        <f>(Q1751+K1751)/H1751</f>
        <v>4.3426875679939112</v>
      </c>
      <c r="T1751" s="180"/>
      <c r="U1751" s="189">
        <f>IFERROR(IF(Tableau3[[#This Row],[Dettes]]=0,"",(Tableau3[[#This Row],[Dettes]]/Tableau3[[#This Row],[EBE]])),"")</f>
        <v>4.3226788432267883E-2</v>
      </c>
      <c r="V1751" s="190" t="str">
        <f>IFERROR(Tableau3[[#This Row],[Fonds propres]]/Tableau3[[#This Row],[Total Bilan]],"")</f>
        <v/>
      </c>
      <c r="W1751" s="180"/>
      <c r="X1751" s="191"/>
      <c r="Y1751" s="180"/>
      <c r="Z1751" s="192" t="str">
        <f>IFERROR(Tableau3[[#This Row],[Chiffre d''affaires]]/Tableau3[[#This Row],[Salariés]],"")</f>
        <v/>
      </c>
      <c r="AA1751" s="197"/>
      <c r="AB1751" s="197"/>
      <c r="AC1751" s="177" t="s">
        <v>1203</v>
      </c>
    </row>
    <row r="1752" spans="1:29" ht="20.25" customHeight="1">
      <c r="A1752" s="217"/>
      <c r="E1752" s="187"/>
      <c r="G1752" s="202">
        <f>(G1751/G1753)-1</f>
        <v>-5.7138865604917544E-2</v>
      </c>
      <c r="H1752" s="203">
        <f>(H1751/H1753)-1</f>
        <v>-4.6444121915820036E-2</v>
      </c>
      <c r="I1752" s="203">
        <f>(I1751/I1753)-1</f>
        <v>-7.8002476269087961E-2</v>
      </c>
      <c r="J1752" s="203">
        <f>(J1751/J1753)-1</f>
        <v>-0.28262253341820498</v>
      </c>
      <c r="K1752" s="188"/>
      <c r="L1752" s="188"/>
      <c r="M1752" s="194"/>
      <c r="N1752" s="190"/>
      <c r="O1752" s="190"/>
      <c r="P1752" s="188"/>
      <c r="Q1752" s="188"/>
      <c r="R1752" s="195"/>
      <c r="S1752" s="197"/>
      <c r="T1752" s="180"/>
      <c r="U1752" s="189" t="str">
        <f>IFERROR(IF(Tableau3[[#This Row],[Dettes]]=0,"",(Tableau3[[#This Row],[Dettes]]/Tableau3[[#This Row],[EBE]])),"")</f>
        <v/>
      </c>
      <c r="V1752" s="190" t="str">
        <f>IFERROR(Tableau3[[#This Row],[Fonds propres]]/Tableau3[[#This Row],[Total Bilan]],"")</f>
        <v/>
      </c>
      <c r="W1752" s="180"/>
      <c r="X1752" s="191"/>
      <c r="Y1752" s="180"/>
      <c r="Z1752" s="192" t="str">
        <f>IFERROR(Tableau3[[#This Row],[Chiffre d''affaires]]/Tableau3[[#This Row],[Salariés]],"")</f>
        <v/>
      </c>
      <c r="AA1752" s="197"/>
      <c r="AB1752" s="197"/>
      <c r="AC1752" s="177" t="s">
        <v>1204</v>
      </c>
    </row>
    <row r="1753" spans="1:29" ht="20.25" customHeight="1">
      <c r="A1753" s="217"/>
      <c r="E1753" s="187">
        <v>71.22</v>
      </c>
      <c r="F1753" s="178">
        <v>2012</v>
      </c>
      <c r="G1753" s="188">
        <v>21474000000</v>
      </c>
      <c r="H1753" s="188">
        <v>3445000000</v>
      </c>
      <c r="I1753" s="188">
        <v>2423000000</v>
      </c>
      <c r="J1753" s="188">
        <v>1571000000</v>
      </c>
      <c r="K1753" s="188">
        <v>1053000000</v>
      </c>
      <c r="L1753" s="188">
        <v>8775000000</v>
      </c>
      <c r="M1753" s="194">
        <f>L1753/P1753</f>
        <v>48.067254585154586</v>
      </c>
      <c r="N1753" s="190">
        <f>J1753/L1753</f>
        <v>0.17903133903133903</v>
      </c>
      <c r="O1753" s="190">
        <f>(I1753*0.64)/(K1753+(M1753*P1753))</f>
        <v>0.15778591778591777</v>
      </c>
      <c r="P1753" s="188">
        <v>182556713</v>
      </c>
      <c r="Q1753" s="188">
        <f>P1753*E1753</f>
        <v>13001689099.860001</v>
      </c>
      <c r="R1753" s="195">
        <f>Q1753/L1753</f>
        <v>1.4816739714940173</v>
      </c>
      <c r="S1753" s="197">
        <f>(Q1753+K1753)/H1753</f>
        <v>4.0797355877677797</v>
      </c>
      <c r="T1753" s="180"/>
      <c r="U1753" s="189">
        <f>IFERROR(IF(Tableau3[[#This Row],[Dettes]]=0,"",(Tableau3[[#This Row],[Dettes]]/Tableau3[[#This Row],[EBE]])),"")</f>
        <v>0.30566037735849055</v>
      </c>
      <c r="V1753" s="190" t="str">
        <f>IFERROR(Tableau3[[#This Row],[Fonds propres]]/Tableau3[[#This Row],[Total Bilan]],"")</f>
        <v/>
      </c>
      <c r="W1753" s="180"/>
      <c r="X1753" s="191"/>
      <c r="Y1753" s="180"/>
      <c r="Z1753" s="192" t="str">
        <f>IFERROR(Tableau3[[#This Row],[Chiffre d''affaires]]/Tableau3[[#This Row],[Salariés]],"")</f>
        <v/>
      </c>
      <c r="AA1753" s="197"/>
      <c r="AB1753" s="197"/>
      <c r="AC1753" s="177" t="s">
        <v>1205</v>
      </c>
    </row>
    <row r="1754" spans="1:29" ht="20.25" customHeight="1">
      <c r="A1754" s="217"/>
      <c r="E1754" s="187"/>
      <c r="G1754" s="202">
        <f>(G1753/G1755)-1</f>
        <v>3.6439982624643985E-2</v>
      </c>
      <c r="H1754" s="203">
        <f>(H1753/H1755)-1</f>
        <v>0.19701181375955534</v>
      </c>
      <c r="I1754" s="203">
        <f>(I1753/I1755)-1</f>
        <v>0.245758354755784</v>
      </c>
      <c r="J1754" s="203">
        <f>(J1753/J1755)-1</f>
        <v>7.4555403556771482E-2</v>
      </c>
      <c r="K1754" s="188"/>
      <c r="L1754" s="188"/>
      <c r="M1754" s="194"/>
      <c r="N1754" s="190"/>
      <c r="O1754" s="190"/>
      <c r="P1754" s="188"/>
      <c r="Q1754" s="188"/>
      <c r="R1754" s="195"/>
      <c r="S1754" s="197"/>
      <c r="T1754" s="180"/>
      <c r="U1754" s="189" t="str">
        <f>IFERROR(IF(Tableau3[[#This Row],[Dettes]]=0,"",(Tableau3[[#This Row],[Dettes]]/Tableau3[[#This Row],[EBE]])),"")</f>
        <v/>
      </c>
      <c r="V1754" s="190" t="str">
        <f>IFERROR(Tableau3[[#This Row],[Fonds propres]]/Tableau3[[#This Row],[Total Bilan]],"")</f>
        <v/>
      </c>
      <c r="W1754" s="180"/>
      <c r="X1754" s="191"/>
      <c r="Y1754" s="180"/>
      <c r="Z1754" s="192" t="str">
        <f>IFERROR(Tableau3[[#This Row],[Chiffre d''affaires]]/Tableau3[[#This Row],[Salariés]],"")</f>
        <v/>
      </c>
      <c r="AA1754" s="197"/>
      <c r="AB1754" s="197"/>
    </row>
    <row r="1755" spans="1:29" ht="20.25" customHeight="1">
      <c r="A1755" s="217"/>
      <c r="E1755" s="187">
        <v>46.65</v>
      </c>
      <c r="F1755" s="178">
        <v>2011</v>
      </c>
      <c r="G1755" s="188">
        <v>20719000000</v>
      </c>
      <c r="H1755" s="188">
        <v>2878000000</v>
      </c>
      <c r="I1755" s="188">
        <v>1945000000</v>
      </c>
      <c r="J1755" s="188">
        <v>1462000000</v>
      </c>
      <c r="K1755" s="188">
        <v>1814000000</v>
      </c>
      <c r="L1755" s="188">
        <v>8245000000</v>
      </c>
      <c r="M1755" s="194">
        <f>L1755/P1755</f>
        <v>45.788735572306798</v>
      </c>
      <c r="N1755" s="190">
        <f>J1755/L1755</f>
        <v>0.17731958762886599</v>
      </c>
      <c r="O1755" s="190">
        <f>(I1755*0.64)/(K1755+(M1755*P1755))</f>
        <v>0.12374987573317427</v>
      </c>
      <c r="P1755" s="188">
        <v>180066121</v>
      </c>
      <c r="Q1755" s="188">
        <f>P1755*E1755</f>
        <v>8400084544.6499996</v>
      </c>
      <c r="R1755" s="195">
        <f>Q1755/L1755</f>
        <v>1.0188095263371739</v>
      </c>
      <c r="S1755" s="197">
        <f>(Q1755+K1755)/H1755</f>
        <v>3.5490217319840167</v>
      </c>
      <c r="T1755" s="180"/>
      <c r="U1755" s="189">
        <f>IFERROR(IF(Tableau3[[#This Row],[Dettes]]=0,"",(Tableau3[[#This Row],[Dettes]]/Tableau3[[#This Row],[EBE]])),"")</f>
        <v>0.63029881862404447</v>
      </c>
      <c r="V1755" s="190" t="str">
        <f>IFERROR(Tableau3[[#This Row],[Fonds propres]]/Tableau3[[#This Row],[Total Bilan]],"")</f>
        <v/>
      </c>
      <c r="W1755" s="180"/>
      <c r="X1755" s="191"/>
      <c r="Y1755" s="180"/>
      <c r="Z1755" s="192" t="str">
        <f>IFERROR(Tableau3[[#This Row],[Chiffre d''affaires]]/Tableau3[[#This Row],[Salariés]],"")</f>
        <v/>
      </c>
      <c r="AA1755" s="197"/>
      <c r="AB1755" s="197"/>
    </row>
    <row r="1756" spans="1:29" ht="20.25" customHeight="1">
      <c r="A1756" s="217"/>
      <c r="E1756" s="187"/>
      <c r="G1756" s="202">
        <f>(G1755/G1757)-1</f>
        <v>0.15806830249846282</v>
      </c>
      <c r="H1756" s="203">
        <f>(H1755/H1757)-1</f>
        <v>8.1954887218045114E-2</v>
      </c>
      <c r="I1756" s="203">
        <f>(I1755/I1757)-1</f>
        <v>0.14749262536873164</v>
      </c>
      <c r="J1756" s="203">
        <f>(J1755/J1757)-1</f>
        <v>0.39370829361296478</v>
      </c>
      <c r="K1756" s="188"/>
      <c r="L1756" s="188"/>
      <c r="M1756" s="194"/>
      <c r="N1756" s="190"/>
      <c r="O1756" s="190"/>
      <c r="P1756" s="188"/>
      <c r="Q1756" s="188"/>
      <c r="R1756" s="195"/>
      <c r="S1756" s="197"/>
      <c r="T1756" s="180"/>
      <c r="U1756" s="189" t="str">
        <f>IFERROR(IF(Tableau3[[#This Row],[Dettes]]=0,"",(Tableau3[[#This Row],[Dettes]]/Tableau3[[#This Row],[EBE]])),"")</f>
        <v/>
      </c>
      <c r="V1756" s="190" t="str">
        <f>IFERROR(Tableau3[[#This Row],[Fonds propres]]/Tableau3[[#This Row],[Total Bilan]],"")</f>
        <v/>
      </c>
      <c r="W1756" s="180"/>
      <c r="Y1756" s="180"/>
      <c r="Z1756" s="192" t="str">
        <f>IFERROR(Tableau3[[#This Row],[Chiffre d''affaires]]/Tableau3[[#This Row],[Salariés]],"")</f>
        <v/>
      </c>
      <c r="AA1756" s="177"/>
    </row>
    <row r="1757" spans="1:29" ht="20.25" customHeight="1">
      <c r="A1757" s="217"/>
      <c r="E1757" s="187">
        <v>53.7</v>
      </c>
      <c r="F1757" s="178">
        <v>2010</v>
      </c>
      <c r="G1757" s="188">
        <v>17891000000</v>
      </c>
      <c r="H1757" s="188">
        <v>2660000000</v>
      </c>
      <c r="I1757" s="188">
        <v>1695000000</v>
      </c>
      <c r="J1757" s="188">
        <v>1049000000</v>
      </c>
      <c r="K1757" s="188">
        <v>1629000000</v>
      </c>
      <c r="L1757" s="188">
        <v>8145000000</v>
      </c>
      <c r="M1757" s="194">
        <f>L1757/P1757</f>
        <v>45.245250002837203</v>
      </c>
      <c r="N1757" s="190">
        <f>J1757/L1757</f>
        <v>0.12879066912216083</v>
      </c>
      <c r="O1757" s="190">
        <f>(I1757*0.64)/(K1757+(M1757*P1757))</f>
        <v>0.11098833640270105</v>
      </c>
      <c r="P1757" s="188">
        <v>180018897</v>
      </c>
      <c r="Q1757" s="188">
        <f>P1757*E1757</f>
        <v>9667014768.8999996</v>
      </c>
      <c r="R1757" s="195">
        <f>Q1757/L1757</f>
        <v>1.1868649194475138</v>
      </c>
      <c r="S1757" s="197">
        <f>(Q1757+K1757)/H1757</f>
        <v>4.2466220935714283</v>
      </c>
      <c r="T1757" s="180"/>
      <c r="U1757" s="189">
        <f>IFERROR(IF(Tableau3[[#This Row],[Dettes]]=0,"",(Tableau3[[#This Row],[Dettes]]/Tableau3[[#This Row],[EBE]])),"")</f>
        <v>0.61240601503759395</v>
      </c>
      <c r="V1757" s="190" t="str">
        <f>IFERROR(Tableau3[[#This Row],[Fonds propres]]/Tableau3[[#This Row],[Total Bilan]],"")</f>
        <v/>
      </c>
      <c r="W1757" s="180"/>
      <c r="Y1757" s="180"/>
      <c r="Z1757" s="192" t="str">
        <f>IFERROR(Tableau3[[#This Row],[Chiffre d''affaires]]/Tableau3[[#This Row],[Salariés]],"")</f>
        <v/>
      </c>
      <c r="AA1757" s="177"/>
    </row>
    <row r="1758" spans="1:29" ht="20.25" customHeight="1">
      <c r="A1758" s="217"/>
      <c r="E1758" s="187"/>
      <c r="G1758" s="202">
        <f>(G1757/G1759)-1</f>
        <v>0.20827986763017492</v>
      </c>
      <c r="H1758" s="203">
        <f>(H1757/H1759)-1</f>
        <v>0.47613762486126521</v>
      </c>
      <c r="I1758" s="203">
        <f>(I1757/I1759)-1</f>
        <v>0.96635730858468682</v>
      </c>
      <c r="J1758" s="203">
        <f>(J1757/J1759)-1</f>
        <v>9.0865384615384617</v>
      </c>
      <c r="K1758" s="188"/>
      <c r="L1758" s="188"/>
      <c r="M1758" s="194"/>
      <c r="N1758" s="190"/>
      <c r="O1758" s="190"/>
      <c r="P1758" s="188"/>
      <c r="Q1758" s="188"/>
      <c r="R1758" s="195"/>
      <c r="S1758" s="197"/>
      <c r="T1758" s="180"/>
      <c r="U1758" s="189" t="str">
        <f>IFERROR(IF(Tableau3[[#This Row],[Dettes]]=0,"",(Tableau3[[#This Row],[Dettes]]/Tableau3[[#This Row],[EBE]])),"")</f>
        <v/>
      </c>
      <c r="V1758" s="190" t="str">
        <f>IFERROR(Tableau3[[#This Row],[Fonds propres]]/Tableau3[[#This Row],[Total Bilan]],"")</f>
        <v/>
      </c>
      <c r="W1758" s="180"/>
      <c r="X1758" s="191"/>
      <c r="Y1758" s="180"/>
      <c r="Z1758" s="192" t="str">
        <f>IFERROR(Tableau3[[#This Row],[Chiffre d''affaires]]/Tableau3[[#This Row],[Salariés]],"")</f>
        <v/>
      </c>
      <c r="AA1758" s="197"/>
      <c r="AB1758" s="197"/>
    </row>
    <row r="1759" spans="1:29" ht="20.25" customHeight="1">
      <c r="A1759" s="217"/>
      <c r="E1759" s="187">
        <v>55</v>
      </c>
      <c r="F1759" s="178">
        <v>2009</v>
      </c>
      <c r="G1759" s="188">
        <v>14807000000</v>
      </c>
      <c r="H1759" s="188">
        <v>1802000000</v>
      </c>
      <c r="I1759" s="188">
        <v>862000000</v>
      </c>
      <c r="J1759" s="188">
        <v>104000000</v>
      </c>
      <c r="K1759" s="188">
        <v>3051000000</v>
      </c>
      <c r="L1759" s="188">
        <v>5495000000</v>
      </c>
      <c r="M1759" s="194">
        <f>L1759/P1759</f>
        <v>37.270318609405145</v>
      </c>
      <c r="N1759" s="190">
        <f>J1759/L1759</f>
        <v>1.8926296633303002E-2</v>
      </c>
      <c r="O1759" s="190">
        <f>(I1759*0.64)/(K1759+(M1759*P1759))</f>
        <v>6.4554177392932371E-2</v>
      </c>
      <c r="P1759" s="188">
        <v>147436357</v>
      </c>
      <c r="Q1759" s="188">
        <f>P1759*E1759</f>
        <v>8108999635</v>
      </c>
      <c r="R1759" s="195">
        <f>Q1759/L1759</f>
        <v>1.4757051201091902</v>
      </c>
      <c r="S1759" s="197">
        <f>(Q1759+K1759)/H1759</f>
        <v>6.1931185543840179</v>
      </c>
      <c r="T1759" s="180"/>
      <c r="U1759" s="189">
        <f>IFERROR(IF(Tableau3[[#This Row],[Dettes]]=0,"",(Tableau3[[#This Row],[Dettes]]/Tableau3[[#This Row],[EBE]])),"")</f>
        <v>1.693118756936737</v>
      </c>
      <c r="V1759" s="190" t="str">
        <f>IFERROR(Tableau3[[#This Row],[Fonds propres]]/Tableau3[[#This Row],[Total Bilan]],"")</f>
        <v/>
      </c>
      <c r="W1759" s="180"/>
      <c r="X1759" s="191"/>
      <c r="Y1759" s="180"/>
      <c r="Z1759" s="192" t="str">
        <f>IFERROR(Tableau3[[#This Row],[Chiffre d''affaires]]/Tableau3[[#This Row],[Salariés]],"")</f>
        <v/>
      </c>
      <c r="AA1759" s="197"/>
      <c r="AB1759" s="197"/>
    </row>
    <row r="1760" spans="1:29" ht="20.25" customHeight="1">
      <c r="A1760" s="217"/>
      <c r="E1760" s="187"/>
      <c r="G1760" s="202">
        <f>(G1759/G1761)-1</f>
        <v>-9.7574353973671424E-2</v>
      </c>
      <c r="H1760" s="203">
        <f>(H1759/H1761)-1</f>
        <v>-2.4891774891774854E-2</v>
      </c>
      <c r="I1760" s="203">
        <f>(I1759/I1761)-1</f>
        <v>-6.3043478260869534E-2</v>
      </c>
      <c r="J1760" s="203">
        <f>(J1759/J1761)-1</f>
        <v>-0.70868347338935567</v>
      </c>
      <c r="K1760" s="188"/>
      <c r="L1760" s="188"/>
      <c r="M1760" s="194"/>
      <c r="N1760" s="190"/>
      <c r="O1760" s="190"/>
      <c r="P1760" s="188"/>
      <c r="Q1760" s="188"/>
      <c r="R1760" s="195"/>
      <c r="S1760" s="197"/>
      <c r="T1760" s="180"/>
      <c r="U1760" s="189" t="str">
        <f>IFERROR(IF(Tableau3[[#This Row],[Dettes]]=0,"",(Tableau3[[#This Row],[Dettes]]/Tableau3[[#This Row],[EBE]])),"")</f>
        <v/>
      </c>
      <c r="V1760" s="190" t="str">
        <f>IFERROR(Tableau3[[#This Row],[Fonds propres]]/Tableau3[[#This Row],[Total Bilan]],"")</f>
        <v/>
      </c>
      <c r="W1760" s="180"/>
      <c r="X1760" s="191"/>
      <c r="Y1760" s="180"/>
      <c r="Z1760" s="192" t="str">
        <f>IFERROR(Tableau3[[#This Row],[Chiffre d''affaires]]/Tableau3[[#This Row],[Salariés]],"")</f>
        <v/>
      </c>
      <c r="AA1760" s="197"/>
      <c r="AB1760" s="197"/>
    </row>
    <row r="1761" spans="1:29" ht="20.25" customHeight="1">
      <c r="A1761" s="217"/>
      <c r="E1761" s="187">
        <v>35.92</v>
      </c>
      <c r="F1761" s="178">
        <v>2008</v>
      </c>
      <c r="G1761" s="188">
        <v>16408000000</v>
      </c>
      <c r="H1761" s="188">
        <v>1848000000</v>
      </c>
      <c r="I1761" s="188">
        <v>920000000</v>
      </c>
      <c r="J1761" s="188">
        <v>357000000</v>
      </c>
      <c r="K1761" s="188">
        <v>4273000000</v>
      </c>
      <c r="L1761" s="188">
        <v>5113000000</v>
      </c>
      <c r="M1761" s="194">
        <f>L1761/P1761</f>
        <v>35.232425131957939</v>
      </c>
      <c r="N1761" s="190">
        <f>J1761/L1761</f>
        <v>6.9822022296107955E-2</v>
      </c>
      <c r="O1761" s="190">
        <f>(I1761*0.64)/(K1761+(M1761*P1761))</f>
        <v>6.2731728105689319E-2</v>
      </c>
      <c r="P1761" s="188">
        <v>145122000</v>
      </c>
      <c r="Q1761" s="188">
        <f>P1761*E1761</f>
        <v>5212782240</v>
      </c>
      <c r="R1761" s="195">
        <f>Q1761/L1761</f>
        <v>1.0195153999608839</v>
      </c>
      <c r="S1761" s="197">
        <f>(Q1761+K1761)/H1761</f>
        <v>5.1329990476190472</v>
      </c>
      <c r="T1761" s="180"/>
      <c r="U1761" s="189">
        <f>IFERROR(IF(Tableau3[[#This Row],[Dettes]]=0,"",(Tableau3[[#This Row],[Dettes]]/Tableau3[[#This Row],[EBE]])),"")</f>
        <v>2.3122294372294374</v>
      </c>
      <c r="V1761" s="190" t="str">
        <f>IFERROR(Tableau3[[#This Row],[Fonds propres]]/Tableau3[[#This Row],[Total Bilan]],"")</f>
        <v/>
      </c>
      <c r="W1761" s="180"/>
      <c r="X1761" s="191"/>
      <c r="Y1761" s="180"/>
      <c r="Z1761" s="192" t="str">
        <f>IFERROR(Tableau3[[#This Row],[Chiffre d''affaires]]/Tableau3[[#This Row],[Salariés]],"")</f>
        <v/>
      </c>
      <c r="AA1761" s="197"/>
      <c r="AB1761" s="197"/>
    </row>
    <row r="1762" spans="1:29" ht="20.25" customHeight="1">
      <c r="A1762" s="217"/>
      <c r="E1762" s="187"/>
      <c r="G1762" s="188"/>
      <c r="H1762" s="188"/>
      <c r="I1762" s="188"/>
      <c r="J1762" s="188"/>
      <c r="K1762" s="188"/>
      <c r="L1762" s="188"/>
      <c r="M1762" s="194"/>
      <c r="N1762" s="190"/>
      <c r="O1762" s="190"/>
      <c r="P1762" s="188"/>
      <c r="Q1762" s="188"/>
      <c r="R1762" s="195"/>
      <c r="S1762" s="197"/>
      <c r="T1762" s="180"/>
      <c r="U1762" s="189" t="str">
        <f>IFERROR(IF(Tableau3[[#This Row],[Dettes]]=0,"",(Tableau3[[#This Row],[Dettes]]/Tableau3[[#This Row],[EBE]])),"")</f>
        <v/>
      </c>
      <c r="V1762" s="190" t="str">
        <f>IFERROR(Tableau3[[#This Row],[Fonds propres]]/Tableau3[[#This Row],[Total Bilan]],"")</f>
        <v/>
      </c>
      <c r="W1762" s="180"/>
      <c r="X1762" s="191"/>
      <c r="Y1762" s="180"/>
      <c r="Z1762" s="192" t="str">
        <f>IFERROR(Tableau3[[#This Row],[Chiffre d''affaires]]/Tableau3[[#This Row],[Salariés]],"")</f>
        <v/>
      </c>
      <c r="AA1762" s="197"/>
      <c r="AB1762" s="197"/>
    </row>
    <row r="1763" spans="1:29" ht="20.25" customHeight="1">
      <c r="A1763" s="217"/>
      <c r="E1763" s="187"/>
      <c r="G1763" s="188"/>
      <c r="H1763" s="188"/>
      <c r="I1763" s="188"/>
      <c r="J1763" s="188"/>
      <c r="K1763" s="188"/>
      <c r="L1763" s="188"/>
      <c r="M1763" s="194"/>
      <c r="N1763" s="190"/>
      <c r="O1763" s="190"/>
      <c r="P1763" s="188"/>
      <c r="Q1763" s="188"/>
      <c r="R1763" s="195"/>
      <c r="S1763" s="197"/>
      <c r="T1763" s="180"/>
      <c r="U1763" s="189" t="str">
        <f>IFERROR(IF(Tableau3[[#This Row],[Dettes]]=0,"",(Tableau3[[#This Row],[Dettes]]/Tableau3[[#This Row],[EBE]])),"")</f>
        <v/>
      </c>
      <c r="V1763" s="190" t="str">
        <f>IFERROR(Tableau3[[#This Row],[Fonds propres]]/Tableau3[[#This Row],[Total Bilan]],"")</f>
        <v/>
      </c>
      <c r="W1763" s="180"/>
      <c r="X1763" s="191"/>
      <c r="Y1763" s="180"/>
      <c r="Z1763" s="192" t="str">
        <f>IFERROR(Tableau3[[#This Row],[Chiffre d''affaires]]/Tableau3[[#This Row],[Salariés]],"")</f>
        <v/>
      </c>
      <c r="AA1763" s="197"/>
      <c r="AB1763" s="197"/>
    </row>
    <row r="1764" spans="1:29" ht="20.25" customHeight="1">
      <c r="A1764" s="217"/>
      <c r="E1764" s="187"/>
      <c r="G1764" s="188"/>
      <c r="H1764" s="188"/>
      <c r="I1764" s="188"/>
      <c r="J1764" s="188"/>
      <c r="K1764" s="188"/>
      <c r="L1764" s="188"/>
      <c r="M1764" s="194"/>
      <c r="N1764" s="190"/>
      <c r="O1764" s="190"/>
      <c r="P1764" s="188"/>
      <c r="Q1764" s="188"/>
      <c r="R1764" s="195"/>
      <c r="S1764" s="197"/>
      <c r="T1764" s="180"/>
      <c r="U1764" s="189" t="str">
        <f>IFERROR(IF(Tableau3[[#This Row],[Dettes]]=0,"",(Tableau3[[#This Row],[Dettes]]/Tableau3[[#This Row],[EBE]])),"")</f>
        <v/>
      </c>
      <c r="V1764" s="190" t="str">
        <f>IFERROR(Tableau3[[#This Row],[Fonds propres]]/Tableau3[[#This Row],[Total Bilan]],"")</f>
        <v/>
      </c>
      <c r="W1764" s="180"/>
      <c r="X1764" s="191"/>
      <c r="Y1764" s="180"/>
      <c r="Z1764" s="192" t="str">
        <f>IFERROR(Tableau3[[#This Row],[Chiffre d''affaires]]/Tableau3[[#This Row],[Salariés]],"")</f>
        <v/>
      </c>
      <c r="AA1764" s="197"/>
      <c r="AB1764" s="197"/>
    </row>
    <row r="1765" spans="1:29" ht="20.25" customHeight="1">
      <c r="A1765" s="217" t="s">
        <v>1206</v>
      </c>
      <c r="B1765" s="216" t="s">
        <v>1180</v>
      </c>
      <c r="C1765" s="178" t="s">
        <v>564</v>
      </c>
      <c r="D1765" s="178" t="s">
        <v>85</v>
      </c>
      <c r="E1765" s="187">
        <v>93.11</v>
      </c>
      <c r="F1765" s="178">
        <v>2021</v>
      </c>
      <c r="G1765" s="188">
        <v>40300000000</v>
      </c>
      <c r="H1765" s="188">
        <v>5200000000</v>
      </c>
      <c r="I1765" s="188">
        <v>2700000000</v>
      </c>
      <c r="J1765" s="188">
        <v>2000000000</v>
      </c>
      <c r="K1765" s="188">
        <v>3213800000</v>
      </c>
      <c r="L1765" s="242">
        <v>12115500000</v>
      </c>
      <c r="M1765" s="194">
        <f>L1765/P1765</f>
        <v>60.575687878297124</v>
      </c>
      <c r="N1765" s="190">
        <f>J1765/L1765</f>
        <v>0.16507779290990879</v>
      </c>
      <c r="O1765" s="190">
        <f>(I1765*0.7)/(K1765+L1765)</f>
        <v>0.12329330106397551</v>
      </c>
      <c r="P1765" s="188">
        <v>200005983</v>
      </c>
      <c r="Q1765" s="188">
        <f>P1765*E1765</f>
        <v>18622557077.130001</v>
      </c>
      <c r="R1765" s="195">
        <f>Q1765/L1765</f>
        <v>1.5370853103157114</v>
      </c>
      <c r="S1765" s="197">
        <f>(Q1765+K1765)/H1765</f>
        <v>4.199299437909616</v>
      </c>
      <c r="T1765" s="180"/>
      <c r="U1765" s="189">
        <f>IFERROR(IF(Tableau3[[#This Row],[Dettes]]=0,"",(Tableau3[[#This Row],[Dettes]]/Tableau3[[#This Row],[EBE]])),"")</f>
        <v>0.61803846153846154</v>
      </c>
      <c r="V1765" s="190" t="str">
        <f>IFERROR(Tableau3[[#This Row],[Fonds propres]]/Tableau3[[#This Row],[Total Bilan]],"")</f>
        <v/>
      </c>
      <c r="W1765" s="180"/>
      <c r="X1765" s="182" t="s">
        <v>1207</v>
      </c>
      <c r="Y1765" s="180"/>
      <c r="Z1765" s="192" t="str">
        <f>IFERROR(Tableau3[[#This Row],[Chiffre d''affaires]]/Tableau3[[#This Row],[Salariés]],"")</f>
        <v/>
      </c>
      <c r="AA1765" s="178"/>
      <c r="AC1765" s="177" t="s">
        <v>1208</v>
      </c>
    </row>
    <row r="1766" spans="1:29" ht="20.25" customHeight="1">
      <c r="A1766" s="217"/>
      <c r="E1766" s="187"/>
      <c r="G1766" s="202">
        <f>(G1765/G1767)-1</f>
        <v>6.8965517241379226E-2</v>
      </c>
      <c r="H1766" s="202">
        <f>(H1765/H1767)-1</f>
        <v>0.71402201859054659</v>
      </c>
      <c r="I1766" s="202">
        <f>(I1765/I1767)-1</f>
        <v>-4.7599220164322524</v>
      </c>
      <c r="J1766" s="202">
        <f>(J1765/J1767)-1</f>
        <v>-3.0792182139515543</v>
      </c>
      <c r="K1766" s="178"/>
      <c r="L1766" s="178"/>
      <c r="M1766" s="178"/>
      <c r="N1766" s="178"/>
      <c r="O1766" s="178"/>
      <c r="P1766" s="178"/>
      <c r="Q1766" s="178"/>
      <c r="R1766" s="178"/>
      <c r="S1766" s="178"/>
      <c r="T1766" s="180"/>
      <c r="U1766" s="189" t="str">
        <f>IFERROR(IF(Tableau3[[#This Row],[Dettes]]=0,"",(Tableau3[[#This Row],[Dettes]]/Tableau3[[#This Row],[EBE]])),"")</f>
        <v/>
      </c>
      <c r="V1766" s="190" t="str">
        <f>IFERROR(Tableau3[[#This Row],[Fonds propres]]/Tableau3[[#This Row],[Total Bilan]],"")</f>
        <v/>
      </c>
      <c r="W1766" s="180"/>
      <c r="Y1766" s="180"/>
      <c r="Z1766" s="192" t="str">
        <f>IFERROR(Tableau3[[#This Row],[Chiffre d''affaires]]/Tableau3[[#This Row],[Salariés]],"")</f>
        <v/>
      </c>
      <c r="AA1766" s="177"/>
      <c r="AC1766" s="177" t="s">
        <v>1210</v>
      </c>
    </row>
    <row r="1767" spans="1:29" ht="20.25" customHeight="1">
      <c r="A1767" s="217"/>
      <c r="E1767" s="187">
        <v>121.65</v>
      </c>
      <c r="F1767" s="178">
        <v>2020</v>
      </c>
      <c r="G1767" s="188">
        <v>37700000000</v>
      </c>
      <c r="H1767" s="188">
        <v>3033800000</v>
      </c>
      <c r="I1767" s="188">
        <v>-718100000</v>
      </c>
      <c r="J1767" s="188">
        <v>-961900000</v>
      </c>
      <c r="K1767" s="188">
        <v>4139100000</v>
      </c>
      <c r="L1767" s="242">
        <v>12624000000</v>
      </c>
      <c r="M1767" s="194">
        <f>L1767/P1767</f>
        <v>63.118111821684856</v>
      </c>
      <c r="N1767" s="190">
        <f>J1767/L1767</f>
        <v>-7.6196134347275027E-2</v>
      </c>
      <c r="O1767" s="190">
        <f>(I1767*0.7)/(K1767+L1767)</f>
        <v>-2.9986696971323917E-2</v>
      </c>
      <c r="P1767" s="188">
        <v>200005983</v>
      </c>
      <c r="Q1767" s="188">
        <f>P1767*E1767</f>
        <v>24330727831.950001</v>
      </c>
      <c r="R1767" s="195">
        <f>Q1767/L1767</f>
        <v>1.9273390234434411</v>
      </c>
      <c r="S1767" s="197">
        <f>(Q1767+K1767)/H1767</f>
        <v>9.3842138018162036</v>
      </c>
      <c r="T1767" s="180"/>
      <c r="U1767" s="189">
        <f>IFERROR(IF(Tableau3[[#This Row],[Dettes]]=0,"",(Tableau3[[#This Row],[Dettes]]/Tableau3[[#This Row],[EBE]])),"")</f>
        <v>1.3643285648361791</v>
      </c>
      <c r="V1767" s="190" t="str">
        <f>IFERROR(Tableau3[[#This Row],[Fonds propres]]/Tableau3[[#This Row],[Total Bilan]],"")</f>
        <v/>
      </c>
      <c r="W1767" s="180"/>
      <c r="Y1767" s="180"/>
      <c r="Z1767" s="192" t="str">
        <f>IFERROR(Tableau3[[#This Row],[Chiffre d''affaires]]/Tableau3[[#This Row],[Salariés]],"")</f>
        <v/>
      </c>
      <c r="AA1767" s="177"/>
      <c r="AC1767" s="177" t="s">
        <v>1211</v>
      </c>
    </row>
    <row r="1768" spans="1:29" ht="20.25" customHeight="1">
      <c r="A1768" s="217"/>
      <c r="E1768" s="187"/>
      <c r="G1768" s="202">
        <f>(G1767/G1769)-1</f>
        <v>-0.152397568257851</v>
      </c>
      <c r="H1768" s="202">
        <f>(H1767/H1769)-1</f>
        <v>-0.39046049987945031</v>
      </c>
      <c r="I1768" s="202">
        <f>(I1767/I1769)-1</f>
        <v>1.6764815505031683</v>
      </c>
      <c r="J1768" s="202">
        <f>(J1767/J1769)-1</f>
        <v>-0.21477551020408159</v>
      </c>
      <c r="K1768" s="178"/>
      <c r="L1768" s="178"/>
      <c r="M1768" s="178"/>
      <c r="N1768" s="178"/>
      <c r="O1768" s="178"/>
      <c r="P1768" s="178"/>
      <c r="Q1768" s="178"/>
      <c r="R1768" s="178"/>
      <c r="S1768" s="178"/>
      <c r="T1768" s="180"/>
      <c r="U1768" s="189" t="str">
        <f>IFERROR(IF(Tableau3[[#This Row],[Dettes]]=0,"",(Tableau3[[#This Row],[Dettes]]/Tableau3[[#This Row],[EBE]])),"")</f>
        <v/>
      </c>
      <c r="V1768" s="190" t="str">
        <f>IFERROR(Tableau3[[#This Row],[Fonds propres]]/Tableau3[[#This Row],[Total Bilan]],"")</f>
        <v/>
      </c>
      <c r="W1768" s="180"/>
      <c r="Y1768" s="180"/>
      <c r="Z1768" s="192" t="str">
        <f>IFERROR(Tableau3[[#This Row],[Chiffre d''affaires]]/Tableau3[[#This Row],[Salariés]],"")</f>
        <v/>
      </c>
      <c r="AA1768" s="177"/>
      <c r="AC1768" s="177" t="s">
        <v>1212</v>
      </c>
    </row>
    <row r="1769" spans="1:29" ht="20.25" customHeight="1">
      <c r="A1769" s="217"/>
      <c r="E1769" s="187">
        <v>115.6</v>
      </c>
      <c r="F1769" s="178">
        <v>2019</v>
      </c>
      <c r="G1769" s="188">
        <v>44478400000</v>
      </c>
      <c r="H1769" s="188">
        <v>4977200000</v>
      </c>
      <c r="I1769" s="188">
        <v>-268300000</v>
      </c>
      <c r="J1769" s="188">
        <v>-1225000000</v>
      </c>
      <c r="K1769" s="188">
        <v>4071700000</v>
      </c>
      <c r="L1769" s="242">
        <v>15875700000</v>
      </c>
      <c r="M1769" s="194">
        <f>L1769/P1769</f>
        <v>79.376125463206762</v>
      </c>
      <c r="N1769" s="190">
        <f>J1769/L1769</f>
        <v>-7.7161951913931354E-2</v>
      </c>
      <c r="O1769" s="190">
        <f>(I1769*0.7)/(K1769+L1769)</f>
        <v>-9.415262139426693E-3</v>
      </c>
      <c r="P1769" s="188">
        <v>200005983</v>
      </c>
      <c r="Q1769" s="188">
        <f>P1769*E1769</f>
        <v>23120691634.799999</v>
      </c>
      <c r="R1769" s="195">
        <f>Q1769/L1769</f>
        <v>1.4563573029724672</v>
      </c>
      <c r="S1769" s="197">
        <f>(Q1769+K1769)/H1769</f>
        <v>5.46339139170618</v>
      </c>
      <c r="T1769" s="180"/>
      <c r="U1769" s="189">
        <f>IFERROR(IF(Tableau3[[#This Row],[Dettes]]=0,"",(Tableau3[[#This Row],[Dettes]]/Tableau3[[#This Row],[EBE]])),"")</f>
        <v>0.81807040102869089</v>
      </c>
      <c r="V1769" s="190" t="str">
        <f>IFERROR(Tableau3[[#This Row],[Fonds propres]]/Tableau3[[#This Row],[Total Bilan]],"")</f>
        <v/>
      </c>
      <c r="W1769" s="180"/>
      <c r="Y1769" s="180"/>
      <c r="Z1769" s="192" t="str">
        <f>IFERROR(Tableau3[[#This Row],[Chiffre d''affaires]]/Tableau3[[#This Row],[Salariés]],"")</f>
        <v/>
      </c>
      <c r="AA1769" s="177"/>
      <c r="AC1769" s="177" t="s">
        <v>1213</v>
      </c>
    </row>
    <row r="1770" spans="1:29" ht="20.25" customHeight="1">
      <c r="A1770" s="217"/>
      <c r="E1770" s="187"/>
      <c r="G1770" s="202">
        <f>(G1769/G1771)-1</f>
        <v>0.6561934479702709</v>
      </c>
      <c r="H1770" s="202">
        <f>(H1769/H1771)-1</f>
        <v>0.56658588020521861</v>
      </c>
      <c r="I1770" s="202">
        <f>(I1769/I1771)-1</f>
        <v>-1.1419276343630977</v>
      </c>
      <c r="J1770" s="202">
        <f>(J1769/J1771)-1</f>
        <v>-1.4228074414109688</v>
      </c>
      <c r="K1770" s="188"/>
      <c r="L1770" s="178"/>
      <c r="M1770" s="178"/>
      <c r="N1770" s="178"/>
      <c r="O1770" s="178"/>
      <c r="P1770" s="178"/>
      <c r="Q1770" s="178"/>
      <c r="R1770" s="178"/>
      <c r="S1770" s="178"/>
      <c r="T1770" s="180"/>
      <c r="U1770" s="189" t="str">
        <f>IFERROR(IF(Tableau3[[#This Row],[Dettes]]=0,"",(Tableau3[[#This Row],[Dettes]]/Tableau3[[#This Row],[EBE]])),"")</f>
        <v/>
      </c>
      <c r="V1770" s="190" t="str">
        <f>IFERROR(Tableau3[[#This Row],[Fonds propres]]/Tableau3[[#This Row],[Total Bilan]],"")</f>
        <v/>
      </c>
      <c r="W1770" s="180"/>
      <c r="Y1770" s="180"/>
      <c r="Z1770" s="192" t="str">
        <f>IFERROR(Tableau3[[#This Row],[Chiffre d''affaires]]/Tableau3[[#This Row],[Salariés]],"")</f>
        <v/>
      </c>
      <c r="AA1770" s="177"/>
      <c r="AC1770" s="177" t="s">
        <v>1214</v>
      </c>
    </row>
    <row r="1771" spans="1:29" ht="20.25" customHeight="1">
      <c r="A1771" s="217"/>
      <c r="E1771" s="187">
        <v>120.7</v>
      </c>
      <c r="F1771" s="178">
        <v>2018</v>
      </c>
      <c r="G1771" s="188">
        <v>26855800000</v>
      </c>
      <c r="H1771" s="188">
        <v>3177100000</v>
      </c>
      <c r="I1771" s="188">
        <v>1890400000</v>
      </c>
      <c r="J1771" s="188">
        <v>2897300000</v>
      </c>
      <c r="K1771" s="188">
        <v>1661300000</v>
      </c>
      <c r="L1771" s="242">
        <v>18333300000</v>
      </c>
      <c r="M1771" s="194">
        <f>L1771/P1771</f>
        <v>91.663757878683057</v>
      </c>
      <c r="N1771" s="190">
        <f>J1771/L1771</f>
        <v>0.15803483279060507</v>
      </c>
      <c r="O1771" s="190">
        <f>(I1771*0.7)/(K1771+L1771)</f>
        <v>6.6181869104658259E-2</v>
      </c>
      <c r="P1771" s="188">
        <v>200005983</v>
      </c>
      <c r="Q1771" s="188">
        <f>P1771*E1771</f>
        <v>24140722148.100002</v>
      </c>
      <c r="R1771" s="195">
        <f>Q1771/L1771</f>
        <v>1.3167690567491943</v>
      </c>
      <c r="S1771" s="197">
        <f>(Q1771+K1771)/H1771</f>
        <v>8.1212496138302228</v>
      </c>
      <c r="T1771" s="180"/>
      <c r="U1771" s="189">
        <f>IFERROR(IF(Tableau3[[#This Row],[Dettes]]=0,"",(Tableau3[[#This Row],[Dettes]]/Tableau3[[#This Row],[EBE]])),"")</f>
        <v>0.52289824053382017</v>
      </c>
      <c r="V1771" s="190" t="str">
        <f>IFERROR(Tableau3[[#This Row],[Fonds propres]]/Tableau3[[#This Row],[Total Bilan]],"")</f>
        <v/>
      </c>
      <c r="W1771" s="180"/>
      <c r="Y1771" s="180"/>
      <c r="Z1771" s="192" t="str">
        <f>IFERROR(Tableau3[[#This Row],[Chiffre d''affaires]]/Tableau3[[#This Row],[Salariés]],"")</f>
        <v/>
      </c>
      <c r="AA1771" s="177"/>
      <c r="AC1771" s="177" t="s">
        <v>1215</v>
      </c>
    </row>
    <row r="1772" spans="1:29" ht="20.25" customHeight="1">
      <c r="A1772" s="217"/>
      <c r="E1772" s="187"/>
      <c r="G1772" s="202">
        <f>(G1771/G1773)-1</f>
        <v>1.093151241840884E-2</v>
      </c>
      <c r="H1772" s="202">
        <f>(H1771/H1773)-1</f>
        <v>-3.6190996238320561E-2</v>
      </c>
      <c r="I1772" s="202">
        <f>(I1771/I1773)-1</f>
        <v>-9.4115391987732444E-2</v>
      </c>
      <c r="J1772" s="202">
        <f>(J1771/J1773)-1</f>
        <v>-2.9250150773973083E-2</v>
      </c>
      <c r="K1772" s="178"/>
      <c r="L1772" s="178"/>
      <c r="M1772" s="178"/>
      <c r="N1772" s="178"/>
      <c r="O1772" s="178"/>
      <c r="P1772" s="178"/>
      <c r="Q1772" s="178"/>
      <c r="R1772" s="178"/>
      <c r="S1772" s="178"/>
      <c r="T1772" s="180"/>
      <c r="U1772" s="189" t="str">
        <f>IFERROR(IF(Tableau3[[#This Row],[Dettes]]=0,"",(Tableau3[[#This Row],[Dettes]]/Tableau3[[#This Row],[EBE]])),"")</f>
        <v/>
      </c>
      <c r="V1772" s="190" t="str">
        <f>IFERROR(Tableau3[[#This Row],[Fonds propres]]/Tableau3[[#This Row],[Total Bilan]],"")</f>
        <v/>
      </c>
      <c r="W1772" s="180"/>
      <c r="Y1772" s="180"/>
      <c r="Z1772" s="192" t="str">
        <f>IFERROR(Tableau3[[#This Row],[Chiffre d''affaires]]/Tableau3[[#This Row],[Salariés]],"")</f>
        <v/>
      </c>
      <c r="AA1772" s="177"/>
      <c r="AC1772" s="177" t="s">
        <v>1216</v>
      </c>
    </row>
    <row r="1773" spans="1:29" ht="20.25" customHeight="1">
      <c r="A1773" s="217"/>
      <c r="E1773" s="187">
        <v>225.5</v>
      </c>
      <c r="F1773" s="178">
        <v>2017</v>
      </c>
      <c r="G1773" s="188">
        <v>26565400000</v>
      </c>
      <c r="H1773" s="188">
        <v>3296400000</v>
      </c>
      <c r="I1773" s="188">
        <v>2086800000</v>
      </c>
      <c r="J1773" s="188">
        <v>2984600000</v>
      </c>
      <c r="K1773" s="188">
        <v>2047600000</v>
      </c>
      <c r="L1773" s="242">
        <v>16290300000</v>
      </c>
      <c r="M1773" s="194">
        <f>L1773/P1773</f>
        <v>81.449063451266852</v>
      </c>
      <c r="N1773" s="190">
        <f>J1773/L1773</f>
        <v>0.18321332326599266</v>
      </c>
      <c r="O1773" s="190">
        <f>(I1773*0.7)/(K1773+L1773)</f>
        <v>7.9657976104134068E-2</v>
      </c>
      <c r="P1773" s="188">
        <v>200005983</v>
      </c>
      <c r="Q1773" s="188">
        <f>P1773*E1773</f>
        <v>45101349166.5</v>
      </c>
      <c r="R1773" s="195">
        <f>Q1773/L1773</f>
        <v>2.768601509272389</v>
      </c>
      <c r="S1773" s="197">
        <f>(Q1773+K1773)/H1773</f>
        <v>14.303163804908385</v>
      </c>
      <c r="T1773" s="180"/>
      <c r="U1773" s="189">
        <f>IFERROR(IF(Tableau3[[#This Row],[Dettes]]=0,"",(Tableau3[[#This Row],[Dettes]]/Tableau3[[#This Row],[EBE]])),"")</f>
        <v>0.62116248028151921</v>
      </c>
      <c r="V1773" s="190" t="str">
        <f>IFERROR(Tableau3[[#This Row],[Fonds propres]]/Tableau3[[#This Row],[Total Bilan]],"")</f>
        <v/>
      </c>
      <c r="W1773" s="180"/>
      <c r="Y1773" s="180"/>
      <c r="Z1773" s="192" t="str">
        <f>IFERROR(Tableau3[[#This Row],[Chiffre d''affaires]]/Tableau3[[#This Row],[Salariés]],"")</f>
        <v/>
      </c>
      <c r="AA1773" s="177"/>
      <c r="AC1773" s="177" t="s">
        <v>1217</v>
      </c>
    </row>
    <row r="1774" spans="1:29" ht="20.25" customHeight="1">
      <c r="A1774" s="217"/>
      <c r="E1774" s="187"/>
      <c r="G1774" s="202">
        <f>(G1773/G1775)-1</f>
        <v>-0.34560727174194183</v>
      </c>
      <c r="H1774" s="202">
        <f>(H1773/H1775)-1</f>
        <v>-0.45580612143824084</v>
      </c>
      <c r="I1774" s="202">
        <f>(I1773/I1775)-1</f>
        <v>-0.49050246594071978</v>
      </c>
      <c r="J1774" s="202">
        <f>(J1773/J1775)-1</f>
        <v>6.4977698483496882E-2</v>
      </c>
      <c r="K1774" s="178"/>
      <c r="L1774" s="178"/>
      <c r="M1774" s="178"/>
      <c r="N1774" s="178"/>
      <c r="O1774" s="178"/>
      <c r="P1774" s="178"/>
      <c r="Q1774" s="178"/>
      <c r="R1774" s="178"/>
      <c r="S1774" s="178"/>
      <c r="T1774" s="180"/>
      <c r="U1774" s="189" t="str">
        <f>IFERROR(IF(Tableau3[[#This Row],[Dettes]]=0,"",(Tableau3[[#This Row],[Dettes]]/Tableau3[[#This Row],[EBE]])),"")</f>
        <v/>
      </c>
      <c r="V1774" s="190" t="str">
        <f>IFERROR(Tableau3[[#This Row],[Fonds propres]]/Tableau3[[#This Row],[Total Bilan]],"")</f>
        <v/>
      </c>
      <c r="W1774" s="180"/>
      <c r="Y1774" s="180"/>
      <c r="Z1774" s="192" t="str">
        <f>IFERROR(Tableau3[[#This Row],[Chiffre d''affaires]]/Tableau3[[#This Row],[Salariés]],"")</f>
        <v/>
      </c>
      <c r="AA1774" s="177"/>
      <c r="AC1774" s="177" t="s">
        <v>1218</v>
      </c>
    </row>
    <row r="1775" spans="1:29" ht="20.25" customHeight="1">
      <c r="A1775" s="217"/>
      <c r="E1775" s="187">
        <v>183.7</v>
      </c>
      <c r="F1775" s="178">
        <v>2016</v>
      </c>
      <c r="G1775" s="188">
        <v>40595500000</v>
      </c>
      <c r="H1775" s="188">
        <v>6057400000</v>
      </c>
      <c r="I1775" s="188">
        <v>4095800000</v>
      </c>
      <c r="J1775" s="188">
        <v>2802500000</v>
      </c>
      <c r="K1775" s="188">
        <v>2797800000</v>
      </c>
      <c r="L1775" s="242">
        <v>14734800000</v>
      </c>
      <c r="M1775" s="194">
        <f>L1775/P1775</f>
        <v>73.671796108219425</v>
      </c>
      <c r="N1775" s="190">
        <f>J1775/L1775</f>
        <v>0.19019599858837583</v>
      </c>
      <c r="O1775" s="190">
        <f>(I1775*0.7)/(K1775+L1775)</f>
        <v>0.1635273718672644</v>
      </c>
      <c r="P1775" s="188">
        <v>200005983</v>
      </c>
      <c r="Q1775" s="188">
        <f>P1775*E1775</f>
        <v>36741099077.099998</v>
      </c>
      <c r="R1775" s="195">
        <f>Q1775/L1775</f>
        <v>2.4934915354874176</v>
      </c>
      <c r="S1775" s="197">
        <f>(Q1775+K1775)/H1775</f>
        <v>6.5273713271535643</v>
      </c>
      <c r="T1775" s="180"/>
      <c r="U1775" s="189">
        <f>IFERROR(IF(Tableau3[[#This Row],[Dettes]]=0,"",(Tableau3[[#This Row],[Dettes]]/Tableau3[[#This Row],[EBE]])),"")</f>
        <v>0.46188133522633473</v>
      </c>
      <c r="V1775" s="190" t="str">
        <f>IFERROR(Tableau3[[#This Row],[Fonds propres]]/Tableau3[[#This Row],[Total Bilan]],"")</f>
        <v/>
      </c>
      <c r="W1775" s="180"/>
      <c r="Y1775" s="180"/>
      <c r="Z1775" s="192" t="str">
        <f>IFERROR(Tableau3[[#This Row],[Chiffre d''affaires]]/Tableau3[[#This Row],[Salariés]],"")</f>
        <v/>
      </c>
      <c r="AA1775" s="177"/>
      <c r="AC1775" s="177" t="s">
        <v>1219</v>
      </c>
    </row>
    <row r="1776" spans="1:29" ht="20.25" customHeight="1">
      <c r="A1776" s="217"/>
      <c r="G1776" s="202">
        <f>(G1775/G1777)-1</f>
        <v>3.4754792006525204E-2</v>
      </c>
      <c r="H1776" s="202">
        <f>(H1775/H1777)-1</f>
        <v>9.3311560635851443E-3</v>
      </c>
      <c r="I1776" s="202">
        <f>(I1775/I1777)-1</f>
        <v>-4.8109631645446571E-3</v>
      </c>
      <c r="J1776" s="202">
        <f>(J1775/J1777)-1</f>
        <v>2.7535381682188165E-2</v>
      </c>
      <c r="K1776" s="178"/>
      <c r="L1776" s="178"/>
      <c r="M1776" s="178"/>
      <c r="N1776" s="178"/>
      <c r="O1776" s="178"/>
      <c r="P1776" s="178"/>
      <c r="Q1776" s="178"/>
      <c r="R1776" s="178"/>
      <c r="S1776" s="178"/>
      <c r="T1776" s="180"/>
      <c r="U1776" s="189" t="str">
        <f>IFERROR(IF(Tableau3[[#This Row],[Dettes]]=0,"",(Tableau3[[#This Row],[Dettes]]/Tableau3[[#This Row],[EBE]])),"")</f>
        <v/>
      </c>
      <c r="V1776" s="190" t="str">
        <f>IFERROR(Tableau3[[#This Row],[Fonds propres]]/Tableau3[[#This Row],[Total Bilan]],"")</f>
        <v/>
      </c>
      <c r="W1776" s="180"/>
      <c r="Y1776" s="180"/>
      <c r="Z1776" s="192" t="str">
        <f>IFERROR(Tableau3[[#This Row],[Chiffre d''affaires]]/Tableau3[[#This Row],[Salariés]],"")</f>
        <v/>
      </c>
      <c r="AA1776" s="177"/>
      <c r="AC1776" s="177" t="s">
        <v>1220</v>
      </c>
    </row>
    <row r="1777" spans="1:29" ht="20.25" customHeight="1">
      <c r="A1777" s="217"/>
      <c r="E1777" s="178">
        <v>173.6</v>
      </c>
      <c r="F1777" s="178">
        <v>2015</v>
      </c>
      <c r="G1777" s="188">
        <v>39232000000</v>
      </c>
      <c r="H1777" s="188">
        <v>6001400000</v>
      </c>
      <c r="I1777" s="188">
        <v>4115600000</v>
      </c>
      <c r="J1777" s="188">
        <v>2727400000</v>
      </c>
      <c r="K1777" s="188">
        <v>3541900000</v>
      </c>
      <c r="L1777" s="242">
        <v>13213900000</v>
      </c>
      <c r="M1777" s="194">
        <f>L1777/P1777</f>
        <v>66.067523590031797</v>
      </c>
      <c r="N1777" s="190">
        <f>J1777/L1777</f>
        <v>0.20640386259923263</v>
      </c>
      <c r="O1777" s="190">
        <f>(I1777*0.7)/(K1777+L1777)</f>
        <v>0.17193568794089212</v>
      </c>
      <c r="P1777" s="188">
        <v>200005983</v>
      </c>
      <c r="Q1777" s="188">
        <f>P1777*E1777</f>
        <v>34721038648.799995</v>
      </c>
      <c r="R1777" s="195">
        <f>Q1777/L1777</f>
        <v>2.6276147578534723</v>
      </c>
      <c r="S1777" s="197">
        <f>(Q1777+K1777)/H1777</f>
        <v>6.3756687854167353</v>
      </c>
      <c r="T1777" s="180"/>
      <c r="U1777" s="189">
        <f>IFERROR(IF(Tableau3[[#This Row],[Dettes]]=0,"",(Tableau3[[#This Row],[Dettes]]/Tableau3[[#This Row],[EBE]])),"")</f>
        <v>0.59017895824307665</v>
      </c>
      <c r="V1777" s="190" t="str">
        <f>IFERROR(Tableau3[[#This Row],[Fonds propres]]/Tableau3[[#This Row],[Total Bilan]],"")</f>
        <v/>
      </c>
      <c r="W1777" s="180"/>
      <c r="Y1777" s="180"/>
      <c r="Z1777" s="192" t="str">
        <f>IFERROR(Tableau3[[#This Row],[Chiffre d''affaires]]/Tableau3[[#This Row],[Salariés]],"")</f>
        <v/>
      </c>
      <c r="AA1777" s="177"/>
      <c r="AC1777" s="177" t="s">
        <v>572</v>
      </c>
    </row>
    <row r="1778" spans="1:29" ht="20.25" customHeight="1">
      <c r="A1778" s="217"/>
      <c r="G1778" s="202">
        <f>(G1777/G1779)-1</f>
        <v>0.13697157281260774</v>
      </c>
      <c r="H1778" s="202">
        <f>(H1777/H1779)-1</f>
        <v>0.16899762359266046</v>
      </c>
      <c r="I1778" s="202">
        <f>(I1777/I1779)-1</f>
        <v>0.2304472614207127</v>
      </c>
      <c r="J1778" s="202">
        <f>(J1777/J1779)-1</f>
        <v>0.14813723426647019</v>
      </c>
      <c r="K1778" s="178"/>
      <c r="L1778" s="178"/>
      <c r="M1778" s="178"/>
      <c r="N1778" s="178"/>
      <c r="O1778" s="178"/>
      <c r="P1778" s="178"/>
      <c r="Q1778" s="178"/>
      <c r="R1778" s="178"/>
      <c r="S1778" s="178"/>
      <c r="T1778" s="180"/>
      <c r="U1778" s="189" t="str">
        <f>IFERROR(IF(Tableau3[[#This Row],[Dettes]]=0,"",(Tableau3[[#This Row],[Dettes]]/Tableau3[[#This Row],[EBE]])),"")</f>
        <v/>
      </c>
      <c r="V1778" s="190" t="str">
        <f>IFERROR(Tableau3[[#This Row],[Fonds propres]]/Tableau3[[#This Row],[Total Bilan]],"")</f>
        <v/>
      </c>
      <c r="W1778" s="180"/>
      <c r="Y1778" s="180"/>
      <c r="Z1778" s="192" t="str">
        <f>IFERROR(Tableau3[[#This Row],[Chiffre d''affaires]]/Tableau3[[#This Row],[Salariés]],"")</f>
        <v/>
      </c>
      <c r="AA1778" s="177"/>
      <c r="AC1778" s="177" t="s">
        <v>1221</v>
      </c>
    </row>
    <row r="1779" spans="1:29" ht="20.25" customHeight="1">
      <c r="A1779" s="217"/>
      <c r="E1779" s="178">
        <v>160.80000000000001</v>
      </c>
      <c r="F1779" s="178">
        <v>2014</v>
      </c>
      <c r="G1779" s="188">
        <v>34505700000</v>
      </c>
      <c r="H1779" s="188">
        <v>5133800000</v>
      </c>
      <c r="I1779" s="188">
        <v>3344800000</v>
      </c>
      <c r="J1779" s="188">
        <v>2375500000</v>
      </c>
      <c r="K1779" s="188">
        <v>2823500000</v>
      </c>
      <c r="L1779" s="242">
        <v>11024600000</v>
      </c>
      <c r="M1779" s="194">
        <f>L1779/P1779</f>
        <v>55.121351044783495</v>
      </c>
      <c r="N1779" s="190">
        <f>J1779/L1779</f>
        <v>0.21547267021025707</v>
      </c>
      <c r="O1779" s="190">
        <f>(I1779*0.7)/(K1779+L1779)</f>
        <v>0.16907445786786635</v>
      </c>
      <c r="P1779" s="188">
        <v>200005983</v>
      </c>
      <c r="Q1779" s="188">
        <f>P1779*E1779</f>
        <v>32160962066.400002</v>
      </c>
      <c r="R1779" s="195">
        <f>Q1779/L1779</f>
        <v>2.9171999044319068</v>
      </c>
      <c r="S1779" s="197">
        <f>(Q1779+K1779)/H1779</f>
        <v>6.8145354447777482</v>
      </c>
      <c r="T1779" s="180"/>
      <c r="U1779" s="189">
        <f>IFERROR(IF(Tableau3[[#This Row],[Dettes]]=0,"",(Tableau3[[#This Row],[Dettes]]/Tableau3[[#This Row],[EBE]])),"")</f>
        <v>0.54998246912618332</v>
      </c>
      <c r="V1779" s="190" t="str">
        <f>IFERROR(Tableau3[[#This Row],[Fonds propres]]/Tableau3[[#This Row],[Total Bilan]],"")</f>
        <v/>
      </c>
      <c r="W1779" s="180"/>
      <c r="Y1779" s="180"/>
      <c r="Z1779" s="192" t="str">
        <f>IFERROR(Tableau3[[#This Row],[Chiffre d''affaires]]/Tableau3[[#This Row],[Salariés]],"")</f>
        <v/>
      </c>
      <c r="AA1779" s="177"/>
      <c r="AC1779" s="177" t="s">
        <v>1222</v>
      </c>
    </row>
    <row r="1780" spans="1:29" ht="20.25" customHeight="1">
      <c r="A1780" s="217"/>
      <c r="E1780" s="187"/>
      <c r="G1780" s="188"/>
      <c r="H1780" s="188"/>
      <c r="I1780" s="188"/>
      <c r="J1780" s="188"/>
      <c r="K1780" s="188"/>
      <c r="L1780" s="188"/>
      <c r="M1780" s="194"/>
      <c r="N1780" s="190"/>
      <c r="O1780" s="190"/>
      <c r="P1780" s="188"/>
      <c r="Q1780" s="188"/>
      <c r="R1780" s="195"/>
      <c r="S1780" s="197"/>
      <c r="T1780" s="180"/>
      <c r="U1780" s="189" t="str">
        <f>IFERROR(IF(Tableau3[[#This Row],[Dettes]]=0,"",(Tableau3[[#This Row],[Dettes]]/Tableau3[[#This Row],[EBE]])),"")</f>
        <v/>
      </c>
      <c r="V1780" s="190" t="str">
        <f>IFERROR(Tableau3[[#This Row],[Fonds propres]]/Tableau3[[#This Row],[Total Bilan]],"")</f>
        <v/>
      </c>
      <c r="W1780" s="180"/>
      <c r="X1780" s="191"/>
      <c r="Y1780" s="197"/>
      <c r="Z1780" s="192" t="str">
        <f>IFERROR(Tableau3[[#This Row],[Chiffre d''affaires]]/Tableau3[[#This Row],[Salariés]],"")</f>
        <v/>
      </c>
      <c r="AA1780" s="197"/>
      <c r="AB1780" s="197"/>
    </row>
    <row r="1781" spans="1:29" ht="20.25" customHeight="1">
      <c r="A1781" s="217"/>
      <c r="G1781" s="188"/>
      <c r="H1781" s="178"/>
      <c r="I1781" s="178"/>
      <c r="J1781" s="178"/>
      <c r="K1781" s="178"/>
      <c r="L1781" s="178"/>
      <c r="M1781" s="178"/>
      <c r="N1781" s="178"/>
      <c r="O1781" s="178"/>
      <c r="P1781" s="178"/>
      <c r="Q1781" s="178"/>
      <c r="R1781" s="178"/>
      <c r="S1781" s="178"/>
      <c r="T1781" s="180"/>
      <c r="U1781" s="189" t="str">
        <f>IFERROR(IF(Tableau3[[#This Row],[Dettes]]=0,"",(Tableau3[[#This Row],[Dettes]]/Tableau3[[#This Row],[EBE]])),"")</f>
        <v/>
      </c>
      <c r="V1781" s="190" t="str">
        <f>IFERROR(Tableau3[[#This Row],[Fonds propres]]/Tableau3[[#This Row],[Total Bilan]],"")</f>
        <v/>
      </c>
      <c r="W1781" s="180"/>
      <c r="Y1781" s="180"/>
      <c r="Z1781" s="192" t="str">
        <f>IFERROR(Tableau3[[#This Row],[Chiffre d''affaires]]/Tableau3[[#This Row],[Salariés]],"")</f>
        <v/>
      </c>
      <c r="AA1781" s="177"/>
    </row>
    <row r="1782" spans="1:29" ht="20.25" customHeight="1">
      <c r="A1782" s="217"/>
      <c r="G1782" s="188"/>
      <c r="H1782" s="178"/>
      <c r="I1782" s="178"/>
      <c r="J1782" s="178"/>
      <c r="K1782" s="178"/>
      <c r="L1782" s="178"/>
      <c r="M1782" s="178"/>
      <c r="N1782" s="178"/>
      <c r="O1782" s="178"/>
      <c r="P1782" s="178"/>
      <c r="Q1782" s="178"/>
      <c r="R1782" s="178"/>
      <c r="S1782" s="178"/>
      <c r="T1782" s="180"/>
      <c r="U1782" s="189" t="str">
        <f>IFERROR(IF(Tableau3[[#This Row],[Dettes]]=0,"",(Tableau3[[#This Row],[Dettes]]/Tableau3[[#This Row],[EBE]])),"")</f>
        <v/>
      </c>
      <c r="V1782" s="190" t="str">
        <f>IFERROR(Tableau3[[#This Row],[Fonds propres]]/Tableau3[[#This Row],[Total Bilan]],"")</f>
        <v/>
      </c>
      <c r="W1782" s="180"/>
      <c r="Y1782" s="180"/>
      <c r="Z1782" s="192" t="str">
        <f>IFERROR(Tableau3[[#This Row],[Chiffre d''affaires]]/Tableau3[[#This Row],[Salariés]],"")</f>
        <v/>
      </c>
      <c r="AA1782" s="177"/>
    </row>
    <row r="1783" spans="1:29" ht="20.25" customHeight="1">
      <c r="A1783" s="217"/>
      <c r="G1783" s="188"/>
      <c r="H1783" s="178"/>
      <c r="I1783" s="178"/>
      <c r="J1783" s="178"/>
      <c r="K1783" s="178"/>
      <c r="L1783" s="178"/>
      <c r="M1783" s="178"/>
      <c r="N1783" s="178"/>
      <c r="O1783" s="178"/>
      <c r="P1783" s="178"/>
      <c r="Q1783" s="178"/>
      <c r="R1783" s="178"/>
      <c r="S1783" s="178"/>
      <c r="T1783" s="180"/>
      <c r="U1783" s="189" t="str">
        <f>IFERROR(IF(Tableau3[[#This Row],[Dettes]]=0,"",(Tableau3[[#This Row],[Dettes]]/Tableau3[[#This Row],[EBE]])),"")</f>
        <v/>
      </c>
      <c r="V1783" s="190" t="str">
        <f>IFERROR(Tableau3[[#This Row],[Fonds propres]]/Tableau3[[#This Row],[Total Bilan]],"")</f>
        <v/>
      </c>
      <c r="W1783" s="180"/>
      <c r="Y1783" s="180"/>
      <c r="Z1783" s="192" t="str">
        <f>IFERROR(Tableau3[[#This Row],[Chiffre d''affaires]]/Tableau3[[#This Row],[Salariés]],"")</f>
        <v/>
      </c>
      <c r="AA1783" s="177"/>
    </row>
    <row r="1784" spans="1:29" ht="20.25" customHeight="1">
      <c r="A1784" s="217" t="s">
        <v>1223</v>
      </c>
      <c r="B1784" s="216" t="s">
        <v>1224</v>
      </c>
      <c r="C1784" s="178" t="s">
        <v>84</v>
      </c>
      <c r="D1784" s="178" t="s">
        <v>85</v>
      </c>
      <c r="E1784" s="187">
        <v>9.1999999999999993</v>
      </c>
      <c r="F1784" s="178">
        <v>2025</v>
      </c>
      <c r="G1784" s="188">
        <f>G1786*1</f>
        <v>21492000000</v>
      </c>
      <c r="H1784" s="211">
        <f>Tableau3[[#This Row],[Chiffre d''affaires]]*0.135</f>
        <v>2901420000</v>
      </c>
      <c r="I1784" s="211">
        <f>Tableau3[[#This Row],[Chiffre d''affaires]]*0.045</f>
        <v>967140000</v>
      </c>
      <c r="J1784" s="188">
        <v>350000000</v>
      </c>
      <c r="K1784" s="188">
        <v>3500000000</v>
      </c>
      <c r="L1784" s="188">
        <v>4000000000</v>
      </c>
      <c r="M1784" s="194">
        <f>L1784/P1784</f>
        <v>16.462509597643095</v>
      </c>
      <c r="N1784" s="190">
        <f>J1784/L1784</f>
        <v>8.7499999999999994E-2</v>
      </c>
      <c r="O1784" s="190">
        <f>(I1784*0.64)/(K1784+(M1784*P1784))</f>
        <v>8.2529279999999997E-2</v>
      </c>
      <c r="P1784" s="188">
        <v>242976320</v>
      </c>
      <c r="Q1784" s="188">
        <f>P1784*E1784</f>
        <v>2235382144</v>
      </c>
      <c r="R1784" s="195">
        <f>Q1784/L1784</f>
        <v>0.55884553599999998</v>
      </c>
      <c r="S1784" s="197">
        <f>(Q1784+K1784)/H1784</f>
        <v>1.9767500548007528</v>
      </c>
      <c r="T1784" s="180">
        <v>450000000</v>
      </c>
      <c r="U1784" s="189">
        <f>IFERROR(IF(Tableau3[[#This Row],[Dettes]]=0,"",(Tableau3[[#This Row],[Dettes]]/Tableau3[[#This Row],[EBE]])),"")</f>
        <v>1.2063058778115543</v>
      </c>
      <c r="V1784" s="190" t="str">
        <f>IFERROR(Tableau3[[#This Row],[Fonds propres]]/Tableau3[[#This Row],[Total Bilan]],"")</f>
        <v/>
      </c>
      <c r="W1784" s="180"/>
      <c r="X1784" s="191" t="s">
        <v>1226</v>
      </c>
      <c r="Y1784" s="180"/>
      <c r="Z1784" s="192" t="str">
        <f>IFERROR(Tableau3[[#This Row],[Chiffre d''affaires]]/Tableau3[[#This Row],[Salariés]],"")</f>
        <v/>
      </c>
      <c r="AA1784" s="178" t="s">
        <v>101</v>
      </c>
      <c r="AC1784" s="177" t="s">
        <v>4579</v>
      </c>
    </row>
    <row r="1785" spans="1:29" ht="20.25" customHeight="1">
      <c r="A1785" s="217"/>
      <c r="G1785" s="202">
        <f>(G1784/G1786)-1</f>
        <v>0</v>
      </c>
      <c r="H1785" s="203">
        <f>(H1784/H1786)-1</f>
        <v>1.341949004540699E-2</v>
      </c>
      <c r="I1785" s="203">
        <f>(I1784/I1786)-1</f>
        <v>0.56495145631067967</v>
      </c>
      <c r="J1785" s="203">
        <f>(J1784/J1786)-1</f>
        <v>1.1604938271604937</v>
      </c>
      <c r="K1785" s="178"/>
      <c r="L1785" s="178"/>
      <c r="M1785" s="178"/>
      <c r="N1785" s="178"/>
      <c r="O1785" s="178"/>
      <c r="P1785" s="178"/>
      <c r="Q1785" s="178"/>
      <c r="R1785" s="178"/>
      <c r="S1785" s="178"/>
      <c r="T1785" s="180"/>
      <c r="U1785" s="189" t="str">
        <f>IFERROR(IF(Tableau3[[#This Row],[Dettes]]=0,"",(Tableau3[[#This Row],[Dettes]]/Tableau3[[#This Row],[EBE]])),"")</f>
        <v/>
      </c>
      <c r="V1785" s="190" t="str">
        <f>IFERROR(Tableau3[[#This Row],[Fonds propres]]/Tableau3[[#This Row],[Total Bilan]],"")</f>
        <v/>
      </c>
      <c r="W1785" s="180"/>
      <c r="Y1785" s="180"/>
      <c r="Z1785" s="192" t="str">
        <f>IFERROR(Tableau3[[#This Row],[Chiffre d''affaires]]/Tableau3[[#This Row],[Salariés]],"")</f>
        <v/>
      </c>
      <c r="AA1785" s="178" t="s">
        <v>53</v>
      </c>
      <c r="AC1785" s="177" t="s">
        <v>5246</v>
      </c>
    </row>
    <row r="1786" spans="1:29" ht="20.25" customHeight="1">
      <c r="A1786" s="217"/>
      <c r="E1786" s="187">
        <v>9.31</v>
      </c>
      <c r="F1786" s="178">
        <v>2024</v>
      </c>
      <c r="G1786" s="188">
        <v>21492000000</v>
      </c>
      <c r="H1786" s="211">
        <v>2863000000</v>
      </c>
      <c r="I1786" s="188">
        <v>618000000</v>
      </c>
      <c r="J1786" s="188">
        <v>162000000</v>
      </c>
      <c r="K1786" s="188">
        <v>3813000000</v>
      </c>
      <c r="L1786" s="188">
        <v>3719000000</v>
      </c>
      <c r="M1786" s="194">
        <f>L1786/P1786</f>
        <v>15.306018298408668</v>
      </c>
      <c r="N1786" s="190">
        <f>J1786/L1786</f>
        <v>4.3560096800215109E-2</v>
      </c>
      <c r="O1786" s="190">
        <f>(I1786*0.64)/(K1786+(M1786*P1786))</f>
        <v>5.2511949017525227E-2</v>
      </c>
      <c r="P1786" s="188">
        <v>242976320</v>
      </c>
      <c r="Q1786" s="188">
        <f>P1786*E1786</f>
        <v>2262109539.2000003</v>
      </c>
      <c r="R1786" s="195">
        <f>Q1786/L1786</f>
        <v>0.60825747222371618</v>
      </c>
      <c r="S1786" s="197">
        <f>(Q1786+K1786)/H1786</f>
        <v>2.1219383650716033</v>
      </c>
      <c r="T1786" s="180">
        <v>481000000</v>
      </c>
      <c r="U1786" s="189">
        <f>IFERROR(IF(Tableau3[[#This Row],[Dettes]]=0,"",(Tableau3[[#This Row],[Dettes]]/Tableau3[[#This Row],[EBE]])),"")</f>
        <v>1.3318197694725813</v>
      </c>
      <c r="V1786" s="190">
        <f>IFERROR(Tableau3[[#This Row],[Fonds propres]]/Tableau3[[#This Row],[Total Bilan]],"")</f>
        <v>0.17171483978206667</v>
      </c>
      <c r="W1786" s="180">
        <v>21658000000</v>
      </c>
      <c r="Y1786" s="180">
        <v>112700</v>
      </c>
      <c r="Z1786" s="192">
        <f>IFERROR(Tableau3[[#This Row],[Chiffre d''affaires]]/Tableau3[[#This Row],[Salariés]],"")</f>
        <v>190700.97604259095</v>
      </c>
      <c r="AA1786" s="197" t="s">
        <v>55</v>
      </c>
      <c r="AC1786" s="177" t="s">
        <v>1227</v>
      </c>
    </row>
    <row r="1787" spans="1:29" ht="20.25" customHeight="1">
      <c r="A1787" s="217"/>
      <c r="G1787" s="202">
        <f>(G1786/G1788)-1</f>
        <v>-2.5040827436036972E-2</v>
      </c>
      <c r="H1787" s="203">
        <f>(H1786/H1788)-1</f>
        <v>8.1601813373630483E-2</v>
      </c>
      <c r="I1787" s="203">
        <f>(I1786/I1788)-1</f>
        <v>-0.16935483870967738</v>
      </c>
      <c r="J1787" s="203">
        <f>(J1786/J1788)-1</f>
        <v>-0.26696832579185525</v>
      </c>
      <c r="K1787" s="178"/>
      <c r="L1787" s="178"/>
      <c r="M1787" s="178"/>
      <c r="N1787" s="178"/>
      <c r="O1787" s="178"/>
      <c r="P1787" s="178"/>
      <c r="Q1787" s="178"/>
      <c r="R1787" s="178"/>
      <c r="S1787" s="178"/>
      <c r="T1787" s="180"/>
      <c r="U1787" s="189" t="str">
        <f>IFERROR(IF(Tableau3[[#This Row],[Dettes]]=0,"",(Tableau3[[#This Row],[Dettes]]/Tableau3[[#This Row],[EBE]])),"")</f>
        <v/>
      </c>
      <c r="V1787" s="190" t="str">
        <f>IFERROR(Tableau3[[#This Row],[Fonds propres]]/Tableau3[[#This Row],[Total Bilan]],"")</f>
        <v/>
      </c>
      <c r="W1787" s="180"/>
      <c r="X1787" s="252"/>
      <c r="Y1787" s="180"/>
      <c r="Z1787" s="192" t="str">
        <f>IFERROR(Tableau3[[#This Row],[Chiffre d''affaires]]/Tableau3[[#This Row],[Salariés]],"")</f>
        <v/>
      </c>
      <c r="AC1787" s="177" t="s">
        <v>1228</v>
      </c>
    </row>
    <row r="1788" spans="1:29" ht="20.25" customHeight="1">
      <c r="A1788" s="217"/>
      <c r="E1788" s="187">
        <v>13.92</v>
      </c>
      <c r="F1788" s="178">
        <v>2023</v>
      </c>
      <c r="G1788" s="188">
        <v>22044000000</v>
      </c>
      <c r="H1788" s="188">
        <v>2647000000</v>
      </c>
      <c r="I1788" s="188">
        <v>744000000</v>
      </c>
      <c r="J1788" s="211">
        <v>221000000</v>
      </c>
      <c r="K1788" s="188">
        <v>4028000000</v>
      </c>
      <c r="L1788" s="188">
        <v>3575000000</v>
      </c>
      <c r="M1788" s="194">
        <f>L1788/P1788</f>
        <v>14.656376897960325</v>
      </c>
      <c r="N1788" s="190">
        <f>J1788/L1788</f>
        <v>6.1818181818181821E-2</v>
      </c>
      <c r="O1788" s="190">
        <f>(I1788*0.64)/(K1788+(M1788*P1788))</f>
        <v>6.2627910035512296E-2</v>
      </c>
      <c r="P1788" s="188">
        <v>243921129</v>
      </c>
      <c r="Q1788" s="188">
        <f>P1788*E1788</f>
        <v>3395382115.6799998</v>
      </c>
      <c r="R1788" s="195">
        <f>Q1788/L1788</f>
        <v>0.94975723515524468</v>
      </c>
      <c r="S1788" s="197">
        <f>(Q1788+K1788)/H1788</f>
        <v>2.8044511203928977</v>
      </c>
      <c r="T1788" s="180">
        <v>379000000</v>
      </c>
      <c r="U1788" s="189">
        <f>IFERROR(IF(Tableau3[[#This Row],[Dettes]]=0,"",(Tableau3[[#This Row],[Dettes]]/Tableau3[[#This Row],[EBE]])),"")</f>
        <v>1.521722704948999</v>
      </c>
      <c r="V1788" s="190">
        <f>IFERROR(Tableau3[[#This Row],[Fonds propres]]/Tableau3[[#This Row],[Total Bilan]],"")</f>
        <v>0.16432248575105718</v>
      </c>
      <c r="W1788" s="180">
        <v>21756000000</v>
      </c>
      <c r="Y1788" s="180">
        <v>112700</v>
      </c>
      <c r="Z1788" s="192">
        <f>IFERROR(Tableau3[[#This Row],[Chiffre d''affaires]]/Tableau3[[#This Row],[Salariés]],"")</f>
        <v>195598.93522626441</v>
      </c>
      <c r="AC1788" s="177" t="s">
        <v>1230</v>
      </c>
    </row>
    <row r="1789" spans="1:29" ht="20.25" customHeight="1">
      <c r="A1789" s="217"/>
      <c r="G1789" s="202">
        <f>(G1788/G1790)-1</f>
        <v>0.10016469531366967</v>
      </c>
      <c r="H1789" s="203">
        <f>(H1788/H1790)-1</f>
        <v>0.10245730945439391</v>
      </c>
      <c r="I1789" s="203">
        <f>(I1788/I1790)-1</f>
        <v>0.17165354330708671</v>
      </c>
      <c r="J1789" s="203">
        <f>(J1788/J1790)-1</f>
        <v>-3.9130434782608692E-2</v>
      </c>
      <c r="K1789" s="178"/>
      <c r="L1789" s="178"/>
      <c r="M1789" s="178"/>
      <c r="N1789" s="178"/>
      <c r="O1789" s="178"/>
      <c r="P1789" s="178"/>
      <c r="Q1789" s="178"/>
      <c r="R1789" s="178"/>
      <c r="S1789" s="178"/>
      <c r="T1789" s="180"/>
      <c r="U1789" s="189" t="str">
        <f>IFERROR(IF(Tableau3[[#This Row],[Dettes]]=0,"",(Tableau3[[#This Row],[Dettes]]/Tableau3[[#This Row],[EBE]])),"")</f>
        <v/>
      </c>
      <c r="V1789" s="190" t="str">
        <f>IFERROR(Tableau3[[#This Row],[Fonds propres]]/Tableau3[[#This Row],[Total Bilan]],"")</f>
        <v/>
      </c>
      <c r="W1789" s="180"/>
      <c r="Y1789" s="180"/>
      <c r="Z1789" s="192" t="str">
        <f>IFERROR(Tableau3[[#This Row],[Chiffre d''affaires]]/Tableau3[[#This Row],[Salariés]],"")</f>
        <v/>
      </c>
      <c r="AC1789" s="177" t="s">
        <v>4916</v>
      </c>
    </row>
    <row r="1790" spans="1:29" ht="20.25" customHeight="1">
      <c r="A1790" s="217"/>
      <c r="E1790" s="187">
        <v>16.7</v>
      </c>
      <c r="F1790" s="178">
        <v>2022</v>
      </c>
      <c r="G1790" s="188">
        <v>20037000000</v>
      </c>
      <c r="H1790" s="188">
        <v>2401000000</v>
      </c>
      <c r="I1790" s="188">
        <v>635000000</v>
      </c>
      <c r="J1790" s="188">
        <v>230000000</v>
      </c>
      <c r="K1790" s="188">
        <v>4002000000</v>
      </c>
      <c r="L1790" s="188">
        <v>3822000000</v>
      </c>
      <c r="M1790" s="194">
        <f>L1790/P1790</f>
        <v>15.851267367511388</v>
      </c>
      <c r="N1790" s="190">
        <f>J1790/L1790</f>
        <v>6.0177917320774467E-2</v>
      </c>
      <c r="O1790" s="190">
        <f>(I1790*0.64)/(K1790+(M1790*P1790))</f>
        <v>5.1942740286298569E-2</v>
      </c>
      <c r="P1790" s="188">
        <v>241116367</v>
      </c>
      <c r="Q1790" s="188">
        <f>P1790*E1790</f>
        <v>4026643328.8999996</v>
      </c>
      <c r="R1790" s="195">
        <f>Q1790/L1790</f>
        <v>1.05354351881214</v>
      </c>
      <c r="S1790" s="197">
        <f>(Q1790+K1790)/H1790</f>
        <v>3.3438747725531028</v>
      </c>
      <c r="T1790" s="180">
        <v>388000000</v>
      </c>
      <c r="U1790" s="189">
        <f>IFERROR(IF(Tableau3[[#This Row],[Dettes]]=0,"",(Tableau3[[#This Row],[Dettes]]/Tableau3[[#This Row],[EBE]])),"")</f>
        <v>1.6668054977092879</v>
      </c>
      <c r="V1790" s="190">
        <f>IFERROR(Tableau3[[#This Row],[Fonds propres]]/Tableau3[[#This Row],[Total Bilan]],"")</f>
        <v>0.17349069450748977</v>
      </c>
      <c r="W1790" s="180">
        <v>22030000000</v>
      </c>
      <c r="Y1790" s="180">
        <v>109900</v>
      </c>
      <c r="Z1790" s="192">
        <f>IFERROR(Tableau3[[#This Row],[Chiffre d''affaires]]/Tableau3[[#This Row],[Salariés]],"")</f>
        <v>182320.29117379437</v>
      </c>
      <c r="AC1790" s="177" t="s">
        <v>1229</v>
      </c>
    </row>
    <row r="1791" spans="1:29" ht="20.25" customHeight="1">
      <c r="A1791" s="217"/>
      <c r="G1791" s="202">
        <f>(G1790/G1792)-1</f>
        <v>0.16075773375043445</v>
      </c>
      <c r="H1791" s="203">
        <f>(H1790/H1792)-1</f>
        <v>4.0294627383015591E-2</v>
      </c>
      <c r="I1791" s="203">
        <f>(I1790/I1792)-1</f>
        <v>0.56403940886699511</v>
      </c>
      <c r="J1791" s="203">
        <f>(J1790/J1792)-1</f>
        <v>0.31428571428571428</v>
      </c>
      <c r="K1791" s="178"/>
      <c r="L1791" s="178"/>
      <c r="M1791" s="178"/>
      <c r="N1791" s="178"/>
      <c r="O1791" s="178"/>
      <c r="P1791" s="178"/>
      <c r="Q1791" s="178"/>
      <c r="R1791" s="178"/>
      <c r="S1791" s="178"/>
      <c r="T1791" s="180"/>
      <c r="U1791" s="189" t="str">
        <f>IFERROR(IF(Tableau3[[#This Row],[Dettes]]=0,"",(Tableau3[[#This Row],[Dettes]]/Tableau3[[#This Row],[EBE]])),"")</f>
        <v/>
      </c>
      <c r="V1791" s="190" t="str">
        <f>IFERROR(Tableau3[[#This Row],[Fonds propres]]/Tableau3[[#This Row],[Total Bilan]],"")</f>
        <v/>
      </c>
      <c r="W1791" s="180"/>
      <c r="Y1791" s="180"/>
      <c r="Z1791" s="192" t="str">
        <f>IFERROR(Tableau3[[#This Row],[Chiffre d''affaires]]/Tableau3[[#This Row],[Salariés]],"")</f>
        <v/>
      </c>
      <c r="AC1791" s="6" t="s">
        <v>4917</v>
      </c>
    </row>
    <row r="1792" spans="1:29" ht="20.25" customHeight="1">
      <c r="A1792" s="217"/>
      <c r="E1792" s="187">
        <v>26.58</v>
      </c>
      <c r="F1792" s="178">
        <v>2021</v>
      </c>
      <c r="G1792" s="188">
        <v>17262000000</v>
      </c>
      <c r="H1792" s="188">
        <v>2308000000</v>
      </c>
      <c r="I1792" s="188">
        <v>406000000</v>
      </c>
      <c r="J1792" s="188">
        <v>175000000</v>
      </c>
      <c r="K1792" s="188">
        <v>3104000000</v>
      </c>
      <c r="L1792" s="188">
        <v>3695000000</v>
      </c>
      <c r="M1792" s="194">
        <f>L1792/P1792</f>
        <v>15.379766731852181</v>
      </c>
      <c r="N1792" s="190">
        <f>J1792/L1792</f>
        <v>4.7361299052774017E-2</v>
      </c>
      <c r="O1792" s="190">
        <f>(I1792*0.64)/(K1792+(M1792*P1792))</f>
        <v>3.8217384909545522E-2</v>
      </c>
      <c r="P1792" s="188">
        <v>240250718</v>
      </c>
      <c r="Q1792" s="188">
        <f>P1792*E1792</f>
        <v>6385864084.4399996</v>
      </c>
      <c r="R1792" s="195">
        <f>Q1792/L1792</f>
        <v>1.7282446777916101</v>
      </c>
      <c r="S1792" s="197">
        <f>(Q1792+K1792)/H1792</f>
        <v>4.1117262064298084</v>
      </c>
      <c r="T1792" s="180">
        <v>292000000</v>
      </c>
      <c r="U1792" s="189">
        <f>IFERROR(IF(Tableau3[[#This Row],[Dettes]]=0,"",(Tableau3[[#This Row],[Dettes]]/Tableau3[[#This Row],[EBE]])),"")</f>
        <v>1.3448873483535528</v>
      </c>
      <c r="V1792" s="190">
        <f>IFERROR(Tableau3[[#This Row],[Fonds propres]]/Tableau3[[#This Row],[Total Bilan]],"")</f>
        <v>0.19612526539278133</v>
      </c>
      <c r="W1792" s="180">
        <v>18840000000</v>
      </c>
      <c r="Y1792" s="180">
        <v>72389</v>
      </c>
      <c r="Z1792" s="192">
        <f>IFERROR(Tableau3[[#This Row],[Chiffre d''affaires]]/Tableau3[[#This Row],[Salariés]],"")</f>
        <v>238461.64472502729</v>
      </c>
      <c r="AB1792" s="197"/>
      <c r="AC1792" s="177" t="s">
        <v>4581</v>
      </c>
    </row>
    <row r="1793" spans="1:29" ht="20.25" customHeight="1">
      <c r="A1793" s="217"/>
      <c r="E1793" s="187"/>
      <c r="G1793" s="202">
        <f>(G1792/G1794)-1</f>
        <v>5.0255536626916619E-2</v>
      </c>
      <c r="H1793" s="203">
        <f>(H1792/H1794)-1</f>
        <v>0.53355481727574761</v>
      </c>
      <c r="I1793" s="203">
        <f>(I1792/I1794)-1</f>
        <v>-1.4737456242707117</v>
      </c>
      <c r="J1793" s="203">
        <f>(J1792/J1794)-1</f>
        <v>-1.1606978879706151</v>
      </c>
      <c r="K1793" s="188"/>
      <c r="L1793" s="188"/>
      <c r="M1793" s="194"/>
      <c r="N1793" s="190"/>
      <c r="O1793" s="190"/>
      <c r="P1793" s="188"/>
      <c r="Q1793" s="188"/>
      <c r="R1793" s="195"/>
      <c r="S1793" s="197"/>
      <c r="T1793" s="180"/>
      <c r="U1793" s="189" t="str">
        <f>IFERROR(IF(Tableau3[[#This Row],[Dettes]]=0,"",(Tableau3[[#This Row],[Dettes]]/Tableau3[[#This Row],[EBE]])),"")</f>
        <v/>
      </c>
      <c r="V1793" s="190" t="str">
        <f>IFERROR(Tableau3[[#This Row],[Fonds propres]]/Tableau3[[#This Row],[Total Bilan]],"")</f>
        <v/>
      </c>
      <c r="W1793" s="180"/>
      <c r="Y1793" s="180"/>
      <c r="Z1793" s="192" t="str">
        <f>IFERROR(Tableau3[[#This Row],[Chiffre d''affaires]]/Tableau3[[#This Row],[Salariés]],"")</f>
        <v/>
      </c>
      <c r="AA1793" s="230"/>
      <c r="AB1793" s="230"/>
      <c r="AC1793" s="216" t="s">
        <v>4582</v>
      </c>
    </row>
    <row r="1794" spans="1:29" ht="20.25" customHeight="1">
      <c r="A1794" s="217"/>
      <c r="E1794" s="187">
        <v>29</v>
      </c>
      <c r="F1794" s="178">
        <v>2020</v>
      </c>
      <c r="G1794" s="188">
        <v>16436000000</v>
      </c>
      <c r="H1794" s="188">
        <v>1505000000</v>
      </c>
      <c r="I1794" s="188">
        <v>-857000000</v>
      </c>
      <c r="J1794" s="188">
        <v>-1089000000</v>
      </c>
      <c r="K1794" s="188">
        <v>2944000000</v>
      </c>
      <c r="L1794" s="188">
        <v>3243000000</v>
      </c>
      <c r="M1794" s="194">
        <f>L1794/P1794</f>
        <v>13.498398785222362</v>
      </c>
      <c r="N1794" s="190">
        <f>J1794/L1794</f>
        <v>-0.33580018501387604</v>
      </c>
      <c r="O1794" s="190">
        <f>(I1794*0.64)/(K1794+(M1794*P1794))</f>
        <v>-8.8650395991595285E-2</v>
      </c>
      <c r="P1794" s="188">
        <v>240250718</v>
      </c>
      <c r="Q1794" s="188">
        <f>P1794*E1794</f>
        <v>6967270822</v>
      </c>
      <c r="R1794" s="195">
        <f>Q1794/L1794</f>
        <v>2.1484029670058589</v>
      </c>
      <c r="S1794" s="197">
        <f>(Q1794+K1794)/H1794</f>
        <v>6.5855620079734223</v>
      </c>
      <c r="T1794" s="180">
        <v>294000000</v>
      </c>
      <c r="U1794" s="189">
        <f>IFERROR(IF(Tableau3[[#This Row],[Dettes]]=0,"",(Tableau3[[#This Row],[Dettes]]/Tableau3[[#This Row],[EBE]])),"")</f>
        <v>1.9561461794019934</v>
      </c>
      <c r="V1794" s="190">
        <f>IFERROR(Tableau3[[#This Row],[Fonds propres]]/Tableau3[[#This Row],[Total Bilan]],"")</f>
        <v>0.17204244031830238</v>
      </c>
      <c r="W1794" s="180">
        <v>18850000000</v>
      </c>
      <c r="X1794" s="191"/>
      <c r="Y1794" s="180">
        <v>72389</v>
      </c>
      <c r="Z1794" s="192">
        <f>IFERROR(Tableau3[[#This Row],[Chiffre d''affaires]]/Tableau3[[#This Row],[Salariés]],"")</f>
        <v>227051.07129536255</v>
      </c>
      <c r="AA1794" s="197"/>
      <c r="AB1794" s="197"/>
      <c r="AC1794" s="216" t="s">
        <v>4976</v>
      </c>
    </row>
    <row r="1795" spans="1:29" ht="20.25" customHeight="1">
      <c r="A1795" s="217"/>
      <c r="E1795" s="187"/>
      <c r="G1795" s="202">
        <f>(G1794/G1796)-1</f>
        <v>-0.15613287467269088</v>
      </c>
      <c r="H1795" s="203">
        <f>(H1794/H1796)-1</f>
        <v>-0.39703525641025639</v>
      </c>
      <c r="I1795" s="203">
        <f>(I1794/I1796)-1</f>
        <v>-2.0752823086574654</v>
      </c>
      <c r="J1795" s="203">
        <f>(J1794/J1796)-1</f>
        <v>-4.47923322683706</v>
      </c>
      <c r="K1795" s="188"/>
      <c r="L1795" s="188"/>
      <c r="M1795" s="194"/>
      <c r="N1795" s="190"/>
      <c r="O1795" s="190"/>
      <c r="P1795" s="188"/>
      <c r="Q1795" s="188"/>
      <c r="R1795" s="195"/>
      <c r="S1795" s="197"/>
      <c r="T1795" s="180"/>
      <c r="U1795" s="189" t="str">
        <f>IFERROR(IF(Tableau3[[#This Row],[Dettes]]=0,"",(Tableau3[[#This Row],[Dettes]]/Tableau3[[#This Row],[EBE]])),"")</f>
        <v/>
      </c>
      <c r="V1795" s="190" t="str">
        <f>IFERROR(Tableau3[[#This Row],[Fonds propres]]/Tableau3[[#This Row],[Total Bilan]],"")</f>
        <v/>
      </c>
      <c r="W1795" s="180"/>
      <c r="X1795" s="191"/>
      <c r="Y1795" s="180"/>
      <c r="Z1795" s="192" t="str">
        <f>IFERROR(Tableau3[[#This Row],[Chiffre d''affaires]]/Tableau3[[#This Row],[Salariés]],"")</f>
        <v/>
      </c>
      <c r="AA1795" s="197"/>
      <c r="AB1795" s="197"/>
      <c r="AC1795" s="177" t="s">
        <v>4580</v>
      </c>
    </row>
    <row r="1796" spans="1:29" ht="20.25" customHeight="1">
      <c r="A1796" s="217"/>
      <c r="E1796" s="187">
        <v>31</v>
      </c>
      <c r="F1796" s="178">
        <v>2019</v>
      </c>
      <c r="G1796" s="188">
        <v>19477000000</v>
      </c>
      <c r="H1796" s="188">
        <v>2496000000</v>
      </c>
      <c r="I1796" s="188">
        <v>797000000</v>
      </c>
      <c r="J1796" s="188">
        <v>313000000</v>
      </c>
      <c r="K1796" s="188">
        <v>2817000000</v>
      </c>
      <c r="L1796" s="188">
        <v>4629000000</v>
      </c>
      <c r="M1796" s="194">
        <f>L1796/P1796</f>
        <v>19.365842012440066</v>
      </c>
      <c r="N1796" s="190">
        <f>J1796/L1796</f>
        <v>6.7617195938647651E-2</v>
      </c>
      <c r="O1796" s="190">
        <f>(I1796*0.64)/(K1796+(M1796*P1796))</f>
        <v>6.8503894708568353E-2</v>
      </c>
      <c r="P1796" s="188">
        <v>239029111</v>
      </c>
      <c r="Q1796" s="188">
        <f>P1796*E1796</f>
        <v>7409902441</v>
      </c>
      <c r="R1796" s="195">
        <f>Q1796/L1796</f>
        <v>1.6007566301577014</v>
      </c>
      <c r="S1796" s="197">
        <f>(Q1796+K1796)/H1796</f>
        <v>4.0973166830929486</v>
      </c>
      <c r="T1796" s="180"/>
      <c r="U1796" s="189">
        <f>IFERROR(IF(Tableau3[[#This Row],[Dettes]]=0,"",(Tableau3[[#This Row],[Dettes]]/Tableau3[[#This Row],[EBE]])),"")</f>
        <v>1.1286057692307692</v>
      </c>
      <c r="V1796" s="190">
        <f>IFERROR(Tableau3[[#This Row],[Fonds propres]]/Tableau3[[#This Row],[Total Bilan]],"")</f>
        <v>0.24479111581173982</v>
      </c>
      <c r="W1796" s="180">
        <v>18910000000</v>
      </c>
      <c r="X1796" s="191"/>
      <c r="Y1796" s="180"/>
      <c r="Z1796" s="192" t="str">
        <f>IFERROR(Tableau3[[#This Row],[Chiffre d''affaires]]/Tableau3[[#This Row],[Salariés]],"")</f>
        <v/>
      </c>
      <c r="AA1796" s="197"/>
      <c r="AB1796" s="197"/>
      <c r="AC1796" s="177" t="s">
        <v>1231</v>
      </c>
    </row>
    <row r="1797" spans="1:29" ht="20.25" customHeight="1">
      <c r="A1797" s="217"/>
      <c r="E1797" s="187"/>
      <c r="G1797" s="202">
        <f>(G1796/G1798)-1</f>
        <v>1.1214371008774204E-2</v>
      </c>
      <c r="H1797" s="203">
        <f>(H1796/H1798)-1</f>
        <v>3.568464730290466E-2</v>
      </c>
      <c r="I1797" s="203">
        <f>(I1796/I1798)-1</f>
        <v>-0.27014652014652019</v>
      </c>
      <c r="J1797" s="203">
        <f>(J1796/J1798)-1</f>
        <v>-0.42673992673992678</v>
      </c>
      <c r="K1797" s="188"/>
      <c r="L1797" s="188"/>
      <c r="M1797" s="194"/>
      <c r="N1797" s="190"/>
      <c r="O1797" s="190"/>
      <c r="P1797" s="188"/>
      <c r="Q1797" s="188"/>
      <c r="R1797" s="195"/>
      <c r="S1797" s="197"/>
      <c r="T1797" s="180"/>
      <c r="U1797" s="189" t="str">
        <f>IFERROR(IF(Tableau3[[#This Row],[Dettes]]=0,"",(Tableau3[[#This Row],[Dettes]]/Tableau3[[#This Row],[EBE]])),"")</f>
        <v/>
      </c>
      <c r="V1797" s="190" t="str">
        <f>IFERROR(Tableau3[[#This Row],[Fonds propres]]/Tableau3[[#This Row],[Total Bilan]],"")</f>
        <v/>
      </c>
      <c r="W1797" s="180"/>
      <c r="X1797" s="191"/>
      <c r="Y1797" s="180"/>
      <c r="Z1797" s="192" t="str">
        <f>IFERROR(Tableau3[[#This Row],[Chiffre d''affaires]]/Tableau3[[#This Row],[Salariés]],"")</f>
        <v/>
      </c>
      <c r="AA1797" s="197"/>
      <c r="AB1797" s="197"/>
      <c r="AC1797" s="177" t="s">
        <v>1232</v>
      </c>
    </row>
    <row r="1798" spans="1:29" ht="20.25" customHeight="1">
      <c r="A1798" s="217"/>
      <c r="E1798" s="187">
        <v>24.75</v>
      </c>
      <c r="F1798" s="178">
        <v>2018</v>
      </c>
      <c r="G1798" s="188">
        <v>19261000000</v>
      </c>
      <c r="H1798" s="188">
        <v>2410000000</v>
      </c>
      <c r="I1798" s="188">
        <v>1092000000</v>
      </c>
      <c r="J1798" s="188">
        <v>546000000</v>
      </c>
      <c r="K1798" s="188">
        <v>2248000000</v>
      </c>
      <c r="L1798" s="188">
        <v>4571000000</v>
      </c>
      <c r="M1798" s="194">
        <f>L1798/P1798</f>
        <v>19.263552654169246</v>
      </c>
      <c r="N1798" s="190">
        <f>J1798/L1798</f>
        <v>0.11944869831546708</v>
      </c>
      <c r="O1798" s="190">
        <f>(I1798*0.64)/(K1798+(M1798*P1798))</f>
        <v>0.10249010118785745</v>
      </c>
      <c r="P1798" s="188">
        <v>237287487</v>
      </c>
      <c r="Q1798" s="188">
        <f>P1798*E1798</f>
        <v>5872865303.25</v>
      </c>
      <c r="R1798" s="195">
        <f>Q1798/L1798</f>
        <v>1.2848097359986874</v>
      </c>
      <c r="S1798" s="197">
        <f>(Q1798+K1798)/H1798</f>
        <v>3.3696536528008298</v>
      </c>
      <c r="T1798" s="180"/>
      <c r="U1798" s="189">
        <f>IFERROR(IF(Tableau3[[#This Row],[Dettes]]=0,"",(Tableau3[[#This Row],[Dettes]]/Tableau3[[#This Row],[EBE]])),"")</f>
        <v>0.93278008298755188</v>
      </c>
      <c r="V1798" s="190">
        <f>IFERROR(Tableau3[[#This Row],[Fonds propres]]/Tableau3[[#This Row],[Total Bilan]],"")</f>
        <v>0.24748240389821333</v>
      </c>
      <c r="W1798" s="180">
        <v>18470000000</v>
      </c>
      <c r="X1798" s="191"/>
      <c r="Y1798" s="180"/>
      <c r="Z1798" s="192" t="str">
        <f>IFERROR(Tableau3[[#This Row],[Chiffre d''affaires]]/Tableau3[[#This Row],[Salariés]],"")</f>
        <v/>
      </c>
      <c r="AA1798" s="197"/>
      <c r="AB1798" s="197"/>
      <c r="AC1798" s="177" t="s">
        <v>1233</v>
      </c>
    </row>
    <row r="1799" spans="1:29" ht="20.25" customHeight="1">
      <c r="A1799" s="217"/>
      <c r="E1799" s="187"/>
      <c r="G1799" s="202">
        <f>(G1798/G1800)-1</f>
        <v>3.8328840970350386E-2</v>
      </c>
      <c r="H1799" s="203">
        <f>(H1798/H1800)-1</f>
        <v>-8.6384204031262346E-3</v>
      </c>
      <c r="I1799" s="203">
        <f>(I1798/I1800)-1</f>
        <v>-0.2561307901907357</v>
      </c>
      <c r="J1799" s="203">
        <f>(J1798/J1800)-1</f>
        <v>-0.37742303306727476</v>
      </c>
      <c r="K1799" s="188"/>
      <c r="L1799" s="188"/>
      <c r="M1799" s="188"/>
      <c r="N1799" s="188"/>
      <c r="O1799" s="188"/>
      <c r="P1799" s="188"/>
      <c r="Q1799" s="188"/>
      <c r="R1799" s="188"/>
      <c r="S1799" s="188"/>
      <c r="T1799" s="180"/>
      <c r="U1799" s="189" t="str">
        <f>IFERROR(IF(Tableau3[[#This Row],[Dettes]]=0,"",(Tableau3[[#This Row],[Dettes]]/Tableau3[[#This Row],[EBE]])),"")</f>
        <v/>
      </c>
      <c r="V1799" s="190" t="str">
        <f>IFERROR(Tableau3[[#This Row],[Fonds propres]]/Tableau3[[#This Row],[Total Bilan]],"")</f>
        <v/>
      </c>
      <c r="W1799" s="180"/>
      <c r="X1799" s="192"/>
      <c r="Y1799" s="180"/>
      <c r="Z1799" s="192" t="str">
        <f>IFERROR(Tableau3[[#This Row],[Chiffre d''affaires]]/Tableau3[[#This Row],[Salariés]],"")</f>
        <v/>
      </c>
      <c r="AA1799" s="188"/>
      <c r="AB1799" s="188"/>
      <c r="AC1799" s="177" t="s">
        <v>1234</v>
      </c>
    </row>
    <row r="1800" spans="1:29" ht="20.25" customHeight="1">
      <c r="A1800" s="217"/>
      <c r="E1800" s="187">
        <v>62.27</v>
      </c>
      <c r="F1800" s="178">
        <v>2017</v>
      </c>
      <c r="G1800" s="188">
        <v>18550000000</v>
      </c>
      <c r="H1800" s="188">
        <v>2431000000</v>
      </c>
      <c r="I1800" s="188">
        <v>1468000000</v>
      </c>
      <c r="J1800" s="188">
        <v>877000000</v>
      </c>
      <c r="K1800" s="188">
        <v>1842000000</v>
      </c>
      <c r="L1800" s="188">
        <v>4388000000</v>
      </c>
      <c r="M1800" s="194">
        <f>L1800/P1800</f>
        <v>18.442864107866377</v>
      </c>
      <c r="N1800" s="190">
        <f>J1800/L1800</f>
        <v>0.19986326344576116</v>
      </c>
      <c r="O1800" s="190">
        <f>(I1800*0.64)/(K1800+(M1800*P1800))</f>
        <v>0.15080577849117174</v>
      </c>
      <c r="P1800" s="188">
        <v>237924000</v>
      </c>
      <c r="Q1800" s="188">
        <f>P1800*E1800</f>
        <v>14815527480</v>
      </c>
      <c r="R1800" s="195">
        <f>Q1800/L1800</f>
        <v>3.3763736280765726</v>
      </c>
      <c r="S1800" s="197">
        <f>(Q1800+K1800)/H1800</f>
        <v>6.8521297737556557</v>
      </c>
      <c r="T1800" s="180"/>
      <c r="U1800" s="189">
        <f>IFERROR(IF(Tableau3[[#This Row],[Dettes]]=0,"",(Tableau3[[#This Row],[Dettes]]/Tableau3[[#This Row],[EBE]])),"")</f>
        <v>0.75771287535993415</v>
      </c>
      <c r="V1800" s="190">
        <f>IFERROR(Tableau3[[#This Row],[Fonds propres]]/Tableau3[[#This Row],[Total Bilan]],"")</f>
        <v>0.2498861047835991</v>
      </c>
      <c r="W1800" s="180">
        <v>17560000000</v>
      </c>
      <c r="X1800" s="191"/>
      <c r="Y1800" s="180"/>
      <c r="Z1800" s="192" t="str">
        <f>IFERROR(Tableau3[[#This Row],[Chiffre d''affaires]]/Tableau3[[#This Row],[Salariés]],"")</f>
        <v/>
      </c>
      <c r="AA1800" s="197"/>
      <c r="AB1800" s="197"/>
      <c r="AC1800" s="177" t="s">
        <v>1235</v>
      </c>
    </row>
    <row r="1801" spans="1:29" ht="20.25" customHeight="1">
      <c r="A1801" s="217"/>
      <c r="E1801" s="187"/>
      <c r="G1801" s="202">
        <f>(G1800/G1802)-1</f>
        <v>0.12294933107330963</v>
      </c>
      <c r="H1801" s="203">
        <f>(H1800/H1802)-1</f>
        <v>0.13386194029850751</v>
      </c>
      <c r="I1801" s="203">
        <f>(I1800/I1802)-1</f>
        <v>0.12836279784780946</v>
      </c>
      <c r="J1801" s="203">
        <f>(J1800/J1802)-1</f>
        <v>-0.10783316378433372</v>
      </c>
      <c r="K1801" s="188"/>
      <c r="L1801" s="188"/>
      <c r="M1801" s="188"/>
      <c r="N1801" s="188"/>
      <c r="O1801" s="188"/>
      <c r="P1801" s="188"/>
      <c r="Q1801" s="188"/>
      <c r="R1801" s="188"/>
      <c r="S1801" s="188"/>
      <c r="T1801" s="180"/>
      <c r="U1801" s="189" t="str">
        <f>IFERROR(IF(Tableau3[[#This Row],[Dettes]]=0,"",(Tableau3[[#This Row],[Dettes]]/Tableau3[[#This Row],[EBE]])),"")</f>
        <v/>
      </c>
      <c r="V1801" s="190" t="str">
        <f>IFERROR(Tableau3[[#This Row],[Fonds propres]]/Tableau3[[#This Row],[Total Bilan]],"")</f>
        <v/>
      </c>
      <c r="W1801" s="180"/>
      <c r="X1801" s="192"/>
      <c r="Y1801" s="180"/>
      <c r="Z1801" s="192" t="str">
        <f>IFERROR(Tableau3[[#This Row],[Chiffre d''affaires]]/Tableau3[[#This Row],[Salariés]],"")</f>
        <v/>
      </c>
      <c r="AA1801" s="188"/>
      <c r="AB1801" s="188"/>
      <c r="AC1801" s="177" t="s">
        <v>1236</v>
      </c>
    </row>
    <row r="1802" spans="1:29" ht="20.25" customHeight="1">
      <c r="A1802" s="217"/>
      <c r="E1802" s="187">
        <v>54.61</v>
      </c>
      <c r="F1802" s="178">
        <v>2016</v>
      </c>
      <c r="G1802" s="188">
        <v>16519000000</v>
      </c>
      <c r="H1802" s="188">
        <v>2144000000</v>
      </c>
      <c r="I1802" s="188">
        <v>1301000000</v>
      </c>
      <c r="J1802" s="188">
        <v>983000000</v>
      </c>
      <c r="K1802" s="188">
        <v>537000000</v>
      </c>
      <c r="L1802" s="188">
        <v>4353000000</v>
      </c>
      <c r="M1802" s="194">
        <f>L1802/P1802</f>
        <v>18.297429752098285</v>
      </c>
      <c r="N1802" s="190">
        <f>J1802/L1802</f>
        <v>0.22582127268550425</v>
      </c>
      <c r="O1802" s="190">
        <f>(I1802*0.64)/(K1802+(M1802*P1802))</f>
        <v>0.17027402862985686</v>
      </c>
      <c r="P1802" s="188">
        <v>237902266</v>
      </c>
      <c r="Q1802" s="188">
        <f>P1802*E1802</f>
        <v>12991842746.26</v>
      </c>
      <c r="R1802" s="195">
        <f>Q1802/L1802</f>
        <v>2.9845721907328282</v>
      </c>
      <c r="S1802" s="197">
        <f>(Q1802+K1802)/H1802</f>
        <v>6.3100945644869402</v>
      </c>
      <c r="T1802" s="180"/>
      <c r="U1802" s="189">
        <f>IFERROR(IF(Tableau3[[#This Row],[Dettes]]=0,"",(Tableau3[[#This Row],[Dettes]]/Tableau3[[#This Row],[EBE]])),"")</f>
        <v>0.25046641791044777</v>
      </c>
      <c r="V1802" s="190">
        <f>IFERROR(Tableau3[[#This Row],[Fonds propres]]/Tableau3[[#This Row],[Total Bilan]],"")</f>
        <v>0.30250173731758168</v>
      </c>
      <c r="W1802" s="180">
        <v>14390000000</v>
      </c>
      <c r="X1802" s="191"/>
      <c r="Y1802" s="180"/>
      <c r="Z1802" s="192" t="str">
        <f>IFERROR(Tableau3[[#This Row],[Chiffre d''affaires]]/Tableau3[[#This Row],[Salariés]],"")</f>
        <v/>
      </c>
      <c r="AA1802" s="197"/>
      <c r="AB1802" s="197"/>
      <c r="AC1802" s="177" t="s">
        <v>1237</v>
      </c>
    </row>
    <row r="1803" spans="1:29" ht="20.25" customHeight="1">
      <c r="A1803" s="217"/>
      <c r="E1803" s="187"/>
      <c r="G1803" s="202">
        <f>(G1802/G1804)-1</f>
        <v>0.1357948294829483</v>
      </c>
      <c r="H1803" s="203">
        <f>(H1802/H1804)-1</f>
        <v>0.16080129940443966</v>
      </c>
      <c r="I1803" s="203">
        <f>(I1802/I1804)-1</f>
        <v>0.30230230230230237</v>
      </c>
      <c r="J1803" s="203">
        <f>(J1802/J1804)-1</f>
        <v>0.27002583979328176</v>
      </c>
      <c r="K1803" s="188"/>
      <c r="L1803" s="188"/>
      <c r="M1803" s="188"/>
      <c r="N1803" s="188"/>
      <c r="O1803" s="188"/>
      <c r="P1803" s="188"/>
      <c r="Q1803" s="188"/>
      <c r="R1803" s="188"/>
      <c r="S1803" s="188"/>
      <c r="T1803" s="180"/>
      <c r="U1803" s="189" t="str">
        <f>IFERROR(IF(Tableau3[[#This Row],[Dettes]]=0,"",(Tableau3[[#This Row],[Dettes]]/Tableau3[[#This Row],[EBE]])),"")</f>
        <v/>
      </c>
      <c r="V1803" s="190" t="str">
        <f>IFERROR(Tableau3[[#This Row],[Fonds propres]]/Tableau3[[#This Row],[Total Bilan]],"")</f>
        <v/>
      </c>
      <c r="W1803" s="180"/>
      <c r="X1803" s="192"/>
      <c r="Y1803" s="180"/>
      <c r="Z1803" s="192" t="str">
        <f>IFERROR(Tableau3[[#This Row],[Chiffre d''affaires]]/Tableau3[[#This Row],[Salariés]],"")</f>
        <v/>
      </c>
      <c r="AA1803" s="188"/>
      <c r="AB1803" s="188"/>
      <c r="AC1803" s="177" t="s">
        <v>1238</v>
      </c>
    </row>
    <row r="1804" spans="1:29" ht="20.25" customHeight="1">
      <c r="A1804" s="217"/>
      <c r="C1804" s="178" t="s">
        <v>1242</v>
      </c>
      <c r="E1804" s="187">
        <v>139.69999999999999</v>
      </c>
      <c r="F1804" s="178">
        <v>2015</v>
      </c>
      <c r="G1804" s="188">
        <v>14544000000</v>
      </c>
      <c r="H1804" s="188">
        <v>1847000000</v>
      </c>
      <c r="I1804" s="188">
        <v>999000000</v>
      </c>
      <c r="J1804" s="188">
        <v>774000000</v>
      </c>
      <c r="K1804" s="188">
        <v>124000000</v>
      </c>
      <c r="L1804" s="188">
        <v>3692000000</v>
      </c>
      <c r="M1804" s="194">
        <f>L1804/P1804</f>
        <v>47.059312387223194</v>
      </c>
      <c r="N1804" s="190">
        <f>J1804/L1804</f>
        <v>0.2096424702058505</v>
      </c>
      <c r="O1804" s="190">
        <f>(I1804*0.64)/(K1804+(M1804*P1804))</f>
        <v>0.16754716981132076</v>
      </c>
      <c r="P1804" s="188">
        <v>78454185</v>
      </c>
      <c r="Q1804" s="188">
        <f>P1804*E1804</f>
        <v>10960049644.5</v>
      </c>
      <c r="R1804" s="195">
        <f>Q1804/L1804</f>
        <v>2.9685941615655471</v>
      </c>
      <c r="S1804" s="197">
        <f>(Q1804+K1804)/H1804</f>
        <v>6.0011097154845698</v>
      </c>
      <c r="T1804" s="180"/>
      <c r="U1804" s="189">
        <f>IFERROR(IF(Tableau3[[#This Row],[Dettes]]=0,"",(Tableau3[[#This Row],[Dettes]]/Tableau3[[#This Row],[EBE]])),"")</f>
        <v>6.7135896047644833E-2</v>
      </c>
      <c r="V1804" s="190" t="str">
        <f>IFERROR(Tableau3[[#This Row],[Fonds propres]]/Tableau3[[#This Row],[Total Bilan]],"")</f>
        <v/>
      </c>
      <c r="W1804" s="180"/>
      <c r="X1804" s="191"/>
      <c r="Y1804" s="180"/>
      <c r="Z1804" s="192" t="str">
        <f>IFERROR(Tableau3[[#This Row],[Chiffre d''affaires]]/Tableau3[[#This Row],[Salariés]],"")</f>
        <v/>
      </c>
      <c r="AA1804" s="197"/>
      <c r="AB1804" s="197"/>
      <c r="AC1804" s="177" t="s">
        <v>1239</v>
      </c>
    </row>
    <row r="1805" spans="1:29" ht="20.25" customHeight="1">
      <c r="A1805" s="217"/>
      <c r="E1805" s="187"/>
      <c r="G1805" s="202">
        <f>(G1804/G1806)-1</f>
        <v>0.14294695481335951</v>
      </c>
      <c r="H1805" s="203">
        <f>(H1804/H1806)-1</f>
        <v>0.21035386631716912</v>
      </c>
      <c r="I1805" s="203">
        <f>(I1804/I1806)-1</f>
        <v>0.1629802095459838</v>
      </c>
      <c r="J1805" s="203">
        <f>(J1804/J1806)-1</f>
        <v>0.30522765598650925</v>
      </c>
      <c r="K1805" s="188"/>
      <c r="L1805" s="188"/>
      <c r="M1805" s="188"/>
      <c r="N1805" s="188"/>
      <c r="O1805" s="188"/>
      <c r="P1805" s="188"/>
      <c r="Q1805" s="188"/>
      <c r="R1805" s="188"/>
      <c r="S1805" s="188"/>
      <c r="T1805" s="180"/>
      <c r="U1805" s="189" t="str">
        <f>IFERROR(IF(Tableau3[[#This Row],[Dettes]]=0,"",(Tableau3[[#This Row],[Dettes]]/Tableau3[[#This Row],[EBE]])),"")</f>
        <v/>
      </c>
      <c r="V1805" s="190" t="str">
        <f>IFERROR(Tableau3[[#This Row],[Fonds propres]]/Tableau3[[#This Row],[Total Bilan]],"")</f>
        <v/>
      </c>
      <c r="W1805" s="180"/>
      <c r="X1805" s="192"/>
      <c r="Y1805" s="180"/>
      <c r="Z1805" s="192" t="str">
        <f>IFERROR(Tableau3[[#This Row],[Chiffre d''affaires]]/Tableau3[[#This Row],[Salariés]],"")</f>
        <v/>
      </c>
      <c r="AA1805" s="188"/>
      <c r="AB1805" s="188"/>
      <c r="AC1805" s="177" t="s">
        <v>1240</v>
      </c>
    </row>
    <row r="1806" spans="1:29" ht="20.25" customHeight="1">
      <c r="A1806" s="217"/>
      <c r="E1806" s="187">
        <v>100.29</v>
      </c>
      <c r="F1806" s="178">
        <v>2014</v>
      </c>
      <c r="G1806" s="188">
        <v>12725000000</v>
      </c>
      <c r="H1806" s="188">
        <v>1526000000</v>
      </c>
      <c r="I1806" s="188">
        <v>859000000</v>
      </c>
      <c r="J1806" s="188">
        <v>593000000</v>
      </c>
      <c r="K1806" s="188">
        <v>377000000</v>
      </c>
      <c r="L1806" s="188">
        <v>2955000000</v>
      </c>
      <c r="M1806" s="194">
        <f>L1806/P1806</f>
        <v>37.998016079217336</v>
      </c>
      <c r="N1806" s="190">
        <f>J1806/L1806</f>
        <v>0.20067681895093062</v>
      </c>
      <c r="O1806" s="190">
        <f>(I1806*0.64)/(K1806+(M1806*P1806))</f>
        <v>0.16499399759903963</v>
      </c>
      <c r="P1806" s="188">
        <v>77767218</v>
      </c>
      <c r="Q1806" s="188">
        <f>P1806*E1806</f>
        <v>7799274293.2200003</v>
      </c>
      <c r="R1806" s="195">
        <f>Q1806/L1806</f>
        <v>2.6393483225786802</v>
      </c>
      <c r="S1806" s="197">
        <f>(Q1806+K1806)/H1806</f>
        <v>5.3579779116775885</v>
      </c>
      <c r="T1806" s="180"/>
      <c r="U1806" s="189">
        <f>IFERROR(IF(Tableau3[[#This Row],[Dettes]]=0,"",(Tableau3[[#This Row],[Dettes]]/Tableau3[[#This Row],[EBE]])),"")</f>
        <v>0.24705111402359109</v>
      </c>
      <c r="V1806" s="190" t="str">
        <f>IFERROR(Tableau3[[#This Row],[Fonds propres]]/Tableau3[[#This Row],[Total Bilan]],"")</f>
        <v/>
      </c>
      <c r="W1806" s="180"/>
      <c r="X1806" s="191"/>
      <c r="Y1806" s="180"/>
      <c r="Z1806" s="192" t="str">
        <f>IFERROR(Tableau3[[#This Row],[Chiffre d''affaires]]/Tableau3[[#This Row],[Salariés]],"")</f>
        <v/>
      </c>
      <c r="AA1806" s="197"/>
      <c r="AB1806" s="197"/>
      <c r="AC1806" s="177" t="s">
        <v>4583</v>
      </c>
    </row>
    <row r="1807" spans="1:29" ht="20.25" customHeight="1">
      <c r="A1807" s="217"/>
      <c r="E1807" s="187"/>
      <c r="G1807" s="202">
        <f>(G1806/G1808)-1</f>
        <v>5.0784475639966908E-2</v>
      </c>
      <c r="H1807" s="203">
        <f>(H1806/H1808)-1</f>
        <v>0.12536873156342176</v>
      </c>
      <c r="I1807" s="203">
        <f>(I1806/I1808)-1</f>
        <v>0.17994505494505497</v>
      </c>
      <c r="J1807" s="203">
        <f>(J1806/J1808)-1</f>
        <v>0.26439232409381663</v>
      </c>
      <c r="K1807" s="188"/>
      <c r="L1807" s="188"/>
      <c r="M1807" s="188"/>
      <c r="N1807" s="188"/>
      <c r="O1807" s="188"/>
      <c r="P1807" s="188"/>
      <c r="Q1807" s="188"/>
      <c r="R1807" s="188"/>
      <c r="S1807" s="188"/>
      <c r="T1807" s="180"/>
      <c r="U1807" s="189" t="str">
        <f>IFERROR(IF(Tableau3[[#This Row],[Dettes]]=0,"",(Tableau3[[#This Row],[Dettes]]/Tableau3[[#This Row],[EBE]])),"")</f>
        <v/>
      </c>
      <c r="V1807" s="190" t="str">
        <f>IFERROR(Tableau3[[#This Row],[Fonds propres]]/Tableau3[[#This Row],[Total Bilan]],"")</f>
        <v/>
      </c>
      <c r="W1807" s="180"/>
      <c r="X1807" s="192"/>
      <c r="Y1807" s="180"/>
      <c r="Z1807" s="192" t="str">
        <f>IFERROR(Tableau3[[#This Row],[Chiffre d''affaires]]/Tableau3[[#This Row],[Salariés]],"")</f>
        <v/>
      </c>
      <c r="AA1807" s="188"/>
      <c r="AB1807" s="188"/>
      <c r="AC1807" s="177" t="s">
        <v>1241</v>
      </c>
    </row>
    <row r="1808" spans="1:29" ht="20.25" customHeight="1">
      <c r="A1808" s="217"/>
      <c r="E1808" s="187">
        <v>77.86</v>
      </c>
      <c r="F1808" s="178">
        <v>2013</v>
      </c>
      <c r="G1808" s="188">
        <v>12110000000</v>
      </c>
      <c r="H1808" s="188">
        <v>1356000000</v>
      </c>
      <c r="I1808" s="188">
        <v>728000000</v>
      </c>
      <c r="J1808" s="188">
        <v>469000000</v>
      </c>
      <c r="K1808" s="188">
        <v>290000000</v>
      </c>
      <c r="L1808" s="188">
        <v>2533000000</v>
      </c>
      <c r="M1808" s="194">
        <f>L1808/P1808</f>
        <v>32.623751497530655</v>
      </c>
      <c r="N1808" s="190">
        <f>J1808/L1808</f>
        <v>0.18515594157125936</v>
      </c>
      <c r="O1808" s="190">
        <f>(I1808*0.64)/(K1808+(M1808*P1808))</f>
        <v>0.16504427913567127</v>
      </c>
      <c r="P1808" s="188">
        <v>77642818</v>
      </c>
      <c r="Q1808" s="188">
        <f>P1808*E1808</f>
        <v>6045269809.4799995</v>
      </c>
      <c r="R1808" s="195">
        <f>Q1808/L1808</f>
        <v>2.3866047412080533</v>
      </c>
      <c r="S1808" s="197">
        <f>(Q1808+K1808)/H1808</f>
        <v>4.6720278830973445</v>
      </c>
      <c r="T1808" s="180"/>
      <c r="U1808" s="189">
        <f>IFERROR(IF(Tableau3[[#This Row],[Dettes]]=0,"",(Tableau3[[#This Row],[Dettes]]/Tableau3[[#This Row],[EBE]])),"")</f>
        <v>0.21386430678466076</v>
      </c>
      <c r="V1808" s="190" t="str">
        <f>IFERROR(Tableau3[[#This Row],[Fonds propres]]/Tableau3[[#This Row],[Total Bilan]],"")</f>
        <v/>
      </c>
      <c r="W1808" s="180"/>
      <c r="X1808" s="191"/>
      <c r="Y1808" s="180"/>
      <c r="Z1808" s="192" t="str">
        <f>IFERROR(Tableau3[[#This Row],[Chiffre d''affaires]]/Tableau3[[#This Row],[Salariés]],"")</f>
        <v/>
      </c>
      <c r="AA1808" s="197"/>
      <c r="AB1808" s="197"/>
      <c r="AC1808" s="177" t="s">
        <v>1243</v>
      </c>
    </row>
    <row r="1809" spans="1:29" ht="20.25" customHeight="1">
      <c r="A1809" s="217"/>
      <c r="E1809" s="187"/>
      <c r="G1809" s="202">
        <f>(G1808/G1810)-1</f>
        <v>2.9849476996343327E-2</v>
      </c>
      <c r="H1809" s="203">
        <f>(H1808/H1810)-1</f>
        <v>7.6190476190476142E-2</v>
      </c>
      <c r="I1809" s="203">
        <f>(I1808/I1810)-1</f>
        <v>8.3333333333333259E-2</v>
      </c>
      <c r="J1809" s="203">
        <f>(J1808/J1810)-1</f>
        <v>0.18434343434343425</v>
      </c>
      <c r="K1809" s="188"/>
      <c r="L1809" s="188"/>
      <c r="M1809" s="188"/>
      <c r="N1809" s="188"/>
      <c r="O1809" s="188"/>
      <c r="P1809" s="188"/>
      <c r="Q1809" s="188"/>
      <c r="R1809" s="188"/>
      <c r="S1809" s="188"/>
      <c r="T1809" s="180"/>
      <c r="U1809" s="189" t="str">
        <f>IFERROR(IF(Tableau3[[#This Row],[Dettes]]=0,"",(Tableau3[[#This Row],[Dettes]]/Tableau3[[#This Row],[EBE]])),"")</f>
        <v/>
      </c>
      <c r="V1809" s="190" t="str">
        <f>IFERROR(Tableau3[[#This Row],[Fonds propres]]/Tableau3[[#This Row],[Total Bilan]],"")</f>
        <v/>
      </c>
      <c r="W1809" s="180"/>
      <c r="X1809" s="192"/>
      <c r="Y1809" s="180"/>
      <c r="Z1809" s="192" t="str">
        <f>IFERROR(Tableau3[[#This Row],[Chiffre d''affaires]]/Tableau3[[#This Row],[Salariés]],"")</f>
        <v/>
      </c>
      <c r="AA1809" s="188"/>
      <c r="AB1809" s="188"/>
      <c r="AC1809" s="177" t="s">
        <v>1244</v>
      </c>
    </row>
    <row r="1810" spans="1:29" ht="20.25" customHeight="1">
      <c r="A1810" s="217"/>
      <c r="E1810" s="187">
        <v>37.36</v>
      </c>
      <c r="F1810" s="178">
        <v>2012</v>
      </c>
      <c r="G1810" s="188">
        <v>11759000000</v>
      </c>
      <c r="H1810" s="188">
        <v>1260000000</v>
      </c>
      <c r="I1810" s="188">
        <v>672000000</v>
      </c>
      <c r="J1810" s="188">
        <v>396000000</v>
      </c>
      <c r="K1810" s="188">
        <v>763000000</v>
      </c>
      <c r="L1810" s="188">
        <v>2195000000</v>
      </c>
      <c r="M1810" s="194">
        <f>L1810/P1810</f>
        <v>28.842236997594348</v>
      </c>
      <c r="N1810" s="190">
        <f>J1810/L1810</f>
        <v>0.18041002277904328</v>
      </c>
      <c r="O1810" s="190">
        <f>(I1810*0.64)/(K1810+(M1810*P1810))</f>
        <v>0.14539553752535497</v>
      </c>
      <c r="P1810" s="188">
        <v>76103667</v>
      </c>
      <c r="Q1810" s="188">
        <f>P1810*E1810</f>
        <v>2843232999.1199999</v>
      </c>
      <c r="R1810" s="195">
        <f>Q1810/L1810</f>
        <v>1.2953225508519361</v>
      </c>
      <c r="S1810" s="197">
        <f>(Q1810+K1810)/H1810</f>
        <v>2.8620896818412698</v>
      </c>
      <c r="T1810" s="180"/>
      <c r="U1810" s="189">
        <f>IFERROR(IF(Tableau3[[#This Row],[Dettes]]=0,"",(Tableau3[[#This Row],[Dettes]]/Tableau3[[#This Row],[EBE]])),"")</f>
        <v>0.60555555555555551</v>
      </c>
      <c r="V1810" s="190" t="str">
        <f>IFERROR(Tableau3[[#This Row],[Fonds propres]]/Tableau3[[#This Row],[Total Bilan]],"")</f>
        <v/>
      </c>
      <c r="W1810" s="180"/>
      <c r="X1810" s="191"/>
      <c r="Y1810" s="180"/>
      <c r="Z1810" s="192" t="str">
        <f>IFERROR(Tableau3[[#This Row],[Chiffre d''affaires]]/Tableau3[[#This Row],[Salariés]],"")</f>
        <v/>
      </c>
      <c r="AA1810" s="197"/>
      <c r="AB1810" s="197"/>
      <c r="AC1810" s="177" t="s">
        <v>1245</v>
      </c>
    </row>
    <row r="1811" spans="1:29" ht="20.25" customHeight="1">
      <c r="A1811" s="217"/>
      <c r="E1811" s="187"/>
      <c r="G1811" s="202">
        <f>(G1810/G1812)-1</f>
        <v>8.1983805668016219E-2</v>
      </c>
      <c r="H1811" s="203">
        <f>(H1810/H1812)-1</f>
        <v>3.9603960396039639E-2</v>
      </c>
      <c r="I1811" s="203">
        <f>(I1810/I1812)-1</f>
        <v>-4.5454545454545414E-2</v>
      </c>
      <c r="J1811" s="203">
        <f>(J1810/J1812)-1</f>
        <v>-0.12195121951219512</v>
      </c>
      <c r="K1811" s="188"/>
      <c r="L1811" s="188"/>
      <c r="M1811" s="188"/>
      <c r="N1811" s="188"/>
      <c r="O1811" s="188"/>
      <c r="P1811" s="188"/>
      <c r="Q1811" s="188"/>
      <c r="R1811" s="188"/>
      <c r="S1811" s="188"/>
      <c r="T1811" s="180"/>
      <c r="U1811" s="189" t="str">
        <f>IFERROR(IF(Tableau3[[#This Row],[Dettes]]=0,"",(Tableau3[[#This Row],[Dettes]]/Tableau3[[#This Row],[EBE]])),"")</f>
        <v/>
      </c>
      <c r="V1811" s="190" t="str">
        <f>IFERROR(Tableau3[[#This Row],[Fonds propres]]/Tableau3[[#This Row],[Total Bilan]],"")</f>
        <v/>
      </c>
      <c r="W1811" s="180"/>
      <c r="X1811" s="192"/>
      <c r="Y1811" s="180"/>
      <c r="Z1811" s="192" t="str">
        <f>IFERROR(Tableau3[[#This Row],[Chiffre d''affaires]]/Tableau3[[#This Row],[Salariés]],"")</f>
        <v/>
      </c>
      <c r="AA1811" s="188"/>
      <c r="AB1811" s="188"/>
      <c r="AC1811" s="177" t="s">
        <v>4918</v>
      </c>
    </row>
    <row r="1812" spans="1:29" ht="20.25" customHeight="1">
      <c r="A1812" s="217"/>
      <c r="E1812" s="187">
        <v>30.71</v>
      </c>
      <c r="F1812" s="178">
        <v>2011</v>
      </c>
      <c r="G1812" s="188">
        <v>10868000000</v>
      </c>
      <c r="H1812" s="188">
        <v>1212000000</v>
      </c>
      <c r="I1812" s="188">
        <v>704000000</v>
      </c>
      <c r="J1812" s="188">
        <v>451000000</v>
      </c>
      <c r="K1812" s="188">
        <v>523000000</v>
      </c>
      <c r="L1812" s="188">
        <v>2080000000</v>
      </c>
      <c r="M1812" s="194">
        <f>L1812/P1812</f>
        <v>27.722839314558129</v>
      </c>
      <c r="N1812" s="190">
        <f>J1812/L1812</f>
        <v>0.21682692307692308</v>
      </c>
      <c r="O1812" s="190">
        <f>(I1812*0.64)/(K1812+(M1812*P1812))</f>
        <v>0.17309258547829429</v>
      </c>
      <c r="P1812" s="188">
        <v>75028390</v>
      </c>
      <c r="Q1812" s="188">
        <f>P1812*E1812</f>
        <v>2304121856.9000001</v>
      </c>
      <c r="R1812" s="195">
        <f>Q1812/L1812</f>
        <v>1.1077508927403847</v>
      </c>
      <c r="S1812" s="197">
        <f>(Q1812+K1812)/H1812</f>
        <v>2.3326087928217825</v>
      </c>
      <c r="T1812" s="180"/>
      <c r="U1812" s="189">
        <f>IFERROR(IF(Tableau3[[#This Row],[Dettes]]=0,"",(Tableau3[[#This Row],[Dettes]]/Tableau3[[#This Row],[EBE]])),"")</f>
        <v>0.43151815181518149</v>
      </c>
      <c r="V1812" s="190" t="str">
        <f>IFERROR(Tableau3[[#This Row],[Fonds propres]]/Tableau3[[#This Row],[Total Bilan]],"")</f>
        <v/>
      </c>
      <c r="W1812" s="180"/>
      <c r="X1812" s="191"/>
      <c r="Y1812" s="180"/>
      <c r="Z1812" s="192" t="str">
        <f>IFERROR(Tableau3[[#This Row],[Chiffre d''affaires]]/Tableau3[[#This Row],[Salariés]],"")</f>
        <v/>
      </c>
      <c r="AA1812" s="197"/>
      <c r="AB1812" s="197"/>
      <c r="AC1812" s="177" t="s">
        <v>1247</v>
      </c>
    </row>
    <row r="1813" spans="1:29" ht="20.25" customHeight="1">
      <c r="A1813" s="217"/>
      <c r="E1813" s="187"/>
      <c r="G1813" s="202">
        <f>(G1812/G1814)-1</f>
        <v>0.12832225913621254</v>
      </c>
      <c r="H1813" s="203">
        <f>(H1812/H1814)-1</f>
        <v>5.7591623036649109E-2</v>
      </c>
      <c r="I1813" s="203">
        <f>(I1812/I1814)-1</f>
        <v>0.19322033898305091</v>
      </c>
      <c r="J1813" s="203">
        <f>(J1812/J1814)-1</f>
        <v>0.17447916666666674</v>
      </c>
      <c r="K1813" s="188"/>
      <c r="L1813" s="188"/>
      <c r="M1813" s="188"/>
      <c r="N1813" s="188"/>
      <c r="O1813" s="188"/>
      <c r="P1813" s="188"/>
      <c r="Q1813" s="188"/>
      <c r="R1813" s="188"/>
      <c r="S1813" s="188"/>
      <c r="T1813" s="180"/>
      <c r="U1813" s="189" t="str">
        <f>IFERROR(IF(Tableau3[[#This Row],[Dettes]]=0,"",(Tableau3[[#This Row],[Dettes]]/Tableau3[[#This Row],[EBE]])),"")</f>
        <v/>
      </c>
      <c r="V1813" s="190" t="str">
        <f>IFERROR(Tableau3[[#This Row],[Fonds propres]]/Tableau3[[#This Row],[Total Bilan]],"")</f>
        <v/>
      </c>
      <c r="W1813" s="180"/>
      <c r="X1813" s="192"/>
      <c r="Y1813" s="180"/>
      <c r="Z1813" s="192" t="str">
        <f>IFERROR(Tableau3[[#This Row],[Chiffre d''affaires]]/Tableau3[[#This Row],[Salariés]],"")</f>
        <v/>
      </c>
      <c r="AA1813" s="188"/>
      <c r="AB1813" s="188"/>
      <c r="AC1813" s="177" t="s">
        <v>1248</v>
      </c>
    </row>
    <row r="1814" spans="1:29" ht="20.25" customHeight="1">
      <c r="A1814" s="217"/>
      <c r="E1814" s="187">
        <v>42.47</v>
      </c>
      <c r="F1814" s="178">
        <v>2010</v>
      </c>
      <c r="G1814" s="188">
        <v>9632000000</v>
      </c>
      <c r="H1814" s="188">
        <v>1146000000</v>
      </c>
      <c r="I1814" s="188">
        <v>590000000</v>
      </c>
      <c r="J1814" s="188">
        <v>384000000</v>
      </c>
      <c r="K1814" s="188">
        <v>278000000</v>
      </c>
      <c r="L1814" s="188">
        <v>1770000000</v>
      </c>
      <c r="M1814" s="194">
        <f>L1814/P1814</f>
        <v>23.571663717323283</v>
      </c>
      <c r="N1814" s="190">
        <f>J1814/L1814</f>
        <v>0.21694915254237288</v>
      </c>
      <c r="O1814" s="190">
        <f>(I1814*0.64)/(K1814+(M1814*P1814))</f>
        <v>0.18437500000000001</v>
      </c>
      <c r="P1814" s="188">
        <v>75090160</v>
      </c>
      <c r="Q1814" s="188">
        <f>P1814*E1814</f>
        <v>3189079095.1999998</v>
      </c>
      <c r="R1814" s="195">
        <f>Q1814/L1814</f>
        <v>1.8017396018079095</v>
      </c>
      <c r="S1814" s="197">
        <f>(Q1814+K1814)/H1814</f>
        <v>3.0253744286212911</v>
      </c>
      <c r="T1814" s="180"/>
      <c r="U1814" s="189">
        <f>IFERROR(IF(Tableau3[[#This Row],[Dettes]]=0,"",(Tableau3[[#This Row],[Dettes]]/Tableau3[[#This Row],[EBE]])),"")</f>
        <v>0.2425828970331588</v>
      </c>
      <c r="V1814" s="190" t="str">
        <f>IFERROR(Tableau3[[#This Row],[Fonds propres]]/Tableau3[[#This Row],[Total Bilan]],"")</f>
        <v/>
      </c>
      <c r="W1814" s="180"/>
      <c r="X1814" s="191"/>
      <c r="Y1814" s="180"/>
      <c r="Z1814" s="192" t="str">
        <f>IFERROR(Tableau3[[#This Row],[Chiffre d''affaires]]/Tableau3[[#This Row],[Salariés]],"")</f>
        <v/>
      </c>
      <c r="AA1814" s="197"/>
      <c r="AB1814" s="197"/>
    </row>
    <row r="1815" spans="1:29" ht="20.25" customHeight="1">
      <c r="A1815" s="217"/>
      <c r="E1815" s="187"/>
      <c r="G1815" s="202">
        <f>(G1814/G1816)-1</f>
        <v>0.2844379250566742</v>
      </c>
      <c r="H1815" s="203">
        <f>(H1814/H1816)-1</f>
        <v>0.71814092953523234</v>
      </c>
      <c r="I1815" s="203">
        <f>(I1814/I1816)-1</f>
        <v>6.0238095238095237</v>
      </c>
      <c r="J1815" s="203">
        <f>(J1814/J1816)-1</f>
        <v>1.6301369863013697</v>
      </c>
      <c r="K1815" s="188"/>
      <c r="L1815" s="188"/>
      <c r="M1815" s="188"/>
      <c r="N1815" s="188"/>
      <c r="O1815" s="188"/>
      <c r="P1815" s="188"/>
      <c r="Q1815" s="188"/>
      <c r="R1815" s="188"/>
      <c r="S1815" s="188"/>
      <c r="T1815" s="180"/>
      <c r="U1815" s="189" t="str">
        <f>IFERROR(IF(Tableau3[[#This Row],[Dettes]]=0,"",(Tableau3[[#This Row],[Dettes]]/Tableau3[[#This Row],[EBE]])),"")</f>
        <v/>
      </c>
      <c r="V1815" s="190" t="str">
        <f>IFERROR(Tableau3[[#This Row],[Fonds propres]]/Tableau3[[#This Row],[Total Bilan]],"")</f>
        <v/>
      </c>
      <c r="W1815" s="180"/>
      <c r="X1815" s="192"/>
      <c r="Y1815" s="180"/>
      <c r="Z1815" s="192" t="str">
        <f>IFERROR(Tableau3[[#This Row],[Chiffre d''affaires]]/Tableau3[[#This Row],[Salariés]],"")</f>
        <v/>
      </c>
      <c r="AA1815" s="188"/>
      <c r="AB1815" s="188"/>
    </row>
    <row r="1816" spans="1:29" ht="20.25" customHeight="1">
      <c r="A1816" s="217"/>
      <c r="E1816" s="187">
        <v>24.53</v>
      </c>
      <c r="F1816" s="178">
        <v>2009</v>
      </c>
      <c r="G1816" s="188">
        <v>7499000000</v>
      </c>
      <c r="H1816" s="188">
        <v>667000000</v>
      </c>
      <c r="I1816" s="188">
        <v>84000000</v>
      </c>
      <c r="J1816" s="188">
        <v>146000000</v>
      </c>
      <c r="K1816" s="188">
        <v>722000000</v>
      </c>
      <c r="L1816" s="188">
        <v>1233000000</v>
      </c>
      <c r="M1816" s="194">
        <f>L1816/P1816</f>
        <v>15.765324614746547</v>
      </c>
      <c r="N1816" s="190">
        <f>J1816/L1816</f>
        <v>0.11841038118410381</v>
      </c>
      <c r="O1816" s="190">
        <f>(I1816*0.64)/(K1816+(M1816*P1816))</f>
        <v>2.7498721227621484E-2</v>
      </c>
      <c r="P1816" s="188">
        <v>78209617</v>
      </c>
      <c r="Q1816" s="188">
        <f>P1816*E1816</f>
        <v>1918481905.01</v>
      </c>
      <c r="R1816" s="195">
        <f>Q1816/L1816</f>
        <v>1.5559463949797243</v>
      </c>
      <c r="S1816" s="197">
        <f>(Q1816+K1816)/H1816</f>
        <v>3.9587434857721142</v>
      </c>
      <c r="T1816" s="180"/>
      <c r="U1816" s="189">
        <f>IFERROR(IF(Tableau3[[#This Row],[Dettes]]=0,"",(Tableau3[[#This Row],[Dettes]]/Tableau3[[#This Row],[EBE]])),"")</f>
        <v>1.0824587706146926</v>
      </c>
      <c r="V1816" s="190" t="str">
        <f>IFERROR(Tableau3[[#This Row],[Fonds propres]]/Tableau3[[#This Row],[Total Bilan]],"")</f>
        <v/>
      </c>
      <c r="W1816" s="180"/>
      <c r="X1816" s="191"/>
      <c r="Y1816" s="180"/>
      <c r="Z1816" s="192" t="str">
        <f>IFERROR(Tableau3[[#This Row],[Chiffre d''affaires]]/Tableau3[[#This Row],[Salariés]],"")</f>
        <v/>
      </c>
      <c r="AA1816" s="197"/>
      <c r="AB1816" s="197"/>
    </row>
    <row r="1817" spans="1:29" ht="20.25" customHeight="1">
      <c r="A1817" s="217"/>
      <c r="E1817" s="187"/>
      <c r="G1817" s="202">
        <f>(G1816/G1818)-1</f>
        <v>-0.1357612077907111</v>
      </c>
      <c r="H1817" s="203"/>
      <c r="I1817" s="203">
        <f>(I1816/I1818)-1</f>
        <v>-2.6153846153846154</v>
      </c>
      <c r="J1817" s="203">
        <f>(J1816/J1818)-1</f>
        <v>-1.7053140096618358</v>
      </c>
      <c r="K1817" s="188"/>
      <c r="L1817" s="188"/>
      <c r="M1817" s="188"/>
      <c r="N1817" s="188"/>
      <c r="O1817" s="188"/>
      <c r="P1817" s="188"/>
      <c r="Q1817" s="188"/>
      <c r="R1817" s="188"/>
      <c r="S1817" s="188"/>
      <c r="T1817" s="180"/>
      <c r="U1817" s="189" t="str">
        <f>IFERROR(IF(Tableau3[[#This Row],[Dettes]]=0,"",(Tableau3[[#This Row],[Dettes]]/Tableau3[[#This Row],[EBE]])),"")</f>
        <v/>
      </c>
      <c r="V1817" s="190" t="str">
        <f>IFERROR(Tableau3[[#This Row],[Fonds propres]]/Tableau3[[#This Row],[Total Bilan]],"")</f>
        <v/>
      </c>
      <c r="W1817" s="180"/>
      <c r="X1817" s="192"/>
      <c r="Y1817" s="180"/>
      <c r="Z1817" s="192" t="str">
        <f>IFERROR(Tableau3[[#This Row],[Chiffre d''affaires]]/Tableau3[[#This Row],[Salariés]],"")</f>
        <v/>
      </c>
      <c r="AA1817" s="188"/>
      <c r="AB1817" s="188"/>
    </row>
    <row r="1818" spans="1:29" ht="20.25" customHeight="1">
      <c r="A1818" s="217"/>
      <c r="E1818" s="187">
        <v>10.62</v>
      </c>
      <c r="F1818" s="178">
        <v>2008</v>
      </c>
      <c r="G1818" s="188">
        <v>8677000000</v>
      </c>
      <c r="H1818" s="188"/>
      <c r="I1818" s="188">
        <v>-52000000</v>
      </c>
      <c r="J1818" s="188">
        <v>-207000000</v>
      </c>
      <c r="K1818" s="188"/>
      <c r="L1818" s="188">
        <v>1362000000</v>
      </c>
      <c r="M1818" s="194">
        <f>L1818/P1818</f>
        <v>17.414738138917109</v>
      </c>
      <c r="N1818" s="190">
        <f>J1818/L1818</f>
        <v>-0.15198237885462554</v>
      </c>
      <c r="O1818" s="190">
        <f>(I1818*0.64)/(K1818+(M1818*P1818))</f>
        <v>-2.443465491923642E-2</v>
      </c>
      <c r="P1818" s="188">
        <v>78209617</v>
      </c>
      <c r="Q1818" s="188">
        <f>P1818*E1818</f>
        <v>830586132.53999996</v>
      </c>
      <c r="R1818" s="195">
        <f>Q1818/L1818</f>
        <v>0.6098282911453744</v>
      </c>
      <c r="S1818" s="197"/>
      <c r="T1818" s="180"/>
      <c r="U1818" s="189" t="str">
        <f>IFERROR(IF(Tableau3[[#This Row],[Dettes]]=0,"",(Tableau3[[#This Row],[Dettes]]/Tableau3[[#This Row],[EBE]])),"")</f>
        <v/>
      </c>
      <c r="V1818" s="190" t="str">
        <f>IFERROR(Tableau3[[#This Row],[Fonds propres]]/Tableau3[[#This Row],[Total Bilan]],"")</f>
        <v/>
      </c>
      <c r="W1818" s="180"/>
      <c r="X1818" s="191"/>
      <c r="Y1818" s="180"/>
      <c r="Z1818" s="192" t="str">
        <f>IFERROR(Tableau3[[#This Row],[Chiffre d''affaires]]/Tableau3[[#This Row],[Salariés]],"")</f>
        <v/>
      </c>
      <c r="AA1818" s="197"/>
      <c r="AB1818" s="197"/>
    </row>
    <row r="1819" spans="1:29" ht="20.25" customHeight="1">
      <c r="A1819" s="217"/>
      <c r="E1819" s="187"/>
      <c r="G1819" s="188"/>
      <c r="H1819" s="188"/>
      <c r="I1819" s="188"/>
      <c r="J1819" s="188"/>
      <c r="K1819" s="188"/>
      <c r="L1819" s="188"/>
      <c r="M1819" s="188"/>
      <c r="N1819" s="188"/>
      <c r="O1819" s="188"/>
      <c r="P1819" s="188"/>
      <c r="Q1819" s="188"/>
      <c r="R1819" s="188"/>
      <c r="S1819" s="188"/>
      <c r="T1819" s="180"/>
      <c r="U1819" s="189" t="str">
        <f>IFERROR(IF(Tableau3[[#This Row],[Dettes]]=0,"",(Tableau3[[#This Row],[Dettes]]/Tableau3[[#This Row],[EBE]])),"")</f>
        <v/>
      </c>
      <c r="V1819" s="190" t="str">
        <f>IFERROR(Tableau3[[#This Row],[Fonds propres]]/Tableau3[[#This Row],[Total Bilan]],"")</f>
        <v/>
      </c>
      <c r="W1819" s="180"/>
      <c r="X1819" s="192"/>
      <c r="Y1819" s="180"/>
      <c r="Z1819" s="192" t="str">
        <f>IFERROR(Tableau3[[#This Row],[Chiffre d''affaires]]/Tableau3[[#This Row],[Salariés]],"")</f>
        <v/>
      </c>
      <c r="AA1819" s="188"/>
      <c r="AB1819" s="188"/>
    </row>
    <row r="1820" spans="1:29" ht="20.25" customHeight="1">
      <c r="A1820" s="217"/>
      <c r="E1820" s="187"/>
      <c r="G1820" s="188"/>
      <c r="H1820" s="188"/>
      <c r="I1820" s="188"/>
      <c r="J1820" s="188"/>
      <c r="K1820" s="188"/>
      <c r="L1820" s="188"/>
      <c r="M1820" s="188"/>
      <c r="N1820" s="188"/>
      <c r="O1820" s="188"/>
      <c r="P1820" s="188"/>
      <c r="Q1820" s="188"/>
      <c r="R1820" s="188"/>
      <c r="S1820" s="188"/>
      <c r="T1820" s="180"/>
      <c r="U1820" s="189" t="str">
        <f>IFERROR(IF(Tableau3[[#This Row],[Dettes]]=0,"",(Tableau3[[#This Row],[Dettes]]/Tableau3[[#This Row],[EBE]])),"")</f>
        <v/>
      </c>
      <c r="V1820" s="190" t="str">
        <f>IFERROR(Tableau3[[#This Row],[Fonds propres]]/Tableau3[[#This Row],[Total Bilan]],"")</f>
        <v/>
      </c>
      <c r="W1820" s="180"/>
      <c r="X1820" s="192"/>
      <c r="Y1820" s="180"/>
      <c r="Z1820" s="192" t="str">
        <f>IFERROR(Tableau3[[#This Row],[Chiffre d''affaires]]/Tableau3[[#This Row],[Salariés]],"")</f>
        <v/>
      </c>
      <c r="AA1820" s="188"/>
      <c r="AB1820" s="188"/>
    </row>
    <row r="1821" spans="1:29" ht="20.25" customHeight="1">
      <c r="A1821" s="217"/>
      <c r="E1821" s="187"/>
      <c r="G1821" s="188"/>
      <c r="H1821" s="188"/>
      <c r="I1821" s="188"/>
      <c r="J1821" s="188"/>
      <c r="K1821" s="188"/>
      <c r="L1821" s="188"/>
      <c r="M1821" s="188"/>
      <c r="N1821" s="188"/>
      <c r="O1821" s="188"/>
      <c r="P1821" s="188"/>
      <c r="Q1821" s="188"/>
      <c r="R1821" s="188"/>
      <c r="S1821" s="188"/>
      <c r="T1821" s="180"/>
      <c r="U1821" s="189" t="str">
        <f>IFERROR(IF(Tableau3[[#This Row],[Dettes]]=0,"",(Tableau3[[#This Row],[Dettes]]/Tableau3[[#This Row],[EBE]])),"")</f>
        <v/>
      </c>
      <c r="V1821" s="190" t="str">
        <f>IFERROR(Tableau3[[#This Row],[Fonds propres]]/Tableau3[[#This Row],[Total Bilan]],"")</f>
        <v/>
      </c>
      <c r="W1821" s="180"/>
      <c r="X1821" s="192"/>
      <c r="Y1821" s="180"/>
      <c r="Z1821" s="192" t="str">
        <f>IFERROR(Tableau3[[#This Row],[Chiffre d''affaires]]/Tableau3[[#This Row],[Salariés]],"")</f>
        <v/>
      </c>
      <c r="AA1821" s="188"/>
      <c r="AB1821" s="188"/>
    </row>
    <row r="1822" spans="1:29" ht="20.25" customHeight="1">
      <c r="A1822" s="217" t="s">
        <v>1249</v>
      </c>
      <c r="B1822" s="216" t="s">
        <v>1224</v>
      </c>
      <c r="C1822" s="178" t="s">
        <v>84</v>
      </c>
      <c r="D1822" s="178" t="s">
        <v>85</v>
      </c>
      <c r="E1822" s="187"/>
      <c r="F1822" s="178">
        <v>2025</v>
      </c>
      <c r="G1822" s="188"/>
      <c r="H1822" s="188"/>
      <c r="I1822" s="188"/>
      <c r="J1822" s="188"/>
      <c r="K1822" s="188"/>
      <c r="L1822" s="188"/>
      <c r="M1822" s="188"/>
      <c r="N1822" s="188"/>
      <c r="O1822" s="188"/>
      <c r="P1822" s="188"/>
      <c r="Q1822" s="188"/>
      <c r="R1822" s="188"/>
      <c r="S1822" s="188"/>
      <c r="T1822" s="180"/>
      <c r="U1822" s="189" t="str">
        <f>IFERROR(IF(Tableau3[[#This Row],[Dettes]]=0,"",(Tableau3[[#This Row],[Dettes]]/Tableau3[[#This Row],[EBE]])),"")</f>
        <v/>
      </c>
      <c r="V1822" s="190" t="str">
        <f>IFERROR(Tableau3[[#This Row],[Fonds propres]]/Tableau3[[#This Row],[Total Bilan]],"")</f>
        <v/>
      </c>
      <c r="W1822" s="180"/>
      <c r="X1822" s="192"/>
      <c r="Y1822" s="180"/>
      <c r="Z1822" s="192" t="str">
        <f>IFERROR(Tableau3[[#This Row],[Chiffre d''affaires]]/Tableau3[[#This Row],[Salariés]],"")</f>
        <v/>
      </c>
      <c r="AA1822" s="188"/>
      <c r="AB1822" s="188"/>
      <c r="AC1822" s="177" t="s">
        <v>1250</v>
      </c>
    </row>
    <row r="1823" spans="1:29" ht="20.25" customHeight="1">
      <c r="A1823" s="217"/>
      <c r="E1823" s="187"/>
      <c r="G1823" s="188"/>
      <c r="H1823" s="188"/>
      <c r="I1823" s="188"/>
      <c r="J1823" s="188"/>
      <c r="K1823" s="188"/>
      <c r="L1823" s="188"/>
      <c r="M1823" s="188"/>
      <c r="N1823" s="188"/>
      <c r="O1823" s="188"/>
      <c r="P1823" s="188"/>
      <c r="Q1823" s="188"/>
      <c r="R1823" s="188"/>
      <c r="S1823" s="188"/>
      <c r="T1823" s="180"/>
      <c r="U1823" s="189" t="str">
        <f>IFERROR(IF(Tableau3[[#This Row],[Dettes]]=0,"",(Tableau3[[#This Row],[Dettes]]/Tableau3[[#This Row],[EBE]])),"")</f>
        <v/>
      </c>
      <c r="V1823" s="190" t="str">
        <f>IFERROR(Tableau3[[#This Row],[Fonds propres]]/Tableau3[[#This Row],[Total Bilan]],"")</f>
        <v/>
      </c>
      <c r="W1823" s="180"/>
      <c r="X1823" s="192"/>
      <c r="Y1823" s="180"/>
      <c r="Z1823" s="192" t="str">
        <f>IFERROR(Tableau3[[#This Row],[Chiffre d''affaires]]/Tableau3[[#This Row],[Salariés]],"")</f>
        <v/>
      </c>
      <c r="AA1823" s="188"/>
      <c r="AB1823" s="188"/>
      <c r="AC1823" s="177" t="s">
        <v>1252</v>
      </c>
    </row>
    <row r="1824" spans="1:29" ht="20.25" customHeight="1">
      <c r="A1824" s="217"/>
      <c r="E1824" s="187">
        <v>8.68</v>
      </c>
      <c r="F1824" s="178">
        <v>2024</v>
      </c>
      <c r="G1824" s="188">
        <f>27000000000</f>
        <v>27000000000</v>
      </c>
      <c r="H1824" s="188">
        <v>3270000000</v>
      </c>
      <c r="I1824" s="188">
        <v>1450000000</v>
      </c>
      <c r="J1824" s="188">
        <v>100000000</v>
      </c>
      <c r="K1824" s="188">
        <v>6800000000</v>
      </c>
      <c r="L1824" s="188">
        <v>4850000000</v>
      </c>
      <c r="M1824" s="194">
        <f>Tableau3[[#This Row],[Fonds propres]]/Tableau3[[#This Row],[Titres]]</f>
        <v>24.608129490920209</v>
      </c>
      <c r="N1824" s="190">
        <f>J1824/L1826</f>
        <v>2.2175899232713885E-2</v>
      </c>
      <c r="O1824" s="190">
        <f>(I1824*0.7)/(K1826+L1826)</f>
        <v>8.8288507706760361E-2</v>
      </c>
      <c r="P1824" s="188">
        <v>197089340</v>
      </c>
      <c r="Q1824" s="188">
        <f>P1824*E1824</f>
        <v>1710735471.2</v>
      </c>
      <c r="R1824" s="195">
        <f>Q1824/L1826</f>
        <v>0.3793709742316051</v>
      </c>
      <c r="S1824" s="197">
        <f>(Q1824+K1824)/H1824</f>
        <v>2.6026713979204894</v>
      </c>
      <c r="T1824" s="180"/>
      <c r="U1824" s="189">
        <f>IFERROR(IF(Tableau3[[#This Row],[Dettes]]=0,"",(Tableau3[[#This Row],[Dettes]]/Tableau3[[#This Row],[EBE]])),"")</f>
        <v>2.0795107033639142</v>
      </c>
      <c r="V1824" s="190" t="str">
        <f>IFERROR(Tableau3[[#This Row],[Fonds propres]]/Tableau3[[#This Row],[Total Bilan]],"")</f>
        <v/>
      </c>
      <c r="W1824" s="180"/>
      <c r="X1824" s="191" t="s">
        <v>132</v>
      </c>
      <c r="Y1824" s="180"/>
      <c r="Z1824" s="192" t="str">
        <f>IFERROR(Tableau3[[#This Row],[Chiffre d''affaires]]/Tableau3[[#This Row],[Salariés]],"")</f>
        <v/>
      </c>
      <c r="AA1824" s="197" t="s">
        <v>1253</v>
      </c>
      <c r="AB1824" s="188"/>
      <c r="AC1824" s="177" t="s">
        <v>1254</v>
      </c>
    </row>
    <row r="1825" spans="1:29" ht="20.25" customHeight="1">
      <c r="A1825" s="217"/>
      <c r="E1825" s="187"/>
      <c r="G1825" s="202">
        <f>(G1824/G1826)-1</f>
        <v>-9.1015854374633109E-3</v>
      </c>
      <c r="H1825" s="203">
        <f>(H1824/H1826)-1</f>
        <v>-1.7427884615384581E-2</v>
      </c>
      <c r="I1825" s="203">
        <f>(I1824/I1826)-1</f>
        <v>0.16372391653290519</v>
      </c>
      <c r="J1825" s="203">
        <f>(J1824/J1826)-1</f>
        <v>-0.54954954954954949</v>
      </c>
      <c r="K1825" s="188"/>
      <c r="L1825" s="178"/>
      <c r="M1825" s="188"/>
      <c r="N1825" s="188"/>
      <c r="O1825" s="188"/>
      <c r="P1825" s="188"/>
      <c r="Q1825" s="188"/>
      <c r="R1825" s="188"/>
      <c r="S1825" s="188"/>
      <c r="T1825" s="180"/>
      <c r="U1825" s="189" t="str">
        <f>IFERROR(IF(Tableau3[[#This Row],[Dettes]]=0,"",(Tableau3[[#This Row],[Dettes]]/Tableau3[[#This Row],[EBE]])),"")</f>
        <v/>
      </c>
      <c r="V1825" s="190" t="str">
        <f>IFERROR(Tableau3[[#This Row],[Fonds propres]]/Tableau3[[#This Row],[Total Bilan]],"")</f>
        <v/>
      </c>
      <c r="W1825" s="180"/>
      <c r="X1825" s="192"/>
      <c r="Y1825" s="180"/>
      <c r="Z1825" s="192" t="str">
        <f>IFERROR(Tableau3[[#This Row],[Chiffre d''affaires]]/Tableau3[[#This Row],[Salariés]],"")</f>
        <v/>
      </c>
      <c r="AA1825" s="188" t="s">
        <v>168</v>
      </c>
      <c r="AB1825" s="188"/>
      <c r="AC1825" s="177" t="s">
        <v>1255</v>
      </c>
    </row>
    <row r="1826" spans="1:29" ht="20.25" customHeight="1">
      <c r="A1826" s="217"/>
      <c r="E1826" s="187">
        <v>20.399999999999999</v>
      </c>
      <c r="F1826" s="178">
        <v>2023</v>
      </c>
      <c r="G1826" s="188">
        <v>27248000000</v>
      </c>
      <c r="H1826" s="188">
        <v>3328000000</v>
      </c>
      <c r="I1826" s="188">
        <v>1246000000</v>
      </c>
      <c r="J1826" s="188">
        <v>222000000</v>
      </c>
      <c r="K1826" s="188">
        <v>6987000000</v>
      </c>
      <c r="L1826" s="188">
        <v>4509400000</v>
      </c>
      <c r="M1826" s="194">
        <f>Tableau3[[#This Row],[Fonds propres]]/Tableau3[[#This Row],[Titres]]</f>
        <v>22.87997920131043</v>
      </c>
      <c r="N1826" s="190">
        <f>J1826/L1828</f>
        <v>4.8812664907651716E-2</v>
      </c>
      <c r="O1826" s="190">
        <f>(I1826*0.7)/(K1828+L1828)</f>
        <v>6.984864258829182E-2</v>
      </c>
      <c r="P1826" s="188">
        <v>197089340</v>
      </c>
      <c r="Q1826" s="188">
        <f>P1826*E1826</f>
        <v>4020622535.9999995</v>
      </c>
      <c r="R1826" s="195">
        <f>Q1826/L1828</f>
        <v>0.88404189445910275</v>
      </c>
      <c r="S1826" s="197">
        <f>(Q1826+K1826)/H1826</f>
        <v>3.3075788870192309</v>
      </c>
      <c r="T1826" s="180">
        <v>650000000</v>
      </c>
      <c r="U1826" s="189">
        <f>IFERROR(IF(Tableau3[[#This Row],[Dettes]]=0,"",(Tableau3[[#This Row],[Dettes]]/Tableau3[[#This Row],[EBE]])),"")</f>
        <v>2.0994591346153846</v>
      </c>
      <c r="V1826" s="190">
        <f>IFERROR(Tableau3[[#This Row],[Fonds propres]]/Tableau3[[#This Row],[Total Bilan]],"")</f>
        <v>0.14792095836668284</v>
      </c>
      <c r="W1826" s="180">
        <v>30485200000</v>
      </c>
      <c r="Y1826" s="180">
        <v>150000</v>
      </c>
      <c r="Z1826" s="192">
        <f>IFERROR(Tableau3[[#This Row],[Chiffre d''affaires]]/Tableau3[[#This Row],[Salariés]],"")</f>
        <v>181653.33333333334</v>
      </c>
      <c r="AA1826" s="197" t="s">
        <v>107</v>
      </c>
      <c r="AB1826" s="197"/>
      <c r="AC1826" s="177" t="s">
        <v>1256</v>
      </c>
    </row>
    <row r="1827" spans="1:29" ht="20.25" customHeight="1">
      <c r="A1827" s="217"/>
      <c r="E1827" s="187"/>
      <c r="G1827" s="202">
        <f>(G1826/G1828)-1</f>
        <v>7.0311886244009747E-2</v>
      </c>
      <c r="H1827" s="203">
        <f>(H1826/H1828)-1</f>
        <v>0.10491367861885781</v>
      </c>
      <c r="I1827" s="203">
        <f>(I1826/I1828)-1</f>
        <v>0.11742825769796861</v>
      </c>
      <c r="J1827" s="203"/>
      <c r="K1827" s="188"/>
      <c r="L1827" s="188"/>
      <c r="M1827" s="188"/>
      <c r="N1827" s="188"/>
      <c r="O1827" s="188"/>
      <c r="P1827" s="188"/>
      <c r="Q1827" s="188"/>
      <c r="R1827" s="188"/>
      <c r="S1827" s="188"/>
      <c r="T1827" s="180"/>
      <c r="U1827" s="189" t="str">
        <f>IFERROR(IF(Tableau3[[#This Row],[Dettes]]=0,"",(Tableau3[[#This Row],[Dettes]]/Tableau3[[#This Row],[EBE]])),"")</f>
        <v/>
      </c>
      <c r="V1827" s="190" t="str">
        <f>IFERROR(Tableau3[[#This Row],[Fonds propres]]/Tableau3[[#This Row],[Total Bilan]],"")</f>
        <v/>
      </c>
      <c r="W1827" s="180"/>
      <c r="X1827" s="192"/>
      <c r="Y1827" s="180"/>
      <c r="Z1827" s="192" t="str">
        <f>IFERROR(Tableau3[[#This Row],[Chiffre d''affaires]]/Tableau3[[#This Row],[Salariés]],"")</f>
        <v/>
      </c>
      <c r="AA1827" s="188" t="s">
        <v>1257</v>
      </c>
      <c r="AB1827" s="188"/>
      <c r="AC1827" s="177" t="s">
        <v>1258</v>
      </c>
    </row>
    <row r="1828" spans="1:29" ht="20.25" customHeight="1">
      <c r="A1828" s="217"/>
      <c r="E1828" s="187">
        <v>14.13</v>
      </c>
      <c r="F1828" s="178">
        <v>2022</v>
      </c>
      <c r="G1828" s="188">
        <v>25458000000</v>
      </c>
      <c r="H1828" s="188">
        <v>3012000000</v>
      </c>
      <c r="I1828" s="188">
        <f>Tableau3[[#This Row],[Chiffre d''affaires]]*0.0438</f>
        <v>1115060400</v>
      </c>
      <c r="J1828" s="188">
        <v>-382000000</v>
      </c>
      <c r="K1828" s="188">
        <v>7939000000</v>
      </c>
      <c r="L1828" s="188">
        <v>4548000000</v>
      </c>
      <c r="M1828" s="194">
        <f>Tableau3[[#This Row],[Fonds propres]]/Tableau3[[#This Row],[Titres]]</f>
        <v>23.075829469011364</v>
      </c>
      <c r="N1828" s="190">
        <f>J1828/L1830</f>
        <v>-0.1150706389131548</v>
      </c>
      <c r="O1828" s="190">
        <f>(I1828*0.7)/(K1830+L1830)</f>
        <v>0.11501057656887737</v>
      </c>
      <c r="P1828" s="188">
        <v>197089340</v>
      </c>
      <c r="Q1828" s="188">
        <f>P1828*E1828</f>
        <v>2784872374.2000003</v>
      </c>
      <c r="R1828" s="195">
        <f>Q1828/L1830</f>
        <v>0.83889278374551923</v>
      </c>
      <c r="S1828" s="197">
        <f>(Q1828+K1828)/H1828</f>
        <v>3.56038259435591</v>
      </c>
      <c r="T1828" s="180">
        <v>250000000</v>
      </c>
      <c r="U1828" s="189">
        <f>IFERROR(IF(Tableau3[[#This Row],[Dettes]]=0,"",(Tableau3[[#This Row],[Dettes]]/Tableau3[[#This Row],[EBE]])),"")</f>
        <v>2.6357901726427624</v>
      </c>
      <c r="V1828" s="190">
        <f>IFERROR(Tableau3[[#This Row],[Fonds propres]]/Tableau3[[#This Row],[Total Bilan]],"")</f>
        <v>0.14116157226926229</v>
      </c>
      <c r="W1828" s="180">
        <v>32218400000</v>
      </c>
      <c r="X1828" s="191"/>
      <c r="Y1828" s="180">
        <v>111000</v>
      </c>
      <c r="Z1828" s="192">
        <f>IFERROR(Tableau3[[#This Row],[Chiffre d''affaires]]/Tableau3[[#This Row],[Salariés]],"")</f>
        <v>229351.35135135136</v>
      </c>
      <c r="AB1828" s="197"/>
      <c r="AC1828" s="177" t="s">
        <v>1259</v>
      </c>
    </row>
    <row r="1829" spans="1:29" ht="20.25" customHeight="1">
      <c r="A1829" s="217"/>
      <c r="E1829" s="187"/>
      <c r="G1829" s="202">
        <f>(G1828/G1830)-1</f>
        <v>0.63004225893200161</v>
      </c>
      <c r="H1829" s="203">
        <f>(H1828/H1830)-1</f>
        <v>0.42816500711237548</v>
      </c>
      <c r="I1829" s="203">
        <f>(I1828/I1830)-1</f>
        <v>0.29357354988399065</v>
      </c>
      <c r="J1829" s="203">
        <f>(J1828/J1830)-1</f>
        <v>3.8354430379746836</v>
      </c>
      <c r="K1829" s="188"/>
      <c r="L1829" s="188"/>
      <c r="M1829" s="188"/>
      <c r="N1829" s="188"/>
      <c r="O1829" s="188"/>
      <c r="P1829" s="188"/>
      <c r="Q1829" s="188"/>
      <c r="R1829" s="188"/>
      <c r="S1829" s="188"/>
      <c r="T1829" s="180"/>
      <c r="U1829" s="189" t="str">
        <f>IFERROR(IF(Tableau3[[#This Row],[Dettes]]=0,"",(Tableau3[[#This Row],[Dettes]]/Tableau3[[#This Row],[EBE]])),"")</f>
        <v/>
      </c>
      <c r="V1829" s="190" t="str">
        <f>IFERROR(Tableau3[[#This Row],[Fonds propres]]/Tableau3[[#This Row],[Total Bilan]],"")</f>
        <v/>
      </c>
      <c r="W1829" s="180"/>
      <c r="X1829" s="192"/>
      <c r="Y1829" s="180"/>
      <c r="Z1829" s="192" t="str">
        <f>IFERROR(Tableau3[[#This Row],[Chiffre d''affaires]]/Tableau3[[#This Row],[Salariés]],"")</f>
        <v/>
      </c>
      <c r="AB1829" s="188"/>
      <c r="AC1829" s="177" t="s">
        <v>1260</v>
      </c>
    </row>
    <row r="1830" spans="1:29" ht="20.25" customHeight="1">
      <c r="A1830" s="217"/>
      <c r="E1830" s="187">
        <v>41.83</v>
      </c>
      <c r="F1830" s="178">
        <v>2021</v>
      </c>
      <c r="G1830" s="188">
        <v>15618000000</v>
      </c>
      <c r="H1830" s="188">
        <v>2109000000</v>
      </c>
      <c r="I1830" s="188">
        <v>862000000</v>
      </c>
      <c r="J1830" s="188">
        <v>-79000000</v>
      </c>
      <c r="K1830" s="188">
        <v>3467000000</v>
      </c>
      <c r="L1830" s="188">
        <v>3319700000</v>
      </c>
      <c r="M1830" s="194">
        <f>Tableau3[[#This Row],[Fonds propres]]/Tableau3[[#This Row],[Titres]]</f>
        <v>24.049557983874053</v>
      </c>
      <c r="N1830" s="190">
        <f>J1830/L1832</f>
        <v>-2.3264717142268163E-2</v>
      </c>
      <c r="O1830" s="190">
        <f>(I1830*0.7)/(K1832+L1832)</f>
        <v>9.2492105827891719E-2</v>
      </c>
      <c r="P1830" s="188">
        <v>138035801</v>
      </c>
      <c r="Q1830" s="188">
        <f>P1830*E1830</f>
        <v>5774037555.8299999</v>
      </c>
      <c r="R1830" s="195">
        <f>Q1830/L1830</f>
        <v>1.7393251064343163</v>
      </c>
      <c r="S1830" s="197">
        <f>(Q1830+K1830)/H1830</f>
        <v>4.3817152943717401</v>
      </c>
      <c r="T1830" s="180">
        <v>317000000</v>
      </c>
      <c r="U1830" s="189">
        <f>IFERROR(IF(Tableau3[[#This Row],[Dettes]]=0,"",(Tableau3[[#This Row],[Dettes]]/Tableau3[[#This Row],[EBE]])),"")</f>
        <v>1.6439070649596965</v>
      </c>
      <c r="V1830" s="190">
        <f>IFERROR(Tableau3[[#This Row],[Fonds propres]]/Tableau3[[#This Row],[Total Bilan]],"")</f>
        <v>0.15319335486848176</v>
      </c>
      <c r="W1830" s="180">
        <v>21670000000</v>
      </c>
      <c r="X1830" s="191"/>
      <c r="Y1830" s="180">
        <v>111000</v>
      </c>
      <c r="Z1830" s="192">
        <f>IFERROR(Tableau3[[#This Row],[Chiffre d''affaires]]/Tableau3[[#This Row],[Salariés]],"")</f>
        <v>140702.70270270269</v>
      </c>
      <c r="AA1830" s="197"/>
      <c r="AB1830" s="197"/>
      <c r="AC1830" s="177" t="s">
        <v>1261</v>
      </c>
    </row>
    <row r="1831" spans="1:29" ht="20.25" customHeight="1">
      <c r="A1831" s="217"/>
      <c r="E1831" s="187"/>
      <c r="G1831" s="202">
        <f>(G1830/G1832)-1</f>
        <v>6.5798632436637527E-2</v>
      </c>
      <c r="H1831" s="203">
        <f>(H1830/H1832)-1</f>
        <v>0.25625446747676905</v>
      </c>
      <c r="I1831" s="203">
        <f>(I1830/I1832)-1</f>
        <v>1.1221073362875429</v>
      </c>
      <c r="J1831" s="203">
        <f>(J1830/J1832)-1</f>
        <v>-0.79144667370644139</v>
      </c>
      <c r="K1831" s="188"/>
      <c r="L1831" s="188"/>
      <c r="M1831" s="188"/>
      <c r="N1831" s="188"/>
      <c r="O1831" s="188"/>
      <c r="P1831" s="188"/>
      <c r="Q1831" s="188"/>
      <c r="R1831" s="188"/>
      <c r="S1831" s="188"/>
      <c r="T1831" s="180"/>
      <c r="U1831" s="189" t="str">
        <f>IFERROR(IF(Tableau3[[#This Row],[Dettes]]=0,"",(Tableau3[[#This Row],[Dettes]]/Tableau3[[#This Row],[EBE]])),"")</f>
        <v/>
      </c>
      <c r="V1831" s="190" t="str">
        <f>IFERROR(Tableau3[[#This Row],[Fonds propres]]/Tableau3[[#This Row],[Total Bilan]],"")</f>
        <v/>
      </c>
      <c r="W1831" s="180"/>
      <c r="X1831" s="192"/>
      <c r="Y1831" s="180"/>
      <c r="Z1831" s="192" t="str">
        <f>IFERROR(Tableau3[[#This Row],[Chiffre d''affaires]]/Tableau3[[#This Row],[Salariés]],"")</f>
        <v/>
      </c>
      <c r="AA1831" s="188"/>
      <c r="AB1831" s="188"/>
      <c r="AC1831" s="177" t="s">
        <v>1262</v>
      </c>
    </row>
    <row r="1832" spans="1:29" ht="20.25" customHeight="1">
      <c r="A1832" s="217"/>
      <c r="E1832" s="187">
        <v>41.91</v>
      </c>
      <c r="F1832" s="178">
        <v>2020</v>
      </c>
      <c r="G1832" s="188">
        <v>14653800000</v>
      </c>
      <c r="H1832" s="188">
        <v>1678800000</v>
      </c>
      <c r="I1832" s="188">
        <v>406200000</v>
      </c>
      <c r="J1832" s="188">
        <v>-378800000</v>
      </c>
      <c r="K1832" s="188">
        <v>3128100000</v>
      </c>
      <c r="L1832" s="188">
        <v>3395700000</v>
      </c>
      <c r="M1832" s="194">
        <f>Tableau3[[#This Row],[Fonds propres]]/Tableau3[[#This Row],[Titres]]</f>
        <v>24.60013978547493</v>
      </c>
      <c r="N1832" s="190">
        <f>J1832/L1834</f>
        <v>-9.1608222490931077E-2</v>
      </c>
      <c r="O1832" s="190">
        <f>(I1832*0.7)/(K1834+L1834)</f>
        <v>4.2700105120889023E-2</v>
      </c>
      <c r="P1832" s="188">
        <v>138035801</v>
      </c>
      <c r="Q1832" s="188">
        <f>P1832*E1832</f>
        <v>5785080419.9099998</v>
      </c>
      <c r="R1832" s="195">
        <f>Q1832/L1832</f>
        <v>1.7036488558794947</v>
      </c>
      <c r="S1832" s="197">
        <f>(Q1832+K1832)/H1832</f>
        <v>5.3092568619907077</v>
      </c>
      <c r="T1832" s="180"/>
      <c r="U1832" s="189">
        <f>IFERROR(IF(Tableau3[[#This Row],[Dettes]]=0,"",(Tableau3[[#This Row],[Dettes]]/Tableau3[[#This Row],[EBE]])),"")</f>
        <v>1.8632952108649035</v>
      </c>
      <c r="V1832" s="190">
        <f>IFERROR(Tableau3[[#This Row],[Fonds propres]]/Tableau3[[#This Row],[Total Bilan]],"")</f>
        <v>0.18158823529411763</v>
      </c>
      <c r="W1832" s="180">
        <v>18700000000</v>
      </c>
      <c r="X1832" s="191"/>
      <c r="Y1832" s="180"/>
      <c r="Z1832" s="192" t="str">
        <f>IFERROR(Tableau3[[#This Row],[Chiffre d''affaires]]/Tableau3[[#This Row],[Salariés]],"")</f>
        <v/>
      </c>
      <c r="AA1832" s="197"/>
      <c r="AB1832" s="197"/>
      <c r="AC1832" s="177" t="s">
        <v>1263</v>
      </c>
    </row>
    <row r="1833" spans="1:29" ht="20.25" customHeight="1">
      <c r="A1833" s="217"/>
      <c r="E1833" s="187"/>
      <c r="G1833" s="202">
        <f>(G1832/G1834)-1</f>
        <v>-0.17528407332158957</v>
      </c>
      <c r="H1833" s="203">
        <f>(H1832/H1834)-1</f>
        <v>-0.30175102940564824</v>
      </c>
      <c r="I1833" s="203">
        <f>(I1832/I1834)-1</f>
        <v>-0.68347229798176579</v>
      </c>
      <c r="J1833" s="203">
        <f>(J1832/J1834)-1</f>
        <v>-1.6423605222994744</v>
      </c>
      <c r="K1833" s="188"/>
      <c r="L1833" s="188"/>
      <c r="M1833" s="188"/>
      <c r="N1833" s="188"/>
      <c r="O1833" s="188"/>
      <c r="P1833" s="188"/>
      <c r="Q1833" s="188"/>
      <c r="R1833" s="188"/>
      <c r="S1833" s="188"/>
      <c r="T1833" s="180"/>
      <c r="U1833" s="189" t="str">
        <f>IFERROR(IF(Tableau3[[#This Row],[Dettes]]=0,"",(Tableau3[[#This Row],[Dettes]]/Tableau3[[#This Row],[EBE]])),"")</f>
        <v/>
      </c>
      <c r="V1833" s="190" t="str">
        <f>IFERROR(Tableau3[[#This Row],[Fonds propres]]/Tableau3[[#This Row],[Total Bilan]],"")</f>
        <v/>
      </c>
      <c r="W1833" s="180"/>
      <c r="X1833" s="192"/>
      <c r="Y1833" s="180"/>
      <c r="Z1833" s="192" t="str">
        <f>IFERROR(Tableau3[[#This Row],[Chiffre d''affaires]]/Tableau3[[#This Row],[Salariés]],"")</f>
        <v/>
      </c>
      <c r="AA1833" s="188"/>
      <c r="AB1833" s="188"/>
      <c r="AC1833" s="177" t="s">
        <v>1264</v>
      </c>
    </row>
    <row r="1834" spans="1:29" ht="20.25" customHeight="1">
      <c r="A1834" s="217"/>
      <c r="E1834" s="187">
        <v>47</v>
      </c>
      <c r="F1834" s="178">
        <v>2019</v>
      </c>
      <c r="G1834" s="188">
        <v>17768300000</v>
      </c>
      <c r="H1834" s="188">
        <v>2404300000</v>
      </c>
      <c r="I1834" s="188">
        <v>1283300000</v>
      </c>
      <c r="J1834" s="188">
        <v>589700000</v>
      </c>
      <c r="K1834" s="188">
        <v>2524000000</v>
      </c>
      <c r="L1834" s="188">
        <v>4135000000</v>
      </c>
      <c r="M1834" s="194">
        <f>Tableau3[[#This Row],[Fonds propres]]/Tableau3[[#This Row],[Titres]]</f>
        <v>29.955996705521343</v>
      </c>
      <c r="N1834" s="190">
        <f>J1834/L1836</f>
        <v>0.15896164110305416</v>
      </c>
      <c r="O1834" s="190">
        <f>(I1834*0.7)/(K1836+L1836)</f>
        <v>0.21452691407556002</v>
      </c>
      <c r="P1834" s="188">
        <v>138035801</v>
      </c>
      <c r="Q1834" s="188">
        <f>P1834*E1834</f>
        <v>6487682647</v>
      </c>
      <c r="R1834" s="195">
        <f>Q1834/L1834</f>
        <v>1.5689679920193471</v>
      </c>
      <c r="S1834" s="197">
        <f>(Q1834+K1834)/H1834</f>
        <v>3.7481523299920974</v>
      </c>
      <c r="T1834" s="180"/>
      <c r="U1834" s="189">
        <f>IFERROR(IF(Tableau3[[#This Row],[Dettes]]=0,"",(Tableau3[[#This Row],[Dettes]]/Tableau3[[#This Row],[EBE]])),"")</f>
        <v>1.0497858004408767</v>
      </c>
      <c r="V1834" s="190">
        <f>IFERROR(Tableau3[[#This Row],[Fonds propres]]/Tableau3[[#This Row],[Total Bilan]],"")</f>
        <v>0.24096736596736595</v>
      </c>
      <c r="W1834" s="180">
        <v>17160000000</v>
      </c>
      <c r="X1834" s="191"/>
      <c r="Y1834" s="180"/>
      <c r="Z1834" s="192" t="str">
        <f>IFERROR(Tableau3[[#This Row],[Chiffre d''affaires]]/Tableau3[[#This Row],[Salariés]],"")</f>
        <v/>
      </c>
      <c r="AA1834" s="188"/>
      <c r="AB1834" s="188"/>
      <c r="AC1834" s="177" t="s">
        <v>1265</v>
      </c>
    </row>
    <row r="1835" spans="1:29" ht="20.25" customHeight="1">
      <c r="A1835" s="217"/>
      <c r="E1835" s="187"/>
      <c r="G1835" s="202">
        <f>(G1834/G1836)-1</f>
        <v>1.3900380605659457E-2</v>
      </c>
      <c r="H1835" s="203">
        <f>(H1834/H1836)-1</f>
        <v>0.12318975988040726</v>
      </c>
      <c r="I1835" s="203">
        <f>(I1834/I1836)-1</f>
        <v>7.3789151424759059E-3</v>
      </c>
      <c r="J1835" s="203">
        <f>(J1834/J1836)-1</f>
        <v>-0.15853310502283102</v>
      </c>
      <c r="K1835" s="188"/>
      <c r="L1835" s="188"/>
      <c r="M1835" s="188"/>
      <c r="N1835" s="188"/>
      <c r="O1835" s="188"/>
      <c r="P1835" s="188"/>
      <c r="Q1835" s="188"/>
      <c r="R1835" s="188"/>
      <c r="S1835" s="188"/>
      <c r="T1835" s="180"/>
      <c r="U1835" s="189" t="str">
        <f>IFERROR(IF(Tableau3[[#This Row],[Dettes]]=0,"",(Tableau3[[#This Row],[Dettes]]/Tableau3[[#This Row],[EBE]])),"")</f>
        <v/>
      </c>
      <c r="V1835" s="190" t="str">
        <f>IFERROR(Tableau3[[#This Row],[Fonds propres]]/Tableau3[[#This Row],[Total Bilan]],"")</f>
        <v/>
      </c>
      <c r="W1835" s="180"/>
      <c r="X1835" s="192"/>
      <c r="Y1835" s="180"/>
      <c r="Z1835" s="192" t="str">
        <f>IFERROR(Tableau3[[#This Row],[Chiffre d''affaires]]/Tableau3[[#This Row],[Salariés]],"")</f>
        <v/>
      </c>
      <c r="AA1835" s="188"/>
      <c r="AB1835" s="188"/>
      <c r="AC1835" s="177" t="s">
        <v>1266</v>
      </c>
    </row>
    <row r="1836" spans="1:29" ht="20.25" customHeight="1">
      <c r="A1836" s="217"/>
      <c r="E1836" s="187">
        <v>32</v>
      </c>
      <c r="F1836" s="178">
        <v>2018</v>
      </c>
      <c r="G1836" s="188">
        <v>17524700000</v>
      </c>
      <c r="H1836" s="188">
        <v>2140600000</v>
      </c>
      <c r="I1836" s="188">
        <v>1273900000</v>
      </c>
      <c r="J1836" s="188">
        <v>700800000</v>
      </c>
      <c r="K1836" s="188">
        <v>477700000</v>
      </c>
      <c r="L1836" s="188">
        <v>3709700000</v>
      </c>
      <c r="M1836" s="194">
        <f>Tableau3[[#This Row],[Fonds propres]]/Tableau3[[#This Row],[Titres]]</f>
        <v>26.874911965773286</v>
      </c>
      <c r="N1836" s="190">
        <f>J1836/L1836</f>
        <v>0.18891015445992937</v>
      </c>
      <c r="O1836" s="190">
        <f>(I1836*0.64)/(K1836+(M1836*P1836))</f>
        <v>0.1947022018436261</v>
      </c>
      <c r="P1836" s="188">
        <v>138035801</v>
      </c>
      <c r="Q1836" s="188">
        <f>P1836*E1836</f>
        <v>4417145632</v>
      </c>
      <c r="R1836" s="195">
        <f>Q1836/L1836</f>
        <v>1.1907015747904144</v>
      </c>
      <c r="S1836" s="197">
        <f>(Q1836+K1836)/H1836</f>
        <v>2.2866699205830141</v>
      </c>
      <c r="T1836" s="180"/>
      <c r="U1836" s="189">
        <f>IFERROR(IF(Tableau3[[#This Row],[Dettes]]=0,"",(Tableau3[[#This Row],[Dettes]]/Tableau3[[#This Row],[EBE]])),"")</f>
        <v>0.22316173035597495</v>
      </c>
      <c r="V1836" s="190">
        <f>IFERROR(Tableau3[[#This Row],[Fonds propres]]/Tableau3[[#This Row],[Total Bilan]],"")</f>
        <v>0.27705003734129946</v>
      </c>
      <c r="W1836" s="180">
        <v>13390000000</v>
      </c>
      <c r="X1836" s="192"/>
      <c r="Y1836" s="180"/>
      <c r="Z1836" s="192" t="str">
        <f>IFERROR(Tableau3[[#This Row],[Chiffre d''affaires]]/Tableau3[[#This Row],[Salariés]],"")</f>
        <v/>
      </c>
      <c r="AA1836" s="188"/>
      <c r="AB1836" s="188"/>
      <c r="AC1836" s="177" t="s">
        <v>1267</v>
      </c>
    </row>
    <row r="1837" spans="1:29" ht="20.25" customHeight="1">
      <c r="A1837" s="217"/>
      <c r="E1837" s="187"/>
      <c r="G1837" s="188"/>
      <c r="H1837" s="188"/>
      <c r="I1837" s="188"/>
      <c r="J1837" s="188"/>
      <c r="K1837" s="188"/>
      <c r="L1837" s="188"/>
      <c r="M1837" s="188"/>
      <c r="N1837" s="188"/>
      <c r="O1837" s="188"/>
      <c r="P1837" s="188"/>
      <c r="Q1837" s="188"/>
      <c r="R1837" s="188"/>
      <c r="S1837" s="188"/>
      <c r="T1837" s="180"/>
      <c r="U1837" s="189" t="str">
        <f>IFERROR(IF(Tableau3[[#This Row],[Dettes]]=0,"",(Tableau3[[#This Row],[Dettes]]/Tableau3[[#This Row],[EBE]])),"")</f>
        <v/>
      </c>
      <c r="V1837" s="190" t="str">
        <f>IFERROR(Tableau3[[#This Row],[Fonds propres]]/Tableau3[[#This Row],[Total Bilan]],"")</f>
        <v/>
      </c>
      <c r="W1837" s="180"/>
      <c r="X1837" s="192"/>
      <c r="Y1837" s="180"/>
      <c r="Z1837" s="192" t="str">
        <f>IFERROR(Tableau3[[#This Row],[Chiffre d''affaires]]/Tableau3[[#This Row],[Salariés]],"")</f>
        <v/>
      </c>
      <c r="AA1837" s="177"/>
      <c r="AC1837" s="177" t="s">
        <v>1268</v>
      </c>
    </row>
    <row r="1838" spans="1:29" ht="20.25" customHeight="1">
      <c r="A1838" s="217"/>
      <c r="E1838" s="187">
        <v>68</v>
      </c>
      <c r="F1838" s="178">
        <v>2017</v>
      </c>
      <c r="G1838" s="188"/>
      <c r="H1838" s="188"/>
      <c r="I1838" s="188"/>
      <c r="J1838" s="188"/>
      <c r="K1838" s="188"/>
      <c r="L1838" s="188"/>
      <c r="M1838" s="188"/>
      <c r="N1838" s="188"/>
      <c r="O1838" s="188"/>
      <c r="P1838" s="188">
        <v>138035801</v>
      </c>
      <c r="Q1838" s="188">
        <f>P1838*E1838</f>
        <v>9386434468</v>
      </c>
      <c r="R1838" s="195"/>
      <c r="S1838" s="197"/>
      <c r="T1838" s="180"/>
      <c r="U1838" s="189" t="str">
        <f>IFERROR(IF(Tableau3[[#This Row],[Dettes]]=0,"",(Tableau3[[#This Row],[Dettes]]/Tableau3[[#This Row],[EBE]])),"")</f>
        <v/>
      </c>
      <c r="V1838" s="190" t="str">
        <f>IFERROR(Tableau3[[#This Row],[Fonds propres]]/Tableau3[[#This Row],[Total Bilan]],"")</f>
        <v/>
      </c>
      <c r="W1838" s="180"/>
      <c r="X1838" s="192"/>
      <c r="Y1838" s="180"/>
      <c r="Z1838" s="192" t="str">
        <f>IFERROR(Tableau3[[#This Row],[Chiffre d''affaires]]/Tableau3[[#This Row],[Salariés]],"")</f>
        <v/>
      </c>
      <c r="AA1838" s="177"/>
      <c r="AC1838" s="177" t="s">
        <v>1269</v>
      </c>
    </row>
    <row r="1839" spans="1:29" ht="20.25" customHeight="1">
      <c r="A1839" s="217"/>
      <c r="E1839" s="187"/>
      <c r="G1839" s="188"/>
      <c r="H1839" s="188"/>
      <c r="I1839" s="188"/>
      <c r="J1839" s="188"/>
      <c r="K1839" s="188"/>
      <c r="L1839" s="188"/>
      <c r="M1839" s="188"/>
      <c r="N1839" s="188"/>
      <c r="O1839" s="188"/>
      <c r="P1839" s="188"/>
      <c r="Q1839" s="188"/>
      <c r="R1839" s="188"/>
      <c r="S1839" s="188"/>
      <c r="T1839" s="180"/>
      <c r="U1839" s="189" t="str">
        <f>IFERROR(IF(Tableau3[[#This Row],[Dettes]]=0,"",(Tableau3[[#This Row],[Dettes]]/Tableau3[[#This Row],[EBE]])),"")</f>
        <v/>
      </c>
      <c r="V1839" s="190" t="str">
        <f>IFERROR(Tableau3[[#This Row],[Fonds propres]]/Tableau3[[#This Row],[Total Bilan]],"")</f>
        <v/>
      </c>
      <c r="W1839" s="180"/>
      <c r="Y1839" s="180"/>
      <c r="Z1839" s="192" t="str">
        <f>IFERROR(Tableau3[[#This Row],[Chiffre d''affaires]]/Tableau3[[#This Row],[Salariés]],"")</f>
        <v/>
      </c>
      <c r="AA1839" s="188"/>
      <c r="AB1839" s="188"/>
      <c r="AC1839" s="177" t="s">
        <v>1270</v>
      </c>
    </row>
    <row r="1840" spans="1:29" ht="20.25" customHeight="1">
      <c r="A1840" s="217"/>
      <c r="E1840" s="187">
        <v>38</v>
      </c>
      <c r="F1840" s="178">
        <v>2016</v>
      </c>
      <c r="G1840" s="188"/>
      <c r="H1840" s="188"/>
      <c r="I1840" s="188"/>
      <c r="J1840" s="188"/>
      <c r="K1840" s="188"/>
      <c r="L1840" s="188"/>
      <c r="M1840" s="188"/>
      <c r="N1840" s="188"/>
      <c r="O1840" s="188"/>
      <c r="P1840" s="188">
        <v>138035801</v>
      </c>
      <c r="Q1840" s="188">
        <f>P1840*E1840</f>
        <v>5245360438</v>
      </c>
      <c r="R1840" s="188"/>
      <c r="S1840" s="188"/>
      <c r="T1840" s="180"/>
      <c r="U1840" s="189" t="str">
        <f>IFERROR(IF(Tableau3[[#This Row],[Dettes]]=0,"",(Tableau3[[#This Row],[Dettes]]/Tableau3[[#This Row],[EBE]])),"")</f>
        <v/>
      </c>
      <c r="V1840" s="190" t="str">
        <f>IFERROR(Tableau3[[#This Row],[Fonds propres]]/Tableau3[[#This Row],[Total Bilan]],"")</f>
        <v/>
      </c>
      <c r="W1840" s="180"/>
      <c r="Y1840" s="180"/>
      <c r="Z1840" s="192" t="str">
        <f>IFERROR(Tableau3[[#This Row],[Chiffre d''affaires]]/Tableau3[[#This Row],[Salariés]],"")</f>
        <v/>
      </c>
      <c r="AA1840" s="188"/>
      <c r="AB1840" s="188"/>
      <c r="AC1840" s="177" t="s">
        <v>1271</v>
      </c>
    </row>
    <row r="1841" spans="1:29" ht="20.25" customHeight="1">
      <c r="A1841" s="217"/>
      <c r="E1841" s="187"/>
      <c r="G1841" s="188"/>
      <c r="H1841" s="188"/>
      <c r="I1841" s="188"/>
      <c r="J1841" s="188"/>
      <c r="K1841" s="188"/>
      <c r="L1841" s="188"/>
      <c r="M1841" s="188"/>
      <c r="N1841" s="188"/>
      <c r="O1841" s="188"/>
      <c r="P1841" s="188"/>
      <c r="Q1841" s="188"/>
      <c r="R1841" s="188"/>
      <c r="S1841" s="188"/>
      <c r="T1841" s="180"/>
      <c r="U1841" s="189" t="str">
        <f>IFERROR(IF(Tableau3[[#This Row],[Dettes]]=0,"",(Tableau3[[#This Row],[Dettes]]/Tableau3[[#This Row],[EBE]])),"")</f>
        <v/>
      </c>
      <c r="V1841" s="190" t="str">
        <f>IFERROR(Tableau3[[#This Row],[Fonds propres]]/Tableau3[[#This Row],[Total Bilan]],"")</f>
        <v/>
      </c>
      <c r="W1841" s="180"/>
      <c r="X1841" s="192"/>
      <c r="Y1841" s="180"/>
      <c r="Z1841" s="192" t="str">
        <f>IFERROR(Tableau3[[#This Row],[Chiffre d''affaires]]/Tableau3[[#This Row],[Salariés]],"")</f>
        <v/>
      </c>
      <c r="AA1841" s="188"/>
      <c r="AB1841" s="188"/>
      <c r="AC1841" s="177" t="s">
        <v>1272</v>
      </c>
    </row>
    <row r="1842" spans="1:29" ht="20.25" customHeight="1">
      <c r="A1842" s="217"/>
      <c r="E1842" s="187">
        <v>33</v>
      </c>
      <c r="F1842" s="178">
        <v>2015</v>
      </c>
      <c r="G1842" s="188"/>
      <c r="H1842" s="188"/>
      <c r="I1842" s="188"/>
      <c r="J1842" s="188"/>
      <c r="K1842" s="188"/>
      <c r="L1842" s="188"/>
      <c r="M1842" s="188"/>
      <c r="N1842" s="188"/>
      <c r="O1842" s="188"/>
      <c r="P1842" s="188"/>
      <c r="Q1842" s="188"/>
      <c r="R1842" s="188"/>
      <c r="S1842" s="188"/>
      <c r="T1842" s="180"/>
      <c r="U1842" s="189" t="str">
        <f>IFERROR(IF(Tableau3[[#This Row],[Dettes]]=0,"",(Tableau3[[#This Row],[Dettes]]/Tableau3[[#This Row],[EBE]])),"")</f>
        <v/>
      </c>
      <c r="V1842" s="190" t="str">
        <f>IFERROR(Tableau3[[#This Row],[Fonds propres]]/Tableau3[[#This Row],[Total Bilan]],"")</f>
        <v/>
      </c>
      <c r="W1842" s="180"/>
      <c r="X1842" s="192"/>
      <c r="Y1842" s="180"/>
      <c r="Z1842" s="192" t="str">
        <f>IFERROR(Tableau3[[#This Row],[Chiffre d''affaires]]/Tableau3[[#This Row],[Salariés]],"")</f>
        <v/>
      </c>
      <c r="AA1842" s="177"/>
      <c r="AC1842" s="177" t="s">
        <v>1273</v>
      </c>
    </row>
    <row r="1843" spans="1:29" ht="20.25" customHeight="1">
      <c r="A1843" s="217"/>
      <c r="E1843" s="187"/>
      <c r="G1843" s="188"/>
      <c r="H1843" s="188"/>
      <c r="I1843" s="188"/>
      <c r="J1843" s="188"/>
      <c r="K1843" s="188"/>
      <c r="L1843" s="188"/>
      <c r="M1843" s="188"/>
      <c r="N1843" s="188"/>
      <c r="O1843" s="188"/>
      <c r="P1843" s="188"/>
      <c r="Q1843" s="188"/>
      <c r="R1843" s="188"/>
      <c r="S1843" s="188"/>
      <c r="T1843" s="180"/>
      <c r="U1843" s="189" t="str">
        <f>IFERROR(IF(Tableau3[[#This Row],[Dettes]]=0,"",(Tableau3[[#This Row],[Dettes]]/Tableau3[[#This Row],[EBE]])),"")</f>
        <v/>
      </c>
      <c r="V1843" s="190" t="str">
        <f>IFERROR(Tableau3[[#This Row],[Fonds propres]]/Tableau3[[#This Row],[Total Bilan]],"")</f>
        <v/>
      </c>
      <c r="W1843" s="180"/>
      <c r="X1843" s="192"/>
      <c r="Y1843" s="180"/>
      <c r="Z1843" s="192" t="str">
        <f>IFERROR(Tableau3[[#This Row],[Chiffre d''affaires]]/Tableau3[[#This Row],[Salariés]],"")</f>
        <v/>
      </c>
      <c r="AA1843" s="177"/>
      <c r="AC1843" s="177" t="s">
        <v>1274</v>
      </c>
    </row>
    <row r="1844" spans="1:29" ht="20.25" customHeight="1">
      <c r="A1844" s="217"/>
      <c r="E1844" s="187">
        <v>29.58</v>
      </c>
      <c r="F1844" s="178">
        <v>2014</v>
      </c>
      <c r="G1844" s="188"/>
      <c r="H1844" s="188"/>
      <c r="I1844" s="188"/>
      <c r="J1844" s="188"/>
      <c r="K1844" s="188"/>
      <c r="L1844" s="188"/>
      <c r="M1844" s="188"/>
      <c r="N1844" s="188"/>
      <c r="O1844" s="188"/>
      <c r="P1844" s="188"/>
      <c r="Q1844" s="188"/>
      <c r="R1844" s="188"/>
      <c r="S1844" s="188"/>
      <c r="T1844" s="180"/>
      <c r="U1844" s="189" t="str">
        <f>IFERROR(IF(Tableau3[[#This Row],[Dettes]]=0,"",(Tableau3[[#This Row],[Dettes]]/Tableau3[[#This Row],[EBE]])),"")</f>
        <v/>
      </c>
      <c r="V1844" s="190" t="str">
        <f>IFERROR(Tableau3[[#This Row],[Fonds propres]]/Tableau3[[#This Row],[Total Bilan]],"")</f>
        <v/>
      </c>
      <c r="W1844" s="180"/>
      <c r="Y1844" s="180"/>
      <c r="Z1844" s="192" t="str">
        <f>IFERROR(Tableau3[[#This Row],[Chiffre d''affaires]]/Tableau3[[#This Row],[Salariés]],"")</f>
        <v/>
      </c>
      <c r="AA1844" s="177"/>
      <c r="AC1844" s="177" t="s">
        <v>1275</v>
      </c>
    </row>
    <row r="1845" spans="1:29" ht="20.25" customHeight="1">
      <c r="A1845" s="217"/>
      <c r="E1845" s="187"/>
      <c r="G1845" s="188"/>
      <c r="H1845" s="188"/>
      <c r="I1845" s="188"/>
      <c r="J1845" s="188"/>
      <c r="K1845" s="188"/>
      <c r="L1845" s="188"/>
      <c r="M1845" s="188"/>
      <c r="N1845" s="188"/>
      <c r="O1845" s="188"/>
      <c r="P1845" s="188"/>
      <c r="Q1845" s="188"/>
      <c r="R1845" s="188"/>
      <c r="S1845" s="188"/>
      <c r="T1845" s="180"/>
      <c r="U1845" s="189" t="str">
        <f>IFERROR(IF(Tableau3[[#This Row],[Dettes]]=0,"",(Tableau3[[#This Row],[Dettes]]/Tableau3[[#This Row],[EBE]])),"")</f>
        <v/>
      </c>
      <c r="V1845" s="190" t="str">
        <f>IFERROR(Tableau3[[#This Row],[Fonds propres]]/Tableau3[[#This Row],[Total Bilan]],"")</f>
        <v/>
      </c>
      <c r="W1845" s="180"/>
      <c r="Y1845" s="180"/>
      <c r="Z1845" s="192" t="str">
        <f>IFERROR(Tableau3[[#This Row],[Chiffre d''affaires]]/Tableau3[[#This Row],[Salariés]],"")</f>
        <v/>
      </c>
      <c r="AA1845" s="177"/>
      <c r="AC1845" s="177" t="s">
        <v>1276</v>
      </c>
    </row>
    <row r="1846" spans="1:29" ht="20.25" customHeight="1">
      <c r="A1846" s="217"/>
      <c r="E1846" s="187">
        <v>26</v>
      </c>
      <c r="F1846" s="178">
        <v>2013</v>
      </c>
      <c r="G1846" s="188"/>
      <c r="H1846" s="178"/>
      <c r="I1846" s="178"/>
      <c r="J1846" s="178"/>
      <c r="K1846" s="178"/>
      <c r="L1846" s="178"/>
      <c r="M1846" s="178"/>
      <c r="N1846" s="178"/>
      <c r="O1846" s="178"/>
      <c r="P1846" s="178"/>
      <c r="Q1846" s="178"/>
      <c r="R1846" s="178"/>
      <c r="S1846" s="178"/>
      <c r="T1846" s="180"/>
      <c r="U1846" s="189" t="str">
        <f>IFERROR(IF(Tableau3[[#This Row],[Dettes]]=0,"",(Tableau3[[#This Row],[Dettes]]/Tableau3[[#This Row],[EBE]])),"")</f>
        <v/>
      </c>
      <c r="V1846" s="190" t="str">
        <f>IFERROR(Tableau3[[#This Row],[Fonds propres]]/Tableau3[[#This Row],[Total Bilan]],"")</f>
        <v/>
      </c>
      <c r="W1846" s="180"/>
      <c r="Y1846" s="180"/>
      <c r="Z1846" s="192" t="str">
        <f>IFERROR(Tableau3[[#This Row],[Chiffre d''affaires]]/Tableau3[[#This Row],[Salariés]],"")</f>
        <v/>
      </c>
      <c r="AA1846" s="177"/>
      <c r="AC1846" s="177" t="s">
        <v>1277</v>
      </c>
    </row>
    <row r="1847" spans="1:29" ht="20.25" customHeight="1">
      <c r="A1847" s="217"/>
      <c r="E1847" s="187"/>
      <c r="G1847" s="188"/>
      <c r="H1847" s="178"/>
      <c r="I1847" s="178"/>
      <c r="J1847" s="178"/>
      <c r="K1847" s="178"/>
      <c r="L1847" s="178"/>
      <c r="M1847" s="178"/>
      <c r="N1847" s="178"/>
      <c r="O1847" s="178"/>
      <c r="P1847" s="178"/>
      <c r="Q1847" s="178"/>
      <c r="R1847" s="178"/>
      <c r="S1847" s="178"/>
      <c r="T1847" s="180"/>
      <c r="U1847" s="189" t="str">
        <f>IFERROR(IF(Tableau3[[#This Row],[Dettes]]=0,"",(Tableau3[[#This Row],[Dettes]]/Tableau3[[#This Row],[EBE]])),"")</f>
        <v/>
      </c>
      <c r="V1847" s="190" t="str">
        <f>IFERROR(Tableau3[[#This Row],[Fonds propres]]/Tableau3[[#This Row],[Total Bilan]],"")</f>
        <v/>
      </c>
      <c r="W1847" s="180"/>
      <c r="Y1847" s="180"/>
      <c r="Z1847" s="192" t="str">
        <f>IFERROR(Tableau3[[#This Row],[Chiffre d''affaires]]/Tableau3[[#This Row],[Salariés]],"")</f>
        <v/>
      </c>
      <c r="AA1847" s="177"/>
      <c r="AC1847" s="177" t="s">
        <v>1278</v>
      </c>
    </row>
    <row r="1848" spans="1:29" ht="20.25" customHeight="1">
      <c r="A1848" s="217"/>
      <c r="E1848" s="187">
        <v>12</v>
      </c>
      <c r="F1848" s="178">
        <v>2012</v>
      </c>
      <c r="G1848" s="188"/>
      <c r="H1848" s="178"/>
      <c r="I1848" s="178"/>
      <c r="J1848" s="178"/>
      <c r="K1848" s="178"/>
      <c r="L1848" s="178"/>
      <c r="M1848" s="178"/>
      <c r="N1848" s="178"/>
      <c r="O1848" s="178"/>
      <c r="P1848" s="178"/>
      <c r="Q1848" s="178"/>
      <c r="R1848" s="178"/>
      <c r="S1848" s="178"/>
      <c r="T1848" s="180"/>
      <c r="U1848" s="189" t="str">
        <f>IFERROR(IF(Tableau3[[#This Row],[Dettes]]=0,"",(Tableau3[[#This Row],[Dettes]]/Tableau3[[#This Row],[EBE]])),"")</f>
        <v/>
      </c>
      <c r="V1848" s="190" t="str">
        <f>IFERROR(Tableau3[[#This Row],[Fonds propres]]/Tableau3[[#This Row],[Total Bilan]],"")</f>
        <v/>
      </c>
      <c r="W1848" s="180"/>
      <c r="Y1848" s="180"/>
      <c r="Z1848" s="192" t="str">
        <f>IFERROR(Tableau3[[#This Row],[Chiffre d''affaires]]/Tableau3[[#This Row],[Salariés]],"")</f>
        <v/>
      </c>
      <c r="AA1848" s="177"/>
      <c r="AC1848" s="177" t="s">
        <v>1279</v>
      </c>
    </row>
    <row r="1849" spans="1:29" ht="20.25" customHeight="1">
      <c r="A1849" s="217"/>
      <c r="E1849" s="187"/>
      <c r="G1849" s="188"/>
      <c r="H1849" s="178"/>
      <c r="I1849" s="178"/>
      <c r="J1849" s="178"/>
      <c r="K1849" s="178"/>
      <c r="L1849" s="178"/>
      <c r="M1849" s="178"/>
      <c r="N1849" s="178"/>
      <c r="O1849" s="178"/>
      <c r="P1849" s="178"/>
      <c r="Q1849" s="178"/>
      <c r="R1849" s="178"/>
      <c r="S1849" s="178"/>
      <c r="T1849" s="180"/>
      <c r="U1849" s="189" t="str">
        <f>IFERROR(IF(Tableau3[[#This Row],[Dettes]]=0,"",(Tableau3[[#This Row],[Dettes]]/Tableau3[[#This Row],[EBE]])),"")</f>
        <v/>
      </c>
      <c r="V1849" s="190" t="str">
        <f>IFERROR(Tableau3[[#This Row],[Fonds propres]]/Tableau3[[#This Row],[Total Bilan]],"")</f>
        <v/>
      </c>
      <c r="W1849" s="180"/>
      <c r="Y1849" s="180"/>
      <c r="Z1849" s="192" t="str">
        <f>IFERROR(Tableau3[[#This Row],[Chiffre d''affaires]]/Tableau3[[#This Row],[Salariés]],"")</f>
        <v/>
      </c>
      <c r="AA1849" s="177"/>
      <c r="AC1849" s="177" t="s">
        <v>1280</v>
      </c>
    </row>
    <row r="1850" spans="1:29" ht="20.25" customHeight="1">
      <c r="A1850" s="217"/>
      <c r="E1850" s="187">
        <v>16</v>
      </c>
      <c r="F1850" s="178">
        <v>2011</v>
      </c>
      <c r="G1850" s="188"/>
      <c r="H1850" s="178"/>
      <c r="I1850" s="178"/>
      <c r="J1850" s="178"/>
      <c r="K1850" s="178"/>
      <c r="L1850" s="178"/>
      <c r="M1850" s="178"/>
      <c r="N1850" s="178"/>
      <c r="O1850" s="178"/>
      <c r="P1850" s="178"/>
      <c r="Q1850" s="178"/>
      <c r="R1850" s="178"/>
      <c r="S1850" s="178"/>
      <c r="T1850" s="180"/>
      <c r="U1850" s="189" t="str">
        <f>IFERROR(IF(Tableau3[[#This Row],[Dettes]]=0,"",(Tableau3[[#This Row],[Dettes]]/Tableau3[[#This Row],[EBE]])),"")</f>
        <v/>
      </c>
      <c r="V1850" s="190" t="str">
        <f>IFERROR(Tableau3[[#This Row],[Fonds propres]]/Tableau3[[#This Row],[Total Bilan]],"")</f>
        <v/>
      </c>
      <c r="W1850" s="180"/>
      <c r="Y1850" s="180"/>
      <c r="Z1850" s="192" t="str">
        <f>IFERROR(Tableau3[[#This Row],[Chiffre d''affaires]]/Tableau3[[#This Row],[Salariés]],"")</f>
        <v/>
      </c>
      <c r="AA1850" s="177"/>
      <c r="AC1850" s="177" t="s">
        <v>1281</v>
      </c>
    </row>
    <row r="1851" spans="1:29" ht="20.25" customHeight="1">
      <c r="A1851" s="217"/>
      <c r="E1851" s="187"/>
      <c r="G1851" s="188"/>
      <c r="H1851" s="178"/>
      <c r="I1851" s="178"/>
      <c r="J1851" s="178"/>
      <c r="K1851" s="178"/>
      <c r="L1851" s="178"/>
      <c r="M1851" s="178"/>
      <c r="N1851" s="178"/>
      <c r="O1851" s="178"/>
      <c r="P1851" s="178"/>
      <c r="Q1851" s="178"/>
      <c r="R1851" s="178"/>
      <c r="S1851" s="178"/>
      <c r="T1851" s="180"/>
      <c r="U1851" s="189" t="str">
        <f>IFERROR(IF(Tableau3[[#This Row],[Dettes]]=0,"",(Tableau3[[#This Row],[Dettes]]/Tableau3[[#This Row],[EBE]])),"")</f>
        <v/>
      </c>
      <c r="V1851" s="190" t="str">
        <f>IFERROR(Tableau3[[#This Row],[Fonds propres]]/Tableau3[[#This Row],[Total Bilan]],"")</f>
        <v/>
      </c>
      <c r="W1851" s="180"/>
      <c r="Y1851" s="180"/>
      <c r="Z1851" s="192" t="str">
        <f>IFERROR(Tableau3[[#This Row],[Chiffre d''affaires]]/Tableau3[[#This Row],[Salariés]],"")</f>
        <v/>
      </c>
      <c r="AA1851" s="177"/>
      <c r="AC1851" s="177" t="s">
        <v>1282</v>
      </c>
    </row>
    <row r="1852" spans="1:29" ht="20.25" customHeight="1">
      <c r="A1852" s="217"/>
      <c r="E1852" s="187">
        <v>22</v>
      </c>
      <c r="F1852" s="178">
        <v>2010</v>
      </c>
      <c r="G1852" s="188"/>
      <c r="H1852" s="178"/>
      <c r="I1852" s="178"/>
      <c r="J1852" s="178"/>
      <c r="K1852" s="178"/>
      <c r="L1852" s="178"/>
      <c r="M1852" s="178"/>
      <c r="N1852" s="178"/>
      <c r="O1852" s="178"/>
      <c r="P1852" s="178"/>
      <c r="Q1852" s="178"/>
      <c r="R1852" s="178"/>
      <c r="S1852" s="178"/>
      <c r="T1852" s="180"/>
      <c r="U1852" s="189" t="str">
        <f>IFERROR(IF(Tableau3[[#This Row],[Dettes]]=0,"",(Tableau3[[#This Row],[Dettes]]/Tableau3[[#This Row],[EBE]])),"")</f>
        <v/>
      </c>
      <c r="V1852" s="190" t="str">
        <f>IFERROR(Tableau3[[#This Row],[Fonds propres]]/Tableau3[[#This Row],[Total Bilan]],"")</f>
        <v/>
      </c>
      <c r="W1852" s="180"/>
      <c r="Y1852" s="180"/>
      <c r="Z1852" s="192" t="str">
        <f>IFERROR(Tableau3[[#This Row],[Chiffre d''affaires]]/Tableau3[[#This Row],[Salariés]],"")</f>
        <v/>
      </c>
      <c r="AA1852" s="177"/>
    </row>
    <row r="1853" spans="1:29" ht="20.25" customHeight="1">
      <c r="A1853" s="217"/>
      <c r="E1853" s="187"/>
      <c r="G1853" s="188"/>
      <c r="H1853" s="178"/>
      <c r="I1853" s="178"/>
      <c r="J1853" s="178"/>
      <c r="K1853" s="178"/>
      <c r="L1853" s="178"/>
      <c r="M1853" s="178"/>
      <c r="N1853" s="178"/>
      <c r="O1853" s="178"/>
      <c r="P1853" s="178"/>
      <c r="Q1853" s="178"/>
      <c r="R1853" s="178"/>
      <c r="S1853" s="178"/>
      <c r="T1853" s="180"/>
      <c r="U1853" s="189" t="str">
        <f>IFERROR(IF(Tableau3[[#This Row],[Dettes]]=0,"",(Tableau3[[#This Row],[Dettes]]/Tableau3[[#This Row],[EBE]])),"")</f>
        <v/>
      </c>
      <c r="V1853" s="190" t="str">
        <f>IFERROR(Tableau3[[#This Row],[Fonds propres]]/Tableau3[[#This Row],[Total Bilan]],"")</f>
        <v/>
      </c>
      <c r="W1853" s="180"/>
      <c r="Y1853" s="180"/>
      <c r="Z1853" s="192" t="str">
        <f>IFERROR(Tableau3[[#This Row],[Chiffre d''affaires]]/Tableau3[[#This Row],[Salariés]],"")</f>
        <v/>
      </c>
      <c r="AA1853" s="177"/>
    </row>
    <row r="1854" spans="1:29" ht="20.25" customHeight="1">
      <c r="A1854" s="217"/>
      <c r="E1854" s="187"/>
      <c r="G1854" s="188"/>
      <c r="H1854" s="178"/>
      <c r="I1854" s="178"/>
      <c r="J1854" s="178"/>
      <c r="K1854" s="178"/>
      <c r="L1854" s="178"/>
      <c r="M1854" s="178"/>
      <c r="N1854" s="178"/>
      <c r="O1854" s="178"/>
      <c r="P1854" s="178"/>
      <c r="Q1854" s="178"/>
      <c r="R1854" s="178"/>
      <c r="S1854" s="178"/>
      <c r="T1854" s="180"/>
      <c r="U1854" s="189" t="str">
        <f>IFERROR(IF(Tableau3[[#This Row],[Dettes]]=0,"",(Tableau3[[#This Row],[Dettes]]/Tableau3[[#This Row],[EBE]])),"")</f>
        <v/>
      </c>
      <c r="V1854" s="190" t="str">
        <f>IFERROR(Tableau3[[#This Row],[Fonds propres]]/Tableau3[[#This Row],[Total Bilan]],"")</f>
        <v/>
      </c>
      <c r="W1854" s="180"/>
      <c r="Y1854" s="180"/>
      <c r="Z1854" s="192" t="str">
        <f>IFERROR(Tableau3[[#This Row],[Chiffre d''affaires]]/Tableau3[[#This Row],[Salariés]],"")</f>
        <v/>
      </c>
      <c r="AA1854" s="177"/>
    </row>
    <row r="1855" spans="1:29" ht="20.25" customHeight="1">
      <c r="A1855" s="217"/>
      <c r="E1855" s="187"/>
      <c r="G1855" s="188"/>
      <c r="H1855" s="178"/>
      <c r="I1855" s="178"/>
      <c r="J1855" s="178"/>
      <c r="K1855" s="178"/>
      <c r="L1855" s="178"/>
      <c r="M1855" s="178"/>
      <c r="N1855" s="178"/>
      <c r="O1855" s="178"/>
      <c r="P1855" s="178"/>
      <c r="Q1855" s="178"/>
      <c r="R1855" s="178"/>
      <c r="S1855" s="178"/>
      <c r="T1855" s="180"/>
      <c r="U1855" s="189" t="str">
        <f>IFERROR(IF(Tableau3[[#This Row],[Dettes]]=0,"",(Tableau3[[#This Row],[Dettes]]/Tableau3[[#This Row],[EBE]])),"")</f>
        <v/>
      </c>
      <c r="V1855" s="190" t="str">
        <f>IFERROR(Tableau3[[#This Row],[Fonds propres]]/Tableau3[[#This Row],[Total Bilan]],"")</f>
        <v/>
      </c>
      <c r="W1855" s="180"/>
      <c r="Y1855" s="180"/>
      <c r="Z1855" s="192" t="str">
        <f>IFERROR(Tableau3[[#This Row],[Chiffre d''affaires]]/Tableau3[[#This Row],[Salariés]],"")</f>
        <v/>
      </c>
      <c r="AA1855" s="177"/>
    </row>
    <row r="1856" spans="1:29" ht="20.25" customHeight="1">
      <c r="A1856" s="217" t="s">
        <v>1283</v>
      </c>
      <c r="B1856" s="216" t="s">
        <v>1224</v>
      </c>
      <c r="C1856" s="178" t="s">
        <v>84</v>
      </c>
      <c r="D1856" s="178" t="s">
        <v>85</v>
      </c>
      <c r="E1856" s="187">
        <v>22.86</v>
      </c>
      <c r="F1856" s="178">
        <v>2021</v>
      </c>
      <c r="G1856" s="188">
        <v>10000000000</v>
      </c>
      <c r="H1856" s="188">
        <v>1200000000</v>
      </c>
      <c r="I1856" s="188">
        <v>600000000</v>
      </c>
      <c r="J1856" s="188">
        <v>350000000</v>
      </c>
      <c r="K1856" s="188">
        <v>739000000</v>
      </c>
      <c r="L1856" s="188">
        <v>2244819000</v>
      </c>
      <c r="M1856" s="194">
        <f>L1856/P1856</f>
        <v>15.109910746738823</v>
      </c>
      <c r="N1856" s="190">
        <f>J1856/L1856</f>
        <v>0.15591457484990995</v>
      </c>
      <c r="O1856" s="190">
        <f>(I1856*0.64)/(K1856+(M1856*P1856))</f>
        <v>0.12869413325674245</v>
      </c>
      <c r="P1856" s="188">
        <v>148566000</v>
      </c>
      <c r="Q1856" s="188">
        <f>P1856*E1856</f>
        <v>3396218760</v>
      </c>
      <c r="R1856" s="195">
        <f>Q1856/L1856</f>
        <v>1.5129142973219667</v>
      </c>
      <c r="S1856" s="197">
        <f>(Q1856+K1856)/H1856</f>
        <v>3.4460156333333334</v>
      </c>
      <c r="T1856" s="180"/>
      <c r="U1856" s="189">
        <f>IFERROR(IF(Tableau3[[#This Row],[Dettes]]=0,"",(Tableau3[[#This Row],[Dettes]]/Tableau3[[#This Row],[EBE]])),"")</f>
        <v>0.61583333333333334</v>
      </c>
      <c r="V1856" s="190" t="str">
        <f>IFERROR(Tableau3[[#This Row],[Fonds propres]]/Tableau3[[#This Row],[Total Bilan]],"")</f>
        <v/>
      </c>
      <c r="W1856" s="180"/>
      <c r="Y1856" s="180"/>
      <c r="Z1856" s="192" t="str">
        <f>IFERROR(Tableau3[[#This Row],[Chiffre d''affaires]]/Tableau3[[#This Row],[Salariés]],"")</f>
        <v/>
      </c>
      <c r="AA1856" s="177"/>
      <c r="AC1856" s="177" t="s">
        <v>1284</v>
      </c>
    </row>
    <row r="1857" spans="1:29" ht="20.25" customHeight="1">
      <c r="A1857" s="217"/>
      <c r="E1857" s="187"/>
      <c r="G1857" s="202">
        <f>(G1856/G1858)-1</f>
        <v>8.8968746596972625E-2</v>
      </c>
      <c r="H1857" s="203">
        <f>(H1856/H1858)-1</f>
        <v>0.19402985074626855</v>
      </c>
      <c r="I1857" s="203">
        <f>(I1856/I1858)-1</f>
        <v>0.17501449184539952</v>
      </c>
      <c r="J1857" s="203">
        <f>(J1856/J1858)-1</f>
        <v>0.26825379570243135</v>
      </c>
      <c r="K1857" s="178"/>
      <c r="L1857" s="178"/>
      <c r="M1857" s="178"/>
      <c r="N1857" s="178"/>
      <c r="O1857" s="178"/>
      <c r="P1857" s="178"/>
      <c r="Q1857" s="178"/>
      <c r="R1857" s="178"/>
      <c r="S1857" s="178"/>
      <c r="T1857" s="180"/>
      <c r="U1857" s="189" t="str">
        <f>IFERROR(IF(Tableau3[[#This Row],[Dettes]]=0,"",(Tableau3[[#This Row],[Dettes]]/Tableau3[[#This Row],[EBE]])),"")</f>
        <v/>
      </c>
      <c r="V1857" s="190" t="str">
        <f>IFERROR(Tableau3[[#This Row],[Fonds propres]]/Tableau3[[#This Row],[Total Bilan]],"")</f>
        <v/>
      </c>
      <c r="W1857" s="180"/>
      <c r="Y1857" s="180"/>
      <c r="Z1857" s="192" t="str">
        <f>IFERROR(Tableau3[[#This Row],[Chiffre d''affaires]]/Tableau3[[#This Row],[Salariés]],"")</f>
        <v/>
      </c>
      <c r="AA1857" s="177"/>
      <c r="AC1857" s="177" t="s">
        <v>1286</v>
      </c>
    </row>
    <row r="1858" spans="1:29" ht="20.25" customHeight="1">
      <c r="A1858" s="217"/>
      <c r="E1858" s="187">
        <v>28.22</v>
      </c>
      <c r="F1858" s="178">
        <v>2020</v>
      </c>
      <c r="G1858" s="188">
        <v>9183000000</v>
      </c>
      <c r="H1858" s="188">
        <v>1005000000</v>
      </c>
      <c r="I1858" s="188">
        <v>510632000</v>
      </c>
      <c r="J1858" s="188">
        <v>275970000</v>
      </c>
      <c r="K1858" s="188">
        <v>739000000</v>
      </c>
      <c r="L1858" s="188">
        <v>2244819000</v>
      </c>
      <c r="M1858" s="194">
        <f>L1858/P1858</f>
        <v>15.109910746738823</v>
      </c>
      <c r="N1858" s="190">
        <f>J1858/L1858</f>
        <v>0.12293641491808471</v>
      </c>
      <c r="O1858" s="190">
        <f>(I1858*0.64)/(K1858+(M1858*P1858))</f>
        <v>0.10952557108859486</v>
      </c>
      <c r="P1858" s="188">
        <v>148566000</v>
      </c>
      <c r="Q1858" s="188">
        <f>P1858*E1858</f>
        <v>4192532520</v>
      </c>
      <c r="R1858" s="195">
        <f>Q1858/L1858</f>
        <v>1.8676483582863475</v>
      </c>
      <c r="S1858" s="197">
        <f>(Q1858+K1858)/H1858</f>
        <v>4.9069975323383082</v>
      </c>
      <c r="T1858" s="180"/>
      <c r="U1858" s="189">
        <f>IFERROR(IF(Tableau3[[#This Row],[Dettes]]=0,"",(Tableau3[[#This Row],[Dettes]]/Tableau3[[#This Row],[EBE]])),"")</f>
        <v>0.73532338308457712</v>
      </c>
      <c r="V1858" s="190" t="str">
        <f>IFERROR(Tableau3[[#This Row],[Fonds propres]]/Tableau3[[#This Row],[Total Bilan]],"")</f>
        <v/>
      </c>
      <c r="W1858" s="180"/>
      <c r="X1858" s="191"/>
      <c r="Y1858" s="180"/>
      <c r="Z1858" s="192" t="str">
        <f>IFERROR(Tableau3[[#This Row],[Chiffre d''affaires]]/Tableau3[[#This Row],[Salariés]],"")</f>
        <v/>
      </c>
      <c r="AA1858" s="197"/>
      <c r="AB1858" s="197"/>
      <c r="AC1858" s="177" t="s">
        <v>1287</v>
      </c>
    </row>
    <row r="1859" spans="1:29" ht="20.25" customHeight="1">
      <c r="A1859" s="217"/>
      <c r="E1859" s="187"/>
      <c r="G1859" s="202">
        <f>(G1858/G1860)-1</f>
        <v>0</v>
      </c>
      <c r="H1859" s="203">
        <f>(H1858/H1860)-1</f>
        <v>0</v>
      </c>
      <c r="I1859" s="203">
        <f>(I1858/I1860)-1</f>
        <v>0</v>
      </c>
      <c r="J1859" s="203">
        <f>(J1858/J1860)-1</f>
        <v>0</v>
      </c>
      <c r="K1859" s="188"/>
      <c r="L1859" s="188"/>
      <c r="M1859" s="188"/>
      <c r="N1859" s="190"/>
      <c r="O1859" s="190"/>
      <c r="P1859" s="188"/>
      <c r="Q1859" s="188"/>
      <c r="R1859" s="188"/>
      <c r="S1859" s="188"/>
      <c r="T1859" s="180"/>
      <c r="U1859" s="189" t="str">
        <f>IFERROR(IF(Tableau3[[#This Row],[Dettes]]=0,"",(Tableau3[[#This Row],[Dettes]]/Tableau3[[#This Row],[EBE]])),"")</f>
        <v/>
      </c>
      <c r="V1859" s="190" t="str">
        <f>IFERROR(Tableau3[[#This Row],[Fonds propres]]/Tableau3[[#This Row],[Total Bilan]],"")</f>
        <v/>
      </c>
      <c r="W1859" s="180"/>
      <c r="X1859" s="192"/>
      <c r="Y1859" s="180"/>
      <c r="Z1859" s="192" t="str">
        <f>IFERROR(Tableau3[[#This Row],[Chiffre d''affaires]]/Tableau3[[#This Row],[Salariés]],"")</f>
        <v/>
      </c>
      <c r="AA1859" s="188"/>
      <c r="AB1859" s="188"/>
      <c r="AC1859" s="177" t="s">
        <v>1288</v>
      </c>
    </row>
    <row r="1860" spans="1:29" ht="20.25" customHeight="1">
      <c r="A1860" s="217"/>
      <c r="E1860" s="187">
        <v>25</v>
      </c>
      <c r="F1860" s="178">
        <v>2019</v>
      </c>
      <c r="G1860" s="188">
        <v>9183000000</v>
      </c>
      <c r="H1860" s="188">
        <v>1005000000</v>
      </c>
      <c r="I1860" s="188">
        <v>510632000</v>
      </c>
      <c r="J1860" s="188">
        <v>275970000</v>
      </c>
      <c r="K1860" s="188">
        <v>739000000</v>
      </c>
      <c r="L1860" s="188">
        <v>2244819000</v>
      </c>
      <c r="M1860" s="194">
        <f>L1860/P1860</f>
        <v>15.109910746738823</v>
      </c>
      <c r="N1860" s="190">
        <f>J1860/L1860</f>
        <v>0.12293641491808471</v>
      </c>
      <c r="O1860" s="190">
        <f>(I1860*0.64)/(K1860+(M1860*P1860))</f>
        <v>0.10952557108859486</v>
      </c>
      <c r="P1860" s="188">
        <v>148566000</v>
      </c>
      <c r="Q1860" s="188">
        <f>P1860*E1860</f>
        <v>3714150000</v>
      </c>
      <c r="R1860" s="195">
        <f>Q1860/L1860</f>
        <v>1.6545431947965514</v>
      </c>
      <c r="S1860" s="197">
        <f>(Q1860+K1860)/H1860</f>
        <v>4.4309950248756218</v>
      </c>
      <c r="T1860" s="180"/>
      <c r="U1860" s="189">
        <f>IFERROR(IF(Tableau3[[#This Row],[Dettes]]=0,"",(Tableau3[[#This Row],[Dettes]]/Tableau3[[#This Row],[EBE]])),"")</f>
        <v>0.73532338308457712</v>
      </c>
      <c r="V1860" s="190" t="str">
        <f>IFERROR(Tableau3[[#This Row],[Fonds propres]]/Tableau3[[#This Row],[Total Bilan]],"")</f>
        <v/>
      </c>
      <c r="W1860" s="180"/>
      <c r="X1860" s="191"/>
      <c r="Y1860" s="180"/>
      <c r="Z1860" s="192" t="str">
        <f>IFERROR(Tableau3[[#This Row],[Chiffre d''affaires]]/Tableau3[[#This Row],[Salariés]],"")</f>
        <v/>
      </c>
      <c r="AA1860" s="197"/>
      <c r="AB1860" s="197"/>
      <c r="AC1860" s="177" t="s">
        <v>1289</v>
      </c>
    </row>
    <row r="1861" spans="1:29" ht="20.25" customHeight="1">
      <c r="A1861" s="217"/>
      <c r="E1861" s="187"/>
      <c r="G1861" s="202">
        <f>(G1860/G1862)-1</f>
        <v>0.11390101892285309</v>
      </c>
      <c r="H1861" s="203">
        <f>(H1860/H1862)-1</f>
        <v>9.4771241830065467E-2</v>
      </c>
      <c r="I1861" s="203">
        <f>(I1860/I1862)-1</f>
        <v>-0.16303556793968199</v>
      </c>
      <c r="J1861" s="203">
        <f>(J1860/J1862)-1</f>
        <v>-0.4825200264018481</v>
      </c>
      <c r="K1861" s="188"/>
      <c r="L1861" s="188"/>
      <c r="M1861" s="188"/>
      <c r="N1861" s="190"/>
      <c r="O1861" s="190"/>
      <c r="P1861" s="188"/>
      <c r="Q1861" s="188"/>
      <c r="R1861" s="188"/>
      <c r="S1861" s="188"/>
      <c r="T1861" s="180"/>
      <c r="U1861" s="189" t="str">
        <f>IFERROR(IF(Tableau3[[#This Row],[Dettes]]=0,"",(Tableau3[[#This Row],[Dettes]]/Tableau3[[#This Row],[EBE]])),"")</f>
        <v/>
      </c>
      <c r="V1861" s="190" t="str">
        <f>IFERROR(Tableau3[[#This Row],[Fonds propres]]/Tableau3[[#This Row],[Total Bilan]],"")</f>
        <v/>
      </c>
      <c r="W1861" s="180"/>
      <c r="X1861" s="192"/>
      <c r="Y1861" s="180"/>
      <c r="Z1861" s="192" t="str">
        <f>IFERROR(Tableau3[[#This Row],[Chiffre d''affaires]]/Tableau3[[#This Row],[Salariés]],"")</f>
        <v/>
      </c>
      <c r="AA1861" s="188"/>
      <c r="AB1861" s="188"/>
      <c r="AC1861" s="177" t="s">
        <v>1290</v>
      </c>
    </row>
    <row r="1862" spans="1:29" ht="20.25" customHeight="1">
      <c r="A1862" s="217"/>
      <c r="E1862" s="187">
        <v>20</v>
      </c>
      <c r="F1862" s="178">
        <v>2018</v>
      </c>
      <c r="G1862" s="188">
        <v>8244000000</v>
      </c>
      <c r="H1862" s="188">
        <v>918000000</v>
      </c>
      <c r="I1862" s="188">
        <v>610100000</v>
      </c>
      <c r="J1862" s="188">
        <v>533296000</v>
      </c>
      <c r="K1862" s="188">
        <v>698000000</v>
      </c>
      <c r="L1862" s="188">
        <v>2085861000</v>
      </c>
      <c r="M1862" s="194">
        <f>L1862/P1862</f>
        <v>14.039962037074432</v>
      </c>
      <c r="N1862" s="190">
        <f>J1862/L1862</f>
        <v>0.25567187842334654</v>
      </c>
      <c r="O1862" s="190">
        <f>(I1862*0.64)/(K1862+(M1862*P1862))</f>
        <v>0.14025987648090188</v>
      </c>
      <c r="P1862" s="188">
        <v>148566000</v>
      </c>
      <c r="Q1862" s="188">
        <f>P1862*E1862</f>
        <v>2971320000</v>
      </c>
      <c r="R1862" s="195">
        <f>Q1862/L1862</f>
        <v>1.4245052762384454</v>
      </c>
      <c r="S1862" s="197">
        <f>(Q1862+K1862)/H1862</f>
        <v>3.9970806100217864</v>
      </c>
      <c r="T1862" s="180"/>
      <c r="U1862" s="189">
        <f>IFERROR(IF(Tableau3[[#This Row],[Dettes]]=0,"",(Tableau3[[#This Row],[Dettes]]/Tableau3[[#This Row],[EBE]])),"")</f>
        <v>0.76034858387799564</v>
      </c>
      <c r="V1862" s="190" t="str">
        <f>IFERROR(Tableau3[[#This Row],[Fonds propres]]/Tableau3[[#This Row],[Total Bilan]],"")</f>
        <v/>
      </c>
      <c r="W1862" s="180"/>
      <c r="X1862" s="191"/>
      <c r="Y1862" s="180"/>
      <c r="Z1862" s="192" t="str">
        <f>IFERROR(Tableau3[[#This Row],[Chiffre d''affaires]]/Tableau3[[#This Row],[Salariés]],"")</f>
        <v/>
      </c>
      <c r="AA1862" s="197"/>
      <c r="AB1862" s="197"/>
      <c r="AC1862" s="177" t="s">
        <v>654</v>
      </c>
    </row>
    <row r="1863" spans="1:29" ht="20.25" customHeight="1">
      <c r="A1863" s="217"/>
      <c r="E1863" s="187"/>
      <c r="G1863" s="202">
        <f>(G1862/G1864)-1</f>
        <v>3.042271829612786E-2</v>
      </c>
      <c r="H1863" s="203">
        <f>(H1862/H1864)-1</f>
        <v>2.9147982062780242E-2</v>
      </c>
      <c r="I1863" s="203">
        <f>(I1862/I1864)-1</f>
        <v>0.18457968875901631</v>
      </c>
      <c r="J1863" s="203">
        <f>(J1862/J1864)-1</f>
        <v>0.25429174202743798</v>
      </c>
      <c r="K1863" s="188"/>
      <c r="L1863" s="188"/>
      <c r="M1863" s="188"/>
      <c r="N1863" s="190"/>
      <c r="O1863" s="190"/>
      <c r="P1863" s="188"/>
      <c r="Q1863" s="188"/>
      <c r="R1863" s="188"/>
      <c r="S1863" s="188"/>
      <c r="T1863" s="180"/>
      <c r="U1863" s="189" t="str">
        <f>IFERROR(IF(Tableau3[[#This Row],[Dettes]]=0,"",(Tableau3[[#This Row],[Dettes]]/Tableau3[[#This Row],[EBE]])),"")</f>
        <v/>
      </c>
      <c r="V1863" s="190" t="str">
        <f>IFERROR(Tableau3[[#This Row],[Fonds propres]]/Tableau3[[#This Row],[Total Bilan]],"")</f>
        <v/>
      </c>
      <c r="W1863" s="180"/>
      <c r="X1863" s="192"/>
      <c r="Y1863" s="180"/>
      <c r="Z1863" s="192" t="str">
        <f>IFERROR(Tableau3[[#This Row],[Chiffre d''affaires]]/Tableau3[[#This Row],[Salariés]],"")</f>
        <v/>
      </c>
      <c r="AA1863" s="188"/>
      <c r="AB1863" s="188"/>
      <c r="AC1863" s="177" t="s">
        <v>1291</v>
      </c>
    </row>
    <row r="1864" spans="1:29" ht="20.25" customHeight="1">
      <c r="A1864" s="217"/>
      <c r="E1864" s="187">
        <v>39.5</v>
      </c>
      <c r="F1864" s="178">
        <v>2017</v>
      </c>
      <c r="G1864" s="188">
        <v>8000600000</v>
      </c>
      <c r="H1864" s="188">
        <v>892000000</v>
      </c>
      <c r="I1864" s="188">
        <v>515035000</v>
      </c>
      <c r="J1864" s="188">
        <v>425177000</v>
      </c>
      <c r="K1864" s="188">
        <v>571000000</v>
      </c>
      <c r="L1864" s="188">
        <v>1727620000</v>
      </c>
      <c r="M1864" s="194">
        <f>L1864/P1864</f>
        <v>11.442935016591932</v>
      </c>
      <c r="N1864" s="190">
        <f>J1864/L1864</f>
        <v>0.24610562507958927</v>
      </c>
      <c r="O1864" s="190">
        <f>(I1864*0.64)/(K1864+(M1864*P1864))</f>
        <v>0.14340012703274138</v>
      </c>
      <c r="P1864" s="188">
        <v>150977000</v>
      </c>
      <c r="Q1864" s="188">
        <f>P1864*E1864</f>
        <v>5963591500</v>
      </c>
      <c r="R1864" s="195">
        <f>Q1864/L1864</f>
        <v>3.4519115893541406</v>
      </c>
      <c r="S1864" s="197">
        <f>(Q1864+K1864)/H1864</f>
        <v>7.3257752242152465</v>
      </c>
      <c r="T1864" s="180"/>
      <c r="U1864" s="189">
        <f>IFERROR(IF(Tableau3[[#This Row],[Dettes]]=0,"",(Tableau3[[#This Row],[Dettes]]/Tableau3[[#This Row],[EBE]])),"")</f>
        <v>0.64013452914798208</v>
      </c>
      <c r="V1864" s="190" t="str">
        <f>IFERROR(Tableau3[[#This Row],[Fonds propres]]/Tableau3[[#This Row],[Total Bilan]],"")</f>
        <v/>
      </c>
      <c r="W1864" s="180"/>
      <c r="X1864" s="191"/>
      <c r="Y1864" s="180"/>
      <c r="Z1864" s="192" t="str">
        <f>IFERROR(Tableau3[[#This Row],[Chiffre d''affaires]]/Tableau3[[#This Row],[Salariés]],"")</f>
        <v/>
      </c>
      <c r="AA1864" s="197"/>
      <c r="AB1864" s="197"/>
    </row>
    <row r="1865" spans="1:29" ht="20.25" customHeight="1">
      <c r="A1865" s="217"/>
      <c r="E1865" s="187"/>
      <c r="G1865" s="202">
        <f>(G1864/G1866)-1</f>
        <v>0.1535389362284989</v>
      </c>
      <c r="H1865" s="203">
        <f>(H1864/H1866)-1</f>
        <v>0.10123456790123453</v>
      </c>
      <c r="I1865" s="203">
        <f>(I1864/I1866)-1</f>
        <v>0.27296432234703838</v>
      </c>
      <c r="J1865" s="203">
        <f>(J1864/J1866)-1</f>
        <v>0.3622577792587276</v>
      </c>
      <c r="K1865" s="188"/>
      <c r="L1865" s="188"/>
      <c r="M1865" s="188"/>
      <c r="N1865" s="188"/>
      <c r="O1865" s="188"/>
      <c r="P1865" s="188"/>
      <c r="Q1865" s="188"/>
      <c r="R1865" s="188"/>
      <c r="S1865" s="188"/>
      <c r="T1865" s="180"/>
      <c r="U1865" s="189" t="str">
        <f>IFERROR(IF(Tableau3[[#This Row],[Dettes]]=0,"",(Tableau3[[#This Row],[Dettes]]/Tableau3[[#This Row],[EBE]])),"")</f>
        <v/>
      </c>
      <c r="V1865" s="190" t="str">
        <f>IFERROR(Tableau3[[#This Row],[Fonds propres]]/Tableau3[[#This Row],[Total Bilan]],"")</f>
        <v/>
      </c>
      <c r="W1865" s="180"/>
      <c r="X1865" s="192"/>
      <c r="Y1865" s="180"/>
      <c r="Z1865" s="192" t="str">
        <f>IFERROR(Tableau3[[#This Row],[Chiffre d''affaires]]/Tableau3[[#This Row],[Salariés]],"")</f>
        <v/>
      </c>
      <c r="AA1865" s="188"/>
      <c r="AB1865" s="188"/>
    </row>
    <row r="1866" spans="1:29" ht="20.25" customHeight="1">
      <c r="A1866" s="217"/>
      <c r="E1866" s="187">
        <v>31</v>
      </c>
      <c r="F1866" s="178">
        <v>2016</v>
      </c>
      <c r="G1866" s="188">
        <v>6935700000</v>
      </c>
      <c r="H1866" s="188">
        <v>810000000</v>
      </c>
      <c r="I1866" s="188">
        <v>404595000</v>
      </c>
      <c r="J1866" s="188">
        <v>312112000</v>
      </c>
      <c r="K1866" s="188">
        <v>800000000</v>
      </c>
      <c r="L1866" s="188">
        <v>1480037000</v>
      </c>
      <c r="M1866" s="194">
        <f>L1866/P1866</f>
        <v>9.7066246056782326</v>
      </c>
      <c r="N1866" s="188"/>
      <c r="O1866" s="188"/>
      <c r="P1866" s="188">
        <v>152477000</v>
      </c>
      <c r="Q1866" s="188">
        <f>P1866*E1866</f>
        <v>4726787000</v>
      </c>
      <c r="R1866" s="195">
        <f>Q1866/L1866</f>
        <v>3.1936951576210593</v>
      </c>
      <c r="S1866" s="197">
        <f>(Q1866+K1866)/H1866</f>
        <v>6.8231938271604937</v>
      </c>
      <c r="T1866" s="180"/>
      <c r="U1866" s="189">
        <f>IFERROR(IF(Tableau3[[#This Row],[Dettes]]=0,"",(Tableau3[[#This Row],[Dettes]]/Tableau3[[#This Row],[EBE]])),"")</f>
        <v>0.98765432098765427</v>
      </c>
      <c r="V1866" s="190" t="str">
        <f>IFERROR(Tableau3[[#This Row],[Fonds propres]]/Tableau3[[#This Row],[Total Bilan]],"")</f>
        <v/>
      </c>
      <c r="W1866" s="180"/>
      <c r="X1866" s="191"/>
      <c r="Y1866" s="180"/>
      <c r="Z1866" s="192" t="str">
        <f>IFERROR(Tableau3[[#This Row],[Chiffre d''affaires]]/Tableau3[[#This Row],[Salariés]],"")</f>
        <v/>
      </c>
      <c r="AA1866" s="197"/>
      <c r="AB1866" s="197"/>
    </row>
    <row r="1867" spans="1:29" ht="20.25" customHeight="1">
      <c r="A1867" s="217"/>
      <c r="E1867" s="187"/>
      <c r="G1867" s="188"/>
      <c r="H1867" s="188"/>
      <c r="I1867" s="188"/>
      <c r="J1867" s="188"/>
      <c r="K1867" s="188"/>
      <c r="L1867" s="188"/>
      <c r="M1867" s="188"/>
      <c r="N1867" s="188"/>
      <c r="O1867" s="188"/>
      <c r="P1867" s="188"/>
      <c r="Q1867" s="188"/>
      <c r="R1867" s="188"/>
      <c r="S1867" s="188"/>
      <c r="T1867" s="180"/>
      <c r="U1867" s="189" t="str">
        <f>IFERROR(IF(Tableau3[[#This Row],[Dettes]]=0,"",(Tableau3[[#This Row],[Dettes]]/Tableau3[[#This Row],[EBE]])),"")</f>
        <v/>
      </c>
      <c r="V1867" s="190" t="str">
        <f>IFERROR(Tableau3[[#This Row],[Fonds propres]]/Tableau3[[#This Row],[Total Bilan]],"")</f>
        <v/>
      </c>
      <c r="W1867" s="180"/>
      <c r="X1867" s="192"/>
      <c r="Y1867" s="180"/>
      <c r="Z1867" s="192" t="str">
        <f>IFERROR(Tableau3[[#This Row],[Chiffre d''affaires]]/Tableau3[[#This Row],[Salariés]],"")</f>
        <v/>
      </c>
      <c r="AA1867" s="188"/>
      <c r="AB1867" s="188"/>
    </row>
    <row r="1868" spans="1:29" ht="20.25" customHeight="1">
      <c r="A1868" s="217"/>
      <c r="E1868" s="187">
        <v>27.8</v>
      </c>
      <c r="F1868" s="178">
        <v>2015</v>
      </c>
      <c r="G1868" s="188"/>
      <c r="H1868" s="188"/>
      <c r="I1868" s="188"/>
      <c r="J1868" s="188"/>
      <c r="K1868" s="188"/>
      <c r="L1868" s="188">
        <v>1287319000</v>
      </c>
      <c r="M1868" s="194">
        <f>L1868/P1868</f>
        <v>8.3822382257759944</v>
      </c>
      <c r="N1868" s="188"/>
      <c r="O1868" s="188"/>
      <c r="P1868" s="188">
        <v>153577000</v>
      </c>
      <c r="Q1868" s="188">
        <f>P1868*E1868</f>
        <v>4269440600</v>
      </c>
      <c r="R1868" s="195">
        <f>Q1868/L1868</f>
        <v>3.316536616021359</v>
      </c>
      <c r="S1868" s="197" t="e">
        <f>(Q1868+K1868)/H1868</f>
        <v>#DIV/0!</v>
      </c>
      <c r="T1868" s="180"/>
      <c r="U1868" s="189" t="str">
        <f>IFERROR(IF(Tableau3[[#This Row],[Dettes]]=0,"",(Tableau3[[#This Row],[Dettes]]/Tableau3[[#This Row],[EBE]])),"")</f>
        <v/>
      </c>
      <c r="V1868" s="190" t="str">
        <f>IFERROR(Tableau3[[#This Row],[Fonds propres]]/Tableau3[[#This Row],[Total Bilan]],"")</f>
        <v/>
      </c>
      <c r="W1868" s="180"/>
      <c r="X1868" s="191"/>
      <c r="Y1868" s="180"/>
      <c r="Z1868" s="192" t="str">
        <f>IFERROR(Tableau3[[#This Row],[Chiffre d''affaires]]/Tableau3[[#This Row],[Salariés]],"")</f>
        <v/>
      </c>
      <c r="AA1868" s="197"/>
      <c r="AB1868" s="197"/>
    </row>
    <row r="1869" spans="1:29" ht="20.25" customHeight="1">
      <c r="A1869" s="217"/>
      <c r="E1869" s="187"/>
      <c r="G1869" s="188"/>
      <c r="H1869" s="178"/>
      <c r="I1869" s="178"/>
      <c r="J1869" s="178"/>
      <c r="K1869" s="188"/>
      <c r="L1869" s="188"/>
      <c r="M1869" s="188"/>
      <c r="N1869" s="188"/>
      <c r="O1869" s="188"/>
      <c r="P1869" s="188"/>
      <c r="Q1869" s="188"/>
      <c r="R1869" s="188"/>
      <c r="S1869" s="188"/>
      <c r="T1869" s="180"/>
      <c r="U1869" s="189" t="str">
        <f>IFERROR(IF(Tableau3[[#This Row],[Dettes]]=0,"",(Tableau3[[#This Row],[Dettes]]/Tableau3[[#This Row],[EBE]])),"")</f>
        <v/>
      </c>
      <c r="V1869" s="190" t="str">
        <f>IFERROR(Tableau3[[#This Row],[Fonds propres]]/Tableau3[[#This Row],[Total Bilan]],"")</f>
        <v/>
      </c>
      <c r="W1869" s="180"/>
      <c r="X1869" s="192"/>
      <c r="Y1869" s="180"/>
      <c r="Z1869" s="192" t="str">
        <f>IFERROR(Tableau3[[#This Row],[Chiffre d''affaires]]/Tableau3[[#This Row],[Salariés]],"")</f>
        <v/>
      </c>
      <c r="AA1869" s="188"/>
      <c r="AB1869" s="188"/>
    </row>
    <row r="1870" spans="1:29" ht="20.25" customHeight="1">
      <c r="A1870" s="217"/>
      <c r="E1870" s="187"/>
      <c r="G1870" s="188"/>
      <c r="H1870" s="178"/>
      <c r="I1870" s="178"/>
      <c r="J1870" s="178"/>
      <c r="K1870" s="188"/>
      <c r="L1870" s="188"/>
      <c r="M1870" s="188"/>
      <c r="N1870" s="188"/>
      <c r="O1870" s="188"/>
      <c r="P1870" s="188"/>
      <c r="Q1870" s="188"/>
      <c r="R1870" s="188"/>
      <c r="S1870" s="188"/>
      <c r="T1870" s="180"/>
      <c r="U1870" s="189" t="str">
        <f>IFERROR(IF(Tableau3[[#This Row],[Dettes]]=0,"",(Tableau3[[#This Row],[Dettes]]/Tableau3[[#This Row],[EBE]])),"")</f>
        <v/>
      </c>
      <c r="V1870" s="190" t="str">
        <f>IFERROR(Tableau3[[#This Row],[Fonds propres]]/Tableau3[[#This Row],[Total Bilan]],"")</f>
        <v/>
      </c>
      <c r="W1870" s="180"/>
      <c r="X1870" s="192"/>
      <c r="Y1870" s="180"/>
      <c r="Z1870" s="192" t="str">
        <f>IFERROR(Tableau3[[#This Row],[Chiffre d''affaires]]/Tableau3[[#This Row],[Salariés]],"")</f>
        <v/>
      </c>
      <c r="AA1870" s="188"/>
      <c r="AB1870" s="188"/>
    </row>
    <row r="1871" spans="1:29" ht="20.25" customHeight="1">
      <c r="A1871" s="217"/>
      <c r="E1871" s="187"/>
      <c r="G1871" s="188"/>
      <c r="H1871" s="178"/>
      <c r="I1871" s="178"/>
      <c r="J1871" s="178"/>
      <c r="K1871" s="188"/>
      <c r="L1871" s="188"/>
      <c r="M1871" s="188"/>
      <c r="N1871" s="188"/>
      <c r="O1871" s="188"/>
      <c r="P1871" s="188"/>
      <c r="Q1871" s="188"/>
      <c r="R1871" s="188"/>
      <c r="S1871" s="188"/>
      <c r="T1871" s="180"/>
      <c r="U1871" s="189" t="str">
        <f>IFERROR(IF(Tableau3[[#This Row],[Dettes]]=0,"",(Tableau3[[#This Row],[Dettes]]/Tableau3[[#This Row],[EBE]])),"")</f>
        <v/>
      </c>
      <c r="V1871" s="190" t="str">
        <f>IFERROR(Tableau3[[#This Row],[Fonds propres]]/Tableau3[[#This Row],[Total Bilan]],"")</f>
        <v/>
      </c>
      <c r="W1871" s="180"/>
      <c r="X1871" s="192"/>
      <c r="Y1871" s="180"/>
      <c r="Z1871" s="192" t="str">
        <f>IFERROR(Tableau3[[#This Row],[Chiffre d''affaires]]/Tableau3[[#This Row],[Salariés]],"")</f>
        <v/>
      </c>
      <c r="AA1871" s="188"/>
      <c r="AB1871" s="188"/>
    </row>
    <row r="1872" spans="1:29" ht="20.25" customHeight="1">
      <c r="A1872" s="217" t="s">
        <v>1292</v>
      </c>
      <c r="B1872" s="216" t="s">
        <v>1293</v>
      </c>
      <c r="C1872" s="178" t="s">
        <v>84</v>
      </c>
      <c r="D1872" s="178" t="s">
        <v>85</v>
      </c>
      <c r="E1872" s="187">
        <v>27.84</v>
      </c>
      <c r="F1872" s="178">
        <v>2021</v>
      </c>
      <c r="G1872" s="188">
        <v>4500000000</v>
      </c>
      <c r="H1872" s="211">
        <f>G1872*0.135</f>
        <v>607500000</v>
      </c>
      <c r="I1872" s="211">
        <v>250000000</v>
      </c>
      <c r="J1872" s="211">
        <v>100000000</v>
      </c>
      <c r="K1872" s="188">
        <v>3173000000</v>
      </c>
      <c r="L1872" s="188">
        <v>3421549000</v>
      </c>
      <c r="M1872" s="194">
        <f>L1872/P1872</f>
        <v>32.568770928157839</v>
      </c>
      <c r="N1872" s="190">
        <f>J1872/L1872</f>
        <v>2.9226528686276305E-2</v>
      </c>
      <c r="O1872" s="190">
        <f>(I1872*0.64)/(K1872+(M1872*P1872))</f>
        <v>2.4262462831044246E-2</v>
      </c>
      <c r="P1872" s="188">
        <v>105056129</v>
      </c>
      <c r="Q1872" s="188">
        <f>P1872*E1872</f>
        <v>2924762631.3600001</v>
      </c>
      <c r="R1872" s="195">
        <f>Q1872/L1872</f>
        <v>0.85480658945992005</v>
      </c>
      <c r="S1872" s="197">
        <f>(Q1872+K1872)/H1872</f>
        <v>10.037469352032923</v>
      </c>
      <c r="T1872" s="180"/>
      <c r="U1872" s="189">
        <f>IFERROR(IF(Tableau3[[#This Row],[Dettes]]=0,"",(Tableau3[[#This Row],[Dettes]]/Tableau3[[#This Row],[EBE]])),"")</f>
        <v>5.2230452674897121</v>
      </c>
      <c r="V1872" s="190" t="str">
        <f>IFERROR(Tableau3[[#This Row],[Fonds propres]]/Tableau3[[#This Row],[Total Bilan]],"")</f>
        <v/>
      </c>
      <c r="W1872" s="180"/>
      <c r="X1872" s="192"/>
      <c r="Y1872" s="180"/>
      <c r="Z1872" s="192" t="str">
        <f>IFERROR(Tableau3[[#This Row],[Chiffre d''affaires]]/Tableau3[[#This Row],[Salariés]],"")</f>
        <v/>
      </c>
      <c r="AA1872" s="188"/>
      <c r="AB1872" s="188"/>
      <c r="AC1872" s="177" t="s">
        <v>1294</v>
      </c>
    </row>
    <row r="1873" spans="1:29" ht="20.25" customHeight="1">
      <c r="A1873" s="217"/>
      <c r="E1873" s="187"/>
      <c r="G1873" s="202">
        <f>(G1872/G1874)-1</f>
        <v>0.20939295192663021</v>
      </c>
      <c r="H1873" s="203">
        <f>(H1872/H1874)-1</f>
        <v>8.8453656733967101E-2</v>
      </c>
      <c r="I1873" s="203">
        <f>(I1872/I1874)-1</f>
        <v>0</v>
      </c>
      <c r="J1873" s="203">
        <f>(J1872/J1874)-1</f>
        <v>1.8571428571428572</v>
      </c>
      <c r="K1873" s="178"/>
      <c r="L1873" s="178"/>
      <c r="M1873" s="178"/>
      <c r="N1873" s="178"/>
      <c r="O1873" s="178"/>
      <c r="P1873" s="178"/>
      <c r="Q1873" s="178"/>
      <c r="R1873" s="178"/>
      <c r="S1873" s="178"/>
      <c r="T1873" s="180"/>
      <c r="U1873" s="189" t="str">
        <f>IFERROR(IF(Tableau3[[#This Row],[Dettes]]=0,"",(Tableau3[[#This Row],[Dettes]]/Tableau3[[#This Row],[EBE]])),"")</f>
        <v/>
      </c>
      <c r="V1873" s="190" t="str">
        <f>IFERROR(Tableau3[[#This Row],[Fonds propres]]/Tableau3[[#This Row],[Total Bilan]],"")</f>
        <v/>
      </c>
      <c r="W1873" s="180"/>
      <c r="Y1873" s="180"/>
      <c r="Z1873" s="192" t="str">
        <f>IFERROR(Tableau3[[#This Row],[Chiffre d''affaires]]/Tableau3[[#This Row],[Salariés]],"")</f>
        <v/>
      </c>
      <c r="AA1873" s="177"/>
      <c r="AC1873" s="177" t="s">
        <v>1296</v>
      </c>
    </row>
    <row r="1874" spans="1:29" ht="20.25" customHeight="1">
      <c r="A1874" s="217"/>
      <c r="E1874" s="187">
        <v>31.34</v>
      </c>
      <c r="F1874" s="178">
        <v>2020</v>
      </c>
      <c r="G1874" s="188">
        <f>G1876*1.03</f>
        <v>3720875000</v>
      </c>
      <c r="H1874" s="211">
        <f>G1874*0.15</f>
        <v>558131250</v>
      </c>
      <c r="I1874" s="211">
        <v>250000000</v>
      </c>
      <c r="J1874" s="211">
        <v>35000000</v>
      </c>
      <c r="K1874" s="211">
        <v>2839800000</v>
      </c>
      <c r="L1874" s="211">
        <v>3156980000</v>
      </c>
      <c r="M1874" s="194">
        <f>L1874/P1874</f>
        <v>30.326749306637453</v>
      </c>
      <c r="N1874" s="190">
        <f>J1874/L1874</f>
        <v>1.1086544735791801E-2</v>
      </c>
      <c r="O1874" s="190">
        <f>(I1874*0.64)/(K1874+(M1874*P1874))</f>
        <v>2.6680985462198048E-2</v>
      </c>
      <c r="P1874" s="188">
        <f>81985563+22113296</f>
        <v>104098859</v>
      </c>
      <c r="Q1874" s="188">
        <f>P1874*E1874</f>
        <v>3262458241.0599999</v>
      </c>
      <c r="R1874" s="195">
        <f>Q1874/L1874</f>
        <v>1.0334111210904091</v>
      </c>
      <c r="S1874" s="197">
        <f>(Q1874+K1874)/H1874</f>
        <v>10.933374974183939</v>
      </c>
      <c r="T1874" s="180"/>
      <c r="U1874" s="189">
        <f>IFERROR(IF(Tableau3[[#This Row],[Dettes]]=0,"",(Tableau3[[#This Row],[Dettes]]/Tableau3[[#This Row],[EBE]])),"")</f>
        <v>5.0880505257499919</v>
      </c>
      <c r="V1874" s="190" t="str">
        <f>IFERROR(Tableau3[[#This Row],[Fonds propres]]/Tableau3[[#This Row],[Total Bilan]],"")</f>
        <v/>
      </c>
      <c r="W1874" s="180"/>
      <c r="X1874" s="191"/>
      <c r="Y1874" s="180"/>
      <c r="Z1874" s="192" t="str">
        <f>IFERROR(Tableau3[[#This Row],[Chiffre d''affaires]]/Tableau3[[#This Row],[Salariés]],"")</f>
        <v/>
      </c>
      <c r="AA1874" s="197"/>
      <c r="AB1874" s="197"/>
      <c r="AC1874" s="177" t="s">
        <v>1297</v>
      </c>
    </row>
    <row r="1875" spans="1:29" ht="20.25" customHeight="1">
      <c r="A1875" s="217"/>
      <c r="E1875" s="187"/>
      <c r="G1875" s="202">
        <f>(G1874/G1876)-1</f>
        <v>3.0000000000000027E-2</v>
      </c>
      <c r="H1875" s="203">
        <f>(H1874/H1876)-1</f>
        <v>4.3041020370024219E-2</v>
      </c>
      <c r="I1875" s="203">
        <f>(I1874/I1876)-1</f>
        <v>-0.25373134328358204</v>
      </c>
      <c r="J1875" s="203">
        <f>(J1874/J1876)-1</f>
        <v>-0.6948561464690497</v>
      </c>
      <c r="K1875" s="178"/>
      <c r="L1875" s="178"/>
      <c r="M1875" s="178"/>
      <c r="N1875" s="178"/>
      <c r="O1875" s="178"/>
      <c r="P1875" s="178"/>
      <c r="Q1875" s="178"/>
      <c r="R1875" s="178"/>
      <c r="S1875" s="178"/>
      <c r="T1875" s="180"/>
      <c r="U1875" s="189" t="str">
        <f>IFERROR(IF(Tableau3[[#This Row],[Dettes]]=0,"",(Tableau3[[#This Row],[Dettes]]/Tableau3[[#This Row],[EBE]])),"")</f>
        <v/>
      </c>
      <c r="V1875" s="190" t="str">
        <f>IFERROR(Tableau3[[#This Row],[Fonds propres]]/Tableau3[[#This Row],[Total Bilan]],"")</f>
        <v/>
      </c>
      <c r="W1875" s="180"/>
      <c r="Y1875" s="180"/>
      <c r="Z1875" s="192" t="str">
        <f>IFERROR(Tableau3[[#This Row],[Chiffre d''affaires]]/Tableau3[[#This Row],[Salariés]],"")</f>
        <v/>
      </c>
      <c r="AA1875" s="177"/>
      <c r="AC1875" s="177" t="s">
        <v>1298</v>
      </c>
    </row>
    <row r="1876" spans="1:29" ht="20.25" customHeight="1">
      <c r="A1876" s="217"/>
      <c r="E1876" s="187">
        <v>39</v>
      </c>
      <c r="F1876" s="178">
        <v>2019</v>
      </c>
      <c r="G1876" s="188">
        <v>3612500000</v>
      </c>
      <c r="H1876" s="211">
        <v>535100000</v>
      </c>
      <c r="I1876" s="211">
        <v>335000000</v>
      </c>
      <c r="J1876" s="211">
        <v>114700000</v>
      </c>
      <c r="K1876" s="211">
        <v>3157000000</v>
      </c>
      <c r="L1876" s="211">
        <v>2558187000</v>
      </c>
      <c r="M1876" s="194">
        <f>L1876/P1876</f>
        <v>31.202896051345039</v>
      </c>
      <c r="N1876" s="190">
        <f>J1876/L1876</f>
        <v>4.4836440807493744E-2</v>
      </c>
      <c r="O1876" s="190">
        <f>(I1876*0.64)/(K1876+(M1876*P1876))</f>
        <v>3.7514083091244432E-2</v>
      </c>
      <c r="P1876" s="188">
        <v>81985563</v>
      </c>
      <c r="Q1876" s="188">
        <f>P1876*E1876</f>
        <v>3197436957</v>
      </c>
      <c r="R1876" s="195">
        <f>Q1876/L1876</f>
        <v>1.2498839830708233</v>
      </c>
      <c r="S1876" s="197">
        <f>(Q1876+K1876)/H1876</f>
        <v>11.875232586432443</v>
      </c>
      <c r="T1876" s="180"/>
      <c r="U1876" s="189">
        <f>IFERROR(IF(Tableau3[[#This Row],[Dettes]]=0,"",(Tableau3[[#This Row],[Dettes]]/Tableau3[[#This Row],[EBE]])),"")</f>
        <v>5.8998318071388525</v>
      </c>
      <c r="V1876" s="190" t="str">
        <f>IFERROR(Tableau3[[#This Row],[Fonds propres]]/Tableau3[[#This Row],[Total Bilan]],"")</f>
        <v/>
      </c>
      <c r="W1876" s="180"/>
      <c r="X1876" s="191"/>
      <c r="Y1876" s="180"/>
      <c r="Z1876" s="192" t="str">
        <f>IFERROR(Tableau3[[#This Row],[Chiffre d''affaires]]/Tableau3[[#This Row],[Salariés]],"")</f>
        <v/>
      </c>
      <c r="AA1876" s="197"/>
      <c r="AB1876" s="197"/>
      <c r="AC1876" s="177" t="s">
        <v>1299</v>
      </c>
    </row>
    <row r="1877" spans="1:29" ht="20.25" customHeight="1">
      <c r="A1877" s="217"/>
      <c r="E1877" s="187"/>
      <c r="G1877" s="202">
        <f>(G1876/G1878)-1</f>
        <v>8.3000563609981981E-2</v>
      </c>
      <c r="H1877" s="203">
        <f>(H1876/H1878)-1</f>
        <v>0.12156780549151125</v>
      </c>
      <c r="I1877" s="203">
        <f>(I1876/I1878)-1</f>
        <v>0.15796750777739366</v>
      </c>
      <c r="J1877" s="203">
        <f>(J1876/J1878)-1</f>
        <v>-6.8237205523964284E-2</v>
      </c>
      <c r="K1877" s="178"/>
      <c r="L1877" s="178"/>
      <c r="M1877" s="178"/>
      <c r="N1877" s="178"/>
      <c r="O1877" s="178"/>
      <c r="P1877" s="178"/>
      <c r="Q1877" s="178"/>
      <c r="R1877" s="178"/>
      <c r="S1877" s="178"/>
      <c r="T1877" s="180"/>
      <c r="U1877" s="189" t="str">
        <f>IFERROR(IF(Tableau3[[#This Row],[Dettes]]=0,"",(Tableau3[[#This Row],[Dettes]]/Tableau3[[#This Row],[EBE]])),"")</f>
        <v/>
      </c>
      <c r="V1877" s="190" t="str">
        <f>IFERROR(Tableau3[[#This Row],[Fonds propres]]/Tableau3[[#This Row],[Total Bilan]],"")</f>
        <v/>
      </c>
      <c r="W1877" s="180"/>
      <c r="Y1877" s="180"/>
      <c r="Z1877" s="192" t="str">
        <f>IFERROR(Tableau3[[#This Row],[Chiffre d''affaires]]/Tableau3[[#This Row],[Salariés]],"")</f>
        <v/>
      </c>
      <c r="AA1877" s="177"/>
      <c r="AC1877" s="177" t="s">
        <v>1300</v>
      </c>
    </row>
    <row r="1878" spans="1:29" ht="20.25" customHeight="1">
      <c r="A1878" s="217"/>
      <c r="E1878" s="187">
        <v>33</v>
      </c>
      <c r="F1878" s="178">
        <v>2018</v>
      </c>
      <c r="G1878" s="188">
        <f>1.064*3135000000</f>
        <v>3335640000</v>
      </c>
      <c r="H1878" s="188">
        <v>477100000</v>
      </c>
      <c r="I1878" s="188">
        <v>289300000</v>
      </c>
      <c r="J1878" s="188">
        <v>123100000</v>
      </c>
      <c r="K1878" s="188">
        <v>2724000000</v>
      </c>
      <c r="L1878" s="188">
        <v>2556185000</v>
      </c>
      <c r="M1878" s="194">
        <f>L1878/P1878</f>
        <v>31.181952616255224</v>
      </c>
      <c r="N1878" s="190">
        <f>J1878/L1878</f>
        <v>4.8157703765572525E-2</v>
      </c>
      <c r="O1878" s="190">
        <f>(I1878*0.64)/(K1878+(M1878*P1878))</f>
        <v>3.5065438048098696E-2</v>
      </c>
      <c r="P1878" s="188">
        <v>81976425</v>
      </c>
      <c r="Q1878" s="188">
        <f>P1878*E1878</f>
        <v>2705222025</v>
      </c>
      <c r="R1878" s="195">
        <f>Q1878/L1878</f>
        <v>1.0583044752238198</v>
      </c>
      <c r="S1878" s="197">
        <f>(Q1878+K1878)/H1878</f>
        <v>11.379631156990149</v>
      </c>
      <c r="T1878" s="180"/>
      <c r="U1878" s="189">
        <f>IFERROR(IF(Tableau3[[#This Row],[Dettes]]=0,"",(Tableau3[[#This Row],[Dettes]]/Tableau3[[#This Row],[EBE]])),"")</f>
        <v>5.7094948648082164</v>
      </c>
      <c r="V1878" s="190" t="str">
        <f>IFERROR(Tableau3[[#This Row],[Fonds propres]]/Tableau3[[#This Row],[Total Bilan]],"")</f>
        <v/>
      </c>
      <c r="W1878" s="180"/>
      <c r="X1878" s="191"/>
      <c r="Y1878" s="180"/>
      <c r="Z1878" s="192" t="str">
        <f>IFERROR(Tableau3[[#This Row],[Chiffre d''affaires]]/Tableau3[[#This Row],[Salariés]],"")</f>
        <v/>
      </c>
      <c r="AA1878" s="197"/>
      <c r="AB1878" s="197"/>
      <c r="AC1878" s="177" t="s">
        <v>1301</v>
      </c>
    </row>
    <row r="1879" spans="1:29" ht="20.25" customHeight="1">
      <c r="A1879" s="217"/>
      <c r="E1879" s="187"/>
      <c r="G1879" s="202">
        <f>(G1878/G1880)-1</f>
        <v>6.4000000000000057E-2</v>
      </c>
      <c r="H1879" s="203">
        <f>(H1878/H1880)-1</f>
        <v>8.3825533848250755E-2</v>
      </c>
      <c r="I1879" s="203">
        <f>(I1878/I1880)-1</f>
        <v>2.226148409893991E-2</v>
      </c>
      <c r="J1879" s="203">
        <f>(J1878/J1880)-1</f>
        <v>-0.24617268830373551</v>
      </c>
      <c r="K1879" s="178"/>
      <c r="L1879" s="178"/>
      <c r="M1879" s="178"/>
      <c r="N1879" s="178"/>
      <c r="O1879" s="178"/>
      <c r="P1879" s="178"/>
      <c r="Q1879" s="178"/>
      <c r="R1879" s="195"/>
      <c r="S1879" s="178"/>
      <c r="T1879" s="180"/>
      <c r="U1879" s="189" t="str">
        <f>IFERROR(IF(Tableau3[[#This Row],[Dettes]]=0,"",(Tableau3[[#This Row],[Dettes]]/Tableau3[[#This Row],[EBE]])),"")</f>
        <v/>
      </c>
      <c r="V1879" s="190" t="str">
        <f>IFERROR(Tableau3[[#This Row],[Fonds propres]]/Tableau3[[#This Row],[Total Bilan]],"")</f>
        <v/>
      </c>
      <c r="W1879" s="180"/>
      <c r="Y1879" s="180"/>
      <c r="Z1879" s="192" t="str">
        <f>IFERROR(Tableau3[[#This Row],[Chiffre d''affaires]]/Tableau3[[#This Row],[Salariés]],"")</f>
        <v/>
      </c>
      <c r="AA1879" s="177"/>
      <c r="AC1879" s="177" t="s">
        <v>1302</v>
      </c>
    </row>
    <row r="1880" spans="1:29" ht="20.25" customHeight="1">
      <c r="A1880" s="217"/>
      <c r="E1880" s="187">
        <v>30</v>
      </c>
      <c r="F1880" s="178">
        <v>2017</v>
      </c>
      <c r="G1880" s="188">
        <v>3135000000</v>
      </c>
      <c r="H1880" s="188">
        <v>440200000</v>
      </c>
      <c r="I1880" s="188">
        <v>283000000</v>
      </c>
      <c r="J1880" s="188">
        <v>163300000</v>
      </c>
      <c r="K1880" s="188">
        <v>2340000000</v>
      </c>
      <c r="L1880" s="188">
        <v>2462405000</v>
      </c>
      <c r="M1880" s="194">
        <f>L1880/P1880</f>
        <v>30.406690011426317</v>
      </c>
      <c r="N1880" s="190">
        <f>J1880/L1880</f>
        <v>6.6317279245290683E-2</v>
      </c>
      <c r="O1880" s="190">
        <f>(I1880*0.64)/(K1880+(M1880*P1880))</f>
        <v>3.7714436829047113E-2</v>
      </c>
      <c r="P1880" s="188">
        <v>80982343</v>
      </c>
      <c r="Q1880" s="188">
        <f>P1880*E1880</f>
        <v>2429470290</v>
      </c>
      <c r="R1880" s="195">
        <f>Q1880/L1880</f>
        <v>0.98662498248663399</v>
      </c>
      <c r="S1880" s="197">
        <f>(Q1880+K1880)/H1880</f>
        <v>10.834780304407088</v>
      </c>
      <c r="T1880" s="180"/>
      <c r="U1880" s="189">
        <f>IFERROR(IF(Tableau3[[#This Row],[Dettes]]=0,"",(Tableau3[[#This Row],[Dettes]]/Tableau3[[#This Row],[EBE]])),"")</f>
        <v>5.315765561108587</v>
      </c>
      <c r="V1880" s="190" t="str">
        <f>IFERROR(Tableau3[[#This Row],[Fonds propres]]/Tableau3[[#This Row],[Total Bilan]],"")</f>
        <v/>
      </c>
      <c r="W1880" s="180"/>
      <c r="X1880" s="191"/>
      <c r="Y1880" s="180"/>
      <c r="Z1880" s="192" t="str">
        <f>IFERROR(Tableau3[[#This Row],[Chiffre d''affaires]]/Tableau3[[#This Row],[Salariés]],"")</f>
        <v/>
      </c>
      <c r="AA1880" s="197"/>
      <c r="AB1880" s="197"/>
      <c r="AC1880" s="177" t="s">
        <v>1303</v>
      </c>
    </row>
    <row r="1881" spans="1:29" ht="20.25" customHeight="1">
      <c r="A1881" s="217"/>
      <c r="E1881" s="187"/>
      <c r="G1881" s="202">
        <f>(G1880/G1882)-1</f>
        <v>4.9548041513223895E-2</v>
      </c>
      <c r="H1881" s="203">
        <f>(H1880/H1882)-1</f>
        <v>4.3127962085308003E-2</v>
      </c>
      <c r="I1881" s="203">
        <f>(I1880/I1882)-1</f>
        <v>0.17427385892116187</v>
      </c>
      <c r="J1881" s="203">
        <f>(J1880/J1882)-1</f>
        <v>0.24656488549618327</v>
      </c>
      <c r="K1881" s="188"/>
      <c r="L1881" s="188"/>
      <c r="M1881" s="194"/>
      <c r="N1881" s="190"/>
      <c r="O1881" s="190"/>
      <c r="P1881" s="188"/>
      <c r="Q1881" s="188">
        <f>P1881*E1881</f>
        <v>0</v>
      </c>
      <c r="R1881" s="195"/>
      <c r="S1881" s="197"/>
      <c r="T1881" s="180"/>
      <c r="U1881" s="189" t="str">
        <f>IFERROR(IF(Tableau3[[#This Row],[Dettes]]=0,"",(Tableau3[[#This Row],[Dettes]]/Tableau3[[#This Row],[EBE]])),"")</f>
        <v/>
      </c>
      <c r="V1881" s="190" t="str">
        <f>IFERROR(Tableau3[[#This Row],[Fonds propres]]/Tableau3[[#This Row],[Total Bilan]],"")</f>
        <v/>
      </c>
      <c r="W1881" s="180"/>
      <c r="X1881" s="191"/>
      <c r="Y1881" s="180"/>
      <c r="Z1881" s="192" t="str">
        <f>IFERROR(Tableau3[[#This Row],[Chiffre d''affaires]]/Tableau3[[#This Row],[Salariés]],"")</f>
        <v/>
      </c>
      <c r="AA1881" s="197"/>
      <c r="AB1881" s="197"/>
      <c r="AC1881" s="177" t="s">
        <v>1304</v>
      </c>
    </row>
    <row r="1882" spans="1:29" ht="20.25" customHeight="1">
      <c r="A1882" s="217"/>
      <c r="E1882" s="187">
        <v>27.5</v>
      </c>
      <c r="F1882" s="178">
        <v>2016</v>
      </c>
      <c r="G1882" s="188">
        <v>2987000000</v>
      </c>
      <c r="H1882" s="188">
        <v>422000000</v>
      </c>
      <c r="I1882" s="188">
        <v>241000000</v>
      </c>
      <c r="J1882" s="188">
        <v>131000000</v>
      </c>
      <c r="K1882" s="188">
        <v>2315000000</v>
      </c>
      <c r="L1882" s="188">
        <v>2023000000</v>
      </c>
      <c r="M1882" s="194">
        <f>L1882/P1882</f>
        <v>25.223054150780225</v>
      </c>
      <c r="N1882" s="190">
        <f>J1882/L1882</f>
        <v>6.4755313890261984E-2</v>
      </c>
      <c r="O1882" s="190">
        <f>(I1882*0.64)/(K1882+(M1882*P1882))</f>
        <v>3.5555555555555556E-2</v>
      </c>
      <c r="P1882" s="188">
        <v>80204403</v>
      </c>
      <c r="Q1882" s="188">
        <f>P1882*E1882</f>
        <v>2205621082.5</v>
      </c>
      <c r="R1882" s="195">
        <f>Q1882/L1882</f>
        <v>1.090272408551656</v>
      </c>
      <c r="S1882" s="197">
        <f>(Q1882+K1882)/H1882</f>
        <v>10.712372233412323</v>
      </c>
      <c r="T1882" s="180"/>
      <c r="U1882" s="189">
        <f>IFERROR(IF(Tableau3[[#This Row],[Dettes]]=0,"",(Tableau3[[#This Row],[Dettes]]/Tableau3[[#This Row],[EBE]])),"")</f>
        <v>5.4857819905213274</v>
      </c>
      <c r="V1882" s="190" t="str">
        <f>IFERROR(Tableau3[[#This Row],[Fonds propres]]/Tableau3[[#This Row],[Total Bilan]],"")</f>
        <v/>
      </c>
      <c r="W1882" s="180"/>
      <c r="X1882" s="191"/>
      <c r="Y1882" s="180"/>
      <c r="Z1882" s="192" t="str">
        <f>IFERROR(Tableau3[[#This Row],[Chiffre d''affaires]]/Tableau3[[#This Row],[Salariés]],"")</f>
        <v/>
      </c>
      <c r="AA1882" s="197"/>
      <c r="AB1882" s="197"/>
      <c r="AC1882" s="177" t="s">
        <v>1305</v>
      </c>
    </row>
    <row r="1883" spans="1:29" ht="20.25" customHeight="1">
      <c r="A1883" s="217"/>
      <c r="E1883" s="187"/>
      <c r="G1883" s="202">
        <f>(G1882/G1884)-1</f>
        <v>0.15820085304381548</v>
      </c>
      <c r="H1883" s="203">
        <f>(H1882/H1884)-1</f>
        <v>0.31055900621118004</v>
      </c>
      <c r="I1883" s="203">
        <f>(I1882/I1884)-1</f>
        <v>0.34636871508379885</v>
      </c>
      <c r="J1883" s="203">
        <f>(J1882/J1884)-1</f>
        <v>1.2203389830508473</v>
      </c>
      <c r="K1883" s="188"/>
      <c r="L1883" s="188"/>
      <c r="M1883" s="194"/>
      <c r="N1883" s="190"/>
      <c r="O1883" s="190"/>
      <c r="P1883" s="188"/>
      <c r="Q1883" s="188">
        <f>P1883*E1883</f>
        <v>0</v>
      </c>
      <c r="R1883" s="195"/>
      <c r="S1883" s="197"/>
      <c r="T1883" s="180"/>
      <c r="U1883" s="189" t="str">
        <f>IFERROR(IF(Tableau3[[#This Row],[Dettes]]=0,"",(Tableau3[[#This Row],[Dettes]]/Tableau3[[#This Row],[EBE]])),"")</f>
        <v/>
      </c>
      <c r="V1883" s="190" t="str">
        <f>IFERROR(Tableau3[[#This Row],[Fonds propres]]/Tableau3[[#This Row],[Total Bilan]],"")</f>
        <v/>
      </c>
      <c r="W1883" s="180"/>
      <c r="X1883" s="191"/>
      <c r="Y1883" s="180"/>
      <c r="Z1883" s="192" t="str">
        <f>IFERROR(Tableau3[[#This Row],[Chiffre d''affaires]]/Tableau3[[#This Row],[Salariés]],"")</f>
        <v/>
      </c>
      <c r="AA1883" s="197"/>
      <c r="AB1883" s="197"/>
      <c r="AC1883" s="177" t="s">
        <v>1306</v>
      </c>
    </row>
    <row r="1884" spans="1:29" ht="20.25" customHeight="1">
      <c r="A1884" s="217"/>
      <c r="E1884" s="187">
        <v>33.58</v>
      </c>
      <c r="F1884" s="178">
        <v>2015</v>
      </c>
      <c r="G1884" s="188">
        <v>2579000000</v>
      </c>
      <c r="H1884" s="188">
        <v>322000000</v>
      </c>
      <c r="I1884" s="188">
        <v>179000000</v>
      </c>
      <c r="J1884" s="188">
        <v>59000000</v>
      </c>
      <c r="K1884" s="188">
        <v>1645000000</v>
      </c>
      <c r="L1884" s="188">
        <v>1923000000</v>
      </c>
      <c r="M1884" s="194">
        <f>L1884/P1884</f>
        <v>23.976239808181106</v>
      </c>
      <c r="N1884" s="190">
        <f>J1884/L1884</f>
        <v>3.0681227249089962E-2</v>
      </c>
      <c r="O1884" s="190">
        <f>(I1884*0.64)/(K1884+(M1884*P1884))</f>
        <v>3.2107623318385653E-2</v>
      </c>
      <c r="P1884" s="188">
        <v>80204403</v>
      </c>
      <c r="Q1884" s="188">
        <f>P1884*E1884</f>
        <v>2693263852.7399998</v>
      </c>
      <c r="R1884" s="195">
        <f>Q1884/L1884</f>
        <v>1.400553225553822</v>
      </c>
      <c r="S1884" s="197">
        <f>(Q1884+K1884)/H1884</f>
        <v>13.472869107888197</v>
      </c>
      <c r="T1884" s="180"/>
      <c r="U1884" s="189">
        <f>IFERROR(IF(Tableau3[[#This Row],[Dettes]]=0,"",(Tableau3[[#This Row],[Dettes]]/Tableau3[[#This Row],[EBE]])),"")</f>
        <v>5.1086956521739131</v>
      </c>
      <c r="V1884" s="190" t="str">
        <f>IFERROR(Tableau3[[#This Row],[Fonds propres]]/Tableau3[[#This Row],[Total Bilan]],"")</f>
        <v/>
      </c>
      <c r="W1884" s="180"/>
      <c r="X1884" s="191"/>
      <c r="Y1884" s="180"/>
      <c r="Z1884" s="192" t="str">
        <f>IFERROR(Tableau3[[#This Row],[Chiffre d''affaires]]/Tableau3[[#This Row],[Salariés]],"")</f>
        <v/>
      </c>
      <c r="AA1884" s="197"/>
      <c r="AB1884" s="197"/>
      <c r="AC1884" s="177" t="s">
        <v>1307</v>
      </c>
    </row>
    <row r="1885" spans="1:29" ht="20.25" customHeight="1">
      <c r="A1885" s="217"/>
      <c r="E1885" s="187"/>
      <c r="G1885" s="188"/>
      <c r="H1885" s="188"/>
      <c r="I1885" s="188"/>
      <c r="J1885" s="188"/>
      <c r="K1885" s="188"/>
      <c r="L1885" s="188"/>
      <c r="M1885" s="194"/>
      <c r="N1885" s="190"/>
      <c r="O1885" s="190"/>
      <c r="P1885" s="188"/>
      <c r="Q1885" s="188"/>
      <c r="R1885" s="195"/>
      <c r="S1885" s="197"/>
      <c r="T1885" s="180"/>
      <c r="U1885" s="189" t="str">
        <f>IFERROR(IF(Tableau3[[#This Row],[Dettes]]=0,"",(Tableau3[[#This Row],[Dettes]]/Tableau3[[#This Row],[EBE]])),"")</f>
        <v/>
      </c>
      <c r="V1885" s="190" t="str">
        <f>IFERROR(Tableau3[[#This Row],[Fonds propres]]/Tableau3[[#This Row],[Total Bilan]],"")</f>
        <v/>
      </c>
      <c r="W1885" s="180"/>
      <c r="X1885" s="191"/>
      <c r="Y1885" s="180"/>
      <c r="Z1885" s="192" t="str">
        <f>IFERROR(Tableau3[[#This Row],[Chiffre d''affaires]]/Tableau3[[#This Row],[Salariés]],"")</f>
        <v/>
      </c>
      <c r="AA1885" s="197"/>
      <c r="AB1885" s="197"/>
      <c r="AC1885" s="177" t="s">
        <v>616</v>
      </c>
    </row>
    <row r="1886" spans="1:29" ht="20.25" customHeight="1">
      <c r="A1886" s="217"/>
      <c r="E1886" s="187"/>
      <c r="G1886" s="188"/>
      <c r="H1886" s="188"/>
      <c r="I1886" s="188"/>
      <c r="J1886" s="188"/>
      <c r="K1886" s="188"/>
      <c r="L1886" s="188"/>
      <c r="M1886" s="194"/>
      <c r="N1886" s="190"/>
      <c r="O1886" s="190"/>
      <c r="P1886" s="188"/>
      <c r="Q1886" s="188"/>
      <c r="R1886" s="195"/>
      <c r="S1886" s="197"/>
      <c r="T1886" s="180"/>
      <c r="U1886" s="189" t="str">
        <f>IFERROR(IF(Tableau3[[#This Row],[Dettes]]=0,"",(Tableau3[[#This Row],[Dettes]]/Tableau3[[#This Row],[EBE]])),"")</f>
        <v/>
      </c>
      <c r="V1886" s="190" t="str">
        <f>IFERROR(Tableau3[[#This Row],[Fonds propres]]/Tableau3[[#This Row],[Total Bilan]],"")</f>
        <v/>
      </c>
      <c r="W1886" s="180"/>
      <c r="X1886" s="191"/>
      <c r="Y1886" s="180"/>
      <c r="Z1886" s="192" t="str">
        <f>IFERROR(Tableau3[[#This Row],[Chiffre d''affaires]]/Tableau3[[#This Row],[Salariés]],"")</f>
        <v/>
      </c>
      <c r="AA1886" s="197"/>
      <c r="AB1886" s="197"/>
    </row>
    <row r="1887" spans="1:29" ht="20.25" customHeight="1">
      <c r="A1887" s="217"/>
      <c r="E1887" s="187"/>
      <c r="G1887" s="188"/>
      <c r="H1887" s="188"/>
      <c r="I1887" s="188"/>
      <c r="J1887" s="188"/>
      <c r="K1887" s="188"/>
      <c r="L1887" s="188"/>
      <c r="M1887" s="194"/>
      <c r="N1887" s="190"/>
      <c r="O1887" s="190"/>
      <c r="P1887" s="188"/>
      <c r="Q1887" s="188"/>
      <c r="R1887" s="195"/>
      <c r="S1887" s="197"/>
      <c r="T1887" s="180"/>
      <c r="U1887" s="189" t="str">
        <f>IFERROR(IF(Tableau3[[#This Row],[Dettes]]=0,"",(Tableau3[[#This Row],[Dettes]]/Tableau3[[#This Row],[EBE]])),"")</f>
        <v/>
      </c>
      <c r="V1887" s="190" t="str">
        <f>IFERROR(Tableau3[[#This Row],[Fonds propres]]/Tableau3[[#This Row],[Total Bilan]],"")</f>
        <v/>
      </c>
      <c r="W1887" s="180"/>
      <c r="X1887" s="191"/>
      <c r="Y1887" s="180"/>
      <c r="Z1887" s="192" t="str">
        <f>IFERROR(Tableau3[[#This Row],[Chiffre d''affaires]]/Tableau3[[#This Row],[Salariés]],"")</f>
        <v/>
      </c>
      <c r="AA1887" s="197"/>
      <c r="AB1887" s="197"/>
    </row>
    <row r="1888" spans="1:29" ht="20.25" customHeight="1">
      <c r="A1888" s="217"/>
      <c r="E1888" s="187"/>
      <c r="G1888" s="188"/>
      <c r="H1888" s="188"/>
      <c r="I1888" s="188"/>
      <c r="J1888" s="188"/>
      <c r="K1888" s="188"/>
      <c r="L1888" s="188"/>
      <c r="M1888" s="194"/>
      <c r="N1888" s="190"/>
      <c r="O1888" s="190"/>
      <c r="P1888" s="188"/>
      <c r="Q1888" s="188"/>
      <c r="R1888" s="195"/>
      <c r="S1888" s="197"/>
      <c r="T1888" s="180"/>
      <c r="U1888" s="189" t="str">
        <f>IFERROR(IF(Tableau3[[#This Row],[Dettes]]=0,"",(Tableau3[[#This Row],[Dettes]]/Tableau3[[#This Row],[EBE]])),"")</f>
        <v/>
      </c>
      <c r="V1888" s="190" t="str">
        <f>IFERROR(Tableau3[[#This Row],[Fonds propres]]/Tableau3[[#This Row],[Total Bilan]],"")</f>
        <v/>
      </c>
      <c r="W1888" s="180"/>
      <c r="X1888" s="191"/>
      <c r="Y1888" s="180"/>
      <c r="Z1888" s="192" t="str">
        <f>IFERROR(Tableau3[[#This Row],[Chiffre d''affaires]]/Tableau3[[#This Row],[Salariés]],"")</f>
        <v/>
      </c>
      <c r="AA1888" s="197"/>
      <c r="AB1888" s="197"/>
    </row>
    <row r="1889" spans="1:29" ht="20.25" customHeight="1">
      <c r="A1889" s="217" t="s">
        <v>1308</v>
      </c>
      <c r="B1889" s="216" t="s">
        <v>1293</v>
      </c>
      <c r="C1889" s="178" t="s">
        <v>84</v>
      </c>
      <c r="D1889" s="178" t="s">
        <v>85</v>
      </c>
      <c r="E1889" s="187">
        <v>88.1</v>
      </c>
      <c r="F1889" s="178">
        <v>2021</v>
      </c>
      <c r="G1889" s="188"/>
      <c r="H1889" s="188"/>
      <c r="I1889" s="188"/>
      <c r="J1889" s="188"/>
      <c r="K1889" s="188"/>
      <c r="L1889" s="188"/>
      <c r="M1889" s="194"/>
      <c r="N1889" s="190"/>
      <c r="O1889" s="190"/>
      <c r="P1889" s="188">
        <v>64553123</v>
      </c>
      <c r="Q1889" s="188">
        <f>P1889*E1889</f>
        <v>5687130136.2999992</v>
      </c>
      <c r="R1889" s="195" t="e">
        <f>Q1889/L1889</f>
        <v>#DIV/0!</v>
      </c>
      <c r="S1889" s="197" t="e">
        <f>(Q1889+K1889)/H1889</f>
        <v>#DIV/0!</v>
      </c>
      <c r="T1889" s="180"/>
      <c r="U1889" s="189" t="str">
        <f>IFERROR(IF(Tableau3[[#This Row],[Dettes]]=0,"",(Tableau3[[#This Row],[Dettes]]/Tableau3[[#This Row],[EBE]])),"")</f>
        <v/>
      </c>
      <c r="V1889" s="190" t="str">
        <f>IFERROR(Tableau3[[#This Row],[Fonds propres]]/Tableau3[[#This Row],[Total Bilan]],"")</f>
        <v/>
      </c>
      <c r="W1889" s="180"/>
      <c r="X1889" s="191"/>
      <c r="Y1889" s="180"/>
      <c r="Z1889" s="192" t="str">
        <f>IFERROR(Tableau3[[#This Row],[Chiffre d''affaires]]/Tableau3[[#This Row],[Salariés]],"")</f>
        <v/>
      </c>
      <c r="AA1889" s="197"/>
      <c r="AB1889" s="197"/>
      <c r="AC1889" s="177" t="s">
        <v>1309</v>
      </c>
    </row>
    <row r="1890" spans="1:29" ht="20.25" customHeight="1">
      <c r="A1890" s="217"/>
      <c r="E1890" s="187"/>
      <c r="G1890" s="188"/>
      <c r="H1890" s="178"/>
      <c r="I1890" s="178"/>
      <c r="J1890" s="178"/>
      <c r="K1890" s="178"/>
      <c r="L1890" s="178"/>
      <c r="M1890" s="178"/>
      <c r="N1890" s="178"/>
      <c r="O1890" s="178"/>
      <c r="P1890" s="178"/>
      <c r="Q1890" s="178"/>
      <c r="R1890" s="178"/>
      <c r="S1890" s="178"/>
      <c r="T1890" s="180"/>
      <c r="U1890" s="189" t="str">
        <f>IFERROR(IF(Tableau3[[#This Row],[Dettes]]=0,"",(Tableau3[[#This Row],[Dettes]]/Tableau3[[#This Row],[EBE]])),"")</f>
        <v/>
      </c>
      <c r="V1890" s="190" t="str">
        <f>IFERROR(Tableau3[[#This Row],[Fonds propres]]/Tableau3[[#This Row],[Total Bilan]],"")</f>
        <v/>
      </c>
      <c r="W1890" s="180"/>
      <c r="Y1890" s="180"/>
      <c r="Z1890" s="192" t="str">
        <f>IFERROR(Tableau3[[#This Row],[Chiffre d''affaires]]/Tableau3[[#This Row],[Salariés]],"")</f>
        <v/>
      </c>
      <c r="AA1890" s="177"/>
      <c r="AC1890" s="177" t="s">
        <v>1311</v>
      </c>
    </row>
    <row r="1891" spans="1:29" ht="20.25" customHeight="1">
      <c r="A1891" s="217"/>
      <c r="E1891" s="187">
        <v>107.55</v>
      </c>
      <c r="F1891" s="178">
        <v>2017</v>
      </c>
      <c r="G1891" s="188">
        <v>3138000000</v>
      </c>
      <c r="H1891" s="188">
        <v>547700000</v>
      </c>
      <c r="I1891" s="188">
        <v>394400000</v>
      </c>
      <c r="J1891" s="188">
        <v>197800000</v>
      </c>
      <c r="K1891" s="188">
        <v>4413000000</v>
      </c>
      <c r="L1891" s="188">
        <v>2715000000</v>
      </c>
      <c r="M1891" s="194">
        <f>L1891/P1891</f>
        <v>42.058383449550533</v>
      </c>
      <c r="N1891" s="190">
        <f>J1891/L1891</f>
        <v>7.2854511970534067E-2</v>
      </c>
      <c r="O1891" s="190">
        <f>(I1891*0.64)/(K1891+(M1891*P1891))</f>
        <v>3.5411896745230077E-2</v>
      </c>
      <c r="P1891" s="188">
        <v>64553123</v>
      </c>
      <c r="Q1891" s="188">
        <f>P1891*E1891</f>
        <v>6942688378.6499996</v>
      </c>
      <c r="R1891" s="195">
        <f>Q1891/L1891</f>
        <v>2.5571596238121543</v>
      </c>
      <c r="S1891" s="197">
        <f>(Q1891+K1891)/H1891</f>
        <v>20.733409491783824</v>
      </c>
      <c r="T1891" s="180"/>
      <c r="U1891" s="189">
        <f>IFERROR(IF(Tableau3[[#This Row],[Dettes]]=0,"",(Tableau3[[#This Row],[Dettes]]/Tableau3[[#This Row],[EBE]])),"")</f>
        <v>8.0573306554683217</v>
      </c>
      <c r="V1891" s="190" t="str">
        <f>IFERROR(Tableau3[[#This Row],[Fonds propres]]/Tableau3[[#This Row],[Total Bilan]],"")</f>
        <v/>
      </c>
      <c r="W1891" s="180"/>
      <c r="X1891" s="191"/>
      <c r="Y1891" s="180"/>
      <c r="Z1891" s="192" t="str">
        <f>IFERROR(Tableau3[[#This Row],[Chiffre d''affaires]]/Tableau3[[#This Row],[Salariés]],"")</f>
        <v/>
      </c>
      <c r="AA1891" s="197"/>
      <c r="AB1891" s="197"/>
      <c r="AC1891" s="177" t="s">
        <v>1312</v>
      </c>
    </row>
    <row r="1892" spans="1:29" ht="20.25" customHeight="1">
      <c r="A1892" s="217"/>
      <c r="E1892" s="187"/>
      <c r="G1892" s="202">
        <f>(G1891/G1893)-1</f>
        <v>0.10446290299873295</v>
      </c>
      <c r="H1892" s="203">
        <f>(H1891/H1893)-1</f>
        <v>0.1542676501580611</v>
      </c>
      <c r="I1892" s="203">
        <f>(I1891/I1893)-1</f>
        <v>0.13300775639184148</v>
      </c>
      <c r="J1892" s="203">
        <f>(J1891/J1893)-1</f>
        <v>0.11373873873873874</v>
      </c>
      <c r="K1892" s="188"/>
      <c r="L1892" s="188"/>
      <c r="M1892" s="194"/>
      <c r="N1892" s="190"/>
      <c r="O1892" s="190"/>
      <c r="P1892" s="188"/>
      <c r="Q1892" s="188"/>
      <c r="R1892" s="195"/>
      <c r="S1892" s="197"/>
      <c r="T1892" s="180"/>
      <c r="U1892" s="189" t="str">
        <f>IFERROR(IF(Tableau3[[#This Row],[Dettes]]=0,"",(Tableau3[[#This Row],[Dettes]]/Tableau3[[#This Row],[EBE]])),"")</f>
        <v/>
      </c>
      <c r="V1892" s="190" t="str">
        <f>IFERROR(Tableau3[[#This Row],[Fonds propres]]/Tableau3[[#This Row],[Total Bilan]],"")</f>
        <v/>
      </c>
      <c r="W1892" s="180"/>
      <c r="X1892" s="191"/>
      <c r="Y1892" s="180"/>
      <c r="Z1892" s="192" t="str">
        <f>IFERROR(Tableau3[[#This Row],[Chiffre d''affaires]]/Tableau3[[#This Row],[Salariés]],"")</f>
        <v/>
      </c>
      <c r="AA1892" s="197"/>
      <c r="AB1892" s="197"/>
    </row>
    <row r="1893" spans="1:29" ht="20.25" customHeight="1">
      <c r="A1893" s="217"/>
      <c r="E1893" s="187">
        <v>75.94</v>
      </c>
      <c r="F1893" s="178">
        <v>2016</v>
      </c>
      <c r="G1893" s="188">
        <v>2841200000</v>
      </c>
      <c r="H1893" s="188">
        <v>474500000</v>
      </c>
      <c r="I1893" s="188">
        <v>348100000</v>
      </c>
      <c r="J1893" s="188">
        <v>177600000</v>
      </c>
      <c r="K1893" s="188">
        <v>3680000000</v>
      </c>
      <c r="L1893" s="188">
        <v>2113000000</v>
      </c>
      <c r="M1893" s="194">
        <f>L1893/P1893</f>
        <v>35.056754695842336</v>
      </c>
      <c r="N1893" s="190">
        <f>J1893/L1893</f>
        <v>8.40511121628017E-2</v>
      </c>
      <c r="O1893" s="190">
        <f>(I1893*0.64)/(K1893+(M1893*P1893))</f>
        <v>3.8457448644916278E-2</v>
      </c>
      <c r="P1893" s="188">
        <v>60273691</v>
      </c>
      <c r="Q1893" s="188">
        <f>P1893*E1893</f>
        <v>4577184094.54</v>
      </c>
      <c r="R1893" s="195">
        <f>Q1893/L1893</f>
        <v>2.1662016538286797</v>
      </c>
      <c r="S1893" s="197">
        <f>(Q1893+K1893)/H1893</f>
        <v>17.401863212939936</v>
      </c>
      <c r="T1893" s="180"/>
      <c r="U1893" s="189">
        <f>IFERROR(IF(Tableau3[[#This Row],[Dettes]]=0,"",(Tableau3[[#This Row],[Dettes]]/Tableau3[[#This Row],[EBE]])),"")</f>
        <v>7.7555321390937833</v>
      </c>
      <c r="V1893" s="190" t="str">
        <f>IFERROR(Tableau3[[#This Row],[Fonds propres]]/Tableau3[[#This Row],[Total Bilan]],"")</f>
        <v/>
      </c>
      <c r="W1893" s="180"/>
      <c r="X1893" s="191"/>
      <c r="Y1893" s="180"/>
      <c r="Z1893" s="192" t="str">
        <f>IFERROR(Tableau3[[#This Row],[Chiffre d''affaires]]/Tableau3[[#This Row],[Salariés]],"")</f>
        <v/>
      </c>
      <c r="AA1893" s="197"/>
      <c r="AB1893" s="197"/>
    </row>
    <row r="1894" spans="1:29" ht="20.25" customHeight="1">
      <c r="A1894" s="217"/>
      <c r="E1894" s="187"/>
      <c r="G1894" s="202">
        <f>(G1893/G1895)-1</f>
        <v>0.18799130289346055</v>
      </c>
      <c r="H1894" s="203">
        <f>(H1893/H1895)-1</f>
        <v>0.18476903870162298</v>
      </c>
      <c r="I1894" s="203">
        <f>(I1893/I1895)-1</f>
        <v>0.14657444005270093</v>
      </c>
      <c r="J1894" s="203">
        <f>(J1893/J1895)-1</f>
        <v>0.15851272015655571</v>
      </c>
      <c r="K1894" s="188" t="s">
        <v>1313</v>
      </c>
      <c r="L1894" s="188"/>
      <c r="M1894" s="194"/>
      <c r="N1894" s="190"/>
      <c r="O1894" s="190"/>
      <c r="P1894" s="188"/>
      <c r="Q1894" s="188"/>
      <c r="R1894" s="195"/>
      <c r="S1894" s="197"/>
      <c r="T1894" s="180"/>
      <c r="U1894" s="189" t="str">
        <f>IFERROR(IF(Tableau3[[#This Row],[Dettes]]=0,"",(Tableau3[[#This Row],[Dettes]]/Tableau3[[#This Row],[EBE]])),"")</f>
        <v/>
      </c>
      <c r="V1894" s="190" t="str">
        <f>IFERROR(Tableau3[[#This Row],[Fonds propres]]/Tableau3[[#This Row],[Total Bilan]],"")</f>
        <v/>
      </c>
      <c r="W1894" s="180"/>
      <c r="X1894" s="191"/>
      <c r="Y1894" s="180"/>
      <c r="Z1894" s="192" t="str">
        <f>IFERROR(Tableau3[[#This Row],[Chiffre d''affaires]]/Tableau3[[#This Row],[Salariés]],"")</f>
        <v/>
      </c>
      <c r="AA1894" s="197"/>
      <c r="AB1894" s="197"/>
    </row>
    <row r="1895" spans="1:29" ht="20.25" customHeight="1">
      <c r="A1895" s="217"/>
      <c r="E1895" s="187">
        <v>74.150000000000006</v>
      </c>
      <c r="F1895" s="178">
        <v>2015</v>
      </c>
      <c r="G1895" s="188">
        <v>2391600000</v>
      </c>
      <c r="H1895" s="188">
        <v>400500000</v>
      </c>
      <c r="I1895" s="188">
        <v>303600000</v>
      </c>
      <c r="J1895" s="188">
        <v>153300000</v>
      </c>
      <c r="K1895" s="188">
        <v>3014000000</v>
      </c>
      <c r="L1895" s="188">
        <v>1810000000</v>
      </c>
      <c r="M1895" s="194">
        <f>L1895/P1895</f>
        <v>30.029685754602287</v>
      </c>
      <c r="N1895" s="190">
        <f>J1895/L1895</f>
        <v>8.4696132596685084E-2</v>
      </c>
      <c r="O1895" s="190">
        <f>(I1895*0.64)/(K1895+(M1895*P1895))</f>
        <v>4.027860696517413E-2</v>
      </c>
      <c r="P1895" s="188">
        <v>60273691</v>
      </c>
      <c r="Q1895" s="188">
        <f>P1895*E1895</f>
        <v>4469294187.6500006</v>
      </c>
      <c r="R1895" s="195">
        <f>Q1895/L1895</f>
        <v>2.4692233080939228</v>
      </c>
      <c r="S1895" s="197">
        <f>(Q1895+K1895)/H1895</f>
        <v>18.684879369912611</v>
      </c>
      <c r="T1895" s="180"/>
      <c r="U1895" s="189">
        <f>IFERROR(IF(Tableau3[[#This Row],[Dettes]]=0,"",(Tableau3[[#This Row],[Dettes]]/Tableau3[[#This Row],[EBE]])),"")</f>
        <v>7.5255930087390759</v>
      </c>
      <c r="V1895" s="190" t="str">
        <f>IFERROR(Tableau3[[#This Row],[Fonds propres]]/Tableau3[[#This Row],[Total Bilan]],"")</f>
        <v/>
      </c>
      <c r="W1895" s="180"/>
      <c r="X1895" s="191"/>
      <c r="Y1895" s="180"/>
      <c r="Z1895" s="192" t="str">
        <f>IFERROR(Tableau3[[#This Row],[Chiffre d''affaires]]/Tableau3[[#This Row],[Salariés]],"")</f>
        <v/>
      </c>
      <c r="AA1895" s="197"/>
      <c r="AB1895" s="197"/>
    </row>
    <row r="1896" spans="1:29" ht="20.25" customHeight="1">
      <c r="A1896" s="217"/>
      <c r="E1896" s="187"/>
      <c r="G1896" s="202">
        <f>(G1895/G1897)-1</f>
        <v>0.2273427075849328</v>
      </c>
      <c r="H1896" s="203">
        <f>(H1895/H1897)-1</f>
        <v>0.14395886889460163</v>
      </c>
      <c r="I1896" s="203">
        <f>(I1895/I1897)-1</f>
        <v>0.11946902654867264</v>
      </c>
      <c r="J1896" s="203">
        <f>(J1895/J1897)-1</f>
        <v>0.12472487160674972</v>
      </c>
      <c r="K1896" s="188"/>
      <c r="L1896" s="188"/>
      <c r="M1896" s="194"/>
      <c r="N1896" s="190"/>
      <c r="O1896" s="190"/>
      <c r="P1896" s="188"/>
      <c r="Q1896" s="188"/>
      <c r="R1896" s="195"/>
      <c r="S1896" s="197"/>
      <c r="T1896" s="180"/>
      <c r="U1896" s="189" t="str">
        <f>IFERROR(IF(Tableau3[[#This Row],[Dettes]]=0,"",(Tableau3[[#This Row],[Dettes]]/Tableau3[[#This Row],[EBE]])),"")</f>
        <v/>
      </c>
      <c r="V1896" s="190" t="str">
        <f>IFERROR(Tableau3[[#This Row],[Fonds propres]]/Tableau3[[#This Row],[Total Bilan]],"")</f>
        <v/>
      </c>
      <c r="W1896" s="180"/>
      <c r="X1896" s="191"/>
      <c r="Y1896" s="180"/>
      <c r="Z1896" s="192" t="str">
        <f>IFERROR(Tableau3[[#This Row],[Chiffre d''affaires]]/Tableau3[[#This Row],[Salariés]],"")</f>
        <v/>
      </c>
      <c r="AA1896" s="197"/>
      <c r="AB1896" s="197"/>
    </row>
    <row r="1897" spans="1:29" ht="20.25" customHeight="1">
      <c r="A1897" s="217"/>
      <c r="E1897" s="187">
        <v>52.11</v>
      </c>
      <c r="F1897" s="178">
        <v>2014</v>
      </c>
      <c r="G1897" s="188">
        <v>1948600000</v>
      </c>
      <c r="H1897" s="188">
        <v>350100000</v>
      </c>
      <c r="I1897" s="188">
        <v>271200000</v>
      </c>
      <c r="J1897" s="188">
        <v>136300000</v>
      </c>
      <c r="K1897" s="188">
        <v>1995000000</v>
      </c>
      <c r="L1897" s="188">
        <v>1498000000</v>
      </c>
      <c r="M1897" s="194">
        <f>L1897/P1897</f>
        <v>24.914200681923958</v>
      </c>
      <c r="N1897" s="190">
        <f>J1897/L1897</f>
        <v>9.0987983978638179E-2</v>
      </c>
      <c r="O1897" s="190">
        <f>(I1897*0.64)/(K1897+(M1897*P1897))</f>
        <v>4.9690237618093332E-2</v>
      </c>
      <c r="P1897" s="188">
        <v>60126352</v>
      </c>
      <c r="Q1897" s="188">
        <f>P1897*E1897</f>
        <v>3133184202.7199998</v>
      </c>
      <c r="R1897" s="195">
        <f>Q1897/L1897</f>
        <v>2.0915782394659543</v>
      </c>
      <c r="S1897" s="197">
        <f>(Q1897+K1897)/H1897</f>
        <v>14.647769787832045</v>
      </c>
      <c r="T1897" s="180"/>
      <c r="U1897" s="189">
        <f>IFERROR(IF(Tableau3[[#This Row],[Dettes]]=0,"",(Tableau3[[#This Row],[Dettes]]/Tableau3[[#This Row],[EBE]])),"")</f>
        <v>5.6983718937446444</v>
      </c>
      <c r="V1897" s="190" t="str">
        <f>IFERROR(Tableau3[[#This Row],[Fonds propres]]/Tableau3[[#This Row],[Total Bilan]],"")</f>
        <v/>
      </c>
      <c r="W1897" s="180"/>
      <c r="X1897" s="191"/>
      <c r="Y1897" s="180"/>
      <c r="Z1897" s="192" t="str">
        <f>IFERROR(Tableau3[[#This Row],[Chiffre d''affaires]]/Tableau3[[#This Row],[Salariés]],"")</f>
        <v/>
      </c>
      <c r="AA1897" s="197"/>
      <c r="AB1897" s="197"/>
    </row>
    <row r="1898" spans="1:29" ht="20.25" customHeight="1">
      <c r="A1898" s="217"/>
      <c r="E1898" s="187"/>
      <c r="G1898" s="202">
        <f>(G1897/G1899)-1</f>
        <v>0.21189128677156543</v>
      </c>
      <c r="H1898" s="203">
        <f>(H1897/H1899)-1</f>
        <v>0.17483221476510069</v>
      </c>
      <c r="I1898" s="203">
        <f>(I1897/I1899)-1</f>
        <v>0.19313682358117035</v>
      </c>
      <c r="J1898" s="203">
        <f>(J1897/J1899)-1</f>
        <v>0.16595380667236959</v>
      </c>
      <c r="K1898" s="188"/>
      <c r="L1898" s="188"/>
      <c r="M1898" s="194"/>
      <c r="N1898" s="190"/>
      <c r="O1898" s="190"/>
      <c r="P1898" s="188"/>
      <c r="Q1898" s="188"/>
      <c r="R1898" s="195"/>
      <c r="S1898" s="197"/>
      <c r="T1898" s="180"/>
      <c r="U1898" s="189" t="str">
        <f>IFERROR(IF(Tableau3[[#This Row],[Dettes]]=0,"",(Tableau3[[#This Row],[Dettes]]/Tableau3[[#This Row],[EBE]])),"")</f>
        <v/>
      </c>
      <c r="V1898" s="190" t="str">
        <f>IFERROR(Tableau3[[#This Row],[Fonds propres]]/Tableau3[[#This Row],[Total Bilan]],"")</f>
        <v/>
      </c>
      <c r="W1898" s="180"/>
      <c r="X1898" s="191"/>
      <c r="Y1898" s="180"/>
      <c r="Z1898" s="192" t="str">
        <f>IFERROR(Tableau3[[#This Row],[Chiffre d''affaires]]/Tableau3[[#This Row],[Salariés]],"")</f>
        <v/>
      </c>
      <c r="AA1898" s="197"/>
      <c r="AB1898" s="197"/>
    </row>
    <row r="1899" spans="1:29" ht="20.25" customHeight="1">
      <c r="A1899" s="217"/>
      <c r="E1899" s="187">
        <v>42.55</v>
      </c>
      <c r="F1899" s="178">
        <v>2013</v>
      </c>
      <c r="G1899" s="188">
        <v>1607900000</v>
      </c>
      <c r="H1899" s="188">
        <v>298000000</v>
      </c>
      <c r="I1899" s="188">
        <v>227300000</v>
      </c>
      <c r="J1899" s="188">
        <v>116900000</v>
      </c>
      <c r="K1899" s="188">
        <v>1742000000</v>
      </c>
      <c r="L1899" s="188">
        <v>1412000000</v>
      </c>
      <c r="M1899" s="194">
        <f>L1899/P1899</f>
        <v>25.451993241666621</v>
      </c>
      <c r="N1899" s="190">
        <f>J1899/L1899</f>
        <v>8.279036827195467E-2</v>
      </c>
      <c r="O1899" s="190">
        <f>(I1899*0.64)/(K1899+(M1899*P1899))</f>
        <v>4.6123018389346862E-2</v>
      </c>
      <c r="P1899" s="188">
        <v>55476991</v>
      </c>
      <c r="Q1899" s="188">
        <f>P1899*E1899</f>
        <v>2360545967.0499997</v>
      </c>
      <c r="R1899" s="195">
        <f>Q1899/L1899</f>
        <v>1.6717747641997165</v>
      </c>
      <c r="S1899" s="197">
        <f>(Q1899+K1899)/H1899</f>
        <v>13.766932775335569</v>
      </c>
      <c r="T1899" s="180"/>
      <c r="U1899" s="189">
        <f>IFERROR(IF(Tableau3[[#This Row],[Dettes]]=0,"",(Tableau3[[#This Row],[Dettes]]/Tableau3[[#This Row],[EBE]])),"")</f>
        <v>5.8456375838926178</v>
      </c>
      <c r="V1899" s="190" t="str">
        <f>IFERROR(Tableau3[[#This Row],[Fonds propres]]/Tableau3[[#This Row],[Total Bilan]],"")</f>
        <v/>
      </c>
      <c r="W1899" s="180"/>
      <c r="X1899" s="191"/>
      <c r="Y1899" s="180"/>
      <c r="Z1899" s="192" t="str">
        <f>IFERROR(Tableau3[[#This Row],[Chiffre d''affaires]]/Tableau3[[#This Row],[Salariés]],"")</f>
        <v/>
      </c>
      <c r="AA1899" s="197"/>
      <c r="AB1899" s="197"/>
    </row>
    <row r="1900" spans="1:29" ht="20.25" customHeight="1">
      <c r="A1900" s="217"/>
      <c r="E1900" s="187"/>
      <c r="G1900" s="188"/>
      <c r="H1900" s="188"/>
      <c r="I1900" s="188"/>
      <c r="J1900" s="188"/>
      <c r="K1900" s="188"/>
      <c r="L1900" s="188"/>
      <c r="M1900" s="194"/>
      <c r="N1900" s="190"/>
      <c r="O1900" s="190"/>
      <c r="P1900" s="188"/>
      <c r="Q1900" s="188"/>
      <c r="R1900" s="195"/>
      <c r="S1900" s="197"/>
      <c r="T1900" s="180"/>
      <c r="U1900" s="189" t="str">
        <f>IFERROR(IF(Tableau3[[#This Row],[Dettes]]=0,"",(Tableau3[[#This Row],[Dettes]]/Tableau3[[#This Row],[EBE]])),"")</f>
        <v/>
      </c>
      <c r="V1900" s="190" t="str">
        <f>IFERROR(Tableau3[[#This Row],[Fonds propres]]/Tableau3[[#This Row],[Total Bilan]],"")</f>
        <v/>
      </c>
      <c r="W1900" s="180"/>
      <c r="X1900" s="191"/>
      <c r="Y1900" s="180"/>
      <c r="Z1900" s="192" t="str">
        <f>IFERROR(Tableau3[[#This Row],[Chiffre d''affaires]]/Tableau3[[#This Row],[Salariés]],"")</f>
        <v/>
      </c>
      <c r="AA1900" s="197"/>
      <c r="AB1900" s="197"/>
    </row>
    <row r="1901" spans="1:29" ht="20.25" customHeight="1">
      <c r="A1901" s="217"/>
      <c r="E1901" s="187"/>
      <c r="G1901" s="188"/>
      <c r="H1901" s="188"/>
      <c r="I1901" s="188"/>
      <c r="J1901" s="188"/>
      <c r="K1901" s="188"/>
      <c r="L1901" s="188"/>
      <c r="M1901" s="194"/>
      <c r="N1901" s="190"/>
      <c r="O1901" s="190"/>
      <c r="P1901" s="188"/>
      <c r="Q1901" s="188"/>
      <c r="R1901" s="195"/>
      <c r="S1901" s="197"/>
      <c r="T1901" s="180"/>
      <c r="U1901" s="189" t="str">
        <f>IFERROR(IF(Tableau3[[#This Row],[Dettes]]=0,"",(Tableau3[[#This Row],[Dettes]]/Tableau3[[#This Row],[EBE]])),"")</f>
        <v/>
      </c>
      <c r="V1901" s="190" t="str">
        <f>IFERROR(Tableau3[[#This Row],[Fonds propres]]/Tableau3[[#This Row],[Total Bilan]],"")</f>
        <v/>
      </c>
      <c r="W1901" s="180"/>
      <c r="X1901" s="191"/>
      <c r="Y1901" s="180"/>
      <c r="Z1901" s="192" t="str">
        <f>IFERROR(Tableau3[[#This Row],[Chiffre d''affaires]]/Tableau3[[#This Row],[Salariés]],"")</f>
        <v/>
      </c>
      <c r="AA1901" s="197"/>
      <c r="AB1901" s="197"/>
    </row>
    <row r="1902" spans="1:29" ht="20.25" customHeight="1">
      <c r="A1902" s="217"/>
      <c r="E1902" s="187"/>
      <c r="G1902" s="188"/>
      <c r="H1902" s="188"/>
      <c r="I1902" s="188"/>
      <c r="J1902" s="188"/>
      <c r="K1902" s="188"/>
      <c r="L1902" s="188"/>
      <c r="M1902" s="194"/>
      <c r="N1902" s="190"/>
      <c r="O1902" s="190"/>
      <c r="P1902" s="188"/>
      <c r="Q1902" s="188"/>
      <c r="R1902" s="195"/>
      <c r="S1902" s="197"/>
      <c r="T1902" s="180"/>
      <c r="U1902" s="189" t="str">
        <f>IFERROR(IF(Tableau3[[#This Row],[Dettes]]=0,"",(Tableau3[[#This Row],[Dettes]]/Tableau3[[#This Row],[EBE]])),"")</f>
        <v/>
      </c>
      <c r="V1902" s="190" t="str">
        <f>IFERROR(Tableau3[[#This Row],[Fonds propres]]/Tableau3[[#This Row],[Total Bilan]],"")</f>
        <v/>
      </c>
      <c r="W1902" s="180"/>
      <c r="X1902" s="191"/>
      <c r="Y1902" s="180"/>
      <c r="Z1902" s="192" t="str">
        <f>IFERROR(Tableau3[[#This Row],[Chiffre d''affaires]]/Tableau3[[#This Row],[Salariés]],"")</f>
        <v/>
      </c>
      <c r="AA1902" s="197"/>
      <c r="AB1902" s="197"/>
    </row>
    <row r="1903" spans="1:29" ht="20.25" customHeight="1">
      <c r="A1903" s="217" t="s">
        <v>1314</v>
      </c>
      <c r="B1903" s="216" t="s">
        <v>1315</v>
      </c>
      <c r="C1903" s="178" t="s">
        <v>84</v>
      </c>
      <c r="D1903" s="178" t="s">
        <v>85</v>
      </c>
      <c r="E1903" s="187">
        <v>54.6</v>
      </c>
      <c r="F1903" s="178">
        <v>2021</v>
      </c>
      <c r="G1903" s="188"/>
      <c r="H1903" s="178"/>
      <c r="I1903" s="178"/>
      <c r="J1903" s="178"/>
      <c r="K1903" s="178"/>
      <c r="L1903" s="178"/>
      <c r="M1903" s="178"/>
      <c r="N1903" s="178"/>
      <c r="O1903" s="178"/>
      <c r="P1903" s="188">
        <v>627121266</v>
      </c>
      <c r="Q1903" s="188">
        <f>P1903*E1903</f>
        <v>34240821123.600002</v>
      </c>
      <c r="R1903" s="195"/>
      <c r="S1903" s="178"/>
      <c r="T1903" s="180"/>
      <c r="U1903" s="189" t="str">
        <f>IFERROR(IF(Tableau3[[#This Row],[Dettes]]=0,"",(Tableau3[[#This Row],[Dettes]]/Tableau3[[#This Row],[EBE]])),"")</f>
        <v/>
      </c>
      <c r="V1903" s="190" t="str">
        <f>IFERROR(Tableau3[[#This Row],[Fonds propres]]/Tableau3[[#This Row],[Total Bilan]],"")</f>
        <v/>
      </c>
      <c r="W1903" s="180"/>
      <c r="Y1903" s="180"/>
      <c r="Z1903" s="192" t="str">
        <f>IFERROR(Tableau3[[#This Row],[Chiffre d''affaires]]/Tableau3[[#This Row],[Salariés]],"")</f>
        <v/>
      </c>
      <c r="AA1903" s="177"/>
      <c r="AC1903" s="177" t="s">
        <v>1316</v>
      </c>
    </row>
    <row r="1904" spans="1:29" ht="20.25" customHeight="1">
      <c r="A1904" s="217"/>
      <c r="E1904" s="187"/>
      <c r="G1904" s="188"/>
      <c r="H1904" s="178"/>
      <c r="I1904" s="178"/>
      <c r="J1904" s="178"/>
      <c r="K1904" s="178"/>
      <c r="L1904" s="178"/>
      <c r="M1904" s="178"/>
      <c r="N1904" s="178"/>
      <c r="O1904" s="178"/>
      <c r="P1904" s="178"/>
      <c r="Q1904" s="178"/>
      <c r="R1904" s="195"/>
      <c r="S1904" s="178"/>
      <c r="T1904" s="180"/>
      <c r="U1904" s="189" t="str">
        <f>IFERROR(IF(Tableau3[[#This Row],[Dettes]]=0,"",(Tableau3[[#This Row],[Dettes]]/Tableau3[[#This Row],[EBE]])),"")</f>
        <v/>
      </c>
      <c r="V1904" s="190" t="str">
        <f>IFERROR(Tableau3[[#This Row],[Fonds propres]]/Tableau3[[#This Row],[Total Bilan]],"")</f>
        <v/>
      </c>
      <c r="W1904" s="180"/>
      <c r="Y1904" s="180"/>
      <c r="Z1904" s="192" t="str">
        <f>IFERROR(Tableau3[[#This Row],[Chiffre d''affaires]]/Tableau3[[#This Row],[Salariés]],"")</f>
        <v/>
      </c>
      <c r="AA1904" s="177"/>
      <c r="AC1904" s="177" t="s">
        <v>1318</v>
      </c>
    </row>
    <row r="1905" spans="1:29" ht="20.25" customHeight="1">
      <c r="A1905" s="217"/>
      <c r="E1905" s="187">
        <v>53.76</v>
      </c>
      <c r="F1905" s="178">
        <v>2018</v>
      </c>
      <c r="G1905" s="188">
        <f>G1907*1.02</f>
        <v>25170540000</v>
      </c>
      <c r="H1905" s="211">
        <v>4700000000</v>
      </c>
      <c r="I1905" s="211">
        <v>3900000000</v>
      </c>
      <c r="J1905" s="211">
        <v>2700000000</v>
      </c>
      <c r="K1905" s="211">
        <v>14500000000</v>
      </c>
      <c r="L1905" s="211">
        <v>14500000000</v>
      </c>
      <c r="M1905" s="194">
        <f>L1905/P1905</f>
        <v>23.121524952400513</v>
      </c>
      <c r="N1905" s="190">
        <f>J1905/L1905</f>
        <v>0.18620689655172415</v>
      </c>
      <c r="O1905" s="190">
        <f>(I1905*0.64)/(K1905+(M1905*P1905))</f>
        <v>8.6068965517241386E-2</v>
      </c>
      <c r="P1905" s="188">
        <v>627121266</v>
      </c>
      <c r="Q1905" s="188">
        <f>P1905*E1905</f>
        <v>33714039260.16</v>
      </c>
      <c r="R1905" s="195">
        <f>Q1905/L1905</f>
        <v>2.3251061558731037</v>
      </c>
      <c r="S1905" s="197">
        <f>(Q1905+K1905)/H1905</f>
        <v>10.258306225565958</v>
      </c>
      <c r="T1905" s="180"/>
      <c r="U1905" s="189">
        <f>IFERROR(IF(Tableau3[[#This Row],[Dettes]]=0,"",(Tableau3[[#This Row],[Dettes]]/Tableau3[[#This Row],[EBE]])),"")</f>
        <v>3.0851063829787235</v>
      </c>
      <c r="V1905" s="190" t="str">
        <f>IFERROR(Tableau3[[#This Row],[Fonds propres]]/Tableau3[[#This Row],[Total Bilan]],"")</f>
        <v/>
      </c>
      <c r="W1905" s="180"/>
      <c r="X1905" s="191"/>
      <c r="Y1905" s="180"/>
      <c r="Z1905" s="192" t="str">
        <f>IFERROR(Tableau3[[#This Row],[Chiffre d''affaires]]/Tableau3[[#This Row],[Salariés]],"")</f>
        <v/>
      </c>
      <c r="AA1905" s="197"/>
      <c r="AB1905" s="197"/>
      <c r="AC1905" s="177" t="s">
        <v>1319</v>
      </c>
    </row>
    <row r="1906" spans="1:29" ht="20.25" customHeight="1">
      <c r="A1906" s="217"/>
      <c r="E1906" s="187"/>
      <c r="G1906" s="202">
        <f>(G1905/G1907)-1</f>
        <v>2.0000000000000018E-2</v>
      </c>
      <c r="H1906" s="203">
        <f>(H1905/H1907)-1</f>
        <v>4.0513615231348332E-2</v>
      </c>
      <c r="I1906" s="203">
        <f>(I1905/I1907)-1</f>
        <v>4.4456347080878311E-2</v>
      </c>
      <c r="J1906" s="203">
        <f>(J1905/J1907)-1</f>
        <v>0.10069302894415011</v>
      </c>
      <c r="K1906" s="211"/>
      <c r="L1906" s="211"/>
      <c r="M1906" s="178"/>
      <c r="N1906" s="178"/>
      <c r="O1906" s="178"/>
      <c r="P1906" s="178"/>
      <c r="Q1906" s="178"/>
      <c r="R1906" s="195"/>
      <c r="S1906" s="178"/>
      <c r="T1906" s="180"/>
      <c r="U1906" s="189" t="str">
        <f>IFERROR(IF(Tableau3[[#This Row],[Dettes]]=0,"",(Tableau3[[#This Row],[Dettes]]/Tableau3[[#This Row],[EBE]])),"")</f>
        <v/>
      </c>
      <c r="V1906" s="190" t="str">
        <f>IFERROR(Tableau3[[#This Row],[Fonds propres]]/Tableau3[[#This Row],[Total Bilan]],"")</f>
        <v/>
      </c>
      <c r="W1906" s="180"/>
      <c r="Y1906" s="180"/>
      <c r="Z1906" s="192" t="str">
        <f>IFERROR(Tableau3[[#This Row],[Chiffre d''affaires]]/Tableau3[[#This Row],[Salariés]],"")</f>
        <v/>
      </c>
      <c r="AA1906" s="177"/>
      <c r="AC1906" s="177" t="s">
        <v>1320</v>
      </c>
    </row>
    <row r="1907" spans="1:29" ht="20.25" customHeight="1">
      <c r="A1907" s="217"/>
      <c r="E1907" s="187">
        <v>70</v>
      </c>
      <c r="F1907" s="178">
        <v>2017</v>
      </c>
      <c r="G1907" s="188">
        <v>24677000000</v>
      </c>
      <c r="H1907" s="211">
        <f>3543000000+974000000</f>
        <v>4517000000</v>
      </c>
      <c r="I1907" s="211">
        <v>3734000000</v>
      </c>
      <c r="J1907" s="211">
        <v>2453000000</v>
      </c>
      <c r="K1907" s="211">
        <v>15372000000</v>
      </c>
      <c r="L1907" s="211">
        <v>14000000000</v>
      </c>
      <c r="M1907" s="194">
        <f>L1907/P1907</f>
        <v>22.324230988524633</v>
      </c>
      <c r="N1907" s="190">
        <f>J1907/L1907</f>
        <v>0.17521428571428571</v>
      </c>
      <c r="O1907" s="190">
        <f>(I1907*0.64)/(K1907+(M1907*P1907))</f>
        <v>8.1361841209315E-2</v>
      </c>
      <c r="P1907" s="188">
        <v>627121266</v>
      </c>
      <c r="Q1907" s="188">
        <f>P1907*E1907</f>
        <v>43898488620</v>
      </c>
      <c r="R1907" s="195">
        <f>Q1907/L1907</f>
        <v>3.1356063299999999</v>
      </c>
      <c r="S1907" s="197">
        <f>(Q1907+K1907)/H1907</f>
        <v>13.121649019260571</v>
      </c>
      <c r="T1907" s="180"/>
      <c r="U1907" s="189">
        <f>IFERROR(IF(Tableau3[[#This Row],[Dettes]]=0,"",(Tableau3[[#This Row],[Dettes]]/Tableau3[[#This Row],[EBE]])),"")</f>
        <v>3.4031436794332524</v>
      </c>
      <c r="V1907" s="190" t="str">
        <f>IFERROR(Tableau3[[#This Row],[Fonds propres]]/Tableau3[[#This Row],[Total Bilan]],"")</f>
        <v/>
      </c>
      <c r="W1907" s="180"/>
      <c r="X1907" s="191"/>
      <c r="Y1907" s="180"/>
      <c r="Z1907" s="192" t="str">
        <f>IFERROR(Tableau3[[#This Row],[Chiffre d''affaires]]/Tableau3[[#This Row],[Salariés]],"")</f>
        <v/>
      </c>
      <c r="AA1907" s="197"/>
      <c r="AB1907" s="197"/>
    </row>
    <row r="1908" spans="1:29" ht="20.25" customHeight="1">
      <c r="A1908" s="217"/>
      <c r="E1908" s="187"/>
      <c r="G1908" s="202">
        <f>(G1907/G1909)-1</f>
        <v>0.12454429456799132</v>
      </c>
      <c r="H1908" s="203">
        <f>(H1907/H1909)-1</f>
        <v>0.18618697478991586</v>
      </c>
      <c r="I1908" s="203">
        <f>(I1907/I1909)-1</f>
        <v>0.23560555923229654</v>
      </c>
      <c r="J1908" s="203">
        <f>(J1907/J1909)-1</f>
        <v>0.42616279069767438</v>
      </c>
      <c r="K1908" s="188"/>
      <c r="L1908" s="188"/>
      <c r="M1908" s="178"/>
      <c r="N1908" s="178"/>
      <c r="O1908" s="178"/>
      <c r="P1908" s="188"/>
      <c r="Q1908" s="188"/>
      <c r="R1908" s="195"/>
      <c r="S1908" s="188"/>
      <c r="T1908" s="180"/>
      <c r="U1908" s="189" t="str">
        <f>IFERROR(IF(Tableau3[[#This Row],[Dettes]]=0,"",(Tableau3[[#This Row],[Dettes]]/Tableau3[[#This Row],[EBE]])),"")</f>
        <v/>
      </c>
      <c r="V1908" s="190" t="str">
        <f>IFERROR(Tableau3[[#This Row],[Fonds propres]]/Tableau3[[#This Row],[Total Bilan]],"")</f>
        <v/>
      </c>
      <c r="W1908" s="180"/>
      <c r="X1908" s="192"/>
      <c r="Y1908" s="180"/>
      <c r="Z1908" s="192" t="str">
        <f>IFERROR(Tableau3[[#This Row],[Chiffre d''affaires]]/Tableau3[[#This Row],[Salariés]],"")</f>
        <v/>
      </c>
      <c r="AA1908" s="188"/>
      <c r="AB1908" s="188"/>
    </row>
    <row r="1909" spans="1:29" ht="20.25" customHeight="1">
      <c r="A1909" s="217"/>
      <c r="E1909" s="187">
        <v>61</v>
      </c>
      <c r="F1909" s="178">
        <v>2016</v>
      </c>
      <c r="G1909" s="188">
        <v>21944000000</v>
      </c>
      <c r="H1909" s="188">
        <f>3022000000+786000000</f>
        <v>3808000000</v>
      </c>
      <c r="I1909" s="188">
        <v>3022000000</v>
      </c>
      <c r="J1909" s="188">
        <v>1720000000</v>
      </c>
      <c r="K1909" s="188">
        <v>18433000000</v>
      </c>
      <c r="L1909" s="188">
        <v>13109000000</v>
      </c>
      <c r="M1909" s="194">
        <f>L1909/P1909</f>
        <v>21.484696220121464</v>
      </c>
      <c r="N1909" s="190">
        <f>J1909/L1909</f>
        <v>0.13120756732016173</v>
      </c>
      <c r="O1909" s="190">
        <f>(I1909*0.64)/(K1909+(M1909*P1909))</f>
        <v>6.1317608268340623E-2</v>
      </c>
      <c r="P1909" s="188">
        <v>610155241</v>
      </c>
      <c r="Q1909" s="188">
        <f>P1909*E1909</f>
        <v>37219469701</v>
      </c>
      <c r="R1909" s="195">
        <f>Q1909/L1909</f>
        <v>2.8392302769852771</v>
      </c>
      <c r="S1909" s="197">
        <f>(Q1909+K1909)/H1909</f>
        <v>14.614619144170168</v>
      </c>
      <c r="T1909" s="180"/>
      <c r="U1909" s="189">
        <f>IFERROR(IF(Tableau3[[#This Row],[Dettes]]=0,"",(Tableau3[[#This Row],[Dettes]]/Tableau3[[#This Row],[EBE]])),"")</f>
        <v>4.8405987394957979</v>
      </c>
      <c r="V1909" s="190" t="str">
        <f>IFERROR(Tableau3[[#This Row],[Fonds propres]]/Tableau3[[#This Row],[Total Bilan]],"")</f>
        <v/>
      </c>
      <c r="W1909" s="180"/>
      <c r="X1909" s="191"/>
      <c r="Y1909" s="180"/>
      <c r="Z1909" s="192" t="str">
        <f>IFERROR(Tableau3[[#This Row],[Chiffre d''affaires]]/Tableau3[[#This Row],[Salariés]],"")</f>
        <v/>
      </c>
      <c r="AA1909" s="197"/>
      <c r="AB1909" s="197"/>
    </row>
    <row r="1910" spans="1:29" ht="20.25" customHeight="1">
      <c r="A1910" s="217"/>
      <c r="E1910" s="187"/>
      <c r="G1910" s="202">
        <f>(G1909/G1911)-1</f>
        <v>-2.0881670533642649E-2</v>
      </c>
      <c r="H1910" s="203" t="e">
        <f>(H1909/H1911)-1</f>
        <v>#DIV/0!</v>
      </c>
      <c r="I1910" s="203">
        <f>(I1909/I1911)-1</f>
        <v>4.4951590594744184E-2</v>
      </c>
      <c r="J1910" s="203">
        <f>(J1909/J1911)-1</f>
        <v>0.23032904148783984</v>
      </c>
      <c r="K1910" s="188"/>
      <c r="L1910" s="188"/>
      <c r="M1910" s="178"/>
      <c r="N1910" s="178"/>
      <c r="O1910" s="178"/>
      <c r="P1910" s="188"/>
      <c r="Q1910" s="188"/>
      <c r="R1910" s="195"/>
      <c r="S1910" s="188"/>
      <c r="T1910" s="180"/>
      <c r="U1910" s="189" t="str">
        <f>IFERROR(IF(Tableau3[[#This Row],[Dettes]]=0,"",(Tableau3[[#This Row],[Dettes]]/Tableau3[[#This Row],[EBE]])),"")</f>
        <v/>
      </c>
      <c r="V1910" s="190" t="str">
        <f>IFERROR(Tableau3[[#This Row],[Fonds propres]]/Tableau3[[#This Row],[Total Bilan]],"")</f>
        <v/>
      </c>
      <c r="W1910" s="180"/>
      <c r="X1910" s="192"/>
      <c r="Y1910" s="180"/>
      <c r="Z1910" s="192" t="str">
        <f>IFERROR(Tableau3[[#This Row],[Chiffre d''affaires]]/Tableau3[[#This Row],[Salariés]],"")</f>
        <v/>
      </c>
      <c r="AA1910" s="188"/>
      <c r="AB1910" s="188"/>
    </row>
    <row r="1911" spans="1:29" ht="20.25" customHeight="1">
      <c r="A1911" s="217"/>
      <c r="E1911" s="187">
        <v>61</v>
      </c>
      <c r="F1911" s="178">
        <v>2015</v>
      </c>
      <c r="G1911" s="188">
        <v>22412000000</v>
      </c>
      <c r="H1911" s="188"/>
      <c r="I1911" s="188">
        <v>2892000000</v>
      </c>
      <c r="J1911" s="188">
        <v>1398000000</v>
      </c>
      <c r="K1911" s="188">
        <v>7835000000</v>
      </c>
      <c r="L1911" s="188">
        <v>12606000000</v>
      </c>
      <c r="M1911" s="194">
        <f>L1911/P1911</f>
        <v>20.660315855584038</v>
      </c>
      <c r="N1911" s="190">
        <f>J1911/L1911</f>
        <v>0.11089957163255593</v>
      </c>
      <c r="O1911" s="190">
        <f>(I1911*0.64)/(K1911+(M1911*P1911))</f>
        <v>9.0547429186439016E-2</v>
      </c>
      <c r="P1911" s="188">
        <v>610155241</v>
      </c>
      <c r="Q1911" s="188">
        <f>P1911*E1911</f>
        <v>37219469701</v>
      </c>
      <c r="R1911" s="195">
        <f>Q1911/L1911</f>
        <v>2.9525202047437729</v>
      </c>
      <c r="S1911" s="197" t="e">
        <f>(Q1911+K1911)/H1911</f>
        <v>#DIV/0!</v>
      </c>
      <c r="T1911" s="180"/>
      <c r="U1911" s="189" t="str">
        <f>IFERROR(IF(Tableau3[[#This Row],[Dettes]]=0,"",(Tableau3[[#This Row],[Dettes]]/Tableau3[[#This Row],[EBE]])),"")</f>
        <v/>
      </c>
      <c r="V1911" s="190" t="str">
        <f>IFERROR(Tableau3[[#This Row],[Fonds propres]]/Tableau3[[#This Row],[Total Bilan]],"")</f>
        <v/>
      </c>
      <c r="W1911" s="180"/>
      <c r="X1911" s="191"/>
      <c r="Y1911" s="180"/>
      <c r="Z1911" s="192" t="str">
        <f>IFERROR(Tableau3[[#This Row],[Chiffre d''affaires]]/Tableau3[[#This Row],[Salariés]],"")</f>
        <v/>
      </c>
      <c r="AA1911" s="197"/>
      <c r="AB1911" s="197"/>
    </row>
    <row r="1912" spans="1:29" ht="20.25" customHeight="1">
      <c r="A1912" s="217"/>
      <c r="E1912" s="187"/>
      <c r="G1912" s="188"/>
      <c r="H1912" s="188"/>
      <c r="I1912" s="188"/>
      <c r="J1912" s="188"/>
      <c r="K1912" s="188"/>
      <c r="L1912" s="188"/>
      <c r="M1912" s="194"/>
      <c r="N1912" s="190"/>
      <c r="O1912" s="190"/>
      <c r="P1912" s="188"/>
      <c r="Q1912" s="188"/>
      <c r="R1912" s="195"/>
      <c r="S1912" s="197"/>
      <c r="T1912" s="180"/>
      <c r="U1912" s="189" t="str">
        <f>IFERROR(IF(Tableau3[[#This Row],[Dettes]]=0,"",(Tableau3[[#This Row],[Dettes]]/Tableau3[[#This Row],[EBE]])),"")</f>
        <v/>
      </c>
      <c r="V1912" s="190" t="str">
        <f>IFERROR(Tableau3[[#This Row],[Fonds propres]]/Tableau3[[#This Row],[Total Bilan]],"")</f>
        <v/>
      </c>
      <c r="W1912" s="180"/>
      <c r="X1912" s="191"/>
      <c r="Y1912" s="180"/>
      <c r="Z1912" s="192" t="str">
        <f>IFERROR(Tableau3[[#This Row],[Chiffre d''affaires]]/Tableau3[[#This Row],[Salariés]],"")</f>
        <v/>
      </c>
      <c r="AA1912" s="197"/>
      <c r="AB1912" s="197"/>
    </row>
    <row r="1913" spans="1:29" ht="20.25" customHeight="1">
      <c r="A1913" s="217"/>
      <c r="E1913" s="187"/>
      <c r="G1913" s="188"/>
      <c r="H1913" s="188"/>
      <c r="I1913" s="188"/>
      <c r="J1913" s="188"/>
      <c r="K1913" s="188"/>
      <c r="L1913" s="188"/>
      <c r="M1913" s="194"/>
      <c r="N1913" s="190"/>
      <c r="O1913" s="190"/>
      <c r="P1913" s="188"/>
      <c r="Q1913" s="188"/>
      <c r="R1913" s="195"/>
      <c r="S1913" s="197"/>
      <c r="T1913" s="180"/>
      <c r="U1913" s="189" t="str">
        <f>IFERROR(IF(Tableau3[[#This Row],[Dettes]]=0,"",(Tableau3[[#This Row],[Dettes]]/Tableau3[[#This Row],[EBE]])),"")</f>
        <v/>
      </c>
      <c r="V1913" s="190" t="str">
        <f>IFERROR(Tableau3[[#This Row],[Fonds propres]]/Tableau3[[#This Row],[Total Bilan]],"")</f>
        <v/>
      </c>
      <c r="W1913" s="180"/>
      <c r="X1913" s="191"/>
      <c r="Y1913" s="180"/>
      <c r="Z1913" s="192" t="str">
        <f>IFERROR(Tableau3[[#This Row],[Chiffre d''affaires]]/Tableau3[[#This Row],[Salariés]],"")</f>
        <v/>
      </c>
      <c r="AA1913" s="197"/>
      <c r="AB1913" s="197"/>
    </row>
    <row r="1914" spans="1:29" ht="20.25" customHeight="1">
      <c r="A1914" s="217"/>
      <c r="E1914" s="187"/>
      <c r="G1914" s="188"/>
      <c r="H1914" s="188"/>
      <c r="I1914" s="188"/>
      <c r="J1914" s="188"/>
      <c r="K1914" s="188"/>
      <c r="L1914" s="188"/>
      <c r="M1914" s="194"/>
      <c r="N1914" s="190"/>
      <c r="O1914" s="190"/>
      <c r="P1914" s="188"/>
      <c r="Q1914" s="188"/>
      <c r="R1914" s="195"/>
      <c r="S1914" s="197"/>
      <c r="T1914" s="180"/>
      <c r="U1914" s="189" t="str">
        <f>IFERROR(IF(Tableau3[[#This Row],[Dettes]]=0,"",(Tableau3[[#This Row],[Dettes]]/Tableau3[[#This Row],[EBE]])),"")</f>
        <v/>
      </c>
      <c r="V1914" s="190" t="str">
        <f>IFERROR(Tableau3[[#This Row],[Fonds propres]]/Tableau3[[#This Row],[Total Bilan]],"")</f>
        <v/>
      </c>
      <c r="W1914" s="180"/>
      <c r="X1914" s="191"/>
      <c r="Y1914" s="180"/>
      <c r="Z1914" s="192" t="str">
        <f>IFERROR(Tableau3[[#This Row],[Chiffre d''affaires]]/Tableau3[[#This Row],[Salariés]],"")</f>
        <v/>
      </c>
      <c r="AA1914" s="197"/>
      <c r="AB1914" s="197"/>
    </row>
    <row r="1915" spans="1:29" ht="20.25" customHeight="1">
      <c r="A1915" s="217" t="s">
        <v>1321</v>
      </c>
      <c r="B1915" s="216" t="s">
        <v>1315</v>
      </c>
      <c r="C1915" s="178" t="s">
        <v>382</v>
      </c>
      <c r="D1915" s="178" t="s">
        <v>383</v>
      </c>
      <c r="E1915" s="187">
        <v>43.46</v>
      </c>
      <c r="F1915" s="178">
        <v>2021</v>
      </c>
      <c r="G1915" s="188"/>
      <c r="H1915" s="178"/>
      <c r="I1915" s="178"/>
      <c r="J1915" s="178"/>
      <c r="K1915" s="178"/>
      <c r="L1915" s="178"/>
      <c r="M1915" s="178"/>
      <c r="N1915" s="178"/>
      <c r="O1915" s="178"/>
      <c r="P1915" s="188">
        <v>308000000</v>
      </c>
      <c r="Q1915" s="188">
        <f>P1915*E1915</f>
        <v>13385680000</v>
      </c>
      <c r="R1915" s="195"/>
      <c r="S1915" s="178"/>
      <c r="T1915" s="180"/>
      <c r="U1915" s="189" t="str">
        <f>IFERROR(IF(Tableau3[[#This Row],[Dettes]]=0,"",(Tableau3[[#This Row],[Dettes]]/Tableau3[[#This Row],[EBE]])),"")</f>
        <v/>
      </c>
      <c r="V1915" s="190" t="str">
        <f>IFERROR(Tableau3[[#This Row],[Fonds propres]]/Tableau3[[#This Row],[Total Bilan]],"")</f>
        <v/>
      </c>
      <c r="W1915" s="180"/>
      <c r="Y1915" s="180"/>
      <c r="Z1915" s="192" t="str">
        <f>IFERROR(Tableau3[[#This Row],[Chiffre d''affaires]]/Tableau3[[#This Row],[Salariés]],"")</f>
        <v/>
      </c>
      <c r="AA1915" s="177"/>
      <c r="AC1915" s="177" t="s">
        <v>1322</v>
      </c>
    </row>
    <row r="1916" spans="1:29" ht="20.25" customHeight="1">
      <c r="A1916" s="217"/>
      <c r="E1916" s="187"/>
      <c r="G1916" s="188"/>
      <c r="H1916" s="178"/>
      <c r="I1916" s="178"/>
      <c r="J1916" s="178"/>
      <c r="K1916" s="178"/>
      <c r="L1916" s="178"/>
      <c r="M1916" s="178"/>
      <c r="N1916" s="178"/>
      <c r="O1916" s="178"/>
      <c r="P1916" s="178"/>
      <c r="Q1916" s="178"/>
      <c r="R1916" s="195"/>
      <c r="S1916" s="178"/>
      <c r="T1916" s="180"/>
      <c r="U1916" s="189" t="str">
        <f>IFERROR(IF(Tableau3[[#This Row],[Dettes]]=0,"",(Tableau3[[#This Row],[Dettes]]/Tableau3[[#This Row],[EBE]])),"")</f>
        <v/>
      </c>
      <c r="V1916" s="190" t="str">
        <f>IFERROR(Tableau3[[#This Row],[Fonds propres]]/Tableau3[[#This Row],[Total Bilan]],"")</f>
        <v/>
      </c>
      <c r="W1916" s="180"/>
      <c r="Y1916" s="180"/>
      <c r="Z1916" s="192" t="str">
        <f>IFERROR(Tableau3[[#This Row],[Chiffre d''affaires]]/Tableau3[[#This Row],[Salariés]],"")</f>
        <v/>
      </c>
      <c r="AA1916" s="177"/>
      <c r="AC1916" s="177" t="s">
        <v>1324</v>
      </c>
    </row>
    <row r="1917" spans="1:29" ht="20.25" customHeight="1">
      <c r="A1917" s="217"/>
      <c r="E1917" s="187">
        <v>48.35</v>
      </c>
      <c r="F1917" s="178">
        <v>2017</v>
      </c>
      <c r="G1917" s="188">
        <f>G1919*0.98</f>
        <v>7801780000</v>
      </c>
      <c r="H1917" s="188"/>
      <c r="I1917" s="188"/>
      <c r="J1917" s="188"/>
      <c r="K1917" s="188"/>
      <c r="L1917" s="188"/>
      <c r="M1917" s="194">
        <f>L1917/P1917</f>
        <v>0</v>
      </c>
      <c r="N1917" s="190"/>
      <c r="O1917" s="190"/>
      <c r="P1917" s="188">
        <v>308000000</v>
      </c>
      <c r="Q1917" s="188">
        <f>P1917*E1917</f>
        <v>14891800000</v>
      </c>
      <c r="R1917" s="195"/>
      <c r="S1917" s="178"/>
      <c r="T1917" s="180"/>
      <c r="U1917" s="189" t="str">
        <f>IFERROR(IF(Tableau3[[#This Row],[Dettes]]=0,"",(Tableau3[[#This Row],[Dettes]]/Tableau3[[#This Row],[EBE]])),"")</f>
        <v/>
      </c>
      <c r="V1917" s="190" t="str">
        <f>IFERROR(Tableau3[[#This Row],[Fonds propres]]/Tableau3[[#This Row],[Total Bilan]],"")</f>
        <v/>
      </c>
      <c r="W1917" s="180"/>
      <c r="Y1917" s="180"/>
      <c r="Z1917" s="192" t="str">
        <f>IFERROR(Tableau3[[#This Row],[Chiffre d''affaires]]/Tableau3[[#This Row],[Salariés]],"")</f>
        <v/>
      </c>
      <c r="AA1917" s="177"/>
      <c r="AC1917" s="177" t="s">
        <v>1325</v>
      </c>
    </row>
    <row r="1918" spans="1:29" ht="20.25" customHeight="1">
      <c r="A1918" s="217"/>
      <c r="E1918" s="187"/>
      <c r="G1918" s="202">
        <f>(G1917/G1919)-1</f>
        <v>-2.0000000000000018E-2</v>
      </c>
      <c r="H1918" s="203" t="e">
        <f>(H1917/H1919)-1</f>
        <v>#DIV/0!</v>
      </c>
      <c r="I1918" s="203">
        <f>(I1917/I1919)-1</f>
        <v>-1</v>
      </c>
      <c r="J1918" s="203">
        <f>(J1917/J1919)-1</f>
        <v>-1</v>
      </c>
      <c r="K1918" s="188"/>
      <c r="L1918" s="188"/>
      <c r="M1918" s="188"/>
      <c r="N1918" s="188"/>
      <c r="O1918" s="188"/>
      <c r="P1918" s="188"/>
      <c r="Q1918" s="188"/>
      <c r="R1918" s="195"/>
      <c r="S1918" s="178"/>
      <c r="T1918" s="180"/>
      <c r="U1918" s="189" t="str">
        <f>IFERROR(IF(Tableau3[[#This Row],[Dettes]]=0,"",(Tableau3[[#This Row],[Dettes]]/Tableau3[[#This Row],[EBE]])),"")</f>
        <v/>
      </c>
      <c r="V1918" s="190" t="str">
        <f>IFERROR(Tableau3[[#This Row],[Fonds propres]]/Tableau3[[#This Row],[Total Bilan]],"")</f>
        <v/>
      </c>
      <c r="W1918" s="180"/>
      <c r="Y1918" s="180"/>
      <c r="Z1918" s="192" t="str">
        <f>IFERROR(Tableau3[[#This Row],[Chiffre d''affaires]]/Tableau3[[#This Row],[Salariés]],"")</f>
        <v/>
      </c>
      <c r="AA1918" s="177"/>
      <c r="AC1918" s="177" t="s">
        <v>1326</v>
      </c>
    </row>
    <row r="1919" spans="1:29" ht="20.25" customHeight="1">
      <c r="A1919" s="217"/>
      <c r="E1919" s="187">
        <v>62</v>
      </c>
      <c r="F1919" s="178">
        <v>2016</v>
      </c>
      <c r="G1919" s="188">
        <v>7961000000</v>
      </c>
      <c r="H1919" s="188"/>
      <c r="I1919" s="188">
        <v>960000000</v>
      </c>
      <c r="J1919" s="188">
        <v>563000000</v>
      </c>
      <c r="K1919" s="188">
        <v>3533000000</v>
      </c>
      <c r="L1919" s="188">
        <v>1533000000</v>
      </c>
      <c r="M1919" s="194">
        <f>L1919/P1919</f>
        <v>4.9284728453362918</v>
      </c>
      <c r="N1919" s="190">
        <f>J1919/L1919</f>
        <v>0.36725375081539463</v>
      </c>
      <c r="O1919" s="190">
        <f>(I1919*0.64)/(K1919+(M1919*P1919))</f>
        <v>0.12127911567311489</v>
      </c>
      <c r="P1919" s="188">
        <v>311049700</v>
      </c>
      <c r="Q1919" s="188">
        <f>P1919*E1919</f>
        <v>19285081400</v>
      </c>
      <c r="R1919" s="195">
        <f>Q1919/L1919</f>
        <v>12.579961774298761</v>
      </c>
      <c r="S1919" s="197">
        <f>(Q1919+K1919)/I1919</f>
        <v>23.768834791666666</v>
      </c>
      <c r="T1919" s="180"/>
      <c r="U1919" s="189" t="str">
        <f>IFERROR(IF(Tableau3[[#This Row],[Dettes]]=0,"",(Tableau3[[#This Row],[Dettes]]/Tableau3[[#This Row],[EBE]])),"")</f>
        <v/>
      </c>
      <c r="V1919" s="190" t="str">
        <f>IFERROR(Tableau3[[#This Row],[Fonds propres]]/Tableau3[[#This Row],[Total Bilan]],"")</f>
        <v/>
      </c>
      <c r="W1919" s="180"/>
      <c r="X1919" s="191"/>
      <c r="Y1919" s="180"/>
      <c r="Z1919" s="192" t="str">
        <f>IFERROR(Tableau3[[#This Row],[Chiffre d''affaires]]/Tableau3[[#This Row],[Salariés]],"")</f>
        <v/>
      </c>
      <c r="AA1919" s="197"/>
      <c r="AB1919" s="197"/>
      <c r="AC1919" s="177" t="s">
        <v>1327</v>
      </c>
    </row>
    <row r="1920" spans="1:29" ht="20.25" customHeight="1">
      <c r="A1920" s="217"/>
      <c r="E1920" s="187"/>
      <c r="G1920" s="202">
        <f>(G1919/G1921)-1</f>
        <v>-1.4971541697599622E-2</v>
      </c>
      <c r="H1920" s="203" t="e">
        <f>(H1919/H1921)-1</f>
        <v>#DIV/0!</v>
      </c>
      <c r="I1920" s="203">
        <f>(I1919/I1921)-1</f>
        <v>-8.9184060721062663E-2</v>
      </c>
      <c r="J1920" s="203">
        <f>(J1919/J1921)-1</f>
        <v>-0.15465465465465467</v>
      </c>
      <c r="K1920" s="188"/>
      <c r="L1920" s="188"/>
      <c r="M1920" s="188"/>
      <c r="N1920" s="188"/>
      <c r="O1920" s="188"/>
      <c r="P1920" s="188"/>
      <c r="Q1920" s="188"/>
      <c r="R1920" s="195"/>
      <c r="S1920" s="178"/>
      <c r="T1920" s="180"/>
      <c r="U1920" s="189" t="str">
        <f>IFERROR(IF(Tableau3[[#This Row],[Dettes]]=0,"",(Tableau3[[#This Row],[Dettes]]/Tableau3[[#This Row],[EBE]])),"")</f>
        <v/>
      </c>
      <c r="V1920" s="190" t="str">
        <f>IFERROR(Tableau3[[#This Row],[Fonds propres]]/Tableau3[[#This Row],[Total Bilan]],"")</f>
        <v/>
      </c>
      <c r="W1920" s="180"/>
      <c r="Y1920" s="180"/>
      <c r="Z1920" s="192" t="str">
        <f>IFERROR(Tableau3[[#This Row],[Chiffre d''affaires]]/Tableau3[[#This Row],[Salariés]],"")</f>
        <v/>
      </c>
      <c r="AA1920" s="177"/>
    </row>
    <row r="1921" spans="1:29" ht="20.25" customHeight="1">
      <c r="A1921" s="217"/>
      <c r="E1921" s="187">
        <v>53</v>
      </c>
      <c r="F1921" s="178">
        <v>2015</v>
      </c>
      <c r="G1921" s="188">
        <v>8082000000</v>
      </c>
      <c r="H1921" s="188"/>
      <c r="I1921" s="188">
        <v>1054000000</v>
      </c>
      <c r="J1921" s="188">
        <v>666000000</v>
      </c>
      <c r="K1921" s="188">
        <v>4082000000</v>
      </c>
      <c r="L1921" s="188">
        <v>1377000000</v>
      </c>
      <c r="M1921" s="194">
        <f>L1921/P1921</f>
        <v>4.4039183039573535</v>
      </c>
      <c r="N1921" s="190">
        <f>J1921/L1921</f>
        <v>0.48366013071895425</v>
      </c>
      <c r="O1921" s="190">
        <f>(I1921*0.64)/(K1921+(M1921*P1921))</f>
        <v>0.12356841912438175</v>
      </c>
      <c r="P1921" s="188">
        <v>312676100</v>
      </c>
      <c r="Q1921" s="188">
        <f>P1921*E1921</f>
        <v>16571833300</v>
      </c>
      <c r="R1921" s="195">
        <f>Q1921/L1921</f>
        <v>12.034737327523603</v>
      </c>
      <c r="S1921" s="197">
        <f>(Q1921+K1921)/I1921</f>
        <v>19.595667267552184</v>
      </c>
      <c r="T1921" s="180"/>
      <c r="U1921" s="189" t="str">
        <f>IFERROR(IF(Tableau3[[#This Row],[Dettes]]=0,"",(Tableau3[[#This Row],[Dettes]]/Tableau3[[#This Row],[EBE]])),"")</f>
        <v/>
      </c>
      <c r="V1921" s="190" t="str">
        <f>IFERROR(Tableau3[[#This Row],[Fonds propres]]/Tableau3[[#This Row],[Total Bilan]],"")</f>
        <v/>
      </c>
      <c r="W1921" s="180"/>
      <c r="X1921" s="191"/>
      <c r="Y1921" s="180"/>
      <c r="Z1921" s="192" t="str">
        <f>IFERROR(Tableau3[[#This Row],[Chiffre d''affaires]]/Tableau3[[#This Row],[Salariés]],"")</f>
        <v/>
      </c>
      <c r="AA1921" s="197"/>
      <c r="AB1921" s="197"/>
    </row>
    <row r="1922" spans="1:29" ht="20.25" customHeight="1">
      <c r="A1922" s="217"/>
      <c r="E1922" s="187"/>
      <c r="G1922" s="202">
        <f>(G1921/G1923)-1</f>
        <v>-2.2496371552975347E-2</v>
      </c>
      <c r="H1922" s="203" t="e">
        <f>(H1921/H1923)-1</f>
        <v>#DIV/0!</v>
      </c>
      <c r="I1922" s="203">
        <f>(I1921/I1923)-1</f>
        <v>-0.1681136543014996</v>
      </c>
      <c r="J1922" s="203">
        <f>(J1921/J1923)-1</f>
        <v>-0.22105263157894739</v>
      </c>
      <c r="K1922" s="178"/>
      <c r="L1922" s="178"/>
      <c r="M1922" s="178"/>
      <c r="N1922" s="178"/>
      <c r="O1922" s="178"/>
      <c r="P1922" s="178"/>
      <c r="Q1922" s="178"/>
      <c r="R1922" s="195"/>
      <c r="S1922" s="178"/>
      <c r="T1922" s="180"/>
      <c r="U1922" s="189" t="str">
        <f>IFERROR(IF(Tableau3[[#This Row],[Dettes]]=0,"",(Tableau3[[#This Row],[Dettes]]/Tableau3[[#This Row],[EBE]])),"")</f>
        <v/>
      </c>
      <c r="V1922" s="190" t="str">
        <f>IFERROR(Tableau3[[#This Row],[Fonds propres]]/Tableau3[[#This Row],[Total Bilan]],"")</f>
        <v/>
      </c>
      <c r="W1922" s="180"/>
      <c r="Y1922" s="180"/>
      <c r="Z1922" s="192" t="str">
        <f>IFERROR(Tableau3[[#This Row],[Chiffre d''affaires]]/Tableau3[[#This Row],[Salariés]],"")</f>
        <v/>
      </c>
      <c r="AA1922" s="177"/>
    </row>
    <row r="1923" spans="1:29" ht="20.25" customHeight="1">
      <c r="A1923" s="217"/>
      <c r="E1923" s="187">
        <v>43</v>
      </c>
      <c r="F1923" s="178">
        <v>2014</v>
      </c>
      <c r="G1923" s="188">
        <v>8268000000</v>
      </c>
      <c r="H1923" s="188"/>
      <c r="I1923" s="188">
        <v>1267000000</v>
      </c>
      <c r="J1923" s="188">
        <v>855000000</v>
      </c>
      <c r="K1923" s="188">
        <v>4003000000</v>
      </c>
      <c r="L1923" s="188">
        <v>1602000000</v>
      </c>
      <c r="M1923" s="194">
        <f>L1923/P1923</f>
        <v>5.1235127980680328</v>
      </c>
      <c r="N1923" s="190">
        <f>J1923/L1923</f>
        <v>0.5337078651685393</v>
      </c>
      <c r="O1923" s="190">
        <f>(I1923*0.64)/(K1923+(M1923*P1923))</f>
        <v>0.14467082961641392</v>
      </c>
      <c r="P1923" s="188">
        <v>312676100</v>
      </c>
      <c r="Q1923" s="188">
        <f>P1923*E1923</f>
        <v>13445072300</v>
      </c>
      <c r="R1923" s="195">
        <f>Q1923/L1923</f>
        <v>8.3926793383270919</v>
      </c>
      <c r="S1923" s="197">
        <f>(Q1923+K1923)/I1923</f>
        <v>13.771169928966062</v>
      </c>
      <c r="T1923" s="180"/>
      <c r="U1923" s="189" t="str">
        <f>IFERROR(IF(Tableau3[[#This Row],[Dettes]]=0,"",(Tableau3[[#This Row],[Dettes]]/Tableau3[[#This Row],[EBE]])),"")</f>
        <v/>
      </c>
      <c r="V1923" s="190" t="str">
        <f>IFERROR(Tableau3[[#This Row],[Fonds propres]]/Tableau3[[#This Row],[Total Bilan]],"")</f>
        <v/>
      </c>
      <c r="W1923" s="180"/>
      <c r="X1923" s="191"/>
      <c r="Y1923" s="180"/>
      <c r="Z1923" s="192" t="str">
        <f>IFERROR(Tableau3[[#This Row],[Chiffre d''affaires]]/Tableau3[[#This Row],[Salariés]],"")</f>
        <v/>
      </c>
      <c r="AA1923" s="197"/>
      <c r="AB1923" s="197"/>
    </row>
    <row r="1924" spans="1:29" ht="20.25" customHeight="1">
      <c r="A1924" s="217"/>
      <c r="E1924" s="187"/>
      <c r="G1924" s="188"/>
      <c r="H1924" s="188"/>
      <c r="I1924" s="188"/>
      <c r="J1924" s="188"/>
      <c r="K1924" s="188"/>
      <c r="L1924" s="188"/>
      <c r="M1924" s="194"/>
      <c r="N1924" s="190"/>
      <c r="O1924" s="190"/>
      <c r="P1924" s="188"/>
      <c r="Q1924" s="188"/>
      <c r="R1924" s="195"/>
      <c r="S1924" s="197"/>
      <c r="T1924" s="180"/>
      <c r="U1924" s="189" t="str">
        <f>IFERROR(IF(Tableau3[[#This Row],[Dettes]]=0,"",(Tableau3[[#This Row],[Dettes]]/Tableau3[[#This Row],[EBE]])),"")</f>
        <v/>
      </c>
      <c r="V1924" s="190" t="str">
        <f>IFERROR(Tableau3[[#This Row],[Fonds propres]]/Tableau3[[#This Row],[Total Bilan]],"")</f>
        <v/>
      </c>
      <c r="W1924" s="180"/>
      <c r="X1924" s="191"/>
      <c r="Y1924" s="180"/>
      <c r="Z1924" s="192" t="str">
        <f>IFERROR(Tableau3[[#This Row],[Chiffre d''affaires]]/Tableau3[[#This Row],[Salariés]],"")</f>
        <v/>
      </c>
      <c r="AA1924" s="197"/>
      <c r="AB1924" s="197"/>
    </row>
    <row r="1925" spans="1:29" ht="20.25" customHeight="1">
      <c r="A1925" s="217"/>
      <c r="E1925" s="187"/>
      <c r="G1925" s="188"/>
      <c r="H1925" s="188"/>
      <c r="I1925" s="188"/>
      <c r="J1925" s="188"/>
      <c r="K1925" s="188"/>
      <c r="L1925" s="188"/>
      <c r="M1925" s="194"/>
      <c r="N1925" s="190"/>
      <c r="O1925" s="190"/>
      <c r="P1925" s="188"/>
      <c r="Q1925" s="188"/>
      <c r="R1925" s="195"/>
      <c r="S1925" s="197"/>
      <c r="T1925" s="180"/>
      <c r="U1925" s="189" t="str">
        <f>IFERROR(IF(Tableau3[[#This Row],[Dettes]]=0,"",(Tableau3[[#This Row],[Dettes]]/Tableau3[[#This Row],[EBE]])),"")</f>
        <v/>
      </c>
      <c r="V1925" s="190" t="str">
        <f>IFERROR(Tableau3[[#This Row],[Fonds propres]]/Tableau3[[#This Row],[Total Bilan]],"")</f>
        <v/>
      </c>
      <c r="W1925" s="180"/>
      <c r="X1925" s="191"/>
      <c r="Y1925" s="180"/>
      <c r="Z1925" s="192" t="str">
        <f>IFERROR(Tableau3[[#This Row],[Chiffre d''affaires]]/Tableau3[[#This Row],[Salariés]],"")</f>
        <v/>
      </c>
      <c r="AA1925" s="197"/>
      <c r="AB1925" s="197"/>
    </row>
    <row r="1926" spans="1:29" ht="20.25" customHeight="1">
      <c r="A1926" s="217"/>
      <c r="E1926" s="187"/>
      <c r="G1926" s="188"/>
      <c r="H1926" s="188"/>
      <c r="I1926" s="188"/>
      <c r="J1926" s="188"/>
      <c r="K1926" s="188"/>
      <c r="L1926" s="188"/>
      <c r="M1926" s="194"/>
      <c r="N1926" s="190"/>
      <c r="O1926" s="190"/>
      <c r="P1926" s="188"/>
      <c r="Q1926" s="188"/>
      <c r="R1926" s="195"/>
      <c r="S1926" s="197"/>
      <c r="T1926" s="180"/>
      <c r="U1926" s="189" t="str">
        <f>IFERROR(IF(Tableau3[[#This Row],[Dettes]]=0,"",(Tableau3[[#This Row],[Dettes]]/Tableau3[[#This Row],[EBE]])),"")</f>
        <v/>
      </c>
      <c r="V1926" s="190" t="str">
        <f>IFERROR(Tableau3[[#This Row],[Fonds propres]]/Tableau3[[#This Row],[Total Bilan]],"")</f>
        <v/>
      </c>
      <c r="W1926" s="180"/>
      <c r="X1926" s="191"/>
      <c r="Y1926" s="180"/>
      <c r="Z1926" s="192" t="str">
        <f>IFERROR(Tableau3[[#This Row],[Chiffre d''affaires]]/Tableau3[[#This Row],[Salariés]],"")</f>
        <v/>
      </c>
      <c r="AA1926" s="197"/>
      <c r="AB1926" s="197"/>
    </row>
    <row r="1927" spans="1:29" ht="20.25" customHeight="1">
      <c r="A1927" s="217" t="s">
        <v>1328</v>
      </c>
      <c r="B1927" s="216" t="s">
        <v>1329</v>
      </c>
      <c r="C1927" s="178" t="s">
        <v>564</v>
      </c>
      <c r="D1927" s="178" t="s">
        <v>85</v>
      </c>
      <c r="E1927" s="187">
        <v>13.96</v>
      </c>
      <c r="F1927" s="178">
        <v>2021</v>
      </c>
      <c r="G1927" s="188">
        <v>5300000000</v>
      </c>
      <c r="H1927" s="188">
        <f>G1927*0.03</f>
        <v>159000000</v>
      </c>
      <c r="I1927" s="188">
        <v>0</v>
      </c>
      <c r="J1927" s="188">
        <v>-100000000</v>
      </c>
      <c r="K1927" s="188">
        <v>-516000000</v>
      </c>
      <c r="L1927" s="188">
        <v>1217000000</v>
      </c>
      <c r="M1927" s="194">
        <f>L1927/P1927</f>
        <v>7.6052501472697012</v>
      </c>
      <c r="N1927" s="190">
        <f>J1927/L1927</f>
        <v>-8.2169268693508629E-2</v>
      </c>
      <c r="O1927" s="190">
        <f>(I1927*0.64)/(K1927+(M1927*P1927))</f>
        <v>0</v>
      </c>
      <c r="P1927" s="188">
        <f>160021035</f>
        <v>160021035</v>
      </c>
      <c r="Q1927" s="188">
        <f>P1927*E1927</f>
        <v>2233893648.5999999</v>
      </c>
      <c r="R1927" s="195">
        <f>Q1927/L1927</f>
        <v>1.8355740744453573</v>
      </c>
      <c r="S1927" s="197">
        <f>(Q1927+K1927)/H1927</f>
        <v>10.804362569811321</v>
      </c>
      <c r="T1927" s="180"/>
      <c r="U1927" s="189">
        <f>IFERROR(IF(Tableau3[[#This Row],[Dettes]]=0,"",(Tableau3[[#This Row],[Dettes]]/Tableau3[[#This Row],[EBE]])),"")</f>
        <v>-3.2452830188679247</v>
      </c>
      <c r="V1927" s="190" t="str">
        <f>IFERROR(Tableau3[[#This Row],[Fonds propres]]/Tableau3[[#This Row],[Total Bilan]],"")</f>
        <v/>
      </c>
      <c r="W1927" s="180"/>
      <c r="X1927" s="191" t="s">
        <v>1330</v>
      </c>
      <c r="Y1927" s="180"/>
      <c r="Z1927" s="192" t="str">
        <f>IFERROR(Tableau3[[#This Row],[Chiffre d''affaires]]/Tableau3[[#This Row],[Salariés]],"")</f>
        <v/>
      </c>
      <c r="AA1927" s="197"/>
      <c r="AB1927" s="197"/>
      <c r="AC1927" s="177" t="s">
        <v>1331</v>
      </c>
    </row>
    <row r="1928" spans="1:29" ht="20.25" customHeight="1">
      <c r="A1928" s="217"/>
      <c r="E1928" s="187"/>
      <c r="G1928" s="202">
        <f>(G1927/G1929)-1</f>
        <v>0.13961339153245755</v>
      </c>
      <c r="H1928" s="203">
        <f>(H1927/H1929)-1</f>
        <v>0.70942008729868622</v>
      </c>
      <c r="I1928" s="203">
        <f>(I1927/I1929)-1</f>
        <v>-1</v>
      </c>
      <c r="J1928" s="203">
        <f>(J1927/J1929)-1</f>
        <v>-0.22839506172839508</v>
      </c>
      <c r="K1928" s="188"/>
      <c r="L1928" s="188"/>
      <c r="M1928" s="194"/>
      <c r="N1928" s="190"/>
      <c r="O1928" s="190"/>
      <c r="P1928" s="188"/>
      <c r="Q1928" s="188"/>
      <c r="R1928" s="195"/>
      <c r="S1928" s="197"/>
      <c r="T1928" s="180"/>
      <c r="U1928" s="189" t="str">
        <f>IFERROR(IF(Tableau3[[#This Row],[Dettes]]=0,"",(Tableau3[[#This Row],[Dettes]]/Tableau3[[#This Row],[EBE]])),"")</f>
        <v/>
      </c>
      <c r="V1928" s="190" t="str">
        <f>IFERROR(Tableau3[[#This Row],[Fonds propres]]/Tableau3[[#This Row],[Total Bilan]],"")</f>
        <v/>
      </c>
      <c r="W1928" s="180"/>
      <c r="Y1928" s="180"/>
      <c r="Z1928" s="192" t="str">
        <f>IFERROR(Tableau3[[#This Row],[Chiffre d''affaires]]/Tableau3[[#This Row],[Salariés]],"")</f>
        <v/>
      </c>
      <c r="AA1928" s="177"/>
      <c r="AC1928" s="177" t="s">
        <v>1333</v>
      </c>
    </row>
    <row r="1929" spans="1:29" ht="20.25" customHeight="1">
      <c r="A1929" s="217"/>
      <c r="E1929" s="187">
        <v>22.32</v>
      </c>
      <c r="F1929" s="178">
        <v>2020</v>
      </c>
      <c r="G1929" s="188">
        <v>4650700000</v>
      </c>
      <c r="H1929" s="211">
        <f>G1929*0.02</f>
        <v>93014000</v>
      </c>
      <c r="I1929" s="188">
        <v>-61800000</v>
      </c>
      <c r="J1929" s="188">
        <v>-129600000</v>
      </c>
      <c r="K1929" s="188">
        <v>40900000</v>
      </c>
      <c r="L1929" s="188">
        <v>773500000</v>
      </c>
      <c r="M1929" s="194">
        <f>L1929/P1929</f>
        <v>7.2506092034968166</v>
      </c>
      <c r="N1929" s="190">
        <f>J1929/L1929</f>
        <v>-0.16755009696186166</v>
      </c>
      <c r="O1929" s="190">
        <f>(I1929*0.64)/(K1929+(M1929*P1929))</f>
        <v>-4.8565815324165026E-2</v>
      </c>
      <c r="P1929" s="188">
        <f>9698244+96982447</f>
        <v>106680691</v>
      </c>
      <c r="Q1929" s="188">
        <f>P1929*E1929</f>
        <v>2381113023.1199999</v>
      </c>
      <c r="R1929" s="195">
        <f>Q1929/L1929</f>
        <v>3.0783620208403359</v>
      </c>
      <c r="S1929" s="197">
        <f>(Q1929+K1929)/H1929</f>
        <v>26.039230902014751</v>
      </c>
      <c r="T1929" s="180"/>
      <c r="U1929" s="189">
        <f>IFERROR(IF(Tableau3[[#This Row],[Dettes]]=0,"",(Tableau3[[#This Row],[Dettes]]/Tableau3[[#This Row],[EBE]])),"")</f>
        <v>0.43971875201582555</v>
      </c>
      <c r="V1929" s="190" t="str">
        <f>IFERROR(Tableau3[[#This Row],[Fonds propres]]/Tableau3[[#This Row],[Total Bilan]],"")</f>
        <v/>
      </c>
      <c r="W1929" s="180"/>
      <c r="X1929" s="191"/>
      <c r="Y1929" s="180"/>
      <c r="Z1929" s="192" t="str">
        <f>IFERROR(Tableau3[[#This Row],[Chiffre d''affaires]]/Tableau3[[#This Row],[Salariés]],"")</f>
        <v/>
      </c>
      <c r="AA1929" s="197"/>
      <c r="AB1929" s="197"/>
      <c r="AC1929" s="177" t="s">
        <v>1334</v>
      </c>
    </row>
    <row r="1930" spans="1:29" ht="20.25" customHeight="1">
      <c r="A1930" s="217"/>
      <c r="E1930" s="187"/>
      <c r="G1930" s="202">
        <f>(G1929/G1931)-1</f>
        <v>0.41591061316446454</v>
      </c>
      <c r="H1930" s="203">
        <f>(H1929/H1931)-1</f>
        <v>-0.24867528271405492</v>
      </c>
      <c r="I1930" s="203">
        <f>(I1929/I1931)-1</f>
        <v>2.1530612244897958</v>
      </c>
      <c r="J1930" s="203">
        <f>(J1929/J1931)-1</f>
        <v>0.78512396694214881</v>
      </c>
      <c r="K1930" s="178"/>
      <c r="L1930" s="178"/>
      <c r="M1930" s="178"/>
      <c r="N1930" s="178"/>
      <c r="O1930" s="178"/>
      <c r="P1930" s="178"/>
      <c r="Q1930" s="178"/>
      <c r="R1930" s="195"/>
      <c r="S1930" s="178"/>
      <c r="T1930" s="180"/>
      <c r="U1930" s="189" t="str">
        <f>IFERROR(IF(Tableau3[[#This Row],[Dettes]]=0,"",(Tableau3[[#This Row],[Dettes]]/Tableau3[[#This Row],[EBE]])),"")</f>
        <v/>
      </c>
      <c r="V1930" s="190" t="str">
        <f>IFERROR(Tableau3[[#This Row],[Fonds propres]]/Tableau3[[#This Row],[Total Bilan]],"")</f>
        <v/>
      </c>
      <c r="W1930" s="180"/>
      <c r="Y1930" s="180"/>
      <c r="Z1930" s="192" t="str">
        <f>IFERROR(Tableau3[[#This Row],[Chiffre d''affaires]]/Tableau3[[#This Row],[Salariés]],"")</f>
        <v/>
      </c>
      <c r="AA1930" s="177"/>
      <c r="AC1930" s="177" t="s">
        <v>1335</v>
      </c>
    </row>
    <row r="1931" spans="1:29" ht="20.25" customHeight="1">
      <c r="A1931" s="217"/>
      <c r="E1931" s="187">
        <v>12.5</v>
      </c>
      <c r="F1931" s="178">
        <v>2019</v>
      </c>
      <c r="G1931" s="188">
        <v>3284600000</v>
      </c>
      <c r="H1931" s="188">
        <v>123800000</v>
      </c>
      <c r="I1931" s="188">
        <v>-19600000</v>
      </c>
      <c r="J1931" s="188">
        <v>-72600000</v>
      </c>
      <c r="K1931" s="188">
        <v>84000000</v>
      </c>
      <c r="L1931" s="188">
        <v>745400000</v>
      </c>
      <c r="M1931" s="194">
        <f>L1931/P1931</f>
        <v>6.9872063352120586</v>
      </c>
      <c r="N1931" s="190">
        <f>J1931/L1931</f>
        <v>-9.7397370539307748E-2</v>
      </c>
      <c r="O1931" s="190">
        <f>(I1931*0.64)/(K1931+(M1931*P1931))</f>
        <v>-1.5124186158668918E-2</v>
      </c>
      <c r="P1931" s="188">
        <f>9698244+96982447</f>
        <v>106680691</v>
      </c>
      <c r="Q1931" s="188">
        <f>P1931*E1931</f>
        <v>1333508637.5</v>
      </c>
      <c r="R1931" s="195">
        <f>Q1931/L1931</f>
        <v>1.7889839515696271</v>
      </c>
      <c r="S1931" s="197">
        <f>(Q1931+K1931)/H1931</f>
        <v>11.449988994345718</v>
      </c>
      <c r="T1931" s="180"/>
      <c r="U1931" s="189">
        <f>IFERROR(IF(Tableau3[[#This Row],[Dettes]]=0,"",(Tableau3[[#This Row],[Dettes]]/Tableau3[[#This Row],[EBE]])),"")</f>
        <v>0.67851373182552499</v>
      </c>
      <c r="V1931" s="190" t="str">
        <f>IFERROR(Tableau3[[#This Row],[Fonds propres]]/Tableau3[[#This Row],[Total Bilan]],"")</f>
        <v/>
      </c>
      <c r="W1931" s="180"/>
      <c r="X1931" s="191"/>
      <c r="Y1931" s="180"/>
      <c r="Z1931" s="192" t="str">
        <f>IFERROR(Tableau3[[#This Row],[Chiffre d''affaires]]/Tableau3[[#This Row],[Salariés]],"")</f>
        <v/>
      </c>
      <c r="AA1931" s="197"/>
      <c r="AB1931" s="197"/>
      <c r="AC1931" s="177" t="s">
        <v>1336</v>
      </c>
    </row>
    <row r="1932" spans="1:29" ht="20.25" customHeight="1">
      <c r="A1932" s="217"/>
      <c r="E1932" s="187"/>
      <c r="G1932" s="202">
        <f>(G1931/G1933)-1</f>
        <v>0.33567888402536838</v>
      </c>
      <c r="H1932" s="203">
        <f>(H1931/H1933)-1</f>
        <v>0.21730580137659783</v>
      </c>
      <c r="I1932" s="203">
        <f>(I1931/I1933)-1</f>
        <v>-0.63824957088278178</v>
      </c>
      <c r="J1932" s="203">
        <f>(J1931/J1933)-1</f>
        <v>-0.13419913419913421</v>
      </c>
      <c r="K1932" s="178"/>
      <c r="L1932" s="178"/>
      <c r="M1932" s="178"/>
      <c r="N1932" s="178"/>
      <c r="O1932" s="178"/>
      <c r="P1932" s="178"/>
      <c r="Q1932" s="178"/>
      <c r="R1932" s="195"/>
      <c r="S1932" s="178"/>
      <c r="T1932" s="180"/>
      <c r="U1932" s="189" t="str">
        <f>IFERROR(IF(Tableau3[[#This Row],[Dettes]]=0,"",(Tableau3[[#This Row],[Dettes]]/Tableau3[[#This Row],[EBE]])),"")</f>
        <v/>
      </c>
      <c r="V1932" s="190" t="str">
        <f>IFERROR(Tableau3[[#This Row],[Fonds propres]]/Tableau3[[#This Row],[Total Bilan]],"")</f>
        <v/>
      </c>
      <c r="W1932" s="180"/>
      <c r="Y1932" s="180"/>
      <c r="Z1932" s="192" t="str">
        <f>IFERROR(Tableau3[[#This Row],[Chiffre d''affaires]]/Tableau3[[#This Row],[Salariés]],"")</f>
        <v/>
      </c>
      <c r="AA1932" s="177"/>
      <c r="AC1932" s="177" t="s">
        <v>1337</v>
      </c>
    </row>
    <row r="1933" spans="1:29" ht="20.25" customHeight="1">
      <c r="A1933" s="217"/>
      <c r="E1933" s="187">
        <v>8.4</v>
      </c>
      <c r="F1933" s="178">
        <v>2018</v>
      </c>
      <c r="G1933" s="188">
        <v>2459124000</v>
      </c>
      <c r="H1933" s="188">
        <f>101700000</f>
        <v>101700000</v>
      </c>
      <c r="I1933" s="188">
        <v>-54181000</v>
      </c>
      <c r="J1933" s="188">
        <v>-83853000</v>
      </c>
      <c r="K1933" s="188">
        <v>32500000</v>
      </c>
      <c r="L1933" s="188">
        <v>697300000</v>
      </c>
      <c r="M1933" s="194">
        <f>L1933/P1933</f>
        <v>7.1899608802405242</v>
      </c>
      <c r="N1933" s="190">
        <f>J1933/L1933</f>
        <v>-0.12025383622544099</v>
      </c>
      <c r="O1933" s="190">
        <f>(I1933*0.64)/(K1933+(M1933*P1933))</f>
        <v>-4.7514168265278156E-2</v>
      </c>
      <c r="P1933" s="188">
        <v>96982447</v>
      </c>
      <c r="Q1933" s="188">
        <f>P1933*E1933</f>
        <v>814652554.80000007</v>
      </c>
      <c r="R1933" s="195">
        <f>Q1933/L1933</f>
        <v>1.1682956472106698</v>
      </c>
      <c r="S1933" s="197">
        <f>(Q1933+K1933)/H1933</f>
        <v>8.3299169596853506</v>
      </c>
      <c r="T1933" s="180"/>
      <c r="U1933" s="189">
        <f>IFERROR(IF(Tableau3[[#This Row],[Dettes]]=0,"",(Tableau3[[#This Row],[Dettes]]/Tableau3[[#This Row],[EBE]])),"")</f>
        <v>0.31956735496558503</v>
      </c>
      <c r="V1933" s="190" t="str">
        <f>IFERROR(Tableau3[[#This Row],[Fonds propres]]/Tableau3[[#This Row],[Total Bilan]],"")</f>
        <v/>
      </c>
      <c r="W1933" s="180"/>
      <c r="X1933" s="191"/>
      <c r="Y1933" s="180"/>
      <c r="Z1933" s="192" t="str">
        <f>IFERROR(Tableau3[[#This Row],[Chiffre d''affaires]]/Tableau3[[#This Row],[Salariés]],"")</f>
        <v/>
      </c>
      <c r="AA1933" s="197"/>
      <c r="AB1933" s="197"/>
      <c r="AC1933" s="177" t="s">
        <v>1338</v>
      </c>
    </row>
    <row r="1934" spans="1:29" ht="20.25" customHeight="1">
      <c r="A1934" s="217"/>
      <c r="E1934" s="187"/>
      <c r="G1934" s="202">
        <f>(G1933/G1935)-1</f>
        <v>-0.20100929628681374</v>
      </c>
      <c r="H1934" s="203">
        <f>(H1933/H1935)-1</f>
        <v>-0.57975206611570251</v>
      </c>
      <c r="I1934" s="203">
        <f>(I1933/I1935)-1</f>
        <v>-2.2496482690223032</v>
      </c>
      <c r="J1934" s="203">
        <f>(J1933/J1935)-1</f>
        <v>-255.87234042553192</v>
      </c>
      <c r="K1934" s="188"/>
      <c r="L1934" s="188"/>
      <c r="M1934" s="188"/>
      <c r="N1934" s="188"/>
      <c r="O1934" s="188"/>
      <c r="P1934" s="188"/>
      <c r="Q1934" s="188"/>
      <c r="R1934" s="195"/>
      <c r="S1934" s="178"/>
      <c r="T1934" s="180"/>
      <c r="U1934" s="189" t="str">
        <f>IFERROR(IF(Tableau3[[#This Row],[Dettes]]=0,"",(Tableau3[[#This Row],[Dettes]]/Tableau3[[#This Row],[EBE]])),"")</f>
        <v/>
      </c>
      <c r="V1934" s="190" t="str">
        <f>IFERROR(Tableau3[[#This Row],[Fonds propres]]/Tableau3[[#This Row],[Total Bilan]],"")</f>
        <v/>
      </c>
      <c r="W1934" s="180"/>
      <c r="Y1934" s="180"/>
      <c r="Z1934" s="192" t="str">
        <f>IFERROR(Tableau3[[#This Row],[Chiffre d''affaires]]/Tableau3[[#This Row],[Salariés]],"")</f>
        <v/>
      </c>
      <c r="AA1934" s="177"/>
      <c r="AC1934" s="177" t="s">
        <v>1339</v>
      </c>
    </row>
    <row r="1935" spans="1:29" ht="20.25" customHeight="1">
      <c r="A1935" s="217"/>
      <c r="E1935" s="187">
        <v>7.29</v>
      </c>
      <c r="F1935" s="178">
        <v>2017</v>
      </c>
      <c r="G1935" s="188">
        <v>3077788000</v>
      </c>
      <c r="H1935" s="188">
        <v>242000000</v>
      </c>
      <c r="I1935" s="188">
        <v>43357000</v>
      </c>
      <c r="J1935" s="188">
        <v>329000</v>
      </c>
      <c r="K1935" s="188">
        <v>60100000</v>
      </c>
      <c r="L1935" s="188">
        <v>919000000</v>
      </c>
      <c r="M1935" s="194">
        <f>L1935/P1935</f>
        <v>9.4759415587853741</v>
      </c>
      <c r="N1935" s="190">
        <f>J1935/L1935</f>
        <v>3.5799782372143636E-4</v>
      </c>
      <c r="O1935" s="190">
        <f>(I1935*0.64)/(K1935+(M1935*P1935))</f>
        <v>2.8340802778061489E-2</v>
      </c>
      <c r="P1935" s="188">
        <v>96982447</v>
      </c>
      <c r="Q1935" s="188">
        <f>P1935*E1935</f>
        <v>707002038.63</v>
      </c>
      <c r="R1935" s="195">
        <f>Q1935/L1935</f>
        <v>0.76931669056583241</v>
      </c>
      <c r="S1935" s="197">
        <f>(Q1935+K1935)/H1935</f>
        <v>3.1698431348347107</v>
      </c>
      <c r="T1935" s="180"/>
      <c r="U1935" s="189">
        <f>IFERROR(IF(Tableau3[[#This Row],[Dettes]]=0,"",(Tableau3[[#This Row],[Dettes]]/Tableau3[[#This Row],[EBE]])),"")</f>
        <v>0.24834710743801652</v>
      </c>
      <c r="V1935" s="190" t="str">
        <f>IFERROR(Tableau3[[#This Row],[Fonds propres]]/Tableau3[[#This Row],[Total Bilan]],"")</f>
        <v/>
      </c>
      <c r="W1935" s="180"/>
      <c r="X1935" s="191"/>
      <c r="Y1935" s="180"/>
      <c r="Z1935" s="192" t="str">
        <f>IFERROR(Tableau3[[#This Row],[Chiffre d''affaires]]/Tableau3[[#This Row],[Salariés]],"")</f>
        <v/>
      </c>
      <c r="AA1935" s="197"/>
      <c r="AB1935" s="197"/>
      <c r="AC1935" s="177" t="s">
        <v>1340</v>
      </c>
    </row>
    <row r="1936" spans="1:29" ht="20.25" customHeight="1">
      <c r="A1936" s="217"/>
      <c r="E1936" s="187"/>
      <c r="G1936" s="202">
        <f>(G1935/G1937)-1</f>
        <v>-9.3435051546391756E-2</v>
      </c>
      <c r="H1936" s="203">
        <f>(H1935/H1937)-1</f>
        <v>-0.15236427320490364</v>
      </c>
      <c r="I1936" s="203">
        <f>(I1935/I1937)-1</f>
        <v>-0.74284104389086592</v>
      </c>
      <c r="J1936" s="203">
        <f>(J1935/J1937)-1</f>
        <v>-0.99655136268343814</v>
      </c>
      <c r="K1936" s="188"/>
      <c r="L1936" s="188"/>
      <c r="M1936" s="188"/>
      <c r="N1936" s="188"/>
      <c r="O1936" s="188"/>
      <c r="P1936" s="188"/>
      <c r="Q1936" s="188"/>
      <c r="R1936" s="195"/>
      <c r="S1936" s="178"/>
      <c r="T1936" s="180"/>
      <c r="U1936" s="189" t="str">
        <f>IFERROR(IF(Tableau3[[#This Row],[Dettes]]=0,"",(Tableau3[[#This Row],[Dettes]]/Tableau3[[#This Row],[EBE]])),"")</f>
        <v/>
      </c>
      <c r="V1936" s="190" t="str">
        <f>IFERROR(Tableau3[[#This Row],[Fonds propres]]/Tableau3[[#This Row],[Total Bilan]],"")</f>
        <v/>
      </c>
      <c r="W1936" s="180"/>
      <c r="Y1936" s="180"/>
      <c r="Z1936" s="192" t="str">
        <f>IFERROR(Tableau3[[#This Row],[Chiffre d''affaires]]/Tableau3[[#This Row],[Salariés]],"")</f>
        <v/>
      </c>
      <c r="AA1936" s="177"/>
      <c r="AC1936" s="177" t="s">
        <v>1341</v>
      </c>
    </row>
    <row r="1937" spans="1:29" ht="20.25" customHeight="1">
      <c r="A1937" s="217"/>
      <c r="E1937" s="187">
        <v>20.440000000000001</v>
      </c>
      <c r="F1937" s="178">
        <v>2016</v>
      </c>
      <c r="G1937" s="188">
        <v>3395000000</v>
      </c>
      <c r="H1937" s="188">
        <v>285500000</v>
      </c>
      <c r="I1937" s="188">
        <v>168600000</v>
      </c>
      <c r="J1937" s="188">
        <v>95400000</v>
      </c>
      <c r="K1937" s="188">
        <v>6000000</v>
      </c>
      <c r="L1937" s="188">
        <v>940000000</v>
      </c>
      <c r="M1937" s="194">
        <f>L1937/P1937</f>
        <v>10.130183636520389</v>
      </c>
      <c r="N1937" s="190">
        <f>J1937/L1937</f>
        <v>0.10148936170212766</v>
      </c>
      <c r="O1937" s="190">
        <f>(I1937*0.64)/(K1937+(M1937*P1937))</f>
        <v>0.11406342494714589</v>
      </c>
      <c r="P1937" s="188">
        <v>92792000</v>
      </c>
      <c r="Q1937" s="188">
        <f>P1937*E1937</f>
        <v>1896668480</v>
      </c>
      <c r="R1937" s="195">
        <f>Q1937/L1937</f>
        <v>2.0177324255319147</v>
      </c>
      <c r="S1937" s="197">
        <f>(Q1937+K1937)/H1937</f>
        <v>6.6643379334500876</v>
      </c>
      <c r="T1937" s="180"/>
      <c r="U1937" s="189">
        <f>IFERROR(IF(Tableau3[[#This Row],[Dettes]]=0,"",(Tableau3[[#This Row],[Dettes]]/Tableau3[[#This Row],[EBE]])),"")</f>
        <v>2.1015761821366025E-2</v>
      </c>
      <c r="V1937" s="190" t="str">
        <f>IFERROR(Tableau3[[#This Row],[Fonds propres]]/Tableau3[[#This Row],[Total Bilan]],"")</f>
        <v/>
      </c>
      <c r="W1937" s="180"/>
      <c r="X1937" s="191"/>
      <c r="Y1937" s="180"/>
      <c r="Z1937" s="192" t="str">
        <f>IFERROR(Tableau3[[#This Row],[Chiffre d''affaires]]/Tableau3[[#This Row],[Salariés]],"")</f>
        <v/>
      </c>
      <c r="AA1937" s="197"/>
      <c r="AB1937" s="197"/>
      <c r="AC1937" s="177" t="s">
        <v>1342</v>
      </c>
    </row>
    <row r="1938" spans="1:29" ht="20.25" customHeight="1">
      <c r="A1938" s="217"/>
      <c r="E1938" s="187"/>
      <c r="G1938" s="202">
        <f>(G1937/G1939)-1</f>
        <v>0.39706184930661292</v>
      </c>
      <c r="H1938" s="203">
        <f>(H1937/H1939)-1</f>
        <v>0.56524122807017552</v>
      </c>
      <c r="I1938" s="203">
        <f>(I1937/I1939)-1</f>
        <v>0.33597464342313788</v>
      </c>
      <c r="J1938" s="203">
        <f>(J1937/J1939)-1</f>
        <v>0.82409177820267687</v>
      </c>
      <c r="K1938" s="188"/>
      <c r="L1938" s="188"/>
      <c r="M1938" s="188"/>
      <c r="N1938" s="188"/>
      <c r="O1938" s="188"/>
      <c r="P1938" s="188"/>
      <c r="Q1938" s="188"/>
      <c r="R1938" s="195"/>
      <c r="S1938" s="178"/>
      <c r="T1938" s="180"/>
      <c r="U1938" s="189" t="str">
        <f>IFERROR(IF(Tableau3[[#This Row],[Dettes]]=0,"",(Tableau3[[#This Row],[Dettes]]/Tableau3[[#This Row],[EBE]])),"")</f>
        <v/>
      </c>
      <c r="V1938" s="190" t="str">
        <f>IFERROR(Tableau3[[#This Row],[Fonds propres]]/Tableau3[[#This Row],[Total Bilan]],"")</f>
        <v/>
      </c>
      <c r="W1938" s="180"/>
      <c r="Y1938" s="180"/>
      <c r="Z1938" s="192" t="str">
        <f>IFERROR(Tableau3[[#This Row],[Chiffre d''affaires]]/Tableau3[[#This Row],[Salariés]],"")</f>
        <v/>
      </c>
      <c r="AA1938" s="177"/>
      <c r="AC1938" s="177" t="s">
        <v>1343</v>
      </c>
    </row>
    <row r="1939" spans="1:29" ht="20.25" customHeight="1">
      <c r="A1939" s="217"/>
      <c r="E1939" s="187">
        <v>32.85</v>
      </c>
      <c r="F1939" s="178">
        <v>2015</v>
      </c>
      <c r="G1939" s="188">
        <v>2430100000</v>
      </c>
      <c r="H1939" s="188">
        <v>182400000</v>
      </c>
      <c r="I1939" s="188">
        <v>126200000</v>
      </c>
      <c r="J1939" s="188">
        <v>52300000</v>
      </c>
      <c r="K1939" s="188"/>
      <c r="L1939" s="188">
        <v>455600000</v>
      </c>
      <c r="M1939" s="194">
        <f>L1939/P1939</f>
        <v>5.6328973071882498</v>
      </c>
      <c r="N1939" s="190">
        <f>J1939/L1939</f>
        <v>0.11479367866549604</v>
      </c>
      <c r="O1939" s="190">
        <f>(I1939*0.64)/(K1939+(M1939*P1939))</f>
        <v>0.17727831431079893</v>
      </c>
      <c r="P1939" s="188">
        <v>80882000</v>
      </c>
      <c r="Q1939" s="188">
        <f>P1939*E1939</f>
        <v>2656973700</v>
      </c>
      <c r="R1939" s="195">
        <f>Q1939/L1939</f>
        <v>5.8318123353819136</v>
      </c>
      <c r="S1939" s="197">
        <f>(Q1939+K1939)/H1939</f>
        <v>14.566741776315789</v>
      </c>
      <c r="T1939" s="180"/>
      <c r="U1939" s="189" t="str">
        <f>IFERROR(IF(Tableau3[[#This Row],[Dettes]]=0,"",(Tableau3[[#This Row],[Dettes]]/Tableau3[[#This Row],[EBE]])),"")</f>
        <v/>
      </c>
      <c r="V1939" s="190" t="str">
        <f>IFERROR(Tableau3[[#This Row],[Fonds propres]]/Tableau3[[#This Row],[Total Bilan]],"")</f>
        <v/>
      </c>
      <c r="W1939" s="180"/>
      <c r="X1939" s="191"/>
      <c r="Y1939" s="180"/>
      <c r="Z1939" s="192" t="str">
        <f>IFERROR(Tableau3[[#This Row],[Chiffre d''affaires]]/Tableau3[[#This Row],[Salariés]],"")</f>
        <v/>
      </c>
      <c r="AA1939" s="197"/>
      <c r="AB1939" s="197"/>
      <c r="AC1939" s="177" t="s">
        <v>1344</v>
      </c>
    </row>
    <row r="1940" spans="1:29" ht="20.25" customHeight="1">
      <c r="A1940" s="217"/>
      <c r="E1940" s="187"/>
      <c r="G1940" s="202">
        <f>(G1939/G1941)-1</f>
        <v>0.40103776304410488</v>
      </c>
      <c r="H1940" s="203">
        <f>(H1939/H1941)-1</f>
        <v>0.50743801652892562</v>
      </c>
      <c r="I1940" s="203">
        <f>(I1939/I1941)-1</f>
        <v>0.61794871794871797</v>
      </c>
      <c r="J1940" s="203">
        <f>(J1939/J1941)-1</f>
        <v>0.34102564102564092</v>
      </c>
      <c r="K1940" s="188"/>
      <c r="L1940" s="188"/>
      <c r="M1940" s="188"/>
      <c r="N1940" s="188"/>
      <c r="O1940" s="188"/>
      <c r="P1940" s="188"/>
      <c r="Q1940" s="188"/>
      <c r="R1940" s="195"/>
      <c r="S1940" s="178"/>
      <c r="T1940" s="180"/>
      <c r="U1940" s="189" t="str">
        <f>IFERROR(IF(Tableau3[[#This Row],[Dettes]]=0,"",(Tableau3[[#This Row],[Dettes]]/Tableau3[[#This Row],[EBE]])),"")</f>
        <v/>
      </c>
      <c r="V1940" s="190" t="str">
        <f>IFERROR(Tableau3[[#This Row],[Fonds propres]]/Tableau3[[#This Row],[Total Bilan]],"")</f>
        <v/>
      </c>
      <c r="W1940" s="180"/>
      <c r="Y1940" s="180"/>
      <c r="Z1940" s="192" t="str">
        <f>IFERROR(Tableau3[[#This Row],[Chiffre d''affaires]]/Tableau3[[#This Row],[Salariés]],"")</f>
        <v/>
      </c>
      <c r="AA1940" s="177"/>
      <c r="AC1940" s="177" t="s">
        <v>1345</v>
      </c>
    </row>
    <row r="1941" spans="1:29" ht="20.25" customHeight="1">
      <c r="A1941" s="217"/>
      <c r="E1941" s="187">
        <v>15.5</v>
      </c>
      <c r="F1941" s="178">
        <v>2014</v>
      </c>
      <c r="G1941" s="188">
        <v>1734500000</v>
      </c>
      <c r="H1941" s="188">
        <v>121000000</v>
      </c>
      <c r="I1941" s="188">
        <v>78000000</v>
      </c>
      <c r="J1941" s="188">
        <v>39000000</v>
      </c>
      <c r="K1941" s="188"/>
      <c r="L1941" s="188">
        <v>396000000</v>
      </c>
      <c r="M1941" s="194">
        <f>L1941/P1941</f>
        <v>4.8960213644568631</v>
      </c>
      <c r="N1941" s="190">
        <f>J1941/L1941</f>
        <v>9.8484848484848481E-2</v>
      </c>
      <c r="O1941" s="190">
        <f>(I1941*0.64)/(K1941+(M1941*P1941))</f>
        <v>0.12606060606060607</v>
      </c>
      <c r="P1941" s="188">
        <v>80882000</v>
      </c>
      <c r="Q1941" s="188">
        <f>P1941*E1941</f>
        <v>1253671000</v>
      </c>
      <c r="R1941" s="195">
        <f>Q1941/L1941</f>
        <v>3.1658358585858584</v>
      </c>
      <c r="S1941" s="197">
        <f>(Q1941+K1941)/H1941</f>
        <v>10.360917355371901</v>
      </c>
      <c r="T1941" s="180"/>
      <c r="U1941" s="189" t="str">
        <f>IFERROR(IF(Tableau3[[#This Row],[Dettes]]=0,"",(Tableau3[[#This Row],[Dettes]]/Tableau3[[#This Row],[EBE]])),"")</f>
        <v/>
      </c>
      <c r="V1941" s="190" t="str">
        <f>IFERROR(Tableau3[[#This Row],[Fonds propres]]/Tableau3[[#This Row],[Total Bilan]],"")</f>
        <v/>
      </c>
      <c r="W1941" s="180"/>
      <c r="X1941" s="191"/>
      <c r="Y1941" s="180"/>
      <c r="Z1941" s="192" t="str">
        <f>IFERROR(Tableau3[[#This Row],[Chiffre d''affaires]]/Tableau3[[#This Row],[Salariés]],"")</f>
        <v/>
      </c>
      <c r="AA1941" s="197"/>
      <c r="AB1941" s="197"/>
      <c r="AC1941" s="177" t="s">
        <v>1346</v>
      </c>
    </row>
    <row r="1942" spans="1:29" ht="20.25" customHeight="1">
      <c r="A1942" s="217"/>
      <c r="E1942" s="187"/>
      <c r="G1942" s="202">
        <f>(G1941/G1943)-1</f>
        <v>0.2135310991394388</v>
      </c>
      <c r="H1942" s="203">
        <f>(H1941/H1943)-1</f>
        <v>0.44736842105263164</v>
      </c>
      <c r="I1942" s="203">
        <f>(I1941/I1943)-1</f>
        <v>0.76072234762979685</v>
      </c>
      <c r="J1942" s="203">
        <f>(J1941/J1943)-1</f>
        <v>2.7864077669902914</v>
      </c>
      <c r="K1942" s="188"/>
      <c r="L1942" s="188"/>
      <c r="M1942" s="188"/>
      <c r="N1942" s="188"/>
      <c r="O1942" s="188"/>
      <c r="P1942" s="188"/>
      <c r="Q1942" s="188"/>
      <c r="R1942" s="195"/>
      <c r="S1942" s="178"/>
      <c r="T1942" s="180"/>
      <c r="U1942" s="189" t="str">
        <f>IFERROR(IF(Tableau3[[#This Row],[Dettes]]=0,"",(Tableau3[[#This Row],[Dettes]]/Tableau3[[#This Row],[EBE]])),"")</f>
        <v/>
      </c>
      <c r="V1942" s="190" t="str">
        <f>IFERROR(Tableau3[[#This Row],[Fonds propres]]/Tableau3[[#This Row],[Total Bilan]],"")</f>
        <v/>
      </c>
      <c r="W1942" s="180"/>
      <c r="Y1942" s="180"/>
      <c r="Z1942" s="192" t="str">
        <f>IFERROR(Tableau3[[#This Row],[Chiffre d''affaires]]/Tableau3[[#This Row],[Salariés]],"")</f>
        <v/>
      </c>
      <c r="AA1942" s="177"/>
      <c r="AC1942" s="177" t="s">
        <v>1347</v>
      </c>
    </row>
    <row r="1943" spans="1:29" ht="20.25" customHeight="1">
      <c r="A1943" s="217"/>
      <c r="E1943" s="187">
        <v>9.6</v>
      </c>
      <c r="F1943" s="178">
        <v>2013</v>
      </c>
      <c r="G1943" s="188">
        <v>1429300000</v>
      </c>
      <c r="H1943" s="188">
        <v>83600000</v>
      </c>
      <c r="I1943" s="188">
        <v>44300000</v>
      </c>
      <c r="J1943" s="188">
        <v>10300000</v>
      </c>
      <c r="K1943" s="188"/>
      <c r="L1943" s="188">
        <v>368000000</v>
      </c>
      <c r="M1943" s="194">
        <f>L1943/P1943</f>
        <v>4.5498380356568831</v>
      </c>
      <c r="N1943" s="190">
        <f>J1943/L1943</f>
        <v>2.798913043478261E-2</v>
      </c>
      <c r="O1943" s="190">
        <f>(I1943*0.64)/(K1943+(M1943*P1943))</f>
        <v>7.7043478260869561E-2</v>
      </c>
      <c r="P1943" s="188">
        <v>80882000</v>
      </c>
      <c r="Q1943" s="188">
        <f>P1943*E1943</f>
        <v>776467200</v>
      </c>
      <c r="R1943" s="195">
        <f>Q1943/L1943</f>
        <v>2.1099652173913044</v>
      </c>
      <c r="S1943" s="197">
        <f>(Q1943+K1943)/H1943</f>
        <v>9.2878851674641147</v>
      </c>
      <c r="T1943" s="180"/>
      <c r="U1943" s="189" t="str">
        <f>IFERROR(IF(Tableau3[[#This Row],[Dettes]]=0,"",(Tableau3[[#This Row],[Dettes]]/Tableau3[[#This Row],[EBE]])),"")</f>
        <v/>
      </c>
      <c r="V1943" s="190" t="str">
        <f>IFERROR(Tableau3[[#This Row],[Fonds propres]]/Tableau3[[#This Row],[Total Bilan]],"")</f>
        <v/>
      </c>
      <c r="W1943" s="180"/>
      <c r="Y1943" s="180"/>
      <c r="Z1943" s="192" t="str">
        <f>IFERROR(Tableau3[[#This Row],[Chiffre d''affaires]]/Tableau3[[#This Row],[Salariés]],"")</f>
        <v/>
      </c>
      <c r="AA1943" s="177"/>
      <c r="AC1943" s="177" t="s">
        <v>1348</v>
      </c>
    </row>
    <row r="1944" spans="1:29" ht="20.25" customHeight="1">
      <c r="A1944" s="217"/>
      <c r="E1944" s="187"/>
      <c r="G1944" s="202">
        <f>(G1943/G1945)-1</f>
        <v>0.32921045289686601</v>
      </c>
      <c r="H1944" s="203">
        <f>(H1943/H1945)-1</f>
        <v>9.1951219512195124</v>
      </c>
      <c r="I1944" s="203">
        <f>(I1943/I1945)-1</f>
        <v>-1.7250409165302782</v>
      </c>
      <c r="J1944" s="203">
        <f>(J1943/J1945)-1</f>
        <v>-1.1095744680851063</v>
      </c>
      <c r="K1944" s="188"/>
      <c r="L1944" s="188"/>
      <c r="M1944" s="188"/>
      <c r="N1944" s="188"/>
      <c r="O1944" s="188"/>
      <c r="P1944" s="188"/>
      <c r="Q1944" s="188"/>
      <c r="R1944" s="195"/>
      <c r="S1944" s="178"/>
      <c r="T1944" s="180"/>
      <c r="U1944" s="189" t="str">
        <f>IFERROR(IF(Tableau3[[#This Row],[Dettes]]=0,"",(Tableau3[[#This Row],[Dettes]]/Tableau3[[#This Row],[EBE]])),"")</f>
        <v/>
      </c>
      <c r="V1944" s="190" t="str">
        <f>IFERROR(Tableau3[[#This Row],[Fonds propres]]/Tableau3[[#This Row],[Total Bilan]],"")</f>
        <v/>
      </c>
      <c r="W1944" s="180"/>
      <c r="Y1944" s="180"/>
      <c r="Z1944" s="192" t="str">
        <f>IFERROR(Tableau3[[#This Row],[Chiffre d''affaires]]/Tableau3[[#This Row],[Salariés]],"")</f>
        <v/>
      </c>
      <c r="AA1944" s="177"/>
      <c r="AC1944" s="177" t="s">
        <v>1349</v>
      </c>
    </row>
    <row r="1945" spans="1:29" ht="20.25" customHeight="1">
      <c r="A1945" s="217"/>
      <c r="E1945" s="187">
        <v>3.17</v>
      </c>
      <c r="F1945" s="178">
        <v>2012</v>
      </c>
      <c r="G1945" s="188">
        <v>1075300000</v>
      </c>
      <c r="H1945" s="188">
        <v>8200000</v>
      </c>
      <c r="I1945" s="188">
        <v>-61100000</v>
      </c>
      <c r="J1945" s="188">
        <v>-94000000</v>
      </c>
      <c r="K1945" s="188"/>
      <c r="L1945" s="188">
        <v>279000000</v>
      </c>
      <c r="M1945" s="194">
        <f>L1945/P1945</f>
        <v>3.4494695976855172</v>
      </c>
      <c r="N1945" s="190">
        <f>J1945/L1945</f>
        <v>-0.33691756272401435</v>
      </c>
      <c r="O1945" s="190">
        <f>(I1945*0.64)/(K1945+(M1945*P1945))</f>
        <v>-0.14015770609318998</v>
      </c>
      <c r="P1945" s="188">
        <v>80882000</v>
      </c>
      <c r="Q1945" s="188">
        <f>P1945*E1945</f>
        <v>256395940</v>
      </c>
      <c r="R1945" s="195">
        <f>Q1945/L1945</f>
        <v>0.91898186379928315</v>
      </c>
      <c r="S1945" s="197">
        <f>(Q1945+K1945)/H1945</f>
        <v>31.267797560975609</v>
      </c>
      <c r="T1945" s="180"/>
      <c r="U1945" s="189" t="str">
        <f>IFERROR(IF(Tableau3[[#This Row],[Dettes]]=0,"",(Tableau3[[#This Row],[Dettes]]/Tableau3[[#This Row],[EBE]])),"")</f>
        <v/>
      </c>
      <c r="V1945" s="190" t="str">
        <f>IFERROR(Tableau3[[#This Row],[Fonds propres]]/Tableau3[[#This Row],[Total Bilan]],"")</f>
        <v/>
      </c>
      <c r="W1945" s="180"/>
      <c r="X1945" s="191"/>
      <c r="Y1945" s="180"/>
      <c r="Z1945" s="192" t="str">
        <f>IFERROR(Tableau3[[#This Row],[Chiffre d''affaires]]/Tableau3[[#This Row],[Salariés]],"")</f>
        <v/>
      </c>
      <c r="AA1945" s="197"/>
      <c r="AB1945" s="197"/>
      <c r="AC1945" s="177" t="s">
        <v>1350</v>
      </c>
    </row>
    <row r="1946" spans="1:29" ht="20.25" customHeight="1">
      <c r="A1946" s="217"/>
      <c r="E1946" s="187"/>
      <c r="G1946" s="188"/>
      <c r="H1946" s="188"/>
      <c r="I1946" s="188"/>
      <c r="J1946" s="188"/>
      <c r="K1946" s="188"/>
      <c r="L1946" s="188"/>
      <c r="M1946" s="194"/>
      <c r="N1946" s="190"/>
      <c r="O1946" s="190"/>
      <c r="P1946" s="188"/>
      <c r="Q1946" s="188"/>
      <c r="R1946" s="195"/>
      <c r="S1946" s="197"/>
      <c r="T1946" s="180"/>
      <c r="U1946" s="189" t="str">
        <f>IFERROR(IF(Tableau3[[#This Row],[Dettes]]=0,"",(Tableau3[[#This Row],[Dettes]]/Tableau3[[#This Row],[EBE]])),"")</f>
        <v/>
      </c>
      <c r="V1946" s="190" t="str">
        <f>IFERROR(Tableau3[[#This Row],[Fonds propres]]/Tableau3[[#This Row],[Total Bilan]],"")</f>
        <v/>
      </c>
      <c r="W1946" s="180"/>
      <c r="X1946" s="191"/>
      <c r="Y1946" s="180"/>
      <c r="Z1946" s="192" t="str">
        <f>IFERROR(Tableau3[[#This Row],[Chiffre d''affaires]]/Tableau3[[#This Row],[Salariés]],"")</f>
        <v/>
      </c>
      <c r="AA1946" s="197"/>
      <c r="AB1946" s="197"/>
      <c r="AC1946" s="177" t="s">
        <v>1351</v>
      </c>
    </row>
    <row r="1947" spans="1:29" ht="20.25" customHeight="1">
      <c r="A1947" s="217"/>
      <c r="E1947" s="187"/>
      <c r="G1947" s="188"/>
      <c r="H1947" s="188"/>
      <c r="I1947" s="188"/>
      <c r="J1947" s="188"/>
      <c r="K1947" s="188"/>
      <c r="L1947" s="188"/>
      <c r="M1947" s="194"/>
      <c r="N1947" s="190"/>
      <c r="O1947" s="190"/>
      <c r="P1947" s="188"/>
      <c r="Q1947" s="188"/>
      <c r="R1947" s="195"/>
      <c r="S1947" s="197"/>
      <c r="T1947" s="180"/>
      <c r="U1947" s="189" t="str">
        <f>IFERROR(IF(Tableau3[[#This Row],[Dettes]]=0,"",(Tableau3[[#This Row],[Dettes]]/Tableau3[[#This Row],[EBE]])),"")</f>
        <v/>
      </c>
      <c r="V1947" s="190" t="str">
        <f>IFERROR(Tableau3[[#This Row],[Fonds propres]]/Tableau3[[#This Row],[Total Bilan]],"")</f>
        <v/>
      </c>
      <c r="W1947" s="180"/>
      <c r="X1947" s="191"/>
      <c r="Y1947" s="180"/>
      <c r="Z1947" s="192" t="str">
        <f>IFERROR(Tableau3[[#This Row],[Chiffre d''affaires]]/Tableau3[[#This Row],[Salariés]],"")</f>
        <v/>
      </c>
      <c r="AA1947" s="197"/>
      <c r="AB1947" s="197"/>
      <c r="AC1947" s="177" t="s">
        <v>81</v>
      </c>
    </row>
    <row r="1948" spans="1:29" ht="20.25" customHeight="1">
      <c r="A1948" s="217"/>
      <c r="E1948" s="187"/>
      <c r="G1948" s="188"/>
      <c r="H1948" s="188"/>
      <c r="I1948" s="188"/>
      <c r="J1948" s="188"/>
      <c r="K1948" s="188"/>
      <c r="L1948" s="188"/>
      <c r="M1948" s="194"/>
      <c r="N1948" s="190"/>
      <c r="O1948" s="190"/>
      <c r="P1948" s="188"/>
      <c r="Q1948" s="188"/>
      <c r="R1948" s="195"/>
      <c r="S1948" s="197"/>
      <c r="T1948" s="180"/>
      <c r="U1948" s="189" t="str">
        <f>IFERROR(IF(Tableau3[[#This Row],[Dettes]]=0,"",(Tableau3[[#This Row],[Dettes]]/Tableau3[[#This Row],[EBE]])),"")</f>
        <v/>
      </c>
      <c r="V1948" s="190" t="str">
        <f>IFERROR(Tableau3[[#This Row],[Fonds propres]]/Tableau3[[#This Row],[Total Bilan]],"")</f>
        <v/>
      </c>
      <c r="W1948" s="180"/>
      <c r="X1948" s="191"/>
      <c r="Y1948" s="180"/>
      <c r="Z1948" s="192" t="str">
        <f>IFERROR(Tableau3[[#This Row],[Chiffre d''affaires]]/Tableau3[[#This Row],[Salariés]],"")</f>
        <v/>
      </c>
      <c r="AA1948" s="197"/>
      <c r="AB1948" s="197"/>
    </row>
    <row r="1949" spans="1:29" ht="20.25" customHeight="1">
      <c r="A1949" s="217"/>
      <c r="E1949" s="187"/>
      <c r="G1949" s="188"/>
      <c r="H1949" s="188"/>
      <c r="I1949" s="188"/>
      <c r="J1949" s="188"/>
      <c r="K1949" s="188"/>
      <c r="L1949" s="188"/>
      <c r="M1949" s="194"/>
      <c r="N1949" s="190"/>
      <c r="O1949" s="190"/>
      <c r="P1949" s="188"/>
      <c r="Q1949" s="188"/>
      <c r="R1949" s="195"/>
      <c r="S1949" s="197"/>
      <c r="T1949" s="180"/>
      <c r="U1949" s="189" t="str">
        <f>IFERROR(IF(Tableau3[[#This Row],[Dettes]]=0,"",(Tableau3[[#This Row],[Dettes]]/Tableau3[[#This Row],[EBE]])),"")</f>
        <v/>
      </c>
      <c r="V1949" s="190" t="str">
        <f>IFERROR(Tableau3[[#This Row],[Fonds propres]]/Tableau3[[#This Row],[Total Bilan]],"")</f>
        <v/>
      </c>
      <c r="W1949" s="180"/>
      <c r="X1949" s="191"/>
      <c r="Y1949" s="180"/>
      <c r="Z1949" s="192" t="str">
        <f>IFERROR(Tableau3[[#This Row],[Chiffre d''affaires]]/Tableau3[[#This Row],[Salariés]],"")</f>
        <v/>
      </c>
      <c r="AA1949" s="197"/>
      <c r="AB1949" s="197"/>
    </row>
    <row r="1950" spans="1:29" ht="20.25" customHeight="1">
      <c r="A1950" s="217"/>
      <c r="F1950" s="220" t="s">
        <v>1352</v>
      </c>
      <c r="G1950" s="188"/>
      <c r="H1950" s="188"/>
      <c r="I1950" s="188"/>
      <c r="J1950" s="188"/>
      <c r="K1950" s="188"/>
      <c r="L1950" s="188"/>
      <c r="M1950" s="194"/>
      <c r="N1950" s="190"/>
      <c r="O1950" s="190"/>
      <c r="P1950" s="188"/>
      <c r="Q1950" s="188"/>
      <c r="R1950" s="195"/>
      <c r="S1950" s="197"/>
      <c r="T1950" s="180"/>
      <c r="U1950" s="189" t="str">
        <f>IFERROR(IF(Tableau3[[#This Row],[Dettes]]=0,"",(Tableau3[[#This Row],[Dettes]]/Tableau3[[#This Row],[EBE]])),"")</f>
        <v/>
      </c>
      <c r="V1950" s="190" t="str">
        <f>IFERROR(Tableau3[[#This Row],[Fonds propres]]/Tableau3[[#This Row],[Total Bilan]],"")</f>
        <v/>
      </c>
      <c r="W1950" s="180"/>
      <c r="X1950" s="191"/>
      <c r="Y1950" s="180"/>
      <c r="Z1950" s="192" t="str">
        <f>IFERROR(Tableau3[[#This Row],[Chiffre d''affaires]]/Tableau3[[#This Row],[Salariés]],"")</f>
        <v/>
      </c>
      <c r="AA1950" s="197"/>
      <c r="AB1950" s="197"/>
    </row>
    <row r="1951" spans="1:29" ht="20.25" customHeight="1">
      <c r="A1951" s="217"/>
      <c r="E1951" s="187"/>
      <c r="G1951" s="188"/>
      <c r="H1951" s="188"/>
      <c r="I1951" s="188"/>
      <c r="J1951" s="188"/>
      <c r="K1951" s="188"/>
      <c r="L1951" s="188"/>
      <c r="M1951" s="194"/>
      <c r="N1951" s="190"/>
      <c r="O1951" s="190"/>
      <c r="P1951" s="188"/>
      <c r="Q1951" s="188"/>
      <c r="R1951" s="195"/>
      <c r="S1951" s="197"/>
      <c r="T1951" s="180"/>
      <c r="U1951" s="189" t="str">
        <f>IFERROR(IF(Tableau3[[#This Row],[Dettes]]=0,"",(Tableau3[[#This Row],[Dettes]]/Tableau3[[#This Row],[EBE]])),"")</f>
        <v/>
      </c>
      <c r="V1951" s="190" t="str">
        <f>IFERROR(Tableau3[[#This Row],[Fonds propres]]/Tableau3[[#This Row],[Total Bilan]],"")</f>
        <v/>
      </c>
      <c r="W1951" s="180"/>
      <c r="X1951" s="191"/>
      <c r="Y1951" s="180"/>
      <c r="Z1951" s="192" t="str">
        <f>IFERROR(Tableau3[[#This Row],[Chiffre d''affaires]]/Tableau3[[#This Row],[Salariés]],"")</f>
        <v/>
      </c>
      <c r="AA1951" s="197"/>
      <c r="AB1951" s="197"/>
    </row>
    <row r="1952" spans="1:29" ht="20.25" customHeight="1">
      <c r="A1952" s="217" t="s">
        <v>1353</v>
      </c>
      <c r="B1952" s="216" t="s">
        <v>1329</v>
      </c>
      <c r="C1952" s="178" t="s">
        <v>1354</v>
      </c>
      <c r="D1952" s="178" t="s">
        <v>85</v>
      </c>
      <c r="E1952" s="187">
        <v>21.07</v>
      </c>
      <c r="F1952" s="178">
        <v>2021</v>
      </c>
      <c r="G1952" s="188">
        <v>10500000000</v>
      </c>
      <c r="H1952" s="188"/>
      <c r="I1952" s="188">
        <v>500000000</v>
      </c>
      <c r="J1952" s="188"/>
      <c r="K1952" s="188">
        <v>-476000000</v>
      </c>
      <c r="L1952" s="188"/>
      <c r="M1952" s="194"/>
      <c r="N1952" s="190"/>
      <c r="O1952" s="190"/>
      <c r="P1952" s="188">
        <v>679510000</v>
      </c>
      <c r="Q1952" s="188">
        <f>P1952*E1952</f>
        <v>14317275700</v>
      </c>
      <c r="R1952" s="195"/>
      <c r="S1952" s="197"/>
      <c r="T1952" s="180"/>
      <c r="U1952" s="189" t="str">
        <f>IFERROR(IF(Tableau3[[#This Row],[Dettes]]=0,"",(Tableau3[[#This Row],[Dettes]]/Tableau3[[#This Row],[EBE]])),"")</f>
        <v/>
      </c>
      <c r="V1952" s="190" t="str">
        <f>IFERROR(Tableau3[[#This Row],[Fonds propres]]/Tableau3[[#This Row],[Total Bilan]],"")</f>
        <v/>
      </c>
      <c r="W1952" s="180"/>
      <c r="X1952" s="191"/>
      <c r="Y1952" s="180"/>
      <c r="Z1952" s="192" t="str">
        <f>IFERROR(Tableau3[[#This Row],[Chiffre d''affaires]]/Tableau3[[#This Row],[Salariés]],"")</f>
        <v/>
      </c>
      <c r="AA1952" s="197"/>
      <c r="AB1952" s="197"/>
      <c r="AC1952" s="177" t="s">
        <v>1355</v>
      </c>
    </row>
    <row r="1953" spans="1:29" ht="20.25" customHeight="1">
      <c r="A1953" s="217"/>
      <c r="E1953" s="187"/>
      <c r="G1953" s="188"/>
      <c r="H1953" s="188"/>
      <c r="I1953" s="188"/>
      <c r="J1953" s="188"/>
      <c r="K1953" s="188"/>
      <c r="L1953" s="188"/>
      <c r="M1953" s="194"/>
      <c r="N1953" s="190"/>
      <c r="O1953" s="190"/>
      <c r="P1953" s="188"/>
      <c r="Q1953" s="188"/>
      <c r="R1953" s="195"/>
      <c r="S1953" s="197"/>
      <c r="T1953" s="180"/>
      <c r="U1953" s="189" t="str">
        <f>IFERROR(IF(Tableau3[[#This Row],[Dettes]]=0,"",(Tableau3[[#This Row],[Dettes]]/Tableau3[[#This Row],[EBE]])),"")</f>
        <v/>
      </c>
      <c r="V1953" s="190" t="str">
        <f>IFERROR(Tableau3[[#This Row],[Fonds propres]]/Tableau3[[#This Row],[Total Bilan]],"")</f>
        <v/>
      </c>
      <c r="W1953" s="180"/>
      <c r="X1953" s="191"/>
      <c r="Y1953" s="180"/>
      <c r="Z1953" s="192" t="str">
        <f>IFERROR(Tableau3[[#This Row],[Chiffre d''affaires]]/Tableau3[[#This Row],[Salariés]],"")</f>
        <v/>
      </c>
      <c r="AA1953" s="197"/>
      <c r="AB1953" s="197"/>
      <c r="AC1953" s="177" t="s">
        <v>1357</v>
      </c>
    </row>
    <row r="1954" spans="1:29" ht="20.25" customHeight="1">
      <c r="A1954" s="217"/>
      <c r="E1954" s="187">
        <v>33.090000000000003</v>
      </c>
      <c r="F1954" s="178">
        <v>2018</v>
      </c>
      <c r="G1954" s="188">
        <v>9500000000</v>
      </c>
      <c r="H1954" s="188"/>
      <c r="I1954" s="188">
        <f>G1954*0.07</f>
        <v>665000000.00000012</v>
      </c>
      <c r="J1954" s="188"/>
      <c r="K1954" s="188">
        <v>-300000000</v>
      </c>
      <c r="L1954" s="188"/>
      <c r="M1954" s="194"/>
      <c r="N1954" s="190"/>
      <c r="O1954" s="190"/>
      <c r="P1954" s="188">
        <v>679510000</v>
      </c>
      <c r="Q1954" s="188">
        <f>P1954*E1954</f>
        <v>22484985900.000004</v>
      </c>
      <c r="R1954" s="195"/>
      <c r="S1954" s="197" t="e">
        <f>(Q1954+K1954)/H1954</f>
        <v>#DIV/0!</v>
      </c>
      <c r="T1954" s="180"/>
      <c r="U1954" s="189" t="str">
        <f>IFERROR(IF(Tableau3[[#This Row],[Dettes]]=0,"",(Tableau3[[#This Row],[Dettes]]/Tableau3[[#This Row],[EBE]])),"")</f>
        <v/>
      </c>
      <c r="V1954" s="190" t="str">
        <f>IFERROR(Tableau3[[#This Row],[Fonds propres]]/Tableau3[[#This Row],[Total Bilan]],"")</f>
        <v/>
      </c>
      <c r="W1954" s="180"/>
      <c r="X1954" s="191"/>
      <c r="Y1954" s="180"/>
      <c r="Z1954" s="192" t="str">
        <f>IFERROR(Tableau3[[#This Row],[Chiffre d''affaires]]/Tableau3[[#This Row],[Salariés]],"")</f>
        <v/>
      </c>
      <c r="AA1954" s="197"/>
      <c r="AB1954" s="197"/>
      <c r="AC1954" s="177" t="s">
        <v>1358</v>
      </c>
    </row>
    <row r="1955" spans="1:29" ht="20.25" customHeight="1">
      <c r="A1955" s="217"/>
      <c r="E1955" s="187"/>
      <c r="G1955" s="202">
        <f>(G1954/G1956)-1</f>
        <v>-0.13636363636363635</v>
      </c>
      <c r="H1955" s="203" t="e">
        <f>(H1954/H1956)-1</f>
        <v>#DIV/0!</v>
      </c>
      <c r="I1955" s="203">
        <f>(I1954/I1956)-1</f>
        <v>-0.15822784810126567</v>
      </c>
      <c r="J1955" s="203" t="e">
        <f>(J1954/J1956)-1</f>
        <v>#DIV/0!</v>
      </c>
      <c r="K1955" s="188"/>
      <c r="L1955" s="188"/>
      <c r="M1955" s="194"/>
      <c r="N1955" s="190"/>
      <c r="O1955" s="190"/>
      <c r="P1955" s="188"/>
      <c r="Q1955" s="188"/>
      <c r="R1955" s="195"/>
      <c r="S1955" s="197"/>
      <c r="T1955" s="180"/>
      <c r="U1955" s="189" t="str">
        <f>IFERROR(IF(Tableau3[[#This Row],[Dettes]]=0,"",(Tableau3[[#This Row],[Dettes]]/Tableau3[[#This Row],[EBE]])),"")</f>
        <v/>
      </c>
      <c r="V1955" s="190" t="str">
        <f>IFERROR(Tableau3[[#This Row],[Fonds propres]]/Tableau3[[#This Row],[Total Bilan]],"")</f>
        <v/>
      </c>
      <c r="W1955" s="180"/>
      <c r="X1955" s="191"/>
      <c r="Y1955" s="180"/>
      <c r="Z1955" s="192" t="str">
        <f>IFERROR(Tableau3[[#This Row],[Chiffre d''affaires]]/Tableau3[[#This Row],[Salariés]],"")</f>
        <v/>
      </c>
      <c r="AA1955" s="197"/>
      <c r="AB1955" s="197"/>
      <c r="AC1955" s="177" t="s">
        <v>1359</v>
      </c>
    </row>
    <row r="1956" spans="1:29" ht="20.25" customHeight="1">
      <c r="A1956" s="217"/>
      <c r="E1956" s="187">
        <v>11.71</v>
      </c>
      <c r="F1956" s="178">
        <v>2017</v>
      </c>
      <c r="G1956" s="188">
        <v>11000000000</v>
      </c>
      <c r="H1956" s="188"/>
      <c r="I1956" s="188">
        <v>790000000</v>
      </c>
      <c r="J1956" s="188"/>
      <c r="K1956" s="188">
        <v>-377000000</v>
      </c>
      <c r="L1956" s="188"/>
      <c r="M1956" s="194"/>
      <c r="N1956" s="190"/>
      <c r="O1956" s="190"/>
      <c r="P1956" s="188">
        <v>679510000</v>
      </c>
      <c r="Q1956" s="188">
        <f>P1956*E1956</f>
        <v>7957062100.000001</v>
      </c>
      <c r="R1956" s="195"/>
      <c r="S1956" s="197" t="e">
        <f>(Q1956+K1956)/H1956</f>
        <v>#DIV/0!</v>
      </c>
      <c r="T1956" s="180"/>
      <c r="U1956" s="189" t="str">
        <f>IFERROR(IF(Tableau3[[#This Row],[Dettes]]=0,"",(Tableau3[[#This Row],[Dettes]]/Tableau3[[#This Row],[EBE]])),"")</f>
        <v/>
      </c>
      <c r="V1956" s="190" t="str">
        <f>IFERROR(Tableau3[[#This Row],[Fonds propres]]/Tableau3[[#This Row],[Total Bilan]],"")</f>
        <v/>
      </c>
      <c r="W1956" s="180"/>
      <c r="X1956" s="191"/>
      <c r="Y1956" s="180"/>
      <c r="Z1956" s="192" t="str">
        <f>IFERROR(Tableau3[[#This Row],[Chiffre d''affaires]]/Tableau3[[#This Row],[Salariés]],"")</f>
        <v/>
      </c>
      <c r="AA1956" s="197"/>
      <c r="AB1956" s="197"/>
      <c r="AC1956" s="177" t="s">
        <v>1360</v>
      </c>
    </row>
    <row r="1957" spans="1:29" ht="20.25" customHeight="1">
      <c r="A1957" s="217"/>
      <c r="E1957" s="187"/>
      <c r="G1957" s="188"/>
      <c r="H1957" s="188"/>
      <c r="I1957" s="188"/>
      <c r="J1957" s="188"/>
      <c r="K1957" s="188"/>
      <c r="L1957" s="188"/>
      <c r="M1957" s="194"/>
      <c r="N1957" s="190"/>
      <c r="O1957" s="190"/>
      <c r="P1957" s="188"/>
      <c r="Q1957" s="188"/>
      <c r="R1957" s="195"/>
      <c r="S1957" s="197"/>
      <c r="T1957" s="180"/>
      <c r="U1957" s="189" t="str">
        <f>IFERROR(IF(Tableau3[[#This Row],[Dettes]]=0,"",(Tableau3[[#This Row],[Dettes]]/Tableau3[[#This Row],[EBE]])),"")</f>
        <v/>
      </c>
      <c r="V1957" s="190" t="str">
        <f>IFERROR(Tableau3[[#This Row],[Fonds propres]]/Tableau3[[#This Row],[Total Bilan]],"")</f>
        <v/>
      </c>
      <c r="W1957" s="180"/>
      <c r="X1957" s="191"/>
      <c r="Y1957" s="180"/>
      <c r="Z1957" s="192" t="str">
        <f>IFERROR(Tableau3[[#This Row],[Chiffre d''affaires]]/Tableau3[[#This Row],[Salariés]],"")</f>
        <v/>
      </c>
      <c r="AA1957" s="197"/>
      <c r="AB1957" s="197"/>
      <c r="AC1957" s="177" t="s">
        <v>1361</v>
      </c>
    </row>
    <row r="1958" spans="1:29" ht="20.25" customHeight="1">
      <c r="A1958" s="217"/>
      <c r="E1958" s="187"/>
      <c r="G1958" s="188"/>
      <c r="H1958" s="188"/>
      <c r="I1958" s="188"/>
      <c r="J1958" s="188"/>
      <c r="K1958" s="188"/>
      <c r="L1958" s="188"/>
      <c r="M1958" s="194"/>
      <c r="N1958" s="190"/>
      <c r="O1958" s="190"/>
      <c r="P1958" s="188"/>
      <c r="Q1958" s="188"/>
      <c r="R1958" s="195"/>
      <c r="S1958" s="197"/>
      <c r="T1958" s="180"/>
      <c r="U1958" s="189" t="str">
        <f>IFERROR(IF(Tableau3[[#This Row],[Dettes]]=0,"",(Tableau3[[#This Row],[Dettes]]/Tableau3[[#This Row],[EBE]])),"")</f>
        <v/>
      </c>
      <c r="V1958" s="190" t="str">
        <f>IFERROR(Tableau3[[#This Row],[Fonds propres]]/Tableau3[[#This Row],[Total Bilan]],"")</f>
        <v/>
      </c>
      <c r="W1958" s="180"/>
      <c r="X1958" s="191"/>
      <c r="Y1958" s="180"/>
      <c r="Z1958" s="192" t="str">
        <f>IFERROR(Tableau3[[#This Row],[Chiffre d''affaires]]/Tableau3[[#This Row],[Salariés]],"")</f>
        <v/>
      </c>
      <c r="AA1958" s="197"/>
      <c r="AB1958" s="197"/>
      <c r="AC1958" s="177" t="s">
        <v>1362</v>
      </c>
    </row>
    <row r="1959" spans="1:29" ht="20.25" customHeight="1">
      <c r="A1959" s="217"/>
      <c r="E1959" s="187"/>
      <c r="G1959" s="188"/>
      <c r="H1959" s="188"/>
      <c r="I1959" s="188"/>
      <c r="J1959" s="188"/>
      <c r="K1959" s="188"/>
      <c r="L1959" s="188"/>
      <c r="M1959" s="194"/>
      <c r="N1959" s="190"/>
      <c r="O1959" s="190"/>
      <c r="P1959" s="188"/>
      <c r="Q1959" s="188"/>
      <c r="R1959" s="195"/>
      <c r="S1959" s="197"/>
      <c r="T1959" s="180"/>
      <c r="U1959" s="189" t="str">
        <f>IFERROR(IF(Tableau3[[#This Row],[Dettes]]=0,"",(Tableau3[[#This Row],[Dettes]]/Tableau3[[#This Row],[EBE]])),"")</f>
        <v/>
      </c>
      <c r="V1959" s="190" t="str">
        <f>IFERROR(Tableau3[[#This Row],[Fonds propres]]/Tableau3[[#This Row],[Total Bilan]],"")</f>
        <v/>
      </c>
      <c r="W1959" s="180"/>
      <c r="X1959" s="191"/>
      <c r="Y1959" s="180"/>
      <c r="Z1959" s="192" t="str">
        <f>IFERROR(Tableau3[[#This Row],[Chiffre d''affaires]]/Tableau3[[#This Row],[Salariés]],"")</f>
        <v/>
      </c>
      <c r="AA1959" s="197"/>
      <c r="AB1959" s="197"/>
      <c r="AC1959" s="177" t="s">
        <v>1352</v>
      </c>
    </row>
    <row r="1960" spans="1:29" ht="20.25" customHeight="1">
      <c r="A1960" s="217"/>
      <c r="E1960" s="187"/>
      <c r="G1960" s="188"/>
      <c r="H1960" s="188"/>
      <c r="I1960" s="188"/>
      <c r="J1960" s="188"/>
      <c r="K1960" s="188"/>
      <c r="L1960" s="188"/>
      <c r="M1960" s="194"/>
      <c r="N1960" s="190"/>
      <c r="O1960" s="190"/>
      <c r="P1960" s="188"/>
      <c r="Q1960" s="188"/>
      <c r="R1960" s="195"/>
      <c r="S1960" s="197"/>
      <c r="T1960" s="180"/>
      <c r="U1960" s="189" t="str">
        <f>IFERROR(IF(Tableau3[[#This Row],[Dettes]]=0,"",(Tableau3[[#This Row],[Dettes]]/Tableau3[[#This Row],[EBE]])),"")</f>
        <v/>
      </c>
      <c r="V1960" s="190" t="str">
        <f>IFERROR(Tableau3[[#This Row],[Fonds propres]]/Tableau3[[#This Row],[Total Bilan]],"")</f>
        <v/>
      </c>
      <c r="W1960" s="180"/>
      <c r="X1960" s="191"/>
      <c r="Y1960" s="180"/>
      <c r="Z1960" s="192" t="str">
        <f>IFERROR(Tableau3[[#This Row],[Chiffre d''affaires]]/Tableau3[[#This Row],[Salariés]],"")</f>
        <v/>
      </c>
      <c r="AA1960" s="197"/>
      <c r="AB1960" s="197"/>
    </row>
    <row r="1961" spans="1:29" ht="20.25" customHeight="1">
      <c r="A1961" s="217"/>
      <c r="E1961" s="187"/>
      <c r="G1961" s="188"/>
      <c r="H1961" s="188"/>
      <c r="I1961" s="188"/>
      <c r="J1961" s="188"/>
      <c r="K1961" s="188"/>
      <c r="L1961" s="188"/>
      <c r="M1961" s="194"/>
      <c r="N1961" s="190"/>
      <c r="O1961" s="190"/>
      <c r="P1961" s="188"/>
      <c r="Q1961" s="188"/>
      <c r="R1961" s="195"/>
      <c r="S1961" s="197"/>
      <c r="T1961" s="180"/>
      <c r="U1961" s="189" t="str">
        <f>IFERROR(IF(Tableau3[[#This Row],[Dettes]]=0,"",(Tableau3[[#This Row],[Dettes]]/Tableau3[[#This Row],[EBE]])),"")</f>
        <v/>
      </c>
      <c r="V1961" s="190" t="str">
        <f>IFERROR(Tableau3[[#This Row],[Fonds propres]]/Tableau3[[#This Row],[Total Bilan]],"")</f>
        <v/>
      </c>
      <c r="W1961" s="180"/>
      <c r="X1961" s="191"/>
      <c r="Y1961" s="180"/>
      <c r="Z1961" s="192" t="str">
        <f>IFERROR(Tableau3[[#This Row],[Chiffre d''affaires]]/Tableau3[[#This Row],[Salariés]],"")</f>
        <v/>
      </c>
      <c r="AA1961" s="197"/>
      <c r="AB1961" s="197"/>
    </row>
    <row r="1962" spans="1:29" ht="20.25" customHeight="1">
      <c r="A1962" s="217" t="s">
        <v>1363</v>
      </c>
      <c r="B1962" s="216" t="s">
        <v>1329</v>
      </c>
      <c r="C1962" s="178" t="s">
        <v>1364</v>
      </c>
      <c r="D1962" s="178" t="s">
        <v>1365</v>
      </c>
      <c r="E1962" s="233">
        <v>1439</v>
      </c>
      <c r="F1962" s="178">
        <v>2017</v>
      </c>
      <c r="G1962" s="188">
        <v>9500000000</v>
      </c>
      <c r="H1962" s="188">
        <v>1600000000</v>
      </c>
      <c r="I1962" s="188">
        <f>G1962*0.12</f>
        <v>1140000000</v>
      </c>
      <c r="J1962" s="188">
        <v>850000000</v>
      </c>
      <c r="K1962" s="188"/>
      <c r="L1962" s="188">
        <v>3500000000</v>
      </c>
      <c r="M1962" s="194">
        <f>L1962/P1962</f>
        <v>15.868597134403391</v>
      </c>
      <c r="N1962" s="190">
        <f>J1962/L1962</f>
        <v>0.24285714285714285</v>
      </c>
      <c r="O1962" s="190">
        <f>(I1962*0.64)/(K1962+(M1962*P1962))</f>
        <v>0.20845714285714287</v>
      </c>
      <c r="P1962" s="188">
        <v>220561400</v>
      </c>
      <c r="Q1962" s="188">
        <f>P1962*E1962</f>
        <v>317387854600</v>
      </c>
      <c r="R1962" s="195">
        <f>Q1962/L1962</f>
        <v>90.682244171428565</v>
      </c>
      <c r="S1962" s="197">
        <f>(Q1962+K1962)/H1962</f>
        <v>198.36740912499999</v>
      </c>
      <c r="T1962" s="180"/>
      <c r="U1962" s="189" t="str">
        <f>IFERROR(IF(Tableau3[[#This Row],[Dettes]]=0,"",(Tableau3[[#This Row],[Dettes]]/Tableau3[[#This Row],[EBE]])),"")</f>
        <v/>
      </c>
      <c r="V1962" s="190" t="str">
        <f>IFERROR(Tableau3[[#This Row],[Fonds propres]]/Tableau3[[#This Row],[Total Bilan]],"")</f>
        <v/>
      </c>
      <c r="W1962" s="180"/>
      <c r="X1962" s="191"/>
      <c r="Y1962" s="180"/>
      <c r="Z1962" s="192" t="str">
        <f>IFERROR(Tableau3[[#This Row],[Chiffre d''affaires]]/Tableau3[[#This Row],[Salariés]],"")</f>
        <v/>
      </c>
      <c r="AA1962" s="197"/>
      <c r="AB1962" s="197"/>
      <c r="AC1962" s="177" t="s">
        <v>1366</v>
      </c>
    </row>
    <row r="1963" spans="1:29" ht="20.25" customHeight="1">
      <c r="A1963" s="217"/>
      <c r="E1963" s="187"/>
      <c r="G1963" s="202">
        <f>(G1962/G1964)-1</f>
        <v>-7.1993748168408755E-2</v>
      </c>
      <c r="H1963" s="203">
        <f>(H1962/H1964)-1</f>
        <v>-0.12376779846659369</v>
      </c>
      <c r="I1963" s="203">
        <f>(I1962/I1964)-1</f>
        <v>-0.19774806474313866</v>
      </c>
      <c r="J1963" s="203">
        <f>(J1962/J1964)-1</f>
        <v>-0.11917098445595853</v>
      </c>
      <c r="K1963" s="188"/>
      <c r="L1963" s="188"/>
      <c r="M1963" s="194"/>
      <c r="N1963" s="190"/>
      <c r="O1963" s="190"/>
      <c r="P1963" s="188"/>
      <c r="Q1963" s="188"/>
      <c r="R1963" s="195"/>
      <c r="S1963" s="197"/>
      <c r="T1963" s="180"/>
      <c r="U1963" s="189" t="str">
        <f>IFERROR(IF(Tableau3[[#This Row],[Dettes]]=0,"",(Tableau3[[#This Row],[Dettes]]/Tableau3[[#This Row],[EBE]])),"")</f>
        <v/>
      </c>
      <c r="V1963" s="190" t="str">
        <f>IFERROR(Tableau3[[#This Row],[Fonds propres]]/Tableau3[[#This Row],[Total Bilan]],"")</f>
        <v/>
      </c>
      <c r="W1963" s="180"/>
      <c r="X1963" s="191"/>
      <c r="Y1963" s="180"/>
      <c r="Z1963" s="192" t="str">
        <f>IFERROR(Tableau3[[#This Row],[Chiffre d''affaires]]/Tableau3[[#This Row],[Salariés]],"")</f>
        <v/>
      </c>
      <c r="AA1963" s="197"/>
      <c r="AB1963" s="197"/>
      <c r="AC1963" s="177" t="s">
        <v>1368</v>
      </c>
    </row>
    <row r="1964" spans="1:29" ht="20.25" customHeight="1">
      <c r="A1964" s="217"/>
      <c r="E1964" s="187">
        <f>450/7.44</f>
        <v>60.483870967741929</v>
      </c>
      <c r="F1964" s="178">
        <v>2016</v>
      </c>
      <c r="G1964" s="188">
        <v>10237000000</v>
      </c>
      <c r="H1964" s="188">
        <v>1826000000</v>
      </c>
      <c r="I1964" s="188">
        <v>1421000000</v>
      </c>
      <c r="J1964" s="188">
        <v>965000000</v>
      </c>
      <c r="K1964" s="188"/>
      <c r="L1964" s="188">
        <v>3190000000</v>
      </c>
      <c r="M1964" s="194">
        <f>L1964/P1964</f>
        <v>14.463092816784805</v>
      </c>
      <c r="N1964" s="190">
        <f>J1964/L1964</f>
        <v>0.30250783699059564</v>
      </c>
      <c r="O1964" s="190">
        <f>(I1964*0.64)/(K1964+(M1964*P1964))</f>
        <v>0.28509090909090912</v>
      </c>
      <c r="P1964" s="188">
        <v>220561400</v>
      </c>
      <c r="Q1964" s="188">
        <f>P1964*E1964</f>
        <v>13340407258.064514</v>
      </c>
      <c r="R1964" s="195">
        <f>Q1964/L1964</f>
        <v>4.1819458489230454</v>
      </c>
      <c r="S1964" s="197">
        <f>(Q1964+K1964)/H1964</f>
        <v>7.3058090131788136</v>
      </c>
      <c r="T1964" s="180"/>
      <c r="U1964" s="189" t="str">
        <f>IFERROR(IF(Tableau3[[#This Row],[Dettes]]=0,"",(Tableau3[[#This Row],[Dettes]]/Tableau3[[#This Row],[EBE]])),"")</f>
        <v/>
      </c>
      <c r="V1964" s="190" t="str">
        <f>IFERROR(Tableau3[[#This Row],[Fonds propres]]/Tableau3[[#This Row],[Total Bilan]],"")</f>
        <v/>
      </c>
      <c r="W1964" s="180"/>
      <c r="X1964" s="191"/>
      <c r="Y1964" s="180"/>
      <c r="Z1964" s="192" t="str">
        <f>IFERROR(Tableau3[[#This Row],[Chiffre d''affaires]]/Tableau3[[#This Row],[Salariés]],"")</f>
        <v/>
      </c>
      <c r="AA1964" s="197"/>
      <c r="AB1964" s="197"/>
      <c r="AC1964" s="177" t="s">
        <v>1369</v>
      </c>
    </row>
    <row r="1965" spans="1:29" ht="20.25" customHeight="1">
      <c r="A1965" s="217"/>
      <c r="E1965" s="187"/>
      <c r="G1965" s="188"/>
      <c r="H1965" s="188"/>
      <c r="I1965" s="188"/>
      <c r="J1965" s="188"/>
      <c r="K1965" s="188"/>
      <c r="L1965" s="188"/>
      <c r="M1965" s="194"/>
      <c r="N1965" s="190"/>
      <c r="O1965" s="190"/>
      <c r="P1965" s="188"/>
      <c r="Q1965" s="188"/>
      <c r="R1965" s="195"/>
      <c r="S1965" s="197"/>
      <c r="T1965" s="180"/>
      <c r="U1965" s="189" t="str">
        <f>IFERROR(IF(Tableau3[[#This Row],[Dettes]]=0,"",(Tableau3[[#This Row],[Dettes]]/Tableau3[[#This Row],[EBE]])),"")</f>
        <v/>
      </c>
      <c r="V1965" s="190" t="str">
        <f>IFERROR(Tableau3[[#This Row],[Fonds propres]]/Tableau3[[#This Row],[Total Bilan]],"")</f>
        <v/>
      </c>
      <c r="W1965" s="180"/>
      <c r="X1965" s="191"/>
      <c r="Y1965" s="180"/>
      <c r="Z1965" s="192" t="str">
        <f>IFERROR(Tableau3[[#This Row],[Chiffre d''affaires]]/Tableau3[[#This Row],[Salariés]],"")</f>
        <v/>
      </c>
      <c r="AA1965" s="197"/>
      <c r="AB1965" s="197"/>
      <c r="AC1965" s="217" t="s">
        <v>1370</v>
      </c>
    </row>
    <row r="1966" spans="1:29" ht="20.25" customHeight="1">
      <c r="A1966" s="217"/>
      <c r="E1966" s="187"/>
      <c r="G1966" s="188"/>
      <c r="H1966" s="188"/>
      <c r="I1966" s="188"/>
      <c r="J1966" s="188"/>
      <c r="K1966" s="188"/>
      <c r="L1966" s="188"/>
      <c r="M1966" s="194"/>
      <c r="N1966" s="190"/>
      <c r="O1966" s="190"/>
      <c r="P1966" s="188"/>
      <c r="Q1966" s="188"/>
      <c r="R1966" s="195"/>
      <c r="S1966" s="197"/>
      <c r="T1966" s="180"/>
      <c r="U1966" s="189" t="str">
        <f>IFERROR(IF(Tableau3[[#This Row],[Dettes]]=0,"",(Tableau3[[#This Row],[Dettes]]/Tableau3[[#This Row],[EBE]])),"")</f>
        <v/>
      </c>
      <c r="V1966" s="190" t="str">
        <f>IFERROR(Tableau3[[#This Row],[Fonds propres]]/Tableau3[[#This Row],[Total Bilan]],"")</f>
        <v/>
      </c>
      <c r="W1966" s="180"/>
      <c r="X1966" s="191"/>
      <c r="Y1966" s="180"/>
      <c r="Z1966" s="192" t="str">
        <f>IFERROR(Tableau3[[#This Row],[Chiffre d''affaires]]/Tableau3[[#This Row],[Salariés]],"")</f>
        <v/>
      </c>
      <c r="AA1966" s="197"/>
      <c r="AB1966" s="197"/>
      <c r="AC1966" s="217" t="s">
        <v>1371</v>
      </c>
    </row>
    <row r="1967" spans="1:29" ht="20.25" customHeight="1">
      <c r="A1967" s="217"/>
      <c r="E1967" s="187"/>
      <c r="G1967" s="188"/>
      <c r="H1967" s="188"/>
      <c r="I1967" s="188"/>
      <c r="J1967" s="188"/>
      <c r="K1967" s="188"/>
      <c r="L1967" s="188"/>
      <c r="M1967" s="194"/>
      <c r="N1967" s="190"/>
      <c r="O1967" s="190"/>
      <c r="P1967" s="188"/>
      <c r="Q1967" s="188"/>
      <c r="R1967" s="195"/>
      <c r="S1967" s="197"/>
      <c r="T1967" s="180"/>
      <c r="U1967" s="189" t="str">
        <f>IFERROR(IF(Tableau3[[#This Row],[Dettes]]=0,"",(Tableau3[[#This Row],[Dettes]]/Tableau3[[#This Row],[EBE]])),"")</f>
        <v/>
      </c>
      <c r="V1967" s="190" t="str">
        <f>IFERROR(Tableau3[[#This Row],[Fonds propres]]/Tableau3[[#This Row],[Total Bilan]],"")</f>
        <v/>
      </c>
      <c r="W1967" s="180"/>
      <c r="X1967" s="191"/>
      <c r="Y1967" s="180"/>
      <c r="Z1967" s="192" t="str">
        <f>IFERROR(Tableau3[[#This Row],[Chiffre d''affaires]]/Tableau3[[#This Row],[Salariés]],"")</f>
        <v/>
      </c>
      <c r="AA1967" s="197"/>
      <c r="AB1967" s="197"/>
    </row>
    <row r="1968" spans="1:29" ht="20.25" customHeight="1">
      <c r="A1968" s="217"/>
      <c r="E1968" s="187"/>
      <c r="G1968" s="188"/>
      <c r="H1968" s="188"/>
      <c r="I1968" s="188"/>
      <c r="J1968" s="188"/>
      <c r="K1968" s="188"/>
      <c r="L1968" s="188"/>
      <c r="M1968" s="194"/>
      <c r="N1968" s="190"/>
      <c r="O1968" s="190"/>
      <c r="P1968" s="188"/>
      <c r="Q1968" s="188"/>
      <c r="R1968" s="195"/>
      <c r="S1968" s="197"/>
      <c r="T1968" s="180"/>
      <c r="U1968" s="189" t="str">
        <f>IFERROR(IF(Tableau3[[#This Row],[Dettes]]=0,"",(Tableau3[[#This Row],[Dettes]]/Tableau3[[#This Row],[EBE]])),"")</f>
        <v/>
      </c>
      <c r="V1968" s="190" t="str">
        <f>IFERROR(Tableau3[[#This Row],[Fonds propres]]/Tableau3[[#This Row],[Total Bilan]],"")</f>
        <v/>
      </c>
      <c r="W1968" s="180"/>
      <c r="X1968" s="191"/>
      <c r="Y1968" s="180"/>
      <c r="Z1968" s="192" t="str">
        <f>IFERROR(Tableau3[[#This Row],[Chiffre d''affaires]]/Tableau3[[#This Row],[Salariés]],"")</f>
        <v/>
      </c>
      <c r="AA1968" s="197"/>
      <c r="AB1968" s="197"/>
    </row>
    <row r="1969" spans="1:29" ht="20.25" customHeight="1">
      <c r="A1969" s="217" t="s">
        <v>1372</v>
      </c>
      <c r="B1969" s="216" t="s">
        <v>1373</v>
      </c>
      <c r="C1969" s="178" t="s">
        <v>84</v>
      </c>
      <c r="D1969" s="178" t="s">
        <v>85</v>
      </c>
      <c r="E1969" s="187">
        <f>E1971</f>
        <v>6</v>
      </c>
      <c r="F1969" s="178">
        <v>2022</v>
      </c>
      <c r="G1969" s="188">
        <v>300000000</v>
      </c>
      <c r="H1969" s="188">
        <f>G1969*0.12</f>
        <v>36000000</v>
      </c>
      <c r="I1969" s="188">
        <v>0</v>
      </c>
      <c r="J1969" s="188">
        <v>-20000000</v>
      </c>
      <c r="K1969" s="188">
        <v>350000000</v>
      </c>
      <c r="L1969" s="188">
        <v>85000000</v>
      </c>
      <c r="M1969" s="194">
        <f>L1969/P1969</f>
        <v>2.024894385082217</v>
      </c>
      <c r="N1969" s="190">
        <f>J1969/L1969</f>
        <v>-0.23529411764705882</v>
      </c>
      <c r="O1969" s="190">
        <f>(I1969*0.64)/(K1969+(M1969*P1969))</f>
        <v>0</v>
      </c>
      <c r="P1969" s="188">
        <f>P1971+6250000</f>
        <v>41977498</v>
      </c>
      <c r="Q1969" s="211">
        <f>P1969*E1969</f>
        <v>251864988</v>
      </c>
      <c r="R1969" s="195">
        <f>Q1969/L1969</f>
        <v>2.9631175058823529</v>
      </c>
      <c r="S1969" s="197">
        <f>(Q1969+K1969)/H1969</f>
        <v>16.718471888888889</v>
      </c>
      <c r="T1969" s="180"/>
      <c r="U1969" s="189">
        <f>IFERROR(IF(Tableau3[[#This Row],[Dettes]]=0,"",(Tableau3[[#This Row],[Dettes]]/Tableau3[[#This Row],[EBE]])),"")</f>
        <v>9.7222222222222214</v>
      </c>
      <c r="V1969" s="190" t="str">
        <f>IFERROR(Tableau3[[#This Row],[Fonds propres]]/Tableau3[[#This Row],[Total Bilan]],"")</f>
        <v/>
      </c>
      <c r="W1969" s="180"/>
      <c r="X1969" s="191" t="s">
        <v>106</v>
      </c>
      <c r="Y1969" s="180"/>
      <c r="Z1969" s="192" t="str">
        <f>IFERROR(Tableau3[[#This Row],[Chiffre d''affaires]]/Tableau3[[#This Row],[Salariés]],"")</f>
        <v/>
      </c>
      <c r="AA1969" s="197"/>
      <c r="AB1969" s="197"/>
      <c r="AC1969" s="177" t="s">
        <v>1374</v>
      </c>
    </row>
    <row r="1970" spans="1:29" ht="20.25" customHeight="1">
      <c r="A1970" s="217"/>
      <c r="E1970" s="187"/>
      <c r="G1970" s="202">
        <f>(G1969/G1971)-1</f>
        <v>0.46592458306661655</v>
      </c>
      <c r="H1970" s="203">
        <f>(H1969/H1971)-1</f>
        <v>39.089086859688194</v>
      </c>
      <c r="I1970" s="203">
        <f>(I1969/I1971)-1</f>
        <v>-1</v>
      </c>
      <c r="J1970" s="203">
        <f>(J1969/J1971)-1</f>
        <v>-0.65001312450783089</v>
      </c>
      <c r="K1970" s="188"/>
      <c r="L1970" s="188"/>
      <c r="M1970" s="194"/>
      <c r="N1970" s="190"/>
      <c r="O1970" s="190"/>
      <c r="P1970" s="188"/>
      <c r="Q1970" s="188"/>
      <c r="R1970" s="195"/>
      <c r="S1970" s="197"/>
      <c r="T1970" s="180"/>
      <c r="U1970" s="189" t="str">
        <f>IFERROR(IF(Tableau3[[#This Row],[Dettes]]=0,"",(Tableau3[[#This Row],[Dettes]]/Tableau3[[#This Row],[EBE]])),"")</f>
        <v/>
      </c>
      <c r="V1970" s="190" t="str">
        <f>IFERROR(Tableau3[[#This Row],[Fonds propres]]/Tableau3[[#This Row],[Total Bilan]],"")</f>
        <v/>
      </c>
      <c r="W1970" s="180"/>
      <c r="Y1970" s="180"/>
      <c r="Z1970" s="192" t="str">
        <f>IFERROR(Tableau3[[#This Row],[Chiffre d''affaires]]/Tableau3[[#This Row],[Salariés]],"")</f>
        <v/>
      </c>
      <c r="AA1970" s="177"/>
      <c r="AC1970" s="177" t="s">
        <v>1376</v>
      </c>
    </row>
    <row r="1971" spans="1:29" ht="20.25" customHeight="1">
      <c r="A1971" s="217"/>
      <c r="E1971" s="187">
        <v>6</v>
      </c>
      <c r="F1971" s="178">
        <v>2021</v>
      </c>
      <c r="G1971" s="188">
        <v>204649000</v>
      </c>
      <c r="H1971" s="188">
        <v>898000</v>
      </c>
      <c r="I1971" s="188">
        <v>-45951000</v>
      </c>
      <c r="J1971" s="188">
        <v>-57145000</v>
      </c>
      <c r="K1971" s="188">
        <v>347700000</v>
      </c>
      <c r="L1971" s="188">
        <v>84688000</v>
      </c>
      <c r="M1971" s="194">
        <f>L1971/P1971</f>
        <v>2.3703870895185553</v>
      </c>
      <c r="N1971" s="190">
        <f>J1971/L1971</f>
        <v>-0.67477092386170412</v>
      </c>
      <c r="O1971" s="190">
        <f>(I1971*0.64)/(K1971+(M1971*P1971))</f>
        <v>-6.8014468486637003E-2</v>
      </c>
      <c r="P1971" s="188">
        <f>P1973</f>
        <v>35727498</v>
      </c>
      <c r="Q1971" s="211">
        <f>P1971*E1971</f>
        <v>214364988</v>
      </c>
      <c r="R1971" s="195">
        <f>Q1971/L1971</f>
        <v>2.5312321462308711</v>
      </c>
      <c r="S1971" s="197">
        <f>(Q1971+K1971)/H1971</f>
        <v>625.90755902004457</v>
      </c>
      <c r="T1971" s="180"/>
      <c r="U1971" s="189">
        <f>IFERROR(IF(Tableau3[[#This Row],[Dettes]]=0,"",(Tableau3[[#This Row],[Dettes]]/Tableau3[[#This Row],[EBE]])),"")</f>
        <v>387.19376391982183</v>
      </c>
      <c r="V1971" s="190" t="str">
        <f>IFERROR(Tableau3[[#This Row],[Fonds propres]]/Tableau3[[#This Row],[Total Bilan]],"")</f>
        <v/>
      </c>
      <c r="W1971" s="180"/>
      <c r="X1971" s="191"/>
      <c r="Y1971" s="180"/>
      <c r="Z1971" s="192" t="str">
        <f>IFERROR(Tableau3[[#This Row],[Chiffre d''affaires]]/Tableau3[[#This Row],[Salariés]],"")</f>
        <v/>
      </c>
      <c r="AA1971" s="197"/>
      <c r="AB1971" s="197"/>
      <c r="AC1971" s="177" t="s">
        <v>1377</v>
      </c>
    </row>
    <row r="1972" spans="1:29" ht="20.25" customHeight="1">
      <c r="A1972" s="217"/>
      <c r="E1972" s="187"/>
      <c r="G1972" s="202">
        <f>(G1971/G1973)-1</f>
        <v>-0.54187914415039606</v>
      </c>
      <c r="H1972" s="203">
        <f>(H1971/H1973)-1</f>
        <v>-0.98579113924050632</v>
      </c>
      <c r="I1972" s="203">
        <f>(I1971/I1973)-1</f>
        <v>-4.2255369928400954</v>
      </c>
      <c r="J1972" s="203">
        <f>(J1971/J1973)-1</f>
        <v>3.0289371675831678E-2</v>
      </c>
      <c r="K1972" s="188"/>
      <c r="L1972" s="188"/>
      <c r="M1972" s="194"/>
      <c r="N1972" s="190"/>
      <c r="O1972" s="190"/>
      <c r="P1972" s="188"/>
      <c r="Q1972" s="188"/>
      <c r="R1972" s="195"/>
      <c r="S1972" s="197"/>
      <c r="T1972" s="180"/>
      <c r="U1972" s="189" t="str">
        <f>IFERROR(IF(Tableau3[[#This Row],[Dettes]]=0,"",(Tableau3[[#This Row],[Dettes]]/Tableau3[[#This Row],[EBE]])),"")</f>
        <v/>
      </c>
      <c r="V1972" s="190" t="str">
        <f>IFERROR(Tableau3[[#This Row],[Fonds propres]]/Tableau3[[#This Row],[Total Bilan]],"")</f>
        <v/>
      </c>
      <c r="W1972" s="180"/>
      <c r="X1972" s="191"/>
      <c r="Y1972" s="180"/>
      <c r="Z1972" s="192" t="str">
        <f>IFERROR(Tableau3[[#This Row],[Chiffre d''affaires]]/Tableau3[[#This Row],[Salariés]],"")</f>
        <v/>
      </c>
      <c r="AA1972" s="197"/>
      <c r="AB1972" s="197"/>
      <c r="AC1972" s="177" t="s">
        <v>1378</v>
      </c>
    </row>
    <row r="1973" spans="1:29" ht="20.25" customHeight="1">
      <c r="A1973" s="217"/>
      <c r="E1973" s="187">
        <v>4.3849999999999998</v>
      </c>
      <c r="F1973" s="178">
        <v>2020</v>
      </c>
      <c r="G1973" s="188">
        <v>446714000</v>
      </c>
      <c r="H1973" s="188">
        <v>63200000</v>
      </c>
      <c r="I1973" s="188">
        <v>14246000</v>
      </c>
      <c r="J1973" s="188">
        <v>-55465000</v>
      </c>
      <c r="K1973" s="188">
        <v>282300000</v>
      </c>
      <c r="L1973" s="188">
        <v>138553000</v>
      </c>
      <c r="M1973" s="194">
        <f>L1973/P1973</f>
        <v>3.8780493389153641</v>
      </c>
      <c r="N1973" s="190">
        <f>J1973/L1973</f>
        <v>-0.40031612451552834</v>
      </c>
      <c r="O1973" s="190">
        <f>(I1973*0.64)/(K1973+(M1973*P1973))</f>
        <v>2.1664191534811441E-2</v>
      </c>
      <c r="P1973" s="188">
        <f>P1975</f>
        <v>35727498</v>
      </c>
      <c r="Q1973" s="211">
        <f>P1973*E1973</f>
        <v>156665078.72999999</v>
      </c>
      <c r="R1973" s="195">
        <f>Q1973/L1973</f>
        <v>1.1307231076194668</v>
      </c>
      <c r="S1973" s="197">
        <f>(Q1973+K1973)/H1973</f>
        <v>6.9456499799050633</v>
      </c>
      <c r="T1973" s="180"/>
      <c r="U1973" s="189">
        <f>IFERROR(IF(Tableau3[[#This Row],[Dettes]]=0,"",(Tableau3[[#This Row],[Dettes]]/Tableau3[[#This Row],[EBE]])),"")</f>
        <v>4.4667721518987342</v>
      </c>
      <c r="V1973" s="190" t="str">
        <f>IFERROR(Tableau3[[#This Row],[Fonds propres]]/Tableau3[[#This Row],[Total Bilan]],"")</f>
        <v/>
      </c>
      <c r="W1973" s="180"/>
      <c r="X1973" s="191"/>
      <c r="Y1973" s="180"/>
      <c r="Z1973" s="192" t="str">
        <f>IFERROR(Tableau3[[#This Row],[Chiffre d''affaires]]/Tableau3[[#This Row],[Salariés]],"")</f>
        <v/>
      </c>
      <c r="AA1973" s="197"/>
      <c r="AB1973" s="197"/>
      <c r="AC1973" s="177" t="s">
        <v>1379</v>
      </c>
    </row>
    <row r="1974" spans="1:29" ht="20.25" customHeight="1">
      <c r="A1974" s="217"/>
      <c r="E1974" s="187"/>
      <c r="G1974" s="202">
        <f>(G1973/G1975)-1</f>
        <v>4.3831608856985227E-2</v>
      </c>
      <c r="H1974" s="203">
        <f>(H1973/H1975)-1</f>
        <v>-0.16795028766275655</v>
      </c>
      <c r="I1974" s="203">
        <f>(I1973/I1975)-1</f>
        <v>-0.56613369879701536</v>
      </c>
      <c r="J1974" s="203">
        <f>(J1973/J1975)-1</f>
        <v>-4.8751484664291205</v>
      </c>
      <c r="K1974" s="178"/>
      <c r="L1974" s="178"/>
      <c r="M1974" s="178"/>
      <c r="N1974" s="178"/>
      <c r="O1974" s="178"/>
      <c r="P1974" s="178"/>
      <c r="Q1974" s="178"/>
      <c r="R1974" s="195"/>
      <c r="S1974" s="178"/>
      <c r="T1974" s="180"/>
      <c r="U1974" s="189" t="str">
        <f>IFERROR(IF(Tableau3[[#This Row],[Dettes]]=0,"",(Tableau3[[#This Row],[Dettes]]/Tableau3[[#This Row],[EBE]])),"")</f>
        <v/>
      </c>
      <c r="V1974" s="190" t="str">
        <f>IFERROR(Tableau3[[#This Row],[Fonds propres]]/Tableau3[[#This Row],[Total Bilan]],"")</f>
        <v/>
      </c>
      <c r="W1974" s="180"/>
      <c r="X1974" s="191"/>
      <c r="Y1974" s="180"/>
      <c r="Z1974" s="192" t="str">
        <f>IFERROR(Tableau3[[#This Row],[Chiffre d''affaires]]/Tableau3[[#This Row],[Salariés]],"")</f>
        <v/>
      </c>
      <c r="AA1974" s="197"/>
      <c r="AB1974" s="197"/>
      <c r="AC1974" s="177" t="s">
        <v>1380</v>
      </c>
    </row>
    <row r="1975" spans="1:29" ht="20.25" customHeight="1">
      <c r="A1975" s="217"/>
      <c r="E1975" s="187">
        <v>11.4</v>
      </c>
      <c r="F1975" s="178">
        <v>2019</v>
      </c>
      <c r="G1975" s="188">
        <v>427956000</v>
      </c>
      <c r="H1975" s="188">
        <v>75957000</v>
      </c>
      <c r="I1975" s="188">
        <v>32835000</v>
      </c>
      <c r="J1975" s="188">
        <v>14313000</v>
      </c>
      <c r="K1975" s="188">
        <v>262200000</v>
      </c>
      <c r="L1975" s="188">
        <v>198323000</v>
      </c>
      <c r="M1975" s="194">
        <f>L1975/P1975</f>
        <v>5.5509904443910401</v>
      </c>
      <c r="N1975" s="190">
        <f>J1975/L1975</f>
        <v>7.2170146679911049E-2</v>
      </c>
      <c r="O1975" s="190">
        <f>(I1975*0.64)/(K1975+(M1975*P1975))</f>
        <v>4.5631597118927829E-2</v>
      </c>
      <c r="P1975" s="188">
        <f>P1977</f>
        <v>35727498</v>
      </c>
      <c r="Q1975" s="211">
        <f>P1975*E1975</f>
        <v>407293477.19999999</v>
      </c>
      <c r="R1975" s="195">
        <f>Q1975/L1975</f>
        <v>2.0536875561583878</v>
      </c>
      <c r="S1975" s="197">
        <f>(Q1975+K1975)/H1975</f>
        <v>8.8141116315810262</v>
      </c>
      <c r="T1975" s="180"/>
      <c r="U1975" s="189">
        <f>IFERROR(IF(Tableau3[[#This Row],[Dettes]]=0,"",(Tableau3[[#This Row],[Dettes]]/Tableau3[[#This Row],[EBE]])),"")</f>
        <v>3.4519530787155892</v>
      </c>
      <c r="V1975" s="190" t="str">
        <f>IFERROR(Tableau3[[#This Row],[Fonds propres]]/Tableau3[[#This Row],[Total Bilan]],"")</f>
        <v/>
      </c>
      <c r="W1975" s="180"/>
      <c r="X1975" s="191"/>
      <c r="Y1975" s="180"/>
      <c r="Z1975" s="192" t="str">
        <f>IFERROR(Tableau3[[#This Row],[Chiffre d''affaires]]/Tableau3[[#This Row],[Salariés]],"")</f>
        <v/>
      </c>
      <c r="AA1975" s="197"/>
      <c r="AB1975" s="197"/>
      <c r="AC1975" s="177" t="s">
        <v>1381</v>
      </c>
    </row>
    <row r="1976" spans="1:29" ht="20.25" customHeight="1">
      <c r="A1976" s="217"/>
      <c r="E1976" s="187"/>
      <c r="G1976" s="202">
        <f>(G1975/G1977)-1</f>
        <v>0.15579442028789803</v>
      </c>
      <c r="H1976" s="203">
        <f>(H1975/H1977)-1</f>
        <v>5.8855509862689059E-2</v>
      </c>
      <c r="I1976" s="203">
        <f>(I1975/I1977)-1</f>
        <v>-0.10793849163225389</v>
      </c>
      <c r="J1976" s="203">
        <f>(J1975/J1977)-1</f>
        <v>-0.52745221037340295</v>
      </c>
      <c r="K1976" s="188"/>
      <c r="L1976" s="188"/>
      <c r="M1976" s="194"/>
      <c r="N1976" s="190"/>
      <c r="O1976" s="190"/>
      <c r="P1976" s="188"/>
      <c r="Q1976" s="178"/>
      <c r="R1976" s="195"/>
      <c r="S1976" s="197"/>
      <c r="T1976" s="180"/>
      <c r="U1976" s="189" t="str">
        <f>IFERROR(IF(Tableau3[[#This Row],[Dettes]]=0,"",(Tableau3[[#This Row],[Dettes]]/Tableau3[[#This Row],[EBE]])),"")</f>
        <v/>
      </c>
      <c r="V1976" s="190" t="str">
        <f>IFERROR(Tableau3[[#This Row],[Fonds propres]]/Tableau3[[#This Row],[Total Bilan]],"")</f>
        <v/>
      </c>
      <c r="W1976" s="180"/>
      <c r="X1976" s="191"/>
      <c r="Y1976" s="180"/>
      <c r="Z1976" s="192" t="str">
        <f>IFERROR(Tableau3[[#This Row],[Chiffre d''affaires]]/Tableau3[[#This Row],[Salariés]],"")</f>
        <v/>
      </c>
      <c r="AA1976" s="197"/>
      <c r="AB1976" s="197"/>
      <c r="AC1976" s="177" t="s">
        <v>1382</v>
      </c>
    </row>
    <row r="1977" spans="1:29" ht="20.25" customHeight="1">
      <c r="A1977" s="217"/>
      <c r="E1977" s="187">
        <v>12</v>
      </c>
      <c r="F1977" s="178">
        <v>2018</v>
      </c>
      <c r="G1977" s="188">
        <v>370270000</v>
      </c>
      <c r="H1977" s="188">
        <v>71735000</v>
      </c>
      <c r="I1977" s="188">
        <v>36808000</v>
      </c>
      <c r="J1977" s="188">
        <v>30289000</v>
      </c>
      <c r="K1977" s="188">
        <v>272000000</v>
      </c>
      <c r="L1977" s="188">
        <v>259500000</v>
      </c>
      <c r="M1977" s="194">
        <f>L1977/P1977</f>
        <v>7.2633129809425778</v>
      </c>
      <c r="N1977" s="190">
        <f>J1977/L1977</f>
        <v>0.11672061657032755</v>
      </c>
      <c r="O1977" s="190">
        <f>(I1977*0.64)/(K1977+(M1977*P1977))</f>
        <v>4.4321956726246475E-2</v>
      </c>
      <c r="P1977" s="188">
        <f>31839473+3888025</f>
        <v>35727498</v>
      </c>
      <c r="Q1977" s="211">
        <f>P1977*E1977</f>
        <v>428729976</v>
      </c>
      <c r="R1977" s="195">
        <f>Q1977/L1977</f>
        <v>1.6521386358381502</v>
      </c>
      <c r="S1977" s="197">
        <f>(Q1977+K1977)/H1977</f>
        <v>9.7683135986617415</v>
      </c>
      <c r="T1977" s="180"/>
      <c r="U1977" s="189">
        <f>IFERROR(IF(Tableau3[[#This Row],[Dettes]]=0,"",(Tableau3[[#This Row],[Dettes]]/Tableau3[[#This Row],[EBE]])),"")</f>
        <v>3.7917334634418345</v>
      </c>
      <c r="V1977" s="190" t="str">
        <f>IFERROR(Tableau3[[#This Row],[Fonds propres]]/Tableau3[[#This Row],[Total Bilan]],"")</f>
        <v/>
      </c>
      <c r="W1977" s="180"/>
      <c r="X1977" s="191"/>
      <c r="Y1977" s="180"/>
      <c r="Z1977" s="192" t="str">
        <f>IFERROR(Tableau3[[#This Row],[Chiffre d''affaires]]/Tableau3[[#This Row],[Salariés]],"")</f>
        <v/>
      </c>
      <c r="AA1977" s="197"/>
      <c r="AB1977" s="197"/>
      <c r="AC1977" s="177" t="s">
        <v>1383</v>
      </c>
    </row>
    <row r="1978" spans="1:29" ht="20.25" customHeight="1">
      <c r="A1978" s="217"/>
      <c r="E1978" s="187"/>
      <c r="G1978" s="202">
        <f>(G1977/G1979)-1</f>
        <v>0.14023256100415105</v>
      </c>
      <c r="H1978" s="203">
        <f>(H1977/H1979)-1</f>
        <v>-2.6555070489113763E-3</v>
      </c>
      <c r="I1978" s="203">
        <f>(I1977/I1979)-1</f>
        <v>-0.14449738524113886</v>
      </c>
      <c r="J1978" s="203">
        <f>(J1977/J1979)-1</f>
        <v>-6.9319403902289189E-2</v>
      </c>
      <c r="K1978" s="188"/>
      <c r="L1978" s="188"/>
      <c r="M1978" s="194"/>
      <c r="N1978" s="190"/>
      <c r="O1978" s="190"/>
      <c r="P1978" s="188"/>
      <c r="Q1978" s="178"/>
      <c r="R1978" s="195"/>
      <c r="S1978" s="197"/>
      <c r="T1978" s="180"/>
      <c r="U1978" s="189" t="str">
        <f>IFERROR(IF(Tableau3[[#This Row],[Dettes]]=0,"",(Tableau3[[#This Row],[Dettes]]/Tableau3[[#This Row],[EBE]])),"")</f>
        <v/>
      </c>
      <c r="V1978" s="190" t="str">
        <f>IFERROR(Tableau3[[#This Row],[Fonds propres]]/Tableau3[[#This Row],[Total Bilan]],"")</f>
        <v/>
      </c>
      <c r="W1978" s="180"/>
      <c r="X1978" s="191"/>
      <c r="Y1978" s="180"/>
      <c r="Z1978" s="192" t="str">
        <f>IFERROR(Tableau3[[#This Row],[Chiffre d''affaires]]/Tableau3[[#This Row],[Salariés]],"")</f>
        <v/>
      </c>
      <c r="AA1978" s="197"/>
      <c r="AB1978" s="197"/>
      <c r="AC1978" s="177" t="s">
        <v>1384</v>
      </c>
    </row>
    <row r="1979" spans="1:29" ht="20.25" customHeight="1">
      <c r="A1979" s="217"/>
      <c r="E1979" s="187">
        <v>16</v>
      </c>
      <c r="F1979" s="178">
        <v>2017</v>
      </c>
      <c r="G1979" s="188">
        <v>324732000</v>
      </c>
      <c r="H1979" s="188">
        <v>71926000</v>
      </c>
      <c r="I1979" s="188">
        <v>43025000</v>
      </c>
      <c r="J1979" s="188">
        <v>32545000</v>
      </c>
      <c r="K1979" s="188">
        <v>248000000</v>
      </c>
      <c r="L1979" s="188">
        <v>242000000</v>
      </c>
      <c r="M1979" s="194">
        <f>L1979/P1979</f>
        <v>7.6130465848926896</v>
      </c>
      <c r="N1979" s="190">
        <f>J1979/L1979</f>
        <v>0.13448347107438016</v>
      </c>
      <c r="O1979" s="190">
        <f>(I1979*0.64)/(K1979+(M1979*P1979))</f>
        <v>5.6195918367346942E-2</v>
      </c>
      <c r="P1979" s="188">
        <v>31787537</v>
      </c>
      <c r="Q1979" s="211">
        <f>P1979*E1979</f>
        <v>508600592</v>
      </c>
      <c r="R1979" s="195">
        <f>Q1979/L1979</f>
        <v>2.1016553388429751</v>
      </c>
      <c r="S1979" s="197">
        <f>(Q1979+K1979)/H1979</f>
        <v>10.519152907154576</v>
      </c>
      <c r="T1979" s="180"/>
      <c r="U1979" s="189">
        <f>IFERROR(IF(Tableau3[[#This Row],[Dettes]]=0,"",(Tableau3[[#This Row],[Dettes]]/Tableau3[[#This Row],[EBE]])),"")</f>
        <v>3.44798821010483</v>
      </c>
      <c r="V1979" s="190" t="str">
        <f>IFERROR(Tableau3[[#This Row],[Fonds propres]]/Tableau3[[#This Row],[Total Bilan]],"")</f>
        <v/>
      </c>
      <c r="W1979" s="180"/>
      <c r="X1979" s="191"/>
      <c r="Y1979" s="180"/>
      <c r="Z1979" s="192" t="str">
        <f>IFERROR(Tableau3[[#This Row],[Chiffre d''affaires]]/Tableau3[[#This Row],[Salariés]],"")</f>
        <v/>
      </c>
      <c r="AA1979" s="197"/>
      <c r="AB1979" s="197"/>
      <c r="AC1979" s="177" t="s">
        <v>1385</v>
      </c>
    </row>
    <row r="1980" spans="1:29" ht="20.25" customHeight="1">
      <c r="A1980" s="217"/>
      <c r="E1980" s="187"/>
      <c r="G1980" s="202">
        <f>(G1979/G1981)-1</f>
        <v>0.28686237834067785</v>
      </c>
      <c r="H1980" s="203">
        <f>(H1979/H1981)-1</f>
        <v>0.17903744016785783</v>
      </c>
      <c r="I1980" s="203">
        <f>(I1979/I1981)-1</f>
        <v>0.12725319639488575</v>
      </c>
      <c r="J1980" s="203">
        <f>(J1979/J1981)-1</f>
        <v>-2.1497294046903148E-2</v>
      </c>
      <c r="K1980" s="188"/>
      <c r="L1980" s="188"/>
      <c r="M1980" s="194"/>
      <c r="N1980" s="190"/>
      <c r="O1980" s="190"/>
      <c r="P1980" s="188"/>
      <c r="Q1980" s="211"/>
      <c r="R1980" s="195"/>
      <c r="S1980" s="197"/>
      <c r="T1980" s="180"/>
      <c r="U1980" s="189" t="str">
        <f>IFERROR(IF(Tableau3[[#This Row],[Dettes]]=0,"",(Tableau3[[#This Row],[Dettes]]/Tableau3[[#This Row],[EBE]])),"")</f>
        <v/>
      </c>
      <c r="V1980" s="190" t="str">
        <f>IFERROR(Tableau3[[#This Row],[Fonds propres]]/Tableau3[[#This Row],[Total Bilan]],"")</f>
        <v/>
      </c>
      <c r="W1980" s="180"/>
      <c r="X1980" s="191"/>
      <c r="Y1980" s="180"/>
      <c r="Z1980" s="192" t="str">
        <f>IFERROR(Tableau3[[#This Row],[Chiffre d''affaires]]/Tableau3[[#This Row],[Salariés]],"")</f>
        <v/>
      </c>
      <c r="AA1980" s="197"/>
      <c r="AB1980" s="197"/>
      <c r="AC1980" s="177" t="s">
        <v>1386</v>
      </c>
    </row>
    <row r="1981" spans="1:29" ht="20.25" customHeight="1">
      <c r="E1981" s="187">
        <v>20</v>
      </c>
      <c r="F1981" s="178">
        <v>2016</v>
      </c>
      <c r="G1981" s="188">
        <v>252344000</v>
      </c>
      <c r="H1981" s="188">
        <v>61004000</v>
      </c>
      <c r="I1981" s="188">
        <v>38168000</v>
      </c>
      <c r="J1981" s="188">
        <v>33260000</v>
      </c>
      <c r="K1981" s="188">
        <v>96608000</v>
      </c>
      <c r="L1981" s="188">
        <v>183747000</v>
      </c>
      <c r="M1981" s="194">
        <f>L1981/P1981</f>
        <v>5.7820003939691258</v>
      </c>
      <c r="N1981" s="190">
        <f>J1981/L1981</f>
        <v>0.18100975798244326</v>
      </c>
      <c r="O1981" s="190">
        <f>(I1981*0.64)/(K1981+(M1981*P1981))</f>
        <v>8.7130673610244153E-2</v>
      </c>
      <c r="P1981" s="188">
        <v>31779140</v>
      </c>
      <c r="Q1981" s="211">
        <f>P1981*E1981</f>
        <v>635582800</v>
      </c>
      <c r="R1981" s="195">
        <f>Q1981/L1981</f>
        <v>3.4590104872460503</v>
      </c>
      <c r="S1981" s="197">
        <f>(Q1981+K1981)/H1981</f>
        <v>12.002340830109501</v>
      </c>
      <c r="T1981" s="180"/>
      <c r="U1981" s="189">
        <f>IFERROR(IF(Tableau3[[#This Row],[Dettes]]=0,"",(Tableau3[[#This Row],[Dettes]]/Tableau3[[#This Row],[EBE]])),"")</f>
        <v>1.5836338600747493</v>
      </c>
      <c r="V1981" s="190" t="str">
        <f>IFERROR(Tableau3[[#This Row],[Fonds propres]]/Tableau3[[#This Row],[Total Bilan]],"")</f>
        <v/>
      </c>
      <c r="W1981" s="180"/>
      <c r="X1981" s="191"/>
      <c r="Y1981" s="180"/>
      <c r="Z1981" s="192" t="str">
        <f>IFERROR(Tableau3[[#This Row],[Chiffre d''affaires]]/Tableau3[[#This Row],[Salariés]],"")</f>
        <v/>
      </c>
      <c r="AA1981" s="197"/>
      <c r="AB1981" s="197"/>
      <c r="AC1981" s="177" t="s">
        <v>1387</v>
      </c>
    </row>
    <row r="1982" spans="1:29" ht="20.25" customHeight="1">
      <c r="E1982" s="187"/>
      <c r="G1982" s="202">
        <f>(G1981/G1983)-1</f>
        <v>0.21552986512524086</v>
      </c>
      <c r="H1982" s="203">
        <f>(H1981/H1983)-1</f>
        <v>0.20561264822134384</v>
      </c>
      <c r="I1982" s="203">
        <f>(I1981/I1983)-1</f>
        <v>0.28110630013761617</v>
      </c>
      <c r="J1982" s="203">
        <f>(J1981/J1983)-1</f>
        <v>-2.5429578771571721</v>
      </c>
      <c r="K1982" s="188"/>
      <c r="L1982" s="188"/>
      <c r="M1982" s="194"/>
      <c r="N1982" s="190"/>
      <c r="O1982" s="190"/>
      <c r="P1982" s="188"/>
      <c r="Q1982" s="211"/>
      <c r="R1982" s="195"/>
      <c r="S1982" s="197"/>
      <c r="T1982" s="180"/>
      <c r="U1982" s="189" t="str">
        <f>IFERROR(IF(Tableau3[[#This Row],[Dettes]]=0,"",(Tableau3[[#This Row],[Dettes]]/Tableau3[[#This Row],[EBE]])),"")</f>
        <v/>
      </c>
      <c r="V1982" s="190" t="str">
        <f>IFERROR(Tableau3[[#This Row],[Fonds propres]]/Tableau3[[#This Row],[Total Bilan]],"")</f>
        <v/>
      </c>
      <c r="W1982" s="180"/>
      <c r="Y1982" s="180"/>
      <c r="Z1982" s="192" t="str">
        <f>IFERROR(Tableau3[[#This Row],[Chiffre d''affaires]]/Tableau3[[#This Row],[Salariés]],"")</f>
        <v/>
      </c>
      <c r="AA1982" s="177"/>
      <c r="AC1982" s="177" t="s">
        <v>1388</v>
      </c>
    </row>
    <row r="1983" spans="1:29" ht="20.25" customHeight="1">
      <c r="E1983" s="187">
        <v>12</v>
      </c>
      <c r="F1983" s="178">
        <v>2015</v>
      </c>
      <c r="G1983" s="188">
        <v>207600000</v>
      </c>
      <c r="H1983" s="188">
        <v>50600000</v>
      </c>
      <c r="I1983" s="188">
        <v>29793000</v>
      </c>
      <c r="J1983" s="188">
        <v>-21556000</v>
      </c>
      <c r="K1983" s="188">
        <v>113788000</v>
      </c>
      <c r="L1983" s="188">
        <v>61067000</v>
      </c>
      <c r="M1983" s="194">
        <f>L1983/P1983</f>
        <v>2.2016475059483818</v>
      </c>
      <c r="N1983" s="190">
        <f>J1983/L1983</f>
        <v>-0.35298933957784073</v>
      </c>
      <c r="O1983" s="190">
        <f>(I1983*0.64)/(K1983+(M1983*P1983))</f>
        <v>0.10904761087758429</v>
      </c>
      <c r="P1983" s="188">
        <v>27736956</v>
      </c>
      <c r="Q1983" s="211">
        <f>P1983*E1983</f>
        <v>332843472</v>
      </c>
      <c r="R1983" s="195">
        <f>Q1983/L1983</f>
        <v>5.4504637856780258</v>
      </c>
      <c r="S1983" s="197">
        <f>(Q1983+K1983)/H1983</f>
        <v>8.8267089328063246</v>
      </c>
      <c r="T1983" s="180"/>
      <c r="U1983" s="189">
        <f>IFERROR(IF(Tableau3[[#This Row],[Dettes]]=0,"",(Tableau3[[#This Row],[Dettes]]/Tableau3[[#This Row],[EBE]])),"")</f>
        <v>2.2487747035573125</v>
      </c>
      <c r="V1983" s="190" t="str">
        <f>IFERROR(Tableau3[[#This Row],[Fonds propres]]/Tableau3[[#This Row],[Total Bilan]],"")</f>
        <v/>
      </c>
      <c r="W1983" s="180"/>
      <c r="Y1983" s="180"/>
      <c r="Z1983" s="192" t="str">
        <f>IFERROR(Tableau3[[#This Row],[Chiffre d''affaires]]/Tableau3[[#This Row],[Salariés]],"")</f>
        <v/>
      </c>
      <c r="AA1983" s="177"/>
      <c r="AC1983" s="177" t="s">
        <v>1389</v>
      </c>
    </row>
    <row r="1984" spans="1:29" ht="20.25" customHeight="1">
      <c r="E1984" s="187"/>
      <c r="G1984" s="202">
        <f>(G1983/G1985)-1</f>
        <v>0.27911275415896486</v>
      </c>
      <c r="H1984" s="203">
        <f>(H1983/H1985)-1</f>
        <v>0.42937853107344637</v>
      </c>
      <c r="I1984" s="203" t="e">
        <f>(I1983/I1985)-1</f>
        <v>#DIV/0!</v>
      </c>
      <c r="J1984" s="203" t="e">
        <f>(J1983/J1985)-1</f>
        <v>#DIV/0!</v>
      </c>
      <c r="K1984" s="188"/>
      <c r="L1984" s="188"/>
      <c r="M1984" s="194"/>
      <c r="N1984" s="190"/>
      <c r="O1984" s="190"/>
      <c r="P1984" s="188"/>
      <c r="Q1984" s="211"/>
      <c r="R1984" s="195"/>
      <c r="S1984" s="197"/>
      <c r="T1984" s="180"/>
      <c r="U1984" s="189" t="str">
        <f>IFERROR(IF(Tableau3[[#This Row],[Dettes]]=0,"",(Tableau3[[#This Row],[Dettes]]/Tableau3[[#This Row],[EBE]])),"")</f>
        <v/>
      </c>
      <c r="V1984" s="190" t="str">
        <f>IFERROR(Tableau3[[#This Row],[Fonds propres]]/Tableau3[[#This Row],[Total Bilan]],"")</f>
        <v/>
      </c>
      <c r="W1984" s="180"/>
      <c r="Y1984" s="180"/>
      <c r="Z1984" s="192" t="str">
        <f>IFERROR(Tableau3[[#This Row],[Chiffre d''affaires]]/Tableau3[[#This Row],[Salariés]],"")</f>
        <v/>
      </c>
      <c r="AA1984" s="177"/>
      <c r="AC1984" s="177" t="s">
        <v>1390</v>
      </c>
    </row>
    <row r="1985" spans="1:29" ht="20.25" customHeight="1">
      <c r="E1985" s="187">
        <v>10</v>
      </c>
      <c r="F1985" s="178">
        <v>2014</v>
      </c>
      <c r="G1985" s="188">
        <v>162300000</v>
      </c>
      <c r="H1985" s="188">
        <v>35400000</v>
      </c>
      <c r="I1985" s="188"/>
      <c r="J1985" s="188"/>
      <c r="K1985" s="188"/>
      <c r="L1985" s="188"/>
      <c r="M1985" s="194">
        <f>L1985/P1985</f>
        <v>0</v>
      </c>
      <c r="N1985" s="190" t="e">
        <f>J1985/L1985</f>
        <v>#DIV/0!</v>
      </c>
      <c r="O1985" s="190" t="e">
        <f>(I1985*0.64)/(K1985+(M1985*P1985))</f>
        <v>#DIV/0!</v>
      </c>
      <c r="P1985" s="188">
        <v>26625845</v>
      </c>
      <c r="Q1985" s="211">
        <f>P1985*E1985</f>
        <v>266258450</v>
      </c>
      <c r="R1985" s="195"/>
      <c r="S1985" s="197"/>
      <c r="T1985" s="180"/>
      <c r="U1985" s="189" t="str">
        <f>IFERROR(IF(Tableau3[[#This Row],[Dettes]]=0,"",(Tableau3[[#This Row],[Dettes]]/Tableau3[[#This Row],[EBE]])),"")</f>
        <v/>
      </c>
      <c r="V1985" s="190" t="str">
        <f>IFERROR(Tableau3[[#This Row],[Fonds propres]]/Tableau3[[#This Row],[Total Bilan]],"")</f>
        <v/>
      </c>
      <c r="W1985" s="180"/>
      <c r="Y1985" s="180"/>
      <c r="Z1985" s="192" t="str">
        <f>IFERROR(Tableau3[[#This Row],[Chiffre d''affaires]]/Tableau3[[#This Row],[Salariés]],"")</f>
        <v/>
      </c>
      <c r="AA1985" s="177"/>
      <c r="AC1985" s="177" t="s">
        <v>1391</v>
      </c>
    </row>
    <row r="1986" spans="1:29" ht="20.25" customHeight="1">
      <c r="E1986" s="187"/>
      <c r="G1986" s="202">
        <f>(G1985/G1987)-1</f>
        <v>0.18467153284671523</v>
      </c>
      <c r="H1986" s="203">
        <f>(H1985/H1987)-1</f>
        <v>0.10624999999999996</v>
      </c>
      <c r="I1986" s="203" t="e">
        <f>(I1985/I1987)-1</f>
        <v>#DIV/0!</v>
      </c>
      <c r="J1986" s="203" t="e">
        <f>(J1985/J1987)-1</f>
        <v>#DIV/0!</v>
      </c>
      <c r="K1986" s="188"/>
      <c r="L1986" s="188"/>
      <c r="M1986" s="194"/>
      <c r="N1986" s="194"/>
      <c r="O1986" s="194"/>
      <c r="P1986" s="178"/>
      <c r="Q1986" s="178"/>
      <c r="R1986" s="195"/>
      <c r="S1986" s="178"/>
      <c r="T1986" s="180"/>
      <c r="U1986" s="189" t="str">
        <f>IFERROR(IF(Tableau3[[#This Row],[Dettes]]=0,"",(Tableau3[[#This Row],[Dettes]]/Tableau3[[#This Row],[EBE]])),"")</f>
        <v/>
      </c>
      <c r="V1986" s="190" t="str">
        <f>IFERROR(Tableau3[[#This Row],[Fonds propres]]/Tableau3[[#This Row],[Total Bilan]],"")</f>
        <v/>
      </c>
      <c r="W1986" s="180"/>
      <c r="Y1986" s="180"/>
      <c r="Z1986" s="192" t="str">
        <f>IFERROR(Tableau3[[#This Row],[Chiffre d''affaires]]/Tableau3[[#This Row],[Salariés]],"")</f>
        <v/>
      </c>
      <c r="AA1986" s="177"/>
      <c r="AC1986" s="177" t="s">
        <v>1392</v>
      </c>
    </row>
    <row r="1987" spans="1:29" ht="20.25" customHeight="1">
      <c r="E1987" s="187">
        <v>9</v>
      </c>
      <c r="F1987" s="178">
        <v>2013</v>
      </c>
      <c r="G1987" s="188">
        <v>137000000</v>
      </c>
      <c r="H1987" s="188">
        <v>32000000</v>
      </c>
      <c r="I1987" s="178"/>
      <c r="J1987" s="178"/>
      <c r="K1987" s="178"/>
      <c r="L1987" s="178"/>
      <c r="M1987" s="178"/>
      <c r="N1987" s="178"/>
      <c r="O1987" s="178"/>
      <c r="P1987" s="178"/>
      <c r="Q1987" s="178"/>
      <c r="R1987" s="195"/>
      <c r="S1987" s="178"/>
      <c r="T1987" s="180"/>
      <c r="U1987" s="189" t="str">
        <f>IFERROR(IF(Tableau3[[#This Row],[Dettes]]=0,"",(Tableau3[[#This Row],[Dettes]]/Tableau3[[#This Row],[EBE]])),"")</f>
        <v/>
      </c>
      <c r="V1987" s="190" t="str">
        <f>IFERROR(Tableau3[[#This Row],[Fonds propres]]/Tableau3[[#This Row],[Total Bilan]],"")</f>
        <v/>
      </c>
      <c r="W1987" s="180"/>
      <c r="Y1987" s="180"/>
      <c r="Z1987" s="192" t="str">
        <f>IFERROR(Tableau3[[#This Row],[Chiffre d''affaires]]/Tableau3[[#This Row],[Salariés]],"")</f>
        <v/>
      </c>
      <c r="AA1987" s="177"/>
      <c r="AC1987" s="177" t="s">
        <v>81</v>
      </c>
    </row>
    <row r="1988" spans="1:29" ht="20.25" customHeight="1">
      <c r="G1988" s="188"/>
      <c r="H1988" s="178"/>
      <c r="I1988" s="178"/>
      <c r="J1988" s="178"/>
      <c r="K1988" s="178"/>
      <c r="L1988" s="178"/>
      <c r="M1988" s="178"/>
      <c r="N1988" s="178"/>
      <c r="O1988" s="178"/>
      <c r="P1988" s="178"/>
      <c r="Q1988" s="178"/>
      <c r="R1988" s="195"/>
      <c r="S1988" s="178"/>
      <c r="T1988" s="180"/>
      <c r="U1988" s="189" t="str">
        <f>IFERROR(IF(Tableau3[[#This Row],[Dettes]]=0,"",(Tableau3[[#This Row],[Dettes]]/Tableau3[[#This Row],[EBE]])),"")</f>
        <v/>
      </c>
      <c r="V1988" s="190" t="str">
        <f>IFERROR(Tableau3[[#This Row],[Fonds propres]]/Tableau3[[#This Row],[Total Bilan]],"")</f>
        <v/>
      </c>
      <c r="W1988" s="180"/>
      <c r="Y1988" s="180"/>
      <c r="Z1988" s="192" t="str">
        <f>IFERROR(Tableau3[[#This Row],[Chiffre d''affaires]]/Tableau3[[#This Row],[Salariés]],"")</f>
        <v/>
      </c>
      <c r="AA1988" s="177"/>
    </row>
    <row r="1989" spans="1:29" ht="20.25" customHeight="1">
      <c r="F1989" s="217" t="s">
        <v>1393</v>
      </c>
      <c r="G1989" s="188"/>
      <c r="H1989" s="178"/>
      <c r="I1989" s="178"/>
      <c r="J1989" s="178"/>
      <c r="K1989" s="178"/>
      <c r="L1989" s="178"/>
      <c r="M1989" s="178"/>
      <c r="N1989" s="178"/>
      <c r="O1989" s="178"/>
      <c r="P1989" s="178"/>
      <c r="Q1989" s="178"/>
      <c r="R1989" s="195"/>
      <c r="S1989" s="178"/>
      <c r="T1989" s="180"/>
      <c r="U1989" s="189" t="str">
        <f>IFERROR(IF(Tableau3[[#This Row],[Dettes]]=0,"",(Tableau3[[#This Row],[Dettes]]/Tableau3[[#This Row],[EBE]])),"")</f>
        <v/>
      </c>
      <c r="V1989" s="190" t="str">
        <f>IFERROR(Tableau3[[#This Row],[Fonds propres]]/Tableau3[[#This Row],[Total Bilan]],"")</f>
        <v/>
      </c>
      <c r="W1989" s="180"/>
      <c r="Y1989" s="180"/>
      <c r="Z1989" s="192" t="str">
        <f>IFERROR(Tableau3[[#This Row],[Chiffre d''affaires]]/Tableau3[[#This Row],[Salariés]],"")</f>
        <v/>
      </c>
      <c r="AA1989" s="177"/>
    </row>
    <row r="1990" spans="1:29" ht="20.25" customHeight="1">
      <c r="E1990" s="234"/>
      <c r="G1990" s="188"/>
      <c r="H1990" s="178"/>
      <c r="I1990" s="178"/>
      <c r="J1990" s="178"/>
      <c r="K1990" s="178"/>
      <c r="L1990" s="178"/>
      <c r="M1990" s="178"/>
      <c r="N1990" s="178"/>
      <c r="O1990" s="178"/>
      <c r="P1990" s="178"/>
      <c r="Q1990" s="178"/>
      <c r="R1990" s="195"/>
      <c r="S1990" s="178"/>
      <c r="T1990" s="180"/>
      <c r="U1990" s="189" t="str">
        <f>IFERROR(IF(Tableau3[[#This Row],[Dettes]]=0,"",(Tableau3[[#This Row],[Dettes]]/Tableau3[[#This Row],[EBE]])),"")</f>
        <v/>
      </c>
      <c r="V1990" s="190" t="str">
        <f>IFERROR(Tableau3[[#This Row],[Fonds propres]]/Tableau3[[#This Row],[Total Bilan]],"")</f>
        <v/>
      </c>
      <c r="W1990" s="180"/>
      <c r="Y1990" s="180"/>
      <c r="Z1990" s="192" t="str">
        <f>IFERROR(Tableau3[[#This Row],[Chiffre d''affaires]]/Tableau3[[#This Row],[Salariés]],"")</f>
        <v/>
      </c>
      <c r="AA1990" s="177"/>
    </row>
    <row r="1991" spans="1:29" ht="20.25" customHeight="1">
      <c r="E1991" s="234"/>
      <c r="G1991" s="188"/>
      <c r="H1991" s="178"/>
      <c r="I1991" s="178"/>
      <c r="J1991" s="178"/>
      <c r="K1991" s="178"/>
      <c r="L1991" s="178"/>
      <c r="M1991" s="178"/>
      <c r="N1991" s="178"/>
      <c r="O1991" s="178"/>
      <c r="P1991" s="178"/>
      <c r="Q1991" s="178"/>
      <c r="R1991" s="195"/>
      <c r="S1991" s="178"/>
      <c r="T1991" s="180"/>
      <c r="U1991" s="189" t="str">
        <f>IFERROR(IF(Tableau3[[#This Row],[Dettes]]=0,"",(Tableau3[[#This Row],[Dettes]]/Tableau3[[#This Row],[EBE]])),"")</f>
        <v/>
      </c>
      <c r="V1991" s="190" t="str">
        <f>IFERROR(Tableau3[[#This Row],[Fonds propres]]/Tableau3[[#This Row],[Total Bilan]],"")</f>
        <v/>
      </c>
      <c r="W1991" s="180"/>
      <c r="Y1991" s="180"/>
      <c r="Z1991" s="192" t="str">
        <f>IFERROR(Tableau3[[#This Row],[Chiffre d''affaires]]/Tableau3[[#This Row],[Salariés]],"")</f>
        <v/>
      </c>
      <c r="AA1991" s="177"/>
    </row>
    <row r="1992" spans="1:29" ht="20.25" customHeight="1">
      <c r="A1992" s="217" t="s">
        <v>1394</v>
      </c>
      <c r="B1992" s="216" t="s">
        <v>1395</v>
      </c>
      <c r="C1992" s="178" t="s">
        <v>84</v>
      </c>
      <c r="D1992" s="178" t="s">
        <v>85</v>
      </c>
      <c r="E1992" s="178">
        <v>246.4</v>
      </c>
      <c r="F1992" s="178">
        <v>2025</v>
      </c>
      <c r="G1992" s="188"/>
      <c r="H1992" s="178"/>
      <c r="I1992" s="178"/>
      <c r="J1992" s="178"/>
      <c r="K1992" s="178"/>
      <c r="L1992" s="178"/>
      <c r="M1992" s="178"/>
      <c r="N1992" s="178"/>
      <c r="O1992" s="178"/>
      <c r="P1992" s="178"/>
      <c r="Q1992" s="178"/>
      <c r="R1992" s="195"/>
      <c r="S1992" s="178"/>
      <c r="T1992" s="180"/>
      <c r="U1992" s="189" t="str">
        <f>IFERROR(IF(Tableau3[[#This Row],[Dettes]]=0,"",(Tableau3[[#This Row],[Dettes]]/Tableau3[[#This Row],[EBE]])),"")</f>
        <v/>
      </c>
      <c r="V1992" s="190" t="str">
        <f>IFERROR(Tableau3[[#This Row],[Fonds propres]]/Tableau3[[#This Row],[Total Bilan]],"")</f>
        <v/>
      </c>
      <c r="W1992" s="180"/>
      <c r="X1992" s="191" t="s">
        <v>1396</v>
      </c>
      <c r="Y1992" s="180"/>
      <c r="Z1992" s="192" t="str">
        <f>IFERROR(Tableau3[[#This Row],[Chiffre d''affaires]]/Tableau3[[#This Row],[Salariés]],"")</f>
        <v/>
      </c>
      <c r="AA1992" s="178" t="s">
        <v>1397</v>
      </c>
      <c r="AC1992" s="177" t="s">
        <v>1398</v>
      </c>
    </row>
    <row r="1993" spans="1:29" ht="20.25" customHeight="1">
      <c r="E1993" s="234"/>
      <c r="G1993" s="188"/>
      <c r="H1993" s="178"/>
      <c r="I1993" s="178"/>
      <c r="J1993" s="178"/>
      <c r="K1993" s="178"/>
      <c r="L1993" s="178"/>
      <c r="M1993" s="178"/>
      <c r="N1993" s="178"/>
      <c r="O1993" s="178"/>
      <c r="P1993" s="178"/>
      <c r="Q1993" s="178"/>
      <c r="R1993" s="195"/>
      <c r="S1993" s="178"/>
      <c r="T1993" s="180"/>
      <c r="U1993" s="189" t="str">
        <f>IFERROR(IF(Tableau3[[#This Row],[Dettes]]=0,"",(Tableau3[[#This Row],[Dettes]]/Tableau3[[#This Row],[EBE]])),"")</f>
        <v/>
      </c>
      <c r="V1993" s="190" t="str">
        <f>IFERROR(Tableau3[[#This Row],[Fonds propres]]/Tableau3[[#This Row],[Total Bilan]],"")</f>
        <v/>
      </c>
      <c r="W1993" s="180"/>
      <c r="Y1993" s="180"/>
      <c r="Z1993" s="192" t="str">
        <f>IFERROR(Tableau3[[#This Row],[Chiffre d''affaires]]/Tableau3[[#This Row],[Salariés]],"")</f>
        <v/>
      </c>
      <c r="AA1993" s="197" t="s">
        <v>1400</v>
      </c>
      <c r="AC1993" s="177" t="s">
        <v>4882</v>
      </c>
    </row>
    <row r="1994" spans="1:29" ht="20.25" customHeight="1">
      <c r="A1994" s="217"/>
      <c r="E1994" s="187">
        <v>212.1</v>
      </c>
      <c r="F1994" s="178">
        <v>2024</v>
      </c>
      <c r="G1994" s="188">
        <v>27317000000</v>
      </c>
      <c r="H1994" s="188">
        <v>5417000000</v>
      </c>
      <c r="I1994" s="188">
        <v>4119000000</v>
      </c>
      <c r="J1994" s="188">
        <v>3068000000</v>
      </c>
      <c r="K1994" s="188">
        <v>1738000000</v>
      </c>
      <c r="L1994" s="188">
        <v>10725000000</v>
      </c>
      <c r="M1994" s="194">
        <f>L1994/P1994</f>
        <v>25.316749299080715</v>
      </c>
      <c r="N1994" s="190">
        <f>J1994/L1996</f>
        <v>0.25380542686962276</v>
      </c>
      <c r="O1994" s="190">
        <f>(I1994*0.73)/(K1996+L1996)</f>
        <v>0.25669028512890557</v>
      </c>
      <c r="P1994" s="188">
        <v>423632587</v>
      </c>
      <c r="Q1994" s="211">
        <f>P1994*E1994</f>
        <v>89852471702.699997</v>
      </c>
      <c r="R1994" s="195">
        <f>Q1994/L1994</f>
        <v>8.3778528394125864</v>
      </c>
      <c r="S1994" s="197">
        <f>(Q1994+K1994)/H1994</f>
        <v>16.907969670057227</v>
      </c>
      <c r="T1994" s="180">
        <v>3189000000</v>
      </c>
      <c r="U1994" s="189">
        <f>IFERROR(IF(Tableau3[[#This Row],[Dettes]]=0,"",(Tableau3[[#This Row],[Dettes]]/Tableau3[[#This Row],[EBE]])),"")</f>
        <v>0.32084179435111687</v>
      </c>
      <c r="V1994" s="190">
        <f>IFERROR(Tableau3[[#This Row],[Fonds propres]]/Tableau3[[#This Row],[Total Bilan]],"")</f>
        <v>0.19495746382607432</v>
      </c>
      <c r="W1994" s="180">
        <v>55012000000</v>
      </c>
      <c r="Y1994" s="180">
        <v>96390</v>
      </c>
      <c r="Z1994" s="192">
        <f>IFERROR(Tableau3[[#This Row],[Chiffre d''affaires]]/Tableau3[[#This Row],[Salariés]],"")</f>
        <v>283400.76771449321</v>
      </c>
      <c r="AA1994" s="178" t="s">
        <v>1401</v>
      </c>
      <c r="AC1994" s="177" t="s">
        <v>1402</v>
      </c>
    </row>
    <row r="1995" spans="1:29" ht="20.25" customHeight="1">
      <c r="E1995" s="234"/>
      <c r="G1995" s="202">
        <f>(G1994/G1996)-1</f>
        <v>0.17750765119186163</v>
      </c>
      <c r="H1995" s="203">
        <f>(H1994/H1996)-1</f>
        <v>0.30656054027978774</v>
      </c>
      <c r="I1995" s="203">
        <f>(I1994/I1996)-1</f>
        <v>0.30101073910296905</v>
      </c>
      <c r="J1995" s="203">
        <f>(J1994/J1996)-1</f>
        <v>0.51282051282051277</v>
      </c>
      <c r="K1995" s="178"/>
      <c r="L1995" s="178"/>
      <c r="M1995" s="178"/>
      <c r="N1995" s="178"/>
      <c r="O1995" s="178"/>
      <c r="P1995" s="178"/>
      <c r="Q1995" s="178"/>
      <c r="R1995" s="195"/>
      <c r="S1995" s="178"/>
      <c r="T1995" s="180"/>
      <c r="U1995" s="189" t="str">
        <f>IFERROR(IF(Tableau3[[#This Row],[Dettes]]=0,"",(Tableau3[[#This Row],[Dettes]]/Tableau3[[#This Row],[EBE]])),"")</f>
        <v/>
      </c>
      <c r="V1995" s="190" t="str">
        <f>IFERROR(Tableau3[[#This Row],[Fonds propres]]/Tableau3[[#This Row],[Total Bilan]],"")</f>
        <v/>
      </c>
      <c r="W1995" s="180"/>
      <c r="Y1995" s="180"/>
      <c r="Z1995" s="192" t="str">
        <f>IFERROR(Tableau3[[#This Row],[Chiffre d''affaires]]/Tableau3[[#This Row],[Salariés]],"")</f>
        <v/>
      </c>
      <c r="AA1995" s="178" t="s">
        <v>1403</v>
      </c>
      <c r="AC1995" s="177" t="s">
        <v>1404</v>
      </c>
    </row>
    <row r="1996" spans="1:29" ht="20.25" customHeight="1">
      <c r="A1996" s="217"/>
      <c r="E1996" s="187">
        <v>159.46</v>
      </c>
      <c r="F1996" s="178">
        <v>2023</v>
      </c>
      <c r="G1996" s="188">
        <v>23199000000</v>
      </c>
      <c r="H1996" s="188">
        <v>4146000000</v>
      </c>
      <c r="I1996" s="188">
        <v>3166000000</v>
      </c>
      <c r="J1996" s="188">
        <v>2028000000</v>
      </c>
      <c r="K1996" s="188">
        <v>-374000000</v>
      </c>
      <c r="L1996" s="188">
        <v>12088000000</v>
      </c>
      <c r="M1996" s="194">
        <f>L1996/P1996</f>
        <v>28.29187074403859</v>
      </c>
      <c r="N1996" s="190">
        <f>J1996/L1998</f>
        <v>0.18663721700717836</v>
      </c>
      <c r="O1996" s="190">
        <f>(I1996*0.73)/(K1998+L1998)</f>
        <v>0.21297272392185773</v>
      </c>
      <c r="P1996" s="188">
        <v>427260541</v>
      </c>
      <c r="Q1996" s="211">
        <f>P1996*E1996</f>
        <v>68130965867.860001</v>
      </c>
      <c r="R1996" s="195">
        <f>Q1996/L1996</f>
        <v>5.636248003628392</v>
      </c>
      <c r="S1996" s="197">
        <f>(Q1996+K1996)/H1996</f>
        <v>16.342731757805115</v>
      </c>
      <c r="T1996" s="180">
        <v>2945000000</v>
      </c>
      <c r="U1996" s="189">
        <f>IFERROR(IF(Tableau3[[#This Row],[Dettes]]=0,"",(Tableau3[[#This Row],[Dettes]]/Tableau3[[#This Row],[EBE]])),"")</f>
        <v>-9.0207428847081522E-2</v>
      </c>
      <c r="V1996" s="190">
        <f>IFERROR(Tableau3[[#This Row],[Fonds propres]]/Tableau3[[#This Row],[Total Bilan]],"")</f>
        <v>0.23951811048585242</v>
      </c>
      <c r="W1996" s="180">
        <v>50468000000</v>
      </c>
      <c r="Y1996" s="180">
        <v>87055</v>
      </c>
      <c r="Z1996" s="192">
        <f>IFERROR(Tableau3[[#This Row],[Chiffre d''affaires]]/Tableau3[[#This Row],[Salariés]],"")</f>
        <v>266486.70380793751</v>
      </c>
      <c r="AA1996" s="197" t="s">
        <v>983</v>
      </c>
      <c r="AC1996" s="177" t="s">
        <v>4523</v>
      </c>
    </row>
    <row r="1997" spans="1:29" ht="20.25" customHeight="1">
      <c r="E1997" s="234"/>
      <c r="G1997" s="202">
        <f>(G1996/G1998)-1</f>
        <v>0.21875492513790395</v>
      </c>
      <c r="H1997" s="203">
        <f>(H1996/H1998)-1</f>
        <v>0.29562500000000003</v>
      </c>
      <c r="I1997" s="203">
        <f>(I1996/I1998)-1</f>
        <v>0.61695607763023497</v>
      </c>
      <c r="J1997" s="203">
        <f>(J1996/J1998)-1</f>
        <v>0.72156196943972839</v>
      </c>
      <c r="K1997" s="178"/>
      <c r="L1997" s="178"/>
      <c r="M1997" s="178"/>
      <c r="N1997" s="178"/>
      <c r="O1997" s="178"/>
      <c r="P1997" s="178"/>
      <c r="Q1997" s="178"/>
      <c r="R1997" s="195"/>
      <c r="S1997" s="178"/>
      <c r="T1997" s="180"/>
      <c r="U1997" s="189" t="str">
        <f>IFERROR(IF(Tableau3[[#This Row],[Dettes]]=0,"",(Tableau3[[#This Row],[Dettes]]/Tableau3[[#This Row],[EBE]])),"")</f>
        <v/>
      </c>
      <c r="V1997" s="190" t="str">
        <f>IFERROR(Tableau3[[#This Row],[Fonds propres]]/Tableau3[[#This Row],[Total Bilan]],"")</f>
        <v/>
      </c>
      <c r="W1997" s="180"/>
      <c r="Y1997" s="180"/>
      <c r="Z1997" s="192" t="str">
        <f>IFERROR(Tableau3[[#This Row],[Chiffre d''affaires]]/Tableau3[[#This Row],[Salariés]],"")</f>
        <v/>
      </c>
      <c r="AC1997" s="177" t="s">
        <v>1405</v>
      </c>
    </row>
    <row r="1998" spans="1:29" ht="20.25" customHeight="1">
      <c r="A1998" s="217"/>
      <c r="E1998" s="187">
        <v>116.92</v>
      </c>
      <c r="F1998" s="178">
        <v>2022</v>
      </c>
      <c r="G1998" s="188">
        <v>19035000000</v>
      </c>
      <c r="H1998" s="188">
        <v>3200000000</v>
      </c>
      <c r="I1998" s="188">
        <v>1958000000</v>
      </c>
      <c r="J1998" s="188">
        <v>1178000000</v>
      </c>
      <c r="K1998" s="188">
        <v>-14000000</v>
      </c>
      <c r="L1998" s="188">
        <v>10866000000</v>
      </c>
      <c r="M1998" s="194">
        <f>L1998/P1998</f>
        <v>25.432656509317102</v>
      </c>
      <c r="N1998" s="190">
        <f>J1998/L2000</f>
        <v>8.8771665410700834E-2</v>
      </c>
      <c r="O1998" s="190">
        <f>(I1998*0.73)/(K2000+L2000)</f>
        <v>9.6485756716619409E-2</v>
      </c>
      <c r="P1998" s="188">
        <v>427245970</v>
      </c>
      <c r="Q1998" s="211">
        <f>P1998*E1998</f>
        <v>49953598812.400002</v>
      </c>
      <c r="R1998" s="195">
        <f>Q1998/L1998</f>
        <v>4.5972389851279223</v>
      </c>
      <c r="S1998" s="197">
        <f>(Q1998+K1998)/H1998</f>
        <v>15.606124628875001</v>
      </c>
      <c r="T1998" s="180">
        <v>2666000000</v>
      </c>
      <c r="U1998" s="189">
        <f>IFERROR(IF(Tableau3[[#This Row],[Dettes]]=0,"",(Tableau3[[#This Row],[Dettes]]/Tableau3[[#This Row],[EBE]])),"")</f>
        <v>-4.3750000000000004E-3</v>
      </c>
      <c r="V1998" s="190">
        <f>IFERROR(Tableau3[[#This Row],[Fonds propres]]/Tableau3[[#This Row],[Total Bilan]],"")</f>
        <v>0.23203074951953875</v>
      </c>
      <c r="W1998" s="180">
        <v>46830000000</v>
      </c>
      <c r="Y1998" s="180">
        <v>77008</v>
      </c>
      <c r="Z1998" s="192">
        <f>IFERROR(Tableau3[[#This Row],[Chiffre d''affaires]]/Tableau3[[#This Row],[Salariés]],"")</f>
        <v>247182.11094951173</v>
      </c>
      <c r="AC1998" s="199" t="s">
        <v>4883</v>
      </c>
    </row>
    <row r="1999" spans="1:29" ht="20.25" customHeight="1">
      <c r="E1999" s="234"/>
      <c r="G1999" s="202">
        <f>(G1998/G2000)-1</f>
        <v>0.24762404142360883</v>
      </c>
      <c r="H1999" s="203">
        <f>(H1998/H2000)-1</f>
        <v>0.1169284467713787</v>
      </c>
      <c r="I1999" s="203">
        <f>(I1998/I2000)-1</f>
        <v>0.39857142857142858</v>
      </c>
      <c r="J1999" s="203">
        <f>(J1998/J2000)-1</f>
        <v>0.55000000000000004</v>
      </c>
      <c r="K1999" s="178"/>
      <c r="L1999" s="178"/>
      <c r="M1999" s="178"/>
      <c r="N1999" s="178"/>
      <c r="O1999" s="178"/>
      <c r="P1999" s="178"/>
      <c r="Q1999" s="178"/>
      <c r="R1999" s="195"/>
      <c r="S1999" s="178"/>
      <c r="T1999" s="180"/>
      <c r="U1999" s="189" t="str">
        <f>IFERROR(IF(Tableau3[[#This Row],[Dettes]]=0,"",(Tableau3[[#This Row],[Dettes]]/Tableau3[[#This Row],[EBE]])),"")</f>
        <v/>
      </c>
      <c r="V1999" s="190" t="str">
        <f>IFERROR(Tableau3[[#This Row],[Fonds propres]]/Tableau3[[#This Row],[Total Bilan]],"")</f>
        <v/>
      </c>
      <c r="W1999" s="180"/>
      <c r="Y1999" s="180"/>
      <c r="Z1999" s="192" t="str">
        <f>IFERROR(Tableau3[[#This Row],[Chiffre d''affaires]]/Tableau3[[#This Row],[Salariés]],"")</f>
        <v/>
      </c>
      <c r="AB1999" s="197"/>
      <c r="AC1999" s="199" t="s">
        <v>4524</v>
      </c>
    </row>
    <row r="2000" spans="1:29" ht="20.25" customHeight="1">
      <c r="A2000" s="217"/>
      <c r="E2000" s="187">
        <v>107.66</v>
      </c>
      <c r="F2000" s="178">
        <v>2021</v>
      </c>
      <c r="G2000" s="188">
        <v>15257000000</v>
      </c>
      <c r="H2000" s="188">
        <v>2865000000</v>
      </c>
      <c r="I2000" s="188">
        <v>1400000000</v>
      </c>
      <c r="J2000" s="188">
        <v>760000000</v>
      </c>
      <c r="K2000" s="188">
        <v>1544000000</v>
      </c>
      <c r="L2000" s="188">
        <v>13270000000</v>
      </c>
      <c r="M2000" s="194">
        <f>L2000/P2000</f>
        <v>31.059648474997008</v>
      </c>
      <c r="N2000" s="190">
        <f>J2000/L2002</f>
        <v>5.9607843137254903E-2</v>
      </c>
      <c r="O2000" s="190">
        <f>(I2000*0.73)/(K2002+L2002)</f>
        <v>6.57573027924334E-2</v>
      </c>
      <c r="P2000" s="188">
        <v>427242440</v>
      </c>
      <c r="Q2000" s="211">
        <f>P2000*E2000</f>
        <v>45996921090.400002</v>
      </c>
      <c r="R2000" s="195">
        <f>Q2000/L2000</f>
        <v>3.4662336918161265</v>
      </c>
      <c r="S2000" s="197">
        <f>(Q2000+K2000)/H2000</f>
        <v>16.593689734869109</v>
      </c>
      <c r="T2000" s="180">
        <v>1500000000</v>
      </c>
      <c r="U2000" s="189">
        <f>IFERROR(IF(Tableau3[[#This Row],[Dettes]]=0,"",(Tableau3[[#This Row],[Dettes]]/Tableau3[[#This Row],[EBE]])),"")</f>
        <v>0.53891797556719023</v>
      </c>
      <c r="V2000" s="190">
        <f>IFERROR(Tableau3[[#This Row],[Fonds propres]]/Tableau3[[#This Row],[Total Bilan]],"")</f>
        <v>0.32076383853033597</v>
      </c>
      <c r="W2000" s="180">
        <v>41370000000</v>
      </c>
      <c r="Y2000" s="180">
        <v>77008</v>
      </c>
      <c r="Z2000" s="192">
        <f>IFERROR(Tableau3[[#This Row],[Chiffre d''affaires]]/Tableau3[[#This Row],[Salariés]],"")</f>
        <v>198122.27301059631</v>
      </c>
      <c r="AC2000" s="177" t="s">
        <v>1407</v>
      </c>
    </row>
    <row r="2001" spans="1:29" ht="20.25" customHeight="1">
      <c r="E2001" s="234"/>
      <c r="G2001" s="202">
        <f>(G2000/G2002)-1</f>
        <v>-7.5221238938053103E-2</v>
      </c>
      <c r="H2001" s="203">
        <f>(H2000/H2002)-1</f>
        <v>0.15710823909531513</v>
      </c>
      <c r="I2001" s="203">
        <f>(I2000/I2002)-1</f>
        <v>0.14754098360655732</v>
      </c>
      <c r="J2001" s="203">
        <f>(J2000/J2002)-1</f>
        <v>-9.9526066350710929E-2</v>
      </c>
      <c r="K2001" s="178"/>
      <c r="L2001" s="178"/>
      <c r="M2001" s="178"/>
      <c r="N2001" s="178"/>
      <c r="O2001" s="178"/>
      <c r="P2001" s="178"/>
      <c r="Q2001" s="178"/>
      <c r="R2001" s="195"/>
      <c r="S2001" s="178"/>
      <c r="T2001" s="180"/>
      <c r="U2001" s="189" t="str">
        <f>IFERROR(IF(Tableau3[[#This Row],[Dettes]]=0,"",(Tableau3[[#This Row],[Dettes]]/Tableau3[[#This Row],[EBE]])),"")</f>
        <v/>
      </c>
      <c r="V2001" s="190" t="str">
        <f>IFERROR(Tableau3[[#This Row],[Fonds propres]]/Tableau3[[#This Row],[Total Bilan]],"")</f>
        <v/>
      </c>
      <c r="W2001" s="180"/>
      <c r="Y2001" s="180"/>
      <c r="Z2001" s="192" t="str">
        <f>IFERROR(Tableau3[[#This Row],[Chiffre d''affaires]]/Tableau3[[#This Row],[Salariés]],"")</f>
        <v/>
      </c>
      <c r="AC2001" s="177" t="s">
        <v>4884</v>
      </c>
    </row>
    <row r="2002" spans="1:29" ht="20.25" customHeight="1">
      <c r="A2002" s="217"/>
      <c r="E2002" s="187">
        <v>115.95</v>
      </c>
      <c r="F2002" s="178">
        <v>2020</v>
      </c>
      <c r="G2002" s="188">
        <v>16498000000</v>
      </c>
      <c r="H2002" s="188">
        <v>2476000000</v>
      </c>
      <c r="I2002" s="188">
        <v>1220000000</v>
      </c>
      <c r="J2002" s="188">
        <v>844000000</v>
      </c>
      <c r="K2002" s="188">
        <v>2792000000</v>
      </c>
      <c r="L2002" s="188">
        <v>12750000000</v>
      </c>
      <c r="M2002" s="194">
        <f>L2002/P2002</f>
        <v>29.842995020135699</v>
      </c>
      <c r="N2002" s="190">
        <f>J2002/L2004</f>
        <v>6.620646375902102E-2</v>
      </c>
      <c r="O2002" s="190">
        <f>(I2002*0.73)/(K2004+L2004)</f>
        <v>5.2816984936543708E-2</v>
      </c>
      <c r="P2002" s="188">
        <v>427235939</v>
      </c>
      <c r="Q2002" s="211">
        <f>P2002*E2002</f>
        <v>49538007127.050003</v>
      </c>
      <c r="R2002" s="195">
        <f>Q2002/L2002</f>
        <v>3.8853338923176475</v>
      </c>
      <c r="S2002" s="197">
        <f>(Q2002+K2002)/H2002</f>
        <v>21.134897870375607</v>
      </c>
      <c r="T2002" s="180">
        <v>1115000000</v>
      </c>
      <c r="U2002" s="189">
        <f>IFERROR(IF(Tableau3[[#This Row],[Dettes]]=0,"",(Tableau3[[#This Row],[Dettes]]/Tableau3[[#This Row],[EBE]])),"")</f>
        <v>1.1276252019386106</v>
      </c>
      <c r="V2002" s="190">
        <f>IFERROR(Tableau3[[#This Row],[Fonds propres]]/Tableau3[[#This Row],[Total Bilan]],"")</f>
        <v>0.32253984315709588</v>
      </c>
      <c r="W2002" s="180">
        <v>39530000000</v>
      </c>
      <c r="X2002" s="191"/>
      <c r="Y2002" s="180">
        <v>78892</v>
      </c>
      <c r="Z2002" s="192">
        <f>IFERROR(Tableau3[[#This Row],[Chiffre d''affaires]]/Tableau3[[#This Row],[Salariés]],"")</f>
        <v>209121.33042640571</v>
      </c>
      <c r="AB2002" s="197"/>
      <c r="AC2002" s="177" t="s">
        <v>1408</v>
      </c>
    </row>
    <row r="2003" spans="1:29" ht="20.25" customHeight="1">
      <c r="E2003" s="232"/>
      <c r="G2003" s="202">
        <f>(G2002/G2004)-1</f>
        <v>-0.34265678540122724</v>
      </c>
      <c r="H2003" s="203">
        <f>(H2002/H2004)-1</f>
        <v>-0.50161030595813205</v>
      </c>
      <c r="I2003" s="203">
        <f>(I2002/I2004)-1</f>
        <v>-0.68171145316984083</v>
      </c>
      <c r="J2003" s="203">
        <f>(J2002/J2004)-1</f>
        <v>-0.68330206378986869</v>
      </c>
      <c r="K2003" s="178"/>
      <c r="L2003" s="178"/>
      <c r="M2003" s="178"/>
      <c r="N2003" s="178"/>
      <c r="O2003" s="178"/>
      <c r="P2003" s="178"/>
      <c r="Q2003" s="178"/>
      <c r="R2003" s="195"/>
      <c r="S2003" s="178"/>
      <c r="T2003" s="180"/>
      <c r="U2003" s="189" t="str">
        <f>IFERROR(IF(Tableau3[[#This Row],[Dettes]]=0,"",(Tableau3[[#This Row],[Dettes]]/Tableau3[[#This Row],[EBE]])),"")</f>
        <v/>
      </c>
      <c r="V2003" s="190" t="str">
        <f>IFERROR(Tableau3[[#This Row],[Fonds propres]]/Tableau3[[#This Row],[Total Bilan]],"")</f>
        <v/>
      </c>
      <c r="W2003" s="180"/>
      <c r="Y2003" s="180"/>
      <c r="Z2003" s="192" t="str">
        <f>IFERROR(Tableau3[[#This Row],[Chiffre d''affaires]]/Tableau3[[#This Row],[Salariés]],"")</f>
        <v/>
      </c>
      <c r="AC2003" s="177" t="s">
        <v>4885</v>
      </c>
    </row>
    <row r="2004" spans="1:29" ht="20.25" customHeight="1">
      <c r="A2004" s="217"/>
      <c r="E2004" s="187">
        <v>133</v>
      </c>
      <c r="F2004" s="178">
        <v>2019</v>
      </c>
      <c r="G2004" s="188">
        <v>25098000000</v>
      </c>
      <c r="H2004" s="188">
        <v>4968000000</v>
      </c>
      <c r="I2004" s="188">
        <v>3833000000</v>
      </c>
      <c r="J2004" s="188">
        <v>2665000000</v>
      </c>
      <c r="K2004" s="188">
        <v>4114000000</v>
      </c>
      <c r="L2004" s="188">
        <v>12748000000</v>
      </c>
      <c r="M2004" s="194">
        <f>L2004/P2004</f>
        <v>29.838438361745681</v>
      </c>
      <c r="N2004" s="190">
        <f>J2004/L2006</f>
        <v>0.21664905292252662</v>
      </c>
      <c r="O2004" s="190">
        <f>(I2004*0.73)/(K2006+L2006)</f>
        <v>0.17971034039820166</v>
      </c>
      <c r="P2004" s="188">
        <v>427234155</v>
      </c>
      <c r="Q2004" s="211">
        <f>P2004*E2004</f>
        <v>56822142615</v>
      </c>
      <c r="R2004" s="195">
        <f>Q2004/L2004</f>
        <v>4.4573378267179162</v>
      </c>
      <c r="S2004" s="197">
        <f>(Q2004+K2004)/H2004</f>
        <v>12.265729189814815</v>
      </c>
      <c r="T2004" s="180">
        <v>302000000</v>
      </c>
      <c r="U2004" s="189">
        <f>IFERROR(IF(Tableau3[[#This Row],[Dettes]]=0,"",(Tableau3[[#This Row],[Dettes]]/Tableau3[[#This Row],[EBE]])),"")</f>
        <v>0.8280998389694042</v>
      </c>
      <c r="V2004" s="190">
        <f>IFERROR(Tableau3[[#This Row],[Fonds propres]]/Tableau3[[#This Row],[Total Bilan]],"")</f>
        <v>0.30222854433380747</v>
      </c>
      <c r="W2004" s="180">
        <v>42180000000</v>
      </c>
      <c r="X2004" s="191"/>
      <c r="Y2004" s="180">
        <v>95443</v>
      </c>
      <c r="Z2004" s="192">
        <f>IFERROR(Tableau3[[#This Row],[Chiffre d''affaires]]/Tableau3[[#This Row],[Salariés]],"")</f>
        <v>262963.23460075649</v>
      </c>
      <c r="AA2004" s="197"/>
      <c r="AB2004" s="197"/>
      <c r="AC2004" s="177" t="s">
        <v>1406</v>
      </c>
    </row>
    <row r="2005" spans="1:29" ht="20.25" customHeight="1">
      <c r="E2005" s="232"/>
      <c r="G2005" s="202">
        <f>(G2004/G2006)-1</f>
        <v>0.19230403800475049</v>
      </c>
      <c r="H2005" s="203">
        <f>(H2004/H2006)-1</f>
        <v>0.32621462893753339</v>
      </c>
      <c r="I2005" s="203">
        <f>(I2004/I2006)-1</f>
        <v>0.31808803301237965</v>
      </c>
      <c r="J2005" s="203">
        <f>(J2004/J2006)-1</f>
        <v>0.34528016153457841</v>
      </c>
      <c r="K2005" s="178"/>
      <c r="L2005" s="178"/>
      <c r="M2005" s="178"/>
      <c r="N2005" s="178"/>
      <c r="O2005" s="178"/>
      <c r="P2005" s="178"/>
      <c r="Q2005" s="178"/>
      <c r="R2005" s="195"/>
      <c r="S2005" s="178"/>
      <c r="T2005" s="180"/>
      <c r="U2005" s="189" t="str">
        <f>IFERROR(IF(Tableau3[[#This Row],[Dettes]]=0,"",(Tableau3[[#This Row],[Dettes]]/Tableau3[[#This Row],[EBE]])),"")</f>
        <v/>
      </c>
      <c r="V2005" s="190" t="str">
        <f>IFERROR(Tableau3[[#This Row],[Fonds propres]]/Tableau3[[#This Row],[Total Bilan]],"")</f>
        <v/>
      </c>
      <c r="W2005" s="180"/>
      <c r="Y2005" s="180"/>
      <c r="Z2005" s="192" t="str">
        <f>IFERROR(Tableau3[[#This Row],[Chiffre d''affaires]]/Tableau3[[#This Row],[Salariés]],"")</f>
        <v/>
      </c>
      <c r="AA2005" s="177"/>
      <c r="AC2005" s="177" t="s">
        <v>4890</v>
      </c>
    </row>
    <row r="2006" spans="1:29" ht="20.25" customHeight="1">
      <c r="A2006" s="217"/>
      <c r="E2006" s="187">
        <v>120.6</v>
      </c>
      <c r="F2006" s="178">
        <v>2018</v>
      </c>
      <c r="G2006" s="188">
        <v>21050000000</v>
      </c>
      <c r="H2006" s="188">
        <v>3746000000</v>
      </c>
      <c r="I2006" s="188">
        <v>2908000000</v>
      </c>
      <c r="J2006" s="188">
        <v>1981000000</v>
      </c>
      <c r="K2006" s="188">
        <v>3269000000</v>
      </c>
      <c r="L2006" s="188">
        <v>12301000000</v>
      </c>
      <c r="M2006" s="194">
        <f>L2006/P2006</f>
        <v>28.228326502147929</v>
      </c>
      <c r="N2006" s="190">
        <f>J2006/L2008</f>
        <v>0.18646460843373494</v>
      </c>
      <c r="O2006" s="190">
        <f>(I2006*0.73)/(K2008+L2008)</f>
        <v>0.1637235847601419</v>
      </c>
      <c r="P2006" s="188">
        <v>435767951</v>
      </c>
      <c r="Q2006" s="211">
        <f>P2006*E2006</f>
        <v>52553614890.599998</v>
      </c>
      <c r="R2006" s="195">
        <f>Q2006/L2006</f>
        <v>4.2723042753109501</v>
      </c>
      <c r="S2006" s="197">
        <f>(Q2006+K2006)/H2006</f>
        <v>14.901926025253603</v>
      </c>
      <c r="T2006" s="180">
        <v>-2584000000</v>
      </c>
      <c r="U2006" s="189">
        <f>IFERROR(IF(Tableau3[[#This Row],[Dettes]]=0,"",(Tableau3[[#This Row],[Dettes]]/Tableau3[[#This Row],[EBE]])),"")</f>
        <v>0.87266417512012817</v>
      </c>
      <c r="V2006" s="190">
        <f>IFERROR(Tableau3[[#This Row],[Fonds propres]]/Tableau3[[#This Row],[Total Bilan]],"")</f>
        <v>0.30283111767602167</v>
      </c>
      <c r="W2006" s="180">
        <v>40620000000</v>
      </c>
      <c r="X2006" s="191"/>
      <c r="Y2006" s="180">
        <v>92639</v>
      </c>
      <c r="Z2006" s="192">
        <f>IFERROR(Tableau3[[#This Row],[Chiffre d''affaires]]/Tableau3[[#This Row],[Salariés]],"")</f>
        <v>227226.1142715271</v>
      </c>
      <c r="AA2006" s="197"/>
      <c r="AB2006" s="197"/>
      <c r="AC2006" s="177" t="s">
        <v>4889</v>
      </c>
    </row>
    <row r="2007" spans="1:29" ht="20.25" customHeight="1">
      <c r="E2007" s="232"/>
      <c r="G2007" s="202">
        <f>(G2006/G2008)-1</f>
        <v>0.24262101534828817</v>
      </c>
      <c r="H2007" s="203">
        <f>(H2006/H2008)-1</f>
        <v>0.35185853482497298</v>
      </c>
      <c r="I2007" s="203">
        <f>(I2006/I2008)-1</f>
        <v>8.4669899291309303E-2</v>
      </c>
      <c r="J2007" s="203">
        <f>(J2006/J2008)-1</f>
        <v>-0.24475791078917275</v>
      </c>
      <c r="K2007" s="178"/>
      <c r="L2007" s="178"/>
      <c r="M2007" s="178"/>
      <c r="N2007" s="178"/>
      <c r="O2007" s="178"/>
      <c r="P2007" s="178"/>
      <c r="Q2007" s="178"/>
      <c r="R2007" s="195"/>
      <c r="S2007" s="178"/>
      <c r="T2007" s="180"/>
      <c r="U2007" s="189" t="str">
        <f>IFERROR(IF(Tableau3[[#This Row],[Dettes]]=0,"",(Tableau3[[#This Row],[Dettes]]/Tableau3[[#This Row],[EBE]])),"")</f>
        <v/>
      </c>
      <c r="V2007" s="190" t="str">
        <f>IFERROR(Tableau3[[#This Row],[Fonds propres]]/Tableau3[[#This Row],[Total Bilan]],"")</f>
        <v/>
      </c>
      <c r="W2007" s="180"/>
      <c r="Y2007" s="180"/>
      <c r="Z2007" s="192" t="str">
        <f>IFERROR(Tableau3[[#This Row],[Chiffre d''affaires]]/Tableau3[[#This Row],[Salariés]],"")</f>
        <v/>
      </c>
      <c r="AA2007" s="177"/>
      <c r="AC2007" s="177" t="s">
        <v>1409</v>
      </c>
    </row>
    <row r="2008" spans="1:29" ht="20.25" customHeight="1">
      <c r="E2008" s="187">
        <v>89.2</v>
      </c>
      <c r="F2008" s="178">
        <v>2017</v>
      </c>
      <c r="G2008" s="188">
        <v>16940000000</v>
      </c>
      <c r="H2008" s="188">
        <v>2771000000</v>
      </c>
      <c r="I2008" s="188">
        <v>2681000000</v>
      </c>
      <c r="J2008" s="188">
        <v>2623000000</v>
      </c>
      <c r="K2008" s="188">
        <v>2342000000</v>
      </c>
      <c r="L2008" s="188">
        <v>10624000000</v>
      </c>
      <c r="M2008" s="194">
        <f>L2008/P2008</f>
        <v>25.475410815278249</v>
      </c>
      <c r="N2008" s="190">
        <f>J2008/L2010</f>
        <v>0.38522543692172123</v>
      </c>
      <c r="O2008" s="190">
        <f>(I2008*0.73)/(K2010+L2010)</f>
        <v>0.23890747070312501</v>
      </c>
      <c r="P2008" s="188">
        <v>417029585</v>
      </c>
      <c r="Q2008" s="211">
        <f>P2008*E2008</f>
        <v>37199038982</v>
      </c>
      <c r="R2008" s="195">
        <f>Q2008/L2008</f>
        <v>3.5014155668298192</v>
      </c>
      <c r="S2008" s="197">
        <f>(Q2008+K2008)/H2008</f>
        <v>14.269591837603754</v>
      </c>
      <c r="T2008" s="180">
        <v>2808000000</v>
      </c>
      <c r="U2008" s="189">
        <f>IFERROR(IF(Tableau3[[#This Row],[Dettes]]=0,"",(Tableau3[[#This Row],[Dettes]]/Tableau3[[#This Row],[EBE]])),"")</f>
        <v>0.84518224467701186</v>
      </c>
      <c r="V2008" s="190">
        <f>IFERROR(Tableau3[[#This Row],[Fonds propres]]/Tableau3[[#This Row],[Total Bilan]],"")</f>
        <v>0.32810376775787525</v>
      </c>
      <c r="W2008" s="180">
        <v>32380000000</v>
      </c>
      <c r="X2008" s="191"/>
      <c r="Y2008" s="180">
        <v>58324</v>
      </c>
      <c r="Z2008" s="192">
        <f>IFERROR(Tableau3[[#This Row],[Chiffre d''affaires]]/Tableau3[[#This Row],[Salariés]],"")</f>
        <v>290446.47143542964</v>
      </c>
      <c r="AA2008" s="197"/>
      <c r="AB2008" s="197"/>
      <c r="AC2008" s="177" t="s">
        <v>1410</v>
      </c>
    </row>
    <row r="2009" spans="1:29" ht="20.25" customHeight="1">
      <c r="E2009" s="232"/>
      <c r="G2009" s="202">
        <f>(G2008/G2010)-1</f>
        <v>7.3442747607882941E-2</v>
      </c>
      <c r="H2009" s="203">
        <f>(H2008/H2010)-1</f>
        <v>-7.3244147157190631E-2</v>
      </c>
      <c r="I2009" s="203">
        <f>(I2008/I2010)-1</f>
        <v>-0.1970649895178197</v>
      </c>
      <c r="J2009" s="203">
        <f>(J2008/J2010)-1</f>
        <v>0.45399113082039921</v>
      </c>
      <c r="K2009" s="188"/>
      <c r="L2009" s="188"/>
      <c r="M2009" s="178"/>
      <c r="N2009" s="178"/>
      <c r="O2009" s="178"/>
      <c r="P2009" s="188"/>
      <c r="Q2009" s="178"/>
      <c r="R2009" s="195"/>
      <c r="S2009" s="178"/>
      <c r="T2009" s="180"/>
      <c r="U2009" s="189" t="str">
        <f>IFERROR(IF(Tableau3[[#This Row],[Dettes]]=0,"",(Tableau3[[#This Row],[Dettes]]/Tableau3[[#This Row],[EBE]])),"")</f>
        <v/>
      </c>
      <c r="V2009" s="190" t="str">
        <f>IFERROR(Tableau3[[#This Row],[Fonds propres]]/Tableau3[[#This Row],[Total Bilan]],"")</f>
        <v/>
      </c>
      <c r="W2009" s="180"/>
      <c r="Y2009" s="180"/>
      <c r="Z2009" s="192" t="str">
        <f>IFERROR(Tableau3[[#This Row],[Chiffre d''affaires]]/Tableau3[[#This Row],[Salariés]],"")</f>
        <v/>
      </c>
      <c r="AA2009" s="177"/>
      <c r="AC2009" s="177" t="s">
        <v>4886</v>
      </c>
    </row>
    <row r="2010" spans="1:29" ht="20.25" customHeight="1">
      <c r="E2010" s="187">
        <v>67.7</v>
      </c>
      <c r="F2010" s="178">
        <v>2016</v>
      </c>
      <c r="G2010" s="188">
        <v>15781000000</v>
      </c>
      <c r="H2010" s="188">
        <v>2990000000</v>
      </c>
      <c r="I2010" s="188">
        <v>3339000000</v>
      </c>
      <c r="J2010" s="188">
        <v>1804000000</v>
      </c>
      <c r="K2010" s="188">
        <v>1383000000</v>
      </c>
      <c r="L2010" s="188">
        <v>6809000000</v>
      </c>
      <c r="M2010" s="194">
        <f>L2010/P2010</f>
        <v>16.327378787766339</v>
      </c>
      <c r="N2010" s="190">
        <f>J2010/L2012</f>
        <v>0.30612591209910062</v>
      </c>
      <c r="O2010" s="190">
        <f>(I2010*0.73)/(K2012+L2012)</f>
        <v>0.36703357928022889</v>
      </c>
      <c r="P2010" s="188">
        <v>417029585</v>
      </c>
      <c r="Q2010" s="211">
        <f>P2010*E2010</f>
        <v>28232902904.5</v>
      </c>
      <c r="R2010" s="195">
        <f>Q2010/L2010</f>
        <v>4.1464095909090908</v>
      </c>
      <c r="S2010" s="197">
        <f>(Q2010+K2010)/H2010</f>
        <v>9.9049842489966551</v>
      </c>
      <c r="T2010" s="180">
        <v>261000000</v>
      </c>
      <c r="U2010" s="189">
        <f>IFERROR(IF(Tableau3[[#This Row],[Dettes]]=0,"",(Tableau3[[#This Row],[Dettes]]/Tableau3[[#This Row],[EBE]])),"")</f>
        <v>0.46254180602006689</v>
      </c>
      <c r="V2010" s="190" t="str">
        <f>IFERROR(Tableau3[[#This Row],[Fonds propres]]/Tableau3[[#This Row],[Total Bilan]],"")</f>
        <v/>
      </c>
      <c r="W2010" s="180"/>
      <c r="X2010" s="191"/>
      <c r="Y2010" s="180">
        <v>66490</v>
      </c>
      <c r="Z2010" s="192">
        <f>IFERROR(Tableau3[[#This Row],[Chiffre d''affaires]]/Tableau3[[#This Row],[Salariés]],"")</f>
        <v>237343.96149796961</v>
      </c>
      <c r="AA2010" s="197"/>
      <c r="AB2010" s="197"/>
      <c r="AC2010" s="177" t="s">
        <v>1411</v>
      </c>
    </row>
    <row r="2011" spans="1:29" ht="20.25" customHeight="1">
      <c r="E2011" s="232"/>
      <c r="G2011" s="202">
        <f>(G2010/G2012)-1</f>
        <v>-9.3775123463879617E-2</v>
      </c>
      <c r="H2011" s="203">
        <f>(H2010/H2012)-1</f>
        <v>4.7652417659425295E-2</v>
      </c>
      <c r="I2011" s="203">
        <f>(I2010/I2012)-1</f>
        <v>0.60838150289017334</v>
      </c>
      <c r="J2011" s="203">
        <f>(J2010/J2012)-1</f>
        <v>0.21727395411605932</v>
      </c>
      <c r="K2011" s="188"/>
      <c r="L2011" s="188"/>
      <c r="M2011" s="178"/>
      <c r="N2011" s="178"/>
      <c r="O2011" s="178"/>
      <c r="P2011" s="188"/>
      <c r="Q2011" s="178"/>
      <c r="R2011" s="178"/>
      <c r="S2011" s="178"/>
      <c r="T2011" s="180"/>
      <c r="U2011" s="189" t="str">
        <f>IFERROR(IF(Tableau3[[#This Row],[Dettes]]=0,"",(Tableau3[[#This Row],[Dettes]]/Tableau3[[#This Row],[EBE]])),"")</f>
        <v/>
      </c>
      <c r="V2011" s="190" t="str">
        <f>IFERROR(Tableau3[[#This Row],[Fonds propres]]/Tableau3[[#This Row],[Total Bilan]],"")</f>
        <v/>
      </c>
      <c r="W2011" s="180"/>
      <c r="Y2011" s="180"/>
      <c r="Z2011" s="192" t="str">
        <f>IFERROR(Tableau3[[#This Row],[Chiffre d''affaires]]/Tableau3[[#This Row],[Salariés]],"")</f>
        <v/>
      </c>
      <c r="AA2011" s="177"/>
      <c r="AC2011" s="177" t="s">
        <v>1412</v>
      </c>
    </row>
    <row r="2012" spans="1:29" ht="20.25" customHeight="1">
      <c r="E2012" s="187">
        <v>63.75</v>
      </c>
      <c r="F2012" s="178">
        <v>2015</v>
      </c>
      <c r="G2012" s="188">
        <v>17414000000</v>
      </c>
      <c r="H2012" s="188">
        <v>2854000000</v>
      </c>
      <c r="I2012" s="188">
        <v>2076000000</v>
      </c>
      <c r="J2012" s="188">
        <v>1482000000</v>
      </c>
      <c r="K2012" s="188">
        <v>748000000</v>
      </c>
      <c r="L2012" s="188">
        <v>5893000000</v>
      </c>
      <c r="M2012" s="194">
        <f>L2012/P2012</f>
        <v>14.130891936599655</v>
      </c>
      <c r="N2012" s="190">
        <f>J2012/L2014</f>
        <v>0.22877431305958629</v>
      </c>
      <c r="O2012" s="190">
        <f>(I2012*0.73)/(K2014+L2014)</f>
        <v>0.18988597920060143</v>
      </c>
      <c r="P2012" s="188">
        <v>417029585</v>
      </c>
      <c r="Q2012" s="211">
        <f>P2012*E2012</f>
        <v>26585636043.75</v>
      </c>
      <c r="R2012" s="195">
        <f>Q2012/L2012</f>
        <v>4.5113925069998304</v>
      </c>
      <c r="S2012" s="197">
        <f>(Q2012+K2012)/H2012</f>
        <v>9.5773076537316051</v>
      </c>
      <c r="T2012" s="180">
        <v>212000000</v>
      </c>
      <c r="U2012" s="189">
        <f>IFERROR(IF(Tableau3[[#This Row],[Dettes]]=0,"",(Tableau3[[#This Row],[Dettes]]/Tableau3[[#This Row],[EBE]])),"")</f>
        <v>0.26208829712683951</v>
      </c>
      <c r="V2012" s="190" t="str">
        <f>IFERROR(Tableau3[[#This Row],[Fonds propres]]/Tableau3[[#This Row],[Total Bilan]],"")</f>
        <v/>
      </c>
      <c r="W2012" s="180"/>
      <c r="X2012" s="191"/>
      <c r="Y2012" s="180">
        <v>70087</v>
      </c>
      <c r="Z2012" s="192">
        <f>IFERROR(Tableau3[[#This Row],[Chiffre d''affaires]]/Tableau3[[#This Row],[Salariés]],"")</f>
        <v>248462.62502318548</v>
      </c>
      <c r="AA2012" s="197"/>
      <c r="AB2012" s="197"/>
      <c r="AC2012" s="177" t="s">
        <v>4521</v>
      </c>
    </row>
    <row r="2013" spans="1:29" ht="20.25" customHeight="1">
      <c r="E2013" s="232"/>
      <c r="G2013" s="202">
        <f>(G2012/G2014)-1</f>
        <v>0.15753788885934594</v>
      </c>
      <c r="H2013" s="203">
        <f>(H2012/H2014)-1</f>
        <v>0.90266666666666673</v>
      </c>
      <c r="I2013" s="203">
        <f>(I2012/I2014)-1</f>
        <v>0.4903086862885857</v>
      </c>
      <c r="J2013" s="203">
        <f>(J2012/J2014)-1</f>
        <v>0.1875</v>
      </c>
      <c r="K2013" s="188"/>
      <c r="L2013" s="188"/>
      <c r="M2013" s="178"/>
      <c r="N2013" s="178"/>
      <c r="O2013" s="178"/>
      <c r="P2013" s="188"/>
      <c r="Q2013" s="178"/>
      <c r="R2013" s="195"/>
      <c r="S2013" s="178"/>
      <c r="T2013" s="180"/>
      <c r="U2013" s="189" t="str">
        <f>IFERROR(IF(Tableau3[[#This Row],[Dettes]]=0,"",(Tableau3[[#This Row],[Dettes]]/Tableau3[[#This Row],[EBE]])),"")</f>
        <v/>
      </c>
      <c r="V2013" s="190" t="str">
        <f>IFERROR(Tableau3[[#This Row],[Fonds propres]]/Tableau3[[#This Row],[Total Bilan]],"")</f>
        <v/>
      </c>
      <c r="W2013" s="180"/>
      <c r="Y2013" s="180"/>
      <c r="Z2013" s="192" t="str">
        <f>IFERROR(Tableau3[[#This Row],[Chiffre d''affaires]]/Tableau3[[#This Row],[Salariés]],"")</f>
        <v/>
      </c>
      <c r="AA2013" s="177"/>
      <c r="AC2013" s="177" t="s">
        <v>4522</v>
      </c>
    </row>
    <row r="2014" spans="1:29" ht="20.25" customHeight="1">
      <c r="E2014" s="187">
        <v>50.91</v>
      </c>
      <c r="F2014" s="178">
        <v>2014</v>
      </c>
      <c r="G2014" s="188">
        <v>15044000000</v>
      </c>
      <c r="H2014" s="188">
        <v>1500000000</v>
      </c>
      <c r="I2014" s="188">
        <v>1393000000</v>
      </c>
      <c r="J2014" s="188">
        <v>1248000000</v>
      </c>
      <c r="K2014" s="188">
        <v>1503000000</v>
      </c>
      <c r="L2014" s="188">
        <v>6478000000</v>
      </c>
      <c r="M2014" s="194">
        <f>L2014/P2014</f>
        <v>15.533670111198466</v>
      </c>
      <c r="N2014" s="190">
        <f>J2014/L2016</f>
        <v>0.18317921620431529</v>
      </c>
      <c r="O2014" s="190">
        <f>(I2014*0.73)/(K2016+L2016)</f>
        <v>0.1286876740065806</v>
      </c>
      <c r="P2014" s="188">
        <v>417029585</v>
      </c>
      <c r="Q2014" s="211">
        <f>P2014*E2014</f>
        <v>21230976172.349998</v>
      </c>
      <c r="R2014" s="195">
        <f>Q2014/L2014</f>
        <v>3.2773967539904287</v>
      </c>
      <c r="S2014" s="197">
        <f>(Q2014+K2014)/H2014</f>
        <v>15.155984114899999</v>
      </c>
      <c r="T2014" s="180">
        <v>86000000</v>
      </c>
      <c r="U2014" s="189">
        <f>IFERROR(IF(Tableau3[[#This Row],[Dettes]]=0,"",(Tableau3[[#This Row],[Dettes]]/Tableau3[[#This Row],[EBE]])),"")</f>
        <v>1.002</v>
      </c>
      <c r="V2014" s="190" t="str">
        <f>IFERROR(Tableau3[[#This Row],[Fonds propres]]/Tableau3[[#This Row],[Total Bilan]],"")</f>
        <v/>
      </c>
      <c r="W2014" s="180"/>
      <c r="X2014" s="191"/>
      <c r="Y2014" s="180">
        <v>68945</v>
      </c>
      <c r="Z2014" s="192">
        <f>IFERROR(Tableau3[[#This Row],[Chiffre d''affaires]]/Tableau3[[#This Row],[Salariés]],"")</f>
        <v>218202.91536732178</v>
      </c>
      <c r="AA2014" s="197"/>
      <c r="AB2014" s="197"/>
      <c r="AC2014" s="177" t="s">
        <v>4520</v>
      </c>
    </row>
    <row r="2015" spans="1:29" ht="20.25" customHeight="1">
      <c r="E2015" s="232"/>
      <c r="G2015" s="202">
        <f>(G2014/G2016)-1</f>
        <v>3.8233264320220783E-2</v>
      </c>
      <c r="H2015" s="203">
        <f>(H2014/H2016)-1</f>
        <v>0.15830115830115821</v>
      </c>
      <c r="I2015" s="203">
        <f>(I2014/I2016)-1</f>
        <v>-5.8783783783783794E-2</v>
      </c>
      <c r="J2015" s="203">
        <f>(J2014/J2016)-1</f>
        <v>-0.11802120141342753</v>
      </c>
      <c r="K2015" s="188"/>
      <c r="L2015" s="188"/>
      <c r="M2015" s="178"/>
      <c r="N2015" s="178"/>
      <c r="O2015" s="178"/>
      <c r="P2015" s="178"/>
      <c r="Q2015" s="178"/>
      <c r="R2015" s="195"/>
      <c r="S2015" s="178"/>
      <c r="T2015" s="180"/>
      <c r="U2015" s="189" t="str">
        <f>IFERROR(IF(Tableau3[[#This Row],[Dettes]]=0,"",(Tableau3[[#This Row],[Dettes]]/Tableau3[[#This Row],[EBE]])),"")</f>
        <v/>
      </c>
      <c r="V2015" s="190" t="str">
        <f>IFERROR(Tableau3[[#This Row],[Fonds propres]]/Tableau3[[#This Row],[Total Bilan]],"")</f>
        <v/>
      </c>
      <c r="W2015" s="180"/>
      <c r="Y2015" s="180"/>
      <c r="Z2015" s="192" t="str">
        <f>IFERROR(Tableau3[[#This Row],[Chiffre d''affaires]]/Tableau3[[#This Row],[Salariés]],"")</f>
        <v/>
      </c>
      <c r="AA2015" s="177"/>
      <c r="AC2015" s="177" t="s">
        <v>4887</v>
      </c>
    </row>
    <row r="2016" spans="1:29" ht="20.25" customHeight="1">
      <c r="E2016" s="187">
        <v>51.2</v>
      </c>
      <c r="F2016" s="178">
        <v>2013</v>
      </c>
      <c r="G2016" s="188">
        <v>14490000000</v>
      </c>
      <c r="H2016" s="188">
        <v>1295000000</v>
      </c>
      <c r="I2016" s="188">
        <v>1480000000</v>
      </c>
      <c r="J2016" s="188">
        <v>1415000000</v>
      </c>
      <c r="K2016" s="188">
        <v>1089000000</v>
      </c>
      <c r="L2016" s="188">
        <v>6813000000</v>
      </c>
      <c r="M2016" s="194">
        <f>L2016/P2016</f>
        <v>16.336970433404623</v>
      </c>
      <c r="N2016" s="190">
        <f>J2016/L2018</f>
        <v>0.23595130898782724</v>
      </c>
      <c r="O2016" s="190">
        <f>(I2016*0.73)/(K2018+L2018)</f>
        <v>0.15592437581180546</v>
      </c>
      <c r="P2016" s="188">
        <v>417029585</v>
      </c>
      <c r="Q2016" s="211">
        <f>P2016*E2016</f>
        <v>21351914752</v>
      </c>
      <c r="R2016" s="195">
        <f>Q2016/L2016</f>
        <v>3.1339960005871128</v>
      </c>
      <c r="S2016" s="197">
        <f>(Q2016+K2016)/H2016</f>
        <v>17.328891700386102</v>
      </c>
      <c r="T2016" s="180"/>
      <c r="U2016" s="189">
        <f>IFERROR(IF(Tableau3[[#This Row],[Dettes]]=0,"",(Tableau3[[#This Row],[Dettes]]/Tableau3[[#This Row],[EBE]])),"")</f>
        <v>0.84092664092664093</v>
      </c>
      <c r="V2016" s="190" t="str">
        <f>IFERROR(Tableau3[[#This Row],[Fonds propres]]/Tableau3[[#This Row],[Total Bilan]],"")</f>
        <v/>
      </c>
      <c r="W2016" s="180"/>
      <c r="Y2016" s="180">
        <v>66289</v>
      </c>
      <c r="Z2016" s="192">
        <f>IFERROR(Tableau3[[#This Row],[Chiffre d''affaires]]/Tableau3[[#This Row],[Salariés]],"")</f>
        <v>218588.30273499375</v>
      </c>
      <c r="AA2016" s="177"/>
      <c r="AC2016" s="177" t="s">
        <v>4888</v>
      </c>
    </row>
    <row r="2017" spans="1:29" ht="20.25" customHeight="1">
      <c r="E2017" s="232"/>
      <c r="G2017" s="202">
        <f>(G2016/G2018)-1</f>
        <v>6.4267352185090054E-2</v>
      </c>
      <c r="H2017" s="203">
        <f>(H2016/H2018)-1</f>
        <v>1.9685039370078705E-2</v>
      </c>
      <c r="I2017" s="203">
        <f>(I2016/I2018)-1</f>
        <v>0.21911037891268537</v>
      </c>
      <c r="J2017" s="203">
        <f>(J2016/J2018)-1</f>
        <v>6.7119155354449456E-2</v>
      </c>
      <c r="K2017" s="188"/>
      <c r="L2017" s="188"/>
      <c r="M2017" s="178"/>
      <c r="N2017" s="178"/>
      <c r="O2017" s="178"/>
      <c r="P2017" s="178"/>
      <c r="Q2017" s="178"/>
      <c r="R2017" s="195"/>
      <c r="S2017" s="178"/>
      <c r="T2017" s="180"/>
      <c r="U2017" s="189" t="str">
        <f>IFERROR(IF(Tableau3[[#This Row],[Dettes]]=0,"",(Tableau3[[#This Row],[Dettes]]/Tableau3[[#This Row],[EBE]])),"")</f>
        <v/>
      </c>
      <c r="V2017" s="190" t="str">
        <f>IFERROR(Tableau3[[#This Row],[Fonds propres]]/Tableau3[[#This Row],[Total Bilan]],"")</f>
        <v/>
      </c>
      <c r="W2017" s="180"/>
      <c r="Y2017" s="180"/>
      <c r="Z2017" s="192" t="str">
        <f>IFERROR(Tableau3[[#This Row],[Chiffre d''affaires]]/Tableau3[[#This Row],[Salariés]],"")</f>
        <v/>
      </c>
      <c r="AA2017" s="177"/>
      <c r="AC2017" s="177" t="s">
        <v>4891</v>
      </c>
    </row>
    <row r="2018" spans="1:29" ht="20.25" customHeight="1">
      <c r="E2018" s="187">
        <v>32.479999999999997</v>
      </c>
      <c r="F2018" s="178">
        <v>2012</v>
      </c>
      <c r="G2018" s="188">
        <v>13615000000</v>
      </c>
      <c r="H2018" s="188">
        <v>1270000000</v>
      </c>
      <c r="I2018" s="188">
        <v>1214000000</v>
      </c>
      <c r="J2018" s="188">
        <v>1326000000</v>
      </c>
      <c r="K2018" s="188">
        <v>932000000</v>
      </c>
      <c r="L2018" s="188">
        <v>5997000000</v>
      </c>
      <c r="M2018" s="194">
        <f>L2018/P2018</f>
        <v>14.380274723194999</v>
      </c>
      <c r="N2018" s="190">
        <f>J2018/L2018</f>
        <v>0.22111055527763882</v>
      </c>
      <c r="O2018" s="190">
        <f>(I2018*0.73)/(Tableau3[[#This Row],[Dettes]]+Tableau3[[#This Row],[Fonds propres]])</f>
        <v>0.12790012988887287</v>
      </c>
      <c r="P2018" s="188">
        <v>417029585</v>
      </c>
      <c r="Q2018" s="211">
        <f>P2018*E2018</f>
        <v>13545120920.799999</v>
      </c>
      <c r="R2018" s="195">
        <f>Q2018/L2018</f>
        <v>2.2586494782057693</v>
      </c>
      <c r="S2018" s="197">
        <f>(Q2018+K2018)/H2018</f>
        <v>11.399307811653543</v>
      </c>
      <c r="T2018" s="180"/>
      <c r="U2018" s="189">
        <f>IFERROR(IF(Tableau3[[#This Row],[Dettes]]=0,"",(Tableau3[[#This Row],[Dettes]]/Tableau3[[#This Row],[EBE]])),"")</f>
        <v>0.7338582677165354</v>
      </c>
      <c r="V2018" s="190" t="str">
        <f>IFERROR(Tableau3[[#This Row],[Fonds propres]]/Tableau3[[#This Row],[Total Bilan]],"")</f>
        <v/>
      </c>
      <c r="W2018" s="180"/>
      <c r="Y2018" s="180"/>
      <c r="Z2018" s="192" t="str">
        <f>IFERROR(Tableau3[[#This Row],[Chiffre d''affaires]]/Tableau3[[#This Row],[Salariés]],"")</f>
        <v/>
      </c>
      <c r="AA2018" s="177"/>
      <c r="AC2018" s="177" t="s">
        <v>4892</v>
      </c>
    </row>
    <row r="2019" spans="1:29" ht="20.25" customHeight="1">
      <c r="E2019" s="232"/>
      <c r="G2019" s="202"/>
      <c r="H2019" s="203"/>
      <c r="I2019" s="203"/>
      <c r="J2019" s="203"/>
      <c r="K2019" s="188"/>
      <c r="L2019" s="188"/>
      <c r="M2019" s="178"/>
      <c r="N2019" s="178"/>
      <c r="O2019" s="178"/>
      <c r="P2019" s="178"/>
      <c r="Q2019" s="178"/>
      <c r="R2019" s="195"/>
      <c r="S2019" s="178"/>
      <c r="T2019" s="180"/>
      <c r="U2019" s="189" t="str">
        <f>IFERROR(IF(Tableau3[[#This Row],[Dettes]]=0,"",(Tableau3[[#This Row],[Dettes]]/Tableau3[[#This Row],[EBE]])),"")</f>
        <v/>
      </c>
      <c r="V2019" s="190" t="str">
        <f>IFERROR(Tableau3[[#This Row],[Fonds propres]]/Tableau3[[#This Row],[Total Bilan]],"")</f>
        <v/>
      </c>
      <c r="W2019" s="180"/>
      <c r="Y2019" s="180"/>
      <c r="Z2019" s="192" t="str">
        <f>IFERROR(Tableau3[[#This Row],[Chiffre d''affaires]]/Tableau3[[#This Row],[Salariés]],"")</f>
        <v/>
      </c>
      <c r="AA2019" s="177"/>
      <c r="AC2019" s="177" t="s">
        <v>4519</v>
      </c>
    </row>
    <row r="2020" spans="1:29" ht="20.25" customHeight="1">
      <c r="E2020" s="232"/>
      <c r="G2020" s="202"/>
      <c r="H2020" s="203"/>
      <c r="I2020" s="203"/>
      <c r="J2020" s="203"/>
      <c r="K2020" s="188"/>
      <c r="L2020" s="188"/>
      <c r="M2020" s="178"/>
      <c r="N2020" s="178"/>
      <c r="O2020" s="178"/>
      <c r="P2020" s="178"/>
      <c r="Q2020" s="178"/>
      <c r="R2020" s="195"/>
      <c r="S2020" s="178"/>
      <c r="T2020" s="180"/>
      <c r="U2020" s="189" t="str">
        <f>IFERROR(IF(Tableau3[[#This Row],[Dettes]]=0,"",(Tableau3[[#This Row],[Dettes]]/Tableau3[[#This Row],[EBE]])),"")</f>
        <v/>
      </c>
      <c r="V2020" s="190" t="str">
        <f>IFERROR(Tableau3[[#This Row],[Fonds propres]]/Tableau3[[#This Row],[Total Bilan]],"")</f>
        <v/>
      </c>
      <c r="W2020" s="180"/>
      <c r="Y2020" s="180"/>
      <c r="Z2020" s="192" t="str">
        <f>IFERROR(Tableau3[[#This Row],[Chiffre d''affaires]]/Tableau3[[#This Row],[Salariés]],"")</f>
        <v/>
      </c>
      <c r="AA2020" s="177"/>
      <c r="AC2020" s="177" t="s">
        <v>1413</v>
      </c>
    </row>
    <row r="2021" spans="1:29" ht="20.25" customHeight="1">
      <c r="E2021" s="232"/>
      <c r="G2021" s="202"/>
      <c r="H2021" s="203"/>
      <c r="I2021" s="203"/>
      <c r="J2021" s="203"/>
      <c r="K2021" s="188"/>
      <c r="L2021" s="188"/>
      <c r="M2021" s="178"/>
      <c r="N2021" s="178"/>
      <c r="O2021" s="178"/>
      <c r="P2021" s="178"/>
      <c r="Q2021" s="178"/>
      <c r="R2021" s="195"/>
      <c r="S2021" s="178"/>
      <c r="T2021" s="180"/>
      <c r="U2021" s="189" t="str">
        <f>IFERROR(IF(Tableau3[[#This Row],[Dettes]]=0,"",(Tableau3[[#This Row],[Dettes]]/Tableau3[[#This Row],[EBE]])),"")</f>
        <v/>
      </c>
      <c r="V2021" s="190" t="str">
        <f>IFERROR(Tableau3[[#This Row],[Fonds propres]]/Tableau3[[#This Row],[Total Bilan]],"")</f>
        <v/>
      </c>
      <c r="W2021" s="180"/>
      <c r="Y2021" s="180"/>
      <c r="Z2021" s="192" t="str">
        <f>IFERROR(Tableau3[[#This Row],[Chiffre d''affaires]]/Tableau3[[#This Row],[Salariés]],"")</f>
        <v/>
      </c>
      <c r="AA2021" s="177"/>
      <c r="AC2021" s="177" t="s">
        <v>4881</v>
      </c>
    </row>
    <row r="2022" spans="1:29" ht="20.25" customHeight="1">
      <c r="G2022" s="188"/>
      <c r="H2022" s="178"/>
      <c r="I2022" s="178"/>
      <c r="J2022" s="178"/>
      <c r="K2022" s="178"/>
      <c r="L2022" s="178"/>
      <c r="M2022" s="178"/>
      <c r="N2022" s="178"/>
      <c r="O2022" s="178"/>
      <c r="P2022" s="178"/>
      <c r="Q2022" s="178"/>
      <c r="R2022" s="178"/>
      <c r="S2022" s="178"/>
      <c r="T2022" s="180"/>
      <c r="U2022" s="189" t="str">
        <f>IFERROR(IF(Tableau3[[#This Row],[Dettes]]=0,"",(Tableau3[[#This Row],[Dettes]]/Tableau3[[#This Row],[EBE]])),"")</f>
        <v/>
      </c>
      <c r="V2022" s="190" t="str">
        <f>IFERROR(Tableau3[[#This Row],[Fonds propres]]/Tableau3[[#This Row],[Total Bilan]],"")</f>
        <v/>
      </c>
      <c r="W2022" s="180"/>
      <c r="X2022" s="191"/>
      <c r="Y2022" s="180"/>
      <c r="Z2022" s="192" t="str">
        <f>IFERROR(Tableau3[[#This Row],[Chiffre d''affaires]]/Tableau3[[#This Row],[Salariés]],"")</f>
        <v/>
      </c>
      <c r="AA2022" s="197"/>
      <c r="AB2022" s="197"/>
      <c r="AC2022" s="177" t="s">
        <v>1414</v>
      </c>
    </row>
    <row r="2023" spans="1:29" ht="20.25" customHeight="1">
      <c r="A2023" s="217"/>
      <c r="G2023" s="188"/>
      <c r="H2023" s="178"/>
      <c r="I2023" s="178"/>
      <c r="J2023" s="178"/>
      <c r="K2023" s="178"/>
      <c r="L2023" s="178"/>
      <c r="M2023" s="178"/>
      <c r="N2023" s="178"/>
      <c r="O2023" s="178"/>
      <c r="P2023" s="178"/>
      <c r="Q2023" s="178"/>
      <c r="R2023" s="178"/>
      <c r="S2023" s="178"/>
      <c r="T2023" s="180"/>
      <c r="U2023" s="189" t="str">
        <f>IFERROR(IF(Tableau3[[#This Row],[Dettes]]=0,"",(Tableau3[[#This Row],[Dettes]]/Tableau3[[#This Row],[EBE]])),"")</f>
        <v/>
      </c>
      <c r="V2023" s="190" t="str">
        <f>IFERROR(Tableau3[[#This Row],[Fonds propres]]/Tableau3[[#This Row],[Total Bilan]],"")</f>
        <v/>
      </c>
      <c r="W2023" s="180"/>
      <c r="X2023" s="191"/>
      <c r="Y2023" s="180"/>
      <c r="Z2023" s="192" t="str">
        <f>IFERROR(Tableau3[[#This Row],[Chiffre d''affaires]]/Tableau3[[#This Row],[Salariés]],"")</f>
        <v/>
      </c>
      <c r="AA2023" s="197"/>
      <c r="AB2023" s="197"/>
      <c r="AC2023" s="177" t="s">
        <v>4893</v>
      </c>
    </row>
    <row r="2024" spans="1:29" ht="20.25" customHeight="1">
      <c r="E2024" s="187"/>
      <c r="G2024" s="188"/>
      <c r="H2024" s="188"/>
      <c r="I2024" s="188"/>
      <c r="J2024" s="188"/>
      <c r="K2024" s="188"/>
      <c r="L2024" s="188"/>
      <c r="M2024" s="194"/>
      <c r="N2024" s="190"/>
      <c r="O2024" s="190"/>
      <c r="P2024" s="188"/>
      <c r="Q2024" s="211"/>
      <c r="R2024" s="195"/>
      <c r="S2024" s="197"/>
      <c r="T2024" s="180"/>
      <c r="U2024" s="189" t="str">
        <f>IFERROR(IF(Tableau3[[#This Row],[Dettes]]=0,"",(Tableau3[[#This Row],[Dettes]]/Tableau3[[#This Row],[EBE]])),"")</f>
        <v/>
      </c>
      <c r="V2024" s="190" t="str">
        <f>IFERROR(Tableau3[[#This Row],[Fonds propres]]/Tableau3[[#This Row],[Total Bilan]],"")</f>
        <v/>
      </c>
      <c r="W2024" s="180"/>
      <c r="X2024" s="191"/>
      <c r="Y2024" s="180"/>
      <c r="Z2024" s="192" t="str">
        <f>IFERROR(Tableau3[[#This Row],[Chiffre d''affaires]]/Tableau3[[#This Row],[Salariés]],"")</f>
        <v/>
      </c>
      <c r="AA2024" s="197"/>
      <c r="AB2024" s="197"/>
    </row>
    <row r="2025" spans="1:29" ht="20.25" customHeight="1">
      <c r="E2025" s="234"/>
      <c r="G2025" s="188"/>
      <c r="H2025" s="188"/>
      <c r="I2025" s="178"/>
      <c r="J2025" s="188"/>
      <c r="K2025" s="188"/>
      <c r="L2025" s="188"/>
      <c r="M2025" s="178"/>
      <c r="N2025" s="178"/>
      <c r="O2025" s="178"/>
      <c r="P2025" s="178"/>
      <c r="Q2025" s="178"/>
      <c r="R2025" s="195"/>
      <c r="S2025" s="178"/>
      <c r="T2025" s="180"/>
      <c r="U2025" s="189" t="str">
        <f>IFERROR(IF(Tableau3[[#This Row],[Dettes]]=0,"",(Tableau3[[#This Row],[Dettes]]/Tableau3[[#This Row],[EBE]])),"")</f>
        <v/>
      </c>
      <c r="V2025" s="190" t="str">
        <f>IFERROR(Tableau3[[#This Row],[Fonds propres]]/Tableau3[[#This Row],[Total Bilan]],"")</f>
        <v/>
      </c>
      <c r="W2025" s="180"/>
      <c r="Y2025" s="180"/>
      <c r="Z2025" s="192" t="str">
        <f>IFERROR(Tableau3[[#This Row],[Chiffre d''affaires]]/Tableau3[[#This Row],[Salariés]],"")</f>
        <v/>
      </c>
      <c r="AA2025" s="177"/>
    </row>
    <row r="2026" spans="1:29" ht="20.25" customHeight="1">
      <c r="A2026" s="217" t="s">
        <v>1415</v>
      </c>
      <c r="B2026" s="216" t="s">
        <v>1395</v>
      </c>
      <c r="C2026" s="178" t="s">
        <v>84</v>
      </c>
      <c r="D2026" s="178" t="s">
        <v>85</v>
      </c>
      <c r="E2026" s="234"/>
      <c r="F2026" s="178">
        <v>2025</v>
      </c>
      <c r="G2026" s="188">
        <v>75000000000</v>
      </c>
      <c r="H2026" s="188"/>
      <c r="I2026" s="188">
        <v>7000000000</v>
      </c>
      <c r="J2026" s="188"/>
      <c r="K2026" s="188"/>
      <c r="L2026" s="188"/>
      <c r="M2026" s="178"/>
      <c r="N2026" s="178"/>
      <c r="O2026" s="178"/>
      <c r="P2026" s="178"/>
      <c r="Q2026" s="178"/>
      <c r="R2026" s="195"/>
      <c r="S2026" s="178"/>
      <c r="T2026" s="180">
        <v>4500000000</v>
      </c>
      <c r="U2026" s="189" t="str">
        <f>IFERROR(IF(Tableau3[[#This Row],[Dettes]]=0,"",(Tableau3[[#This Row],[Dettes]]/Tableau3[[#This Row],[EBE]])),"")</f>
        <v/>
      </c>
      <c r="V2026" s="190" t="str">
        <f>IFERROR(Tableau3[[#This Row],[Fonds propres]]/Tableau3[[#This Row],[Total Bilan]],"")</f>
        <v/>
      </c>
      <c r="W2026" s="180"/>
      <c r="X2026" s="182" t="s">
        <v>5153</v>
      </c>
      <c r="Y2026" s="180"/>
      <c r="Z2026" s="192" t="str">
        <f>IFERROR(Tableau3[[#This Row],[Chiffre d''affaires]]/Tableau3[[#This Row],[Salariés]],"")</f>
        <v/>
      </c>
      <c r="AA2026" s="177"/>
      <c r="AC2026" s="177" t="s">
        <v>1416</v>
      </c>
    </row>
    <row r="2027" spans="1:29" ht="20.25" customHeight="1">
      <c r="E2027" s="234"/>
      <c r="G2027" s="188"/>
      <c r="H2027" s="188"/>
      <c r="I2027" s="178"/>
      <c r="J2027" s="188"/>
      <c r="K2027" s="188"/>
      <c r="L2027" s="188"/>
      <c r="M2027" s="178"/>
      <c r="N2027" s="178"/>
      <c r="O2027" s="178"/>
      <c r="P2027" s="178"/>
      <c r="Q2027" s="178"/>
      <c r="R2027" s="195"/>
      <c r="S2027" s="178"/>
      <c r="T2027" s="180"/>
      <c r="U2027" s="189" t="str">
        <f>IFERROR(IF(Tableau3[[#This Row],[Dettes]]=0,"",(Tableau3[[#This Row],[Dettes]]/Tableau3[[#This Row],[EBE]])),"")</f>
        <v/>
      </c>
      <c r="V2027" s="190" t="str">
        <f>IFERROR(Tableau3[[#This Row],[Fonds propres]]/Tableau3[[#This Row],[Total Bilan]],"")</f>
        <v/>
      </c>
      <c r="W2027" s="180"/>
      <c r="Y2027" s="180"/>
      <c r="Z2027" s="192" t="str">
        <f>IFERROR(Tableau3[[#This Row],[Chiffre d''affaires]]/Tableau3[[#This Row],[Salariés]],"")</f>
        <v/>
      </c>
      <c r="AA2027" s="177"/>
      <c r="AC2027" s="177" t="s">
        <v>1418</v>
      </c>
    </row>
    <row r="2028" spans="1:29" ht="20.25" customHeight="1">
      <c r="A2028" s="217"/>
      <c r="E2028" s="187">
        <v>154.78</v>
      </c>
      <c r="F2028" s="178">
        <v>2024</v>
      </c>
      <c r="G2028" s="188">
        <v>69230000000</v>
      </c>
      <c r="H2028" s="188">
        <v>10680000000</v>
      </c>
      <c r="I2028" s="188">
        <v>5304000000</v>
      </c>
      <c r="J2028" s="188">
        <v>4232000000</v>
      </c>
      <c r="K2028" s="188">
        <v>-11753000000</v>
      </c>
      <c r="L2028" s="188">
        <v>19700000000</v>
      </c>
      <c r="M2028" s="194">
        <f t="shared" ref="M2028" si="155">L2028/P2028</f>
        <v>24.864831149122629</v>
      </c>
      <c r="N2028" s="190">
        <f t="shared" ref="N2028" si="156">J2028/L2028</f>
        <v>0.2148223350253807</v>
      </c>
      <c r="O2028" s="190">
        <f t="shared" ref="O2028" si="157">(I2028*0.64)/(K2028+(M2028*P2028))</f>
        <v>0.42714986787466969</v>
      </c>
      <c r="P2028" s="188">
        <v>792283683</v>
      </c>
      <c r="Q2028" s="211">
        <f>P2028*E2028</f>
        <v>122629668454.74001</v>
      </c>
      <c r="R2028" s="195">
        <f>Q2028/L2028</f>
        <v>6.2248562667380716</v>
      </c>
      <c r="S2028" s="197">
        <f>(Q2028+K2028)/H2028</f>
        <v>10.381710529470038</v>
      </c>
      <c r="T2028" s="180">
        <v>3930000000</v>
      </c>
      <c r="U2028" s="189">
        <f>IFERROR(IF(Tableau3[[#This Row],[Dettes]]=0,"",(Tableau3[[#This Row],[Dettes]]/Tableau3[[#This Row],[EBE]])),"")</f>
        <v>-1.1004681647940076</v>
      </c>
      <c r="V2028" s="190">
        <f>IFERROR(Tableau3[[#This Row],[Fonds propres]]/Tableau3[[#This Row],[Total Bilan]],"")</f>
        <v>0.1524649794907515</v>
      </c>
      <c r="W2028" s="180">
        <v>129210000000</v>
      </c>
      <c r="Y2028" s="180">
        <v>156921</v>
      </c>
      <c r="Z2028" s="192">
        <f>IFERROR(Tableau3[[#This Row],[Chiffre d''affaires]]/Tableau3[[#This Row],[Salariés]],"")</f>
        <v>441177.40774020046</v>
      </c>
      <c r="AA2028" s="177"/>
      <c r="AC2028" s="177" t="s">
        <v>1419</v>
      </c>
    </row>
    <row r="2029" spans="1:29" ht="20.25" customHeight="1">
      <c r="E2029" s="234"/>
      <c r="G2029" s="202">
        <f>(G2028/G2030)-1</f>
        <v>5.7818659658344318E-2</v>
      </c>
      <c r="H2029" s="203">
        <f>(H2028/H2030)-1</f>
        <v>9.6374501992031867</v>
      </c>
      <c r="I2029" s="203">
        <f>(I2028/I2030)-1</f>
        <v>-9.1469681397738922E-2</v>
      </c>
      <c r="J2029" s="203">
        <f>(J2028/J2030)-1</f>
        <v>0.29935523487872273</v>
      </c>
      <c r="K2029" s="188"/>
      <c r="L2029" s="188"/>
      <c r="M2029" s="178"/>
      <c r="N2029" s="178"/>
      <c r="O2029" s="178"/>
      <c r="P2029" s="188"/>
      <c r="Q2029" s="178"/>
      <c r="R2029" s="195"/>
      <c r="S2029" s="178"/>
      <c r="T2029" s="180"/>
      <c r="U2029" s="189" t="str">
        <f>IFERROR(IF(Tableau3[[#This Row],[Dettes]]=0,"",(Tableau3[[#This Row],[Dettes]]/Tableau3[[#This Row],[EBE]])),"")</f>
        <v/>
      </c>
      <c r="V2029" s="190" t="str">
        <f>IFERROR(Tableau3[[#This Row],[Fonds propres]]/Tableau3[[#This Row],[Total Bilan]],"")</f>
        <v/>
      </c>
      <c r="W2029" s="180"/>
      <c r="Y2029" s="180"/>
      <c r="Z2029" s="192" t="str">
        <f>IFERROR(Tableau3[[#This Row],[Chiffre d''affaires]]/Tableau3[[#This Row],[Salariés]],"")</f>
        <v/>
      </c>
      <c r="AA2029" s="177"/>
      <c r="AC2029" s="177" t="s">
        <v>1420</v>
      </c>
    </row>
    <row r="2030" spans="1:29" ht="20.25" customHeight="1">
      <c r="A2030" s="217"/>
      <c r="E2030" s="178">
        <v>139.80000000000001</v>
      </c>
      <c r="F2030" s="178">
        <v>2023</v>
      </c>
      <c r="G2030" s="188">
        <v>65446000000</v>
      </c>
      <c r="H2030" s="188">
        <v>1004000000</v>
      </c>
      <c r="I2030" s="188">
        <v>5838000000</v>
      </c>
      <c r="J2030" s="188">
        <v>3257000000</v>
      </c>
      <c r="K2030" s="188">
        <v>-10726000000</v>
      </c>
      <c r="L2030" s="188">
        <v>17730000000</v>
      </c>
      <c r="M2030" s="194">
        <f t="shared" ref="M2030" si="158">L2030/P2030</f>
        <v>22.567905481538673</v>
      </c>
      <c r="N2030" s="190">
        <f t="shared" ref="N2030" si="159">J2030/L2030</f>
        <v>0.18369994359842076</v>
      </c>
      <c r="O2030" s="190">
        <f t="shared" ref="O2030" si="160">(I2030*0.64)/(K2030+(M2030*P2030))</f>
        <v>0.53345516847515706</v>
      </c>
      <c r="P2030" s="188">
        <v>785628955</v>
      </c>
      <c r="Q2030" s="211">
        <f>P2030*E2030</f>
        <v>109830927909.00002</v>
      </c>
      <c r="R2030" s="195">
        <f>Q2030/L2030</f>
        <v>6.1946377839255504</v>
      </c>
      <c r="S2030" s="197">
        <f>(Q2030+K2030)/H2030</f>
        <v>98.710087558764954</v>
      </c>
      <c r="T2030" s="180">
        <v>3885000000</v>
      </c>
      <c r="U2030" s="189">
        <f>IFERROR(IF(Tableau3[[#This Row],[Dettes]]=0,"",(Tableau3[[#This Row],[Dettes]]/Tableau3[[#This Row],[EBE]])),"")</f>
        <v>-10.683266932270916</v>
      </c>
      <c r="V2030" s="190">
        <f>IFERROR(Tableau3[[#This Row],[Fonds propres]]/Tableau3[[#This Row],[Total Bilan]],"")</f>
        <v>0.14915453857154876</v>
      </c>
      <c r="W2030" s="180">
        <v>118870000000</v>
      </c>
      <c r="Y2030" s="180">
        <v>147893</v>
      </c>
      <c r="Z2030" s="192">
        <f>IFERROR(Tableau3[[#This Row],[Chiffre d''affaires]]/Tableau3[[#This Row],[Salariés]],"")</f>
        <v>442522.63460745267</v>
      </c>
      <c r="AA2030" s="177"/>
      <c r="AC2030" s="177" t="s">
        <v>5170</v>
      </c>
    </row>
    <row r="2031" spans="1:29" ht="20.25" customHeight="1">
      <c r="E2031" s="234"/>
      <c r="G2031" s="202">
        <f>(G2030/G2032)-1</f>
        <v>0.11372802613889688</v>
      </c>
      <c r="H2031" s="203">
        <f>(H2030/H2032)-1</f>
        <v>-0.9043809523809524</v>
      </c>
      <c r="I2031" s="203">
        <f>(I2030/I2032)-1</f>
        <v>3.7497778567620488E-2</v>
      </c>
      <c r="J2031" s="203">
        <f>(J2030/J2032)-1</f>
        <v>5.7810977590126766E-2</v>
      </c>
      <c r="K2031" s="188"/>
      <c r="L2031" s="188"/>
      <c r="M2031" s="178"/>
      <c r="N2031" s="178"/>
      <c r="O2031" s="178"/>
      <c r="P2031" s="188"/>
      <c r="Q2031" s="178"/>
      <c r="R2031" s="195"/>
      <c r="S2031" s="178"/>
      <c r="T2031" s="180"/>
      <c r="U2031" s="189" t="str">
        <f>IFERROR(IF(Tableau3[[#This Row],[Dettes]]=0,"",(Tableau3[[#This Row],[Dettes]]/Tableau3[[#This Row],[EBE]])),"")</f>
        <v/>
      </c>
      <c r="V2031" s="190" t="str">
        <f>IFERROR(Tableau3[[#This Row],[Fonds propres]]/Tableau3[[#This Row],[Total Bilan]],"")</f>
        <v/>
      </c>
      <c r="W2031" s="180"/>
      <c r="Y2031" s="180"/>
      <c r="Z2031" s="192" t="str">
        <f>IFERROR(Tableau3[[#This Row],[Chiffre d''affaires]]/Tableau3[[#This Row],[Salariés]],"")</f>
        <v/>
      </c>
      <c r="AA2031" s="177"/>
      <c r="AC2031" s="18" t="s">
        <v>5152</v>
      </c>
    </row>
    <row r="2032" spans="1:29" ht="20.25" customHeight="1">
      <c r="A2032" s="217"/>
      <c r="E2032" s="187">
        <v>111.02</v>
      </c>
      <c r="F2032" s="178">
        <v>2022</v>
      </c>
      <c r="G2032" s="188">
        <v>58763000000</v>
      </c>
      <c r="H2032" s="188">
        <v>10500000000</v>
      </c>
      <c r="I2032" s="188">
        <v>5627000000</v>
      </c>
      <c r="J2032" s="188">
        <v>3079000000</v>
      </c>
      <c r="K2032" s="188">
        <v>-9431000000</v>
      </c>
      <c r="L2032" s="188">
        <v>12950000000</v>
      </c>
      <c r="M2032" s="194">
        <f t="shared" ref="M2032" si="161">L2032/P2032</f>
        <v>16.483608346639922</v>
      </c>
      <c r="N2032" s="190">
        <f t="shared" ref="N2032" si="162">J2032/L2032</f>
        <v>0.23776061776061777</v>
      </c>
      <c r="O2032" s="190">
        <f t="shared" ref="O2032" si="163">(I2032*0.64)/(K2032+(M2032*P2032))</f>
        <v>1.0233816425120772</v>
      </c>
      <c r="P2032" s="188">
        <v>785628955</v>
      </c>
      <c r="Q2032" s="211">
        <f>P2032*E2032</f>
        <v>87220526584.099991</v>
      </c>
      <c r="R2032" s="195">
        <f>Q2032/L2032</f>
        <v>6.7351757979999993</v>
      </c>
      <c r="S2032" s="197">
        <f>(Q2032+K2032)/H2032</f>
        <v>7.4085263413428564</v>
      </c>
      <c r="T2032" s="180">
        <v>4324000000</v>
      </c>
      <c r="U2032" s="189">
        <f>IFERROR(IF(Tableau3[[#This Row],[Dettes]]=0,"",(Tableau3[[#This Row],[Dettes]]/Tableau3[[#This Row],[EBE]])),"")</f>
        <v>-0.89819047619047621</v>
      </c>
      <c r="V2032" s="190">
        <f>IFERROR(Tableau3[[#This Row],[Fonds propres]]/Tableau3[[#This Row],[Total Bilan]],"")</f>
        <v>0.11169570467483181</v>
      </c>
      <c r="W2032" s="180">
        <v>115940000000</v>
      </c>
      <c r="Y2032" s="180">
        <v>134267</v>
      </c>
      <c r="Z2032" s="192">
        <f>IFERROR(Tableau3[[#This Row],[Chiffre d''affaires]]/Tableau3[[#This Row],[Salariés]],"")</f>
        <v>437657.80124676949</v>
      </c>
      <c r="AA2032" s="177"/>
      <c r="AC2032" s="295" t="s">
        <v>5151</v>
      </c>
    </row>
    <row r="2033" spans="1:29" ht="20.25" customHeight="1">
      <c r="E2033" s="234"/>
      <c r="G2033" s="202">
        <f>(G2032/G2034)-1</f>
        <v>0.12682889413028064</v>
      </c>
      <c r="H2033" s="203">
        <f>(H2032/H2034)-1</f>
        <v>9.0229467345031678E-2</v>
      </c>
      <c r="I2033" s="203">
        <f>(I2032/I2034)-1</f>
        <v>5.335080494196931E-2</v>
      </c>
      <c r="J2033" s="203">
        <f>(J2032/J2034)-1</f>
        <v>6.1358152361254747E-2</v>
      </c>
      <c r="K2033" s="188"/>
      <c r="L2033" s="188"/>
      <c r="M2033" s="178"/>
      <c r="N2033" s="178"/>
      <c r="O2033" s="178"/>
      <c r="P2033" s="188"/>
      <c r="Q2033" s="178"/>
      <c r="R2033" s="195"/>
      <c r="S2033" s="178"/>
      <c r="T2033" s="180"/>
      <c r="U2033" s="189" t="str">
        <f>IFERROR(IF(Tableau3[[#This Row],[Dettes]]=0,"",(Tableau3[[#This Row],[Dettes]]/Tableau3[[#This Row],[EBE]])),"")</f>
        <v/>
      </c>
      <c r="V2033" s="190" t="str">
        <f>IFERROR(Tableau3[[#This Row],[Fonds propres]]/Tableau3[[#This Row],[Total Bilan]],"")</f>
        <v/>
      </c>
      <c r="W2033" s="180"/>
      <c r="Y2033" s="180"/>
      <c r="Z2033" s="192" t="str">
        <f>IFERROR(Tableau3[[#This Row],[Chiffre d''affaires]]/Tableau3[[#This Row],[Salariés]],"")</f>
        <v/>
      </c>
      <c r="AA2033" s="177"/>
      <c r="AC2033" s="295" t="s">
        <v>5155</v>
      </c>
    </row>
    <row r="2034" spans="1:29" ht="20.25" customHeight="1">
      <c r="A2034" s="217"/>
      <c r="E2034" s="187">
        <v>112.36</v>
      </c>
      <c r="F2034" s="178">
        <v>2021</v>
      </c>
      <c r="G2034" s="188">
        <v>52149000000</v>
      </c>
      <c r="H2034" s="188">
        <v>9631000000</v>
      </c>
      <c r="I2034" s="188">
        <v>5342000000</v>
      </c>
      <c r="J2034" s="188">
        <v>2901000000</v>
      </c>
      <c r="K2034" s="188">
        <v>-9948000000</v>
      </c>
      <c r="L2034" s="188">
        <v>9486000000</v>
      </c>
      <c r="M2034" s="194">
        <f>L2034/P2034</f>
        <v>12.074402222102417</v>
      </c>
      <c r="N2034" s="190">
        <f>J2034/L2034</f>
        <v>0.30581910183428213</v>
      </c>
      <c r="O2034" s="190">
        <f>(I2034*0.64)/(K2034+(M2034*P2034))</f>
        <v>-7.4001731601731597</v>
      </c>
      <c r="P2034" s="188">
        <v>785628955</v>
      </c>
      <c r="Q2034" s="211">
        <f>P2034*E2034</f>
        <v>88273269383.800003</v>
      </c>
      <c r="R2034" s="195">
        <f>Q2034/L2034</f>
        <v>9.3056366628505174</v>
      </c>
      <c r="S2034" s="197">
        <f>(Q2034+K2034)/H2034</f>
        <v>8.1326206399958476</v>
      </c>
      <c r="T2034" s="180">
        <v>133000000</v>
      </c>
      <c r="U2034" s="189">
        <f>IFERROR(IF(Tableau3[[#This Row],[Dettes]]=0,"",(Tableau3[[#This Row],[Dettes]]/Tableau3[[#This Row],[EBE]])),"")</f>
        <v>-1.0329145467760357</v>
      </c>
      <c r="V2034" s="190">
        <f>IFERROR(Tableau3[[#This Row],[Fonds propres]]/Tableau3[[#This Row],[Total Bilan]],"")</f>
        <v>8.3518225039619656E-2</v>
      </c>
      <c r="W2034" s="180">
        <v>113580000000</v>
      </c>
      <c r="Y2034" s="180">
        <v>126495</v>
      </c>
      <c r="Z2034" s="192">
        <f>IFERROR(Tableau3[[#This Row],[Chiffre d''affaires]]/Tableau3[[#This Row],[Salariés]],"")</f>
        <v>412261.35420372349</v>
      </c>
      <c r="AA2034" s="177"/>
      <c r="AC2034" s="177" t="s">
        <v>1422</v>
      </c>
    </row>
    <row r="2035" spans="1:29" ht="20.25" customHeight="1">
      <c r="E2035" s="234"/>
      <c r="G2035" s="202">
        <f>(G2034/G2036)-1</f>
        <v>4.4818881230966445E-2</v>
      </c>
      <c r="H2035" s="203">
        <f>(H2034/H2036)-1</f>
        <v>0.7009890498057223</v>
      </c>
      <c r="I2035" s="203">
        <f>(I2034/I2036)-1</f>
        <v>-11.474509803921569</v>
      </c>
      <c r="J2035" s="203">
        <f>(J2034/J2036)-1</f>
        <v>-117.04</v>
      </c>
      <c r="K2035" s="178"/>
      <c r="L2035" s="178"/>
      <c r="M2035" s="178"/>
      <c r="N2035" s="178"/>
      <c r="O2035" s="178"/>
      <c r="P2035" s="188"/>
      <c r="Q2035" s="178"/>
      <c r="R2035" s="195"/>
      <c r="S2035" s="178"/>
      <c r="T2035" s="180"/>
      <c r="U2035" s="189" t="str">
        <f>IFERROR(IF(Tableau3[[#This Row],[Dettes]]=0,"",(Tableau3[[#This Row],[Dettes]]/Tableau3[[#This Row],[EBE]])),"")</f>
        <v/>
      </c>
      <c r="V2035" s="190" t="str">
        <f>IFERROR(Tableau3[[#This Row],[Fonds propres]]/Tableau3[[#This Row],[Total Bilan]],"")</f>
        <v/>
      </c>
      <c r="W2035" s="180"/>
      <c r="Y2035" s="180"/>
      <c r="Z2035" s="192" t="str">
        <f>IFERROR(Tableau3[[#This Row],[Chiffre d''affaires]]/Tableau3[[#This Row],[Salariés]],"")</f>
        <v/>
      </c>
      <c r="AA2035" s="177"/>
      <c r="AC2035" s="177" t="s">
        <v>1423</v>
      </c>
    </row>
    <row r="2036" spans="1:29" ht="20.25" customHeight="1">
      <c r="A2036" s="217"/>
      <c r="E2036" s="187">
        <v>89.78</v>
      </c>
      <c r="F2036" s="178">
        <v>2020</v>
      </c>
      <c r="G2036" s="188">
        <v>49912000000</v>
      </c>
      <c r="H2036" s="188">
        <v>5662000000</v>
      </c>
      <c r="I2036" s="188">
        <v>-510000000</v>
      </c>
      <c r="J2036" s="188">
        <v>-25000000</v>
      </c>
      <c r="K2036" s="188">
        <v>-4772000000</v>
      </c>
      <c r="L2036" s="188">
        <v>6456000000</v>
      </c>
      <c r="M2036" s="194">
        <f>L2036/P2036</f>
        <v>8.2376737824911785</v>
      </c>
      <c r="N2036" s="190">
        <f>J2036/L2036</f>
        <v>-3.8723667905824041E-3</v>
      </c>
      <c r="O2036" s="190">
        <f>(I2036*0.64)/(K2036+(M2036*P2036))</f>
        <v>-0.19382422802850346</v>
      </c>
      <c r="P2036" s="188">
        <v>783716395</v>
      </c>
      <c r="Q2036" s="211">
        <f>P2036*E2036</f>
        <v>70362057943.100006</v>
      </c>
      <c r="R2036" s="195">
        <f>Q2036/L2036</f>
        <v>10.898707859835813</v>
      </c>
      <c r="S2036" s="197">
        <f>(Q2036+K2036)/H2036</f>
        <v>11.584256083203815</v>
      </c>
      <c r="T2036" s="180">
        <v>5125000000</v>
      </c>
      <c r="U2036" s="189">
        <f>IFERROR(IF(Tableau3[[#This Row],[Dettes]]=0,"",(Tableau3[[#This Row],[Dettes]]/Tableau3[[#This Row],[EBE]])),"")</f>
        <v>-0.84281172730483933</v>
      </c>
      <c r="V2036" s="190">
        <f>IFERROR(Tableau3[[#This Row],[Fonds propres]]/Tableau3[[#This Row],[Total Bilan]],"")</f>
        <v>5.8642928513034792E-2</v>
      </c>
      <c r="W2036" s="180">
        <v>110090000000</v>
      </c>
      <c r="Y2036" s="180">
        <v>131349</v>
      </c>
      <c r="Z2036" s="192">
        <f>IFERROR(Tableau3[[#This Row],[Chiffre d''affaires]]/Tableau3[[#This Row],[Salariés]],"")</f>
        <v>379995.27975089266</v>
      </c>
      <c r="AA2036" s="177"/>
      <c r="AC2036" s="177" t="s">
        <v>1424</v>
      </c>
    </row>
    <row r="2037" spans="1:29" ht="20.25" customHeight="1">
      <c r="E2037" s="232"/>
      <c r="G2037" s="202">
        <f>(G2036/G2038)-1</f>
        <v>-0.29180737251340849</v>
      </c>
      <c r="H2037" s="203">
        <f>(H2036/H2038)-1</f>
        <v>-0.46101856258924323</v>
      </c>
      <c r="I2037" s="203">
        <f>(I2036/I2038)-1</f>
        <v>-1.3808812546676625</v>
      </c>
      <c r="J2037" s="203">
        <f>(J2036/J2038)-1</f>
        <v>-0.99427131072410635</v>
      </c>
      <c r="K2037" s="178"/>
      <c r="L2037" s="178"/>
      <c r="M2037" s="178"/>
      <c r="N2037" s="178"/>
      <c r="O2037" s="178"/>
      <c r="P2037" s="188"/>
      <c r="Q2037" s="178"/>
      <c r="R2037" s="195"/>
      <c r="S2037" s="178"/>
      <c r="T2037" s="180"/>
      <c r="U2037" s="189" t="str">
        <f>IFERROR(IF(Tableau3[[#This Row],[Dettes]]=0,"",(Tableau3[[#This Row],[Dettes]]/Tableau3[[#This Row],[EBE]])),"")</f>
        <v/>
      </c>
      <c r="V2037" s="190" t="str">
        <f>IFERROR(Tableau3[[#This Row],[Fonds propres]]/Tableau3[[#This Row],[Total Bilan]],"")</f>
        <v/>
      </c>
      <c r="W2037" s="180"/>
      <c r="Y2037" s="180"/>
      <c r="Z2037" s="192" t="str">
        <f>IFERROR(Tableau3[[#This Row],[Chiffre d''affaires]]/Tableau3[[#This Row],[Salariés]],"")</f>
        <v/>
      </c>
      <c r="AA2037" s="177"/>
      <c r="AC2037" s="177" t="s">
        <v>1425</v>
      </c>
    </row>
    <row r="2038" spans="1:29" ht="20.25" customHeight="1">
      <c r="A2038" s="217"/>
      <c r="E2038" s="187">
        <v>129.88</v>
      </c>
      <c r="F2038" s="178">
        <v>2019</v>
      </c>
      <c r="G2038" s="188">
        <v>70478000000</v>
      </c>
      <c r="H2038" s="188">
        <v>10505000000</v>
      </c>
      <c r="I2038" s="188">
        <v>1339000000</v>
      </c>
      <c r="J2038" s="188">
        <v>-4364000000</v>
      </c>
      <c r="K2038" s="188">
        <v>-12534000000</v>
      </c>
      <c r="L2038" s="188">
        <v>5990000000</v>
      </c>
      <c r="M2038" s="194">
        <f>L2038/P2038</f>
        <v>7.6568062958581899</v>
      </c>
      <c r="N2038" s="190">
        <f>J2038/L2038</f>
        <v>-0.7285475792988314</v>
      </c>
      <c r="O2038" s="190">
        <f>(I2038*0.64)/(K2038+(M2038*P2038))</f>
        <v>-0.13095354523227384</v>
      </c>
      <c r="P2038" s="188">
        <v>782310505</v>
      </c>
      <c r="Q2038" s="211">
        <f>P2038*E2038</f>
        <v>101606488389.39999</v>
      </c>
      <c r="R2038" s="195">
        <f>Q2038/L2038</f>
        <v>16.96268587469115</v>
      </c>
      <c r="S2038" s="197">
        <f>(Q2038+K2038)/H2038</f>
        <v>8.4790564863779139</v>
      </c>
      <c r="T2038" s="180">
        <v>-114000000</v>
      </c>
      <c r="U2038" s="189">
        <f>IFERROR(IF(Tableau3[[#This Row],[Dettes]]=0,"",(Tableau3[[#This Row],[Dettes]]/Tableau3[[#This Row],[EBE]])),"")</f>
        <v>-1.193146120894812</v>
      </c>
      <c r="V2038" s="190">
        <f>IFERROR(Tableau3[[#This Row],[Fonds propres]]/Tableau3[[#This Row],[Total Bilan]],"")</f>
        <v>5.235556332488419E-2</v>
      </c>
      <c r="W2038" s="180">
        <v>114410000000</v>
      </c>
      <c r="Y2038" s="180">
        <v>134931</v>
      </c>
      <c r="Z2038" s="192">
        <f>IFERROR(Tableau3[[#This Row],[Chiffre d''affaires]]/Tableau3[[#This Row],[Salariés]],"")</f>
        <v>522326.22599699104</v>
      </c>
      <c r="AA2038" s="177"/>
      <c r="AC2038" s="177" t="s">
        <v>1426</v>
      </c>
    </row>
    <row r="2039" spans="1:29" ht="20.25" customHeight="1">
      <c r="E2039" s="232"/>
      <c r="G2039" s="202">
        <f>(G2038/G2040)-1</f>
        <v>0.10628345393755789</v>
      </c>
      <c r="H2039" s="203">
        <f>(H2038/H2040)-1</f>
        <v>0.19551610333447145</v>
      </c>
      <c r="I2039" s="203">
        <f>(I2038/I2040)-1</f>
        <v>-0.73474643423137875</v>
      </c>
      <c r="J2039" s="203">
        <f>(J2038/J2040)-1</f>
        <v>1453.6666666666667</v>
      </c>
      <c r="K2039" s="178"/>
      <c r="L2039" s="178"/>
      <c r="M2039" s="178"/>
      <c r="N2039" s="178"/>
      <c r="O2039" s="178"/>
      <c r="P2039" s="188"/>
      <c r="Q2039" s="178"/>
      <c r="R2039" s="195"/>
      <c r="S2039" s="178"/>
      <c r="T2039" s="180"/>
      <c r="U2039" s="189" t="str">
        <f>IFERROR(IF(Tableau3[[#This Row],[Dettes]]=0,"",(Tableau3[[#This Row],[Dettes]]/Tableau3[[#This Row],[EBE]])),"")</f>
        <v/>
      </c>
      <c r="V2039" s="190" t="str">
        <f>IFERROR(Tableau3[[#This Row],[Fonds propres]]/Tableau3[[#This Row],[Total Bilan]],"")</f>
        <v/>
      </c>
      <c r="W2039" s="180"/>
      <c r="Y2039" s="180"/>
      <c r="Z2039" s="192" t="str">
        <f>IFERROR(Tableau3[[#This Row],[Chiffre d''affaires]]/Tableau3[[#This Row],[Salariés]],"")</f>
        <v/>
      </c>
      <c r="AA2039" s="177"/>
      <c r="AC2039" s="177" t="s">
        <v>1427</v>
      </c>
    </row>
    <row r="2040" spans="1:29" ht="20.25" customHeight="1">
      <c r="A2040" s="217"/>
      <c r="E2040" s="187">
        <v>83.83</v>
      </c>
      <c r="F2040" s="178">
        <v>2018</v>
      </c>
      <c r="G2040" s="188">
        <v>63707000000</v>
      </c>
      <c r="H2040" s="188">
        <v>8787000000</v>
      </c>
      <c r="I2040" s="188">
        <v>5048000000</v>
      </c>
      <c r="J2040" s="188">
        <v>-3000000</v>
      </c>
      <c r="K2040" s="188">
        <v>-13281000000</v>
      </c>
      <c r="L2040" s="188">
        <v>9719000000</v>
      </c>
      <c r="M2040" s="194">
        <f>L2040/P2040</f>
        <v>12.528828342221232</v>
      </c>
      <c r="N2040" s="190">
        <f>J2040/L2040</f>
        <v>-3.0867373186541823E-4</v>
      </c>
      <c r="O2040" s="190">
        <f>(I2040*0.64)/(K2040+(M2040*P2040))</f>
        <v>-0.90699606962380686</v>
      </c>
      <c r="P2040" s="188">
        <v>775730957</v>
      </c>
      <c r="Q2040" s="211">
        <f>P2040*E2040</f>
        <v>65029526125.309998</v>
      </c>
      <c r="R2040" s="195">
        <f>Q2040/L2040</f>
        <v>6.6909688368463831</v>
      </c>
      <c r="S2040" s="197">
        <f>(Q2040+K2040)/H2040</f>
        <v>5.8892143081040169</v>
      </c>
      <c r="T2040" s="180">
        <v>-2593000000</v>
      </c>
      <c r="U2040" s="189">
        <f>IFERROR(IF(Tableau3[[#This Row],[Dettes]]=0,"",(Tableau3[[#This Row],[Dettes]]/Tableau3[[#This Row],[EBE]])),"")</f>
        <v>-1.511437350631615</v>
      </c>
      <c r="V2040" s="190">
        <f>IFERROR(Tableau3[[#This Row],[Fonds propres]]/Tableau3[[#This Row],[Total Bilan]],"")</f>
        <v>8.4366319444444449E-2</v>
      </c>
      <c r="W2040" s="180">
        <v>115200000000</v>
      </c>
      <c r="Y2040" s="180">
        <v>133671</v>
      </c>
      <c r="Z2040" s="192">
        <f>IFERROR(Tableau3[[#This Row],[Chiffre d''affaires]]/Tableau3[[#This Row],[Salariés]],"")</f>
        <v>476595.52184093784</v>
      </c>
      <c r="AA2040" s="177"/>
      <c r="AC2040" s="177" t="s">
        <v>1428</v>
      </c>
    </row>
    <row r="2041" spans="1:29" ht="20.25" customHeight="1">
      <c r="E2041" s="232"/>
      <c r="G2041" s="202">
        <f>(G2040/G2042)-1</f>
        <v>-4.5831024308415791E-2</v>
      </c>
      <c r="H2041" s="203">
        <f>(H2040/H2042)-1</f>
        <v>0.15512028394899424</v>
      </c>
      <c r="I2041" s="203">
        <f>(I2040/I2042)-1</f>
        <v>0.47559193218357199</v>
      </c>
      <c r="J2041" s="203">
        <f>(J2040/J2042)-1</f>
        <v>-1.0002827254735651</v>
      </c>
      <c r="K2041" s="178"/>
      <c r="L2041" s="178"/>
      <c r="M2041" s="178"/>
      <c r="N2041" s="178"/>
      <c r="O2041" s="178"/>
      <c r="P2041" s="188"/>
      <c r="Q2041" s="178"/>
      <c r="R2041" s="195"/>
      <c r="S2041" s="178"/>
      <c r="T2041" s="180"/>
      <c r="U2041" s="189" t="str">
        <f>IFERROR(IF(Tableau3[[#This Row],[Dettes]]=0,"",(Tableau3[[#This Row],[Dettes]]/Tableau3[[#This Row],[EBE]])),"")</f>
        <v/>
      </c>
      <c r="V2041" s="190" t="str">
        <f>IFERROR(Tableau3[[#This Row],[Fonds propres]]/Tableau3[[#This Row],[Total Bilan]],"")</f>
        <v/>
      </c>
      <c r="W2041" s="180"/>
      <c r="Y2041" s="180"/>
      <c r="Z2041" s="192" t="str">
        <f>IFERROR(Tableau3[[#This Row],[Chiffre d''affaires]]/Tableau3[[#This Row],[Salariés]],"")</f>
        <v/>
      </c>
      <c r="AA2041" s="177"/>
      <c r="AC2041" s="177" t="s">
        <v>5169</v>
      </c>
    </row>
    <row r="2042" spans="1:29" ht="20.25" customHeight="1">
      <c r="E2042" s="187">
        <v>83.9</v>
      </c>
      <c r="F2042" s="178">
        <v>2017</v>
      </c>
      <c r="G2042" s="188">
        <v>66767000000</v>
      </c>
      <c r="H2042" s="188">
        <v>7607000000</v>
      </c>
      <c r="I2042" s="188">
        <v>3421000000</v>
      </c>
      <c r="J2042" s="188">
        <v>10611000000</v>
      </c>
      <c r="K2042" s="188">
        <v>-13391000000</v>
      </c>
      <c r="L2042" s="188">
        <v>13351000000</v>
      </c>
      <c r="M2042" s="194">
        <f>L2042/P2042</f>
        <v>17.239853442677159</v>
      </c>
      <c r="N2042" s="190">
        <f>J2042/L2042</f>
        <v>0.79477192719646472</v>
      </c>
      <c r="O2042" s="190">
        <f>(I2042*0.64)/(K2042+(M2042*P2042))</f>
        <v>-54.735999999999997</v>
      </c>
      <c r="P2042" s="188">
        <v>774426537</v>
      </c>
      <c r="Q2042" s="211">
        <f>P2042*E2042</f>
        <v>64974386454.300003</v>
      </c>
      <c r="R2042" s="195">
        <f>Q2042/L2042</f>
        <v>4.8666306983971239</v>
      </c>
      <c r="S2042" s="197">
        <f>(Q2042+K2042)/H2042</f>
        <v>6.7810419947811233</v>
      </c>
      <c r="T2042" s="180">
        <v>1861000000</v>
      </c>
      <c r="U2042" s="189">
        <f>IFERROR(IF(Tableau3[[#This Row],[Dettes]]=0,"",(Tableau3[[#This Row],[Dettes]]/Tableau3[[#This Row],[EBE]])),"")</f>
        <v>-1.7603523070855791</v>
      </c>
      <c r="V2042" s="190">
        <f>IFERROR(Tableau3[[#This Row],[Fonds propres]]/Tableau3[[#This Row],[Total Bilan]],"")</f>
        <v>0.12198264047510278</v>
      </c>
      <c r="W2042" s="180">
        <v>109450000000</v>
      </c>
      <c r="Y2042" s="180">
        <v>129442</v>
      </c>
      <c r="Z2042" s="192">
        <f>IFERROR(Tableau3[[#This Row],[Chiffre d''affaires]]/Tableau3[[#This Row],[Salariés]],"")</f>
        <v>515806.30707189318</v>
      </c>
      <c r="AA2042" s="177"/>
      <c r="AC2042" s="177" t="s">
        <v>483</v>
      </c>
    </row>
    <row r="2043" spans="1:29" ht="20.25" customHeight="1">
      <c r="E2043" s="232"/>
      <c r="G2043" s="202">
        <f>(G2042/G2044)-1</f>
        <v>2.7935897628452722E-3</v>
      </c>
      <c r="H2043" s="203">
        <f>(H2042/H2044)-1</f>
        <v>0.44509878419452886</v>
      </c>
      <c r="I2043" s="203">
        <f>(I2042/I2044)-1</f>
        <v>0.51505757307351629</v>
      </c>
      <c r="J2043" s="203">
        <f>((J2042-J2044)/J2044)</f>
        <v>-12.571428571428571</v>
      </c>
      <c r="K2043" s="188"/>
      <c r="L2043" s="188"/>
      <c r="M2043" s="178"/>
      <c r="N2043" s="178"/>
      <c r="O2043" s="178"/>
      <c r="P2043" s="188"/>
      <c r="Q2043" s="178"/>
      <c r="R2043" s="195"/>
      <c r="S2043" s="178"/>
      <c r="T2043" s="180"/>
      <c r="U2043" s="189" t="str">
        <f>IFERROR(IF(Tableau3[[#This Row],[Dettes]]=0,"",(Tableau3[[#This Row],[Dettes]]/Tableau3[[#This Row],[EBE]])),"")</f>
        <v/>
      </c>
      <c r="V2043" s="190" t="str">
        <f>IFERROR(Tableau3[[#This Row],[Fonds propres]]/Tableau3[[#This Row],[Total Bilan]],"")</f>
        <v/>
      </c>
      <c r="W2043" s="180"/>
      <c r="Y2043" s="180"/>
      <c r="Z2043" s="192" t="str">
        <f>IFERROR(Tableau3[[#This Row],[Chiffre d''affaires]]/Tableau3[[#This Row],[Salariés]],"")</f>
        <v/>
      </c>
      <c r="AA2043" s="177"/>
      <c r="AC2043" s="177" t="s">
        <v>2138</v>
      </c>
    </row>
    <row r="2044" spans="1:29" ht="20.25" customHeight="1">
      <c r="E2044" s="187">
        <v>62.84</v>
      </c>
      <c r="F2044" s="178">
        <v>2016</v>
      </c>
      <c r="G2044" s="188">
        <v>66581000000</v>
      </c>
      <c r="H2044" s="188">
        <v>5264000000</v>
      </c>
      <c r="I2044" s="188">
        <v>2258000000</v>
      </c>
      <c r="J2044" s="188">
        <v>-917000000</v>
      </c>
      <c r="K2044" s="188">
        <v>-11113000000</v>
      </c>
      <c r="L2044" s="188">
        <v>3652000000</v>
      </c>
      <c r="M2044" s="194">
        <f>L2044/P2044</f>
        <v>4.7261089237737757</v>
      </c>
      <c r="N2044" s="190">
        <f>J2044/L2044</f>
        <v>-0.25109529025191674</v>
      </c>
      <c r="O2044" s="190">
        <f>(I2044*0.64)/(K2044+(M2044*P2044))</f>
        <v>-0.19368985390698298</v>
      </c>
      <c r="P2044" s="188">
        <v>772728699</v>
      </c>
      <c r="Q2044" s="211">
        <f>P2044*E2044</f>
        <v>48558271445.160004</v>
      </c>
      <c r="R2044" s="195">
        <f>Q2044/L2044</f>
        <v>13.296350340952904</v>
      </c>
      <c r="S2044" s="197">
        <f>(Q2044+K2044)/H2044</f>
        <v>7.1134634204331313</v>
      </c>
      <c r="T2044" s="180">
        <v>3483000000</v>
      </c>
      <c r="U2044" s="189">
        <f>IFERROR(IF(Tableau3[[#This Row],[Dettes]]=0,"",(Tableau3[[#This Row],[Dettes]]/Tableau3[[#This Row],[EBE]])),"")</f>
        <v>-2.1111322188449848</v>
      </c>
      <c r="V2044" s="190">
        <f>IFERROR(Tableau3[[#This Row],[Fonds propres]]/Tableau3[[#This Row],[Total Bilan]],"")</f>
        <v>3.0530011703728474E-2</v>
      </c>
      <c r="W2044" s="180">
        <v>119620000000</v>
      </c>
      <c r="Y2044" s="180">
        <v>133782</v>
      </c>
      <c r="Z2044" s="192">
        <f>IFERROR(Tableau3[[#This Row],[Chiffre d''affaires]]/Tableau3[[#This Row],[Salariés]],"")</f>
        <v>497682.79738679342</v>
      </c>
      <c r="AA2044" s="177"/>
      <c r="AC2044" s="177" t="s">
        <v>5154</v>
      </c>
    </row>
    <row r="2045" spans="1:29" ht="20.25" customHeight="1">
      <c r="E2045" s="232"/>
      <c r="G2045" s="202"/>
      <c r="H2045" s="203"/>
      <c r="I2045" s="203"/>
      <c r="J2045" s="203"/>
      <c r="K2045" s="188"/>
      <c r="L2045" s="188"/>
      <c r="M2045" s="178"/>
      <c r="N2045" s="178"/>
      <c r="O2045" s="178"/>
      <c r="P2045" s="188"/>
      <c r="Q2045" s="178"/>
      <c r="R2045" s="195"/>
      <c r="S2045" s="178"/>
      <c r="T2045" s="180"/>
      <c r="U2045" s="189" t="str">
        <f>IFERROR(IF(Tableau3[[#This Row],[Dettes]]=0,"",(Tableau3[[#This Row],[Dettes]]/Tableau3[[#This Row],[EBE]])),"")</f>
        <v/>
      </c>
      <c r="V2045" s="190" t="str">
        <f>IFERROR(Tableau3[[#This Row],[Fonds propres]]/Tableau3[[#This Row],[Total Bilan]],"")</f>
        <v/>
      </c>
      <c r="W2045" s="180"/>
      <c r="Y2045" s="180"/>
      <c r="Z2045" s="192" t="str">
        <f>IFERROR(Tableau3[[#This Row],[Chiffre d''affaires]]/Tableau3[[#This Row],[Salariés]],"")</f>
        <v/>
      </c>
      <c r="AA2045" s="177"/>
      <c r="AC2045" s="177" t="s">
        <v>1429</v>
      </c>
    </row>
    <row r="2046" spans="1:29" ht="20.25" customHeight="1">
      <c r="A2046" s="217"/>
      <c r="E2046" s="232"/>
      <c r="G2046" s="188"/>
      <c r="H2046" s="253"/>
      <c r="I2046" s="253"/>
      <c r="J2046" s="253"/>
      <c r="K2046" s="188"/>
      <c r="L2046" s="188"/>
      <c r="M2046" s="178"/>
      <c r="N2046" s="178"/>
      <c r="O2046" s="178"/>
      <c r="P2046" s="188"/>
      <c r="Q2046" s="178"/>
      <c r="R2046" s="195"/>
      <c r="S2046" s="178"/>
      <c r="T2046" s="180"/>
      <c r="U2046" s="189" t="str">
        <f>IFERROR(IF(Tableau3[[#This Row],[Dettes]]=0,"",(Tableau3[[#This Row],[Dettes]]/Tableau3[[#This Row],[EBE]])),"")</f>
        <v/>
      </c>
      <c r="V2046" s="190" t="str">
        <f>IFERROR(Tableau3[[#This Row],[Fonds propres]]/Tableau3[[#This Row],[Total Bilan]],"")</f>
        <v/>
      </c>
      <c r="W2046" s="180"/>
      <c r="Y2046" s="180"/>
      <c r="Z2046" s="192" t="str">
        <f>IFERROR(Tableau3[[#This Row],[Chiffre d''affaires]]/Tableau3[[#This Row],[Salariés]],"")</f>
        <v/>
      </c>
      <c r="AA2046" s="177"/>
    </row>
    <row r="2047" spans="1:29" ht="20.25" customHeight="1">
      <c r="A2047" s="217"/>
      <c r="E2047" s="232"/>
      <c r="G2047" s="188"/>
      <c r="H2047" s="253"/>
      <c r="I2047" s="253"/>
      <c r="J2047" s="253"/>
      <c r="K2047" s="188"/>
      <c r="L2047" s="188"/>
      <c r="M2047" s="178"/>
      <c r="N2047" s="178"/>
      <c r="O2047" s="178"/>
      <c r="P2047" s="188"/>
      <c r="Q2047" s="178"/>
      <c r="R2047" s="195"/>
      <c r="S2047" s="178"/>
      <c r="T2047" s="180"/>
      <c r="U2047" s="189" t="str">
        <f>IFERROR(IF(Tableau3[[#This Row],[Dettes]]=0,"",(Tableau3[[#This Row],[Dettes]]/Tableau3[[#This Row],[EBE]])),"")</f>
        <v/>
      </c>
      <c r="V2047" s="190" t="str">
        <f>IFERROR(Tableau3[[#This Row],[Fonds propres]]/Tableau3[[#This Row],[Total Bilan]],"")</f>
        <v/>
      </c>
      <c r="W2047" s="180"/>
      <c r="Y2047" s="180"/>
      <c r="Z2047" s="192" t="str">
        <f>IFERROR(Tableau3[[#This Row],[Chiffre d''affaires]]/Tableau3[[#This Row],[Salariés]],"")</f>
        <v/>
      </c>
      <c r="AA2047" s="177"/>
    </row>
    <row r="2048" spans="1:29" ht="20.25" customHeight="1">
      <c r="A2048" s="217"/>
      <c r="E2048" s="232"/>
      <c r="G2048" s="188"/>
      <c r="H2048" s="253"/>
      <c r="I2048" s="253"/>
      <c r="J2048" s="253"/>
      <c r="K2048" s="188"/>
      <c r="L2048" s="188"/>
      <c r="M2048" s="178"/>
      <c r="N2048" s="178"/>
      <c r="O2048" s="178"/>
      <c r="P2048" s="188"/>
      <c r="Q2048" s="178"/>
      <c r="R2048" s="195"/>
      <c r="S2048" s="178"/>
      <c r="T2048" s="180"/>
      <c r="U2048" s="189" t="str">
        <f>IFERROR(IF(Tableau3[[#This Row],[Dettes]]=0,"",(Tableau3[[#This Row],[Dettes]]/Tableau3[[#This Row],[EBE]])),"")</f>
        <v/>
      </c>
      <c r="V2048" s="190" t="str">
        <f>IFERROR(Tableau3[[#This Row],[Fonds propres]]/Tableau3[[#This Row],[Total Bilan]],"")</f>
        <v/>
      </c>
      <c r="W2048" s="180"/>
      <c r="Y2048" s="180"/>
      <c r="Z2048" s="192" t="str">
        <f>IFERROR(Tableau3[[#This Row],[Chiffre d''affaires]]/Tableau3[[#This Row],[Salariés]],"")</f>
        <v/>
      </c>
      <c r="AA2048" s="177"/>
    </row>
    <row r="2049" spans="1:29" ht="20.25" customHeight="1">
      <c r="A2049" s="217" t="s">
        <v>1430</v>
      </c>
      <c r="B2049" s="216" t="s">
        <v>1395</v>
      </c>
      <c r="C2049" s="178" t="s">
        <v>382</v>
      </c>
      <c r="D2049" s="178" t="s">
        <v>383</v>
      </c>
      <c r="E2049" s="232"/>
      <c r="F2049" s="178">
        <v>2025</v>
      </c>
      <c r="G2049" s="188"/>
      <c r="H2049" s="253"/>
      <c r="I2049" s="253"/>
      <c r="J2049" s="253"/>
      <c r="K2049" s="188"/>
      <c r="L2049" s="188"/>
      <c r="M2049" s="178"/>
      <c r="N2049" s="178"/>
      <c r="O2049" s="178"/>
      <c r="P2049" s="188"/>
      <c r="Q2049" s="178"/>
      <c r="R2049" s="195"/>
      <c r="S2049" s="178"/>
      <c r="T2049" s="180"/>
      <c r="U2049" s="189" t="str">
        <f>IFERROR(IF(Tableau3[[#This Row],[Dettes]]=0,"",(Tableau3[[#This Row],[Dettes]]/Tableau3[[#This Row],[EBE]])),"")</f>
        <v/>
      </c>
      <c r="V2049" s="190" t="str">
        <f>IFERROR(Tableau3[[#This Row],[Fonds propres]]/Tableau3[[#This Row],[Total Bilan]],"")</f>
        <v/>
      </c>
      <c r="W2049" s="180"/>
      <c r="Y2049" s="180"/>
      <c r="Z2049" s="192" t="str">
        <f>IFERROR(Tableau3[[#This Row],[Chiffre d''affaires]]/Tableau3[[#This Row],[Salariés]],"")</f>
        <v/>
      </c>
      <c r="AA2049" s="177"/>
      <c r="AC2049" s="177" t="s">
        <v>1431</v>
      </c>
    </row>
    <row r="2050" spans="1:29" ht="20.25" customHeight="1">
      <c r="A2050" s="217"/>
      <c r="E2050" s="232"/>
      <c r="G2050" s="188"/>
      <c r="H2050" s="253"/>
      <c r="I2050" s="253"/>
      <c r="J2050" s="253"/>
      <c r="K2050" s="188"/>
      <c r="L2050" s="188"/>
      <c r="M2050" s="178"/>
      <c r="N2050" s="178"/>
      <c r="O2050" s="178"/>
      <c r="P2050" s="188"/>
      <c r="Q2050" s="178"/>
      <c r="R2050" s="195"/>
      <c r="S2050" s="178"/>
      <c r="T2050" s="180"/>
      <c r="U2050" s="189" t="str">
        <f>IFERROR(IF(Tableau3[[#This Row],[Dettes]]=0,"",(Tableau3[[#This Row],[Dettes]]/Tableau3[[#This Row],[EBE]])),"")</f>
        <v/>
      </c>
      <c r="V2050" s="190" t="str">
        <f>IFERROR(Tableau3[[#This Row],[Fonds propres]]/Tableau3[[#This Row],[Total Bilan]],"")</f>
        <v/>
      </c>
      <c r="W2050" s="180"/>
      <c r="Y2050" s="180"/>
      <c r="Z2050" s="192" t="str">
        <f>IFERROR(Tableau3[[#This Row],[Chiffre d''affaires]]/Tableau3[[#This Row],[Salariés]],"")</f>
        <v/>
      </c>
      <c r="AA2050" s="177"/>
      <c r="AC2050" s="177" t="s">
        <v>1433</v>
      </c>
    </row>
    <row r="2051" spans="1:29" ht="20.25" customHeight="1">
      <c r="A2051" s="217"/>
      <c r="E2051" s="187">
        <v>177</v>
      </c>
      <c r="F2051" s="178">
        <v>2024</v>
      </c>
      <c r="G2051" s="188"/>
      <c r="H2051" s="188"/>
      <c r="I2051" s="178"/>
      <c r="J2051" s="188"/>
      <c r="K2051" s="188"/>
      <c r="L2051" s="188"/>
      <c r="M2051" s="178"/>
      <c r="N2051" s="178"/>
      <c r="O2051" s="178"/>
      <c r="P2051" s="188"/>
      <c r="Q2051" s="178"/>
      <c r="R2051" s="195"/>
      <c r="S2051" s="178"/>
      <c r="T2051" s="180"/>
      <c r="U2051" s="189" t="str">
        <f>IFERROR(IF(Tableau3[[#This Row],[Dettes]]=0,"",(Tableau3[[#This Row],[Dettes]]/Tableau3[[#This Row],[EBE]])),"")</f>
        <v/>
      </c>
      <c r="V2051" s="190" t="str">
        <f>IFERROR(Tableau3[[#This Row],[Fonds propres]]/Tableau3[[#This Row],[Total Bilan]],"")</f>
        <v/>
      </c>
      <c r="W2051" s="180"/>
      <c r="Y2051" s="180"/>
      <c r="Z2051" s="192" t="str">
        <f>IFERROR(Tableau3[[#This Row],[Chiffre d''affaires]]/Tableau3[[#This Row],[Salariés]],"")</f>
        <v/>
      </c>
      <c r="AA2051" s="177"/>
      <c r="AC2051" s="177" t="s">
        <v>1434</v>
      </c>
    </row>
    <row r="2052" spans="1:29" ht="20.25" customHeight="1">
      <c r="E2052" s="187"/>
      <c r="G2052" s="188"/>
      <c r="H2052" s="188"/>
      <c r="I2052" s="178"/>
      <c r="J2052" s="188"/>
      <c r="K2052" s="188"/>
      <c r="L2052" s="188"/>
      <c r="M2052" s="178"/>
      <c r="N2052" s="178"/>
      <c r="O2052" s="178"/>
      <c r="P2052" s="188"/>
      <c r="Q2052" s="178"/>
      <c r="R2052" s="195"/>
      <c r="S2052" s="178"/>
      <c r="T2052" s="180"/>
      <c r="U2052" s="189" t="str">
        <f>IFERROR(IF(Tableau3[[#This Row],[Dettes]]=0,"",(Tableau3[[#This Row],[Dettes]]/Tableau3[[#This Row],[EBE]])),"")</f>
        <v/>
      </c>
      <c r="V2052" s="190" t="str">
        <f>IFERROR(Tableau3[[#This Row],[Fonds propres]]/Tableau3[[#This Row],[Total Bilan]],"")</f>
        <v/>
      </c>
      <c r="W2052" s="180"/>
      <c r="Y2052" s="180"/>
      <c r="Z2052" s="192" t="str">
        <f>IFERROR(Tableau3[[#This Row],[Chiffre d''affaires]]/Tableau3[[#This Row],[Salariés]],"")</f>
        <v/>
      </c>
      <c r="AA2052" s="177"/>
      <c r="AC2052" s="177" t="s">
        <v>1435</v>
      </c>
    </row>
    <row r="2053" spans="1:29" ht="20.25" customHeight="1">
      <c r="A2053" s="217"/>
      <c r="E2053" s="187">
        <v>260.60000000000002</v>
      </c>
      <c r="F2053" s="178">
        <v>2023</v>
      </c>
      <c r="G2053" s="188"/>
      <c r="H2053" s="188"/>
      <c r="I2053" s="178"/>
      <c r="J2053" s="188"/>
      <c r="K2053" s="188"/>
      <c r="L2053" s="188"/>
      <c r="M2053" s="178"/>
      <c r="N2053" s="178"/>
      <c r="O2053" s="178"/>
      <c r="P2053" s="188"/>
      <c r="Q2053" s="178"/>
      <c r="R2053" s="195"/>
      <c r="S2053" s="178"/>
      <c r="T2053" s="180"/>
      <c r="U2053" s="189" t="str">
        <f>IFERROR(IF(Tableau3[[#This Row],[Dettes]]=0,"",(Tableau3[[#This Row],[Dettes]]/Tableau3[[#This Row],[EBE]])),"")</f>
        <v/>
      </c>
      <c r="V2053" s="190" t="str">
        <f>IFERROR(Tableau3[[#This Row],[Fonds propres]]/Tableau3[[#This Row],[Total Bilan]],"")</f>
        <v/>
      </c>
      <c r="W2053" s="180"/>
      <c r="Y2053" s="180"/>
      <c r="Z2053" s="192" t="str">
        <f>IFERROR(Tableau3[[#This Row],[Chiffre d''affaires]]/Tableau3[[#This Row],[Salariés]],"")</f>
        <v/>
      </c>
      <c r="AA2053" s="177"/>
      <c r="AC2053" s="177" t="s">
        <v>1436</v>
      </c>
    </row>
    <row r="2054" spans="1:29" ht="20.25" customHeight="1">
      <c r="E2054" s="187"/>
      <c r="G2054" s="188"/>
      <c r="H2054" s="188"/>
      <c r="I2054" s="178"/>
      <c r="J2054" s="188"/>
      <c r="K2054" s="188"/>
      <c r="L2054" s="188"/>
      <c r="M2054" s="178"/>
      <c r="N2054" s="178"/>
      <c r="O2054" s="178"/>
      <c r="P2054" s="188"/>
      <c r="Q2054" s="178"/>
      <c r="R2054" s="195"/>
      <c r="S2054" s="178"/>
      <c r="T2054" s="180"/>
      <c r="U2054" s="189" t="str">
        <f>IFERROR(IF(Tableau3[[#This Row],[Dettes]]=0,"",(Tableau3[[#This Row],[Dettes]]/Tableau3[[#This Row],[EBE]])),"")</f>
        <v/>
      </c>
      <c r="V2054" s="190" t="str">
        <f>IFERROR(Tableau3[[#This Row],[Fonds propres]]/Tableau3[[#This Row],[Total Bilan]],"")</f>
        <v/>
      </c>
      <c r="W2054" s="180"/>
      <c r="Y2054" s="180"/>
      <c r="Z2054" s="192" t="str">
        <f>IFERROR(Tableau3[[#This Row],[Chiffre d''affaires]]/Tableau3[[#This Row],[Salariés]],"")</f>
        <v/>
      </c>
      <c r="AA2054" s="177"/>
      <c r="AC2054" s="254" t="s">
        <v>1437</v>
      </c>
    </row>
    <row r="2055" spans="1:29" ht="20.25" customHeight="1">
      <c r="A2055" s="217"/>
      <c r="E2055" s="187">
        <v>190.49</v>
      </c>
      <c r="F2055" s="178">
        <v>2022</v>
      </c>
      <c r="G2055" s="188"/>
      <c r="H2055" s="188"/>
      <c r="I2055" s="178"/>
      <c r="J2055" s="188"/>
      <c r="K2055" s="188"/>
      <c r="L2055" s="188"/>
      <c r="M2055" s="178"/>
      <c r="N2055" s="178"/>
      <c r="O2055" s="178"/>
      <c r="P2055" s="188">
        <v>577500000</v>
      </c>
      <c r="Q2055" s="211">
        <f>P2055*E2055</f>
        <v>110007975000</v>
      </c>
      <c r="R2055" s="195"/>
      <c r="S2055" s="178"/>
      <c r="T2055" s="180"/>
      <c r="U2055" s="189" t="str">
        <f>IFERROR(IF(Tableau3[[#This Row],[Dettes]]=0,"",(Tableau3[[#This Row],[Dettes]]/Tableau3[[#This Row],[EBE]])),"")</f>
        <v/>
      </c>
      <c r="V2055" s="190" t="str">
        <f>IFERROR(Tableau3[[#This Row],[Fonds propres]]/Tableau3[[#This Row],[Total Bilan]],"")</f>
        <v/>
      </c>
      <c r="W2055" s="180"/>
      <c r="Y2055" s="180">
        <v>140000</v>
      </c>
      <c r="Z2055" s="192">
        <f>IFERROR(Tableau3[[#This Row],[Chiffre d''affaires]]/Tableau3[[#This Row],[Salariés]],"")</f>
        <v>0</v>
      </c>
      <c r="AA2055" s="177"/>
      <c r="AC2055" s="177" t="s">
        <v>1438</v>
      </c>
    </row>
    <row r="2056" spans="1:29" ht="20.25" customHeight="1">
      <c r="E2056" s="187"/>
      <c r="G2056" s="188"/>
      <c r="H2056" s="188"/>
      <c r="I2056" s="178"/>
      <c r="J2056" s="188"/>
      <c r="K2056" s="188"/>
      <c r="L2056" s="188"/>
      <c r="M2056" s="178"/>
      <c r="N2056" s="178"/>
      <c r="O2056" s="178"/>
      <c r="P2056" s="178"/>
      <c r="Q2056" s="178"/>
      <c r="R2056" s="195"/>
      <c r="S2056" s="178"/>
      <c r="T2056" s="180"/>
      <c r="U2056" s="189" t="str">
        <f>IFERROR(IF(Tableau3[[#This Row],[Dettes]]=0,"",(Tableau3[[#This Row],[Dettes]]/Tableau3[[#This Row],[EBE]])),"")</f>
        <v/>
      </c>
      <c r="V2056" s="190" t="str">
        <f>IFERROR(Tableau3[[#This Row],[Fonds propres]]/Tableau3[[#This Row],[Total Bilan]],"")</f>
        <v/>
      </c>
      <c r="W2056" s="180"/>
      <c r="Y2056" s="180"/>
      <c r="Z2056" s="192" t="str">
        <f>IFERROR(Tableau3[[#This Row],[Chiffre d''affaires]]/Tableau3[[#This Row],[Salariés]],"")</f>
        <v/>
      </c>
      <c r="AA2056" s="177"/>
      <c r="AC2056" s="177" t="s">
        <v>1439</v>
      </c>
    </row>
    <row r="2057" spans="1:29" ht="20.25" customHeight="1">
      <c r="E2057" s="187">
        <v>215</v>
      </c>
      <c r="F2057" s="178">
        <v>2021</v>
      </c>
      <c r="G2057" s="188">
        <v>62286000000</v>
      </c>
      <c r="H2057" s="188"/>
      <c r="I2057" s="188">
        <v>-2902000000</v>
      </c>
      <c r="J2057" s="188">
        <v>-4202000000</v>
      </c>
      <c r="K2057" s="188"/>
      <c r="L2057" s="188"/>
      <c r="M2057" s="178"/>
      <c r="N2057" s="178"/>
      <c r="O2057" s="178"/>
      <c r="P2057" s="178"/>
      <c r="Q2057" s="178"/>
      <c r="R2057" s="195"/>
      <c r="S2057" s="178"/>
      <c r="T2057" s="180"/>
      <c r="U2057" s="189" t="str">
        <f>IFERROR(IF(Tableau3[[#This Row],[Dettes]]=0,"",(Tableau3[[#This Row],[Dettes]]/Tableau3[[#This Row],[EBE]])),"")</f>
        <v/>
      </c>
      <c r="V2057" s="190" t="str">
        <f>IFERROR(Tableau3[[#This Row],[Fonds propres]]/Tableau3[[#This Row],[Total Bilan]],"")</f>
        <v/>
      </c>
      <c r="W2057" s="180"/>
      <c r="Y2057" s="180">
        <v>140000</v>
      </c>
      <c r="Z2057" s="192">
        <f>IFERROR(Tableau3[[#This Row],[Chiffre d''affaires]]/Tableau3[[#This Row],[Salariés]],"")</f>
        <v>444900</v>
      </c>
      <c r="AA2057" s="177"/>
      <c r="AC2057" s="177" t="s">
        <v>1440</v>
      </c>
    </row>
    <row r="2058" spans="1:29" ht="20.25" customHeight="1">
      <c r="E2058" s="187"/>
      <c r="G2058" s="188"/>
      <c r="H2058" s="188"/>
      <c r="I2058" s="188"/>
      <c r="J2058" s="188"/>
      <c r="K2058" s="188"/>
      <c r="L2058" s="188"/>
      <c r="M2058" s="178"/>
      <c r="N2058" s="178"/>
      <c r="O2058" s="178"/>
      <c r="P2058" s="178"/>
      <c r="Q2058" s="178"/>
      <c r="R2058" s="195"/>
      <c r="S2058" s="178"/>
      <c r="T2058" s="180"/>
      <c r="U2058" s="189" t="str">
        <f>IFERROR(IF(Tableau3[[#This Row],[Dettes]]=0,"",(Tableau3[[#This Row],[Dettes]]/Tableau3[[#This Row],[EBE]])),"")</f>
        <v/>
      </c>
      <c r="V2058" s="190" t="str">
        <f>IFERROR(Tableau3[[#This Row],[Fonds propres]]/Tableau3[[#This Row],[Total Bilan]],"")</f>
        <v/>
      </c>
      <c r="W2058" s="180"/>
      <c r="Y2058" s="180"/>
      <c r="Z2058" s="192" t="str">
        <f>IFERROR(Tableau3[[#This Row],[Chiffre d''affaires]]/Tableau3[[#This Row],[Salariés]],"")</f>
        <v/>
      </c>
      <c r="AA2058" s="177"/>
      <c r="AC2058" s="177" t="s">
        <v>1441</v>
      </c>
    </row>
    <row r="2059" spans="1:29" ht="20.25" customHeight="1">
      <c r="E2059" s="187">
        <v>214.06</v>
      </c>
      <c r="F2059" s="178">
        <v>2020</v>
      </c>
      <c r="G2059" s="188">
        <v>58158000000</v>
      </c>
      <c r="H2059" s="188"/>
      <c r="I2059" s="188">
        <v>-12767000000</v>
      </c>
      <c r="J2059" s="188">
        <v>-11873000000</v>
      </c>
      <c r="K2059" s="188"/>
      <c r="L2059" s="188"/>
      <c r="M2059" s="178"/>
      <c r="N2059" s="178"/>
      <c r="O2059" s="178"/>
      <c r="P2059" s="178"/>
      <c r="Q2059" s="178"/>
      <c r="R2059" s="195"/>
      <c r="S2059" s="178"/>
      <c r="T2059" s="180"/>
      <c r="U2059" s="189" t="str">
        <f>IFERROR(IF(Tableau3[[#This Row],[Dettes]]=0,"",(Tableau3[[#This Row],[Dettes]]/Tableau3[[#This Row],[EBE]])),"")</f>
        <v/>
      </c>
      <c r="V2059" s="190" t="str">
        <f>IFERROR(Tableau3[[#This Row],[Fonds propres]]/Tableau3[[#This Row],[Total Bilan]],"")</f>
        <v/>
      </c>
      <c r="W2059" s="180"/>
      <c r="Y2059" s="180">
        <v>140000</v>
      </c>
      <c r="Z2059" s="192">
        <f>IFERROR(Tableau3[[#This Row],[Chiffre d''affaires]]/Tableau3[[#This Row],[Salariés]],"")</f>
        <v>415414.28571428574</v>
      </c>
      <c r="AA2059" s="177"/>
      <c r="AC2059" s="177" t="s">
        <v>1442</v>
      </c>
    </row>
    <row r="2060" spans="1:29" ht="20.25" customHeight="1">
      <c r="E2060" s="187"/>
      <c r="G2060" s="188"/>
      <c r="H2060" s="188"/>
      <c r="I2060" s="188"/>
      <c r="J2060" s="188"/>
      <c r="K2060" s="188"/>
      <c r="L2060" s="188"/>
      <c r="M2060" s="178"/>
      <c r="N2060" s="178"/>
      <c r="O2060" s="178"/>
      <c r="P2060" s="178"/>
      <c r="Q2060" s="178"/>
      <c r="R2060" s="195"/>
      <c r="S2060" s="178"/>
      <c r="T2060" s="180"/>
      <c r="U2060" s="189" t="str">
        <f>IFERROR(IF(Tableau3[[#This Row],[Dettes]]=0,"",(Tableau3[[#This Row],[Dettes]]/Tableau3[[#This Row],[EBE]])),"")</f>
        <v/>
      </c>
      <c r="V2060" s="190" t="str">
        <f>IFERROR(Tableau3[[#This Row],[Fonds propres]]/Tableau3[[#This Row],[Total Bilan]],"")</f>
        <v/>
      </c>
      <c r="W2060" s="180"/>
      <c r="Y2060" s="180"/>
      <c r="Z2060" s="192" t="str">
        <f>IFERROR(Tableau3[[#This Row],[Chiffre d''affaires]]/Tableau3[[#This Row],[Salariés]],"")</f>
        <v/>
      </c>
      <c r="AA2060" s="177"/>
      <c r="AC2060" s="177" t="s">
        <v>1443</v>
      </c>
    </row>
    <row r="2061" spans="1:29" ht="20.25" customHeight="1">
      <c r="E2061" s="187">
        <v>329</v>
      </c>
      <c r="F2061" s="178">
        <v>2019</v>
      </c>
      <c r="G2061" s="188">
        <v>76559000000</v>
      </c>
      <c r="H2061" s="188"/>
      <c r="I2061" s="188">
        <v>-1975000000</v>
      </c>
      <c r="J2061" s="188">
        <v>-636000000</v>
      </c>
      <c r="K2061" s="188"/>
      <c r="L2061" s="188"/>
      <c r="M2061" s="178"/>
      <c r="N2061" s="178"/>
      <c r="O2061" s="178"/>
      <c r="P2061" s="178"/>
      <c r="Q2061" s="178"/>
      <c r="R2061" s="195"/>
      <c r="S2061" s="178"/>
      <c r="T2061" s="180"/>
      <c r="U2061" s="189" t="str">
        <f>IFERROR(IF(Tableau3[[#This Row],[Dettes]]=0,"",(Tableau3[[#This Row],[Dettes]]/Tableau3[[#This Row],[EBE]])),"")</f>
        <v/>
      </c>
      <c r="V2061" s="190" t="str">
        <f>IFERROR(Tableau3[[#This Row],[Fonds propres]]/Tableau3[[#This Row],[Total Bilan]],"")</f>
        <v/>
      </c>
      <c r="W2061" s="180"/>
      <c r="Y2061" s="180"/>
      <c r="Z2061" s="192" t="str">
        <f>IFERROR(Tableau3[[#This Row],[Chiffre d''affaires]]/Tableau3[[#This Row],[Salariés]],"")</f>
        <v/>
      </c>
      <c r="AA2061" s="177"/>
      <c r="AC2061" s="177" t="s">
        <v>876</v>
      </c>
    </row>
    <row r="2062" spans="1:29" ht="20.25" customHeight="1">
      <c r="E2062" s="187"/>
      <c r="G2062" s="188"/>
      <c r="H2062" s="188"/>
      <c r="I2062" s="188"/>
      <c r="J2062" s="188"/>
      <c r="K2062" s="188"/>
      <c r="L2062" s="188"/>
      <c r="M2062" s="178"/>
      <c r="N2062" s="178"/>
      <c r="O2062" s="178"/>
      <c r="P2062" s="178"/>
      <c r="Q2062" s="178"/>
      <c r="R2062" s="195"/>
      <c r="S2062" s="178"/>
      <c r="T2062" s="180"/>
      <c r="U2062" s="189" t="str">
        <f>IFERROR(IF(Tableau3[[#This Row],[Dettes]]=0,"",(Tableau3[[#This Row],[Dettes]]/Tableau3[[#This Row],[EBE]])),"")</f>
        <v/>
      </c>
      <c r="V2062" s="190" t="str">
        <f>IFERROR(Tableau3[[#This Row],[Fonds propres]]/Tableau3[[#This Row],[Total Bilan]],"")</f>
        <v/>
      </c>
      <c r="W2062" s="180"/>
      <c r="Y2062" s="180"/>
      <c r="Z2062" s="192" t="str">
        <f>IFERROR(Tableau3[[#This Row],[Chiffre d''affaires]]/Tableau3[[#This Row],[Salariés]],"")</f>
        <v/>
      </c>
      <c r="AA2062" s="177"/>
      <c r="AC2062" s="177" t="s">
        <v>1444</v>
      </c>
    </row>
    <row r="2063" spans="1:29" ht="20.25" customHeight="1">
      <c r="E2063" s="187">
        <v>327</v>
      </c>
      <c r="F2063" s="178">
        <v>2018</v>
      </c>
      <c r="G2063" s="188">
        <v>101000000000</v>
      </c>
      <c r="H2063" s="188"/>
      <c r="I2063" s="188"/>
      <c r="J2063" s="188"/>
      <c r="K2063" s="188"/>
      <c r="L2063" s="178"/>
      <c r="M2063" s="178"/>
      <c r="N2063" s="178"/>
      <c r="O2063" s="178"/>
      <c r="P2063" s="188">
        <v>577500000</v>
      </c>
      <c r="Q2063" s="211">
        <f>P2063*E2063</f>
        <v>188842500000</v>
      </c>
      <c r="R2063" s="195"/>
      <c r="S2063" s="178"/>
      <c r="T2063" s="180"/>
      <c r="U2063" s="189" t="str">
        <f>IFERROR(IF(Tableau3[[#This Row],[Dettes]]=0,"",(Tableau3[[#This Row],[Dettes]]/Tableau3[[#This Row],[EBE]])),"")</f>
        <v/>
      </c>
      <c r="V2063" s="190" t="str">
        <f>IFERROR(Tableau3[[#This Row],[Fonds propres]]/Tableau3[[#This Row],[Total Bilan]],"")</f>
        <v/>
      </c>
      <c r="W2063" s="180"/>
      <c r="Y2063" s="180"/>
      <c r="Z2063" s="192" t="str">
        <f>IFERROR(Tableau3[[#This Row],[Chiffre d''affaires]]/Tableau3[[#This Row],[Salariés]],"")</f>
        <v/>
      </c>
      <c r="AA2063" s="177"/>
      <c r="AC2063" s="177" t="s">
        <v>1445</v>
      </c>
    </row>
    <row r="2064" spans="1:29" ht="20.25" customHeight="1">
      <c r="E2064" s="187"/>
      <c r="G2064" s="188"/>
      <c r="H2064" s="188"/>
      <c r="I2064" s="188"/>
      <c r="J2064" s="188"/>
      <c r="K2064" s="188"/>
      <c r="L2064" s="188"/>
      <c r="M2064" s="178"/>
      <c r="N2064" s="178"/>
      <c r="O2064" s="178"/>
      <c r="P2064" s="178"/>
      <c r="Q2064" s="178"/>
      <c r="R2064" s="195"/>
      <c r="S2064" s="178"/>
      <c r="T2064" s="180"/>
      <c r="U2064" s="189" t="str">
        <f>IFERROR(IF(Tableau3[[#This Row],[Dettes]]=0,"",(Tableau3[[#This Row],[Dettes]]/Tableau3[[#This Row],[EBE]])),"")</f>
        <v/>
      </c>
      <c r="V2064" s="190" t="str">
        <f>IFERROR(Tableau3[[#This Row],[Fonds propres]]/Tableau3[[#This Row],[Total Bilan]],"")</f>
        <v/>
      </c>
      <c r="W2064" s="180"/>
      <c r="Y2064" s="180"/>
      <c r="Z2064" s="192" t="str">
        <f>IFERROR(Tableau3[[#This Row],[Chiffre d''affaires]]/Tableau3[[#This Row],[Salariés]],"")</f>
        <v/>
      </c>
      <c r="AA2064" s="177"/>
    </row>
    <row r="2065" spans="1:29" ht="20.25" customHeight="1">
      <c r="E2065" s="187">
        <v>336</v>
      </c>
      <c r="F2065" s="178">
        <v>2017</v>
      </c>
      <c r="G2065" s="188"/>
      <c r="H2065" s="188"/>
      <c r="I2065" s="178"/>
      <c r="J2065" s="188"/>
      <c r="K2065" s="188"/>
      <c r="L2065" s="188"/>
      <c r="M2065" s="178"/>
      <c r="N2065" s="178"/>
      <c r="O2065" s="178"/>
      <c r="P2065" s="178"/>
      <c r="Q2065" s="178"/>
      <c r="R2065" s="195"/>
      <c r="S2065" s="178"/>
      <c r="T2065" s="180"/>
      <c r="U2065" s="189" t="str">
        <f>IFERROR(IF(Tableau3[[#This Row],[Dettes]]=0,"",(Tableau3[[#This Row],[Dettes]]/Tableau3[[#This Row],[EBE]])),"")</f>
        <v/>
      </c>
      <c r="V2065" s="190" t="str">
        <f>IFERROR(Tableau3[[#This Row],[Fonds propres]]/Tableau3[[#This Row],[Total Bilan]],"")</f>
        <v/>
      </c>
      <c r="W2065" s="180"/>
      <c r="Y2065" s="180"/>
      <c r="Z2065" s="192" t="str">
        <f>IFERROR(Tableau3[[#This Row],[Chiffre d''affaires]]/Tableau3[[#This Row],[Salariés]],"")</f>
        <v/>
      </c>
      <c r="AA2065" s="177"/>
    </row>
    <row r="2066" spans="1:29" ht="20.25" customHeight="1">
      <c r="E2066" s="234"/>
      <c r="G2066" s="188"/>
      <c r="H2066" s="188"/>
      <c r="I2066" s="178"/>
      <c r="J2066" s="188"/>
      <c r="K2066" s="188"/>
      <c r="L2066" s="188"/>
      <c r="M2066" s="178"/>
      <c r="N2066" s="178"/>
      <c r="O2066" s="178"/>
      <c r="P2066" s="178"/>
      <c r="Q2066" s="178"/>
      <c r="R2066" s="195"/>
      <c r="S2066" s="178"/>
      <c r="T2066" s="180"/>
      <c r="U2066" s="189" t="str">
        <f>IFERROR(IF(Tableau3[[#This Row],[Dettes]]=0,"",(Tableau3[[#This Row],[Dettes]]/Tableau3[[#This Row],[EBE]])),"")</f>
        <v/>
      </c>
      <c r="V2066" s="190" t="str">
        <f>IFERROR(Tableau3[[#This Row],[Fonds propres]]/Tableau3[[#This Row],[Total Bilan]],"")</f>
        <v/>
      </c>
      <c r="W2066" s="180"/>
      <c r="Y2066" s="180"/>
      <c r="Z2066" s="192" t="str">
        <f>IFERROR(Tableau3[[#This Row],[Chiffre d''affaires]]/Tableau3[[#This Row],[Salariés]],"")</f>
        <v/>
      </c>
      <c r="AA2066" s="177"/>
    </row>
    <row r="2067" spans="1:29" ht="20.25" customHeight="1">
      <c r="G2067" s="188"/>
      <c r="H2067" s="188"/>
      <c r="I2067" s="178"/>
      <c r="J2067" s="188"/>
      <c r="K2067" s="188"/>
      <c r="L2067" s="188"/>
      <c r="M2067" s="178"/>
      <c r="N2067" s="178"/>
      <c r="O2067" s="178"/>
      <c r="P2067" s="178"/>
      <c r="Q2067" s="178"/>
      <c r="R2067" s="195"/>
      <c r="S2067" s="178"/>
      <c r="T2067" s="180"/>
      <c r="U2067" s="189" t="str">
        <f>IFERROR(IF(Tableau3[[#This Row],[Dettes]]=0,"",(Tableau3[[#This Row],[Dettes]]/Tableau3[[#This Row],[EBE]])),"")</f>
        <v/>
      </c>
      <c r="V2067" s="190" t="str">
        <f>IFERROR(Tableau3[[#This Row],[Fonds propres]]/Tableau3[[#This Row],[Total Bilan]],"")</f>
        <v/>
      </c>
      <c r="W2067" s="180"/>
      <c r="Y2067" s="180"/>
      <c r="Z2067" s="192" t="str">
        <f>IFERROR(Tableau3[[#This Row],[Chiffre d''affaires]]/Tableau3[[#This Row],[Salariés]],"")</f>
        <v/>
      </c>
      <c r="AA2067" s="177"/>
    </row>
    <row r="2068" spans="1:29" ht="20.25" customHeight="1">
      <c r="E2068" s="217"/>
      <c r="G2068" s="188"/>
      <c r="H2068" s="188"/>
      <c r="I2068" s="178"/>
      <c r="J2068" s="188"/>
      <c r="K2068" s="188"/>
      <c r="L2068" s="188"/>
      <c r="M2068" s="178"/>
      <c r="N2068" s="178"/>
      <c r="O2068" s="178"/>
      <c r="P2068" s="178"/>
      <c r="Q2068" s="178"/>
      <c r="R2068" s="195"/>
      <c r="S2068" s="178"/>
      <c r="T2068" s="180"/>
      <c r="U2068" s="189" t="str">
        <f>IFERROR(IF(Tableau3[[#This Row],[Dettes]]=0,"",(Tableau3[[#This Row],[Dettes]]/Tableau3[[#This Row],[EBE]])),"")</f>
        <v/>
      </c>
      <c r="V2068" s="190" t="str">
        <f>IFERROR(Tableau3[[#This Row],[Fonds propres]]/Tableau3[[#This Row],[Total Bilan]],"")</f>
        <v/>
      </c>
      <c r="W2068" s="180"/>
      <c r="Y2068" s="180"/>
      <c r="Z2068" s="192" t="str">
        <f>IFERROR(Tableau3[[#This Row],[Chiffre d''affaires]]/Tableau3[[#This Row],[Salariés]],"")</f>
        <v/>
      </c>
      <c r="AA2068" s="177"/>
    </row>
    <row r="2069" spans="1:29" ht="20.25" customHeight="1">
      <c r="F2069" s="217" t="s">
        <v>1446</v>
      </c>
      <c r="G2069" s="188"/>
      <c r="H2069" s="188"/>
      <c r="I2069" s="178"/>
      <c r="J2069" s="188"/>
      <c r="K2069" s="188"/>
      <c r="L2069" s="188"/>
      <c r="M2069" s="178"/>
      <c r="N2069" s="178"/>
      <c r="O2069" s="178"/>
      <c r="P2069" s="178"/>
      <c r="Q2069" s="178"/>
      <c r="R2069" s="195"/>
      <c r="S2069" s="178"/>
      <c r="T2069" s="180"/>
      <c r="U2069" s="189" t="str">
        <f>IFERROR(IF(Tableau3[[#This Row],[Dettes]]=0,"",(Tableau3[[#This Row],[Dettes]]/Tableau3[[#This Row],[EBE]])),"")</f>
        <v/>
      </c>
      <c r="V2069" s="190" t="str">
        <f>IFERROR(Tableau3[[#This Row],[Fonds propres]]/Tableau3[[#This Row],[Total Bilan]],"")</f>
        <v/>
      </c>
      <c r="W2069" s="180"/>
      <c r="Y2069" s="180"/>
      <c r="Z2069" s="192" t="str">
        <f>IFERROR(Tableau3[[#This Row],[Chiffre d''affaires]]/Tableau3[[#This Row],[Salariés]],"")</f>
        <v/>
      </c>
      <c r="AA2069" s="177"/>
    </row>
    <row r="2070" spans="1:29" ht="20.25" customHeight="1">
      <c r="G2070" s="188"/>
      <c r="H2070" s="188"/>
      <c r="I2070" s="178"/>
      <c r="J2070" s="188"/>
      <c r="K2070" s="188"/>
      <c r="L2070" s="188"/>
      <c r="M2070" s="178"/>
      <c r="N2070" s="178"/>
      <c r="O2070" s="178"/>
      <c r="P2070" s="178"/>
      <c r="Q2070" s="178"/>
      <c r="R2070" s="195"/>
      <c r="S2070" s="178"/>
      <c r="T2070" s="180"/>
      <c r="U2070" s="189" t="str">
        <f>IFERROR(IF(Tableau3[[#This Row],[Dettes]]=0,"",(Tableau3[[#This Row],[Dettes]]/Tableau3[[#This Row],[EBE]])),"")</f>
        <v/>
      </c>
      <c r="V2070" s="190" t="str">
        <f>IFERROR(Tableau3[[#This Row],[Fonds propres]]/Tableau3[[#This Row],[Total Bilan]],"")</f>
        <v/>
      </c>
      <c r="W2070" s="180"/>
      <c r="Y2070" s="180"/>
      <c r="Z2070" s="192" t="str">
        <f>IFERROR(Tableau3[[#This Row],[Chiffre d''affaires]]/Tableau3[[#This Row],[Salariés]],"")</f>
        <v/>
      </c>
      <c r="AA2070" s="177"/>
    </row>
    <row r="2071" spans="1:29" ht="20.25" customHeight="1">
      <c r="A2071" s="217" t="s">
        <v>1447</v>
      </c>
      <c r="B2071" s="216" t="s">
        <v>1448</v>
      </c>
      <c r="C2071" s="178" t="s">
        <v>196</v>
      </c>
      <c r="D2071" s="178" t="s">
        <v>85</v>
      </c>
      <c r="E2071" s="187">
        <v>74.400000000000006</v>
      </c>
      <c r="F2071" s="178">
        <v>2021</v>
      </c>
      <c r="G2071" s="188">
        <v>136600000</v>
      </c>
      <c r="H2071" s="188"/>
      <c r="I2071" s="188">
        <v>12700000</v>
      </c>
      <c r="J2071" s="188">
        <v>-18500000</v>
      </c>
      <c r="K2071" s="188">
        <v>12500000</v>
      </c>
      <c r="L2071" s="188">
        <v>70000000</v>
      </c>
      <c r="M2071" s="194">
        <f>L2071/P2071</f>
        <v>11.631980102002496</v>
      </c>
      <c r="N2071" s="190">
        <f>J2071/L2071</f>
        <v>-0.26428571428571429</v>
      </c>
      <c r="O2071" s="190">
        <f>(I2071*0.64)/(K2071+(M2071*P2071))</f>
        <v>9.8521212121212121E-2</v>
      </c>
      <c r="P2071" s="188">
        <v>6017892</v>
      </c>
      <c r="Q2071" s="211">
        <f>P2071*E2071</f>
        <v>447731164.80000001</v>
      </c>
      <c r="R2071" s="195"/>
      <c r="S2071" s="178"/>
      <c r="T2071" s="180">
        <v>10900000</v>
      </c>
      <c r="U2071" s="189" t="str">
        <f>IFERROR(IF(Tableau3[[#This Row],[Dettes]]=0,"",(Tableau3[[#This Row],[Dettes]]/Tableau3[[#This Row],[EBE]])),"")</f>
        <v/>
      </c>
      <c r="V2071" s="190" t="str">
        <f>IFERROR(Tableau3[[#This Row],[Fonds propres]]/Tableau3[[#This Row],[Total Bilan]],"")</f>
        <v/>
      </c>
      <c r="W2071" s="180"/>
      <c r="Y2071" s="180"/>
      <c r="Z2071" s="192" t="str">
        <f>IFERROR(Tableau3[[#This Row],[Chiffre d''affaires]]/Tableau3[[#This Row],[Salariés]],"")</f>
        <v/>
      </c>
      <c r="AA2071" s="177"/>
      <c r="AC2071" s="177" t="s">
        <v>1449</v>
      </c>
    </row>
    <row r="2072" spans="1:29" ht="20.25" customHeight="1">
      <c r="E2072" s="234"/>
      <c r="G2072" s="202">
        <f>(G2071/G2073)-1</f>
        <v>3.0165912518853588E-2</v>
      </c>
      <c r="H2072" s="203"/>
      <c r="I2072" s="203">
        <f>(I2071/I2073)-1</f>
        <v>2.1749999999999998</v>
      </c>
      <c r="J2072" s="203"/>
      <c r="K2072" s="188"/>
      <c r="L2072" s="188"/>
      <c r="M2072" s="188"/>
      <c r="N2072" s="188"/>
      <c r="O2072" s="188"/>
      <c r="P2072" s="188"/>
      <c r="Q2072" s="178"/>
      <c r="R2072" s="195"/>
      <c r="S2072" s="178"/>
      <c r="T2072" s="180"/>
      <c r="U2072" s="189" t="str">
        <f>IFERROR(IF(Tableau3[[#This Row],[Dettes]]=0,"",(Tableau3[[#This Row],[Dettes]]/Tableau3[[#This Row],[EBE]])),"")</f>
        <v/>
      </c>
      <c r="V2072" s="190" t="str">
        <f>IFERROR(Tableau3[[#This Row],[Fonds propres]]/Tableau3[[#This Row],[Total Bilan]],"")</f>
        <v/>
      </c>
      <c r="W2072" s="180"/>
      <c r="Y2072" s="180"/>
      <c r="Z2072" s="192" t="str">
        <f>IFERROR(Tableau3[[#This Row],[Chiffre d''affaires]]/Tableau3[[#This Row],[Salariés]],"")</f>
        <v/>
      </c>
      <c r="AA2072" s="177"/>
      <c r="AC2072" s="177" t="s">
        <v>1451</v>
      </c>
    </row>
    <row r="2073" spans="1:29" ht="20.25" customHeight="1">
      <c r="A2073" s="217"/>
      <c r="E2073" s="178">
        <v>44.5</v>
      </c>
      <c r="F2073" s="178">
        <v>2020</v>
      </c>
      <c r="G2073" s="188">
        <v>132600000</v>
      </c>
      <c r="H2073" s="188"/>
      <c r="I2073" s="188">
        <v>4000000</v>
      </c>
      <c r="J2073" s="188">
        <v>1400000</v>
      </c>
      <c r="K2073" s="188">
        <v>24900000</v>
      </c>
      <c r="L2073" s="188">
        <v>87861000</v>
      </c>
      <c r="M2073" s="194">
        <f>L2073/P2073</f>
        <v>14.599962910600588</v>
      </c>
      <c r="N2073" s="190">
        <f>J2073/L2073</f>
        <v>1.593425979672437E-2</v>
      </c>
      <c r="O2073" s="190">
        <f>(I2073*0.64)/(K2073+(M2073*P2073))</f>
        <v>2.270288486267415E-2</v>
      </c>
      <c r="P2073" s="188">
        <v>6017892</v>
      </c>
      <c r="Q2073" s="211">
        <f>P2073*E2071</f>
        <v>447731164.80000001</v>
      </c>
      <c r="R2073" s="195">
        <f>Q2073/L2073</f>
        <v>5.0959033564380105</v>
      </c>
      <c r="S2073" s="197" t="e">
        <f>(Q2073+K2073)/H2073</f>
        <v>#DIV/0!</v>
      </c>
      <c r="T2073" s="180"/>
      <c r="U2073" s="189" t="str">
        <f>IFERROR(IF(Tableau3[[#This Row],[Dettes]]=0,"",(Tableau3[[#This Row],[Dettes]]/Tableau3[[#This Row],[EBE]])),"")</f>
        <v/>
      </c>
      <c r="V2073" s="190" t="str">
        <f>IFERROR(Tableau3[[#This Row],[Fonds propres]]/Tableau3[[#This Row],[Total Bilan]],"")</f>
        <v/>
      </c>
      <c r="W2073" s="180"/>
      <c r="Y2073" s="180"/>
      <c r="Z2073" s="192" t="str">
        <f>IFERROR(Tableau3[[#This Row],[Chiffre d''affaires]]/Tableau3[[#This Row],[Salariés]],"")</f>
        <v/>
      </c>
      <c r="AA2073" s="177"/>
      <c r="AC2073" s="177" t="s">
        <v>1452</v>
      </c>
    </row>
    <row r="2074" spans="1:29" ht="20.25" customHeight="1">
      <c r="E2074" s="232"/>
      <c r="G2074" s="202">
        <f>(G2073/G2075)-1</f>
        <v>-4.8869187235049849E-2</v>
      </c>
      <c r="H2074" s="203"/>
      <c r="I2074" s="203">
        <f>(I2073/I2075)-1</f>
        <v>-0.4285714285714286</v>
      </c>
      <c r="J2074" s="203">
        <f>(J2073/J2075)-1</f>
        <v>-0.5800839832033593</v>
      </c>
      <c r="K2074" s="188"/>
      <c r="L2074" s="178"/>
      <c r="M2074" s="178"/>
      <c r="N2074" s="178"/>
      <c r="O2074" s="178"/>
      <c r="P2074" s="178"/>
      <c r="Q2074" s="178"/>
      <c r="R2074" s="195"/>
      <c r="S2074" s="178"/>
      <c r="T2074" s="180"/>
      <c r="U2074" s="189" t="str">
        <f>IFERROR(IF(Tableau3[[#This Row],[Dettes]]=0,"",(Tableau3[[#This Row],[Dettes]]/Tableau3[[#This Row],[EBE]])),"")</f>
        <v/>
      </c>
      <c r="V2074" s="190" t="str">
        <f>IFERROR(Tableau3[[#This Row],[Fonds propres]]/Tableau3[[#This Row],[Total Bilan]],"")</f>
        <v/>
      </c>
      <c r="W2074" s="180"/>
      <c r="Y2074" s="180"/>
      <c r="Z2074" s="192" t="str">
        <f>IFERROR(Tableau3[[#This Row],[Chiffre d''affaires]]/Tableau3[[#This Row],[Salariés]],"")</f>
        <v/>
      </c>
      <c r="AA2074" s="177"/>
      <c r="AC2074" s="177" t="s">
        <v>1453</v>
      </c>
    </row>
    <row r="2075" spans="1:29" ht="20.25" customHeight="1">
      <c r="A2075" s="217"/>
      <c r="E2075" s="187">
        <v>45.8</v>
      </c>
      <c r="F2075" s="178">
        <v>2019</v>
      </c>
      <c r="G2075" s="188">
        <f>G2077</f>
        <v>139413000</v>
      </c>
      <c r="H2075" s="211">
        <f>H2077</f>
        <v>12100000</v>
      </c>
      <c r="I2075" s="211">
        <v>7000000</v>
      </c>
      <c r="J2075" s="211">
        <v>3334000</v>
      </c>
      <c r="K2075" s="211">
        <v>36255000</v>
      </c>
      <c r="L2075" s="188">
        <v>85912000</v>
      </c>
      <c r="M2075" s="194">
        <f>L2075/P2075</f>
        <v>14.276095350331977</v>
      </c>
      <c r="N2075" s="190">
        <f>J2075/L2075</f>
        <v>3.880715150386442E-2</v>
      </c>
      <c r="O2075" s="190">
        <f>(I2075*0.64)/(K2075+(M2075*P2075))</f>
        <v>3.6671114130657212E-2</v>
      </c>
      <c r="P2075" s="188">
        <v>6017892</v>
      </c>
      <c r="Q2075" s="211">
        <f>P2075*E2075</f>
        <v>275619453.59999996</v>
      </c>
      <c r="R2075" s="195">
        <f>Q2075/L2075</f>
        <v>3.2081601359530678</v>
      </c>
      <c r="S2075" s="197">
        <f>(Q2075+K2075)/H2075</f>
        <v>25.774748231404956</v>
      </c>
      <c r="T2075" s="180"/>
      <c r="U2075" s="189">
        <f>IFERROR(IF(Tableau3[[#This Row],[Dettes]]=0,"",(Tableau3[[#This Row],[Dettes]]/Tableau3[[#This Row],[EBE]])),"")</f>
        <v>2.9962809917355373</v>
      </c>
      <c r="V2075" s="190" t="str">
        <f>IFERROR(Tableau3[[#This Row],[Fonds propres]]/Tableau3[[#This Row],[Total Bilan]],"")</f>
        <v/>
      </c>
      <c r="W2075" s="180"/>
      <c r="X2075" s="191"/>
      <c r="Y2075" s="180"/>
      <c r="Z2075" s="192" t="str">
        <f>IFERROR(Tableau3[[#This Row],[Chiffre d''affaires]]/Tableau3[[#This Row],[Salariés]],"")</f>
        <v/>
      </c>
      <c r="AA2075" s="197"/>
      <c r="AB2075" s="197"/>
      <c r="AC2075" s="177" t="s">
        <v>1454</v>
      </c>
    </row>
    <row r="2076" spans="1:29" ht="20.25" customHeight="1">
      <c r="E2076" s="187"/>
      <c r="G2076" s="202">
        <f>(G2075/G2077)-1</f>
        <v>0</v>
      </c>
      <c r="H2076" s="203">
        <f>(H2075/H2077)-1</f>
        <v>0</v>
      </c>
      <c r="I2076" s="203">
        <f>(I2075/I2077)-1</f>
        <v>-0.13580246913580252</v>
      </c>
      <c r="J2076" s="203">
        <f>(J2075/J2077)-1</f>
        <v>0.40378947368421048</v>
      </c>
      <c r="K2076" s="178"/>
      <c r="L2076" s="178"/>
      <c r="M2076" s="178"/>
      <c r="N2076" s="178"/>
      <c r="O2076" s="178"/>
      <c r="P2076" s="178"/>
      <c r="Q2076" s="178"/>
      <c r="R2076" s="195"/>
      <c r="S2076" s="178"/>
      <c r="T2076" s="180"/>
      <c r="U2076" s="189" t="str">
        <f>IFERROR(IF(Tableau3[[#This Row],[Dettes]]=0,"",(Tableau3[[#This Row],[Dettes]]/Tableau3[[#This Row],[EBE]])),"")</f>
        <v/>
      </c>
      <c r="V2076" s="190" t="str">
        <f>IFERROR(Tableau3[[#This Row],[Fonds propres]]/Tableau3[[#This Row],[Total Bilan]],"")</f>
        <v/>
      </c>
      <c r="W2076" s="180"/>
      <c r="Y2076" s="180"/>
      <c r="Z2076" s="192" t="str">
        <f>IFERROR(Tableau3[[#This Row],[Chiffre d''affaires]]/Tableau3[[#This Row],[Salariés]],"")</f>
        <v/>
      </c>
      <c r="AA2076" s="177"/>
      <c r="AC2076" s="177" t="s">
        <v>1455</v>
      </c>
    </row>
    <row r="2077" spans="1:29" ht="20.25" customHeight="1">
      <c r="A2077" s="217"/>
      <c r="E2077" s="187">
        <v>40</v>
      </c>
      <c r="F2077" s="178">
        <v>2018</v>
      </c>
      <c r="G2077" s="188">
        <v>139413000</v>
      </c>
      <c r="H2077" s="188">
        <v>12100000</v>
      </c>
      <c r="I2077" s="188">
        <v>8100000</v>
      </c>
      <c r="J2077" s="188">
        <v>2375000</v>
      </c>
      <c r="K2077" s="188">
        <v>34089000</v>
      </c>
      <c r="L2077" s="188">
        <v>100638000</v>
      </c>
      <c r="M2077" s="194">
        <f>L2077/P2077</f>
        <v>16.727162000398241</v>
      </c>
      <c r="N2077" s="190">
        <f>J2077/L2077</f>
        <v>2.3599435600866473E-2</v>
      </c>
      <c r="O2077" s="190">
        <f>(I2077*0.64)/(K2077+(M2077*P2077))</f>
        <v>3.8477810683827295E-2</v>
      </c>
      <c r="P2077" s="188">
        <v>6016442</v>
      </c>
      <c r="Q2077" s="211">
        <f>P2077*E2077</f>
        <v>240657680</v>
      </c>
      <c r="R2077" s="195">
        <f>Q2077/L2077</f>
        <v>2.3913201772690238</v>
      </c>
      <c r="S2077" s="197">
        <f>(Q2077+K2077)/H2077</f>
        <v>22.706337190082646</v>
      </c>
      <c r="T2077" s="180"/>
      <c r="U2077" s="189">
        <f>IFERROR(IF(Tableau3[[#This Row],[Dettes]]=0,"",(Tableau3[[#This Row],[Dettes]]/Tableau3[[#This Row],[EBE]])),"")</f>
        <v>2.8172727272727274</v>
      </c>
      <c r="V2077" s="190" t="str">
        <f>IFERROR(Tableau3[[#This Row],[Fonds propres]]/Tableau3[[#This Row],[Total Bilan]],"")</f>
        <v/>
      </c>
      <c r="W2077" s="180"/>
      <c r="X2077" s="191"/>
      <c r="Y2077" s="180"/>
      <c r="Z2077" s="192" t="str">
        <f>IFERROR(Tableau3[[#This Row],[Chiffre d''affaires]]/Tableau3[[#This Row],[Salariés]],"")</f>
        <v/>
      </c>
      <c r="AA2077" s="197"/>
      <c r="AB2077" s="197"/>
      <c r="AC2077" s="177" t="s">
        <v>1456</v>
      </c>
    </row>
    <row r="2078" spans="1:29" ht="20.25" customHeight="1">
      <c r="E2078" s="187"/>
      <c r="G2078" s="202">
        <f>(G2077/G2079)-1</f>
        <v>3.0574303096609246E-2</v>
      </c>
      <c r="H2078" s="203">
        <f>(H2077/H2079)-1</f>
        <v>-0.21249593231370001</v>
      </c>
      <c r="I2078" s="203">
        <f>(I2077/I2079)-1</f>
        <v>-0.40966401865753221</v>
      </c>
      <c r="J2078" s="203">
        <f>(J2077/J2079)-1</f>
        <v>-0.68430147547520936</v>
      </c>
      <c r="K2078" s="188"/>
      <c r="L2078" s="188"/>
      <c r="M2078" s="188"/>
      <c r="N2078" s="188"/>
      <c r="O2078" s="188"/>
      <c r="P2078" s="188"/>
      <c r="Q2078" s="188"/>
      <c r="R2078" s="195"/>
      <c r="S2078" s="188"/>
      <c r="T2078" s="180"/>
      <c r="U2078" s="189" t="str">
        <f>IFERROR(IF(Tableau3[[#This Row],[Dettes]]=0,"",(Tableau3[[#This Row],[Dettes]]/Tableau3[[#This Row],[EBE]])),"")</f>
        <v/>
      </c>
      <c r="V2078" s="190" t="str">
        <f>IFERROR(Tableau3[[#This Row],[Fonds propres]]/Tableau3[[#This Row],[Total Bilan]],"")</f>
        <v/>
      </c>
      <c r="W2078" s="180"/>
      <c r="X2078" s="192"/>
      <c r="Y2078" s="180"/>
      <c r="Z2078" s="192" t="str">
        <f>IFERROR(Tableau3[[#This Row],[Chiffre d''affaires]]/Tableau3[[#This Row],[Salariés]],"")</f>
        <v/>
      </c>
      <c r="AA2078" s="188"/>
      <c r="AB2078" s="188"/>
      <c r="AC2078" s="177" t="s">
        <v>1457</v>
      </c>
    </row>
    <row r="2079" spans="1:29" ht="20.25" customHeight="1">
      <c r="E2079" s="187">
        <v>45</v>
      </c>
      <c r="F2079" s="178">
        <v>2017</v>
      </c>
      <c r="G2079" s="188">
        <v>135277000</v>
      </c>
      <c r="H2079" s="188">
        <v>15365000</v>
      </c>
      <c r="I2079" s="188">
        <v>13721000</v>
      </c>
      <c r="J2079" s="188">
        <v>7523000</v>
      </c>
      <c r="K2079" s="188">
        <f>36031000-15805000+14470000</f>
        <v>34696000</v>
      </c>
      <c r="L2079" s="188">
        <v>98475000</v>
      </c>
      <c r="M2079" s="194">
        <f>L2079/P2079</f>
        <v>16.434434491901857</v>
      </c>
      <c r="N2079" s="190">
        <f>J2079/L2079</f>
        <v>7.639502411779639E-2</v>
      </c>
      <c r="O2079" s="190">
        <f>(I2079*0.64)/(K2079+(M2079*P2079))</f>
        <v>6.594108326887986E-2</v>
      </c>
      <c r="P2079" s="188">
        <v>5991992</v>
      </c>
      <c r="Q2079" s="211">
        <f>P2079*E2079</f>
        <v>269639640</v>
      </c>
      <c r="R2079" s="195">
        <f>Q2079/L2079</f>
        <v>2.7381532368621477</v>
      </c>
      <c r="S2079" s="197">
        <f>(Q2079+K2079)/H2079</f>
        <v>19.807070615034167</v>
      </c>
      <c r="T2079" s="180"/>
      <c r="U2079" s="189">
        <f>IFERROR(IF(Tableau3[[#This Row],[Dettes]]=0,"",(Tableau3[[#This Row],[Dettes]]/Tableau3[[#This Row],[EBE]])),"")</f>
        <v>2.2581191018548648</v>
      </c>
      <c r="V2079" s="190" t="str">
        <f>IFERROR(Tableau3[[#This Row],[Fonds propres]]/Tableau3[[#This Row],[Total Bilan]],"")</f>
        <v/>
      </c>
      <c r="W2079" s="180"/>
      <c r="X2079" s="191"/>
      <c r="Y2079" s="180"/>
      <c r="Z2079" s="192" t="str">
        <f>IFERROR(Tableau3[[#This Row],[Chiffre d''affaires]]/Tableau3[[#This Row],[Salariés]],"")</f>
        <v/>
      </c>
      <c r="AA2079" s="197"/>
      <c r="AB2079" s="197"/>
      <c r="AC2079" s="177" t="s">
        <v>1458</v>
      </c>
    </row>
    <row r="2080" spans="1:29" ht="20.25" customHeight="1">
      <c r="E2080" s="187"/>
      <c r="G2080" s="202">
        <f>(G2079/G2081)-1</f>
        <v>8.4662999727384891E-2</v>
      </c>
      <c r="H2080" s="203">
        <f>(H2079/H2081)-1</f>
        <v>0.30134665876175148</v>
      </c>
      <c r="I2080" s="203">
        <f>(I2079/I2081)-1</f>
        <v>0.46701593071741687</v>
      </c>
      <c r="J2080" s="203">
        <f>(J2079/J2081)-1</f>
        <v>0.41144465290806753</v>
      </c>
      <c r="K2080" s="188"/>
      <c r="L2080" s="188"/>
      <c r="M2080" s="188"/>
      <c r="N2080" s="188"/>
      <c r="O2080" s="188"/>
      <c r="P2080" s="188"/>
      <c r="Q2080" s="188"/>
      <c r="R2080" s="195"/>
      <c r="S2080" s="188"/>
      <c r="T2080" s="180"/>
      <c r="U2080" s="189" t="str">
        <f>IFERROR(IF(Tableau3[[#This Row],[Dettes]]=0,"",(Tableau3[[#This Row],[Dettes]]/Tableau3[[#This Row],[EBE]])),"")</f>
        <v/>
      </c>
      <c r="V2080" s="190" t="str">
        <f>IFERROR(Tableau3[[#This Row],[Fonds propres]]/Tableau3[[#This Row],[Total Bilan]],"")</f>
        <v/>
      </c>
      <c r="W2080" s="180"/>
      <c r="X2080" s="192"/>
      <c r="Y2080" s="180"/>
      <c r="Z2080" s="192" t="str">
        <f>IFERROR(Tableau3[[#This Row],[Chiffre d''affaires]]/Tableau3[[#This Row],[Salariés]],"")</f>
        <v/>
      </c>
      <c r="AA2080" s="188"/>
      <c r="AB2080" s="188"/>
      <c r="AC2080" s="216" t="s">
        <v>1446</v>
      </c>
    </row>
    <row r="2081" spans="1:29" ht="20.25" customHeight="1">
      <c r="E2081" s="187">
        <v>25</v>
      </c>
      <c r="F2081" s="178">
        <v>2016</v>
      </c>
      <c r="G2081" s="188">
        <v>124718000</v>
      </c>
      <c r="H2081" s="188">
        <v>11807000</v>
      </c>
      <c r="I2081" s="188">
        <v>9353000</v>
      </c>
      <c r="J2081" s="188">
        <v>5330000</v>
      </c>
      <c r="K2081" s="188">
        <f>13967000+22593000-10327000</f>
        <v>26233000</v>
      </c>
      <c r="L2081" s="188">
        <v>90842000</v>
      </c>
      <c r="M2081" s="194">
        <f>L2081/P2081</f>
        <v>15.152778815667268</v>
      </c>
      <c r="N2081" s="190">
        <f>J2081/L2081</f>
        <v>5.8673300896061292E-2</v>
      </c>
      <c r="O2081" s="190">
        <f>(I2081*0.64)/(K2081+(M2081*P2081))</f>
        <v>5.1128934443732649E-2</v>
      </c>
      <c r="P2081" s="188">
        <v>5995072</v>
      </c>
      <c r="Q2081" s="211">
        <f>P2081*E2081</f>
        <v>149876800</v>
      </c>
      <c r="R2081" s="195">
        <f>Q2081/L2081</f>
        <v>1.6498623984500562</v>
      </c>
      <c r="S2081" s="197">
        <f>(Q2081+K2081)/H2081</f>
        <v>14.915711018887102</v>
      </c>
      <c r="T2081" s="180"/>
      <c r="U2081" s="189">
        <f>IFERROR(IF(Tableau3[[#This Row],[Dettes]]=0,"",(Tableau3[[#This Row],[Dettes]]/Tableau3[[#This Row],[EBE]])),"")</f>
        <v>2.2218175658507664</v>
      </c>
      <c r="V2081" s="190" t="str">
        <f>IFERROR(Tableau3[[#This Row],[Fonds propres]]/Tableau3[[#This Row],[Total Bilan]],"")</f>
        <v/>
      </c>
      <c r="W2081" s="180"/>
      <c r="X2081" s="191"/>
      <c r="Y2081" s="180"/>
      <c r="Z2081" s="192" t="str">
        <f>IFERROR(Tableau3[[#This Row],[Chiffre d''affaires]]/Tableau3[[#This Row],[Salariés]],"")</f>
        <v/>
      </c>
      <c r="AA2081" s="197"/>
      <c r="AB2081" s="197"/>
    </row>
    <row r="2082" spans="1:29" ht="20.25" customHeight="1">
      <c r="E2082" s="187"/>
      <c r="G2082" s="188"/>
      <c r="H2082" s="178"/>
      <c r="I2082" s="178"/>
      <c r="J2082" s="178"/>
      <c r="K2082" s="178"/>
      <c r="L2082" s="178"/>
      <c r="M2082" s="178"/>
      <c r="N2082" s="178"/>
      <c r="O2082" s="178"/>
      <c r="P2082" s="178"/>
      <c r="Q2082" s="178"/>
      <c r="R2082" s="195"/>
      <c r="S2082" s="178"/>
      <c r="T2082" s="180"/>
      <c r="U2082" s="189" t="str">
        <f>IFERROR(IF(Tableau3[[#This Row],[Dettes]]=0,"",(Tableau3[[#This Row],[Dettes]]/Tableau3[[#This Row],[EBE]])),"")</f>
        <v/>
      </c>
      <c r="V2082" s="190" t="str">
        <f>IFERROR(Tableau3[[#This Row],[Fonds propres]]/Tableau3[[#This Row],[Total Bilan]],"")</f>
        <v/>
      </c>
      <c r="W2082" s="180"/>
      <c r="Y2082" s="180"/>
      <c r="Z2082" s="192" t="str">
        <f>IFERROR(Tableau3[[#This Row],[Chiffre d''affaires]]/Tableau3[[#This Row],[Salariés]],"")</f>
        <v/>
      </c>
      <c r="AA2082" s="177"/>
    </row>
    <row r="2083" spans="1:29" ht="20.25" customHeight="1">
      <c r="E2083" s="187">
        <v>25.05</v>
      </c>
      <c r="F2083" s="178">
        <v>2015</v>
      </c>
      <c r="G2083" s="188"/>
      <c r="H2083" s="178"/>
      <c r="I2083" s="188">
        <v>10000000</v>
      </c>
      <c r="J2083" s="178"/>
      <c r="K2083" s="178"/>
      <c r="L2083" s="178"/>
      <c r="M2083" s="178"/>
      <c r="N2083" s="178"/>
      <c r="O2083" s="178"/>
      <c r="P2083" s="188">
        <v>5866529</v>
      </c>
      <c r="Q2083" s="211">
        <f>P2083*E2083</f>
        <v>146956551.45000002</v>
      </c>
      <c r="R2083" s="195"/>
      <c r="S2083" s="178"/>
      <c r="T2083" s="180"/>
      <c r="U2083" s="189" t="str">
        <f>IFERROR(IF(Tableau3[[#This Row],[Dettes]]=0,"",(Tableau3[[#This Row],[Dettes]]/Tableau3[[#This Row],[EBE]])),"")</f>
        <v/>
      </c>
      <c r="V2083" s="190" t="str">
        <f>IFERROR(Tableau3[[#This Row],[Fonds propres]]/Tableau3[[#This Row],[Total Bilan]],"")</f>
        <v/>
      </c>
      <c r="W2083" s="180"/>
      <c r="Y2083" s="180"/>
      <c r="Z2083" s="192" t="str">
        <f>IFERROR(Tableau3[[#This Row],[Chiffre d''affaires]]/Tableau3[[#This Row],[Salariés]],"")</f>
        <v/>
      </c>
      <c r="AA2083" s="177"/>
    </row>
    <row r="2084" spans="1:29" ht="20.25" customHeight="1">
      <c r="E2084" s="187"/>
      <c r="G2084" s="188"/>
      <c r="H2084" s="178"/>
      <c r="I2084" s="188"/>
      <c r="J2084" s="178"/>
      <c r="K2084" s="178"/>
      <c r="L2084" s="178"/>
      <c r="M2084" s="178"/>
      <c r="N2084" s="178"/>
      <c r="O2084" s="178"/>
      <c r="P2084" s="188"/>
      <c r="Q2084" s="178"/>
      <c r="R2084" s="195"/>
      <c r="S2084" s="178"/>
      <c r="T2084" s="180"/>
      <c r="U2084" s="189" t="str">
        <f>IFERROR(IF(Tableau3[[#This Row],[Dettes]]=0,"",(Tableau3[[#This Row],[Dettes]]/Tableau3[[#This Row],[EBE]])),"")</f>
        <v/>
      </c>
      <c r="V2084" s="190" t="str">
        <f>IFERROR(Tableau3[[#This Row],[Fonds propres]]/Tableau3[[#This Row],[Total Bilan]],"")</f>
        <v/>
      </c>
      <c r="W2084" s="180"/>
      <c r="Y2084" s="180"/>
      <c r="Z2084" s="192" t="str">
        <f>IFERROR(Tableau3[[#This Row],[Chiffre d''affaires]]/Tableau3[[#This Row],[Salariés]],"")</f>
        <v/>
      </c>
      <c r="AA2084" s="177"/>
    </row>
    <row r="2085" spans="1:29" ht="20.25" customHeight="1">
      <c r="E2085" s="187">
        <v>21.56</v>
      </c>
      <c r="F2085" s="178">
        <v>2014</v>
      </c>
      <c r="G2085" s="188"/>
      <c r="H2085" s="178"/>
      <c r="I2085" s="188">
        <v>10000000</v>
      </c>
      <c r="J2085" s="178"/>
      <c r="K2085" s="178"/>
      <c r="L2085" s="178"/>
      <c r="M2085" s="178"/>
      <c r="N2085" s="178"/>
      <c r="O2085" s="178"/>
      <c r="P2085" s="188">
        <v>5866529</v>
      </c>
      <c r="Q2085" s="211">
        <f>P2085*E2085</f>
        <v>126482365.23999999</v>
      </c>
      <c r="R2085" s="195"/>
      <c r="S2085" s="178"/>
      <c r="T2085" s="180"/>
      <c r="U2085" s="189" t="str">
        <f>IFERROR(IF(Tableau3[[#This Row],[Dettes]]=0,"",(Tableau3[[#This Row],[Dettes]]/Tableau3[[#This Row],[EBE]])),"")</f>
        <v/>
      </c>
      <c r="V2085" s="190" t="str">
        <f>IFERROR(Tableau3[[#This Row],[Fonds propres]]/Tableau3[[#This Row],[Total Bilan]],"")</f>
        <v/>
      </c>
      <c r="W2085" s="180"/>
      <c r="Y2085" s="180"/>
      <c r="Z2085" s="192" t="str">
        <f>IFERROR(Tableau3[[#This Row],[Chiffre d''affaires]]/Tableau3[[#This Row],[Salariés]],"")</f>
        <v/>
      </c>
      <c r="AA2085" s="177"/>
    </row>
    <row r="2086" spans="1:29" ht="20.25" customHeight="1">
      <c r="E2086" s="187"/>
      <c r="G2086" s="188"/>
      <c r="H2086" s="178"/>
      <c r="I2086" s="188"/>
      <c r="J2086" s="178"/>
      <c r="K2086" s="178"/>
      <c r="L2086" s="178"/>
      <c r="M2086" s="178"/>
      <c r="N2086" s="178"/>
      <c r="O2086" s="178"/>
      <c r="P2086" s="188"/>
      <c r="Q2086" s="178"/>
      <c r="R2086" s="195"/>
      <c r="S2086" s="178"/>
      <c r="T2086" s="180"/>
      <c r="U2086" s="189" t="str">
        <f>IFERROR(IF(Tableau3[[#This Row],[Dettes]]=0,"",(Tableau3[[#This Row],[Dettes]]/Tableau3[[#This Row],[EBE]])),"")</f>
        <v/>
      </c>
      <c r="V2086" s="190" t="str">
        <f>IFERROR(Tableau3[[#This Row],[Fonds propres]]/Tableau3[[#This Row],[Total Bilan]],"")</f>
        <v/>
      </c>
      <c r="W2086" s="180"/>
      <c r="Y2086" s="180"/>
      <c r="Z2086" s="192" t="str">
        <f>IFERROR(Tableau3[[#This Row],[Chiffre d''affaires]]/Tableau3[[#This Row],[Salariés]],"")</f>
        <v/>
      </c>
      <c r="AA2086" s="177"/>
    </row>
    <row r="2087" spans="1:29" ht="20.25" customHeight="1">
      <c r="E2087" s="187">
        <v>23.9</v>
      </c>
      <c r="F2087" s="178">
        <v>2013</v>
      </c>
      <c r="G2087" s="188"/>
      <c r="H2087" s="178"/>
      <c r="I2087" s="188">
        <v>10000000</v>
      </c>
      <c r="J2087" s="178"/>
      <c r="K2087" s="178"/>
      <c r="L2087" s="178"/>
      <c r="M2087" s="178"/>
      <c r="N2087" s="178"/>
      <c r="O2087" s="178"/>
      <c r="P2087" s="188">
        <v>5866529</v>
      </c>
      <c r="Q2087" s="211">
        <f>P2087*E2087</f>
        <v>140210043.09999999</v>
      </c>
      <c r="R2087" s="195"/>
      <c r="S2087" s="178"/>
      <c r="T2087" s="180"/>
      <c r="U2087" s="189" t="str">
        <f>IFERROR(IF(Tableau3[[#This Row],[Dettes]]=0,"",(Tableau3[[#This Row],[Dettes]]/Tableau3[[#This Row],[EBE]])),"")</f>
        <v/>
      </c>
      <c r="V2087" s="190" t="str">
        <f>IFERROR(Tableau3[[#This Row],[Fonds propres]]/Tableau3[[#This Row],[Total Bilan]],"")</f>
        <v/>
      </c>
      <c r="W2087" s="180"/>
      <c r="Y2087" s="180"/>
      <c r="Z2087" s="192" t="str">
        <f>IFERROR(Tableau3[[#This Row],[Chiffre d''affaires]]/Tableau3[[#This Row],[Salariés]],"")</f>
        <v/>
      </c>
      <c r="AA2087" s="177"/>
    </row>
    <row r="2088" spans="1:29" ht="20.25" customHeight="1">
      <c r="E2088" s="187"/>
      <c r="G2088" s="188"/>
      <c r="H2088" s="178"/>
      <c r="I2088" s="188"/>
      <c r="J2088" s="178"/>
      <c r="K2088" s="178"/>
      <c r="L2088" s="178"/>
      <c r="M2088" s="178"/>
      <c r="N2088" s="178"/>
      <c r="O2088" s="178"/>
      <c r="P2088" s="188"/>
      <c r="Q2088" s="178"/>
      <c r="R2088" s="195"/>
      <c r="S2088" s="178"/>
      <c r="T2088" s="180"/>
      <c r="U2088" s="189" t="str">
        <f>IFERROR(IF(Tableau3[[#This Row],[Dettes]]=0,"",(Tableau3[[#This Row],[Dettes]]/Tableau3[[#This Row],[EBE]])),"")</f>
        <v/>
      </c>
      <c r="V2088" s="190" t="str">
        <f>IFERROR(Tableau3[[#This Row],[Fonds propres]]/Tableau3[[#This Row],[Total Bilan]],"")</f>
        <v/>
      </c>
      <c r="W2088" s="180"/>
      <c r="Y2088" s="180"/>
      <c r="Z2088" s="192" t="str">
        <f>IFERROR(Tableau3[[#This Row],[Chiffre d''affaires]]/Tableau3[[#This Row],[Salariés]],"")</f>
        <v/>
      </c>
      <c r="AA2088" s="177"/>
    </row>
    <row r="2089" spans="1:29" ht="20.25" customHeight="1">
      <c r="E2089" s="187">
        <v>25.4</v>
      </c>
      <c r="F2089" s="178">
        <v>2012</v>
      </c>
      <c r="G2089" s="188"/>
      <c r="H2089" s="178"/>
      <c r="I2089" s="188">
        <v>14000000</v>
      </c>
      <c r="J2089" s="178"/>
      <c r="K2089" s="188">
        <v>12000000</v>
      </c>
      <c r="L2089" s="178"/>
      <c r="M2089" s="178"/>
      <c r="N2089" s="178"/>
      <c r="O2089" s="178"/>
      <c r="P2089" s="188">
        <v>5866529</v>
      </c>
      <c r="Q2089" s="211">
        <f>P2089*E2089</f>
        <v>149009836.59999999</v>
      </c>
      <c r="R2089" s="195"/>
      <c r="S2089" s="178"/>
      <c r="T2089" s="180"/>
      <c r="U2089" s="189" t="str">
        <f>IFERROR(IF(Tableau3[[#This Row],[Dettes]]=0,"",(Tableau3[[#This Row],[Dettes]]/Tableau3[[#This Row],[EBE]])),"")</f>
        <v/>
      </c>
      <c r="V2089" s="190" t="str">
        <f>IFERROR(Tableau3[[#This Row],[Fonds propres]]/Tableau3[[#This Row],[Total Bilan]],"")</f>
        <v/>
      </c>
      <c r="W2089" s="180"/>
      <c r="Y2089" s="180"/>
      <c r="Z2089" s="192" t="str">
        <f>IFERROR(Tableau3[[#This Row],[Chiffre d''affaires]]/Tableau3[[#This Row],[Salariés]],"")</f>
        <v/>
      </c>
      <c r="AA2089" s="177"/>
    </row>
    <row r="2090" spans="1:29" ht="20.25" customHeight="1">
      <c r="G2090" s="188"/>
      <c r="H2090" s="178"/>
      <c r="I2090" s="188"/>
      <c r="J2090" s="178"/>
      <c r="K2090" s="188"/>
      <c r="L2090" s="178"/>
      <c r="M2090" s="178"/>
      <c r="N2090" s="178"/>
      <c r="O2090" s="178"/>
      <c r="P2090" s="188"/>
      <c r="Q2090" s="211"/>
      <c r="R2090" s="195"/>
      <c r="S2090" s="178"/>
      <c r="T2090" s="180"/>
      <c r="U2090" s="189" t="str">
        <f>IFERROR(IF(Tableau3[[#This Row],[Dettes]]=0,"",(Tableau3[[#This Row],[Dettes]]/Tableau3[[#This Row],[EBE]])),"")</f>
        <v/>
      </c>
      <c r="V2090" s="190" t="str">
        <f>IFERROR(Tableau3[[#This Row],[Fonds propres]]/Tableau3[[#This Row],[Total Bilan]],"")</f>
        <v/>
      </c>
      <c r="W2090" s="180"/>
      <c r="Y2090" s="180"/>
      <c r="Z2090" s="192" t="str">
        <f>IFERROR(Tableau3[[#This Row],[Chiffre d''affaires]]/Tableau3[[#This Row],[Salariés]],"")</f>
        <v/>
      </c>
      <c r="AA2090" s="177"/>
    </row>
    <row r="2091" spans="1:29" ht="20.25" customHeight="1">
      <c r="G2091" s="188"/>
      <c r="H2091" s="178"/>
      <c r="I2091" s="188"/>
      <c r="J2091" s="178"/>
      <c r="K2091" s="188"/>
      <c r="L2091" s="178"/>
      <c r="M2091" s="178"/>
      <c r="N2091" s="178"/>
      <c r="O2091" s="178"/>
      <c r="P2091" s="188"/>
      <c r="Q2091" s="211"/>
      <c r="R2091" s="195"/>
      <c r="S2091" s="178"/>
      <c r="T2091" s="180"/>
      <c r="U2091" s="189" t="str">
        <f>IFERROR(IF(Tableau3[[#This Row],[Dettes]]=0,"",(Tableau3[[#This Row],[Dettes]]/Tableau3[[#This Row],[EBE]])),"")</f>
        <v/>
      </c>
      <c r="V2091" s="190" t="str">
        <f>IFERROR(Tableau3[[#This Row],[Fonds propres]]/Tableau3[[#This Row],[Total Bilan]],"")</f>
        <v/>
      </c>
      <c r="W2091" s="180"/>
      <c r="Y2091" s="180"/>
      <c r="Z2091" s="192" t="str">
        <f>IFERROR(Tableau3[[#This Row],[Chiffre d''affaires]]/Tableau3[[#This Row],[Salariés]],"")</f>
        <v/>
      </c>
      <c r="AA2091" s="177"/>
    </row>
    <row r="2092" spans="1:29" ht="20.25" customHeight="1">
      <c r="G2092" s="188"/>
      <c r="H2092" s="178"/>
      <c r="I2092" s="188"/>
      <c r="J2092" s="178"/>
      <c r="K2092" s="188"/>
      <c r="L2092" s="178"/>
      <c r="M2092" s="178"/>
      <c r="N2092" s="178"/>
      <c r="O2092" s="178"/>
      <c r="P2092" s="188"/>
      <c r="Q2092" s="211"/>
      <c r="R2092" s="195"/>
      <c r="S2092" s="178"/>
      <c r="T2092" s="180"/>
      <c r="U2092" s="189" t="str">
        <f>IFERROR(IF(Tableau3[[#This Row],[Dettes]]=0,"",(Tableau3[[#This Row],[Dettes]]/Tableau3[[#This Row],[EBE]])),"")</f>
        <v/>
      </c>
      <c r="V2092" s="190" t="str">
        <f>IFERROR(Tableau3[[#This Row],[Fonds propres]]/Tableau3[[#This Row],[Total Bilan]],"")</f>
        <v/>
      </c>
      <c r="W2092" s="180"/>
      <c r="Y2092" s="180"/>
      <c r="Z2092" s="192" t="str">
        <f>IFERROR(Tableau3[[#This Row],[Chiffre d''affaires]]/Tableau3[[#This Row],[Salariés]],"")</f>
        <v/>
      </c>
      <c r="AA2092" s="177"/>
    </row>
    <row r="2093" spans="1:29" ht="20.25" customHeight="1">
      <c r="A2093" s="217" t="s">
        <v>1459</v>
      </c>
      <c r="B2093" s="216" t="s">
        <v>1460</v>
      </c>
      <c r="C2093" s="178" t="s">
        <v>84</v>
      </c>
      <c r="D2093" s="178" t="s">
        <v>85</v>
      </c>
      <c r="E2093" s="187">
        <v>23</v>
      </c>
      <c r="F2093" s="178">
        <v>2025</v>
      </c>
      <c r="G2093" s="188">
        <f>837000000*1.03</f>
        <v>862110000</v>
      </c>
      <c r="H2093" s="211">
        <f>Tableau3[[#This Row],[Chiffre d''affaires]]*0.15</f>
        <v>129316500</v>
      </c>
      <c r="I2093" s="188">
        <f>Tableau3[[#This Row],[Chiffre d''affaires]]*0.07</f>
        <v>60347700.000000007</v>
      </c>
      <c r="J2093" s="188">
        <v>30000000</v>
      </c>
      <c r="K2093" s="188">
        <v>320000000</v>
      </c>
      <c r="L2093" s="188">
        <v>424000000</v>
      </c>
      <c r="M2093" s="194">
        <f>L2093/P2093</f>
        <v>33.541345047489877</v>
      </c>
      <c r="N2093" s="190">
        <f>J2093/L2093</f>
        <v>7.0754716981132074E-2</v>
      </c>
      <c r="O2093" s="190">
        <f>(I2093*0.64)/(K2093+(M2093*P2093))</f>
        <v>5.1912000000000007E-2</v>
      </c>
      <c r="P2093" s="188">
        <v>12641115</v>
      </c>
      <c r="Q2093" s="211">
        <f>P2093*E2093</f>
        <v>290745645</v>
      </c>
      <c r="R2093" s="195">
        <f>Q2093/L2093</f>
        <v>0.68572086084905659</v>
      </c>
      <c r="S2093" s="197">
        <f>(Q2093+K2093)/H2093</f>
        <v>4.7228748458240055</v>
      </c>
      <c r="T2093" s="180">
        <v>25000000</v>
      </c>
      <c r="U2093" s="189">
        <f>IFERROR(IF(Tableau3[[#This Row],[Dettes]]=0,"",(Tableau3[[#This Row],[Dettes]]/Tableau3[[#This Row],[EBE]])),"")</f>
        <v>2.4745488781400673</v>
      </c>
      <c r="V2093" s="190" t="str">
        <f>IFERROR(Tableau3[[#This Row],[Fonds propres]]/Tableau3[[#This Row],[Total Bilan]],"")</f>
        <v/>
      </c>
      <c r="W2093" s="180"/>
      <c r="X2093" s="191" t="s">
        <v>106</v>
      </c>
      <c r="Y2093" s="180"/>
      <c r="Z2093" s="192" t="str">
        <f>IFERROR(Tableau3[[#This Row],[Chiffre d''affaires]]/Tableau3[[#This Row],[Salariés]],"")</f>
        <v/>
      </c>
      <c r="AA2093" s="178" t="s">
        <v>1463</v>
      </c>
      <c r="AC2093" s="177" t="s">
        <v>1461</v>
      </c>
    </row>
    <row r="2094" spans="1:29" ht="20.25" customHeight="1">
      <c r="G2094" s="202">
        <f>(G2093/G2095)-1</f>
        <v>2.4979193912733288E-2</v>
      </c>
      <c r="H2094" s="203">
        <f>(H2093/H2095)-1</f>
        <v>8.3052763819095432E-2</v>
      </c>
      <c r="I2094" s="203">
        <f>(I2093/I2095)-1</f>
        <v>0.21668750000000014</v>
      </c>
      <c r="J2094" s="203">
        <f>(J2093/J2095)-1</f>
        <v>1.2222222222222223</v>
      </c>
      <c r="K2094" s="188"/>
      <c r="L2094" s="178"/>
      <c r="M2094" s="178"/>
      <c r="N2094" s="178"/>
      <c r="O2094" s="178"/>
      <c r="P2094" s="188"/>
      <c r="Q2094" s="211"/>
      <c r="R2094" s="195"/>
      <c r="S2094" s="178"/>
      <c r="T2094" s="180"/>
      <c r="U2094" s="189" t="str">
        <f>IFERROR(IF(Tableau3[[#This Row],[Dettes]]=0,"",(Tableau3[[#This Row],[Dettes]]/Tableau3[[#This Row],[EBE]])),"")</f>
        <v/>
      </c>
      <c r="V2094" s="190" t="str">
        <f>IFERROR(Tableau3[[#This Row],[Fonds propres]]/Tableau3[[#This Row],[Total Bilan]],"")</f>
        <v/>
      </c>
      <c r="W2094" s="180"/>
      <c r="Y2094" s="180"/>
      <c r="Z2094" s="192" t="str">
        <f>IFERROR(Tableau3[[#This Row],[Chiffre d''affaires]]/Tableau3[[#This Row],[Salariés]],"")</f>
        <v/>
      </c>
      <c r="AA2094" s="197" t="s">
        <v>1465</v>
      </c>
      <c r="AC2094" s="177" t="s">
        <v>4621</v>
      </c>
    </row>
    <row r="2095" spans="1:29" ht="20.25" customHeight="1">
      <c r="A2095" s="217"/>
      <c r="E2095" s="187">
        <v>26.8</v>
      </c>
      <c r="F2095" s="178">
        <v>2024</v>
      </c>
      <c r="G2095" s="188">
        <v>841100000</v>
      </c>
      <c r="H2095" s="211">
        <v>119400000</v>
      </c>
      <c r="I2095" s="188">
        <v>49600000</v>
      </c>
      <c r="J2095" s="188">
        <v>13500000</v>
      </c>
      <c r="K2095" s="188">
        <v>344900000</v>
      </c>
      <c r="L2095" s="188">
        <v>394000000</v>
      </c>
      <c r="M2095" s="194">
        <f>L2095/P2095</f>
        <v>31.168136671488234</v>
      </c>
      <c r="N2095" s="190">
        <f>J2095/L2095</f>
        <v>3.4263959390862943E-2</v>
      </c>
      <c r="O2095" s="190">
        <f>(I2095*0.64)/(K2095+(M2095*P2095))</f>
        <v>4.2961158478819865E-2</v>
      </c>
      <c r="P2095" s="188">
        <v>12641115</v>
      </c>
      <c r="Q2095" s="211">
        <f>P2095*E2095</f>
        <v>338781882</v>
      </c>
      <c r="R2095" s="195">
        <f>Q2095/L2095</f>
        <v>0.85985249238578676</v>
      </c>
      <c r="S2095" s="197">
        <f>(Q2095+K2095)/H2095</f>
        <v>5.7259789112227804</v>
      </c>
      <c r="T2095" s="180">
        <v>-9100000</v>
      </c>
      <c r="U2095" s="189">
        <f>IFERROR(IF(Tableau3[[#This Row],[Dettes]]=0,"",(Tableau3[[#This Row],[Dettes]]/Tableau3[[#This Row],[EBE]])),"")</f>
        <v>2.8886097152428811</v>
      </c>
      <c r="V2095" s="190" t="str">
        <f>IFERROR(Tableau3[[#This Row],[Fonds propres]]/Tableau3[[#This Row],[Total Bilan]],"")</f>
        <v/>
      </c>
      <c r="W2095" s="180"/>
      <c r="Y2095" s="180">
        <v>2920</v>
      </c>
      <c r="Z2095" s="192">
        <f>IFERROR(Tableau3[[#This Row],[Chiffre d''affaires]]/Tableau3[[#This Row],[Salariés]],"")</f>
        <v>288047.94520547945</v>
      </c>
      <c r="AA2095" s="178" t="s">
        <v>53</v>
      </c>
      <c r="AC2095" s="177" t="s">
        <v>1464</v>
      </c>
    </row>
    <row r="2096" spans="1:29" ht="20.25" customHeight="1">
      <c r="G2096" s="202">
        <f>(G2095/G2097)-1</f>
        <v>7.0510372915871145E-2</v>
      </c>
      <c r="H2096" s="203">
        <f>(H2095/H2097)-1</f>
        <v>0.20850202429149789</v>
      </c>
      <c r="I2096" s="203">
        <f>(I2095/I2097)-1</f>
        <v>0.28165374677002575</v>
      </c>
      <c r="J2096" s="203">
        <f>(J2095/J2097)-1</f>
        <v>-0.39189189189189189</v>
      </c>
      <c r="K2096" s="188"/>
      <c r="L2096" s="178"/>
      <c r="M2096" s="178"/>
      <c r="N2096" s="178"/>
      <c r="O2096" s="178"/>
      <c r="P2096" s="188"/>
      <c r="Q2096" s="211"/>
      <c r="R2096" s="195"/>
      <c r="S2096" s="178"/>
      <c r="T2096" s="180"/>
      <c r="U2096" s="189" t="str">
        <f>IFERROR(IF(Tableau3[[#This Row],[Dettes]]=0,"",(Tableau3[[#This Row],[Dettes]]/Tableau3[[#This Row],[EBE]])),"")</f>
        <v/>
      </c>
      <c r="V2096" s="190" t="str">
        <f>IFERROR(Tableau3[[#This Row],[Fonds propres]]/Tableau3[[#This Row],[Total Bilan]],"")</f>
        <v/>
      </c>
      <c r="W2096" s="180"/>
      <c r="Y2096" s="180"/>
      <c r="Z2096" s="192" t="str">
        <f>IFERROR(Tableau3[[#This Row],[Chiffre d''affaires]]/Tableau3[[#This Row],[Salariés]],"")</f>
        <v/>
      </c>
      <c r="AA2096" s="197" t="s">
        <v>266</v>
      </c>
      <c r="AC2096" s="177" t="s">
        <v>4607</v>
      </c>
    </row>
    <row r="2097" spans="1:29" ht="20.25" customHeight="1">
      <c r="A2097" s="217"/>
      <c r="E2097" s="187">
        <v>19.5</v>
      </c>
      <c r="F2097" s="178">
        <v>2023</v>
      </c>
      <c r="G2097" s="188">
        <v>785700000</v>
      </c>
      <c r="H2097" s="188">
        <v>98800000</v>
      </c>
      <c r="I2097" s="188">
        <v>38700000</v>
      </c>
      <c r="J2097" s="188">
        <v>22200000</v>
      </c>
      <c r="K2097" s="188">
        <v>336000000</v>
      </c>
      <c r="L2097" s="188">
        <f>378000000</f>
        <v>378000000</v>
      </c>
      <c r="M2097" s="194">
        <f>L2097/P2097</f>
        <v>29.902425537620694</v>
      </c>
      <c r="N2097" s="190">
        <f>J2097/L2097</f>
        <v>5.873015873015873E-2</v>
      </c>
      <c r="O2097" s="190">
        <f>(I2097*0.64)/(K2097+(M2097*P2097))</f>
        <v>3.46890756302521E-2</v>
      </c>
      <c r="P2097" s="188">
        <v>12641115</v>
      </c>
      <c r="Q2097" s="211">
        <f>P2097*E2097</f>
        <v>246501742.5</v>
      </c>
      <c r="R2097" s="195">
        <f>Q2097/L2097</f>
        <v>0.6521210119047619</v>
      </c>
      <c r="S2097" s="197">
        <f>(Q2097+K2097)/H2097</f>
        <v>5.8957666244939269</v>
      </c>
      <c r="T2097" s="180">
        <v>-65400000</v>
      </c>
      <c r="U2097" s="189">
        <f>IFERROR(IF(Tableau3[[#This Row],[Dettes]]=0,"",(Tableau3[[#This Row],[Dettes]]/Tableau3[[#This Row],[EBE]])),"")</f>
        <v>3.4008097165991904</v>
      </c>
      <c r="V2097" s="190">
        <f>IFERROR(Tableau3[[#This Row],[Fonds propres]]/Tableau3[[#This Row],[Total Bilan]],"")</f>
        <v>0.36869344018290318</v>
      </c>
      <c r="W2097" s="180">
        <v>1025242000</v>
      </c>
      <c r="Y2097" s="180">
        <v>2920</v>
      </c>
      <c r="Z2097" s="192">
        <f>IFERROR(Tableau3[[#This Row],[Chiffre d''affaires]]/Tableau3[[#This Row],[Salariés]],"")</f>
        <v>269075.34246575343</v>
      </c>
      <c r="AC2097" s="177" t="s">
        <v>1466</v>
      </c>
    </row>
    <row r="2098" spans="1:29" ht="20.25" customHeight="1">
      <c r="G2098" s="202">
        <f>(G2097/G2099)-1</f>
        <v>4.3010752688172005E-2</v>
      </c>
      <c r="H2098" s="203">
        <f>(H2097/H2099)-1</f>
        <v>-4.1707080504364669E-2</v>
      </c>
      <c r="I2098" s="203">
        <f>(I2097/I2099)-1</f>
        <v>-3.1263736263736264</v>
      </c>
      <c r="J2098" s="203">
        <f>(J2097/J2099)-1</f>
        <v>-1.5401459854014599</v>
      </c>
      <c r="K2098" s="188"/>
      <c r="L2098" s="178"/>
      <c r="M2098" s="178"/>
      <c r="N2098" s="178"/>
      <c r="O2098" s="178"/>
      <c r="P2098" s="188"/>
      <c r="Q2098" s="211"/>
      <c r="R2098" s="195"/>
      <c r="S2098" s="178"/>
      <c r="T2098" s="180"/>
      <c r="U2098" s="189" t="str">
        <f>IFERROR(IF(Tableau3[[#This Row],[Dettes]]=0,"",(Tableau3[[#This Row],[Dettes]]/Tableau3[[#This Row],[EBE]])),"")</f>
        <v/>
      </c>
      <c r="V2098" s="190" t="str">
        <f>IFERROR(Tableau3[[#This Row],[Fonds propres]]/Tableau3[[#This Row],[Total Bilan]],"")</f>
        <v/>
      </c>
      <c r="W2098" s="180"/>
      <c r="Y2098" s="180"/>
      <c r="Z2098" s="192" t="str">
        <f>IFERROR(Tableau3[[#This Row],[Chiffre d''affaires]]/Tableau3[[#This Row],[Salariés]],"")</f>
        <v/>
      </c>
      <c r="AB2098" s="197"/>
      <c r="AC2098" s="177" t="s">
        <v>5232</v>
      </c>
    </row>
    <row r="2099" spans="1:29" ht="20.25" customHeight="1">
      <c r="A2099" s="217"/>
      <c r="E2099" s="187">
        <v>16.96</v>
      </c>
      <c r="F2099" s="178">
        <v>2022</v>
      </c>
      <c r="G2099" s="188">
        <v>753300000</v>
      </c>
      <c r="H2099" s="211">
        <f>103100000</f>
        <v>103100000</v>
      </c>
      <c r="I2099" s="188">
        <v>-18200000</v>
      </c>
      <c r="J2099" s="188">
        <v>-41100000</v>
      </c>
      <c r="K2099" s="188">
        <v>270400000</v>
      </c>
      <c r="L2099" s="188">
        <v>380000000</v>
      </c>
      <c r="M2099" s="194">
        <f>L2099/P2099</f>
        <v>30.060639429354136</v>
      </c>
      <c r="N2099" s="190">
        <f>J2099/L2099</f>
        <v>-0.10815789473684211</v>
      </c>
      <c r="O2099" s="190">
        <f>(I2099*0.64)/(K2099+(M2099*P2099))</f>
        <v>-1.7908979089790899E-2</v>
      </c>
      <c r="P2099" s="188">
        <v>12641115</v>
      </c>
      <c r="Q2099" s="211">
        <f>P2099*E2099</f>
        <v>214393310.40000001</v>
      </c>
      <c r="R2099" s="195">
        <f>Q2099/L2099</f>
        <v>0.56419292210526317</v>
      </c>
      <c r="S2099" s="197">
        <f>(Q2099+K2099)/H2099</f>
        <v>4.7021659592628513</v>
      </c>
      <c r="T2099" s="180">
        <v>-52600000</v>
      </c>
      <c r="U2099" s="189">
        <f>IFERROR(IF(Tableau3[[#This Row],[Dettes]]=0,"",(Tableau3[[#This Row],[Dettes]]/Tableau3[[#This Row],[EBE]])),"")</f>
        <v>2.6226964112512126</v>
      </c>
      <c r="V2099" s="190">
        <f>IFERROR(Tableau3[[#This Row],[Fonds propres]]/Tableau3[[#This Row],[Total Bilan]],"")</f>
        <v>0.40440890848971367</v>
      </c>
      <c r="W2099" s="180">
        <v>939643000</v>
      </c>
      <c r="Y2099" s="180">
        <v>2820</v>
      </c>
      <c r="Z2099" s="192">
        <f>IFERROR(Tableau3[[#This Row],[Chiffre d''affaires]]/Tableau3[[#This Row],[Salariés]],"")</f>
        <v>267127.6595744681</v>
      </c>
      <c r="AC2099" s="177" t="s">
        <v>1467</v>
      </c>
    </row>
    <row r="2100" spans="1:29" ht="20.25" customHeight="1">
      <c r="G2100" s="202">
        <f>(G2099/G2101)-1</f>
        <v>2.8957792651277181E-2</v>
      </c>
      <c r="H2100" s="203">
        <f>(H2099/H2101)-1</f>
        <v>-1.9029495718363432E-2</v>
      </c>
      <c r="I2100" s="203">
        <f>(I2099/I2101)-1</f>
        <v>-1.4702842377260983</v>
      </c>
      <c r="J2100" s="203">
        <f>(J2099/J2101)-1</f>
        <v>-2.2607361963190185</v>
      </c>
      <c r="K2100" s="188"/>
      <c r="L2100" s="188"/>
      <c r="M2100" s="178"/>
      <c r="N2100" s="178"/>
      <c r="O2100" s="178"/>
      <c r="P2100" s="188"/>
      <c r="Q2100" s="211"/>
      <c r="R2100" s="195"/>
      <c r="S2100" s="178"/>
      <c r="T2100" s="180"/>
      <c r="U2100" s="189" t="str">
        <f>IFERROR(IF(Tableau3[[#This Row],[Dettes]]=0,"",(Tableau3[[#This Row],[Dettes]]/Tableau3[[#This Row],[EBE]])),"")</f>
        <v/>
      </c>
      <c r="V2100" s="190" t="str">
        <f>IFERROR(Tableau3[[#This Row],[Fonds propres]]/Tableau3[[#This Row],[Total Bilan]],"")</f>
        <v/>
      </c>
      <c r="W2100" s="180"/>
      <c r="Y2100" s="180"/>
      <c r="Z2100" s="192" t="str">
        <f>IFERROR(Tableau3[[#This Row],[Chiffre d''affaires]]/Tableau3[[#This Row],[Salariés]],"")</f>
        <v/>
      </c>
      <c r="AB2100" s="197"/>
      <c r="AC2100" s="177" t="s">
        <v>1468</v>
      </c>
    </row>
    <row r="2101" spans="1:29" ht="20.25" customHeight="1">
      <c r="A2101" s="217"/>
      <c r="E2101" s="187">
        <v>37</v>
      </c>
      <c r="F2101" s="178">
        <v>2021</v>
      </c>
      <c r="G2101" s="188">
        <v>732100000</v>
      </c>
      <c r="H2101" s="188">
        <v>105100000</v>
      </c>
      <c r="I2101" s="188">
        <v>38700000</v>
      </c>
      <c r="J2101" s="188">
        <v>32600000</v>
      </c>
      <c r="K2101" s="188">
        <v>217800000</v>
      </c>
      <c r="L2101" s="188">
        <v>405000000</v>
      </c>
      <c r="M2101" s="194">
        <f>L2101/P2101</f>
        <v>32.039326889341304</v>
      </c>
      <c r="N2101" s="190">
        <f>J2101/L2101</f>
        <v>8.049382716049383E-2</v>
      </c>
      <c r="O2101" s="190">
        <f>(I2101*0.64)/(K2101+(M2101*P2101))</f>
        <v>3.9768786127167631E-2</v>
      </c>
      <c r="P2101" s="188">
        <v>12640715</v>
      </c>
      <c r="Q2101" s="211">
        <f>P2101*E2101</f>
        <v>467706455</v>
      </c>
      <c r="R2101" s="195">
        <f>Q2101/L2101</f>
        <v>1.1548307530864197</v>
      </c>
      <c r="S2101" s="197">
        <f>(Q2101+K2101)/H2101</f>
        <v>6.5224210751665082</v>
      </c>
      <c r="T2101" s="180">
        <v>38800000</v>
      </c>
      <c r="U2101" s="189">
        <f>IFERROR(IF(Tableau3[[#This Row],[Dettes]]=0,"",(Tableau3[[#This Row],[Dettes]]/Tableau3[[#This Row],[EBE]])),"")</f>
        <v>2.072312083729781</v>
      </c>
      <c r="V2101" s="190">
        <f>IFERROR(Tableau3[[#This Row],[Fonds propres]]/Tableau3[[#This Row],[Total Bilan]],"")</f>
        <v>0.40466291579114599</v>
      </c>
      <c r="W2101" s="180">
        <v>1000833000</v>
      </c>
      <c r="X2101" s="191"/>
      <c r="Y2101" s="180">
        <v>2820</v>
      </c>
      <c r="Z2101" s="192">
        <f>IFERROR(Tableau3[[#This Row],[Chiffre d''affaires]]/Tableau3[[#This Row],[Salariés]],"")</f>
        <v>259609.92907801419</v>
      </c>
      <c r="AA2101" s="197"/>
      <c r="AB2101" s="197"/>
      <c r="AC2101" s="177" t="s">
        <v>5235</v>
      </c>
    </row>
    <row r="2102" spans="1:29" ht="20.25" customHeight="1">
      <c r="A2102" s="217"/>
      <c r="G2102" s="202">
        <f>(G2101/G2103)-1</f>
        <v>2.7744179438714989E-2</v>
      </c>
      <c r="H2102" s="203">
        <f>(H2101/H2103)-1</f>
        <v>4.3694141012909693E-2</v>
      </c>
      <c r="I2102" s="203">
        <f>(I2101/I2103)-1</f>
        <v>-6.2953995157384979E-2</v>
      </c>
      <c r="J2102" s="203">
        <f>(J2101/J2103)-1</f>
        <v>0.84180790960451968</v>
      </c>
      <c r="K2102" s="188"/>
      <c r="L2102" s="178"/>
      <c r="M2102" s="178"/>
      <c r="N2102" s="178"/>
      <c r="O2102" s="178"/>
      <c r="P2102" s="188"/>
      <c r="Q2102" s="211"/>
      <c r="R2102" s="195"/>
      <c r="S2102" s="178"/>
      <c r="T2102" s="180"/>
      <c r="U2102" s="189" t="str">
        <f>IFERROR(IF(Tableau3[[#This Row],[Dettes]]=0,"",(Tableau3[[#This Row],[Dettes]]/Tableau3[[#This Row],[EBE]])),"")</f>
        <v/>
      </c>
      <c r="V2102" s="190" t="str">
        <f>IFERROR(Tableau3[[#This Row],[Fonds propres]]/Tableau3[[#This Row],[Total Bilan]],"")</f>
        <v/>
      </c>
      <c r="W2102" s="180"/>
      <c r="Y2102" s="180"/>
      <c r="Z2102" s="192" t="str">
        <f>IFERROR(Tableau3[[#This Row],[Chiffre d''affaires]]/Tableau3[[#This Row],[Salariés]],"")</f>
        <v/>
      </c>
      <c r="AA2102" s="177"/>
      <c r="AC2102" s="177" t="s">
        <v>1469</v>
      </c>
    </row>
    <row r="2103" spans="1:29" ht="20.25" customHeight="1">
      <c r="A2103" s="217"/>
      <c r="E2103" s="187">
        <v>32.85</v>
      </c>
      <c r="F2103" s="178">
        <v>2020</v>
      </c>
      <c r="G2103" s="188">
        <f>G2105*0.872</f>
        <v>712336800</v>
      </c>
      <c r="H2103" s="188">
        <v>100700000</v>
      </c>
      <c r="I2103" s="188">
        <v>41300000</v>
      </c>
      <c r="J2103" s="188">
        <v>17700000</v>
      </c>
      <c r="K2103" s="188">
        <v>256600000</v>
      </c>
      <c r="L2103" s="188">
        <v>364000000</v>
      </c>
      <c r="M2103" s="194">
        <f>L2103/P2103</f>
        <v>28.882759325520919</v>
      </c>
      <c r="N2103" s="190">
        <f>J2103/L2103</f>
        <v>4.8626373626373627E-2</v>
      </c>
      <c r="O2103" s="190">
        <f>(I2103*0.64)/(K2103+(M2103*P2103))</f>
        <v>4.2591040928134066E-2</v>
      </c>
      <c r="P2103" s="188">
        <v>12602674</v>
      </c>
      <c r="Q2103" s="211">
        <f>P2103*E2103</f>
        <v>413997840.90000004</v>
      </c>
      <c r="R2103" s="195">
        <f>Q2103/L2103</f>
        <v>1.1373567057692309</v>
      </c>
      <c r="S2103" s="197">
        <f>(Q2103+K2103)/H2103</f>
        <v>6.6593628689175777</v>
      </c>
      <c r="T2103" s="180">
        <v>28000000</v>
      </c>
      <c r="U2103" s="189">
        <f>IFERROR(IF(Tableau3[[#This Row],[Dettes]]=0,"",(Tableau3[[#This Row],[Dettes]]/Tableau3[[#This Row],[EBE]])),"")</f>
        <v>2.5481628599801391</v>
      </c>
      <c r="V2103" s="190">
        <f>IFERROR(Tableau3[[#This Row],[Fonds propres]]/Tableau3[[#This Row],[Total Bilan]],"")</f>
        <v>0.38489600406044139</v>
      </c>
      <c r="W2103" s="180">
        <v>945710000</v>
      </c>
      <c r="X2103" s="191"/>
      <c r="Y2103" s="180">
        <v>2820</v>
      </c>
      <c r="Z2103" s="192">
        <f>IFERROR(Tableau3[[#This Row],[Chiffre d''affaires]]/Tableau3[[#This Row],[Salariés]],"")</f>
        <v>252601.70212765958</v>
      </c>
      <c r="AA2103" s="197"/>
      <c r="AB2103" s="197"/>
      <c r="AC2103" s="177" t="s">
        <v>1470</v>
      </c>
    </row>
    <row r="2104" spans="1:29" ht="20.25" customHeight="1">
      <c r="E2104" s="187"/>
      <c r="G2104" s="202">
        <f>(G2103/G2105)-1</f>
        <v>-0.128</v>
      </c>
      <c r="H2104" s="203">
        <f>(H2103/H2105)-1</f>
        <v>-9.6860986547085193E-2</v>
      </c>
      <c r="I2104" s="203">
        <f>(I2103/I2105)-1</f>
        <v>-0.20116054158607355</v>
      </c>
      <c r="J2104" s="203">
        <f>(J2103/J2105)-1</f>
        <v>-0.52546916890080431</v>
      </c>
      <c r="K2104" s="188"/>
      <c r="L2104" s="178"/>
      <c r="M2104" s="178"/>
      <c r="N2104" s="178"/>
      <c r="O2104" s="178"/>
      <c r="P2104" s="188"/>
      <c r="Q2104" s="211"/>
      <c r="R2104" s="195"/>
      <c r="S2104" s="178"/>
      <c r="T2104" s="180"/>
      <c r="U2104" s="189" t="str">
        <f>IFERROR(IF(Tableau3[[#This Row],[Dettes]]=0,"",(Tableau3[[#This Row],[Dettes]]/Tableau3[[#This Row],[EBE]])),"")</f>
        <v/>
      </c>
      <c r="V2104" s="190" t="str">
        <f>IFERROR(Tableau3[[#This Row],[Fonds propres]]/Tableau3[[#This Row],[Total Bilan]],"")</f>
        <v/>
      </c>
      <c r="W2104" s="180"/>
      <c r="Y2104" s="180"/>
      <c r="Z2104" s="192" t="str">
        <f>IFERROR(Tableau3[[#This Row],[Chiffre d''affaires]]/Tableau3[[#This Row],[Salariés]],"")</f>
        <v/>
      </c>
      <c r="AA2104" s="188"/>
      <c r="AB2104" s="188"/>
      <c r="AC2104" s="177" t="s">
        <v>1471</v>
      </c>
    </row>
    <row r="2105" spans="1:29" ht="20.25" customHeight="1">
      <c r="A2105" s="217"/>
      <c r="E2105" s="187">
        <v>45</v>
      </c>
      <c r="F2105" s="178">
        <v>2019</v>
      </c>
      <c r="G2105" s="188">
        <v>816900000</v>
      </c>
      <c r="H2105" s="188">
        <v>111500000</v>
      </c>
      <c r="I2105" s="188">
        <v>51700000</v>
      </c>
      <c r="J2105" s="188">
        <v>37300000</v>
      </c>
      <c r="K2105" s="188">
        <v>296500000</v>
      </c>
      <c r="L2105" s="188">
        <v>375000000</v>
      </c>
      <c r="M2105" s="194">
        <f>L2105/P2105</f>
        <v>29.806233254361388</v>
      </c>
      <c r="N2105" s="190">
        <f>J2105/L2105</f>
        <v>9.9466666666666662E-2</v>
      </c>
      <c r="O2105" s="190">
        <f>(I2105*0.64)/(K2105+(M2105*P2105))</f>
        <v>4.9274758004467609E-2</v>
      </c>
      <c r="P2105" s="188">
        <f>P2107</f>
        <v>12581261</v>
      </c>
      <c r="Q2105" s="211">
        <f>P2105*E2105</f>
        <v>566156745</v>
      </c>
      <c r="R2105" s="195">
        <f>Q2105/L2105</f>
        <v>1.5097513199999999</v>
      </c>
      <c r="S2105" s="197">
        <f>(Q2105+K2105)/H2105</f>
        <v>7.736831793721973</v>
      </c>
      <c r="T2105" s="180"/>
      <c r="U2105" s="189">
        <f>IFERROR(IF(Tableau3[[#This Row],[Dettes]]=0,"",(Tableau3[[#This Row],[Dettes]]/Tableau3[[#This Row],[EBE]])),"")</f>
        <v>2.6591928251121075</v>
      </c>
      <c r="V2105" s="190">
        <f>IFERROR(Tableau3[[#This Row],[Fonds propres]]/Tableau3[[#This Row],[Total Bilan]],"")</f>
        <v>0.37128712871287128</v>
      </c>
      <c r="W2105" s="180">
        <v>1010000000</v>
      </c>
      <c r="X2105" s="191"/>
      <c r="Y2105" s="180"/>
      <c r="Z2105" s="192" t="str">
        <f>IFERROR(Tableau3[[#This Row],[Chiffre d''affaires]]/Tableau3[[#This Row],[Salariés]],"")</f>
        <v/>
      </c>
      <c r="AA2105" s="197"/>
      <c r="AB2105" s="197"/>
      <c r="AC2105" s="177" t="s">
        <v>1472</v>
      </c>
    </row>
    <row r="2106" spans="1:29" ht="20.25" customHeight="1">
      <c r="E2106" s="187"/>
      <c r="G2106" s="202">
        <f>(G2105/G2107)-1</f>
        <v>3.4574468085106336E-2</v>
      </c>
      <c r="H2106" s="203">
        <f>(H2105/H2107)-1</f>
        <v>8.1374321880651745E-3</v>
      </c>
      <c r="I2106" s="203">
        <f>(I2105/I2107)-1</f>
        <v>-0.2603719599427754</v>
      </c>
      <c r="J2106" s="203">
        <f>(J2105/J2107)-1</f>
        <v>-0.20299145299145294</v>
      </c>
      <c r="K2106" s="178"/>
      <c r="L2106" s="178"/>
      <c r="M2106" s="178"/>
      <c r="N2106" s="178"/>
      <c r="O2106" s="178"/>
      <c r="P2106" s="178"/>
      <c r="Q2106" s="178"/>
      <c r="R2106" s="195"/>
      <c r="S2106" s="178"/>
      <c r="T2106" s="180"/>
      <c r="U2106" s="189" t="str">
        <f>IFERROR(IF(Tableau3[[#This Row],[Dettes]]=0,"",(Tableau3[[#This Row],[Dettes]]/Tableau3[[#This Row],[EBE]])),"")</f>
        <v/>
      </c>
      <c r="V2106" s="190" t="str">
        <f>IFERROR(Tableau3[[#This Row],[Fonds propres]]/Tableau3[[#This Row],[Total Bilan]],"")</f>
        <v/>
      </c>
      <c r="W2106" s="180"/>
      <c r="X2106" s="192"/>
      <c r="Y2106" s="180"/>
      <c r="Z2106" s="192" t="str">
        <f>IFERROR(Tableau3[[#This Row],[Chiffre d''affaires]]/Tableau3[[#This Row],[Salariés]],"")</f>
        <v/>
      </c>
      <c r="AA2106" s="188"/>
      <c r="AB2106" s="188"/>
      <c r="AC2106" s="177" t="s">
        <v>1473</v>
      </c>
    </row>
    <row r="2107" spans="1:29" ht="20.25" customHeight="1">
      <c r="A2107" s="217"/>
      <c r="E2107" s="187">
        <v>58</v>
      </c>
      <c r="F2107" s="178">
        <v>2018</v>
      </c>
      <c r="G2107" s="188">
        <v>789600000</v>
      </c>
      <c r="H2107" s="188">
        <v>110600000</v>
      </c>
      <c r="I2107" s="188">
        <v>69900000</v>
      </c>
      <c r="J2107" s="188">
        <v>46800000</v>
      </c>
      <c r="K2107" s="188">
        <v>308656000</v>
      </c>
      <c r="L2107" s="188">
        <v>366761000</v>
      </c>
      <c r="M2107" s="194">
        <f>L2107/P2107</f>
        <v>29.151370438940898</v>
      </c>
      <c r="N2107" s="190">
        <f>J2107/L2107</f>
        <v>0.12760353472697478</v>
      </c>
      <c r="O2107" s="190">
        <f>(I2107*0.64)/(K2107+(M2107*P2107))</f>
        <v>6.623463726853189E-2</v>
      </c>
      <c r="P2107" s="188">
        <v>12581261</v>
      </c>
      <c r="Q2107" s="211">
        <f>P2107*E2107</f>
        <v>729713138</v>
      </c>
      <c r="R2107" s="195">
        <f>Q2107/L2107</f>
        <v>1.98961486635711</v>
      </c>
      <c r="S2107" s="197">
        <f>(Q2107+K2107)/H2107</f>
        <v>9.3885093851717905</v>
      </c>
      <c r="T2107" s="180"/>
      <c r="U2107" s="189">
        <f>IFERROR(IF(Tableau3[[#This Row],[Dettes]]=0,"",(Tableau3[[#This Row],[Dettes]]/Tableau3[[#This Row],[EBE]])),"")</f>
        <v>2.7907414104882458</v>
      </c>
      <c r="V2107" s="190">
        <f>IFERROR(Tableau3[[#This Row],[Fonds propres]]/Tableau3[[#This Row],[Total Bilan]],"")</f>
        <v>0.33959351851851854</v>
      </c>
      <c r="W2107" s="180">
        <v>1080000000</v>
      </c>
      <c r="X2107" s="191"/>
      <c r="Y2107" s="180"/>
      <c r="Z2107" s="192" t="str">
        <f>IFERROR(Tableau3[[#This Row],[Chiffre d''affaires]]/Tableau3[[#This Row],[Salariés]],"")</f>
        <v/>
      </c>
      <c r="AA2107" s="197"/>
      <c r="AB2107" s="197"/>
      <c r="AC2107" s="177" t="s">
        <v>1474</v>
      </c>
    </row>
    <row r="2108" spans="1:29" ht="20.25" customHeight="1">
      <c r="E2108" s="187"/>
      <c r="G2108" s="202">
        <f>(G2107/G2109)-1</f>
        <v>-2.1682567215958404E-2</v>
      </c>
      <c r="H2108" s="203">
        <f>(H2107/H2109)-1</f>
        <v>-0.14923076923076928</v>
      </c>
      <c r="I2108" s="203">
        <f>(I2107/I2109)-1</f>
        <v>-0.11742424242424243</v>
      </c>
      <c r="J2108" s="203">
        <f>(J2107/J2109)-1</f>
        <v>1.298701298701288E-2</v>
      </c>
      <c r="K2108" s="178"/>
      <c r="L2108" s="178"/>
      <c r="M2108" s="178"/>
      <c r="N2108" s="178"/>
      <c r="O2108" s="178"/>
      <c r="P2108" s="178"/>
      <c r="Q2108" s="178"/>
      <c r="R2108" s="195"/>
      <c r="S2108" s="178"/>
      <c r="T2108" s="180"/>
      <c r="U2108" s="189" t="str">
        <f>IFERROR(IF(Tableau3[[#This Row],[Dettes]]=0,"",(Tableau3[[#This Row],[Dettes]]/Tableau3[[#This Row],[EBE]])),"")</f>
        <v/>
      </c>
      <c r="V2108" s="190" t="str">
        <f>IFERROR(Tableau3[[#This Row],[Fonds propres]]/Tableau3[[#This Row],[Total Bilan]],"")</f>
        <v/>
      </c>
      <c r="W2108" s="180"/>
      <c r="X2108" s="192"/>
      <c r="Y2108" s="180"/>
      <c r="Z2108" s="192" t="str">
        <f>IFERROR(Tableau3[[#This Row],[Chiffre d''affaires]]/Tableau3[[#This Row],[Salariés]],"")</f>
        <v/>
      </c>
      <c r="AA2108" s="197"/>
      <c r="AB2108" s="197"/>
      <c r="AC2108" s="177" t="s">
        <v>1475</v>
      </c>
    </row>
    <row r="2109" spans="1:29" ht="20.25" customHeight="1">
      <c r="A2109" s="217"/>
      <c r="E2109" s="187">
        <v>72.88</v>
      </c>
      <c r="F2109" s="178">
        <v>2017</v>
      </c>
      <c r="G2109" s="188">
        <v>807100000</v>
      </c>
      <c r="H2109" s="188">
        <v>130000000</v>
      </c>
      <c r="I2109" s="188">
        <v>79200000</v>
      </c>
      <c r="J2109" s="188">
        <v>46200000</v>
      </c>
      <c r="K2109" s="188">
        <v>278407000</v>
      </c>
      <c r="L2109" s="188">
        <v>342141000</v>
      </c>
      <c r="M2109" s="194">
        <f>L2109/P2109</f>
        <v>27.233244487660066</v>
      </c>
      <c r="N2109" s="190">
        <f>J2109/L2109</f>
        <v>0.13503204819065823</v>
      </c>
      <c r="O2109" s="190">
        <f>(I2109*0.64)/(K2109+(M2109*P2109))</f>
        <v>8.1682641794027219E-2</v>
      </c>
      <c r="P2109" s="188">
        <v>12563358</v>
      </c>
      <c r="Q2109" s="211">
        <f>P2109*E2109</f>
        <v>915617531.03999996</v>
      </c>
      <c r="R2109" s="195">
        <f>Q2109/L2109</f>
        <v>2.6761409215498873</v>
      </c>
      <c r="S2109" s="197">
        <f>(Q2109+K2109)/H2109</f>
        <v>9.1848040849230763</v>
      </c>
      <c r="T2109" s="180"/>
      <c r="U2109" s="189">
        <f>IFERROR(IF(Tableau3[[#This Row],[Dettes]]=0,"",(Tableau3[[#This Row],[Dettes]]/Tableau3[[#This Row],[EBE]])),"")</f>
        <v>2.1415923076923078</v>
      </c>
      <c r="V2109" s="190" t="str">
        <f>IFERROR(Tableau3[[#This Row],[Fonds propres]]/Tableau3[[#This Row],[Total Bilan]],"")</f>
        <v/>
      </c>
      <c r="W2109" s="180"/>
      <c r="X2109" s="191"/>
      <c r="Y2109" s="180"/>
      <c r="Z2109" s="192" t="str">
        <f>IFERROR(Tableau3[[#This Row],[Chiffre d''affaires]]/Tableau3[[#This Row],[Salariés]],"")</f>
        <v/>
      </c>
      <c r="AA2109" s="197"/>
      <c r="AB2109" s="197"/>
      <c r="AC2109" s="177" t="s">
        <v>1476</v>
      </c>
    </row>
    <row r="2110" spans="1:29" ht="20.25" customHeight="1">
      <c r="E2110" s="187"/>
      <c r="G2110" s="202">
        <f>(G2109/G2111)-1</f>
        <v>4.034544985821098E-2</v>
      </c>
      <c r="H2110" s="203">
        <f>(H2109/H2111)-1</f>
        <v>0.22295390404515514</v>
      </c>
      <c r="I2110" s="203">
        <f>(I2109/I2111)-1</f>
        <v>0.4505494505494505</v>
      </c>
      <c r="J2110" s="203">
        <f>(J2109/J2111)-1</f>
        <v>0.59861591695501737</v>
      </c>
      <c r="K2110" s="188"/>
      <c r="L2110" s="188"/>
      <c r="M2110" s="188"/>
      <c r="N2110" s="188"/>
      <c r="O2110" s="188"/>
      <c r="P2110" s="188"/>
      <c r="Q2110" s="188"/>
      <c r="R2110" s="195"/>
      <c r="S2110" s="188"/>
      <c r="T2110" s="180"/>
      <c r="U2110" s="189" t="str">
        <f>IFERROR(IF(Tableau3[[#This Row],[Dettes]]=0,"",(Tableau3[[#This Row],[Dettes]]/Tableau3[[#This Row],[EBE]])),"")</f>
        <v/>
      </c>
      <c r="V2110" s="190" t="str">
        <f>IFERROR(Tableau3[[#This Row],[Fonds propres]]/Tableau3[[#This Row],[Total Bilan]],"")</f>
        <v/>
      </c>
      <c r="W2110" s="180"/>
      <c r="X2110" s="191"/>
      <c r="Y2110" s="180"/>
      <c r="Z2110" s="192" t="str">
        <f>IFERROR(Tableau3[[#This Row],[Chiffre d''affaires]]/Tableau3[[#This Row],[Salariés]],"")</f>
        <v/>
      </c>
      <c r="AA2110" s="197"/>
      <c r="AB2110" s="197"/>
      <c r="AC2110" s="177" t="s">
        <v>1477</v>
      </c>
    </row>
    <row r="2111" spans="1:29" ht="20.25" customHeight="1">
      <c r="E2111" s="187">
        <v>71.19</v>
      </c>
      <c r="F2111" s="178">
        <v>2016</v>
      </c>
      <c r="G2111" s="188">
        <v>775800000</v>
      </c>
      <c r="H2111" s="188">
        <v>106300000</v>
      </c>
      <c r="I2111" s="188">
        <v>54600000</v>
      </c>
      <c r="J2111" s="188">
        <v>28900000</v>
      </c>
      <c r="K2111" s="188">
        <v>330400000</v>
      </c>
      <c r="L2111" s="188">
        <v>314800000</v>
      </c>
      <c r="M2111" s="194">
        <f>L2111/P2111</f>
        <v>25.181687313837099</v>
      </c>
      <c r="N2111" s="190">
        <f>J2111/L2111</f>
        <v>9.1804320203303688E-2</v>
      </c>
      <c r="O2111" s="190">
        <f>(I2111*0.64)/(L2111+(M2111*P2111))</f>
        <v>5.5501905972045747E-2</v>
      </c>
      <c r="P2111" s="188">
        <v>12501148</v>
      </c>
      <c r="Q2111" s="211">
        <f>P2111*E2111</f>
        <v>889956726.12</v>
      </c>
      <c r="R2111" s="195">
        <f>Q2111/L2111</f>
        <v>2.82705440317662</v>
      </c>
      <c r="S2111" s="197">
        <f>(Q2111+L2111)/H2111</f>
        <v>11.333553397177798</v>
      </c>
      <c r="T2111" s="180"/>
      <c r="U2111" s="189">
        <f>IFERROR(IF(Tableau3[[#This Row],[Dettes]]=0,"",(Tableau3[[#This Row],[Dettes]]/Tableau3[[#This Row],[EBE]])),"")</f>
        <v>3.108184383819379</v>
      </c>
      <c r="V2111" s="190" t="str">
        <f>IFERROR(Tableau3[[#This Row],[Fonds propres]]/Tableau3[[#This Row],[Total Bilan]],"")</f>
        <v/>
      </c>
      <c r="W2111" s="180"/>
      <c r="X2111" s="191"/>
      <c r="Y2111" s="180"/>
      <c r="Z2111" s="192" t="str">
        <f>IFERROR(Tableau3[[#This Row],[Chiffre d''affaires]]/Tableau3[[#This Row],[Salariés]],"")</f>
        <v/>
      </c>
      <c r="AA2111" s="197"/>
      <c r="AB2111" s="197"/>
      <c r="AC2111" s="177" t="s">
        <v>1478</v>
      </c>
    </row>
    <row r="2112" spans="1:29" ht="20.25" customHeight="1">
      <c r="E2112" s="187"/>
      <c r="G2112" s="202">
        <f>(G2111/G2113)-1</f>
        <v>-1.7103762827822111E-2</v>
      </c>
      <c r="H2112" s="203">
        <f>(H2111/H2113)-1</f>
        <v>0.26247030878859867</v>
      </c>
      <c r="I2112" s="203">
        <f>(I2111/I2113)-1</f>
        <v>-2.8469750889679735E-2</v>
      </c>
      <c r="J2112" s="203">
        <f>(J2111/J2113)-1</f>
        <v>-0.27568922305764409</v>
      </c>
      <c r="K2112" s="188"/>
      <c r="L2112" s="188"/>
      <c r="M2112" s="188"/>
      <c r="N2112" s="188"/>
      <c r="O2112" s="188"/>
      <c r="P2112" s="188"/>
      <c r="Q2112" s="188"/>
      <c r="R2112" s="195"/>
      <c r="S2112" s="188"/>
      <c r="T2112" s="180"/>
      <c r="U2112" s="189" t="str">
        <f>IFERROR(IF(Tableau3[[#This Row],[Dettes]]=0,"",(Tableau3[[#This Row],[Dettes]]/Tableau3[[#This Row],[EBE]])),"")</f>
        <v/>
      </c>
      <c r="V2112" s="190" t="str">
        <f>IFERROR(Tableau3[[#This Row],[Fonds propres]]/Tableau3[[#This Row],[Total Bilan]],"")</f>
        <v/>
      </c>
      <c r="W2112" s="180"/>
      <c r="X2112" s="191"/>
      <c r="Y2112" s="180"/>
      <c r="Z2112" s="192" t="str">
        <f>IFERROR(Tableau3[[#This Row],[Chiffre d''affaires]]/Tableau3[[#This Row],[Salariés]],"")</f>
        <v/>
      </c>
      <c r="AA2112" s="197"/>
      <c r="AB2112" s="197"/>
      <c r="AC2112" s="177" t="s">
        <v>1479</v>
      </c>
    </row>
    <row r="2113" spans="3:29" ht="20.25" customHeight="1">
      <c r="E2113" s="187">
        <v>62</v>
      </c>
      <c r="F2113" s="178">
        <v>2015</v>
      </c>
      <c r="G2113" s="188">
        <v>789300000</v>
      </c>
      <c r="H2113" s="188">
        <v>84200000</v>
      </c>
      <c r="I2113" s="188">
        <v>56200000</v>
      </c>
      <c r="J2113" s="188">
        <v>39900000</v>
      </c>
      <c r="K2113" s="188">
        <v>301200000</v>
      </c>
      <c r="L2113" s="188">
        <v>283800000</v>
      </c>
      <c r="M2113" s="194">
        <f>L2113/P2113</f>
        <v>22.701915056121244</v>
      </c>
      <c r="N2113" s="190">
        <f>J2113/L2113</f>
        <v>0.14059196617336153</v>
      </c>
      <c r="O2113" s="190">
        <f>(I2113*0.64)/(K2113+(M2113*P2113))</f>
        <v>6.1483760683760685E-2</v>
      </c>
      <c r="P2113" s="188">
        <v>12501148</v>
      </c>
      <c r="Q2113" s="211">
        <f>P2113*E2113</f>
        <v>775071176</v>
      </c>
      <c r="R2113" s="195">
        <f>Q2113/L2113</f>
        <v>2.7310471317829457</v>
      </c>
      <c r="S2113" s="197">
        <f>(Q2113+K2113)/H2113</f>
        <v>12.782318004750595</v>
      </c>
      <c r="T2113" s="180"/>
      <c r="U2113" s="189">
        <f>IFERROR(IF(Tableau3[[#This Row],[Dettes]]=0,"",(Tableau3[[#This Row],[Dettes]]/Tableau3[[#This Row],[EBE]])),"")</f>
        <v>3.5771971496437054</v>
      </c>
      <c r="V2113" s="190" t="str">
        <f>IFERROR(Tableau3[[#This Row],[Fonds propres]]/Tableau3[[#This Row],[Total Bilan]],"")</f>
        <v/>
      </c>
      <c r="W2113" s="180"/>
      <c r="X2113" s="191"/>
      <c r="Y2113" s="180"/>
      <c r="Z2113" s="192" t="str">
        <f>IFERROR(Tableau3[[#This Row],[Chiffre d''affaires]]/Tableau3[[#This Row],[Salariés]],"")</f>
        <v/>
      </c>
      <c r="AA2113" s="197"/>
      <c r="AB2113" s="197"/>
      <c r="AC2113" s="177" t="s">
        <v>1480</v>
      </c>
    </row>
    <row r="2114" spans="3:29" ht="20.25" customHeight="1">
      <c r="E2114" s="187"/>
      <c r="G2114" s="202">
        <f>(G2113/G2115)-1</f>
        <v>0.92982885085574574</v>
      </c>
      <c r="H2114" s="203">
        <f>(H2113/H2115)-1</f>
        <v>0.24464153732446414</v>
      </c>
      <c r="I2114" s="203">
        <f>(I2113/I2115)-1</f>
        <v>0.46388476465838346</v>
      </c>
      <c r="J2114" s="203">
        <f>(J2113/J2115)-1</f>
        <v>0.52715581582271209</v>
      </c>
      <c r="K2114" s="188"/>
      <c r="L2114" s="188"/>
      <c r="M2114" s="194"/>
      <c r="N2114" s="190"/>
      <c r="O2114" s="190"/>
      <c r="P2114" s="188"/>
      <c r="Q2114" s="211"/>
      <c r="R2114" s="195"/>
      <c r="S2114" s="197"/>
      <c r="T2114" s="180"/>
      <c r="U2114" s="189" t="str">
        <f>IFERROR(IF(Tableau3[[#This Row],[Dettes]]=0,"",(Tableau3[[#This Row],[Dettes]]/Tableau3[[#This Row],[EBE]])),"")</f>
        <v/>
      </c>
      <c r="V2114" s="190" t="str">
        <f>IFERROR(Tableau3[[#This Row],[Fonds propres]]/Tableau3[[#This Row],[Total Bilan]],"")</f>
        <v/>
      </c>
      <c r="W2114" s="180"/>
      <c r="X2114" s="191"/>
      <c r="Y2114" s="180"/>
      <c r="Z2114" s="192" t="str">
        <f>IFERROR(Tableau3[[#This Row],[Chiffre d''affaires]]/Tableau3[[#This Row],[Salariés]],"")</f>
        <v/>
      </c>
      <c r="AA2114" s="188"/>
      <c r="AB2114" s="188"/>
      <c r="AC2114" s="177" t="s">
        <v>1481</v>
      </c>
    </row>
    <row r="2115" spans="3:29" ht="20.25" customHeight="1">
      <c r="C2115" s="178" t="s">
        <v>1483</v>
      </c>
      <c r="E2115" s="187">
        <v>36.06</v>
      </c>
      <c r="F2115" s="178">
        <v>2014</v>
      </c>
      <c r="G2115" s="188">
        <v>409000000</v>
      </c>
      <c r="H2115" s="188">
        <v>67650000</v>
      </c>
      <c r="I2115" s="188">
        <v>38391000</v>
      </c>
      <c r="J2115" s="188">
        <v>26127000</v>
      </c>
      <c r="K2115" s="188">
        <v>60808000</v>
      </c>
      <c r="L2115" s="188">
        <v>259104000</v>
      </c>
      <c r="M2115" s="194">
        <f>L2115/P2115</f>
        <v>21.223795447381853</v>
      </c>
      <c r="N2115" s="190">
        <f>J2115/L2115</f>
        <v>0.10083595776213412</v>
      </c>
      <c r="O2115" s="190">
        <f>(I2115*0.64)/(K2115+(M2115*P2115))</f>
        <v>7.6803120858236013E-2</v>
      </c>
      <c r="P2115" s="188">
        <v>12208184</v>
      </c>
      <c r="Q2115" s="211">
        <f>P2115*E2115</f>
        <v>440227115.04000002</v>
      </c>
      <c r="R2115" s="195">
        <f>Q2115/L2115</f>
        <v>1.6990363523527232</v>
      </c>
      <c r="S2115" s="197">
        <f>(Q2115+K2115)/H2115</f>
        <v>7.4062840360679978</v>
      </c>
      <c r="T2115" s="180"/>
      <c r="U2115" s="189">
        <f>IFERROR(IF(Tableau3[[#This Row],[Dettes]]=0,"",(Tableau3[[#This Row],[Dettes]]/Tableau3[[#This Row],[EBE]])),"")</f>
        <v>0.89886178861788613</v>
      </c>
      <c r="V2115" s="190" t="str">
        <f>IFERROR(Tableau3[[#This Row],[Fonds propres]]/Tableau3[[#This Row],[Total Bilan]],"")</f>
        <v/>
      </c>
      <c r="W2115" s="180"/>
      <c r="X2115" s="191"/>
      <c r="Y2115" s="180"/>
      <c r="Z2115" s="192" t="str">
        <f>IFERROR(Tableau3[[#This Row],[Chiffre d''affaires]]/Tableau3[[#This Row],[Salariés]],"")</f>
        <v/>
      </c>
      <c r="AA2115" s="197"/>
      <c r="AB2115" s="197"/>
      <c r="AC2115" s="177" t="s">
        <v>1482</v>
      </c>
    </row>
    <row r="2116" spans="3:29" ht="20.25" customHeight="1">
      <c r="C2116" s="178" t="s">
        <v>1485</v>
      </c>
      <c r="E2116" s="187"/>
      <c r="G2116" s="202">
        <f>(G2115/G2117)-1</f>
        <v>4.9608770520621404E-2</v>
      </c>
      <c r="H2116" s="203">
        <f>(H2115/H2117)-1</f>
        <v>0.297841726618705</v>
      </c>
      <c r="I2116" s="203">
        <f>(I2115/I2117)-1</f>
        <v>0.28038287086446112</v>
      </c>
      <c r="J2116" s="203">
        <f>(J2115/J2117)-1</f>
        <v>0.27517204353555558</v>
      </c>
      <c r="K2116" s="188"/>
      <c r="L2116" s="188"/>
      <c r="M2116" s="194"/>
      <c r="N2116" s="190"/>
      <c r="O2116" s="190"/>
      <c r="P2116" s="188"/>
      <c r="Q2116" s="211"/>
      <c r="R2116" s="195"/>
      <c r="S2116" s="197"/>
      <c r="T2116" s="180"/>
      <c r="U2116" s="189" t="str">
        <f>IFERROR(IF(Tableau3[[#This Row],[Dettes]]=0,"",(Tableau3[[#This Row],[Dettes]]/Tableau3[[#This Row],[EBE]])),"")</f>
        <v/>
      </c>
      <c r="V2116" s="190" t="str">
        <f>IFERROR(Tableau3[[#This Row],[Fonds propres]]/Tableau3[[#This Row],[Total Bilan]],"")</f>
        <v/>
      </c>
      <c r="W2116" s="180"/>
      <c r="X2116" s="192"/>
      <c r="Y2116" s="180"/>
      <c r="Z2116" s="192" t="str">
        <f>IFERROR(Tableau3[[#This Row],[Chiffre d''affaires]]/Tableau3[[#This Row],[Salariés]],"")</f>
        <v/>
      </c>
      <c r="AA2116" s="188"/>
      <c r="AB2116" s="188"/>
      <c r="AC2116" s="177" t="s">
        <v>1484</v>
      </c>
    </row>
    <row r="2117" spans="3:29" ht="20.25" customHeight="1">
      <c r="E2117" s="187">
        <v>113</v>
      </c>
      <c r="F2117" s="178">
        <v>2013</v>
      </c>
      <c r="G2117" s="188">
        <v>389669000</v>
      </c>
      <c r="H2117" s="188">
        <v>52125000</v>
      </c>
      <c r="I2117" s="188">
        <v>29984000</v>
      </c>
      <c r="J2117" s="188">
        <v>20489000</v>
      </c>
      <c r="K2117" s="188">
        <v>82484000</v>
      </c>
      <c r="L2117" s="188">
        <v>238258000</v>
      </c>
      <c r="M2117" s="194">
        <f>L2117/P2117</f>
        <v>78.116198903229659</v>
      </c>
      <c r="N2117" s="190">
        <f>J2117/L2117</f>
        <v>8.5995013808560464E-2</v>
      </c>
      <c r="O2117" s="190">
        <f>(I2117*0.64)/(K2117+(M2117*P2117))</f>
        <v>5.9829270878151285E-2</v>
      </c>
      <c r="P2117" s="188">
        <v>3050046</v>
      </c>
      <c r="Q2117" s="211">
        <f>P2117*E2117</f>
        <v>344655198</v>
      </c>
      <c r="R2117" s="195">
        <f>Q2117/L2117</f>
        <v>1.4465629611597512</v>
      </c>
      <c r="S2117" s="197">
        <f>(Q2117+K2117)/H2117</f>
        <v>8.1945169880095925</v>
      </c>
      <c r="T2117" s="180"/>
      <c r="U2117" s="189">
        <f>IFERROR(IF(Tableau3[[#This Row],[Dettes]]=0,"",(Tableau3[[#This Row],[Dettes]]/Tableau3[[#This Row],[EBE]])),"")</f>
        <v>1.5824268585131895</v>
      </c>
      <c r="V2117" s="190" t="str">
        <f>IFERROR(Tableau3[[#This Row],[Fonds propres]]/Tableau3[[#This Row],[Total Bilan]],"")</f>
        <v/>
      </c>
      <c r="W2117" s="180"/>
      <c r="X2117" s="191"/>
      <c r="Y2117" s="180"/>
      <c r="Z2117" s="192" t="str">
        <f>IFERROR(Tableau3[[#This Row],[Chiffre d''affaires]]/Tableau3[[#This Row],[Salariés]],"")</f>
        <v/>
      </c>
      <c r="AA2117" s="197"/>
      <c r="AB2117" s="197"/>
      <c r="AC2117" s="177" t="s">
        <v>1486</v>
      </c>
    </row>
    <row r="2118" spans="3:29" ht="20.25" customHeight="1">
      <c r="E2118" s="187"/>
      <c r="G2118" s="202">
        <f>(G2117/G2119)-1</f>
        <v>-3.4265604282580964E-2</v>
      </c>
      <c r="H2118" s="203">
        <f>(H2117/H2119)-1</f>
        <v>-5.0684781816857316E-2</v>
      </c>
      <c r="I2118" s="203">
        <f>(I2117/I2119)-1</f>
        <v>-5.5056569285556689E-2</v>
      </c>
      <c r="J2118" s="203">
        <f>(J2117/J2119)-1</f>
        <v>4.4119809794598286E-3</v>
      </c>
      <c r="K2118" s="188"/>
      <c r="L2118" s="188"/>
      <c r="M2118" s="194"/>
      <c r="N2118" s="190"/>
      <c r="O2118" s="190"/>
      <c r="P2118" s="188"/>
      <c r="Q2118" s="211"/>
      <c r="R2118" s="195"/>
      <c r="S2118" s="197"/>
      <c r="T2118" s="180"/>
      <c r="U2118" s="189" t="str">
        <f>IFERROR(IF(Tableau3[[#This Row],[Dettes]]=0,"",(Tableau3[[#This Row],[Dettes]]/Tableau3[[#This Row],[EBE]])),"")</f>
        <v/>
      </c>
      <c r="V2118" s="190" t="str">
        <f>IFERROR(Tableau3[[#This Row],[Fonds propres]]/Tableau3[[#This Row],[Total Bilan]],"")</f>
        <v/>
      </c>
      <c r="W2118" s="180"/>
      <c r="X2118" s="192"/>
      <c r="Y2118" s="180"/>
      <c r="Z2118" s="192" t="str">
        <f>IFERROR(Tableau3[[#This Row],[Chiffre d''affaires]]/Tableau3[[#This Row],[Salariés]],"")</f>
        <v/>
      </c>
      <c r="AA2118" s="188"/>
      <c r="AB2118" s="188"/>
      <c r="AC2118" s="177" t="s">
        <v>1487</v>
      </c>
    </row>
    <row r="2119" spans="3:29" ht="20.25" customHeight="1">
      <c r="E2119" s="187">
        <v>113</v>
      </c>
      <c r="F2119" s="178">
        <v>2012</v>
      </c>
      <c r="G2119" s="188">
        <v>403495000</v>
      </c>
      <c r="H2119" s="188">
        <v>54908000</v>
      </c>
      <c r="I2119" s="188">
        <v>31731000</v>
      </c>
      <c r="J2119" s="188">
        <v>20399000</v>
      </c>
      <c r="K2119" s="188">
        <v>99009000</v>
      </c>
      <c r="L2119" s="188">
        <v>226209000</v>
      </c>
      <c r="M2119" s="194">
        <f>L2119/P2119</f>
        <v>74.165766680240239</v>
      </c>
      <c r="N2119" s="190">
        <f>J2119/L2119</f>
        <v>9.017766755522548E-2</v>
      </c>
      <c r="O2119" s="190">
        <f>(I2119*0.64)/(K2119+(M2119*P2119))</f>
        <v>6.2443776174750477E-2</v>
      </c>
      <c r="P2119" s="188">
        <v>3050046</v>
      </c>
      <c r="Q2119" s="211">
        <f>P2119*E2119</f>
        <v>344655198</v>
      </c>
      <c r="R2119" s="195">
        <f>Q2119/L2119</f>
        <v>1.5236139941381643</v>
      </c>
      <c r="S2119" s="197">
        <f>(Q2119+K2119)/H2119</f>
        <v>8.0801376484301013</v>
      </c>
      <c r="T2119" s="180"/>
      <c r="U2119" s="189">
        <f>IFERROR(IF(Tableau3[[#This Row],[Dettes]]=0,"",(Tableau3[[#This Row],[Dettes]]/Tableau3[[#This Row],[EBE]])),"")</f>
        <v>1.8031798645006192</v>
      </c>
      <c r="V2119" s="190" t="str">
        <f>IFERROR(Tableau3[[#This Row],[Fonds propres]]/Tableau3[[#This Row],[Total Bilan]],"")</f>
        <v/>
      </c>
      <c r="W2119" s="180"/>
      <c r="X2119" s="191"/>
      <c r="Y2119" s="180"/>
      <c r="Z2119" s="192" t="str">
        <f>IFERROR(Tableau3[[#This Row],[Chiffre d''affaires]]/Tableau3[[#This Row],[Salariés]],"")</f>
        <v/>
      </c>
      <c r="AA2119" s="177"/>
      <c r="AC2119" s="177" t="s">
        <v>1488</v>
      </c>
    </row>
    <row r="2120" spans="3:29" ht="20.25" customHeight="1">
      <c r="E2120" s="187"/>
      <c r="G2120" s="202">
        <f>(G2119/G2121)-1</f>
        <v>6.7916068961501708E-2</v>
      </c>
      <c r="H2120" s="203">
        <f>(H2119/H2121)-1</f>
        <v>0.28680571830325752</v>
      </c>
      <c r="I2120" s="203">
        <f>(I2119/I2121)-1</f>
        <v>0.40707729147266192</v>
      </c>
      <c r="J2120" s="203">
        <f>(J2119/J2121)-1</f>
        <v>0.41394607333471956</v>
      </c>
      <c r="K2120" s="188"/>
      <c r="L2120" s="188"/>
      <c r="M2120" s="188"/>
      <c r="N2120" s="188"/>
      <c r="O2120" s="188"/>
      <c r="P2120" s="188"/>
      <c r="Q2120" s="188"/>
      <c r="R2120" s="195"/>
      <c r="S2120" s="188"/>
      <c r="T2120" s="180"/>
      <c r="U2120" s="189" t="str">
        <f>IFERROR(IF(Tableau3[[#This Row],[Dettes]]=0,"",(Tableau3[[#This Row],[Dettes]]/Tableau3[[#This Row],[EBE]])),"")</f>
        <v/>
      </c>
      <c r="V2120" s="190" t="str">
        <f>IFERROR(Tableau3[[#This Row],[Fonds propres]]/Tableau3[[#This Row],[Total Bilan]],"")</f>
        <v/>
      </c>
      <c r="W2120" s="180"/>
      <c r="X2120" s="192"/>
      <c r="Y2120" s="180"/>
      <c r="Z2120" s="192" t="str">
        <f>IFERROR(Tableau3[[#This Row],[Chiffre d''affaires]]/Tableau3[[#This Row],[Salariés]],"")</f>
        <v/>
      </c>
      <c r="AA2120" s="177"/>
      <c r="AC2120" s="177" t="s">
        <v>5234</v>
      </c>
    </row>
    <row r="2121" spans="3:29" ht="20.25" customHeight="1">
      <c r="E2121" s="187">
        <v>69</v>
      </c>
      <c r="F2121" s="178">
        <v>2011</v>
      </c>
      <c r="G2121" s="188">
        <v>377834000</v>
      </c>
      <c r="H2121" s="188">
        <v>42670000</v>
      </c>
      <c r="I2121" s="188">
        <v>22551000</v>
      </c>
      <c r="J2121" s="188">
        <v>14427000</v>
      </c>
      <c r="K2121" s="188">
        <v>100039000</v>
      </c>
      <c r="L2121" s="188">
        <v>214798000</v>
      </c>
      <c r="M2121" s="194">
        <f>L2121/P2121</f>
        <v>70.424511630316388</v>
      </c>
      <c r="N2121" s="190">
        <f>J2121/L2121</f>
        <v>6.716542984571551E-2</v>
      </c>
      <c r="O2121" s="190">
        <f>(I2121*0.64)/(K2121+(M2121*P2121))</f>
        <v>4.5841625984239465E-2</v>
      </c>
      <c r="P2121" s="188">
        <v>3050046</v>
      </c>
      <c r="Q2121" s="211">
        <f>P2121*E2121</f>
        <v>210453174</v>
      </c>
      <c r="R2121" s="195">
        <f>Q2121/L2121</f>
        <v>0.97977250253726755</v>
      </c>
      <c r="S2121" s="197">
        <f>(Q2121+K2121)/H2121</f>
        <v>7.2765918443871573</v>
      </c>
      <c r="T2121" s="180"/>
      <c r="U2121" s="189">
        <f>IFERROR(IF(Tableau3[[#This Row],[Dettes]]=0,"",(Tableau3[[#This Row],[Dettes]]/Tableau3[[#This Row],[EBE]])),"")</f>
        <v>2.3444808999296929</v>
      </c>
      <c r="V2121" s="190" t="str">
        <f>IFERROR(Tableau3[[#This Row],[Fonds propres]]/Tableau3[[#This Row],[Total Bilan]],"")</f>
        <v/>
      </c>
      <c r="W2121" s="180"/>
      <c r="Y2121" s="180"/>
      <c r="Z2121" s="192" t="str">
        <f>IFERROR(Tableau3[[#This Row],[Chiffre d''affaires]]/Tableau3[[#This Row],[Salariés]],"")</f>
        <v/>
      </c>
      <c r="AA2121" s="188"/>
      <c r="AB2121" s="188"/>
      <c r="AC2121" s="177" t="s">
        <v>1489</v>
      </c>
    </row>
    <row r="2122" spans="3:29" ht="20.25" customHeight="1">
      <c r="E2122" s="187"/>
      <c r="G2122" s="202">
        <f>(G2121/G2123)-1</f>
        <v>7.1629336971288815E-2</v>
      </c>
      <c r="H2122" s="203">
        <f>(H2121/H2123)-1</f>
        <v>0.15230893869835271</v>
      </c>
      <c r="I2122" s="203">
        <f>(I2121/I2123)-1</f>
        <v>1.0100721989482127</v>
      </c>
      <c r="J2122" s="203">
        <f>(J2121/J2123)-1</f>
        <v>1.4535714285714287</v>
      </c>
      <c r="K2122" s="188"/>
      <c r="L2122" s="188"/>
      <c r="M2122" s="188"/>
      <c r="N2122" s="188"/>
      <c r="O2122" s="188"/>
      <c r="P2122" s="188"/>
      <c r="Q2122" s="188"/>
      <c r="R2122" s="195"/>
      <c r="S2122" s="188"/>
      <c r="T2122" s="180"/>
      <c r="U2122" s="189" t="str">
        <f>IFERROR(IF(Tableau3[[#This Row],[Dettes]]=0,"",(Tableau3[[#This Row],[Dettes]]/Tableau3[[#This Row],[EBE]])),"")</f>
        <v/>
      </c>
      <c r="V2122" s="190" t="str">
        <f>IFERROR(Tableau3[[#This Row],[Fonds propres]]/Tableau3[[#This Row],[Total Bilan]],"")</f>
        <v/>
      </c>
      <c r="W2122" s="180"/>
      <c r="Y2122" s="180"/>
      <c r="Z2122" s="192" t="str">
        <f>IFERROR(Tableau3[[#This Row],[Chiffre d''affaires]]/Tableau3[[#This Row],[Salariés]],"")</f>
        <v/>
      </c>
      <c r="AA2122" s="188"/>
      <c r="AB2122" s="188"/>
      <c r="AC2122" s="177" t="s">
        <v>1490</v>
      </c>
    </row>
    <row r="2123" spans="3:29" ht="20.25" customHeight="1">
      <c r="E2123" s="187">
        <v>71</v>
      </c>
      <c r="F2123" s="178">
        <v>2010</v>
      </c>
      <c r="G2123" s="188">
        <v>352579000</v>
      </c>
      <c r="H2123" s="188">
        <v>37030000</v>
      </c>
      <c r="I2123" s="188">
        <v>11219000</v>
      </c>
      <c r="J2123" s="188">
        <v>5880000</v>
      </c>
      <c r="K2123" s="188">
        <v>89680000</v>
      </c>
      <c r="L2123" s="188">
        <v>210516000</v>
      </c>
      <c r="M2123" s="194">
        <f>L2123/P2123</f>
        <v>69.020598377860537</v>
      </c>
      <c r="N2123" s="190">
        <f>J2123/L2123</f>
        <v>2.7931368637063216E-2</v>
      </c>
      <c r="O2123" s="190">
        <f>(I2123*0.64)/(K2123+(M2123*P2123))</f>
        <v>2.3918240083145678E-2</v>
      </c>
      <c r="P2123" s="188">
        <v>3050046</v>
      </c>
      <c r="Q2123" s="211">
        <f>P2123*E2123</f>
        <v>216553266</v>
      </c>
      <c r="R2123" s="195">
        <f>Q2123/L2123</f>
        <v>1.0286784187425184</v>
      </c>
      <c r="S2123" s="197">
        <f>(Q2123+K2123)/H2123</f>
        <v>8.2698694571968669</v>
      </c>
      <c r="T2123" s="180"/>
      <c r="U2123" s="189">
        <f>IFERROR(IF(Tableau3[[#This Row],[Dettes]]=0,"",(Tableau3[[#This Row],[Dettes]]/Tableau3[[#This Row],[EBE]])),"")</f>
        <v>2.4218201458277071</v>
      </c>
      <c r="V2123" s="190" t="str">
        <f>IFERROR(Tableau3[[#This Row],[Fonds propres]]/Tableau3[[#This Row],[Total Bilan]],"")</f>
        <v/>
      </c>
      <c r="W2123" s="180"/>
      <c r="X2123" s="192"/>
      <c r="Y2123" s="180"/>
      <c r="Z2123" s="192" t="str">
        <f>IFERROR(Tableau3[[#This Row],[Chiffre d''affaires]]/Tableau3[[#This Row],[Salariés]],"")</f>
        <v/>
      </c>
      <c r="AA2123" s="188"/>
      <c r="AB2123" s="188"/>
      <c r="AC2123" s="177" t="s">
        <v>1491</v>
      </c>
    </row>
    <row r="2124" spans="3:29" ht="20.25" customHeight="1">
      <c r="G2124" s="188"/>
      <c r="H2124" s="188"/>
      <c r="I2124" s="188"/>
      <c r="J2124" s="188"/>
      <c r="K2124" s="188"/>
      <c r="L2124" s="188"/>
      <c r="M2124" s="188"/>
      <c r="N2124" s="188"/>
      <c r="O2124" s="188"/>
      <c r="P2124" s="188"/>
      <c r="Q2124" s="188"/>
      <c r="R2124" s="195"/>
      <c r="S2124" s="188"/>
      <c r="T2124" s="180"/>
      <c r="U2124" s="189" t="str">
        <f>IFERROR(IF(Tableau3[[#This Row],[Dettes]]=0,"",(Tableau3[[#This Row],[Dettes]]/Tableau3[[#This Row],[EBE]])),"")</f>
        <v/>
      </c>
      <c r="V2124" s="190" t="str">
        <f>IFERROR(Tableau3[[#This Row],[Fonds propres]]/Tableau3[[#This Row],[Total Bilan]],"")</f>
        <v/>
      </c>
      <c r="W2124" s="180"/>
      <c r="X2124" s="192"/>
      <c r="Y2124" s="180"/>
      <c r="Z2124" s="192" t="str">
        <f>IFERROR(Tableau3[[#This Row],[Chiffre d''affaires]]/Tableau3[[#This Row],[Salariés]],"")</f>
        <v/>
      </c>
      <c r="AA2124" s="188"/>
      <c r="AB2124" s="188"/>
      <c r="AC2124" s="177" t="s">
        <v>1492</v>
      </c>
    </row>
    <row r="2125" spans="3:29" ht="20.25" customHeight="1">
      <c r="F2125" s="217" t="s">
        <v>1494</v>
      </c>
      <c r="G2125" s="188"/>
      <c r="H2125" s="188"/>
      <c r="I2125" s="188"/>
      <c r="J2125" s="188"/>
      <c r="K2125" s="188"/>
      <c r="L2125" s="188"/>
      <c r="M2125" s="188"/>
      <c r="N2125" s="188"/>
      <c r="O2125" s="188"/>
      <c r="P2125" s="188"/>
      <c r="Q2125" s="188"/>
      <c r="R2125" s="195"/>
      <c r="S2125" s="188"/>
      <c r="T2125" s="180"/>
      <c r="U2125" s="189" t="str">
        <f>IFERROR(IF(Tableau3[[#This Row],[Dettes]]=0,"",(Tableau3[[#This Row],[Dettes]]/Tableau3[[#This Row],[EBE]])),"")</f>
        <v/>
      </c>
      <c r="V2125" s="190" t="str">
        <f>IFERROR(Tableau3[[#This Row],[Fonds propres]]/Tableau3[[#This Row],[Total Bilan]],"")</f>
        <v/>
      </c>
      <c r="W2125" s="180"/>
      <c r="X2125" s="192"/>
      <c r="Y2125" s="180"/>
      <c r="Z2125" s="192" t="str">
        <f>IFERROR(Tableau3[[#This Row],[Chiffre d''affaires]]/Tableau3[[#This Row],[Salariés]],"")</f>
        <v/>
      </c>
      <c r="AA2125" s="177"/>
      <c r="AC2125" s="177" t="s">
        <v>1493</v>
      </c>
    </row>
    <row r="2126" spans="3:29" ht="20.25" customHeight="1">
      <c r="E2126" s="234"/>
      <c r="F2126" s="234"/>
      <c r="G2126" s="188"/>
      <c r="H2126" s="188"/>
      <c r="I2126" s="188"/>
      <c r="J2126" s="188"/>
      <c r="K2126" s="188"/>
      <c r="L2126" s="188"/>
      <c r="M2126" s="188"/>
      <c r="N2126" s="188"/>
      <c r="O2126" s="188"/>
      <c r="P2126" s="188"/>
      <c r="Q2126" s="188"/>
      <c r="R2126" s="195"/>
      <c r="S2126" s="188"/>
      <c r="T2126" s="180"/>
      <c r="U2126" s="189" t="str">
        <f>IFERROR(IF(Tableau3[[#This Row],[Dettes]]=0,"",(Tableau3[[#This Row],[Dettes]]/Tableau3[[#This Row],[EBE]])),"")</f>
        <v/>
      </c>
      <c r="V2126" s="190" t="str">
        <f>IFERROR(Tableau3[[#This Row],[Fonds propres]]/Tableau3[[#This Row],[Total Bilan]],"")</f>
        <v/>
      </c>
      <c r="W2126" s="180"/>
      <c r="X2126" s="192"/>
      <c r="Y2126" s="180"/>
      <c r="Z2126" s="192" t="str">
        <f>IFERROR(Tableau3[[#This Row],[Chiffre d''affaires]]/Tableau3[[#This Row],[Salariés]],"")</f>
        <v/>
      </c>
      <c r="AA2126" s="177"/>
      <c r="AC2126" s="177" t="s">
        <v>1495</v>
      </c>
    </row>
    <row r="2127" spans="3:29" ht="20.25" customHeight="1">
      <c r="E2127" s="234"/>
      <c r="F2127" s="234"/>
      <c r="G2127" s="188"/>
      <c r="H2127" s="188"/>
      <c r="I2127" s="188"/>
      <c r="J2127" s="188"/>
      <c r="K2127" s="188"/>
      <c r="L2127" s="188"/>
      <c r="M2127" s="188"/>
      <c r="N2127" s="188"/>
      <c r="O2127" s="188"/>
      <c r="P2127" s="188"/>
      <c r="Q2127" s="188"/>
      <c r="R2127" s="195"/>
      <c r="S2127" s="188"/>
      <c r="T2127" s="180"/>
      <c r="U2127" s="189" t="str">
        <f>IFERROR(IF(Tableau3[[#This Row],[Dettes]]=0,"",(Tableau3[[#This Row],[Dettes]]/Tableau3[[#This Row],[EBE]])),"")</f>
        <v/>
      </c>
      <c r="V2127" s="190" t="str">
        <f>IFERROR(Tableau3[[#This Row],[Fonds propres]]/Tableau3[[#This Row],[Total Bilan]],"")</f>
        <v/>
      </c>
      <c r="W2127" s="180"/>
      <c r="Y2127" s="180"/>
      <c r="Z2127" s="192" t="str">
        <f>IFERROR(Tableau3[[#This Row],[Chiffre d''affaires]]/Tableau3[[#This Row],[Salariés]],"")</f>
        <v/>
      </c>
      <c r="AA2127" s="188"/>
      <c r="AB2127" s="188"/>
      <c r="AC2127" s="177" t="s">
        <v>1496</v>
      </c>
    </row>
    <row r="2128" spans="3:29" ht="20.25" customHeight="1">
      <c r="E2128" s="234"/>
      <c r="F2128" s="234"/>
      <c r="G2128" s="188"/>
      <c r="H2128" s="188"/>
      <c r="I2128" s="188"/>
      <c r="J2128" s="188"/>
      <c r="K2128" s="188"/>
      <c r="L2128" s="188"/>
      <c r="M2128" s="188"/>
      <c r="N2128" s="188"/>
      <c r="O2128" s="188"/>
      <c r="P2128" s="188"/>
      <c r="Q2128" s="188"/>
      <c r="R2128" s="195"/>
      <c r="S2128" s="188"/>
      <c r="T2128" s="180"/>
      <c r="U2128" s="189" t="str">
        <f>IFERROR(IF(Tableau3[[#This Row],[Dettes]]=0,"",(Tableau3[[#This Row],[Dettes]]/Tableau3[[#This Row],[EBE]])),"")</f>
        <v/>
      </c>
      <c r="V2128" s="190" t="str">
        <f>IFERROR(Tableau3[[#This Row],[Fonds propres]]/Tableau3[[#This Row],[Total Bilan]],"")</f>
        <v/>
      </c>
      <c r="W2128" s="180"/>
      <c r="Y2128" s="180"/>
      <c r="Z2128" s="192" t="str">
        <f>IFERROR(Tableau3[[#This Row],[Chiffre d''affaires]]/Tableau3[[#This Row],[Salariés]],"")</f>
        <v/>
      </c>
      <c r="AA2128" s="188"/>
      <c r="AB2128" s="188"/>
      <c r="AC2128" s="177" t="s">
        <v>1497</v>
      </c>
    </row>
    <row r="2129" spans="1:29" ht="20.25" customHeight="1">
      <c r="E2129" s="234"/>
      <c r="F2129" s="234"/>
      <c r="G2129" s="188"/>
      <c r="H2129" s="188"/>
      <c r="I2129" s="188"/>
      <c r="J2129" s="188"/>
      <c r="K2129" s="188"/>
      <c r="L2129" s="188"/>
      <c r="M2129" s="188"/>
      <c r="N2129" s="188"/>
      <c r="O2129" s="188"/>
      <c r="P2129" s="188"/>
      <c r="Q2129" s="188"/>
      <c r="R2129" s="195"/>
      <c r="S2129" s="188"/>
      <c r="T2129" s="180"/>
      <c r="U2129" s="189" t="str">
        <f>IFERROR(IF(Tableau3[[#This Row],[Dettes]]=0,"",(Tableau3[[#This Row],[Dettes]]/Tableau3[[#This Row],[EBE]])),"")</f>
        <v/>
      </c>
      <c r="V2129" s="190" t="str">
        <f>IFERROR(Tableau3[[#This Row],[Fonds propres]]/Tableau3[[#This Row],[Total Bilan]],"")</f>
        <v/>
      </c>
      <c r="W2129" s="180"/>
      <c r="X2129" s="192"/>
      <c r="Y2129" s="180"/>
      <c r="Z2129" s="192" t="str">
        <f>IFERROR(Tableau3[[#This Row],[Chiffre d''affaires]]/Tableau3[[#This Row],[Salariés]],"")</f>
        <v/>
      </c>
      <c r="AA2129" s="188"/>
      <c r="AB2129" s="188"/>
      <c r="AC2129" s="177" t="s">
        <v>81</v>
      </c>
    </row>
    <row r="2130" spans="1:29" ht="20.25" customHeight="1">
      <c r="E2130" s="234"/>
      <c r="F2130" s="234"/>
      <c r="G2130" s="188"/>
      <c r="H2130" s="188"/>
      <c r="I2130" s="188"/>
      <c r="J2130" s="188"/>
      <c r="K2130" s="188"/>
      <c r="L2130" s="188"/>
      <c r="M2130" s="188"/>
      <c r="N2130" s="188"/>
      <c r="O2130" s="188"/>
      <c r="P2130" s="188"/>
      <c r="Q2130" s="188"/>
      <c r="R2130" s="195"/>
      <c r="S2130" s="188"/>
      <c r="T2130" s="180"/>
      <c r="U2130" s="189" t="str">
        <f>IFERROR(IF(Tableau3[[#This Row],[Dettes]]=0,"",(Tableau3[[#This Row],[Dettes]]/Tableau3[[#This Row],[EBE]])),"")</f>
        <v/>
      </c>
      <c r="V2130" s="190" t="str">
        <f>IFERROR(Tableau3[[#This Row],[Fonds propres]]/Tableau3[[#This Row],[Total Bilan]],"")</f>
        <v/>
      </c>
      <c r="W2130" s="180"/>
      <c r="X2130" s="192"/>
      <c r="Y2130" s="180"/>
      <c r="Z2130" s="192" t="str">
        <f>IFERROR(Tableau3[[#This Row],[Chiffre d''affaires]]/Tableau3[[#This Row],[Salariés]],"")</f>
        <v/>
      </c>
      <c r="AA2130" s="188"/>
      <c r="AB2130" s="188"/>
      <c r="AC2130" s="177" t="s">
        <v>5231</v>
      </c>
    </row>
    <row r="2131" spans="1:29" ht="20.25" customHeight="1">
      <c r="E2131" s="234"/>
      <c r="F2131" s="234"/>
      <c r="G2131" s="188"/>
      <c r="H2131" s="188"/>
      <c r="I2131" s="188"/>
      <c r="J2131" s="188"/>
      <c r="K2131" s="188"/>
      <c r="L2131" s="188"/>
      <c r="M2131" s="188"/>
      <c r="N2131" s="188"/>
      <c r="O2131" s="188"/>
      <c r="P2131" s="188"/>
      <c r="Q2131" s="188"/>
      <c r="R2131" s="195"/>
      <c r="S2131" s="188"/>
      <c r="T2131" s="180"/>
      <c r="U2131" s="189" t="str">
        <f>IFERROR(IF(Tableau3[[#This Row],[Dettes]]=0,"",(Tableau3[[#This Row],[Dettes]]/Tableau3[[#This Row],[EBE]])),"")</f>
        <v/>
      </c>
      <c r="V2131" s="190" t="str">
        <f>IFERROR(Tableau3[[#This Row],[Fonds propres]]/Tableau3[[#This Row],[Total Bilan]],"")</f>
        <v/>
      </c>
      <c r="W2131" s="180"/>
      <c r="X2131" s="192"/>
      <c r="Y2131" s="180"/>
      <c r="Z2131" s="192" t="str">
        <f>IFERROR(Tableau3[[#This Row],[Chiffre d''affaires]]/Tableau3[[#This Row],[Salariés]],"")</f>
        <v/>
      </c>
      <c r="AA2131" s="188"/>
      <c r="AB2131" s="188"/>
    </row>
    <row r="2132" spans="1:29" ht="20.25" customHeight="1">
      <c r="E2132" s="234"/>
      <c r="F2132" s="234"/>
      <c r="G2132" s="188"/>
      <c r="H2132" s="188"/>
      <c r="I2132" s="188"/>
      <c r="J2132" s="188"/>
      <c r="K2132" s="188"/>
      <c r="L2132" s="188"/>
      <c r="M2132" s="188"/>
      <c r="N2132" s="188"/>
      <c r="O2132" s="188"/>
      <c r="P2132" s="188"/>
      <c r="Q2132" s="188"/>
      <c r="R2132" s="195"/>
      <c r="S2132" s="188"/>
      <c r="T2132" s="180"/>
      <c r="U2132" s="189" t="str">
        <f>IFERROR(IF(Tableau3[[#This Row],[Dettes]]=0,"",(Tableau3[[#This Row],[Dettes]]/Tableau3[[#This Row],[EBE]])),"")</f>
        <v/>
      </c>
      <c r="V2132" s="190" t="str">
        <f>IFERROR(Tableau3[[#This Row],[Fonds propres]]/Tableau3[[#This Row],[Total Bilan]],"")</f>
        <v/>
      </c>
      <c r="W2132" s="180"/>
      <c r="X2132" s="192"/>
      <c r="Y2132" s="180"/>
      <c r="Z2132" s="192" t="str">
        <f>IFERROR(Tableau3[[#This Row],[Chiffre d''affaires]]/Tableau3[[#This Row],[Salariés]],"")</f>
        <v/>
      </c>
    </row>
    <row r="2133" spans="1:29" ht="20.25" customHeight="1">
      <c r="E2133" s="234"/>
      <c r="F2133" s="234"/>
      <c r="G2133" s="188"/>
      <c r="H2133" s="188"/>
      <c r="I2133" s="188"/>
      <c r="J2133" s="188"/>
      <c r="K2133" s="188"/>
      <c r="L2133" s="188"/>
      <c r="M2133" s="188"/>
      <c r="N2133" s="188"/>
      <c r="O2133" s="188"/>
      <c r="P2133" s="188"/>
      <c r="Q2133" s="188"/>
      <c r="R2133" s="195"/>
      <c r="S2133" s="188"/>
      <c r="T2133" s="180"/>
      <c r="U2133" s="189" t="str">
        <f>IFERROR(IF(Tableau3[[#This Row],[Dettes]]=0,"",(Tableau3[[#This Row],[Dettes]]/Tableau3[[#This Row],[EBE]])),"")</f>
        <v/>
      </c>
      <c r="V2133" s="190" t="str">
        <f>IFERROR(Tableau3[[#This Row],[Fonds propres]]/Tableau3[[#This Row],[Total Bilan]],"")</f>
        <v/>
      </c>
      <c r="W2133" s="180"/>
      <c r="X2133" s="192"/>
      <c r="Y2133" s="180"/>
      <c r="Z2133" s="192" t="str">
        <f>IFERROR(Tableau3[[#This Row],[Chiffre d''affaires]]/Tableau3[[#This Row],[Salariés]],"")</f>
        <v/>
      </c>
    </row>
    <row r="2134" spans="1:29" ht="20.25" customHeight="1">
      <c r="A2134" s="217" t="s">
        <v>1498</v>
      </c>
      <c r="B2134" s="216" t="s">
        <v>1499</v>
      </c>
      <c r="C2134" s="178" t="s">
        <v>427</v>
      </c>
      <c r="D2134" s="178" t="s">
        <v>85</v>
      </c>
      <c r="E2134" s="187">
        <v>36.85</v>
      </c>
      <c r="F2134" s="178">
        <v>2021</v>
      </c>
      <c r="G2134" s="188"/>
      <c r="H2134" s="188"/>
      <c r="I2134" s="188"/>
      <c r="J2134" s="188"/>
      <c r="K2134" s="188"/>
      <c r="L2134" s="188"/>
      <c r="M2134" s="188"/>
      <c r="N2134" s="188"/>
      <c r="O2134" s="188"/>
      <c r="P2134" s="188"/>
      <c r="Q2134" s="188"/>
      <c r="R2134" s="195"/>
      <c r="S2134" s="188"/>
      <c r="T2134" s="180"/>
      <c r="U2134" s="189" t="str">
        <f>IFERROR(IF(Tableau3[[#This Row],[Dettes]]=0,"",(Tableau3[[#This Row],[Dettes]]/Tableau3[[#This Row],[EBE]])),"")</f>
        <v/>
      </c>
      <c r="V2134" s="190" t="str">
        <f>IFERROR(Tableau3[[#This Row],[Fonds propres]]/Tableau3[[#This Row],[Total Bilan]],"")</f>
        <v/>
      </c>
      <c r="W2134" s="180"/>
      <c r="X2134" s="192"/>
      <c r="Y2134" s="180"/>
      <c r="Z2134" s="192" t="str">
        <f>IFERROR(Tableau3[[#This Row],[Chiffre d''affaires]]/Tableau3[[#This Row],[Salariés]],"")</f>
        <v/>
      </c>
      <c r="AA2134" s="188"/>
      <c r="AB2134" s="188"/>
      <c r="AC2134" s="177" t="s">
        <v>1500</v>
      </c>
    </row>
    <row r="2135" spans="1:29" ht="20.25" customHeight="1">
      <c r="E2135" s="187"/>
      <c r="G2135" s="188"/>
      <c r="H2135" s="188"/>
      <c r="I2135" s="188"/>
      <c r="J2135" s="188"/>
      <c r="K2135" s="188"/>
      <c r="L2135" s="188"/>
      <c r="M2135" s="188"/>
      <c r="N2135" s="188"/>
      <c r="O2135" s="188"/>
      <c r="P2135" s="188"/>
      <c r="Q2135" s="188"/>
      <c r="R2135" s="195"/>
      <c r="S2135" s="188"/>
      <c r="T2135" s="180"/>
      <c r="U2135" s="189" t="str">
        <f>IFERROR(IF(Tableau3[[#This Row],[Dettes]]=0,"",(Tableau3[[#This Row],[Dettes]]/Tableau3[[#This Row],[EBE]])),"")</f>
        <v/>
      </c>
      <c r="V2135" s="190" t="str">
        <f>IFERROR(Tableau3[[#This Row],[Fonds propres]]/Tableau3[[#This Row],[Total Bilan]],"")</f>
        <v/>
      </c>
      <c r="W2135" s="180"/>
      <c r="X2135" s="192"/>
      <c r="Y2135" s="180"/>
      <c r="Z2135" s="192" t="str">
        <f>IFERROR(Tableau3[[#This Row],[Chiffre d''affaires]]/Tableau3[[#This Row],[Salariés]],"")</f>
        <v/>
      </c>
      <c r="AA2135" s="188"/>
      <c r="AB2135" s="188"/>
      <c r="AC2135" s="177" t="s">
        <v>1501</v>
      </c>
    </row>
    <row r="2136" spans="1:29" ht="20.25" customHeight="1">
      <c r="E2136" s="187">
        <v>44</v>
      </c>
      <c r="F2136" s="178">
        <v>2020</v>
      </c>
      <c r="G2136" s="188">
        <v>19535000000</v>
      </c>
      <c r="H2136" s="188">
        <v>2570000000</v>
      </c>
      <c r="I2136" s="188">
        <v>1542000000</v>
      </c>
      <c r="J2136" s="188">
        <v>1195000000</v>
      </c>
      <c r="K2136" s="188">
        <v>6934000000</v>
      </c>
      <c r="L2136" s="188">
        <v>11870000000</v>
      </c>
      <c r="M2136" s="194">
        <f>L2136/P2136</f>
        <v>13.028875578632039</v>
      </c>
      <c r="N2136" s="190">
        <f>J2136/L2136</f>
        <v>0.10067396798652065</v>
      </c>
      <c r="O2136" s="190">
        <f>(I2136*0.64)/(K2136+(M2136*P2136))</f>
        <v>5.2482450542437782E-2</v>
      </c>
      <c r="P2136" s="242">
        <v>911053293</v>
      </c>
      <c r="Q2136" s="211">
        <f>P2136*E2136</f>
        <v>40086344892</v>
      </c>
      <c r="R2136" s="195">
        <f>Q2136/L2136</f>
        <v>3.3771141442291492</v>
      </c>
      <c r="S2136" s="197">
        <f>(Q2136+K2136)/H2136</f>
        <v>18.295854043579766</v>
      </c>
      <c r="T2136" s="180"/>
      <c r="U2136" s="189">
        <f>IFERROR(IF(Tableau3[[#This Row],[Dettes]]=0,"",(Tableau3[[#This Row],[Dettes]]/Tableau3[[#This Row],[EBE]])),"")</f>
        <v>2.6980544747081714</v>
      </c>
      <c r="V2136" s="190" t="str">
        <f>IFERROR(Tableau3[[#This Row],[Fonds propres]]/Tableau3[[#This Row],[Total Bilan]],"")</f>
        <v/>
      </c>
      <c r="W2136" s="180"/>
      <c r="X2136" s="192"/>
      <c r="Y2136" s="180"/>
      <c r="Z2136" s="192" t="str">
        <f>IFERROR(Tableau3[[#This Row],[Chiffre d''affaires]]/Tableau3[[#This Row],[Salariés]],"")</f>
        <v/>
      </c>
      <c r="AA2136" s="188"/>
      <c r="AB2136" s="188"/>
      <c r="AC2136" s="177" t="s">
        <v>1502</v>
      </c>
    </row>
    <row r="2137" spans="1:29" ht="20.25" customHeight="1">
      <c r="E2137" s="187"/>
      <c r="G2137" s="202">
        <f>(G2136/G2138)-1</f>
        <v>2.7204599117134354E-3</v>
      </c>
      <c r="H2137" s="203">
        <f>(H2136/H2138)-1</f>
        <v>2.7311744049940412E-3</v>
      </c>
      <c r="I2137" s="203">
        <f>(I2136/I2138)-1</f>
        <v>-6.2043795620437936E-2</v>
      </c>
      <c r="J2137" s="203">
        <f>(J2136/J2138)-1</f>
        <v>1.8755328218243772E-2</v>
      </c>
      <c r="K2137" s="188"/>
      <c r="L2137" s="188"/>
      <c r="M2137" s="188"/>
      <c r="N2137" s="188"/>
      <c r="O2137" s="188"/>
      <c r="P2137" s="188"/>
      <c r="Q2137" s="188"/>
      <c r="R2137" s="195"/>
      <c r="S2137" s="188"/>
      <c r="T2137" s="180"/>
      <c r="U2137" s="189" t="str">
        <f>IFERROR(IF(Tableau3[[#This Row],[Dettes]]=0,"",(Tableau3[[#This Row],[Dettes]]/Tableau3[[#This Row],[EBE]])),"")</f>
        <v/>
      </c>
      <c r="V2137" s="190" t="str">
        <f>IFERROR(Tableau3[[#This Row],[Fonds propres]]/Tableau3[[#This Row],[Total Bilan]],"")</f>
        <v/>
      </c>
      <c r="W2137" s="180"/>
      <c r="X2137" s="192"/>
      <c r="Y2137" s="180"/>
      <c r="Z2137" s="192" t="str">
        <f>IFERROR(Tableau3[[#This Row],[Chiffre d''affaires]]/Tableau3[[#This Row],[Salariés]],"")</f>
        <v/>
      </c>
      <c r="AA2137" s="188"/>
      <c r="AB2137" s="188"/>
      <c r="AC2137" s="177" t="s">
        <v>1503</v>
      </c>
    </row>
    <row r="2138" spans="1:29" ht="20.25" customHeight="1">
      <c r="E2138" s="187">
        <v>43.9</v>
      </c>
      <c r="F2138" s="178">
        <v>2019</v>
      </c>
      <c r="G2138" s="188">
        <v>19482000000</v>
      </c>
      <c r="H2138" s="188">
        <v>2563000000</v>
      </c>
      <c r="I2138" s="188">
        <v>1644000000</v>
      </c>
      <c r="J2138" s="188">
        <v>1173000000</v>
      </c>
      <c r="K2138" s="188">
        <v>5447000000</v>
      </c>
      <c r="L2138" s="188">
        <v>12597000000</v>
      </c>
      <c r="M2138" s="194">
        <f>L2138/P2138</f>
        <v>14.047631630306213</v>
      </c>
      <c r="N2138" s="190">
        <f>J2138/L2138</f>
        <v>9.3117408906882596E-2</v>
      </c>
      <c r="O2138" s="190">
        <f>(I2138*0.64)/(K2138+(M2138*P2138))</f>
        <v>5.8310795832409668E-2</v>
      </c>
      <c r="P2138" s="242">
        <v>896734790</v>
      </c>
      <c r="Q2138" s="211">
        <f>P2138*E2138</f>
        <v>39366657281</v>
      </c>
      <c r="R2138" s="195">
        <f>Q2138/L2138</f>
        <v>3.1250819465745812</v>
      </c>
      <c r="S2138" s="197">
        <f>(Q2138+K2138)/H2138</f>
        <v>17.484844822863831</v>
      </c>
      <c r="T2138" s="180"/>
      <c r="U2138" s="189">
        <f>IFERROR(IF(Tableau3[[#This Row],[Dettes]]=0,"",(Tableau3[[#This Row],[Dettes]]/Tableau3[[#This Row],[EBE]])),"")</f>
        <v>2.1252438548575889</v>
      </c>
      <c r="V2138" s="190" t="str">
        <f>IFERROR(Tableau3[[#This Row],[Fonds propres]]/Tableau3[[#This Row],[Total Bilan]],"")</f>
        <v/>
      </c>
      <c r="W2138" s="180"/>
      <c r="X2138" s="192"/>
      <c r="Y2138" s="180"/>
      <c r="Z2138" s="192" t="str">
        <f>IFERROR(Tableau3[[#This Row],[Chiffre d''affaires]]/Tableau3[[#This Row],[Salariés]],"")</f>
        <v/>
      </c>
      <c r="AA2138" s="188"/>
      <c r="AB2138" s="188"/>
      <c r="AC2138" s="177" t="s">
        <v>1504</v>
      </c>
    </row>
    <row r="2139" spans="1:29" ht="20.25" customHeight="1">
      <c r="E2139" s="187"/>
      <c r="G2139" s="202">
        <f>(G2138/G2140)-1</f>
        <v>7.5106230340489022E-2</v>
      </c>
      <c r="H2139" s="203">
        <f>(H2138/H2140)-1</f>
        <v>8.3262890955198676E-2</v>
      </c>
      <c r="I2139" s="203">
        <f>(I2138/I2140)-1</f>
        <v>-4.3630017452007008E-2</v>
      </c>
      <c r="J2139" s="203">
        <f>(J2138/J2140)-1</f>
        <v>6.9279854147675568E-2</v>
      </c>
      <c r="K2139" s="188"/>
      <c r="L2139" s="188"/>
      <c r="M2139" s="188"/>
      <c r="N2139" s="188"/>
      <c r="O2139" s="188"/>
      <c r="P2139" s="188"/>
      <c r="Q2139" s="188"/>
      <c r="R2139" s="195"/>
      <c r="S2139" s="188"/>
      <c r="T2139" s="180"/>
      <c r="U2139" s="189" t="str">
        <f>IFERROR(IF(Tableau3[[#This Row],[Dettes]]=0,"",(Tableau3[[#This Row],[Dettes]]/Tableau3[[#This Row],[EBE]])),"")</f>
        <v/>
      </c>
      <c r="V2139" s="190" t="str">
        <f>IFERROR(Tableau3[[#This Row],[Fonds propres]]/Tableau3[[#This Row],[Total Bilan]],"")</f>
        <v/>
      </c>
      <c r="W2139" s="180"/>
      <c r="X2139" s="192"/>
      <c r="Y2139" s="180"/>
      <c r="Z2139" s="192" t="str">
        <f>IFERROR(Tableau3[[#This Row],[Chiffre d''affaires]]/Tableau3[[#This Row],[Salariés]],"")</f>
        <v/>
      </c>
      <c r="AA2139" s="188"/>
      <c r="AB2139" s="188"/>
      <c r="AC2139" s="177" t="s">
        <v>1505</v>
      </c>
    </row>
    <row r="2140" spans="1:29" ht="20.25" customHeight="1">
      <c r="E2140" s="187">
        <v>30.7</v>
      </c>
      <c r="F2140" s="178">
        <v>2018</v>
      </c>
      <c r="G2140" s="188">
        <v>18121000000</v>
      </c>
      <c r="H2140" s="188">
        <v>2366000000</v>
      </c>
      <c r="I2140" s="188">
        <v>1719000000</v>
      </c>
      <c r="J2140" s="188">
        <v>1097000000</v>
      </c>
      <c r="K2140" s="188">
        <v>4821000000</v>
      </c>
      <c r="L2140" s="188">
        <v>12088000000</v>
      </c>
      <c r="M2140" s="194">
        <f>L2140/P2140</f>
        <v>13.051231990359295</v>
      </c>
      <c r="N2140" s="190">
        <f>J2140/L2140</f>
        <v>9.0751158173395102E-2</v>
      </c>
      <c r="O2140" s="190">
        <f>(I2140*0.64)/(K2140+(M2140*P2140))</f>
        <v>6.5063575610621566E-2</v>
      </c>
      <c r="P2140" s="242">
        <v>926196087</v>
      </c>
      <c r="Q2140" s="211">
        <f>P2140*E2140</f>
        <v>28434219870.899998</v>
      </c>
      <c r="R2140" s="195">
        <f>Q2140/L2140</f>
        <v>2.352268354640966</v>
      </c>
      <c r="S2140" s="197">
        <f>(Q2140+K2140)/H2140</f>
        <v>14.055460638588334</v>
      </c>
      <c r="T2140" s="180"/>
      <c r="U2140" s="189">
        <f>IFERROR(IF(Tableau3[[#This Row],[Dettes]]=0,"",(Tableau3[[#This Row],[Dettes]]/Tableau3[[#This Row],[EBE]])),"")</f>
        <v>2.0376162299239224</v>
      </c>
      <c r="V2140" s="190" t="str">
        <f>IFERROR(Tableau3[[#This Row],[Fonds propres]]/Tableau3[[#This Row],[Total Bilan]],"")</f>
        <v/>
      </c>
      <c r="W2140" s="180"/>
      <c r="X2140" s="192"/>
      <c r="Y2140" s="180"/>
      <c r="Z2140" s="192" t="str">
        <f>IFERROR(Tableau3[[#This Row],[Chiffre d''affaires]]/Tableau3[[#This Row],[Salariés]],"")</f>
        <v/>
      </c>
      <c r="AA2140" s="188"/>
      <c r="AB2140" s="188"/>
      <c r="AC2140" s="177" t="s">
        <v>1506</v>
      </c>
    </row>
    <row r="2141" spans="1:29" ht="20.25" customHeight="1">
      <c r="E2141" s="187"/>
      <c r="G2141" s="202">
        <f>(G2140/G2142)-1</f>
        <v>1.9178852643419564E-2</v>
      </c>
      <c r="H2141" s="203">
        <f>(H2140/H2142)-1</f>
        <v>9.8931723176962416E-2</v>
      </c>
      <c r="I2141" s="203">
        <f>(I2140/I2142)-1</f>
        <v>0.1331575477916942</v>
      </c>
      <c r="J2141" s="203">
        <f>(J2140/J2142)-1</f>
        <v>-0.41336898395721922</v>
      </c>
      <c r="K2141" s="188"/>
      <c r="L2141" s="188"/>
      <c r="M2141" s="178"/>
      <c r="N2141" s="178"/>
      <c r="O2141" s="178"/>
      <c r="P2141" s="188"/>
      <c r="Q2141" s="188"/>
      <c r="R2141" s="195"/>
      <c r="S2141" s="188"/>
      <c r="T2141" s="180"/>
      <c r="U2141" s="189" t="str">
        <f>IFERROR(IF(Tableau3[[#This Row],[Dettes]]=0,"",(Tableau3[[#This Row],[Dettes]]/Tableau3[[#This Row],[EBE]])),"")</f>
        <v/>
      </c>
      <c r="V2141" s="190" t="str">
        <f>IFERROR(Tableau3[[#This Row],[Fonds propres]]/Tableau3[[#This Row],[Total Bilan]],"")</f>
        <v/>
      </c>
      <c r="W2141" s="180"/>
      <c r="X2141" s="192"/>
      <c r="Y2141" s="180"/>
      <c r="Z2141" s="192" t="str">
        <f>IFERROR(Tableau3[[#This Row],[Chiffre d''affaires]]/Tableau3[[#This Row],[Salariés]],"")</f>
        <v/>
      </c>
      <c r="AA2141" s="188"/>
      <c r="AB2141" s="188"/>
      <c r="AC2141" s="177" t="s">
        <v>1507</v>
      </c>
    </row>
    <row r="2142" spans="1:29" ht="20.25" customHeight="1">
      <c r="E2142" s="187">
        <v>31.5</v>
      </c>
      <c r="F2142" s="178">
        <v>2017</v>
      </c>
      <c r="G2142" s="188">
        <v>17780000000</v>
      </c>
      <c r="H2142" s="188">
        <v>2153000000</v>
      </c>
      <c r="I2142" s="188">
        <v>1517000000</v>
      </c>
      <c r="J2142" s="188">
        <v>1870000000</v>
      </c>
      <c r="K2142" s="188">
        <v>4715000000</v>
      </c>
      <c r="L2142" s="188">
        <v>11099000000</v>
      </c>
      <c r="M2142" s="194">
        <f>L2142/P2142</f>
        <v>11.796039448561906</v>
      </c>
      <c r="N2142" s="190">
        <f>J2142/L2142</f>
        <v>0.16848364717542122</v>
      </c>
      <c r="O2142" s="190">
        <f>(I2142*0.64)/(K2142+(M2142*P2142))</f>
        <v>6.1393701783230052E-2</v>
      </c>
      <c r="P2142" s="242">
        <v>940909027</v>
      </c>
      <c r="Q2142" s="211">
        <f>P2142*E2142</f>
        <v>29638634350.5</v>
      </c>
      <c r="R2142" s="195">
        <f>Q2142/L2142</f>
        <v>2.6703878142625461</v>
      </c>
      <c r="S2142" s="197">
        <f>(Q2142+K2142)/H2142</f>
        <v>15.956170158151417</v>
      </c>
      <c r="T2142" s="180"/>
      <c r="U2142" s="189">
        <f>IFERROR(IF(Tableau3[[#This Row],[Dettes]]=0,"",(Tableau3[[#This Row],[Dettes]]/Tableau3[[#This Row],[EBE]])),"")</f>
        <v>2.1899674872271251</v>
      </c>
      <c r="V2142" s="190" t="str">
        <f>IFERROR(Tableau3[[#This Row],[Fonds propres]]/Tableau3[[#This Row],[Total Bilan]],"")</f>
        <v/>
      </c>
      <c r="W2142" s="180"/>
      <c r="X2142" s="192"/>
      <c r="Y2142" s="180"/>
      <c r="Z2142" s="192" t="str">
        <f>IFERROR(Tableau3[[#This Row],[Chiffre d''affaires]]/Tableau3[[#This Row],[Salariés]],"")</f>
        <v/>
      </c>
      <c r="AA2142" s="188"/>
      <c r="AB2142" s="188"/>
      <c r="AC2142" s="177" t="s">
        <v>1508</v>
      </c>
    </row>
    <row r="2143" spans="1:29" ht="20.25" customHeight="1">
      <c r="E2143" s="187"/>
      <c r="F2143" s="234"/>
      <c r="G2143" s="202">
        <f>(G2142/G2144)-1</f>
        <v>2.0548731488922112E-2</v>
      </c>
      <c r="H2143" s="203">
        <f>(H2142/H2144)-1</f>
        <v>0.12077043206663207</v>
      </c>
      <c r="I2143" s="203">
        <f>(I2142/I2144)-1</f>
        <v>3.6202185792349795E-2</v>
      </c>
      <c r="J2143" s="203">
        <f>(J2142/J2144)-1</f>
        <v>0.25419181757209919</v>
      </c>
      <c r="K2143" s="188"/>
      <c r="L2143" s="188"/>
      <c r="M2143" s="188"/>
      <c r="N2143" s="188"/>
      <c r="O2143" s="188"/>
      <c r="P2143" s="188"/>
      <c r="Q2143" s="188"/>
      <c r="R2143" s="195"/>
      <c r="S2143" s="188"/>
      <c r="T2143" s="180"/>
      <c r="U2143" s="189" t="str">
        <f>IFERROR(IF(Tableau3[[#This Row],[Dettes]]=0,"",(Tableau3[[#This Row],[Dettes]]/Tableau3[[#This Row],[EBE]])),"")</f>
        <v/>
      </c>
      <c r="V2143" s="190" t="str">
        <f>IFERROR(Tableau3[[#This Row],[Fonds propres]]/Tableau3[[#This Row],[Total Bilan]],"")</f>
        <v/>
      </c>
      <c r="W2143" s="180"/>
      <c r="X2143" s="192"/>
      <c r="Y2143" s="180"/>
      <c r="Z2143" s="192" t="str">
        <f>IFERROR(Tableau3[[#This Row],[Chiffre d''affaires]]/Tableau3[[#This Row],[Salariés]],"")</f>
        <v/>
      </c>
      <c r="AA2143" s="188"/>
      <c r="AB2143" s="188"/>
      <c r="AC2143" s="177" t="s">
        <v>1509</v>
      </c>
    </row>
    <row r="2144" spans="1:29" ht="20.25" customHeight="1">
      <c r="E2144" s="187">
        <v>29</v>
      </c>
      <c r="F2144" s="178">
        <v>2016</v>
      </c>
      <c r="G2144" s="188">
        <v>17422000000</v>
      </c>
      <c r="H2144" s="188">
        <v>1921000000</v>
      </c>
      <c r="I2144" s="188">
        <v>1464000000</v>
      </c>
      <c r="J2144" s="188">
        <v>1491000000</v>
      </c>
      <c r="K2144" s="188">
        <v>5606000000</v>
      </c>
      <c r="L2144" s="188">
        <v>12546000000</v>
      </c>
      <c r="M2144" s="194">
        <f>L2144/P2144</f>
        <v>13.495476053100639</v>
      </c>
      <c r="N2144" s="190">
        <f>J2144/L2144</f>
        <v>0.11884265901482544</v>
      </c>
      <c r="O2144" s="190">
        <f>(I2144*0.64)/(K2144+(M2144*P2144))</f>
        <v>5.1617452622300573E-2</v>
      </c>
      <c r="P2144" s="242">
        <v>929644864</v>
      </c>
      <c r="Q2144" s="211">
        <f>P2144*E2144</f>
        <v>26959701056</v>
      </c>
      <c r="R2144" s="195">
        <f>Q2144/L2144</f>
        <v>2.1488682493224931</v>
      </c>
      <c r="S2144" s="197">
        <f>(Q2144+K2144)/H2144</f>
        <v>16.952473220197813</v>
      </c>
      <c r="T2144" s="180"/>
      <c r="U2144" s="189">
        <f>IFERROR(IF(Tableau3[[#This Row],[Dettes]]=0,"",(Tableau3[[#This Row],[Dettes]]/Tableau3[[#This Row],[EBE]])),"")</f>
        <v>2.91827173347215</v>
      </c>
      <c r="V2144" s="190" t="str">
        <f>IFERROR(Tableau3[[#This Row],[Fonds propres]]/Tableau3[[#This Row],[Total Bilan]],"")</f>
        <v/>
      </c>
      <c r="W2144" s="180"/>
      <c r="Y2144" s="180"/>
      <c r="Z2144" s="192" t="str">
        <f>IFERROR(Tableau3[[#This Row],[Chiffre d''affaires]]/Tableau3[[#This Row],[Salariés]],"")</f>
        <v/>
      </c>
      <c r="AA2144" s="177"/>
      <c r="AC2144" s="177" t="s">
        <v>483</v>
      </c>
    </row>
    <row r="2145" spans="1:29" ht="20.25" customHeight="1">
      <c r="G2145" s="188"/>
      <c r="H2145" s="178"/>
      <c r="I2145" s="178"/>
      <c r="J2145" s="178"/>
      <c r="K2145" s="178"/>
      <c r="L2145" s="178"/>
      <c r="M2145" s="178"/>
      <c r="N2145" s="178"/>
      <c r="O2145" s="178"/>
      <c r="P2145" s="178"/>
      <c r="Q2145" s="178"/>
      <c r="R2145" s="178"/>
      <c r="S2145" s="178"/>
      <c r="T2145" s="180"/>
      <c r="U2145" s="189" t="str">
        <f>IFERROR(IF(Tableau3[[#This Row],[Dettes]]=0,"",(Tableau3[[#This Row],[Dettes]]/Tableau3[[#This Row],[EBE]])),"")</f>
        <v/>
      </c>
      <c r="V2145" s="190" t="str">
        <f>IFERROR(Tableau3[[#This Row],[Fonds propres]]/Tableau3[[#This Row],[Total Bilan]],"")</f>
        <v/>
      </c>
      <c r="W2145" s="180"/>
      <c r="Y2145" s="180"/>
      <c r="Z2145" s="192" t="str">
        <f>IFERROR(Tableau3[[#This Row],[Chiffre d''affaires]]/Tableau3[[#This Row],[Salariés]],"")</f>
        <v/>
      </c>
      <c r="AA2145" s="177"/>
      <c r="AC2145" s="177" t="s">
        <v>1510</v>
      </c>
    </row>
    <row r="2146" spans="1:29" ht="20.25" customHeight="1">
      <c r="G2146" s="188"/>
      <c r="H2146" s="178"/>
      <c r="I2146" s="178"/>
      <c r="J2146" s="178"/>
      <c r="K2146" s="178"/>
      <c r="L2146" s="178"/>
      <c r="M2146" s="178"/>
      <c r="N2146" s="178"/>
      <c r="O2146" s="178"/>
      <c r="P2146" s="178"/>
      <c r="Q2146" s="178"/>
      <c r="R2146" s="178"/>
      <c r="S2146" s="178"/>
      <c r="T2146" s="180"/>
      <c r="U2146" s="189" t="str">
        <f>IFERROR(IF(Tableau3[[#This Row],[Dettes]]=0,"",(Tableau3[[#This Row],[Dettes]]/Tableau3[[#This Row],[EBE]])),"")</f>
        <v/>
      </c>
      <c r="V2146" s="190" t="str">
        <f>IFERROR(Tableau3[[#This Row],[Fonds propres]]/Tableau3[[#This Row],[Total Bilan]],"")</f>
        <v/>
      </c>
      <c r="W2146" s="180"/>
      <c r="Y2146" s="180"/>
      <c r="Z2146" s="192" t="str">
        <f>IFERROR(Tableau3[[#This Row],[Chiffre d''affaires]]/Tableau3[[#This Row],[Salariés]],"")</f>
        <v/>
      </c>
      <c r="AA2146" s="177"/>
      <c r="AC2146" s="177" t="s">
        <v>1511</v>
      </c>
    </row>
    <row r="2147" spans="1:29" ht="20.25" customHeight="1">
      <c r="A2147" s="217"/>
      <c r="G2147" s="188"/>
      <c r="H2147" s="178"/>
      <c r="I2147" s="178"/>
      <c r="J2147" s="178"/>
      <c r="K2147" s="178"/>
      <c r="L2147" s="178"/>
      <c r="M2147" s="178"/>
      <c r="N2147" s="178"/>
      <c r="O2147" s="178"/>
      <c r="P2147" s="178"/>
      <c r="Q2147" s="178"/>
      <c r="R2147" s="178"/>
      <c r="S2147" s="178"/>
      <c r="T2147" s="180"/>
      <c r="U2147" s="189" t="str">
        <f>IFERROR(IF(Tableau3[[#This Row],[Dettes]]=0,"",(Tableau3[[#This Row],[Dettes]]/Tableau3[[#This Row],[EBE]])),"")</f>
        <v/>
      </c>
      <c r="V2147" s="190" t="str">
        <f>IFERROR(Tableau3[[#This Row],[Fonds propres]]/Tableau3[[#This Row],[Total Bilan]],"")</f>
        <v/>
      </c>
      <c r="W2147" s="180"/>
      <c r="Y2147" s="180"/>
      <c r="Z2147" s="192" t="str">
        <f>IFERROR(Tableau3[[#This Row],[Chiffre d''affaires]]/Tableau3[[#This Row],[Salariés]],"")</f>
        <v/>
      </c>
      <c r="AA2147" s="177"/>
    </row>
    <row r="2148" spans="1:29" ht="20.25" customHeight="1">
      <c r="G2148" s="188"/>
      <c r="H2148" s="178"/>
      <c r="I2148" s="178"/>
      <c r="J2148" s="178"/>
      <c r="K2148" s="178"/>
      <c r="L2148" s="178"/>
      <c r="M2148" s="178"/>
      <c r="N2148" s="178"/>
      <c r="O2148" s="178"/>
      <c r="P2148" s="178"/>
      <c r="Q2148" s="178"/>
      <c r="R2148" s="178"/>
      <c r="S2148" s="178"/>
      <c r="T2148" s="180"/>
      <c r="U2148" s="189" t="str">
        <f>IFERROR(IF(Tableau3[[#This Row],[Dettes]]=0,"",(Tableau3[[#This Row],[Dettes]]/Tableau3[[#This Row],[EBE]])),"")</f>
        <v/>
      </c>
      <c r="V2148" s="190" t="str">
        <f>IFERROR(Tableau3[[#This Row],[Fonds propres]]/Tableau3[[#This Row],[Total Bilan]],"")</f>
        <v/>
      </c>
      <c r="W2148" s="180"/>
      <c r="Y2148" s="180"/>
      <c r="Z2148" s="192" t="str">
        <f>IFERROR(Tableau3[[#This Row],[Chiffre d''affaires]]/Tableau3[[#This Row],[Salariés]],"")</f>
        <v/>
      </c>
      <c r="AA2148" s="177"/>
    </row>
    <row r="2149" spans="1:29" ht="20.25" customHeight="1">
      <c r="A2149" s="217"/>
      <c r="G2149" s="188"/>
      <c r="H2149" s="178"/>
      <c r="I2149" s="178"/>
      <c r="J2149" s="178"/>
      <c r="K2149" s="178"/>
      <c r="L2149" s="178"/>
      <c r="M2149" s="178"/>
      <c r="N2149" s="178"/>
      <c r="O2149" s="178"/>
      <c r="P2149" s="178"/>
      <c r="Q2149" s="178"/>
      <c r="R2149" s="178"/>
      <c r="S2149" s="178"/>
      <c r="T2149" s="180"/>
      <c r="U2149" s="189" t="str">
        <f>IFERROR(IF(Tableau3[[#This Row],[Dettes]]=0,"",(Tableau3[[#This Row],[Dettes]]/Tableau3[[#This Row],[EBE]])),"")</f>
        <v/>
      </c>
      <c r="V2149" s="190" t="str">
        <f>IFERROR(Tableau3[[#This Row],[Fonds propres]]/Tableau3[[#This Row],[Total Bilan]],"")</f>
        <v/>
      </c>
      <c r="W2149" s="180"/>
      <c r="Y2149" s="180"/>
      <c r="Z2149" s="192" t="str">
        <f>IFERROR(Tableau3[[#This Row],[Chiffre d''affaires]]/Tableau3[[#This Row],[Salariés]],"")</f>
        <v/>
      </c>
      <c r="AA2149" s="177"/>
    </row>
    <row r="2150" spans="1:29" ht="20.25" customHeight="1">
      <c r="A2150" s="217" t="s">
        <v>1520</v>
      </c>
      <c r="B2150" s="216" t="s">
        <v>1521</v>
      </c>
      <c r="C2150" s="178" t="s">
        <v>564</v>
      </c>
      <c r="D2150" s="178" t="s">
        <v>1522</v>
      </c>
      <c r="F2150" s="178">
        <v>2025</v>
      </c>
      <c r="G2150" s="188"/>
      <c r="H2150" s="178"/>
      <c r="I2150" s="178"/>
      <c r="J2150" s="178"/>
      <c r="K2150" s="178"/>
      <c r="L2150" s="178"/>
      <c r="M2150" s="178"/>
      <c r="N2150" s="178"/>
      <c r="O2150" s="178"/>
      <c r="P2150" s="178"/>
      <c r="Q2150" s="178"/>
      <c r="R2150" s="178"/>
      <c r="S2150" s="178"/>
      <c r="T2150" s="180"/>
      <c r="U2150" s="189" t="str">
        <f>IFERROR(IF(Tableau3[[#This Row],[Dettes]]=0,"",(Tableau3[[#This Row],[Dettes]]/Tableau3[[#This Row],[EBE]])),"")</f>
        <v/>
      </c>
      <c r="V2150" s="190" t="str">
        <f>IFERROR(Tableau3[[#This Row],[Fonds propres]]/Tableau3[[#This Row],[Total Bilan]],"")</f>
        <v/>
      </c>
      <c r="W2150" s="180"/>
      <c r="Y2150" s="180"/>
      <c r="Z2150" s="192" t="str">
        <f>IFERROR(Tableau3[[#This Row],[Chiffre d''affaires]]/Tableau3[[#This Row],[Salariés]],"")</f>
        <v/>
      </c>
      <c r="AA2150" s="177"/>
      <c r="AC2150" s="177" t="s">
        <v>1524</v>
      </c>
    </row>
    <row r="2151" spans="1:29" ht="20.25" customHeight="1">
      <c r="A2151" s="217"/>
      <c r="G2151" s="188"/>
      <c r="H2151" s="178"/>
      <c r="I2151" s="178"/>
      <c r="J2151" s="178"/>
      <c r="K2151" s="178"/>
      <c r="L2151" s="178"/>
      <c r="M2151" s="178"/>
      <c r="N2151" s="178"/>
      <c r="O2151" s="178"/>
      <c r="P2151" s="178"/>
      <c r="Q2151" s="178"/>
      <c r="R2151" s="178"/>
      <c r="S2151" s="178"/>
      <c r="T2151" s="180"/>
      <c r="U2151" s="189" t="str">
        <f>IFERROR(IF(Tableau3[[#This Row],[Dettes]]=0,"",(Tableau3[[#This Row],[Dettes]]/Tableau3[[#This Row],[EBE]])),"")</f>
        <v/>
      </c>
      <c r="V2151" s="190" t="str">
        <f>IFERROR(Tableau3[[#This Row],[Fonds propres]]/Tableau3[[#This Row],[Total Bilan]],"")</f>
        <v/>
      </c>
      <c r="W2151" s="180"/>
      <c r="Y2151" s="180"/>
      <c r="Z2151" s="192" t="str">
        <f>IFERROR(Tableau3[[#This Row],[Chiffre d''affaires]]/Tableau3[[#This Row],[Salariés]],"")</f>
        <v/>
      </c>
      <c r="AA2151" s="177"/>
      <c r="AC2151" s="177" t="s">
        <v>1525</v>
      </c>
    </row>
    <row r="2152" spans="1:29" ht="20.25" customHeight="1">
      <c r="A2152" s="217"/>
      <c r="E2152" s="187">
        <v>45.92</v>
      </c>
      <c r="F2152" s="178">
        <v>2024</v>
      </c>
      <c r="G2152" s="188">
        <v>2066100000</v>
      </c>
      <c r="H2152" s="188"/>
      <c r="I2152" s="188">
        <v>194500000</v>
      </c>
      <c r="J2152" s="188">
        <v>180200000</v>
      </c>
      <c r="K2152" s="188">
        <v>327400000</v>
      </c>
      <c r="L2152" s="188">
        <v>2056500000</v>
      </c>
      <c r="M2152" s="194">
        <f>L2152/P2152</f>
        <v>22.992921444932652</v>
      </c>
      <c r="N2152" s="190">
        <f>J2152/L2152</f>
        <v>8.7624604911256995E-2</v>
      </c>
      <c r="O2152" s="190">
        <f>(I2152*0.7)/(K2152+L2152)</f>
        <v>5.7112294978816223E-2</v>
      </c>
      <c r="P2152" s="188">
        <v>89440570</v>
      </c>
      <c r="Q2152" s="188">
        <f>P2152*E2152</f>
        <v>4107110974.4000001</v>
      </c>
      <c r="R2152" s="195">
        <f>Q2152/L2152</f>
        <v>1.9971363843423293</v>
      </c>
      <c r="S2152" s="197" t="e">
        <f>(Q2152+K2152)/H2152</f>
        <v>#DIV/0!</v>
      </c>
      <c r="T2152" s="180"/>
      <c r="U2152" s="189" t="str">
        <f>IFERROR(IF(Tableau3[[#This Row],[Dettes]]=0,"",(Tableau3[[#This Row],[Dettes]]/Tableau3[[#This Row],[EBE]])),"")</f>
        <v/>
      </c>
      <c r="V2152" s="190" t="str">
        <f>IFERROR(Tableau3[[#This Row],[Fonds propres]]/Tableau3[[#This Row],[Total Bilan]],"")</f>
        <v/>
      </c>
      <c r="W2152" s="180"/>
      <c r="Y2152" s="180">
        <v>5730</v>
      </c>
      <c r="Z2152" s="192">
        <f>IFERROR(Tableau3[[#This Row],[Chiffre d''affaires]]/Tableau3[[#This Row],[Salariés]],"")</f>
        <v>360575.91623036651</v>
      </c>
      <c r="AC2152" s="177" t="s">
        <v>4514</v>
      </c>
    </row>
    <row r="2153" spans="1:29" ht="20.25" customHeight="1">
      <c r="A2153" s="217"/>
      <c r="G2153" s="202">
        <f>(G2152/G2154)-1</f>
        <v>-1.1104197578136188E-2</v>
      </c>
      <c r="H2153" s="203">
        <f>(H2152/H2154)-1</f>
        <v>-1</v>
      </c>
      <c r="I2153" s="203">
        <f>(I2152/I2154)-1</f>
        <v>-0.44125251364550422</v>
      </c>
      <c r="J2153" s="203">
        <f>(J2152/J2154)-1</f>
        <v>-0.37862068965517237</v>
      </c>
      <c r="K2153" s="188"/>
      <c r="L2153" s="178"/>
      <c r="M2153" s="178"/>
      <c r="N2153" s="178"/>
      <c r="O2153" s="178"/>
      <c r="P2153" s="178"/>
      <c r="Q2153" s="178"/>
      <c r="R2153" s="178"/>
      <c r="S2153" s="178"/>
      <c r="T2153" s="180"/>
      <c r="U2153" s="189" t="str">
        <f>IFERROR(IF(Tableau3[[#This Row],[Dettes]]=0,"",(Tableau3[[#This Row],[Dettes]]/Tableau3[[#This Row],[EBE]])),"")</f>
        <v/>
      </c>
      <c r="V2153" s="190" t="str">
        <f>IFERROR(Tableau3[[#This Row],[Fonds propres]]/Tableau3[[#This Row],[Total Bilan]],"")</f>
        <v/>
      </c>
      <c r="W2153" s="180"/>
      <c r="Y2153" s="180"/>
      <c r="Z2153" s="192" t="str">
        <f>IFERROR(Tableau3[[#This Row],[Chiffre d''affaires]]/Tableau3[[#This Row],[Salariés]],"")</f>
        <v/>
      </c>
      <c r="AC2153" s="177" t="s">
        <v>1526</v>
      </c>
    </row>
    <row r="2154" spans="1:29" ht="20.25" customHeight="1">
      <c r="A2154" s="217"/>
      <c r="E2154" s="178">
        <v>99.8</v>
      </c>
      <c r="F2154" s="178">
        <v>2023</v>
      </c>
      <c r="G2154" s="188">
        <v>2089300000</v>
      </c>
      <c r="H2154" s="188">
        <v>502000000</v>
      </c>
      <c r="I2154" s="188">
        <v>348100000</v>
      </c>
      <c r="J2154" s="188">
        <v>290000000</v>
      </c>
      <c r="K2154" s="188">
        <v>-863900000</v>
      </c>
      <c r="L2154" s="188">
        <v>2172900000</v>
      </c>
      <c r="M2154" s="194">
        <f>L2154/P2154</f>
        <v>24.294344277993755</v>
      </c>
      <c r="N2154" s="190">
        <f>J2154/L2154</f>
        <v>0.13346219338211607</v>
      </c>
      <c r="O2154" s="190">
        <f>(I2154*0.7)/(K2154+L2154)</f>
        <v>0.18614973262032083</v>
      </c>
      <c r="P2154" s="188">
        <v>89440570</v>
      </c>
      <c r="Q2154" s="188">
        <f>P2154*E2154</f>
        <v>8926168886</v>
      </c>
      <c r="R2154" s="195">
        <f>Q2154/L2154</f>
        <v>4.1079519931888262</v>
      </c>
      <c r="S2154" s="197">
        <f>(Q2154+K2154)/H2154</f>
        <v>16.060296585657369</v>
      </c>
      <c r="T2154" s="180">
        <v>186800000</v>
      </c>
      <c r="U2154" s="189">
        <f>IFERROR(IF(Tableau3[[#This Row],[Dettes]]=0,"",(Tableau3[[#This Row],[Dettes]]/Tableau3[[#This Row],[EBE]])),"")</f>
        <v>-1.7209163346613545</v>
      </c>
      <c r="V2154" s="190">
        <f>IFERROR(Tableau3[[#This Row],[Fonds propres]]/Tableau3[[#This Row],[Total Bilan]],"")</f>
        <v>0.71641938674579619</v>
      </c>
      <c r="W2154" s="180">
        <v>3033000000</v>
      </c>
      <c r="Y2154" s="180">
        <v>4823</v>
      </c>
      <c r="Z2154" s="192">
        <f>IFERROR(Tableau3[[#This Row],[Chiffre d''affaires]]/Tableau3[[#This Row],[Salariés]],"")</f>
        <v>433195.10678001243</v>
      </c>
      <c r="AC2154" s="177" t="s">
        <v>4513</v>
      </c>
    </row>
    <row r="2155" spans="1:29" ht="20.25" customHeight="1">
      <c r="A2155" s="217"/>
      <c r="G2155" s="202">
        <f>(G2154/G2156)-1</f>
        <v>9.8013453857473287E-2</v>
      </c>
      <c r="H2155" s="203">
        <f>(H2154/H2156)-1</f>
        <v>3.9337474120082705E-2</v>
      </c>
      <c r="I2155" s="203">
        <f>(I2154/I2156)-1</f>
        <v>-0.12295288485764677</v>
      </c>
      <c r="J2155" s="203">
        <f>(J2154/J2156)-1</f>
        <v>-1.3605442176870763E-2</v>
      </c>
      <c r="K2155" s="188"/>
      <c r="L2155" s="188"/>
      <c r="M2155" s="178"/>
      <c r="N2155" s="178"/>
      <c r="O2155" s="178"/>
      <c r="P2155" s="178"/>
      <c r="Q2155" s="178"/>
      <c r="R2155" s="178"/>
      <c r="S2155" s="178"/>
      <c r="T2155" s="180"/>
      <c r="U2155" s="189" t="str">
        <f>IFERROR(IF(Tableau3[[#This Row],[Dettes]]=0,"",(Tableau3[[#This Row],[Dettes]]/Tableau3[[#This Row],[EBE]])),"")</f>
        <v/>
      </c>
      <c r="V2155" s="190" t="str">
        <f>IFERROR(Tableau3[[#This Row],[Fonds propres]]/Tableau3[[#This Row],[Total Bilan]],"")</f>
        <v/>
      </c>
      <c r="W2155" s="180"/>
      <c r="Y2155" s="180"/>
      <c r="Z2155" s="192" t="str">
        <f>IFERROR(Tableau3[[#This Row],[Chiffre d''affaires]]/Tableau3[[#This Row],[Salariés]],"")</f>
        <v/>
      </c>
      <c r="AC2155" s="177" t="s">
        <v>4510</v>
      </c>
    </row>
    <row r="2156" spans="1:29" ht="20.25" customHeight="1">
      <c r="A2156" s="217"/>
      <c r="E2156" s="178">
        <v>117.9</v>
      </c>
      <c r="F2156" s="178">
        <v>2022</v>
      </c>
      <c r="G2156" s="188">
        <v>1902800000</v>
      </c>
      <c r="H2156" s="188">
        <v>483000000</v>
      </c>
      <c r="I2156" s="188">
        <v>396900000</v>
      </c>
      <c r="J2156" s="188">
        <v>294000000</v>
      </c>
      <c r="K2156" s="188">
        <v>-855600000</v>
      </c>
      <c r="L2156" s="188">
        <v>2030000000</v>
      </c>
      <c r="M2156" s="194">
        <f>L2156/P2156</f>
        <v>22.696635318849154</v>
      </c>
      <c r="N2156" s="190">
        <f>J2156/L2156</f>
        <v>0.14482758620689656</v>
      </c>
      <c r="O2156" s="190">
        <f>(I2156*0.7)/(K2156+L2156)</f>
        <v>0.23657186648501363</v>
      </c>
      <c r="P2156" s="188">
        <v>89440570</v>
      </c>
      <c r="Q2156" s="188">
        <f>P2156*E2156</f>
        <v>10545043203</v>
      </c>
      <c r="R2156" s="195">
        <f>Q2156/L2156</f>
        <v>5.194602563054187</v>
      </c>
      <c r="S2156" s="197">
        <f>(Q2156+K2156)/H2156</f>
        <v>20.060959012422359</v>
      </c>
      <c r="T2156" s="180">
        <v>251000000</v>
      </c>
      <c r="U2156" s="189">
        <f>IFERROR(IF(Tableau3[[#This Row],[Dettes]]=0,"",(Tableau3[[#This Row],[Dettes]]/Tableau3[[#This Row],[EBE]])),"")</f>
        <v>-1.7714285714285714</v>
      </c>
      <c r="V2156" s="190">
        <f>IFERROR(Tableau3[[#This Row],[Fonds propres]]/Tableau3[[#This Row],[Total Bilan]],"")</f>
        <v>0.71909316330145234</v>
      </c>
      <c r="W2156" s="180">
        <v>2823000000</v>
      </c>
      <c r="Y2156" s="180">
        <v>4224</v>
      </c>
      <c r="Z2156" s="192">
        <f>IFERROR(Tableau3[[#This Row],[Chiffre d''affaires]]/Tableau3[[#This Row],[Salariés]],"")</f>
        <v>450473.48484848486</v>
      </c>
      <c r="AC2156" s="177" t="s">
        <v>1527</v>
      </c>
    </row>
    <row r="2157" spans="1:29" ht="20.25" customHeight="1">
      <c r="A2157" s="217"/>
      <c r="G2157" s="202">
        <f>(G2156/G2158)-1</f>
        <v>0.15545299975710458</v>
      </c>
      <c r="H2157" s="203">
        <f>(H2156/H2158)-1</f>
        <v>0.17804878048780481</v>
      </c>
      <c r="I2157" s="203">
        <f>(I2156/I2158)-1</f>
        <v>6.2366167023554686E-2</v>
      </c>
      <c r="J2157" s="203">
        <f>(J2156/J2158)-1</f>
        <v>0.24576271186440679</v>
      </c>
      <c r="K2157" s="188"/>
      <c r="L2157" s="188"/>
      <c r="M2157" s="178"/>
      <c r="N2157" s="178"/>
      <c r="O2157" s="178"/>
      <c r="P2157" s="178"/>
      <c r="Q2157" s="178"/>
      <c r="R2157" s="178"/>
      <c r="S2157" s="178"/>
      <c r="T2157" s="180"/>
      <c r="U2157" s="189" t="str">
        <f>IFERROR(IF(Tableau3[[#This Row],[Dettes]]=0,"",(Tableau3[[#This Row],[Dettes]]/Tableau3[[#This Row],[EBE]])),"")</f>
        <v/>
      </c>
      <c r="V2157" s="190" t="str">
        <f>IFERROR(Tableau3[[#This Row],[Fonds propres]]/Tableau3[[#This Row],[Total Bilan]],"")</f>
        <v/>
      </c>
      <c r="W2157" s="180"/>
      <c r="Y2157" s="180"/>
      <c r="Z2157" s="192" t="str">
        <f>IFERROR(Tableau3[[#This Row],[Chiffre d''affaires]]/Tableau3[[#This Row],[Salariés]],"")</f>
        <v/>
      </c>
      <c r="AC2157" s="177" t="s">
        <v>1528</v>
      </c>
    </row>
    <row r="2158" spans="1:29" ht="20.25" customHeight="1">
      <c r="A2158" s="217"/>
      <c r="E2158" s="178">
        <v>183.2</v>
      </c>
      <c r="F2158" s="178">
        <v>2021</v>
      </c>
      <c r="G2158" s="188">
        <v>1646800000</v>
      </c>
      <c r="H2158" s="188">
        <v>410000000</v>
      </c>
      <c r="I2158" s="188">
        <v>373600000</v>
      </c>
      <c r="J2158" s="188">
        <v>236000000</v>
      </c>
      <c r="K2158" s="188">
        <v>-939900000</v>
      </c>
      <c r="L2158" s="188">
        <v>1677000000</v>
      </c>
      <c r="M2158" s="194">
        <f>L2158/P2158</f>
        <v>18.749880507246321</v>
      </c>
      <c r="N2158" s="190">
        <f>J2158/L2158</f>
        <v>0.14072748956469885</v>
      </c>
      <c r="O2158" s="190">
        <f>(I2158*0.7)/(K2158+L2158)</f>
        <v>0.35479582146248811</v>
      </c>
      <c r="P2158" s="188">
        <v>89440570</v>
      </c>
      <c r="Q2158" s="188">
        <f>P2158*E2158</f>
        <v>16385512423.999998</v>
      </c>
      <c r="R2158" s="195">
        <f>Q2158/L2158</f>
        <v>9.77072893500298</v>
      </c>
      <c r="S2158" s="197">
        <f>(Q2158+K2158)/H2158</f>
        <v>37.672225424390241</v>
      </c>
      <c r="T2158" s="180">
        <v>380700000</v>
      </c>
      <c r="U2158" s="189">
        <f>IFERROR(IF(Tableau3[[#This Row],[Dettes]]=0,"",(Tableau3[[#This Row],[Dettes]]/Tableau3[[#This Row],[EBE]])),"")</f>
        <v>-2.2924390243902439</v>
      </c>
      <c r="V2158" s="190">
        <f>IFERROR(Tableau3[[#This Row],[Fonds propres]]/Tableau3[[#This Row],[Total Bilan]],"")</f>
        <v>0.69991652754590983</v>
      </c>
      <c r="W2158" s="180">
        <v>2396000000</v>
      </c>
      <c r="Y2158" s="180">
        <v>3531</v>
      </c>
      <c r="Z2158" s="192">
        <f>IFERROR(Tableau3[[#This Row],[Chiffre d''affaires]]/Tableau3[[#This Row],[Salariés]],"")</f>
        <v>466383.46077598416</v>
      </c>
      <c r="AC2158" s="177" t="s">
        <v>4508</v>
      </c>
    </row>
    <row r="2159" spans="1:29" ht="20.25" customHeight="1">
      <c r="A2159" s="217"/>
      <c r="G2159" s="202">
        <f>(G2158/G2160)-1</f>
        <v>0.23355805243445693</v>
      </c>
      <c r="H2159" s="203">
        <f>(H2158/H2160)-1</f>
        <v>0.53558052434456926</v>
      </c>
      <c r="I2159" s="203">
        <f>(I2158/I2160)-1</f>
        <v>1.1036036036036037</v>
      </c>
      <c r="J2159" s="203">
        <f>(J2158/J2160)-1</f>
        <v>0.93442622950819665</v>
      </c>
      <c r="K2159" s="188"/>
      <c r="L2159" s="188"/>
      <c r="M2159" s="178"/>
      <c r="N2159" s="178"/>
      <c r="O2159" s="178"/>
      <c r="P2159" s="178"/>
      <c r="Q2159" s="178"/>
      <c r="R2159" s="178"/>
      <c r="S2159" s="178"/>
      <c r="T2159" s="180"/>
      <c r="U2159" s="189" t="str">
        <f>IFERROR(IF(Tableau3[[#This Row],[Dettes]]=0,"",(Tableau3[[#This Row],[Dettes]]/Tableau3[[#This Row],[EBE]])),"")</f>
        <v/>
      </c>
      <c r="V2159" s="190" t="str">
        <f>IFERROR(Tableau3[[#This Row],[Fonds propres]]/Tableau3[[#This Row],[Total Bilan]],"")</f>
        <v/>
      </c>
      <c r="W2159" s="180"/>
      <c r="Y2159" s="180"/>
      <c r="Z2159" s="192" t="str">
        <f>IFERROR(Tableau3[[#This Row],[Chiffre d''affaires]]/Tableau3[[#This Row],[Salariés]],"")</f>
        <v/>
      </c>
      <c r="AC2159" s="177" t="s">
        <v>4509</v>
      </c>
    </row>
    <row r="2160" spans="1:29" ht="20.25" customHeight="1">
      <c r="A2160" s="217"/>
      <c r="E2160" s="178">
        <v>108.9</v>
      </c>
      <c r="F2160" s="178">
        <v>2020</v>
      </c>
      <c r="G2160" s="188">
        <v>1335000000</v>
      </c>
      <c r="H2160" s="188">
        <v>267000000</v>
      </c>
      <c r="I2160" s="188">
        <v>177600000</v>
      </c>
      <c r="J2160" s="188">
        <v>122000000</v>
      </c>
      <c r="K2160" s="188">
        <v>-707200000</v>
      </c>
      <c r="L2160" s="188">
        <v>1451000000</v>
      </c>
      <c r="M2160" s="194">
        <f>L2160/P2160</f>
        <v>16.223062979137989</v>
      </c>
      <c r="N2160" s="190">
        <f>J2160/L2160</f>
        <v>8.4079944865609921E-2</v>
      </c>
      <c r="O2160" s="190">
        <f>(I2160*0.7)/(K2160+L2160)</f>
        <v>0.1671417047593439</v>
      </c>
      <c r="P2160" s="188">
        <v>89440570</v>
      </c>
      <c r="Q2160" s="188">
        <f>P2160*E2160</f>
        <v>9740078073</v>
      </c>
      <c r="R2160" s="195">
        <f>Q2160/L2160</f>
        <v>6.7126657980702964</v>
      </c>
      <c r="S2160" s="197">
        <f>(Q2160+K2160)/H2160</f>
        <v>33.831004018726588</v>
      </c>
      <c r="T2160" s="180">
        <v>185800000</v>
      </c>
      <c r="U2160" s="189">
        <f>IFERROR(IF(Tableau3[[#This Row],[Dettes]]=0,"",(Tableau3[[#This Row],[Dettes]]/Tableau3[[#This Row],[EBE]])),"")</f>
        <v>-2.648689138576779</v>
      </c>
      <c r="V2160" s="190">
        <f>IFERROR(Tableau3[[#This Row],[Fonds propres]]/Tableau3[[#This Row],[Total Bilan]],"")</f>
        <v>0.72081470442126183</v>
      </c>
      <c r="W2160" s="180">
        <v>2013000000</v>
      </c>
      <c r="Y2160" s="180">
        <v>3290</v>
      </c>
      <c r="Z2160" s="192">
        <f>IFERROR(Tableau3[[#This Row],[Chiffre d''affaires]]/Tableau3[[#This Row],[Salariés]],"")</f>
        <v>405775.07598784193</v>
      </c>
      <c r="AC2160" s="177" t="s">
        <v>4515</v>
      </c>
    </row>
    <row r="2161" spans="1:29" ht="20.25" customHeight="1">
      <c r="A2161" s="217"/>
      <c r="G2161" s="202">
        <f>(G2160/G2162)-1</f>
        <v>-8.4989718985606588E-2</v>
      </c>
      <c r="H2161" s="203">
        <f>(H2160/H2162)-1</f>
        <v>-6.643356643356646E-2</v>
      </c>
      <c r="I2161" s="203">
        <f>(I2160/I2162)-1</f>
        <v>-0.32905175670570452</v>
      </c>
      <c r="J2161" s="203">
        <f>(J2160/J2162)-1</f>
        <v>-0.23750000000000004</v>
      </c>
      <c r="K2161" s="188"/>
      <c r="L2161" s="188"/>
      <c r="M2161" s="178"/>
      <c r="N2161" s="178"/>
      <c r="O2161" s="178"/>
      <c r="P2161" s="178"/>
      <c r="Q2161" s="178"/>
      <c r="R2161" s="178"/>
      <c r="S2161" s="178"/>
      <c r="T2161" s="180"/>
      <c r="U2161" s="189" t="str">
        <f>IFERROR(IF(Tableau3[[#This Row],[Dettes]]=0,"",(Tableau3[[#This Row],[Dettes]]/Tableau3[[#This Row],[EBE]])),"")</f>
        <v/>
      </c>
      <c r="V2161" s="190" t="str">
        <f>IFERROR(Tableau3[[#This Row],[Fonds propres]]/Tableau3[[#This Row],[Total Bilan]],"")</f>
        <v/>
      </c>
      <c r="W2161" s="180"/>
      <c r="Y2161" s="180"/>
      <c r="Z2161" s="192" t="str">
        <f>IFERROR(Tableau3[[#This Row],[Chiffre d''affaires]]/Tableau3[[#This Row],[Salariés]],"")</f>
        <v/>
      </c>
      <c r="AC2161" s="177" t="s">
        <v>4516</v>
      </c>
    </row>
    <row r="2162" spans="1:29" ht="20.25" customHeight="1">
      <c r="A2162" s="217"/>
      <c r="E2162" s="178">
        <v>113.7</v>
      </c>
      <c r="F2162" s="178">
        <v>2019</v>
      </c>
      <c r="G2162" s="188">
        <v>1459000000</v>
      </c>
      <c r="H2162" s="188">
        <v>286000000</v>
      </c>
      <c r="I2162" s="188">
        <v>264700000</v>
      </c>
      <c r="J2162" s="188">
        <v>160000000</v>
      </c>
      <c r="K2162" s="188">
        <v>-677800000</v>
      </c>
      <c r="L2162" s="188">
        <v>1417000000</v>
      </c>
      <c r="M2162" s="194">
        <f>L2162/P2162</f>
        <v>15.842922289068596</v>
      </c>
      <c r="N2162" s="190">
        <f>J2162/L2162</f>
        <v>0.11291460832745237</v>
      </c>
      <c r="O2162" s="190">
        <f>(I2162*0.7)/(K2162+L2162)</f>
        <v>0.2506628787878788</v>
      </c>
      <c r="P2162" s="188">
        <v>89440570</v>
      </c>
      <c r="Q2162" s="188">
        <f>P2162*E2162</f>
        <v>10169392809</v>
      </c>
      <c r="R2162" s="195">
        <f>Q2162/L2162</f>
        <v>7.1767062872265353</v>
      </c>
      <c r="S2162" s="197">
        <f>(Q2162+K2162)/H2162</f>
        <v>33.187387444055943</v>
      </c>
      <c r="T2162" s="180">
        <v>236600000</v>
      </c>
      <c r="U2162" s="189">
        <f>IFERROR(IF(Tableau3[[#This Row],[Dettes]]=0,"",(Tableau3[[#This Row],[Dettes]]/Tableau3[[#This Row],[EBE]])),"")</f>
        <v>-2.3699300699300698</v>
      </c>
      <c r="V2162" s="190">
        <f>IFERROR(Tableau3[[#This Row],[Fonds propres]]/Tableau3[[#This Row],[Total Bilan]],"")</f>
        <v>0.70079129574678534</v>
      </c>
      <c r="W2162" s="180">
        <v>2022000000</v>
      </c>
      <c r="Y2162" s="180">
        <v>3232</v>
      </c>
      <c r="Z2162" s="192">
        <f>IFERROR(Tableau3[[#This Row],[Chiffre d''affaires]]/Tableau3[[#This Row],[Salariés]],"")</f>
        <v>451423.26732673269</v>
      </c>
      <c r="AC2162" s="177" t="s">
        <v>1529</v>
      </c>
    </row>
    <row r="2163" spans="1:29" ht="20.25" customHeight="1">
      <c r="A2163" s="217"/>
      <c r="G2163" s="202">
        <f>(G2162/G2164)-1</f>
        <v>0.13895394223263069</v>
      </c>
      <c r="H2163" s="203">
        <f>(H2162/H2164)-1</f>
        <v>0.34272300469483574</v>
      </c>
      <c r="I2163" s="203">
        <f>(I2162/I2164)-1</f>
        <v>0.34365482233502531</v>
      </c>
      <c r="J2163" s="203">
        <f>(J2162/J2164)-1</f>
        <v>0.26984126984126977</v>
      </c>
      <c r="K2163" s="188"/>
      <c r="L2163" s="188"/>
      <c r="M2163" s="178"/>
      <c r="N2163" s="178"/>
      <c r="O2163" s="178"/>
      <c r="P2163" s="178"/>
      <c r="Q2163" s="178"/>
      <c r="R2163" s="178"/>
      <c r="S2163" s="178"/>
      <c r="T2163" s="180"/>
      <c r="U2163" s="189" t="str">
        <f>IFERROR(IF(Tableau3[[#This Row],[Dettes]]=0,"",(Tableau3[[#This Row],[Dettes]]/Tableau3[[#This Row],[EBE]])),"")</f>
        <v/>
      </c>
      <c r="V2163" s="190" t="str">
        <f>IFERROR(Tableau3[[#This Row],[Fonds propres]]/Tableau3[[#This Row],[Total Bilan]],"")</f>
        <v/>
      </c>
      <c r="W2163" s="180"/>
      <c r="Y2163" s="180"/>
      <c r="Z2163" s="192" t="str">
        <f>IFERROR(Tableau3[[#This Row],[Chiffre d''affaires]]/Tableau3[[#This Row],[Salariés]],"")</f>
        <v/>
      </c>
      <c r="AC2163" s="177" t="s">
        <v>1530</v>
      </c>
    </row>
    <row r="2164" spans="1:29" ht="20.25" customHeight="1">
      <c r="A2164" s="217"/>
      <c r="E2164" s="178">
        <v>68.900000000000006</v>
      </c>
      <c r="F2164" s="178">
        <v>2018</v>
      </c>
      <c r="G2164" s="188">
        <v>1281000000</v>
      </c>
      <c r="H2164" s="188">
        <v>213000000</v>
      </c>
      <c r="I2164" s="188">
        <v>197000000</v>
      </c>
      <c r="J2164" s="188">
        <v>126000000</v>
      </c>
      <c r="K2164" s="188">
        <v>-670000000</v>
      </c>
      <c r="L2164" s="188">
        <v>1315000000</v>
      </c>
      <c r="M2164" s="194">
        <f>L2164/P2164</f>
        <v>14.702500218860411</v>
      </c>
      <c r="N2164" s="190">
        <f>J2164/L2164</f>
        <v>9.5817490494296581E-2</v>
      </c>
      <c r="O2164" s="190">
        <f>(I2164*0.7)/(K2164+L2164)</f>
        <v>0.2137984496124031</v>
      </c>
      <c r="P2164" s="188">
        <v>89440570</v>
      </c>
      <c r="Q2164" s="188">
        <f>P2164*E2164</f>
        <v>6162455273.000001</v>
      </c>
      <c r="R2164" s="195">
        <f>Q2164/L2164</f>
        <v>4.6862777741444877</v>
      </c>
      <c r="S2164" s="197">
        <f>(Q2164+K2164)/H2164</f>
        <v>25.786174990610334</v>
      </c>
      <c r="T2164" s="180">
        <v>195600000</v>
      </c>
      <c r="U2164" s="189">
        <f>IFERROR(IF(Tableau3[[#This Row],[Dettes]]=0,"",(Tableau3[[#This Row],[Dettes]]/Tableau3[[#This Row],[EBE]])),"")</f>
        <v>-3.1455399061032865</v>
      </c>
      <c r="V2164" s="190">
        <f>IFERROR(Tableau3[[#This Row],[Fonds propres]]/Tableau3[[#This Row],[Total Bilan]],"")</f>
        <v>0.79121540312876049</v>
      </c>
      <c r="W2164" s="180">
        <v>1662000000</v>
      </c>
      <c r="Y2164" s="180">
        <v>3048</v>
      </c>
      <c r="Z2164" s="192">
        <f>IFERROR(Tableau3[[#This Row],[Chiffre d''affaires]]/Tableau3[[#This Row],[Salariés]],"")</f>
        <v>420275.59055118111</v>
      </c>
      <c r="AC2164" s="177" t="s">
        <v>1531</v>
      </c>
    </row>
    <row r="2165" spans="1:29" ht="20.25" customHeight="1">
      <c r="A2165" s="217"/>
      <c r="G2165" s="202">
        <f>(G2164/G2166)-1</f>
        <v>7.6561055550886659E-2</v>
      </c>
      <c r="H2165" s="203">
        <f>(H2164/H2166)-1</f>
        <v>3.851779619697715E-2</v>
      </c>
      <c r="I2165" s="203">
        <f>(I2164/I2166)-1</f>
        <v>8.960176991150437E-2</v>
      </c>
      <c r="J2165" s="203">
        <f>(J2164/J2166)-1</f>
        <v>-6.25E-2</v>
      </c>
      <c r="K2165" s="188"/>
      <c r="L2165" s="188"/>
      <c r="M2165" s="194"/>
      <c r="N2165" s="190"/>
      <c r="O2165" s="190"/>
      <c r="P2165" s="188"/>
      <c r="Q2165" s="188"/>
      <c r="R2165" s="195"/>
      <c r="S2165" s="197"/>
      <c r="T2165" s="180"/>
      <c r="U2165" s="189" t="str">
        <f>IFERROR(IF(Tableau3[[#This Row],[Dettes]]=0,"",(Tableau3[[#This Row],[Dettes]]/Tableau3[[#This Row],[EBE]])),"")</f>
        <v/>
      </c>
      <c r="V2165" s="190" t="str">
        <f>IFERROR(Tableau3[[#This Row],[Fonds propres]]/Tableau3[[#This Row],[Total Bilan]],"")</f>
        <v/>
      </c>
      <c r="W2165" s="180"/>
      <c r="Y2165" s="180"/>
      <c r="Z2165" s="192" t="str">
        <f>IFERROR(Tableau3[[#This Row],[Chiffre d''affaires]]/Tableau3[[#This Row],[Salariés]],"")</f>
        <v/>
      </c>
      <c r="AC2165" s="177" t="s">
        <v>4512</v>
      </c>
    </row>
    <row r="2166" spans="1:29" ht="20.25" customHeight="1">
      <c r="A2166" s="217"/>
      <c r="E2166" s="178">
        <v>53.1</v>
      </c>
      <c r="F2166" s="178">
        <v>2017</v>
      </c>
      <c r="G2166" s="188">
        <v>1189900000</v>
      </c>
      <c r="H2166" s="188">
        <v>205100000</v>
      </c>
      <c r="I2166" s="188">
        <v>180800000</v>
      </c>
      <c r="J2166" s="188">
        <v>134400000</v>
      </c>
      <c r="K2166" s="188">
        <v>-565000000</v>
      </c>
      <c r="L2166" s="188">
        <v>1241700000</v>
      </c>
      <c r="M2166" s="194">
        <f>L2166/P2166</f>
        <v>13.882961613504923</v>
      </c>
      <c r="N2166" s="190">
        <f>J2166/L2166</f>
        <v>0.10823870500120802</v>
      </c>
      <c r="O2166" s="190">
        <f>(I2166*0.7)/(K2166+L2166)</f>
        <v>0.18702526969114819</v>
      </c>
      <c r="P2166" s="188">
        <v>89440570</v>
      </c>
      <c r="Q2166" s="188">
        <f>P2166*E2166</f>
        <v>4749294267</v>
      </c>
      <c r="R2166" s="195">
        <f>Q2166/L2166</f>
        <v>3.8248323000724813</v>
      </c>
      <c r="S2166" s="197">
        <f>(Q2166+K2166)/H2166</f>
        <v>20.401239722086785</v>
      </c>
      <c r="T2166" s="180"/>
      <c r="U2166" s="189">
        <f>IFERROR(IF(Tableau3[[#This Row],[Dettes]]=0,"",(Tableau3[[#This Row],[Dettes]]/Tableau3[[#This Row],[EBE]])),"")</f>
        <v>-2.7547537786445635</v>
      </c>
      <c r="V2166" s="190">
        <f>IFERROR(Tableau3[[#This Row],[Fonds propres]]/Tableau3[[#This Row],[Total Bilan]],"")</f>
        <v>0.76501755899205226</v>
      </c>
      <c r="W2166" s="180">
        <v>1623100000</v>
      </c>
      <c r="Y2166" s="180">
        <v>2958</v>
      </c>
      <c r="Z2166" s="192">
        <f>IFERROR(Tableau3[[#This Row],[Chiffre d''affaires]]/Tableau3[[#This Row],[Salariés]],"")</f>
        <v>402265.04394861392</v>
      </c>
      <c r="AC2166" s="177" t="s">
        <v>4511</v>
      </c>
    </row>
    <row r="2167" spans="1:29" ht="20.25" customHeight="1">
      <c r="A2167" s="217"/>
      <c r="G2167" s="202">
        <f>(G2166/G2168)-1</f>
        <v>9.3256155825064413E-2</v>
      </c>
      <c r="H2167" s="203">
        <f>(H2166/H2168)-1</f>
        <v>0.17468499427262318</v>
      </c>
      <c r="I2167" s="203">
        <f>(I2166/I2168)-1</f>
        <v>0.17174335709656519</v>
      </c>
      <c r="J2167" s="203">
        <f>(J2166/J2168)-1</f>
        <v>0.36724313326551372</v>
      </c>
      <c r="K2167" s="188"/>
      <c r="L2167" s="188"/>
      <c r="M2167" s="194"/>
      <c r="N2167" s="190"/>
      <c r="O2167" s="190"/>
      <c r="P2167" s="188"/>
      <c r="Q2167" s="188"/>
      <c r="R2167" s="195"/>
      <c r="S2167" s="197"/>
      <c r="T2167" s="180"/>
      <c r="U2167" s="189" t="str">
        <f>IFERROR(IF(Tableau3[[#This Row],[Dettes]]=0,"",(Tableau3[[#This Row],[Dettes]]/Tableau3[[#This Row],[EBE]])),"")</f>
        <v/>
      </c>
      <c r="V2167" s="190" t="str">
        <f>IFERROR(Tableau3[[#This Row],[Fonds propres]]/Tableau3[[#This Row],[Total Bilan]],"")</f>
        <v/>
      </c>
      <c r="W2167" s="180"/>
      <c r="Y2167" s="180"/>
      <c r="Z2167" s="192" t="str">
        <f>IFERROR(Tableau3[[#This Row],[Chiffre d''affaires]]/Tableau3[[#This Row],[Salariés]],"")</f>
        <v/>
      </c>
      <c r="AC2167" s="177" t="s">
        <v>1532</v>
      </c>
    </row>
    <row r="2168" spans="1:29" ht="20.25" customHeight="1">
      <c r="A2168" s="217"/>
      <c r="E2168" s="187">
        <v>35</v>
      </c>
      <c r="F2168" s="178">
        <v>2016</v>
      </c>
      <c r="G2168" s="188">
        <v>1088400000</v>
      </c>
      <c r="H2168" s="188">
        <v>174600000</v>
      </c>
      <c r="I2168" s="188">
        <v>154300000</v>
      </c>
      <c r="J2168" s="188">
        <v>98300000</v>
      </c>
      <c r="K2168" s="188">
        <v>-334600000</v>
      </c>
      <c r="L2168" s="188">
        <v>851200000</v>
      </c>
      <c r="M2168" s="194">
        <f>L2168/P2168</f>
        <v>10.468627263124247</v>
      </c>
      <c r="N2168" s="190">
        <f>J2168/L2168</f>
        <v>0.11548402255639098</v>
      </c>
      <c r="O2168" s="190">
        <f>(I2168*0.7)/(K2168+L2168)</f>
        <v>0.20907859078590785</v>
      </c>
      <c r="P2168" s="188">
        <v>81309610</v>
      </c>
      <c r="Q2168" s="188">
        <f>P2168*E2168</f>
        <v>2845836350</v>
      </c>
      <c r="R2168" s="195">
        <f>Q2168/L2168</f>
        <v>3.3433227796052631</v>
      </c>
      <c r="S2168" s="197">
        <f>(Q2168+K2168)/H2168</f>
        <v>14.382796964490263</v>
      </c>
      <c r="T2168" s="180"/>
      <c r="U2168" s="189">
        <f>IFERROR(IF(Tableau3[[#This Row],[Dettes]]=0,"",(Tableau3[[#This Row],[Dettes]]/Tableau3[[#This Row],[EBE]])),"")</f>
        <v>-1.9163802978235969</v>
      </c>
      <c r="V2168" s="190">
        <f>IFERROR(Tableau3[[#This Row],[Fonds propres]]/Tableau3[[#This Row],[Total Bilan]],"")</f>
        <v>0.68221527610803878</v>
      </c>
      <c r="W2168" s="180">
        <v>1247700000</v>
      </c>
      <c r="Y2168" s="180">
        <v>2910</v>
      </c>
      <c r="Z2168" s="192">
        <f>IFERROR(Tableau3[[#This Row],[Chiffre d''affaires]]/Tableau3[[#This Row],[Salariés]],"")</f>
        <v>374020.61855670105</v>
      </c>
      <c r="AC2168" s="177" t="s">
        <v>4517</v>
      </c>
    </row>
    <row r="2169" spans="1:29" ht="20.25" customHeight="1">
      <c r="A2169" s="217"/>
      <c r="E2169" s="187"/>
      <c r="G2169" s="202">
        <f>(G2168/G2170)-1</f>
        <v>4.6477081632712025E-2</v>
      </c>
      <c r="H2169" s="203">
        <f>(H2168/H2170)-1</f>
        <v>0.16591988140471314</v>
      </c>
      <c r="I2169" s="203">
        <f>(I2168/I2170)-1</f>
        <v>0.18155156174621534</v>
      </c>
      <c r="J2169" s="203">
        <f>(J2168/J2170)-1</f>
        <v>0.57792510072716174</v>
      </c>
      <c r="K2169" s="188"/>
      <c r="L2169" s="188"/>
      <c r="M2169" s="194"/>
      <c r="N2169" s="190"/>
      <c r="O2169" s="190"/>
      <c r="P2169" s="188"/>
      <c r="Q2169" s="188"/>
      <c r="R2169" s="195"/>
      <c r="S2169" s="197"/>
      <c r="T2169" s="180"/>
      <c r="U2169" s="189" t="str">
        <f>IFERROR(IF(Tableau3[[#This Row],[Dettes]]=0,"",(Tableau3[[#This Row],[Dettes]]/Tableau3[[#This Row],[EBE]])),"")</f>
        <v/>
      </c>
      <c r="V2169" s="190" t="str">
        <f>IFERROR(Tableau3[[#This Row],[Fonds propres]]/Tableau3[[#This Row],[Total Bilan]],"")</f>
        <v/>
      </c>
      <c r="W2169" s="180"/>
      <c r="Y2169" s="180"/>
      <c r="Z2169" s="192" t="str">
        <f>IFERROR(Tableau3[[#This Row],[Chiffre d''affaires]]/Tableau3[[#This Row],[Salariés]],"")</f>
        <v/>
      </c>
      <c r="AC2169" s="177" t="s">
        <v>1533</v>
      </c>
    </row>
    <row r="2170" spans="1:29" ht="20.25" customHeight="1">
      <c r="A2170" s="217"/>
      <c r="E2170" s="187">
        <v>25</v>
      </c>
      <c r="F2170" s="178">
        <v>2015</v>
      </c>
      <c r="G2170" s="188">
        <v>1040061000</v>
      </c>
      <c r="H2170" s="188">
        <v>149753000</v>
      </c>
      <c r="I2170" s="188">
        <v>130591000</v>
      </c>
      <c r="J2170" s="188">
        <v>62297000</v>
      </c>
      <c r="K2170" s="188">
        <v>-278410000</v>
      </c>
      <c r="L2170" s="188">
        <v>797450000</v>
      </c>
      <c r="M2170" s="194">
        <f>L2170/P2170</f>
        <v>9.8075737910930822</v>
      </c>
      <c r="N2170" s="190">
        <f>J2170/L2170</f>
        <v>7.8120258323405856E-2</v>
      </c>
      <c r="O2170" s="190">
        <f>(I2170*0.7)/(K2170+L2170)</f>
        <v>0.17612072287299629</v>
      </c>
      <c r="P2170" s="188">
        <v>81309610</v>
      </c>
      <c r="Q2170" s="188">
        <f>P2170*E2170</f>
        <v>2032740250</v>
      </c>
      <c r="R2170" s="195">
        <f>Q2170/L2170</f>
        <v>2.5490504106840555</v>
      </c>
      <c r="S2170" s="197">
        <f>(Q2170+K2170)/H2170</f>
        <v>11.714825412512605</v>
      </c>
      <c r="T2170" s="180">
        <v>40000000</v>
      </c>
      <c r="U2170" s="189">
        <f>IFERROR(IF(Tableau3[[#This Row],[Dettes]]=0,"",(Tableau3[[#This Row],[Dettes]]/Tableau3[[#This Row],[EBE]])),"")</f>
        <v>-1.8591280308240903</v>
      </c>
      <c r="V2170" s="190">
        <f>IFERROR(Tableau3[[#This Row],[Fonds propres]]/Tableau3[[#This Row],[Total Bilan]],"")</f>
        <v>0.69995347979882205</v>
      </c>
      <c r="W2170" s="180">
        <v>1139290000</v>
      </c>
      <c r="Y2170" s="180">
        <v>2888</v>
      </c>
      <c r="Z2170" s="192">
        <f>IFERROR(Tableau3[[#This Row],[Chiffre d''affaires]]/Tableau3[[#This Row],[Salariés]],"")</f>
        <v>360131.92520775623</v>
      </c>
      <c r="AC2170" s="177" t="s">
        <v>1497</v>
      </c>
    </row>
    <row r="2171" spans="1:29" ht="20.25" customHeight="1">
      <c r="A2171" s="217"/>
      <c r="E2171" s="187"/>
      <c r="G2171" s="202">
        <f>(G2170/G2172)-1</f>
        <v>0.14386063315571529</v>
      </c>
      <c r="H2171" s="203">
        <f>(H2170/H2172)-1</f>
        <v>8.0017020294537611E-2</v>
      </c>
      <c r="I2171" s="203">
        <f>(I2170/I2172)-1</f>
        <v>8.1902158154177451E-2</v>
      </c>
      <c r="J2171" s="203">
        <f>(J2170/J2172)-1</f>
        <v>-0.16886356965605576</v>
      </c>
      <c r="K2171" s="188"/>
      <c r="L2171" s="188"/>
      <c r="M2171" s="194"/>
      <c r="N2171" s="190"/>
      <c r="O2171" s="190"/>
      <c r="P2171" s="188"/>
      <c r="Q2171" s="188"/>
      <c r="R2171" s="195"/>
      <c r="S2171" s="197"/>
      <c r="T2171" s="180"/>
      <c r="U2171" s="189" t="str">
        <f>IFERROR(IF(Tableau3[[#This Row],[Dettes]]=0,"",(Tableau3[[#This Row],[Dettes]]/Tableau3[[#This Row],[EBE]])),"")</f>
        <v/>
      </c>
      <c r="V2171" s="190" t="str">
        <f>IFERROR(Tableau3[[#This Row],[Fonds propres]]/Tableau3[[#This Row],[Total Bilan]],"")</f>
        <v/>
      </c>
      <c r="W2171" s="180"/>
      <c r="Y2171" s="180"/>
      <c r="Z2171" s="192" t="str">
        <f>IFERROR(Tableau3[[#This Row],[Chiffre d''affaires]]/Tableau3[[#This Row],[Salariés]],"")</f>
        <v/>
      </c>
      <c r="AC2171" s="177" t="s">
        <v>1534</v>
      </c>
    </row>
    <row r="2172" spans="1:29" ht="20.25" customHeight="1">
      <c r="A2172" s="217"/>
      <c r="E2172" s="187">
        <v>23</v>
      </c>
      <c r="F2172" s="178">
        <v>2014</v>
      </c>
      <c r="G2172" s="188">
        <v>909255000</v>
      </c>
      <c r="H2172" s="188">
        <v>138658000</v>
      </c>
      <c r="I2172" s="188">
        <v>120705000</v>
      </c>
      <c r="J2172" s="188">
        <v>74954000</v>
      </c>
      <c r="K2172" s="188">
        <v>-293319000</v>
      </c>
      <c r="L2172" s="188">
        <v>754227000</v>
      </c>
      <c r="M2172" s="194">
        <f>L2172/P2172</f>
        <v>9.2759884102260486</v>
      </c>
      <c r="N2172" s="190">
        <f>J2172/L2172</f>
        <v>9.9378569051492449E-2</v>
      </c>
      <c r="O2172" s="190">
        <f>(I2172*0.7)/(K2172+L2172)</f>
        <v>0.1833196646619282</v>
      </c>
      <c r="P2172" s="188">
        <v>81309610</v>
      </c>
      <c r="Q2172" s="188">
        <f>P2172*E2172</f>
        <v>1870121030</v>
      </c>
      <c r="R2172" s="195">
        <f>Q2172/L2172</f>
        <v>2.4795201312071828</v>
      </c>
      <c r="S2172" s="197">
        <f>(Q2172+K2172)/H2172</f>
        <v>11.371879228028675</v>
      </c>
      <c r="T2172" s="180">
        <v>45000000</v>
      </c>
      <c r="U2172" s="189">
        <f>IFERROR(IF(Tableau3[[#This Row],[Dettes]]=0,"",(Tableau3[[#This Row],[Dettes]]/Tableau3[[#This Row],[EBE]])),"")</f>
        <v>-2.1154134633414587</v>
      </c>
      <c r="V2172" s="190">
        <f>IFERROR(Tableau3[[#This Row],[Fonds propres]]/Tableau3[[#This Row],[Total Bilan]],"")</f>
        <v>0.72583942027311832</v>
      </c>
      <c r="W2172" s="180">
        <v>1039110000</v>
      </c>
      <c r="Y2172" s="180">
        <v>2972</v>
      </c>
      <c r="Z2172" s="192">
        <f>IFERROR(Tableau3[[#This Row],[Chiffre d''affaires]]/Tableau3[[#This Row],[Salariés]],"")</f>
        <v>305940.44414535665</v>
      </c>
      <c r="AC2172" s="177" t="s">
        <v>1535</v>
      </c>
    </row>
    <row r="2173" spans="1:29" ht="20.25" customHeight="1">
      <c r="A2173" s="217"/>
      <c r="E2173" s="187"/>
      <c r="G2173" s="202">
        <f>(G2172/G2174)-1</f>
        <v>3.1000226158233168E-3</v>
      </c>
      <c r="H2173" s="203">
        <f>(H2172/H2174)-1</f>
        <v>-0.17465476190476192</v>
      </c>
      <c r="I2173" s="203">
        <f>(I2172/I2174)-1</f>
        <v>-8.9774526807933075E-2</v>
      </c>
      <c r="J2173" s="203">
        <f>(J2172/J2174)-1</f>
        <v>-0.18528260869565216</v>
      </c>
      <c r="K2173" s="188"/>
      <c r="L2173" s="188"/>
      <c r="M2173" s="194"/>
      <c r="N2173" s="190"/>
      <c r="O2173" s="190"/>
      <c r="P2173" s="188"/>
      <c r="Q2173" s="188"/>
      <c r="R2173" s="195"/>
      <c r="S2173" s="197"/>
      <c r="T2173" s="180"/>
      <c r="U2173" s="189" t="str">
        <f>IFERROR(IF(Tableau3[[#This Row],[Dettes]]=0,"",(Tableau3[[#This Row],[Dettes]]/Tableau3[[#This Row],[EBE]])),"")</f>
        <v/>
      </c>
      <c r="V2173" s="190" t="str">
        <f>IFERROR(Tableau3[[#This Row],[Fonds propres]]/Tableau3[[#This Row],[Total Bilan]],"")</f>
        <v/>
      </c>
      <c r="W2173" s="180"/>
      <c r="Y2173" s="180"/>
      <c r="Z2173" s="192" t="str">
        <f>IFERROR(Tableau3[[#This Row],[Chiffre d''affaires]]/Tableau3[[#This Row],[Salariés]],"")</f>
        <v/>
      </c>
    </row>
    <row r="2174" spans="1:29" ht="20.25" customHeight="1">
      <c r="A2174" s="217"/>
      <c r="E2174" s="187">
        <v>22.07</v>
      </c>
      <c r="F2174" s="178">
        <v>2013</v>
      </c>
      <c r="G2174" s="188">
        <v>906445000</v>
      </c>
      <c r="H2174" s="188">
        <v>168000000</v>
      </c>
      <c r="I2174" s="188">
        <v>132610000</v>
      </c>
      <c r="J2174" s="188">
        <v>92000000</v>
      </c>
      <c r="K2174" s="188">
        <v>-351839000</v>
      </c>
      <c r="L2174" s="188">
        <v>715314400</v>
      </c>
      <c r="M2174" s="194">
        <f>L2174/P2174</f>
        <v>8.7974152132816776</v>
      </c>
      <c r="N2174" s="190">
        <f>J2174/L2174</f>
        <v>0.12861477414686465</v>
      </c>
      <c r="O2174" s="190">
        <f>(I2174*0.7)/(K2174+L2174)</f>
        <v>0.25538729718709985</v>
      </c>
      <c r="P2174" s="188">
        <v>81309610</v>
      </c>
      <c r="Q2174" s="188">
        <f>P2174*E2174</f>
        <v>1794503092.7</v>
      </c>
      <c r="R2174" s="195">
        <f>Q2174/L2174</f>
        <v>2.5086914127550068</v>
      </c>
      <c r="S2174" s="197">
        <f>(Q2174+K2174)/H2174</f>
        <v>8.5872862660714286</v>
      </c>
      <c r="T2174" s="180">
        <v>54000000</v>
      </c>
      <c r="U2174" s="189">
        <f>IFERROR(IF(Tableau3[[#This Row],[Dettes]]=0,"",(Tableau3[[#This Row],[Dettes]]/Tableau3[[#This Row],[EBE]])),"")</f>
        <v>-2.0942797619047617</v>
      </c>
      <c r="V2174" s="190">
        <f>IFERROR(Tableau3[[#This Row],[Fonds propres]]/Tableau3[[#This Row],[Total Bilan]],"")</f>
        <v>0.72763026994915947</v>
      </c>
      <c r="W2174" s="180">
        <v>983074000</v>
      </c>
      <c r="Y2174" s="180">
        <v>2540</v>
      </c>
      <c r="Z2174" s="192">
        <f>IFERROR(Tableau3[[#This Row],[Chiffre d''affaires]]/Tableau3[[#This Row],[Salariés]],"")</f>
        <v>356868.11023622047</v>
      </c>
    </row>
    <row r="2175" spans="1:29" ht="20.25" customHeight="1">
      <c r="A2175" s="217"/>
      <c r="E2175" s="187"/>
      <c r="G2175" s="188"/>
      <c r="H2175" s="188"/>
      <c r="I2175" s="188"/>
      <c r="J2175" s="188"/>
      <c r="K2175" s="188"/>
      <c r="L2175" s="188"/>
      <c r="M2175" s="194"/>
      <c r="N2175" s="190"/>
      <c r="O2175" s="190"/>
      <c r="P2175" s="188"/>
      <c r="Q2175" s="188"/>
      <c r="R2175" s="195"/>
      <c r="S2175" s="197"/>
      <c r="T2175" s="180"/>
      <c r="U2175" s="189" t="str">
        <f>IFERROR(IF(Tableau3[[#This Row],[Dettes]]=0,"",(Tableau3[[#This Row],[Dettes]]/Tableau3[[#This Row],[EBE]])),"")</f>
        <v/>
      </c>
      <c r="V2175" s="190" t="str">
        <f>IFERROR(Tableau3[[#This Row],[Fonds propres]]/Tableau3[[#This Row],[Total Bilan]],"")</f>
        <v/>
      </c>
      <c r="W2175" s="180"/>
      <c r="Y2175" s="180"/>
      <c r="Z2175" s="192" t="str">
        <f>IFERROR(Tableau3[[#This Row],[Chiffre d''affaires]]/Tableau3[[#This Row],[Salariés]],"")</f>
        <v/>
      </c>
    </row>
    <row r="2176" spans="1:29" ht="20.25" customHeight="1">
      <c r="A2176" s="217"/>
      <c r="E2176" s="187"/>
      <c r="F2176" s="178">
        <v>2012</v>
      </c>
      <c r="G2176" s="188"/>
      <c r="H2176" s="188"/>
      <c r="I2176" s="188"/>
      <c r="J2176" s="188"/>
      <c r="K2176" s="188"/>
      <c r="L2176" s="188"/>
      <c r="M2176" s="194"/>
      <c r="N2176" s="190"/>
      <c r="O2176" s="190"/>
      <c r="P2176" s="188"/>
      <c r="Q2176" s="188"/>
      <c r="R2176" s="195"/>
      <c r="S2176" s="197"/>
      <c r="T2176" s="180"/>
      <c r="U2176" s="189" t="str">
        <f>IFERROR(IF(Tableau3[[#This Row],[Dettes]]=0,"",(Tableau3[[#This Row],[Dettes]]/Tableau3[[#This Row],[EBE]])),"")</f>
        <v/>
      </c>
      <c r="V2176" s="190" t="str">
        <f>IFERROR(Tableau3[[#This Row],[Fonds propres]]/Tableau3[[#This Row],[Total Bilan]],"")</f>
        <v/>
      </c>
      <c r="W2176" s="180"/>
      <c r="Y2176" s="180"/>
      <c r="Z2176" s="192" t="str">
        <f>IFERROR(Tableau3[[#This Row],[Chiffre d''affaires]]/Tableau3[[#This Row],[Salariés]],"")</f>
        <v/>
      </c>
    </row>
    <row r="2177" spans="1:29" ht="20.25" customHeight="1">
      <c r="A2177" s="217"/>
      <c r="E2177" s="187"/>
      <c r="G2177" s="188"/>
      <c r="H2177" s="188"/>
      <c r="I2177" s="188"/>
      <c r="J2177" s="188"/>
      <c r="K2177" s="188"/>
      <c r="L2177" s="188"/>
      <c r="M2177" s="194"/>
      <c r="N2177" s="190"/>
      <c r="O2177" s="190"/>
      <c r="P2177" s="188"/>
      <c r="Q2177" s="188"/>
      <c r="R2177" s="195"/>
      <c r="S2177" s="197"/>
      <c r="T2177" s="180"/>
      <c r="U2177" s="189" t="str">
        <f>IFERROR(IF(Tableau3[[#This Row],[Dettes]]=0,"",(Tableau3[[#This Row],[Dettes]]/Tableau3[[#This Row],[EBE]])),"")</f>
        <v/>
      </c>
      <c r="V2177" s="190" t="str">
        <f>IFERROR(Tableau3[[#This Row],[Fonds propres]]/Tableau3[[#This Row],[Total Bilan]],"")</f>
        <v/>
      </c>
      <c r="W2177" s="180"/>
      <c r="Y2177" s="180"/>
      <c r="Z2177" s="192" t="str">
        <f>IFERROR(Tableau3[[#This Row],[Chiffre d''affaires]]/Tableau3[[#This Row],[Salariés]],"")</f>
        <v/>
      </c>
    </row>
    <row r="2178" spans="1:29" ht="20.25" customHeight="1">
      <c r="A2178" s="217"/>
      <c r="E2178" s="187"/>
      <c r="F2178" s="178">
        <v>2011</v>
      </c>
      <c r="G2178" s="188"/>
      <c r="H2178" s="188"/>
      <c r="I2178" s="188"/>
      <c r="J2178" s="188"/>
      <c r="K2178" s="188"/>
      <c r="L2178" s="188"/>
      <c r="M2178" s="194"/>
      <c r="N2178" s="190"/>
      <c r="O2178" s="190"/>
      <c r="P2178" s="188"/>
      <c r="Q2178" s="188"/>
      <c r="R2178" s="195"/>
      <c r="S2178" s="197"/>
      <c r="T2178" s="180"/>
      <c r="U2178" s="189" t="str">
        <f>IFERROR(IF(Tableau3[[#This Row],[Dettes]]=0,"",(Tableau3[[#This Row],[Dettes]]/Tableau3[[#This Row],[EBE]])),"")</f>
        <v/>
      </c>
      <c r="V2178" s="190" t="str">
        <f>IFERROR(Tableau3[[#This Row],[Fonds propres]]/Tableau3[[#This Row],[Total Bilan]],"")</f>
        <v/>
      </c>
      <c r="W2178" s="180"/>
      <c r="Y2178" s="180"/>
      <c r="Z2178" s="192" t="str">
        <f>IFERROR(Tableau3[[#This Row],[Chiffre d''affaires]]/Tableau3[[#This Row],[Salariés]],"")</f>
        <v/>
      </c>
    </row>
    <row r="2179" spans="1:29" ht="20.25" customHeight="1">
      <c r="A2179" s="217"/>
      <c r="E2179" s="187"/>
      <c r="G2179" s="188"/>
      <c r="H2179" s="188"/>
      <c r="I2179" s="188"/>
      <c r="J2179" s="188"/>
      <c r="K2179" s="188"/>
      <c r="L2179" s="188"/>
      <c r="M2179" s="194"/>
      <c r="N2179" s="190"/>
      <c r="O2179" s="190"/>
      <c r="P2179" s="188"/>
      <c r="Q2179" s="188"/>
      <c r="R2179" s="195"/>
      <c r="S2179" s="197"/>
      <c r="T2179" s="180"/>
      <c r="U2179" s="189" t="str">
        <f>IFERROR(IF(Tableau3[[#This Row],[Dettes]]=0,"",(Tableau3[[#This Row],[Dettes]]/Tableau3[[#This Row],[EBE]])),"")</f>
        <v/>
      </c>
      <c r="V2179" s="190" t="str">
        <f>IFERROR(Tableau3[[#This Row],[Fonds propres]]/Tableau3[[#This Row],[Total Bilan]],"")</f>
        <v/>
      </c>
      <c r="W2179" s="180"/>
      <c r="Y2179" s="180"/>
      <c r="Z2179" s="192" t="str">
        <f>IFERROR(Tableau3[[#This Row],[Chiffre d''affaires]]/Tableau3[[#This Row],[Salariés]],"")</f>
        <v/>
      </c>
    </row>
    <row r="2180" spans="1:29" ht="20.25" customHeight="1">
      <c r="A2180" s="217"/>
      <c r="E2180" s="187"/>
      <c r="F2180" s="178">
        <v>2010</v>
      </c>
      <c r="G2180" s="188"/>
      <c r="H2180" s="188"/>
      <c r="I2180" s="188"/>
      <c r="J2180" s="188"/>
      <c r="K2180" s="188"/>
      <c r="L2180" s="188"/>
      <c r="M2180" s="194"/>
      <c r="N2180" s="190"/>
      <c r="O2180" s="190"/>
      <c r="P2180" s="188"/>
      <c r="Q2180" s="188"/>
      <c r="R2180" s="195"/>
      <c r="S2180" s="197"/>
      <c r="T2180" s="180"/>
      <c r="U2180" s="189" t="str">
        <f>IFERROR(IF(Tableau3[[#This Row],[Dettes]]=0,"",(Tableau3[[#This Row],[Dettes]]/Tableau3[[#This Row],[EBE]])),"")</f>
        <v/>
      </c>
      <c r="V2180" s="190" t="str">
        <f>IFERROR(Tableau3[[#This Row],[Fonds propres]]/Tableau3[[#This Row],[Total Bilan]],"")</f>
        <v/>
      </c>
      <c r="W2180" s="180"/>
      <c r="Y2180" s="180"/>
      <c r="Z2180" s="192" t="str">
        <f>IFERROR(Tableau3[[#This Row],[Chiffre d''affaires]]/Tableau3[[#This Row],[Salariés]],"")</f>
        <v/>
      </c>
    </row>
    <row r="2181" spans="1:29" ht="20.25" customHeight="1">
      <c r="A2181" s="217"/>
      <c r="E2181" s="187"/>
      <c r="G2181" s="188"/>
      <c r="H2181" s="188"/>
      <c r="I2181" s="188"/>
      <c r="J2181" s="188"/>
      <c r="K2181" s="188"/>
      <c r="L2181" s="188"/>
      <c r="M2181" s="194"/>
      <c r="N2181" s="190"/>
      <c r="O2181" s="190"/>
      <c r="P2181" s="188"/>
      <c r="Q2181" s="188"/>
      <c r="R2181" s="195"/>
      <c r="S2181" s="197"/>
      <c r="T2181" s="180"/>
      <c r="U2181" s="189" t="str">
        <f>IFERROR(IF(Tableau3[[#This Row],[Dettes]]=0,"",(Tableau3[[#This Row],[Dettes]]/Tableau3[[#This Row],[EBE]])),"")</f>
        <v/>
      </c>
      <c r="V2181" s="190" t="str">
        <f>IFERROR(Tableau3[[#This Row],[Fonds propres]]/Tableau3[[#This Row],[Total Bilan]],"")</f>
        <v/>
      </c>
      <c r="W2181" s="180"/>
      <c r="Y2181" s="180"/>
      <c r="Z2181" s="192" t="str">
        <f>IFERROR(Tableau3[[#This Row],[Chiffre d''affaires]]/Tableau3[[#This Row],[Salariés]],"")</f>
        <v/>
      </c>
    </row>
    <row r="2182" spans="1:29" ht="20.25" customHeight="1">
      <c r="A2182" s="217"/>
      <c r="E2182" s="187"/>
      <c r="F2182" s="178">
        <v>2009</v>
      </c>
      <c r="G2182" s="188"/>
      <c r="H2182" s="188"/>
      <c r="I2182" s="188"/>
      <c r="J2182" s="188"/>
      <c r="K2182" s="188"/>
      <c r="L2182" s="188"/>
      <c r="M2182" s="194"/>
      <c r="N2182" s="190"/>
      <c r="O2182" s="190"/>
      <c r="P2182" s="188"/>
      <c r="Q2182" s="188"/>
      <c r="R2182" s="195"/>
      <c r="S2182" s="197"/>
      <c r="T2182" s="180"/>
      <c r="U2182" s="189" t="str">
        <f>IFERROR(IF(Tableau3[[#This Row],[Dettes]]=0,"",(Tableau3[[#This Row],[Dettes]]/Tableau3[[#This Row],[EBE]])),"")</f>
        <v/>
      </c>
      <c r="V2182" s="190" t="str">
        <f>IFERROR(Tableau3[[#This Row],[Fonds propres]]/Tableau3[[#This Row],[Total Bilan]],"")</f>
        <v/>
      </c>
      <c r="W2182" s="180"/>
      <c r="Y2182" s="180"/>
      <c r="Z2182" s="192" t="str">
        <f>IFERROR(Tableau3[[#This Row],[Chiffre d''affaires]]/Tableau3[[#This Row],[Salariés]],"")</f>
        <v/>
      </c>
    </row>
    <row r="2183" spans="1:29" ht="20.25" customHeight="1">
      <c r="A2183" s="217"/>
      <c r="E2183" s="187"/>
      <c r="G2183" s="188"/>
      <c r="H2183" s="188"/>
      <c r="I2183" s="188"/>
      <c r="J2183" s="188"/>
      <c r="K2183" s="188"/>
      <c r="L2183" s="188"/>
      <c r="M2183" s="194"/>
      <c r="N2183" s="190"/>
      <c r="O2183" s="190"/>
      <c r="P2183" s="188"/>
      <c r="Q2183" s="188"/>
      <c r="R2183" s="195"/>
      <c r="S2183" s="197"/>
      <c r="T2183" s="180"/>
      <c r="U2183" s="189" t="str">
        <f>IFERROR(IF(Tableau3[[#This Row],[Dettes]]=0,"",(Tableau3[[#This Row],[Dettes]]/Tableau3[[#This Row],[EBE]])),"")</f>
        <v/>
      </c>
      <c r="V2183" s="190" t="str">
        <f>IFERROR(Tableau3[[#This Row],[Fonds propres]]/Tableau3[[#This Row],[Total Bilan]],"")</f>
        <v/>
      </c>
      <c r="W2183" s="180"/>
      <c r="Y2183" s="180"/>
      <c r="Z2183" s="192" t="str">
        <f>IFERROR(Tableau3[[#This Row],[Chiffre d''affaires]]/Tableau3[[#This Row],[Salariés]],"")</f>
        <v/>
      </c>
    </row>
    <row r="2184" spans="1:29" ht="20.25" customHeight="1">
      <c r="A2184" s="217"/>
      <c r="E2184" s="187"/>
      <c r="F2184" s="178">
        <v>2008</v>
      </c>
      <c r="G2184" s="188"/>
      <c r="H2184" s="188"/>
      <c r="I2184" s="188"/>
      <c r="J2184" s="188"/>
      <c r="K2184" s="188"/>
      <c r="L2184" s="188"/>
      <c r="M2184" s="194"/>
      <c r="N2184" s="190"/>
      <c r="O2184" s="190"/>
      <c r="P2184" s="188"/>
      <c r="Q2184" s="188"/>
      <c r="R2184" s="195"/>
      <c r="S2184" s="197"/>
      <c r="T2184" s="180"/>
      <c r="U2184" s="189" t="str">
        <f>IFERROR(IF(Tableau3[[#This Row],[Dettes]]=0,"",(Tableau3[[#This Row],[Dettes]]/Tableau3[[#This Row],[EBE]])),"")</f>
        <v/>
      </c>
      <c r="V2184" s="190" t="str">
        <f>IFERROR(Tableau3[[#This Row],[Fonds propres]]/Tableau3[[#This Row],[Total Bilan]],"")</f>
        <v/>
      </c>
      <c r="W2184" s="180"/>
      <c r="Y2184" s="180"/>
      <c r="Z2184" s="192" t="str">
        <f>IFERROR(Tableau3[[#This Row],[Chiffre d''affaires]]/Tableau3[[#This Row],[Salariés]],"")</f>
        <v/>
      </c>
    </row>
    <row r="2185" spans="1:29" ht="20.25" customHeight="1">
      <c r="A2185" s="217"/>
      <c r="G2185" s="188"/>
      <c r="H2185" s="188"/>
      <c r="I2185" s="178"/>
      <c r="J2185" s="178"/>
      <c r="K2185" s="178"/>
      <c r="L2185" s="178"/>
      <c r="M2185" s="194"/>
      <c r="N2185" s="190"/>
      <c r="O2185" s="190"/>
      <c r="P2185" s="178"/>
      <c r="Q2185" s="188"/>
      <c r="R2185" s="195"/>
      <c r="S2185" s="197"/>
      <c r="T2185" s="180"/>
      <c r="U2185" s="189" t="str">
        <f>IFERROR(IF(Tableau3[[#This Row],[Dettes]]=0,"",(Tableau3[[#This Row],[Dettes]]/Tableau3[[#This Row],[EBE]])),"")</f>
        <v/>
      </c>
      <c r="V2185" s="190" t="str">
        <f>IFERROR(Tableau3[[#This Row],[Fonds propres]]/Tableau3[[#This Row],[Total Bilan]],"")</f>
        <v/>
      </c>
      <c r="W2185" s="180"/>
      <c r="Y2185" s="180"/>
      <c r="Z2185" s="192" t="str">
        <f>IFERROR(Tableau3[[#This Row],[Chiffre d''affaires]]/Tableau3[[#This Row],[Salariés]],"")</f>
        <v/>
      </c>
    </row>
    <row r="2186" spans="1:29" ht="20.25" customHeight="1">
      <c r="A2186" s="217"/>
      <c r="G2186" s="188"/>
      <c r="H2186" s="188"/>
      <c r="I2186" s="178"/>
      <c r="J2186" s="178"/>
      <c r="K2186" s="178"/>
      <c r="L2186" s="178"/>
      <c r="M2186" s="178"/>
      <c r="N2186" s="178"/>
      <c r="O2186" s="178"/>
      <c r="P2186" s="178"/>
      <c r="Q2186" s="178"/>
      <c r="R2186" s="178"/>
      <c r="S2186" s="178"/>
      <c r="T2186" s="180"/>
      <c r="U2186" s="189" t="str">
        <f>IFERROR(IF(Tableau3[[#This Row],[Dettes]]=0,"",(Tableau3[[#This Row],[Dettes]]/Tableau3[[#This Row],[EBE]])),"")</f>
        <v/>
      </c>
      <c r="V2186" s="190" t="str">
        <f>IFERROR(Tableau3[[#This Row],[Fonds propres]]/Tableau3[[#This Row],[Total Bilan]],"")</f>
        <v/>
      </c>
      <c r="W2186" s="180"/>
      <c r="Y2186" s="180"/>
      <c r="Z2186" s="192" t="str">
        <f>IFERROR(Tableau3[[#This Row],[Chiffre d''affaires]]/Tableau3[[#This Row],[Salariés]],"")</f>
        <v/>
      </c>
    </row>
    <row r="2187" spans="1:29" ht="20.25" customHeight="1">
      <c r="G2187" s="188"/>
      <c r="H2187" s="178"/>
      <c r="I2187" s="178"/>
      <c r="J2187" s="178"/>
      <c r="K2187" s="178"/>
      <c r="L2187" s="178"/>
      <c r="M2187" s="178"/>
      <c r="N2187" s="178"/>
      <c r="O2187" s="178"/>
      <c r="P2187" s="178"/>
      <c r="Q2187" s="178"/>
      <c r="R2187" s="178"/>
      <c r="S2187" s="178"/>
      <c r="T2187" s="180"/>
      <c r="U2187" s="189" t="str">
        <f>IFERROR(IF(Tableau3[[#This Row],[Dettes]]=0,"",(Tableau3[[#This Row],[Dettes]]/Tableau3[[#This Row],[EBE]])),"")</f>
        <v/>
      </c>
      <c r="V2187" s="190" t="str">
        <f>IFERROR(Tableau3[[#This Row],[Fonds propres]]/Tableau3[[#This Row],[Total Bilan]],"")</f>
        <v/>
      </c>
      <c r="W2187" s="180"/>
      <c r="Y2187" s="180"/>
      <c r="Z2187" s="192" t="str">
        <f>IFERROR(Tableau3[[#This Row],[Chiffre d''affaires]]/Tableau3[[#This Row],[Salariés]],"")</f>
        <v/>
      </c>
      <c r="AA2187" s="177"/>
    </row>
    <row r="2188" spans="1:29" ht="20.25" customHeight="1">
      <c r="A2188" s="217" t="s">
        <v>1536</v>
      </c>
      <c r="B2188" s="216" t="s">
        <v>1537</v>
      </c>
      <c r="C2188" s="178" t="s">
        <v>564</v>
      </c>
      <c r="D2188" s="178" t="s">
        <v>85</v>
      </c>
      <c r="E2188" s="187">
        <f>E2190</f>
        <v>51.2</v>
      </c>
      <c r="F2188" s="178">
        <v>2025</v>
      </c>
      <c r="G2188" s="188">
        <f>G2190*1.06</f>
        <v>23704780000</v>
      </c>
      <c r="H2188" s="188">
        <v>4500000000</v>
      </c>
      <c r="I2188" s="188">
        <f>Tableau3[[#This Row],[Chiffre d''affaires]]*0.17</f>
        <v>4029812600.0000005</v>
      </c>
      <c r="J2188" s="188">
        <v>2400000000</v>
      </c>
      <c r="K2188" s="188">
        <v>12000000000</v>
      </c>
      <c r="L2188" s="188">
        <v>18500000000</v>
      </c>
      <c r="M2188" s="194">
        <f>L2188/P2188</f>
        <v>16.400709219858157</v>
      </c>
      <c r="N2188" s="190">
        <f>J2188/L2190</f>
        <v>0.131521262604121</v>
      </c>
      <c r="O2188" s="190">
        <f>(I2188*0.75)/(K2190+L2190)</f>
        <v>9.7975863913381755E-2</v>
      </c>
      <c r="P2188" s="188">
        <v>1128000000</v>
      </c>
      <c r="Q2188" s="188">
        <f>P2188*E2188</f>
        <v>57753600000</v>
      </c>
      <c r="R2188" s="195">
        <f>Q2188/L2188</f>
        <v>3.1218162162162164</v>
      </c>
      <c r="S2188" s="197">
        <f>(Q2188+K2188)/H2188</f>
        <v>15.5008</v>
      </c>
      <c r="T2188" s="180">
        <v>2130000000</v>
      </c>
      <c r="U2188" s="189">
        <f>IFERROR(IF(Tableau3[[#This Row],[Dettes]]=0,"",(Tableau3[[#This Row],[Dettes]]/Tableau3[[#This Row],[EBE]])),"")</f>
        <v>2.6666666666666665</v>
      </c>
      <c r="V2188" s="190">
        <f>IFERROR(Tableau3[[#This Row],[Fonds propres]]/Tableau3[[#This Row],[Total Bilan]],"")</f>
        <v>0.40169362718488766</v>
      </c>
      <c r="W2188" s="180">
        <v>46055000000</v>
      </c>
      <c r="X2188" s="192" t="s">
        <v>1538</v>
      </c>
      <c r="Y2188" s="180">
        <v>72300</v>
      </c>
      <c r="Z2188" s="192">
        <f>IFERROR(Tableau3[[#This Row],[Chiffre d''affaires]]/Tableau3[[#This Row],[Salariés]],"")</f>
        <v>327866.94329183956</v>
      </c>
      <c r="AA2188" s="188" t="s">
        <v>101</v>
      </c>
      <c r="AC2188" s="177" t="s">
        <v>1539</v>
      </c>
    </row>
    <row r="2189" spans="1:29" ht="20.25" customHeight="1">
      <c r="G2189" s="202">
        <f>(G2188/G2190)-1</f>
        <v>6.0000000000000053E-2</v>
      </c>
      <c r="H2189" s="203">
        <f>(H2188/H2190)-1</f>
        <v>0.125</v>
      </c>
      <c r="I2189" s="203">
        <f>(I2188/I2190)-1</f>
        <v>0.14809475783475801</v>
      </c>
      <c r="J2189" s="203">
        <f>(J2188/J2190)-1</f>
        <v>0.22511485451761093</v>
      </c>
      <c r="K2189" s="178"/>
      <c r="L2189" s="178"/>
      <c r="M2189" s="178"/>
      <c r="N2189" s="178"/>
      <c r="O2189" s="178"/>
      <c r="P2189" s="178"/>
      <c r="Q2189" s="178"/>
      <c r="R2189" s="178"/>
      <c r="S2189" s="178"/>
      <c r="T2189" s="180"/>
      <c r="U2189" s="189" t="str">
        <f>IFERROR(IF(Tableau3[[#This Row],[Dettes]]=0,"",(Tableau3[[#This Row],[Dettes]]/Tableau3[[#This Row],[EBE]])),"")</f>
        <v/>
      </c>
      <c r="V2189" s="190" t="str">
        <f>IFERROR(Tableau3[[#This Row],[Fonds propres]]/Tableau3[[#This Row],[Total Bilan]],"")</f>
        <v/>
      </c>
      <c r="W2189" s="180"/>
      <c r="Y2189" s="180"/>
      <c r="Z2189" s="192" t="str">
        <f>IFERROR(Tableau3[[#This Row],[Chiffre d''affaires]]/Tableau3[[#This Row],[Salariés]],"")</f>
        <v/>
      </c>
      <c r="AA2189" s="188" t="s">
        <v>104</v>
      </c>
      <c r="AC2189" s="177" t="s">
        <v>1541</v>
      </c>
    </row>
    <row r="2190" spans="1:29" ht="20.25" customHeight="1">
      <c r="A2190" s="217"/>
      <c r="E2190" s="187">
        <v>51.2</v>
      </c>
      <c r="F2190" s="178">
        <v>2024</v>
      </c>
      <c r="G2190" s="188">
        <v>22363000000</v>
      </c>
      <c r="H2190" s="188">
        <v>4000000000</v>
      </c>
      <c r="I2190" s="188">
        <v>3510000000</v>
      </c>
      <c r="J2190" s="188">
        <v>1959000000</v>
      </c>
      <c r="K2190" s="188">
        <v>12600000000</v>
      </c>
      <c r="L2190" s="188">
        <v>18248000000</v>
      </c>
      <c r="M2190" s="194">
        <f>L2190/P2190</f>
        <v>16.177304964539008</v>
      </c>
      <c r="N2190" s="190">
        <f>J2190/L2192</f>
        <v>0.10803507417415761</v>
      </c>
      <c r="O2190" s="190">
        <f>(I2190*0.75)/(K2192+L2192)</f>
        <v>8.4210357954000198E-2</v>
      </c>
      <c r="P2190" s="188">
        <v>1128000000</v>
      </c>
      <c r="Q2190" s="188">
        <f>P2190*E2190</f>
        <v>57753600000</v>
      </c>
      <c r="R2190" s="195">
        <f>Q2190/L2190</f>
        <v>3.1649276633055679</v>
      </c>
      <c r="S2190" s="197">
        <f>(Q2190+K2190)/H2190</f>
        <v>17.5884</v>
      </c>
      <c r="T2190" s="180">
        <v>2130000000</v>
      </c>
      <c r="U2190" s="189">
        <f>IFERROR(IF(Tableau3[[#This Row],[Dettes]]=0,"",(Tableau3[[#This Row],[Dettes]]/Tableau3[[#This Row],[EBE]])),"")</f>
        <v>3.15</v>
      </c>
      <c r="V2190" s="190">
        <f>IFERROR(Tableau3[[#This Row],[Fonds propres]]/Tableau3[[#This Row],[Total Bilan]],"")</f>
        <v>0.39622190858755835</v>
      </c>
      <c r="W2190" s="180">
        <v>46055000000</v>
      </c>
      <c r="Y2190" s="180">
        <v>72300</v>
      </c>
      <c r="Z2190" s="192">
        <f>IFERROR(Tableau3[[#This Row],[Chiffre d''affaires]]/Tableau3[[#This Row],[Salariés]],"")</f>
        <v>309308.43706777319</v>
      </c>
      <c r="AA2190" s="188" t="s">
        <v>107</v>
      </c>
      <c r="AC2190" s="177" t="s">
        <v>1542</v>
      </c>
    </row>
    <row r="2191" spans="1:29" ht="20.25" customHeight="1">
      <c r="G2191" s="202">
        <f>(G2190/G2192)-1</f>
        <v>3.1503690036900345E-2</v>
      </c>
      <c r="H2191" s="203">
        <f>(H2190/H2192)-1</f>
        <v>3.8961038961038863E-2</v>
      </c>
      <c r="I2191" s="203">
        <f>(I2190/I2192)-1</f>
        <v>7.9667794524761693E-2</v>
      </c>
      <c r="J2191" s="203">
        <f>(J2190/J2192)-1</f>
        <v>0.28459016393442615</v>
      </c>
      <c r="K2191" s="178"/>
      <c r="L2191" s="178"/>
      <c r="M2191" s="178"/>
      <c r="N2191" s="178"/>
      <c r="O2191" s="178"/>
      <c r="P2191" s="178"/>
      <c r="Q2191" s="178"/>
      <c r="R2191" s="178"/>
      <c r="S2191" s="178"/>
      <c r="T2191" s="180"/>
      <c r="U2191" s="189" t="str">
        <f>IFERROR(IF(Tableau3[[#This Row],[Dettes]]=0,"",(Tableau3[[#This Row],[Dettes]]/Tableau3[[#This Row],[EBE]])),"")</f>
        <v/>
      </c>
      <c r="V2191" s="190" t="str">
        <f>IFERROR(Tableau3[[#This Row],[Fonds propres]]/Tableau3[[#This Row],[Total Bilan]],"")</f>
        <v/>
      </c>
      <c r="W2191" s="180"/>
      <c r="Y2191" s="180"/>
      <c r="Z2191" s="192" t="str">
        <f>IFERROR(Tableau3[[#This Row],[Chiffre d''affaires]]/Tableau3[[#This Row],[Salariés]],"")</f>
        <v/>
      </c>
      <c r="AC2191" s="177" t="s">
        <v>1543</v>
      </c>
    </row>
    <row r="2192" spans="1:29" ht="20.25" customHeight="1">
      <c r="A2192" s="217"/>
      <c r="E2192" s="187">
        <v>53.1</v>
      </c>
      <c r="F2192" s="178">
        <v>2023</v>
      </c>
      <c r="G2192" s="188">
        <v>21680000000</v>
      </c>
      <c r="H2192" s="188">
        <v>3850000000</v>
      </c>
      <c r="I2192" s="188">
        <v>3251000000</v>
      </c>
      <c r="J2192" s="188">
        <v>1525000000</v>
      </c>
      <c r="K2192" s="188">
        <v>13128000000</v>
      </c>
      <c r="L2192" s="188">
        <v>18133000000</v>
      </c>
      <c r="M2192" s="194">
        <f>L2192/P2192</f>
        <v>16.075354609929079</v>
      </c>
      <c r="N2192" s="190">
        <f>J2192/L2194</f>
        <v>8.4722222222222227E-2</v>
      </c>
      <c r="O2192" s="190">
        <f>(I2192*0.75)/(K2194+L2194)</f>
        <v>8.119110252738837E-2</v>
      </c>
      <c r="P2192" s="188">
        <v>1128000000</v>
      </c>
      <c r="Q2192" s="188">
        <f>P2192*E2192</f>
        <v>59896800000</v>
      </c>
      <c r="R2192" s="195">
        <f>Q2192/L2192</f>
        <v>3.3031930734020847</v>
      </c>
      <c r="S2192" s="197">
        <f>(Q2192+K2192)/H2192</f>
        <v>18.967480519480521</v>
      </c>
      <c r="T2192" s="180">
        <v>1281000000</v>
      </c>
      <c r="U2192" s="189">
        <f>IFERROR(IF(Tableau3[[#This Row],[Dettes]]=0,"",(Tableau3[[#This Row],[Dettes]]/Tableau3[[#This Row],[EBE]])),"")</f>
        <v>3.4098701298701299</v>
      </c>
      <c r="V2192" s="190">
        <f>IFERROR(Tableau3[[#This Row],[Fonds propres]]/Tableau3[[#This Row],[Total Bilan]],"")</f>
        <v>0.38842001542284293</v>
      </c>
      <c r="W2192" s="180">
        <v>46684000000</v>
      </c>
      <c r="Y2192" s="180">
        <v>71200</v>
      </c>
      <c r="Z2192" s="192">
        <f>IFERROR(Tableau3[[#This Row],[Chiffre d''affaires]]/Tableau3[[#This Row],[Salariés]],"")</f>
        <v>304494.38202247192</v>
      </c>
      <c r="AB2192" s="188"/>
      <c r="AC2192" s="177" t="s">
        <v>1544</v>
      </c>
    </row>
    <row r="2193" spans="1:29" ht="20.25" customHeight="1">
      <c r="G2193" s="202">
        <f>(G2192/G2194)-1</f>
        <v>0.10517909967665351</v>
      </c>
      <c r="H2193" s="203">
        <f>(H2192/H2194)-1</f>
        <v>-3.1007751937984662E-2</v>
      </c>
      <c r="I2193" s="203">
        <f>(I2192/I2194)-1</f>
        <v>-2.5141834966138421E-2</v>
      </c>
      <c r="J2193" s="203">
        <f>(J2192/J2194)-1</f>
        <v>-0.38508064516129037</v>
      </c>
      <c r="K2193" s="178"/>
      <c r="L2193" s="178"/>
      <c r="M2193" s="178"/>
      <c r="N2193" s="178"/>
      <c r="O2193" s="178"/>
      <c r="P2193" s="178"/>
      <c r="Q2193" s="178"/>
      <c r="R2193" s="178"/>
      <c r="S2193" s="178"/>
      <c r="T2193" s="180"/>
      <c r="U2193" s="189" t="str">
        <f>IFERROR(IF(Tableau3[[#This Row],[Dettes]]=0,"",(Tableau3[[#This Row],[Dettes]]/Tableau3[[#This Row],[EBE]])),"")</f>
        <v/>
      </c>
      <c r="V2193" s="190" t="str">
        <f>IFERROR(Tableau3[[#This Row],[Fonds propres]]/Tableau3[[#This Row],[Total Bilan]],"")</f>
        <v/>
      </c>
      <c r="W2193" s="180"/>
      <c r="Y2193" s="180"/>
      <c r="Z2193" s="192" t="str">
        <f>IFERROR(Tableau3[[#This Row],[Chiffre d''affaires]]/Tableau3[[#This Row],[Salariés]],"")</f>
        <v/>
      </c>
      <c r="AB2193" s="188"/>
      <c r="AC2193" s="177" t="s">
        <v>1545</v>
      </c>
    </row>
    <row r="2194" spans="1:29" ht="20.25" customHeight="1">
      <c r="A2194" s="217"/>
      <c r="E2194" s="187">
        <v>46.7</v>
      </c>
      <c r="F2194" s="178">
        <v>2022</v>
      </c>
      <c r="G2194" s="188">
        <f>G2196*1.09</f>
        <v>19616730000</v>
      </c>
      <c r="H2194" s="188">
        <f>H2196*1.1</f>
        <v>3973200000.0000005</v>
      </c>
      <c r="I2194" s="188">
        <f>G2194*0.17</f>
        <v>3334844100.0000005</v>
      </c>
      <c r="J2194" s="188">
        <f>2480000000</f>
        <v>2480000000</v>
      </c>
      <c r="K2194" s="188">
        <v>12031000000</v>
      </c>
      <c r="L2194" s="188">
        <v>18000000000</v>
      </c>
      <c r="M2194" s="194">
        <f>L2194/P2194</f>
        <v>15.957446808510639</v>
      </c>
      <c r="N2194" s="190">
        <f>J2194/L2196</f>
        <v>0.15195147356166902</v>
      </c>
      <c r="O2194" s="190">
        <f>(I2194*0.75)/(K2196+L2196)</f>
        <v>8.8626663654725227E-2</v>
      </c>
      <c r="P2194" s="188">
        <v>1128000000</v>
      </c>
      <c r="Q2194" s="188">
        <f>P2194*E2194</f>
        <v>52677600000</v>
      </c>
      <c r="R2194" s="195">
        <f>Q2194/L2194</f>
        <v>2.9265333333333334</v>
      </c>
      <c r="S2194" s="197">
        <f>(Q2194+K2194)/H2194</f>
        <v>16.28626799557032</v>
      </c>
      <c r="T2194" s="180">
        <v>1652000000</v>
      </c>
      <c r="U2194" s="189">
        <f>IFERROR(IF(Tableau3[[#This Row],[Dettes]]=0,"",(Tableau3[[#This Row],[Dettes]]/Tableau3[[#This Row],[EBE]])),"")</f>
        <v>3.0280378536192485</v>
      </c>
      <c r="V2194" s="190">
        <f>IFERROR(Tableau3[[#This Row],[Fonds propres]]/Tableau3[[#This Row],[Total Bilan]],"")</f>
        <v>0.36734693877551022</v>
      </c>
      <c r="W2194" s="180">
        <v>49000000000</v>
      </c>
      <c r="Y2194" s="180">
        <v>69500</v>
      </c>
      <c r="Z2194" s="192">
        <f>IFERROR(Tableau3[[#This Row],[Chiffre d''affaires]]/Tableau3[[#This Row],[Salariés]],"")</f>
        <v>282255.10791366908</v>
      </c>
      <c r="AB2194" s="188"/>
      <c r="AC2194" s="177" t="s">
        <v>1546</v>
      </c>
    </row>
    <row r="2195" spans="1:29" ht="20.25" customHeight="1">
      <c r="G2195" s="202">
        <f>(G2194/G2196)-1</f>
        <v>9.000000000000008E-2</v>
      </c>
      <c r="H2195" s="203">
        <f>(H2194/H2196)-1</f>
        <v>0.10000000000000009</v>
      </c>
      <c r="I2195" s="203">
        <f>(I2194/I2196)-1</f>
        <v>6.1376225334182299E-2</v>
      </c>
      <c r="J2195" s="203">
        <f>(J2194/J2196)-1</f>
        <v>0.42038946162657509</v>
      </c>
      <c r="K2195" s="178"/>
      <c r="L2195" s="178"/>
      <c r="M2195" s="178"/>
      <c r="N2195" s="178"/>
      <c r="O2195" s="178"/>
      <c r="P2195" s="178"/>
      <c r="Q2195" s="178"/>
      <c r="R2195" s="178"/>
      <c r="S2195" s="178"/>
      <c r="T2195" s="180"/>
      <c r="U2195" s="189" t="str">
        <f>IFERROR(IF(Tableau3[[#This Row],[Dettes]]=0,"",(Tableau3[[#This Row],[Dettes]]/Tableau3[[#This Row],[EBE]])),"")</f>
        <v/>
      </c>
      <c r="V2195" s="190" t="str">
        <f>IFERROR(Tableau3[[#This Row],[Fonds propres]]/Tableau3[[#This Row],[Total Bilan]],"")</f>
        <v/>
      </c>
      <c r="W2195" s="180"/>
      <c r="X2195" s="192"/>
      <c r="Y2195" s="180"/>
      <c r="Z2195" s="192" t="str">
        <f>IFERROR(Tableau3[[#This Row],[Chiffre d''affaires]]/Tableau3[[#This Row],[Salariés]],"")</f>
        <v/>
      </c>
      <c r="AA2195" s="188"/>
      <c r="AB2195" s="188"/>
      <c r="AC2195" s="177" t="s">
        <v>1547</v>
      </c>
    </row>
    <row r="2196" spans="1:29" ht="20.25" customHeight="1">
      <c r="A2196" s="217"/>
      <c r="E2196" s="187">
        <v>66.040000000000006</v>
      </c>
      <c r="F2196" s="178">
        <v>2021</v>
      </c>
      <c r="G2196" s="188">
        <v>17997000000</v>
      </c>
      <c r="H2196" s="188">
        <v>3612000000</v>
      </c>
      <c r="I2196" s="188">
        <v>3142000000</v>
      </c>
      <c r="J2196" s="188">
        <f>1746000000</f>
        <v>1746000000</v>
      </c>
      <c r="K2196" s="188">
        <v>11900000000</v>
      </c>
      <c r="L2196" s="188">
        <v>16321000000</v>
      </c>
      <c r="M2196" s="194">
        <f>L2196/P2196</f>
        <v>14.468971631205674</v>
      </c>
      <c r="N2196" s="190">
        <f>J2196/L2198</f>
        <v>0.13970235237638023</v>
      </c>
      <c r="O2196" s="190">
        <f>(I2196*0.75)/(K2198+L2198)</f>
        <v>0.15712094945992799</v>
      </c>
      <c r="P2196" s="188">
        <f>P2198+53000000</f>
        <v>1128000000</v>
      </c>
      <c r="Q2196" s="188">
        <f>P2196*E2196</f>
        <v>74493120000</v>
      </c>
      <c r="R2196" s="195">
        <f>Q2196/L2196</f>
        <v>4.5642497395992896</v>
      </c>
      <c r="S2196" s="197">
        <f>(Q2196+K2196)/H2196</f>
        <v>23.918361018826136</v>
      </c>
      <c r="T2196" s="180"/>
      <c r="U2196" s="189">
        <f>IFERROR(IF(Tableau3[[#This Row],[Dettes]]=0,"",(Tableau3[[#This Row],[Dettes]]/Tableau3[[#This Row],[EBE]])),"")</f>
        <v>3.2945736434108528</v>
      </c>
      <c r="V2196" s="190">
        <f>IFERROR(Tableau3[[#This Row],[Fonds propres]]/Tableau3[[#This Row],[Total Bilan]],"")</f>
        <v>0.38924397805866923</v>
      </c>
      <c r="W2196" s="180">
        <v>41930000000</v>
      </c>
      <c r="X2196" s="192"/>
      <c r="Y2196" s="180"/>
      <c r="Z2196" s="192" t="str">
        <f>IFERROR(Tableau3[[#This Row],[Chiffre d''affaires]]/Tableau3[[#This Row],[Salariés]],"")</f>
        <v/>
      </c>
      <c r="AA2196" s="188"/>
      <c r="AB2196" s="188"/>
      <c r="AC2196" s="177" t="s">
        <v>1548</v>
      </c>
    </row>
    <row r="2197" spans="1:29" ht="20.25" customHeight="1">
      <c r="A2197" s="217"/>
      <c r="E2197" s="234"/>
      <c r="F2197" s="234"/>
      <c r="G2197" s="202">
        <f>(G2196/G2198)-1</f>
        <v>0.24460580912863072</v>
      </c>
      <c r="H2197" s="203">
        <f>(H2196/H2198)-1</f>
        <v>0.29184549356223166</v>
      </c>
      <c r="I2197" s="203">
        <f>(I2196/I2198)-1</f>
        <v>0.39768683274021344</v>
      </c>
      <c r="J2197" s="203">
        <f>(J2196/J2198)-1</f>
        <v>0.23742026931254423</v>
      </c>
      <c r="K2197" s="188"/>
      <c r="L2197" s="188"/>
      <c r="M2197" s="188"/>
      <c r="N2197" s="188"/>
      <c r="O2197" s="188"/>
      <c r="P2197" s="188"/>
      <c r="Q2197" s="188"/>
      <c r="R2197" s="195"/>
      <c r="S2197" s="188"/>
      <c r="T2197" s="180"/>
      <c r="U2197" s="189" t="str">
        <f>IFERROR(IF(Tableau3[[#This Row],[Dettes]]=0,"",(Tableau3[[#This Row],[Dettes]]/Tableau3[[#This Row],[EBE]])),"")</f>
        <v/>
      </c>
      <c r="V2197" s="190" t="str">
        <f>IFERROR(Tableau3[[#This Row],[Fonds propres]]/Tableau3[[#This Row],[Total Bilan]],"")</f>
        <v/>
      </c>
      <c r="W2197" s="180"/>
      <c r="X2197" s="192"/>
      <c r="Y2197" s="180"/>
      <c r="Z2197" s="192" t="str">
        <f>IFERROR(Tableau3[[#This Row],[Chiffre d''affaires]]/Tableau3[[#This Row],[Salariés]],"")</f>
        <v/>
      </c>
      <c r="AA2197" s="188"/>
      <c r="AB2197" s="188"/>
      <c r="AC2197" s="177" t="s">
        <v>1549</v>
      </c>
    </row>
    <row r="2198" spans="1:29" ht="20.25" customHeight="1">
      <c r="A2198" s="217"/>
      <c r="E2198" s="187">
        <v>41</v>
      </c>
      <c r="F2198" s="178">
        <v>2020</v>
      </c>
      <c r="G2198" s="188">
        <v>14460000000</v>
      </c>
      <c r="H2198" s="188">
        <v>2796000000</v>
      </c>
      <c r="I2198" s="188">
        <v>2248000000</v>
      </c>
      <c r="J2198" s="188">
        <v>1411000000</v>
      </c>
      <c r="K2198" s="188">
        <v>2500000000</v>
      </c>
      <c r="L2198" s="188">
        <v>12498000000</v>
      </c>
      <c r="M2198" s="194">
        <f>L2198/P2198</f>
        <v>11.626046511627907</v>
      </c>
      <c r="N2198" s="190">
        <f>J2198/L2200</f>
        <v>0.14443648275156107</v>
      </c>
      <c r="O2198" s="190">
        <f>(I2198*0.75)/(K2200+L2200)</f>
        <v>0.1280279444149138</v>
      </c>
      <c r="P2198" s="188">
        <v>1075000000</v>
      </c>
      <c r="Q2198" s="188">
        <f>P2198*E2198</f>
        <v>44075000000</v>
      </c>
      <c r="R2198" s="195">
        <f>Q2198/L2198</f>
        <v>3.5265642502800447</v>
      </c>
      <c r="S2198" s="197">
        <f>(Q2198+K2198)/H2198</f>
        <v>16.65772532188841</v>
      </c>
      <c r="T2198" s="180"/>
      <c r="U2198" s="189">
        <f>IFERROR(IF(Tableau3[[#This Row],[Dettes]]=0,"",(Tableau3[[#This Row],[Dettes]]/Tableau3[[#This Row],[EBE]])),"")</f>
        <v>0.89413447782546496</v>
      </c>
      <c r="V2198" s="190">
        <f>IFERROR(Tableau3[[#This Row],[Fonds propres]]/Tableau3[[#This Row],[Total Bilan]],"")</f>
        <v>0.49812674372259863</v>
      </c>
      <c r="W2198" s="180">
        <v>25090000000</v>
      </c>
      <c r="X2198" s="192"/>
      <c r="Y2198" s="180"/>
      <c r="Z2198" s="192" t="str">
        <f>IFERROR(Tableau3[[#This Row],[Chiffre d''affaires]]/Tableau3[[#This Row],[Salariés]],"")</f>
        <v/>
      </c>
      <c r="AA2198" s="197"/>
      <c r="AB2198" s="197"/>
      <c r="AC2198" s="177" t="s">
        <v>1550</v>
      </c>
    </row>
    <row r="2199" spans="1:29" ht="20.25" customHeight="1">
      <c r="G2199" s="202">
        <f>(G2198/G2200)-1</f>
        <v>-3.9950406392065263E-3</v>
      </c>
      <c r="H2199" s="203">
        <f>(H2198/H2200)-1</f>
        <v>-4.2465753424657526E-2</v>
      </c>
      <c r="I2199" s="203">
        <f>(I2198/I2200)-1</f>
        <v>-2.9360967184801412E-2</v>
      </c>
      <c r="J2199" s="203">
        <f>(J2198/J2200)-1</f>
        <v>-9.9553286534779795E-2</v>
      </c>
      <c r="K2199" s="188"/>
      <c r="L2199" s="188"/>
      <c r="M2199" s="194"/>
      <c r="N2199" s="188"/>
      <c r="O2199" s="188"/>
      <c r="P2199" s="188"/>
      <c r="Q2199" s="188"/>
      <c r="R2199" s="195"/>
      <c r="S2199" s="188"/>
      <c r="T2199" s="180"/>
      <c r="U2199" s="189" t="str">
        <f>IFERROR(IF(Tableau3[[#This Row],[Dettes]]=0,"",(Tableau3[[#This Row],[Dettes]]/Tableau3[[#This Row],[EBE]])),"")</f>
        <v/>
      </c>
      <c r="V2199" s="190" t="str">
        <f>IFERROR(Tableau3[[#This Row],[Fonds propres]]/Tableau3[[#This Row],[Total Bilan]],"")</f>
        <v/>
      </c>
      <c r="W2199" s="180"/>
      <c r="X2199" s="192"/>
      <c r="Y2199" s="180"/>
      <c r="Z2199" s="192" t="str">
        <f>IFERROR(Tableau3[[#This Row],[Chiffre d''affaires]]/Tableau3[[#This Row],[Salariés]],"")</f>
        <v/>
      </c>
      <c r="AA2199" s="188"/>
      <c r="AB2199" s="188"/>
      <c r="AC2199" s="177" t="s">
        <v>1551</v>
      </c>
    </row>
    <row r="2200" spans="1:29" ht="20.25" customHeight="1">
      <c r="A2200" s="217"/>
      <c r="E2200" s="187">
        <v>44</v>
      </c>
      <c r="F2200" s="178">
        <v>2019</v>
      </c>
      <c r="G2200" s="188">
        <v>14518000000</v>
      </c>
      <c r="H2200" s="188">
        <v>2920000000</v>
      </c>
      <c r="I2200" s="188">
        <v>2316000000</v>
      </c>
      <c r="J2200" s="188">
        <v>1567000000</v>
      </c>
      <c r="K2200" s="188">
        <v>3400000000</v>
      </c>
      <c r="L2200" s="188">
        <v>9769000000</v>
      </c>
      <c r="M2200" s="194">
        <f>L2200/P2200</f>
        <v>9.7690000000000001</v>
      </c>
      <c r="N2200" s="190">
        <f>J2200/L2202</f>
        <v>0.18103049907578558</v>
      </c>
      <c r="O2200" s="190">
        <f>(I2200*0.75)/(K2202+L2202)</f>
        <v>0.15162360335195529</v>
      </c>
      <c r="P2200" s="188">
        <v>1000000000</v>
      </c>
      <c r="Q2200" s="188">
        <f>P2200*E2200</f>
        <v>44000000000</v>
      </c>
      <c r="R2200" s="195">
        <f>Q2200/L2200</f>
        <v>4.5040434026000611</v>
      </c>
      <c r="S2200" s="197">
        <f>(Q2200+K2200)/H2200</f>
        <v>16.232876712328768</v>
      </c>
      <c r="T2200" s="180"/>
      <c r="U2200" s="189">
        <f>IFERROR(IF(Tableau3[[#This Row],[Dettes]]=0,"",(Tableau3[[#This Row],[Dettes]]/Tableau3[[#This Row],[EBE]])),"")</f>
        <v>1.1643835616438356</v>
      </c>
      <c r="V2200" s="190">
        <f>IFERROR(Tableau3[[#This Row],[Fonds propres]]/Tableau3[[#This Row],[Total Bilan]],"")</f>
        <v>0.45585627624825009</v>
      </c>
      <c r="W2200" s="180">
        <v>21430000000</v>
      </c>
      <c r="X2200" s="191"/>
      <c r="Y2200" s="180"/>
      <c r="Z2200" s="192" t="str">
        <f>IFERROR(Tableau3[[#This Row],[Chiffre d''affaires]]/Tableau3[[#This Row],[Salariés]],"")</f>
        <v/>
      </c>
      <c r="AA2200" s="197"/>
      <c r="AB2200" s="197"/>
      <c r="AC2200" s="177" t="s">
        <v>1552</v>
      </c>
    </row>
    <row r="2201" spans="1:29" ht="20.25" customHeight="1">
      <c r="A2201" s="217"/>
      <c r="E2201" s="187"/>
      <c r="G2201" s="202">
        <f>(G2200/G2202)-1</f>
        <v>8.1093156601385052E-2</v>
      </c>
      <c r="H2201" s="203">
        <f>(H2200/H2202)-1</f>
        <v>0.16893514811849486</v>
      </c>
      <c r="I2201" s="203">
        <f>(I2200/I2202)-1</f>
        <v>0.15568862275449091</v>
      </c>
      <c r="J2201" s="203">
        <f>(J2200/J2202)-1</f>
        <v>0.22040498442367595</v>
      </c>
      <c r="K2201" s="188"/>
      <c r="L2201" s="188"/>
      <c r="M2201" s="194"/>
      <c r="N2201" s="188"/>
      <c r="O2201" s="188"/>
      <c r="P2201" s="188"/>
      <c r="Q2201" s="188"/>
      <c r="R2201" s="188"/>
      <c r="S2201" s="188"/>
      <c r="T2201" s="180"/>
      <c r="U2201" s="189" t="str">
        <f>IFERROR(IF(Tableau3[[#This Row],[Dettes]]=0,"",(Tableau3[[#This Row],[Dettes]]/Tableau3[[#This Row],[EBE]])),"")</f>
        <v/>
      </c>
      <c r="V2201" s="190" t="str">
        <f>IFERROR(Tableau3[[#This Row],[Fonds propres]]/Tableau3[[#This Row],[Total Bilan]],"")</f>
        <v/>
      </c>
      <c r="W2201" s="180"/>
      <c r="X2201" s="192"/>
      <c r="Y2201" s="180"/>
      <c r="Z2201" s="192" t="str">
        <f>IFERROR(Tableau3[[#This Row],[Chiffre d''affaires]]/Tableau3[[#This Row],[Salariés]],"")</f>
        <v/>
      </c>
      <c r="AA2201" s="188"/>
      <c r="AB2201" s="188"/>
      <c r="AC2201" s="177" t="s">
        <v>1553</v>
      </c>
    </row>
    <row r="2202" spans="1:29" ht="20.25" customHeight="1">
      <c r="A2202" s="217"/>
      <c r="E2202" s="187">
        <v>35</v>
      </c>
      <c r="F2202" s="178">
        <v>2018</v>
      </c>
      <c r="G2202" s="188">
        <v>13429000000</v>
      </c>
      <c r="H2202" s="188">
        <v>2498000000</v>
      </c>
      <c r="I2202" s="188">
        <v>2004000000</v>
      </c>
      <c r="J2202" s="188">
        <v>1284000000</v>
      </c>
      <c r="K2202" s="188">
        <v>2800000000</v>
      </c>
      <c r="L2202" s="188">
        <v>8656000000</v>
      </c>
      <c r="M2202" s="194">
        <f>L2202/P2202</f>
        <v>8.6560000000000006</v>
      </c>
      <c r="N2202" s="190">
        <f>J2202/L2204</f>
        <v>0.39703153988868273</v>
      </c>
      <c r="O2202" s="190">
        <f>(I2202*0.75)/(K2204+L2204)</f>
        <v>0.15440723238134374</v>
      </c>
      <c r="P2202" s="188">
        <v>1000000000</v>
      </c>
      <c r="Q2202" s="188">
        <f>P2202*E2202</f>
        <v>35000000000</v>
      </c>
      <c r="R2202" s="195">
        <f>Q2202/L2202</f>
        <v>4.0434380776340113</v>
      </c>
      <c r="S2202" s="197">
        <f>(Q2202+K2202)/H2202</f>
        <v>15.132105684547637</v>
      </c>
      <c r="T2202" s="180"/>
      <c r="U2202" s="189">
        <f>IFERROR(IF(Tableau3[[#This Row],[Dettes]]=0,"",(Tableau3[[#This Row],[Dettes]]/Tableau3[[#This Row],[EBE]])),"")</f>
        <v>1.1208967173738991</v>
      </c>
      <c r="V2202" s="190">
        <f>IFERROR(Tableau3[[#This Row],[Fonds propres]]/Tableau3[[#This Row],[Total Bilan]],"")</f>
        <v>0.43805668016194332</v>
      </c>
      <c r="W2202" s="180">
        <v>19760000000</v>
      </c>
      <c r="X2202" s="191"/>
      <c r="Y2202" s="180"/>
      <c r="Z2202" s="192" t="str">
        <f>IFERROR(Tableau3[[#This Row],[Chiffre d''affaires]]/Tableau3[[#This Row],[Salariés]],"")</f>
        <v/>
      </c>
      <c r="AA2202" s="197"/>
      <c r="AB2202" s="197"/>
      <c r="AC2202" s="177" t="s">
        <v>1554</v>
      </c>
    </row>
    <row r="2203" spans="1:29" ht="20.25" customHeight="1">
      <c r="A2203" s="217"/>
      <c r="E2203" s="187"/>
      <c r="G2203" s="202">
        <f>(G2202/G2204)-1</f>
        <v>-2.6601913598144344E-2</v>
      </c>
      <c r="H2203" s="203"/>
      <c r="I2203" s="203">
        <f>(I2202/I2204)-1</f>
        <v>-1.9569471624266144E-2</v>
      </c>
      <c r="J2203" s="203">
        <f>(J2202/J2204)-1</f>
        <v>-0.10021023125437978</v>
      </c>
      <c r="K2203" s="188"/>
      <c r="L2203" s="188"/>
      <c r="M2203" s="194"/>
      <c r="N2203" s="188"/>
      <c r="O2203" s="188"/>
      <c r="P2203" s="188"/>
      <c r="Q2203" s="188"/>
      <c r="R2203" s="188"/>
      <c r="S2203" s="188"/>
      <c r="T2203" s="180"/>
      <c r="U2203" s="189" t="str">
        <f>IFERROR(IF(Tableau3[[#This Row],[Dettes]]=0,"",(Tableau3[[#This Row],[Dettes]]/Tableau3[[#This Row],[EBE]])),"")</f>
        <v/>
      </c>
      <c r="V2203" s="190" t="str">
        <f>IFERROR(Tableau3[[#This Row],[Fonds propres]]/Tableau3[[#This Row],[Total Bilan]],"")</f>
        <v/>
      </c>
      <c r="W2203" s="180"/>
      <c r="X2203" s="192"/>
      <c r="Y2203" s="180"/>
      <c r="Z2203" s="192" t="str">
        <f>IFERROR(Tableau3[[#This Row],[Chiffre d''affaires]]/Tableau3[[#This Row],[Salariés]],"")</f>
        <v/>
      </c>
      <c r="AA2203" s="188"/>
      <c r="AB2203" s="188"/>
      <c r="AC2203" s="177" t="s">
        <v>1555</v>
      </c>
    </row>
    <row r="2204" spans="1:29" ht="20.25" customHeight="1">
      <c r="A2204" s="217"/>
      <c r="E2204" s="187"/>
      <c r="F2204" s="178">
        <v>2017</v>
      </c>
      <c r="G2204" s="188">
        <v>13796000000</v>
      </c>
      <c r="H2204" s="188"/>
      <c r="I2204" s="188">
        <v>2044000000</v>
      </c>
      <c r="J2204" s="188">
        <v>1427000000</v>
      </c>
      <c r="K2204" s="188">
        <v>6500000000</v>
      </c>
      <c r="L2204" s="188">
        <v>3234000000</v>
      </c>
      <c r="M2204" s="194"/>
      <c r="N2204" s="190">
        <f>J2204/L2206</f>
        <v>0.60109519797809607</v>
      </c>
      <c r="O2204" s="190">
        <f>(I2204*0.75)/(K2206+L2206)</f>
        <v>0.64574557708508851</v>
      </c>
      <c r="P2204" s="188"/>
      <c r="Q2204" s="188"/>
      <c r="R2204" s="195"/>
      <c r="S2204" s="197"/>
      <c r="T2204" s="180"/>
      <c r="U2204" s="189" t="str">
        <f>IFERROR(IF(Tableau3[[#This Row],[Dettes]]=0,"",(Tableau3[[#This Row],[Dettes]]/Tableau3[[#This Row],[EBE]])),"")</f>
        <v/>
      </c>
      <c r="V2204" s="190" t="str">
        <f>IFERROR(Tableau3[[#This Row],[Fonds propres]]/Tableau3[[#This Row],[Total Bilan]],"")</f>
        <v/>
      </c>
      <c r="W2204" s="180"/>
      <c r="X2204" s="191"/>
      <c r="Y2204" s="180"/>
      <c r="Z2204" s="192" t="str">
        <f>IFERROR(Tableau3[[#This Row],[Chiffre d''affaires]]/Tableau3[[#This Row],[Salariés]],"")</f>
        <v/>
      </c>
      <c r="AA2204" s="197"/>
      <c r="AB2204" s="197"/>
      <c r="AC2204" s="177" t="s">
        <v>1556</v>
      </c>
    </row>
    <row r="2205" spans="1:29" ht="20.25" customHeight="1">
      <c r="A2205" s="217"/>
      <c r="E2205" s="187"/>
      <c r="G2205" s="202">
        <f>(G2204/G2206)-1</f>
        <v>1.838045323687898E-2</v>
      </c>
      <c r="H2205" s="203"/>
      <c r="I2205" s="203">
        <f>(I2204/I2206)-1</f>
        <v>6.5693430656934337E-2</v>
      </c>
      <c r="J2205" s="203">
        <f>(J2204/J2206)-1</f>
        <v>8.8482074752097573E-2</v>
      </c>
      <c r="K2205" s="188"/>
      <c r="L2205" s="188"/>
      <c r="M2205" s="188"/>
      <c r="N2205" s="188"/>
      <c r="O2205" s="188"/>
      <c r="P2205" s="188"/>
      <c r="Q2205" s="188"/>
      <c r="R2205" s="188"/>
      <c r="S2205" s="188"/>
      <c r="T2205" s="180"/>
      <c r="U2205" s="189" t="str">
        <f>IFERROR(IF(Tableau3[[#This Row],[Dettes]]=0,"",(Tableau3[[#This Row],[Dettes]]/Tableau3[[#This Row],[EBE]])),"")</f>
        <v/>
      </c>
      <c r="V2205" s="190" t="str">
        <f>IFERROR(Tableau3[[#This Row],[Fonds propres]]/Tableau3[[#This Row],[Total Bilan]],"")</f>
        <v/>
      </c>
      <c r="W2205" s="180"/>
      <c r="X2205" s="192"/>
      <c r="Y2205" s="180"/>
      <c r="Z2205" s="192" t="str">
        <f>IFERROR(Tableau3[[#This Row],[Chiffre d''affaires]]/Tableau3[[#This Row],[Salariés]],"")</f>
        <v/>
      </c>
      <c r="AA2205" s="188"/>
      <c r="AB2205" s="188"/>
      <c r="AC2205" s="177" t="s">
        <v>1557</v>
      </c>
    </row>
    <row r="2206" spans="1:29" ht="20.25" customHeight="1">
      <c r="A2206" s="217"/>
      <c r="E2206" s="187"/>
      <c r="F2206" s="178">
        <v>2016</v>
      </c>
      <c r="G2206" s="188">
        <v>13547000000</v>
      </c>
      <c r="H2206" s="188"/>
      <c r="I2206" s="188">
        <v>1918000000</v>
      </c>
      <c r="J2206" s="188">
        <v>1311000000</v>
      </c>
      <c r="K2206" s="188"/>
      <c r="L2206" s="188">
        <v>2374000000</v>
      </c>
      <c r="M2206" s="194"/>
      <c r="N2206" s="190">
        <f>J2206/L2208</f>
        <v>0.35538086202222824</v>
      </c>
      <c r="O2206" s="190"/>
      <c r="P2206" s="188"/>
      <c r="Q2206" s="188"/>
      <c r="R2206" s="195"/>
      <c r="S2206" s="197"/>
      <c r="T2206" s="180"/>
      <c r="U2206" s="189" t="str">
        <f>IFERROR(IF(Tableau3[[#This Row],[Dettes]]=0,"",(Tableau3[[#This Row],[Dettes]]/Tableau3[[#This Row],[EBE]])),"")</f>
        <v/>
      </c>
      <c r="V2206" s="190" t="str">
        <f>IFERROR(Tableau3[[#This Row],[Fonds propres]]/Tableau3[[#This Row],[Total Bilan]],"")</f>
        <v/>
      </c>
      <c r="W2206" s="180"/>
      <c r="X2206" s="191"/>
      <c r="Y2206" s="180"/>
      <c r="Z2206" s="192" t="str">
        <f>IFERROR(Tableau3[[#This Row],[Chiffre d''affaires]]/Tableau3[[#This Row],[Salariés]],"")</f>
        <v/>
      </c>
      <c r="AA2206" s="188"/>
      <c r="AB2206" s="188"/>
      <c r="AC2206" s="177" t="s">
        <v>1558</v>
      </c>
    </row>
    <row r="2207" spans="1:29" ht="20.25" customHeight="1">
      <c r="A2207" s="217"/>
      <c r="E2207" s="187"/>
      <c r="G2207" s="202">
        <f>(G2206/G2208)-1</f>
        <v>4.7232529375386578E-2</v>
      </c>
      <c r="H2207" s="203"/>
      <c r="I2207" s="203">
        <f>(I2206/I2208)-1</f>
        <v>2.2388059701492491E-2</v>
      </c>
      <c r="J2207" s="203">
        <f>(J2206/J2208)-1</f>
        <v>2.6624902114330551E-2</v>
      </c>
      <c r="K2207" s="188"/>
      <c r="L2207" s="188"/>
      <c r="M2207" s="188"/>
      <c r="N2207" s="188"/>
      <c r="O2207" s="188"/>
      <c r="P2207" s="188"/>
      <c r="Q2207" s="188"/>
      <c r="R2207" s="188"/>
      <c r="S2207" s="188"/>
      <c r="T2207" s="180"/>
      <c r="U2207" s="189" t="str">
        <f>IFERROR(IF(Tableau3[[#This Row],[Dettes]]=0,"",(Tableau3[[#This Row],[Dettes]]/Tableau3[[#This Row],[EBE]])),"")</f>
        <v/>
      </c>
      <c r="V2207" s="190" t="str">
        <f>IFERROR(Tableau3[[#This Row],[Fonds propres]]/Tableau3[[#This Row],[Total Bilan]],"")</f>
        <v/>
      </c>
      <c r="W2207" s="180"/>
      <c r="X2207" s="192"/>
      <c r="Y2207" s="180"/>
      <c r="Z2207" s="192" t="str">
        <f>IFERROR(Tableau3[[#This Row],[Chiffre d''affaires]]/Tableau3[[#This Row],[Salariés]],"")</f>
        <v/>
      </c>
      <c r="AA2207" s="188"/>
      <c r="AB2207" s="188"/>
      <c r="AC2207" s="177" t="s">
        <v>1559</v>
      </c>
    </row>
    <row r="2208" spans="1:29" ht="20.25" customHeight="1">
      <c r="A2208" s="217"/>
      <c r="E2208" s="187"/>
      <c r="F2208" s="178">
        <v>2015</v>
      </c>
      <c r="G2208" s="188">
        <v>12936000000</v>
      </c>
      <c r="H2208" s="188"/>
      <c r="I2208" s="188">
        <v>1876000000</v>
      </c>
      <c r="J2208" s="188">
        <v>1277000000</v>
      </c>
      <c r="K2208" s="188"/>
      <c r="L2208" s="188">
        <v>3689000000</v>
      </c>
      <c r="M2208" s="194"/>
      <c r="N2208" s="190">
        <f>J2208/L2208</f>
        <v>0.34616427216047707</v>
      </c>
      <c r="O2208" s="190"/>
      <c r="P2208" s="188"/>
      <c r="Q2208" s="188"/>
      <c r="R2208" s="195"/>
      <c r="S2208" s="197"/>
      <c r="T2208" s="180"/>
      <c r="U2208" s="189" t="str">
        <f>IFERROR(IF(Tableau3[[#This Row],[Dettes]]=0,"",(Tableau3[[#This Row],[Dettes]]/Tableau3[[#This Row],[EBE]])),"")</f>
        <v/>
      </c>
      <c r="V2208" s="190" t="str">
        <f>IFERROR(Tableau3[[#This Row],[Fonds propres]]/Tableau3[[#This Row],[Total Bilan]],"")</f>
        <v/>
      </c>
      <c r="W2208" s="180"/>
      <c r="X2208" s="192"/>
      <c r="Y2208" s="180"/>
      <c r="Z2208" s="192" t="str">
        <f>IFERROR(Tableau3[[#This Row],[Chiffre d''affaires]]/Tableau3[[#This Row],[Salariés]],"")</f>
        <v/>
      </c>
      <c r="AA2208" s="188"/>
      <c r="AB2208" s="188"/>
      <c r="AC2208" s="177" t="s">
        <v>1560</v>
      </c>
    </row>
    <row r="2209" spans="1:29" ht="20.25" customHeight="1">
      <c r="A2209" s="217"/>
      <c r="G2209" s="188"/>
      <c r="H2209" s="188"/>
      <c r="I2209" s="188"/>
      <c r="J2209" s="188"/>
      <c r="K2209" s="188"/>
      <c r="L2209" s="188"/>
      <c r="M2209" s="188"/>
      <c r="N2209" s="188"/>
      <c r="O2209" s="188"/>
      <c r="P2209" s="188"/>
      <c r="Q2209" s="188"/>
      <c r="R2209" s="188"/>
      <c r="S2209" s="188"/>
      <c r="T2209" s="180"/>
      <c r="U2209" s="189" t="str">
        <f>IFERROR(IF(Tableau3[[#This Row],[Dettes]]=0,"",(Tableau3[[#This Row],[Dettes]]/Tableau3[[#This Row],[EBE]])),"")</f>
        <v/>
      </c>
      <c r="V2209" s="190" t="str">
        <f>IFERROR(Tableau3[[#This Row],[Fonds propres]]/Tableau3[[#This Row],[Total Bilan]],"")</f>
        <v/>
      </c>
      <c r="W2209" s="180"/>
      <c r="X2209" s="192"/>
      <c r="Y2209" s="180"/>
      <c r="Z2209" s="192" t="str">
        <f>IFERROR(Tableau3[[#This Row],[Chiffre d''affaires]]/Tableau3[[#This Row],[Salariés]],"")</f>
        <v/>
      </c>
      <c r="AA2209" s="188"/>
      <c r="AB2209" s="188"/>
      <c r="AC2209" s="177" t="s">
        <v>1561</v>
      </c>
    </row>
    <row r="2210" spans="1:29" ht="20.25" customHeight="1">
      <c r="A2210" s="217"/>
      <c r="F2210" s="217" t="s">
        <v>1562</v>
      </c>
      <c r="G2210" s="188"/>
      <c r="H2210" s="188"/>
      <c r="I2210" s="188"/>
      <c r="J2210" s="188"/>
      <c r="K2210" s="188"/>
      <c r="L2210" s="188"/>
      <c r="M2210" s="188"/>
      <c r="N2210" s="188"/>
      <c r="O2210" s="188"/>
      <c r="P2210" s="188"/>
      <c r="Q2210" s="188"/>
      <c r="R2210" s="188"/>
      <c r="S2210" s="188"/>
      <c r="T2210" s="180"/>
      <c r="U2210" s="189" t="str">
        <f>IFERROR(IF(Tableau3[[#This Row],[Dettes]]=0,"",(Tableau3[[#This Row],[Dettes]]/Tableau3[[#This Row],[EBE]])),"")</f>
        <v/>
      </c>
      <c r="V2210" s="190" t="str">
        <f>IFERROR(Tableau3[[#This Row],[Fonds propres]]/Tableau3[[#This Row],[Total Bilan]],"")</f>
        <v/>
      </c>
      <c r="W2210" s="180"/>
      <c r="X2210" s="192"/>
      <c r="Y2210" s="180"/>
      <c r="Z2210" s="192" t="str">
        <f>IFERROR(Tableau3[[#This Row],[Chiffre d''affaires]]/Tableau3[[#This Row],[Salariés]],"")</f>
        <v/>
      </c>
      <c r="AA2210" s="188"/>
      <c r="AB2210" s="188"/>
      <c r="AC2210" s="177" t="s">
        <v>1563</v>
      </c>
    </row>
    <row r="2211" spans="1:29" ht="20.25" customHeight="1">
      <c r="A2211" s="217"/>
      <c r="G2211" s="188"/>
      <c r="H2211" s="188"/>
      <c r="I2211" s="188"/>
      <c r="J2211" s="188"/>
      <c r="K2211" s="188"/>
      <c r="L2211" s="188"/>
      <c r="M2211" s="188"/>
      <c r="N2211" s="188"/>
      <c r="O2211" s="188"/>
      <c r="P2211" s="188"/>
      <c r="Q2211" s="188"/>
      <c r="R2211" s="188"/>
      <c r="S2211" s="188"/>
      <c r="T2211" s="180"/>
      <c r="U2211" s="189" t="str">
        <f>IFERROR(IF(Tableau3[[#This Row],[Dettes]]=0,"",(Tableau3[[#This Row],[Dettes]]/Tableau3[[#This Row],[EBE]])),"")</f>
        <v/>
      </c>
      <c r="V2211" s="190" t="str">
        <f>IFERROR(Tableau3[[#This Row],[Fonds propres]]/Tableau3[[#This Row],[Total Bilan]],"")</f>
        <v/>
      </c>
      <c r="W2211" s="180"/>
      <c r="X2211" s="192"/>
      <c r="Y2211" s="180"/>
      <c r="Z2211" s="192" t="str">
        <f>IFERROR(Tableau3[[#This Row],[Chiffre d''affaires]]/Tableau3[[#This Row],[Salariés]],"")</f>
        <v/>
      </c>
      <c r="AA2211" s="177"/>
      <c r="AC2211" s="177" t="s">
        <v>1564</v>
      </c>
    </row>
    <row r="2212" spans="1:29" ht="20.25" customHeight="1">
      <c r="A2212" s="217"/>
      <c r="G2212" s="188"/>
      <c r="H2212" s="188"/>
      <c r="I2212" s="188"/>
      <c r="J2212" s="188"/>
      <c r="K2212" s="188"/>
      <c r="L2212" s="188"/>
      <c r="M2212" s="188"/>
      <c r="N2212" s="188"/>
      <c r="O2212" s="188"/>
      <c r="P2212" s="188"/>
      <c r="Q2212" s="188"/>
      <c r="R2212" s="188"/>
      <c r="S2212" s="188"/>
      <c r="T2212" s="180"/>
      <c r="U2212" s="189" t="str">
        <f>IFERROR(IF(Tableau3[[#This Row],[Dettes]]=0,"",(Tableau3[[#This Row],[Dettes]]/Tableau3[[#This Row],[EBE]])),"")</f>
        <v/>
      </c>
      <c r="V2212" s="190" t="str">
        <f>IFERROR(Tableau3[[#This Row],[Fonds propres]]/Tableau3[[#This Row],[Total Bilan]],"")</f>
        <v/>
      </c>
      <c r="W2212" s="180"/>
      <c r="X2212" s="192"/>
      <c r="Y2212" s="180"/>
      <c r="Z2212" s="192" t="str">
        <f>IFERROR(Tableau3[[#This Row],[Chiffre d''affaires]]/Tableau3[[#This Row],[Salariés]],"")</f>
        <v/>
      </c>
      <c r="AA2212" s="177"/>
      <c r="AC2212" s="177" t="s">
        <v>1565</v>
      </c>
    </row>
    <row r="2213" spans="1:29" ht="20.25" customHeight="1">
      <c r="A2213" s="217"/>
      <c r="G2213" s="188"/>
      <c r="H2213" s="188"/>
      <c r="I2213" s="188"/>
      <c r="J2213" s="188"/>
      <c r="K2213" s="188"/>
      <c r="L2213" s="188"/>
      <c r="M2213" s="188"/>
      <c r="N2213" s="188"/>
      <c r="O2213" s="188"/>
      <c r="P2213" s="188"/>
      <c r="Q2213" s="188"/>
      <c r="R2213" s="188"/>
      <c r="S2213" s="188"/>
      <c r="T2213" s="180"/>
      <c r="U2213" s="189" t="str">
        <f>IFERROR(IF(Tableau3[[#This Row],[Dettes]]=0,"",(Tableau3[[#This Row],[Dettes]]/Tableau3[[#This Row],[EBE]])),"")</f>
        <v/>
      </c>
      <c r="V2213" s="190" t="str">
        <f>IFERROR(Tableau3[[#This Row],[Fonds propres]]/Tableau3[[#This Row],[Total Bilan]],"")</f>
        <v/>
      </c>
      <c r="W2213" s="180"/>
      <c r="Y2213" s="180"/>
      <c r="Z2213" s="192" t="str">
        <f>IFERROR(Tableau3[[#This Row],[Chiffre d''affaires]]/Tableau3[[#This Row],[Salariés]],"")</f>
        <v/>
      </c>
      <c r="AC2213" s="177" t="s">
        <v>466</v>
      </c>
    </row>
    <row r="2214" spans="1:29" ht="20.25" customHeight="1">
      <c r="A2214" s="217"/>
      <c r="E2214" s="234"/>
      <c r="G2214" s="188"/>
      <c r="H2214" s="188"/>
      <c r="I2214" s="188"/>
      <c r="J2214" s="188"/>
      <c r="K2214" s="188"/>
      <c r="L2214" s="188"/>
      <c r="M2214" s="188"/>
      <c r="N2214" s="188"/>
      <c r="O2214" s="188"/>
      <c r="P2214" s="188"/>
      <c r="Q2214" s="188"/>
      <c r="R2214" s="188"/>
      <c r="S2214" s="188"/>
      <c r="T2214" s="180"/>
      <c r="U2214" s="189" t="str">
        <f>IFERROR(IF(Tableau3[[#This Row],[Dettes]]=0,"",(Tableau3[[#This Row],[Dettes]]/Tableau3[[#This Row],[EBE]])),"")</f>
        <v/>
      </c>
      <c r="V2214" s="190" t="str">
        <f>IFERROR(Tableau3[[#This Row],[Fonds propres]]/Tableau3[[#This Row],[Total Bilan]],"")</f>
        <v/>
      </c>
      <c r="W2214" s="180"/>
      <c r="Y2214" s="180"/>
      <c r="Z2214" s="192" t="str">
        <f>IFERROR(Tableau3[[#This Row],[Chiffre d''affaires]]/Tableau3[[#This Row],[Salariés]],"")</f>
        <v/>
      </c>
      <c r="AC2214" s="177" t="s">
        <v>216</v>
      </c>
    </row>
    <row r="2215" spans="1:29" ht="20.25" customHeight="1">
      <c r="A2215" s="217"/>
      <c r="E2215" s="234"/>
      <c r="G2215" s="188"/>
      <c r="H2215" s="188"/>
      <c r="I2215" s="188"/>
      <c r="J2215" s="188"/>
      <c r="K2215" s="188"/>
      <c r="L2215" s="188"/>
      <c r="M2215" s="188"/>
      <c r="N2215" s="188"/>
      <c r="O2215" s="188"/>
      <c r="P2215" s="188"/>
      <c r="Q2215" s="188"/>
      <c r="R2215" s="188"/>
      <c r="S2215" s="188"/>
      <c r="T2215" s="180"/>
      <c r="U2215" s="189" t="str">
        <f>IFERROR(IF(Tableau3[[#This Row],[Dettes]]=0,"",(Tableau3[[#This Row],[Dettes]]/Tableau3[[#This Row],[EBE]])),"")</f>
        <v/>
      </c>
      <c r="V2215" s="190" t="str">
        <f>IFERROR(Tableau3[[#This Row],[Fonds propres]]/Tableau3[[#This Row],[Total Bilan]],"")</f>
        <v/>
      </c>
      <c r="W2215" s="180"/>
      <c r="Y2215" s="180"/>
      <c r="Z2215" s="192" t="str">
        <f>IFERROR(Tableau3[[#This Row],[Chiffre d''affaires]]/Tableau3[[#This Row],[Salariés]],"")</f>
        <v/>
      </c>
      <c r="AA2215" s="177"/>
      <c r="AC2215" s="177" t="s">
        <v>1566</v>
      </c>
    </row>
    <row r="2216" spans="1:29" ht="20.25" customHeight="1">
      <c r="A2216" s="217"/>
      <c r="E2216" s="234"/>
      <c r="G2216" s="188"/>
      <c r="H2216" s="188"/>
      <c r="I2216" s="188"/>
      <c r="J2216" s="188"/>
      <c r="K2216" s="188"/>
      <c r="L2216" s="188"/>
      <c r="M2216" s="188"/>
      <c r="N2216" s="188"/>
      <c r="O2216" s="188"/>
      <c r="P2216" s="188"/>
      <c r="Q2216" s="188"/>
      <c r="R2216" s="188"/>
      <c r="S2216" s="188"/>
      <c r="T2216" s="180"/>
      <c r="U2216" s="189" t="str">
        <f>IFERROR(IF(Tableau3[[#This Row],[Dettes]]=0,"",(Tableau3[[#This Row],[Dettes]]/Tableau3[[#This Row],[EBE]])),"")</f>
        <v/>
      </c>
      <c r="V2216" s="190" t="str">
        <f>IFERROR(Tableau3[[#This Row],[Fonds propres]]/Tableau3[[#This Row],[Total Bilan]],"")</f>
        <v/>
      </c>
      <c r="W2216" s="180"/>
      <c r="Y2216" s="180"/>
      <c r="Z2216" s="192" t="str">
        <f>IFERROR(Tableau3[[#This Row],[Chiffre d''affaires]]/Tableau3[[#This Row],[Salariés]],"")</f>
        <v/>
      </c>
      <c r="AA2216" s="177"/>
      <c r="AC2216" s="177" t="s">
        <v>1291</v>
      </c>
    </row>
    <row r="2217" spans="1:29" ht="20.25" customHeight="1">
      <c r="A2217" s="217"/>
      <c r="E2217" s="234"/>
      <c r="G2217" s="188"/>
      <c r="H2217" s="188"/>
      <c r="I2217" s="188"/>
      <c r="J2217" s="188"/>
      <c r="K2217" s="188"/>
      <c r="L2217" s="188"/>
      <c r="M2217" s="188"/>
      <c r="N2217" s="188"/>
      <c r="O2217" s="188"/>
      <c r="P2217" s="188"/>
      <c r="Q2217" s="188"/>
      <c r="R2217" s="188"/>
      <c r="S2217" s="188"/>
      <c r="T2217" s="180"/>
      <c r="U2217" s="189" t="str">
        <f>IFERROR(IF(Tableau3[[#This Row],[Dettes]]=0,"",(Tableau3[[#This Row],[Dettes]]/Tableau3[[#This Row],[EBE]])),"")</f>
        <v/>
      </c>
      <c r="V2217" s="190" t="str">
        <f>IFERROR(Tableau3[[#This Row],[Fonds propres]]/Tableau3[[#This Row],[Total Bilan]],"")</f>
        <v/>
      </c>
      <c r="W2217" s="180"/>
      <c r="Y2217" s="180"/>
      <c r="Z2217" s="192" t="str">
        <f>IFERROR(Tableau3[[#This Row],[Chiffre d''affaires]]/Tableau3[[#This Row],[Salariés]],"")</f>
        <v/>
      </c>
      <c r="AA2217" s="177"/>
    </row>
    <row r="2218" spans="1:29" ht="20.25" customHeight="1">
      <c r="A2218" s="217"/>
      <c r="E2218" s="234"/>
      <c r="G2218" s="188"/>
      <c r="H2218" s="188"/>
      <c r="I2218" s="188"/>
      <c r="J2218" s="188"/>
      <c r="K2218" s="188"/>
      <c r="L2218" s="188"/>
      <c r="M2218" s="188"/>
      <c r="N2218" s="188"/>
      <c r="O2218" s="188"/>
      <c r="P2218" s="188"/>
      <c r="Q2218" s="188"/>
      <c r="R2218" s="188"/>
      <c r="S2218" s="188"/>
      <c r="T2218" s="180"/>
      <c r="U2218" s="189" t="str">
        <f>IFERROR(IF(Tableau3[[#This Row],[Dettes]]=0,"",(Tableau3[[#This Row],[Dettes]]/Tableau3[[#This Row],[EBE]])),"")</f>
        <v/>
      </c>
      <c r="V2218" s="190" t="str">
        <f>IFERROR(Tableau3[[#This Row],[Fonds propres]]/Tableau3[[#This Row],[Total Bilan]],"")</f>
        <v/>
      </c>
      <c r="W2218" s="180"/>
      <c r="Y2218" s="180"/>
      <c r="Z2218" s="192" t="str">
        <f>IFERROR(Tableau3[[#This Row],[Chiffre d''affaires]]/Tableau3[[#This Row],[Salariés]],"")</f>
        <v/>
      </c>
      <c r="AA2218" s="177"/>
    </row>
    <row r="2219" spans="1:29" ht="20.25" customHeight="1">
      <c r="A2219" s="217" t="s">
        <v>1585</v>
      </c>
      <c r="B2219" s="216" t="s">
        <v>1586</v>
      </c>
      <c r="C2219" s="178" t="s">
        <v>382</v>
      </c>
      <c r="D2219" s="178" t="s">
        <v>383</v>
      </c>
      <c r="E2219" s="187">
        <v>177.5</v>
      </c>
      <c r="F2219" s="178">
        <v>2020</v>
      </c>
      <c r="G2219" s="188">
        <v>3200000000</v>
      </c>
      <c r="H2219" s="188"/>
      <c r="I2219" s="188">
        <v>500000000</v>
      </c>
      <c r="J2219" s="188">
        <v>358000000</v>
      </c>
      <c r="K2219" s="188"/>
      <c r="L2219" s="188"/>
      <c r="M2219" s="188"/>
      <c r="N2219" s="188"/>
      <c r="O2219" s="188"/>
      <c r="P2219" s="188">
        <v>91823390</v>
      </c>
      <c r="Q2219" s="188">
        <f>P2219*E2219</f>
        <v>16298651725</v>
      </c>
      <c r="R2219" s="188"/>
      <c r="S2219" s="188"/>
      <c r="T2219" s="180"/>
      <c r="U2219" s="189" t="str">
        <f>IFERROR(IF(Tableau3[[#This Row],[Dettes]]=0,"",(Tableau3[[#This Row],[Dettes]]/Tableau3[[#This Row],[EBE]])),"")</f>
        <v/>
      </c>
      <c r="V2219" s="190" t="str">
        <f>IFERROR(Tableau3[[#This Row],[Fonds propres]]/Tableau3[[#This Row],[Total Bilan]],"")</f>
        <v/>
      </c>
      <c r="W2219" s="180"/>
      <c r="X2219" s="192"/>
      <c r="Y2219" s="180"/>
      <c r="Z2219" s="192" t="str">
        <f>IFERROR(Tableau3[[#This Row],[Chiffre d''affaires]]/Tableau3[[#This Row],[Salariés]],"")</f>
        <v/>
      </c>
      <c r="AA2219" s="188"/>
      <c r="AB2219" s="188"/>
      <c r="AC2219" s="177" t="s">
        <v>1587</v>
      </c>
    </row>
    <row r="2220" spans="1:29" ht="20.25" customHeight="1">
      <c r="A2220" s="217"/>
      <c r="E2220" s="187"/>
      <c r="G2220" s="188"/>
      <c r="H2220" s="188"/>
      <c r="I2220" s="188"/>
      <c r="J2220" s="188"/>
      <c r="K2220" s="188"/>
      <c r="L2220" s="188"/>
      <c r="M2220" s="188"/>
      <c r="N2220" s="188"/>
      <c r="O2220" s="188"/>
      <c r="P2220" s="188"/>
      <c r="Q2220" s="188"/>
      <c r="R2220" s="188"/>
      <c r="S2220" s="188"/>
      <c r="T2220" s="180"/>
      <c r="U2220" s="189" t="str">
        <f>IFERROR(IF(Tableau3[[#This Row],[Dettes]]=0,"",(Tableau3[[#This Row],[Dettes]]/Tableau3[[#This Row],[EBE]])),"")</f>
        <v/>
      </c>
      <c r="V2220" s="190" t="str">
        <f>IFERROR(Tableau3[[#This Row],[Fonds propres]]/Tableau3[[#This Row],[Total Bilan]],"")</f>
        <v/>
      </c>
      <c r="W2220" s="180"/>
      <c r="X2220" s="192"/>
      <c r="Y2220" s="180"/>
      <c r="Z2220" s="192" t="str">
        <f>IFERROR(Tableau3[[#This Row],[Chiffre d''affaires]]/Tableau3[[#This Row],[Salariés]],"")</f>
        <v/>
      </c>
      <c r="AA2220" s="188"/>
      <c r="AB2220" s="188"/>
      <c r="AC2220" s="177" t="s">
        <v>1588</v>
      </c>
    </row>
    <row r="2221" spans="1:29" ht="20.25" customHeight="1">
      <c r="A2221" s="217"/>
      <c r="E2221" s="187">
        <v>144.93</v>
      </c>
      <c r="F2221" s="178">
        <v>2019</v>
      </c>
      <c r="G2221" s="188">
        <v>3225100000</v>
      </c>
      <c r="H2221" s="188">
        <v>1052500000</v>
      </c>
      <c r="I2221" s="188">
        <v>420800000</v>
      </c>
      <c r="J2221" s="188">
        <v>292200000</v>
      </c>
      <c r="K2221" s="188">
        <v>585000000</v>
      </c>
      <c r="L2221" s="188">
        <v>1768300000</v>
      </c>
      <c r="M2221" s="194">
        <f>L2221/P2221</f>
        <v>19.257620525663452</v>
      </c>
      <c r="N2221" s="190">
        <f>J2221/L2221</f>
        <v>0.16524345416501726</v>
      </c>
      <c r="O2221" s="190">
        <f>(I2221*0.64)/(K2221+(M2221*P2221))</f>
        <v>0.11444014787744869</v>
      </c>
      <c r="P2221" s="188">
        <v>91823390</v>
      </c>
      <c r="Q2221" s="188">
        <f>P2221*E2219</f>
        <v>16298651725</v>
      </c>
      <c r="R2221" s="195">
        <f>Q2221/L2221</f>
        <v>9.217130421874117</v>
      </c>
      <c r="S2221" s="197">
        <f>(Q2221+K2221)/H2221</f>
        <v>16.041474323040379</v>
      </c>
      <c r="T2221" s="180"/>
      <c r="U2221" s="189">
        <f>IFERROR(IF(Tableau3[[#This Row],[Dettes]]=0,"",(Tableau3[[#This Row],[Dettes]]/Tableau3[[#This Row],[EBE]])),"")</f>
        <v>0.5558194774346793</v>
      </c>
      <c r="V2221" s="190" t="str">
        <f>IFERROR(Tableau3[[#This Row],[Fonds propres]]/Tableau3[[#This Row],[Total Bilan]],"")</f>
        <v/>
      </c>
      <c r="W2221" s="180"/>
      <c r="X2221" s="192" t="s">
        <v>1313</v>
      </c>
      <c r="Y2221" s="180"/>
      <c r="Z2221" s="192" t="str">
        <f>IFERROR(Tableau3[[#This Row],[Chiffre d''affaires]]/Tableau3[[#This Row],[Salariés]],"")</f>
        <v/>
      </c>
      <c r="AA2221" s="188"/>
      <c r="AB2221" s="188"/>
      <c r="AC2221" s="177" t="s">
        <v>1589</v>
      </c>
    </row>
    <row r="2222" spans="1:29" ht="20.25" customHeight="1">
      <c r="A2222" s="217"/>
      <c r="E2222" s="187"/>
      <c r="G2222" s="202">
        <f>(G2221/G2223)-1</f>
        <v>0.10482683018738648</v>
      </c>
      <c r="H2222" s="203">
        <f>(H2221/H2223)-1</f>
        <v>0.67916400765794505</v>
      </c>
      <c r="I2222" s="203">
        <f>(I2221/I2223)-1</f>
        <v>-6.9232470692324743E-2</v>
      </c>
      <c r="J2222" s="203">
        <f>(J2221/J2223)-1</f>
        <v>0.94411177644710587</v>
      </c>
      <c r="K2222" s="188"/>
      <c r="L2222" s="188"/>
      <c r="M2222" s="188"/>
      <c r="N2222" s="188"/>
      <c r="O2222" s="188"/>
      <c r="P2222" s="188"/>
      <c r="Q2222" s="188"/>
      <c r="R2222" s="188"/>
      <c r="S2222" s="188"/>
      <c r="T2222" s="180"/>
      <c r="U2222" s="189" t="str">
        <f>IFERROR(IF(Tableau3[[#This Row],[Dettes]]=0,"",(Tableau3[[#This Row],[Dettes]]/Tableau3[[#This Row],[EBE]])),"")</f>
        <v/>
      </c>
      <c r="V2222" s="190" t="str">
        <f>IFERROR(Tableau3[[#This Row],[Fonds propres]]/Tableau3[[#This Row],[Total Bilan]],"")</f>
        <v/>
      </c>
      <c r="W2222" s="180"/>
      <c r="X2222" s="192"/>
      <c r="Y2222" s="180"/>
      <c r="Z2222" s="192" t="str">
        <f>IFERROR(Tableau3[[#This Row],[Chiffre d''affaires]]/Tableau3[[#This Row],[Salariés]],"")</f>
        <v/>
      </c>
      <c r="AA2222" s="188"/>
      <c r="AB2222" s="188"/>
      <c r="AC2222" s="177" t="s">
        <v>1590</v>
      </c>
    </row>
    <row r="2223" spans="1:29" ht="20.25" customHeight="1">
      <c r="A2223" s="217"/>
      <c r="E2223" s="187">
        <v>118.65</v>
      </c>
      <c r="F2223" s="178">
        <v>2018</v>
      </c>
      <c r="G2223" s="188">
        <v>2919100000</v>
      </c>
      <c r="H2223" s="188">
        <v>626800000</v>
      </c>
      <c r="I2223" s="188">
        <v>452100000</v>
      </c>
      <c r="J2223" s="188">
        <v>150300000</v>
      </c>
      <c r="K2223" s="188">
        <v>400000000</v>
      </c>
      <c r="L2223" s="188">
        <v>1584400000</v>
      </c>
      <c r="M2223" s="194">
        <f>L2223/P2223</f>
        <v>17.254862840502838</v>
      </c>
      <c r="N2223" s="190">
        <f>J2223/L2223</f>
        <v>9.4862408482706384E-2</v>
      </c>
      <c r="O2223" s="190">
        <f>(I2223*0.64)/(K2223+(M2223*P2223))</f>
        <v>0.14580931263858093</v>
      </c>
      <c r="P2223" s="188">
        <v>91823390</v>
      </c>
      <c r="Q2223" s="188">
        <f>P2223*E2221</f>
        <v>13307963912.700001</v>
      </c>
      <c r="R2223" s="195">
        <f>Q2223/L2223</f>
        <v>8.3993713157662206</v>
      </c>
      <c r="S2223" s="197">
        <f>(Q2223+K2223)/H2223</f>
        <v>21.869757359125717</v>
      </c>
      <c r="T2223" s="180"/>
      <c r="U2223" s="189">
        <f>IFERROR(IF(Tableau3[[#This Row],[Dettes]]=0,"",(Tableau3[[#This Row],[Dettes]]/Tableau3[[#This Row],[EBE]])),"")</f>
        <v>0.63816209317166561</v>
      </c>
      <c r="V2223" s="190" t="str">
        <f>IFERROR(Tableau3[[#This Row],[Fonds propres]]/Tableau3[[#This Row],[Total Bilan]],"")</f>
        <v/>
      </c>
      <c r="W2223" s="180"/>
      <c r="X2223" s="192"/>
      <c r="Y2223" s="180"/>
      <c r="Z2223" s="192" t="str">
        <f>IFERROR(Tableau3[[#This Row],[Chiffre d''affaires]]/Tableau3[[#This Row],[Salariés]],"")</f>
        <v/>
      </c>
      <c r="AA2223" s="188"/>
      <c r="AB2223" s="188"/>
    </row>
    <row r="2224" spans="1:29" ht="20.25" customHeight="1">
      <c r="A2224" s="217"/>
      <c r="E2224" s="187"/>
      <c r="G2224" s="202">
        <f>(G2223/G2225)-1</f>
        <v>0.11445806131409153</v>
      </c>
      <c r="H2224" s="203">
        <f>(H2223/H2225)-1</f>
        <v>0.31902356902356899</v>
      </c>
      <c r="I2224" s="203">
        <f>(I2223/I2225)-1</f>
        <v>0.31119489559164726</v>
      </c>
      <c r="J2224" s="203">
        <f>(J2223/J2225)-1</f>
        <v>-0.31432481751824815</v>
      </c>
      <c r="K2224" s="188"/>
      <c r="L2224" s="188"/>
      <c r="M2224" s="188"/>
      <c r="N2224" s="188"/>
      <c r="O2224" s="188"/>
      <c r="P2224" s="188"/>
      <c r="Q2224" s="188"/>
      <c r="R2224" s="188"/>
      <c r="S2224" s="188"/>
      <c r="T2224" s="180"/>
      <c r="U2224" s="189" t="str">
        <f>IFERROR(IF(Tableau3[[#This Row],[Dettes]]=0,"",(Tableau3[[#This Row],[Dettes]]/Tableau3[[#This Row],[EBE]])),"")</f>
        <v/>
      </c>
      <c r="V2224" s="190" t="str">
        <f>IFERROR(Tableau3[[#This Row],[Fonds propres]]/Tableau3[[#This Row],[Total Bilan]],"")</f>
        <v/>
      </c>
      <c r="W2224" s="180"/>
      <c r="X2224" s="192"/>
      <c r="Y2224" s="180"/>
      <c r="Z2224" s="192" t="str">
        <f>IFERROR(Tableau3[[#This Row],[Chiffre d''affaires]]/Tableau3[[#This Row],[Salariés]],"")</f>
        <v/>
      </c>
      <c r="AA2224" s="188"/>
      <c r="AB2224" s="188"/>
    </row>
    <row r="2225" spans="1:29" ht="20.25" customHeight="1">
      <c r="A2225" s="217"/>
      <c r="E2225" s="187">
        <v>110.87</v>
      </c>
      <c r="F2225" s="178">
        <v>2017</v>
      </c>
      <c r="G2225" s="188">
        <v>2619300000</v>
      </c>
      <c r="H2225" s="188">
        <v>475200000</v>
      </c>
      <c r="I2225" s="188">
        <v>344800000</v>
      </c>
      <c r="J2225" s="188">
        <v>219200000</v>
      </c>
      <c r="K2225" s="188">
        <v>350000000</v>
      </c>
      <c r="L2225" s="188">
        <v>1521900000</v>
      </c>
      <c r="M2225" s="194">
        <f>L2225/P2225</f>
        <v>16.574208379803881</v>
      </c>
      <c r="N2225" s="190">
        <f>J2225/L2225</f>
        <v>0.14403048820553255</v>
      </c>
      <c r="O2225" s="190">
        <f>(I2225*0.64)/(K2225+(M2225*P2225))</f>
        <v>0.11788663924354933</v>
      </c>
      <c r="P2225" s="188">
        <v>91823390</v>
      </c>
      <c r="Q2225" s="188">
        <f>P2225*E2225</f>
        <v>10180459249.300001</v>
      </c>
      <c r="R2225" s="195">
        <f>Q2225/L2225</f>
        <v>6.689308922596755</v>
      </c>
      <c r="S2225" s="197">
        <f>(Q2225+K2225)/H2225</f>
        <v>22.160057342803032</v>
      </c>
      <c r="T2225" s="180"/>
      <c r="U2225" s="189">
        <f>IFERROR(IF(Tableau3[[#This Row],[Dettes]]=0,"",(Tableau3[[#This Row],[Dettes]]/Tableau3[[#This Row],[EBE]])),"")</f>
        <v>0.73653198653198648</v>
      </c>
      <c r="V2225" s="190" t="str">
        <f>IFERROR(Tableau3[[#This Row],[Fonds propres]]/Tableau3[[#This Row],[Total Bilan]],"")</f>
        <v/>
      </c>
      <c r="W2225" s="180"/>
      <c r="X2225" s="192"/>
      <c r="Y2225" s="180"/>
      <c r="Z2225" s="192" t="str">
        <f>IFERROR(Tableau3[[#This Row],[Chiffre d''affaires]]/Tableau3[[#This Row],[Salariés]],"")</f>
        <v/>
      </c>
      <c r="AA2225" s="188"/>
      <c r="AB2225" s="188"/>
    </row>
    <row r="2226" spans="1:29" ht="20.25" customHeight="1">
      <c r="A2226" s="217"/>
      <c r="E2226" s="187"/>
      <c r="G2226" s="202">
        <f>(G2225/G2227)-1</f>
        <v>9.8700697844777974E-3</v>
      </c>
      <c r="H2226" s="203">
        <f>(H2225/H2227)-1</f>
        <v>-0.13568570389232448</v>
      </c>
      <c r="I2226" s="203">
        <f>(I2225/I2227)-1</f>
        <v>-0.21743077621425333</v>
      </c>
      <c r="J2226" s="203">
        <f>(J2225/J2227)-1</f>
        <v>-0.45158869151863901</v>
      </c>
      <c r="K2226" s="188"/>
      <c r="L2226" s="188"/>
      <c r="M2226" s="188"/>
      <c r="N2226" s="188"/>
      <c r="O2226" s="188"/>
      <c r="P2226" s="188"/>
      <c r="Q2226" s="188"/>
      <c r="R2226" s="188"/>
      <c r="S2226" s="188"/>
      <c r="T2226" s="180"/>
      <c r="U2226" s="189" t="str">
        <f>IFERROR(IF(Tableau3[[#This Row],[Dettes]]=0,"",(Tableau3[[#This Row],[Dettes]]/Tableau3[[#This Row],[EBE]])),"")</f>
        <v/>
      </c>
      <c r="V2226" s="190" t="str">
        <f>IFERROR(Tableau3[[#This Row],[Fonds propres]]/Tableau3[[#This Row],[Total Bilan]],"")</f>
        <v/>
      </c>
      <c r="W2226" s="180"/>
      <c r="X2226" s="192"/>
      <c r="Y2226" s="180"/>
      <c r="Z2226" s="192" t="str">
        <f>IFERROR(Tableau3[[#This Row],[Chiffre d''affaires]]/Tableau3[[#This Row],[Salariés]],"")</f>
        <v/>
      </c>
      <c r="AA2226" s="188"/>
      <c r="AB2226" s="188"/>
    </row>
    <row r="2227" spans="1:29" ht="20.25" customHeight="1">
      <c r="A2227" s="217"/>
      <c r="E2227" s="187">
        <v>78.23</v>
      </c>
      <c r="F2227" s="178">
        <v>2016</v>
      </c>
      <c r="G2227" s="188">
        <v>2593700000</v>
      </c>
      <c r="H2227" s="188">
        <v>549800000</v>
      </c>
      <c r="I2227" s="188">
        <v>440600000</v>
      </c>
      <c r="J2227" s="188">
        <v>399700000</v>
      </c>
      <c r="K2227" s="188"/>
      <c r="L2227" s="188">
        <v>1797900000</v>
      </c>
      <c r="M2227" s="194">
        <f>L2227/P2227</f>
        <v>19.579978478250478</v>
      </c>
      <c r="N2227" s="190">
        <f>J2227/L2227</f>
        <v>0.22231492296568217</v>
      </c>
      <c r="O2227" s="190">
        <f>(I2227*0.64)/(K2227+(M2227*P2227))</f>
        <v>0.15684075866288447</v>
      </c>
      <c r="P2227" s="188">
        <v>91823390</v>
      </c>
      <c r="Q2227" s="188">
        <f>P2227*E2227</f>
        <v>7183343799.7000008</v>
      </c>
      <c r="R2227" s="195">
        <f>Q2227/L2227</f>
        <v>3.9954078645642142</v>
      </c>
      <c r="S2227" s="197">
        <f>(Q2227+K2227)/H2227</f>
        <v>13.065376136231357</v>
      </c>
      <c r="T2227" s="180"/>
      <c r="U2227" s="189" t="str">
        <f>IFERROR(IF(Tableau3[[#This Row],[Dettes]]=0,"",(Tableau3[[#This Row],[Dettes]]/Tableau3[[#This Row],[EBE]])),"")</f>
        <v/>
      </c>
      <c r="V2227" s="190" t="str">
        <f>IFERROR(Tableau3[[#This Row],[Fonds propres]]/Tableau3[[#This Row],[Total Bilan]],"")</f>
        <v/>
      </c>
      <c r="W2227" s="180"/>
      <c r="X2227" s="192"/>
      <c r="Y2227" s="180"/>
      <c r="Z2227" s="192" t="str">
        <f>IFERROR(Tableau3[[#This Row],[Chiffre d''affaires]]/Tableau3[[#This Row],[Salariés]],"")</f>
        <v/>
      </c>
      <c r="AA2227" s="188"/>
      <c r="AB2227" s="188"/>
    </row>
    <row r="2228" spans="1:29" ht="20.25" customHeight="1">
      <c r="A2228" s="217"/>
      <c r="E2228" s="187"/>
      <c r="G2228" s="202">
        <f>(G2227/G2229)-1</f>
        <v>4.1353836270927813E-2</v>
      </c>
      <c r="H2228" s="203">
        <f>(H2227/H2229)-1</f>
        <v>-0.10192747468147667</v>
      </c>
      <c r="I2228" s="203">
        <f>(I2227/I2229)-1</f>
        <v>9.7931721903812718E-2</v>
      </c>
      <c r="J2228" s="203">
        <f>(J2227/J2229)-1</f>
        <v>-2.9854368932038855E-2</v>
      </c>
      <c r="K2228" s="188"/>
      <c r="L2228" s="188"/>
      <c r="M2228" s="188"/>
      <c r="N2228" s="188"/>
      <c r="O2228" s="188"/>
      <c r="P2228" s="188"/>
      <c r="Q2228" s="188"/>
      <c r="R2228" s="188"/>
      <c r="S2228" s="188"/>
      <c r="T2228" s="180"/>
      <c r="U2228" s="189" t="str">
        <f>IFERROR(IF(Tableau3[[#This Row],[Dettes]]=0,"",(Tableau3[[#This Row],[Dettes]]/Tableau3[[#This Row],[EBE]])),"")</f>
        <v/>
      </c>
      <c r="V2228" s="190" t="str">
        <f>IFERROR(Tableau3[[#This Row],[Fonds propres]]/Tableau3[[#This Row],[Total Bilan]],"")</f>
        <v/>
      </c>
      <c r="W2228" s="180"/>
      <c r="X2228" s="192"/>
      <c r="Y2228" s="180"/>
      <c r="Z2228" s="192" t="str">
        <f>IFERROR(Tableau3[[#This Row],[Chiffre d''affaires]]/Tableau3[[#This Row],[Salariés]],"")</f>
        <v/>
      </c>
      <c r="AA2228" s="188"/>
      <c r="AB2228" s="188"/>
    </row>
    <row r="2229" spans="1:29" ht="20.25" customHeight="1">
      <c r="A2229" s="217"/>
      <c r="E2229" s="187">
        <v>70</v>
      </c>
      <c r="F2229" s="178">
        <v>2015</v>
      </c>
      <c r="G2229" s="188">
        <v>2490700000</v>
      </c>
      <c r="H2229" s="188">
        <v>612200000</v>
      </c>
      <c r="I2229" s="188">
        <v>401300000</v>
      </c>
      <c r="J2229" s="188">
        <v>412000000</v>
      </c>
      <c r="K2229" s="188"/>
      <c r="L2229" s="188">
        <v>1726300000</v>
      </c>
      <c r="M2229" s="194">
        <f>L2229/P2229</f>
        <v>18.80022072807375</v>
      </c>
      <c r="N2229" s="190">
        <f>J2229/L2229</f>
        <v>0.23866071945779993</v>
      </c>
      <c r="O2229" s="190">
        <f>(I2229*0.64)/(K2229+(M2229*P2229))</f>
        <v>0.14877599490239241</v>
      </c>
      <c r="P2229" s="188">
        <v>91823390</v>
      </c>
      <c r="Q2229" s="188">
        <f>P2229*E2229</f>
        <v>6427637300</v>
      </c>
      <c r="R2229" s="195">
        <f>Q2229/L2229</f>
        <v>3.7233605398829868</v>
      </c>
      <c r="S2229" s="197">
        <f>(Q2229+K2229)/H2229</f>
        <v>10.499244201241424</v>
      </c>
      <c r="T2229" s="180"/>
      <c r="U2229" s="189" t="str">
        <f>IFERROR(IF(Tableau3[[#This Row],[Dettes]]=0,"",(Tableau3[[#This Row],[Dettes]]/Tableau3[[#This Row],[EBE]])),"")</f>
        <v/>
      </c>
      <c r="V2229" s="190" t="str">
        <f>IFERROR(Tableau3[[#This Row],[Fonds propres]]/Tableau3[[#This Row],[Total Bilan]],"")</f>
        <v/>
      </c>
      <c r="W2229" s="180"/>
      <c r="X2229" s="192"/>
      <c r="Y2229" s="180"/>
      <c r="Z2229" s="192" t="str">
        <f>IFERROR(Tableau3[[#This Row],[Chiffre d''affaires]]/Tableau3[[#This Row],[Salariés]],"")</f>
        <v/>
      </c>
      <c r="AA2229" s="188"/>
      <c r="AB2229" s="188"/>
    </row>
    <row r="2230" spans="1:29" ht="20.25" customHeight="1">
      <c r="A2230" s="217"/>
      <c r="E2230" s="187"/>
      <c r="G2230" s="188"/>
      <c r="H2230" s="188"/>
      <c r="I2230" s="188"/>
      <c r="J2230" s="188"/>
      <c r="K2230" s="188"/>
      <c r="L2230" s="188"/>
      <c r="M2230" s="188"/>
      <c r="N2230" s="188"/>
      <c r="O2230" s="188"/>
      <c r="P2230" s="188"/>
      <c r="Q2230" s="188"/>
      <c r="R2230" s="188"/>
      <c r="S2230" s="188"/>
      <c r="T2230" s="180"/>
      <c r="U2230" s="189" t="str">
        <f>IFERROR(IF(Tableau3[[#This Row],[Dettes]]=0,"",(Tableau3[[#This Row],[Dettes]]/Tableau3[[#This Row],[EBE]])),"")</f>
        <v/>
      </c>
      <c r="V2230" s="190" t="str">
        <f>IFERROR(Tableau3[[#This Row],[Fonds propres]]/Tableau3[[#This Row],[Total Bilan]],"")</f>
        <v/>
      </c>
      <c r="W2230" s="180"/>
      <c r="X2230" s="192"/>
      <c r="Y2230" s="180"/>
      <c r="Z2230" s="192" t="str">
        <f>IFERROR(Tableau3[[#This Row],[Chiffre d''affaires]]/Tableau3[[#This Row],[Salariés]],"")</f>
        <v/>
      </c>
      <c r="AA2230" s="188"/>
      <c r="AB2230" s="188"/>
    </row>
    <row r="2231" spans="1:29" ht="20.25" customHeight="1">
      <c r="A2231" s="217"/>
      <c r="E2231" s="187"/>
      <c r="F2231" s="293" t="s">
        <v>1584</v>
      </c>
      <c r="G2231" s="188"/>
      <c r="H2231" s="188"/>
      <c r="I2231" s="188"/>
      <c r="J2231" s="188"/>
      <c r="K2231" s="188"/>
      <c r="L2231" s="188"/>
      <c r="M2231" s="188"/>
      <c r="N2231" s="188"/>
      <c r="O2231" s="188"/>
      <c r="P2231" s="188"/>
      <c r="Q2231" s="188"/>
      <c r="R2231" s="188"/>
      <c r="S2231" s="188"/>
      <c r="T2231" s="180"/>
      <c r="U2231" s="189" t="str">
        <f>IFERROR(IF(Tableau3[[#This Row],[Dettes]]=0,"",(Tableau3[[#This Row],[Dettes]]/Tableau3[[#This Row],[EBE]])),"")</f>
        <v/>
      </c>
      <c r="V2231" s="190" t="str">
        <f>IFERROR(Tableau3[[#This Row],[Fonds propres]]/Tableau3[[#This Row],[Total Bilan]],"")</f>
        <v/>
      </c>
      <c r="W2231" s="180"/>
      <c r="X2231" s="192"/>
      <c r="Y2231" s="180"/>
      <c r="Z2231" s="192" t="str">
        <f>IFERROR(Tableau3[[#This Row],[Chiffre d''affaires]]/Tableau3[[#This Row],[Salariés]],"")</f>
        <v/>
      </c>
      <c r="AA2231" s="188"/>
      <c r="AB2231" s="188"/>
    </row>
    <row r="2232" spans="1:29" ht="20.25" customHeight="1">
      <c r="A2232" s="217"/>
      <c r="E2232" s="234"/>
      <c r="G2232" s="188"/>
      <c r="H2232" s="188"/>
      <c r="I2232" s="188"/>
      <c r="J2232" s="188"/>
      <c r="K2232" s="188"/>
      <c r="L2232" s="188"/>
      <c r="M2232" s="188"/>
      <c r="N2232" s="188"/>
      <c r="O2232" s="188"/>
      <c r="P2232" s="188"/>
      <c r="Q2232" s="188"/>
      <c r="R2232" s="188"/>
      <c r="S2232" s="188"/>
      <c r="T2232" s="180"/>
      <c r="U2232" s="189" t="str">
        <f>IFERROR(IF(Tableau3[[#This Row],[Dettes]]=0,"",(Tableau3[[#This Row],[Dettes]]/Tableau3[[#This Row],[EBE]])),"")</f>
        <v/>
      </c>
      <c r="V2232" s="190" t="str">
        <f>IFERROR(Tableau3[[#This Row],[Fonds propres]]/Tableau3[[#This Row],[Total Bilan]],"")</f>
        <v/>
      </c>
      <c r="W2232" s="180"/>
      <c r="Y2232" s="180"/>
      <c r="Z2232" s="192" t="str">
        <f>IFERROR(Tableau3[[#This Row],[Chiffre d''affaires]]/Tableau3[[#This Row],[Salariés]],"")</f>
        <v/>
      </c>
      <c r="AA2232" s="177"/>
    </row>
    <row r="2233" spans="1:29" ht="20.25" customHeight="1">
      <c r="A2233" s="217"/>
      <c r="E2233" s="234"/>
      <c r="G2233" s="188"/>
      <c r="H2233" s="188"/>
      <c r="I2233" s="188"/>
      <c r="J2233" s="188"/>
      <c r="K2233" s="188"/>
      <c r="L2233" s="188"/>
      <c r="M2233" s="188"/>
      <c r="N2233" s="188"/>
      <c r="O2233" s="188"/>
      <c r="P2233" s="188"/>
      <c r="Q2233" s="188"/>
      <c r="R2233" s="188"/>
      <c r="S2233" s="188"/>
      <c r="T2233" s="180"/>
      <c r="U2233" s="189" t="str">
        <f>IFERROR(IF(Tableau3[[#This Row],[Dettes]]=0,"",(Tableau3[[#This Row],[Dettes]]/Tableau3[[#This Row],[EBE]])),"")</f>
        <v/>
      </c>
      <c r="V2233" s="190" t="str">
        <f>IFERROR(Tableau3[[#This Row],[Fonds propres]]/Tableau3[[#This Row],[Total Bilan]],"")</f>
        <v/>
      </c>
      <c r="W2233" s="180"/>
      <c r="Y2233" s="180"/>
      <c r="Z2233" s="192" t="str">
        <f>IFERROR(Tableau3[[#This Row],[Chiffre d''affaires]]/Tableau3[[#This Row],[Salariés]],"")</f>
        <v/>
      </c>
      <c r="AA2233" s="177"/>
    </row>
    <row r="2234" spans="1:29" ht="20.25" customHeight="1">
      <c r="A2234" s="217"/>
      <c r="E2234" s="234"/>
      <c r="G2234" s="188"/>
      <c r="H2234" s="188"/>
      <c r="I2234" s="188"/>
      <c r="J2234" s="188"/>
      <c r="K2234" s="188"/>
      <c r="L2234" s="188"/>
      <c r="M2234" s="188"/>
      <c r="N2234" s="188"/>
      <c r="O2234" s="188"/>
      <c r="P2234" s="188"/>
      <c r="Q2234" s="188"/>
      <c r="R2234" s="188"/>
      <c r="S2234" s="188"/>
      <c r="T2234" s="180"/>
      <c r="U2234" s="189" t="str">
        <f>IFERROR(IF(Tableau3[[#This Row],[Dettes]]=0,"",(Tableau3[[#This Row],[Dettes]]/Tableau3[[#This Row],[EBE]])),"")</f>
        <v/>
      </c>
      <c r="V2234" s="190" t="str">
        <f>IFERROR(Tableau3[[#This Row],[Fonds propres]]/Tableau3[[#This Row],[Total Bilan]],"")</f>
        <v/>
      </c>
      <c r="W2234" s="180"/>
      <c r="Y2234" s="180"/>
      <c r="Z2234" s="192" t="str">
        <f>IFERROR(Tableau3[[#This Row],[Chiffre d''affaires]]/Tableau3[[#This Row],[Salariés]],"")</f>
        <v/>
      </c>
      <c r="AA2234" s="177"/>
    </row>
    <row r="2235" spans="1:29" ht="20.25" customHeight="1">
      <c r="A2235" s="217" t="s">
        <v>1567</v>
      </c>
      <c r="B2235" s="216" t="s">
        <v>1537</v>
      </c>
      <c r="C2235" s="178" t="s">
        <v>382</v>
      </c>
      <c r="D2235" s="178" t="s">
        <v>383</v>
      </c>
      <c r="E2235" s="234"/>
      <c r="F2235" s="178">
        <v>2025</v>
      </c>
      <c r="G2235" s="188"/>
      <c r="H2235" s="188"/>
      <c r="I2235" s="188"/>
      <c r="J2235" s="188"/>
      <c r="K2235" s="188"/>
      <c r="L2235" s="188"/>
      <c r="M2235" s="188"/>
      <c r="N2235" s="188"/>
      <c r="O2235" s="188"/>
      <c r="P2235" s="188"/>
      <c r="Q2235" s="188"/>
      <c r="R2235" s="188"/>
      <c r="S2235" s="188"/>
      <c r="T2235" s="180"/>
      <c r="U2235" s="189" t="str">
        <f>IFERROR(IF(Tableau3[[#This Row],[Dettes]]=0,"",(Tableau3[[#This Row],[Dettes]]/Tableau3[[#This Row],[EBE]])),"")</f>
        <v/>
      </c>
      <c r="V2235" s="190" t="str">
        <f>IFERROR(Tableau3[[#This Row],[Fonds propres]]/Tableau3[[#This Row],[Total Bilan]],"")</f>
        <v/>
      </c>
      <c r="W2235" s="180"/>
      <c r="Y2235" s="180"/>
      <c r="Z2235" s="192" t="str">
        <f>IFERROR(Tableau3[[#This Row],[Chiffre d''affaires]]/Tableau3[[#This Row],[Salariés]],"")</f>
        <v/>
      </c>
      <c r="AA2235" s="177"/>
      <c r="AC2235" s="177" t="s">
        <v>1568</v>
      </c>
    </row>
    <row r="2236" spans="1:29" ht="20.25" customHeight="1">
      <c r="A2236" s="217"/>
      <c r="E2236" s="234"/>
      <c r="G2236" s="188"/>
      <c r="H2236" s="188"/>
      <c r="I2236" s="188"/>
      <c r="J2236" s="188"/>
      <c r="K2236" s="188"/>
      <c r="L2236" s="188"/>
      <c r="M2236" s="188"/>
      <c r="N2236" s="188"/>
      <c r="O2236" s="188"/>
      <c r="P2236" s="188"/>
      <c r="Q2236" s="188"/>
      <c r="R2236" s="188"/>
      <c r="S2236" s="188"/>
      <c r="T2236" s="180"/>
      <c r="U2236" s="189" t="str">
        <f>IFERROR(IF(Tableau3[[#This Row],[Dettes]]=0,"",(Tableau3[[#This Row],[Dettes]]/Tableau3[[#This Row],[EBE]])),"")</f>
        <v/>
      </c>
      <c r="V2236" s="190" t="str">
        <f>IFERROR(Tableau3[[#This Row],[Fonds propres]]/Tableau3[[#This Row],[Total Bilan]],"")</f>
        <v/>
      </c>
      <c r="W2236" s="180"/>
      <c r="Y2236" s="180"/>
      <c r="Z2236" s="192" t="str">
        <f>IFERROR(Tableau3[[#This Row],[Chiffre d''affaires]]/Tableau3[[#This Row],[Salariés]],"")</f>
        <v/>
      </c>
      <c r="AA2236" s="177"/>
      <c r="AC2236" s="177" t="s">
        <v>1570</v>
      </c>
    </row>
    <row r="2237" spans="1:29" ht="20.25" customHeight="1">
      <c r="A2237" s="217"/>
      <c r="E2237" s="187">
        <v>78.180000000000007</v>
      </c>
      <c r="F2237" s="178">
        <v>2024</v>
      </c>
      <c r="G2237" s="188">
        <f>G2239*1.04</f>
        <v>20334080000</v>
      </c>
      <c r="H2237" s="188"/>
      <c r="I2237" s="188">
        <f>Tableau3[[#This Row],[Chiffre d''affaires]]*0.156</f>
        <v>3172116480</v>
      </c>
      <c r="J2237" s="188">
        <f>4.2*Tableau3[[#This Row],[Titres]]</f>
        <v>1909801404</v>
      </c>
      <c r="K2237" s="188"/>
      <c r="L2237" s="188"/>
      <c r="M2237" s="188"/>
      <c r="N2237" s="188"/>
      <c r="O2237" s="188"/>
      <c r="P2237" s="188">
        <v>454714620</v>
      </c>
      <c r="Q2237" s="188">
        <f>Tableau3[[#This Row],[Titres]]*Tableau3[[#This Row],[Cours]]</f>
        <v>35549588991.600006</v>
      </c>
      <c r="R2237" s="195"/>
      <c r="S2237" s="197"/>
      <c r="T2237" s="180">
        <v>1800000000</v>
      </c>
      <c r="U2237" s="189" t="str">
        <f>IFERROR(IF(Tableau3[[#This Row],[Dettes]]=0,"",(Tableau3[[#This Row],[Dettes]]/Tableau3[[#This Row],[EBE]])),"")</f>
        <v/>
      </c>
      <c r="V2237" s="190" t="str">
        <f>IFERROR(Tableau3[[#This Row],[Fonds propres]]/Tableau3[[#This Row],[Total Bilan]],"")</f>
        <v/>
      </c>
      <c r="W2237" s="180"/>
      <c r="Y2237" s="180"/>
      <c r="Z2237" s="192" t="str">
        <f>IFERROR(Tableau3[[#This Row],[Chiffre d''affaires]]/Tableau3[[#This Row],[Salariés]],"")</f>
        <v/>
      </c>
      <c r="AA2237" s="177"/>
      <c r="AC2237" s="177" t="s">
        <v>1571</v>
      </c>
    </row>
    <row r="2238" spans="1:29" ht="20.25" customHeight="1">
      <c r="A2238" s="217"/>
      <c r="E2238" s="234"/>
      <c r="G2238" s="202">
        <f>(G2237/G2239)-1</f>
        <v>4.0000000000000036E-2</v>
      </c>
      <c r="H2238" s="203"/>
      <c r="I2238" s="203">
        <f>(I2237/I2239)-1</f>
        <v>0.30271724024640667</v>
      </c>
      <c r="J2238" s="203">
        <f>(J2237/J2239)-1</f>
        <v>0.37891798122743681</v>
      </c>
      <c r="K2238" s="188"/>
      <c r="L2238" s="188"/>
      <c r="M2238" s="188"/>
      <c r="N2238" s="188"/>
      <c r="O2238" s="188"/>
      <c r="P2238" s="188"/>
      <c r="Q2238" s="188"/>
      <c r="R2238" s="188"/>
      <c r="S2238" s="188"/>
      <c r="T2238" s="180"/>
      <c r="U2238" s="189" t="str">
        <f>IFERROR(IF(Tableau3[[#This Row],[Dettes]]=0,"",(Tableau3[[#This Row],[Dettes]]/Tableau3[[#This Row],[EBE]])),"")</f>
        <v/>
      </c>
      <c r="V2238" s="190" t="str">
        <f>IFERROR(Tableau3[[#This Row],[Fonds propres]]/Tableau3[[#This Row],[Total Bilan]],"")</f>
        <v/>
      </c>
      <c r="W2238" s="180"/>
      <c r="Y2238" s="180"/>
      <c r="Z2238" s="192" t="str">
        <f>IFERROR(Tableau3[[#This Row],[Chiffre d''affaires]]/Tableau3[[#This Row],[Salariés]],"")</f>
        <v/>
      </c>
      <c r="AA2238" s="177"/>
      <c r="AC2238" s="177" t="s">
        <v>1572</v>
      </c>
    </row>
    <row r="2239" spans="1:29" ht="20.25" customHeight="1">
      <c r="A2239" s="217"/>
      <c r="E2239" s="187">
        <v>77.319999999999993</v>
      </c>
      <c r="F2239" s="178">
        <v>2023</v>
      </c>
      <c r="G2239" s="188">
        <v>19552000000</v>
      </c>
      <c r="H2239" s="188">
        <v>3400000000</v>
      </c>
      <c r="I2239" s="188">
        <v>2435000000</v>
      </c>
      <c r="J2239" s="188">
        <v>1385000000</v>
      </c>
      <c r="K2239" s="188">
        <v>15000000000</v>
      </c>
      <c r="L2239" s="188">
        <v>7133000000</v>
      </c>
      <c r="M2239" s="194">
        <f>L2239/P2239</f>
        <v>15.686761951924924</v>
      </c>
      <c r="N2239" s="190">
        <f>J2239/L2239</f>
        <v>0.19416795177344737</v>
      </c>
      <c r="O2239" s="190">
        <f>(I2239*0.78)/(K2216+L2239)</f>
        <v>0.26626945184354411</v>
      </c>
      <c r="P2239" s="188">
        <v>454714620</v>
      </c>
      <c r="Q2239" s="188">
        <f>Tableau3[[#This Row],[Titres]]*Tableau3[[#This Row],[Cours]]</f>
        <v>35158534418.399994</v>
      </c>
      <c r="R2239" s="195">
        <f>Q2239/L2239</f>
        <v>4.9289968342072052</v>
      </c>
      <c r="S2239" s="197">
        <f>(Q2239+K2239)/H2239</f>
        <v>14.752510123058821</v>
      </c>
      <c r="T2239" s="180">
        <v>1700000000</v>
      </c>
      <c r="U2239" s="189">
        <f>IFERROR(IF(Tableau3[[#This Row],[Dettes]]=0,"",(Tableau3[[#This Row],[Dettes]]/Tableau3[[#This Row],[EBE]])),"")</f>
        <v>4.4117647058823533</v>
      </c>
      <c r="V2239" s="190">
        <f>IFERROR(Tableau3[[#This Row],[Fonds propres]]/Tableau3[[#This Row],[Total Bilan]],"")</f>
        <v>0.21978800764158501</v>
      </c>
      <c r="W2239" s="180">
        <v>32454000000</v>
      </c>
      <c r="Y2239" s="180">
        <v>51000</v>
      </c>
      <c r="Z2239" s="192">
        <f>IFERROR(Tableau3[[#This Row],[Chiffre d''affaires]]/Tableau3[[#This Row],[Salariés]],"")</f>
        <v>383372.54901960783</v>
      </c>
      <c r="AA2239" s="177"/>
      <c r="AC2239" s="177" t="s">
        <v>1573</v>
      </c>
    </row>
    <row r="2240" spans="1:29" ht="20.25" customHeight="1">
      <c r="A2240" s="217"/>
      <c r="E2240" s="187"/>
      <c r="G2240" s="202">
        <f>(G2239/G2241)-1</f>
        <v>6.602693419115635E-2</v>
      </c>
      <c r="H2240" s="203">
        <f>(H2239/H2241)-1</f>
        <v>0.1333333333333333</v>
      </c>
      <c r="I2240" s="203">
        <f>(I2239/I2241)-1</f>
        <v>-3.4496431403647887E-2</v>
      </c>
      <c r="J2240" s="203">
        <f>(J2239/J2241)-1</f>
        <v>-0.27713987473903967</v>
      </c>
      <c r="K2240" s="188"/>
      <c r="L2240" s="188"/>
      <c r="M2240" s="188"/>
      <c r="N2240" s="188"/>
      <c r="O2240" s="188"/>
      <c r="P2240" s="188"/>
      <c r="Q2240" s="188"/>
      <c r="R2240" s="188"/>
      <c r="S2240" s="188"/>
      <c r="T2240" s="180"/>
      <c r="U2240" s="189" t="str">
        <f>IFERROR(IF(Tableau3[[#This Row],[Dettes]]=0,"",(Tableau3[[#This Row],[Dettes]]/Tableau3[[#This Row],[EBE]])),"")</f>
        <v/>
      </c>
      <c r="V2240" s="190" t="str">
        <f>IFERROR(Tableau3[[#This Row],[Fonds propres]]/Tableau3[[#This Row],[Total Bilan]],"")</f>
        <v/>
      </c>
      <c r="W2240" s="180"/>
      <c r="Y2240" s="180"/>
      <c r="Z2240" s="192" t="str">
        <f>IFERROR(Tableau3[[#This Row],[Chiffre d''affaires]]/Tableau3[[#This Row],[Salariés]],"")</f>
        <v/>
      </c>
      <c r="AA2240" s="177"/>
      <c r="AC2240" s="177" t="s">
        <v>1574</v>
      </c>
    </row>
    <row r="2241" spans="1:29" ht="20.25" customHeight="1">
      <c r="A2241" s="217"/>
      <c r="E2241" s="187">
        <v>60</v>
      </c>
      <c r="F2241" s="178">
        <v>2022</v>
      </c>
      <c r="G2241" s="188">
        <f>18341000000</f>
        <v>18341000000</v>
      </c>
      <c r="H2241" s="188">
        <v>3000000000</v>
      </c>
      <c r="I2241" s="188">
        <v>2522000000</v>
      </c>
      <c r="J2241" s="188">
        <v>1916000000</v>
      </c>
      <c r="K2241" s="188">
        <v>15000000000</v>
      </c>
      <c r="L2241" s="188">
        <v>9357000000</v>
      </c>
      <c r="M2241" s="194">
        <f>L2241/P2241</f>
        <v>20.577741705335974</v>
      </c>
      <c r="N2241" s="190">
        <f>J2241/L2241</f>
        <v>0.20476648498450359</v>
      </c>
      <c r="O2241" s="190">
        <f>(I2241*0.78)/(K2239+L2241)</f>
        <v>8.0763640842468287E-2</v>
      </c>
      <c r="P2241" s="188">
        <v>454714620</v>
      </c>
      <c r="Q2241" s="188">
        <f>Tableau3[[#This Row],[Titres]]*Tableau3[[#This Row],[Cours]]</f>
        <v>27282877200</v>
      </c>
      <c r="R2241" s="195">
        <f>Q2241/L2241</f>
        <v>2.9157718499519079</v>
      </c>
      <c r="S2241" s="197">
        <f>(Q2241+K2241)/H2241</f>
        <v>14.0942924</v>
      </c>
      <c r="T2241" s="180">
        <v>1828000000</v>
      </c>
      <c r="U2241" s="189">
        <f>IFERROR(IF(Tableau3[[#This Row],[Dettes]]=0,"",(Tableau3[[#This Row],[Dettes]]/Tableau3[[#This Row],[EBE]])),"")</f>
        <v>5</v>
      </c>
      <c r="V2241" s="190">
        <f>IFERROR(Tableau3[[#This Row],[Fonds propres]]/Tableau3[[#This Row],[Total Bilan]],"")</f>
        <v>0.33977268600893279</v>
      </c>
      <c r="W2241" s="180">
        <v>27539000000</v>
      </c>
      <c r="Y2241" s="180">
        <v>51000</v>
      </c>
      <c r="Z2241" s="192">
        <f>IFERROR(Tableau3[[#This Row],[Chiffre d''affaires]]/Tableau3[[#This Row],[Salariés]],"")</f>
        <v>359627.45098039217</v>
      </c>
      <c r="AA2241" s="177"/>
      <c r="AC2241" s="177" t="s">
        <v>1575</v>
      </c>
    </row>
    <row r="2242" spans="1:29" ht="20.25" customHeight="1">
      <c r="A2242" s="217"/>
      <c r="E2242" s="234"/>
      <c r="G2242" s="202">
        <f>(G2241/G2243)-1</f>
        <v>4.2991185669604803E-2</v>
      </c>
      <c r="H2242" s="203">
        <f>(H2241/H2243)-1</f>
        <v>-5.4224464060529609E-2</v>
      </c>
      <c r="I2242" s="203">
        <f>(I2241/I2243)-1</f>
        <v>-9.7674418604651203E-2</v>
      </c>
      <c r="J2242" s="203">
        <f>(J2241/J2243)-1</f>
        <v>-0.14730752113929679</v>
      </c>
      <c r="K2242" s="188"/>
      <c r="L2242" s="188"/>
      <c r="M2242" s="188"/>
      <c r="N2242" s="188"/>
      <c r="O2242" s="188"/>
      <c r="P2242" s="188"/>
      <c r="Q2242" s="188"/>
      <c r="R2242" s="188"/>
      <c r="S2242" s="188"/>
      <c r="T2242" s="180"/>
      <c r="U2242" s="189" t="str">
        <f>IFERROR(IF(Tableau3[[#This Row],[Dettes]]=0,"",(Tableau3[[#This Row],[Dettes]]/Tableau3[[#This Row],[EBE]])),"")</f>
        <v/>
      </c>
      <c r="V2242" s="190" t="str">
        <f>IFERROR(Tableau3[[#This Row],[Fonds propres]]/Tableau3[[#This Row],[Total Bilan]],"")</f>
        <v/>
      </c>
      <c r="W2242" s="180"/>
      <c r="Y2242" s="180"/>
      <c r="Z2242" s="192" t="str">
        <f>IFERROR(Tableau3[[#This Row],[Chiffre d''affaires]]/Tableau3[[#This Row],[Salariés]],"")</f>
        <v/>
      </c>
      <c r="AA2242" s="177"/>
      <c r="AC2242" s="177" t="s">
        <v>1576</v>
      </c>
    </row>
    <row r="2243" spans="1:29" ht="20.25" customHeight="1">
      <c r="A2243" s="217"/>
      <c r="E2243" s="234"/>
      <c r="F2243" s="178">
        <v>2021</v>
      </c>
      <c r="G2243" s="188">
        <v>17585000000</v>
      </c>
      <c r="H2243" s="188">
        <v>3172000000</v>
      </c>
      <c r="I2243" s="188">
        <v>2795000000</v>
      </c>
      <c r="J2243" s="188">
        <v>2247000000</v>
      </c>
      <c r="K2243" s="188">
        <v>8856000000</v>
      </c>
      <c r="L2243" s="188">
        <v>16655000000</v>
      </c>
      <c r="M2243" s="194">
        <f>L2243/P2243</f>
        <v>36.62736861198789</v>
      </c>
      <c r="N2243" s="190">
        <f>J2243/L2243</f>
        <v>0.13491444010807566</v>
      </c>
      <c r="O2243" s="190">
        <f>(I2243*0.78)/(K2241+L2243)</f>
        <v>6.8870636550308006E-2</v>
      </c>
      <c r="P2243" s="188">
        <v>454714620</v>
      </c>
      <c r="Q2243" s="188"/>
      <c r="R2243" s="195"/>
      <c r="S2243" s="197"/>
      <c r="T2243" s="180">
        <v>2827000000</v>
      </c>
      <c r="U2243" s="189">
        <f>IFERROR(IF(Tableau3[[#This Row],[Dettes]]=0,"",(Tableau3[[#This Row],[Dettes]]/Tableau3[[#This Row],[EBE]])),"")</f>
        <v>2.7919293820933166</v>
      </c>
      <c r="V2243" s="190" t="str">
        <f>IFERROR(Tableau3[[#This Row],[Fonds propres]]/Tableau3[[#This Row],[Total Bilan]],"")</f>
        <v/>
      </c>
      <c r="W2243" s="180"/>
      <c r="Y2243" s="180">
        <v>51000</v>
      </c>
      <c r="Z2243" s="192">
        <f>IFERROR(Tableau3[[#This Row],[Chiffre d''affaires]]/Tableau3[[#This Row],[Salariés]],"")</f>
        <v>344803.92156862747</v>
      </c>
      <c r="AA2243" s="177"/>
      <c r="AC2243" s="177" t="s">
        <v>1577</v>
      </c>
    </row>
    <row r="2244" spans="1:29" ht="20.25" customHeight="1">
      <c r="A2244" s="217"/>
      <c r="E2244" s="234"/>
      <c r="G2244" s="202">
        <f>(G2243/G2245)-1</f>
        <v>2.4528082032160281E-2</v>
      </c>
      <c r="H2244" s="203">
        <f>(H2243/H2245)-1</f>
        <v>6.4072458906407226E-2</v>
      </c>
      <c r="I2244" s="203">
        <f>(I2243/I2245)-1</f>
        <v>2.7573529411764719E-2</v>
      </c>
      <c r="J2244" s="203">
        <f>(J2243/J2245)-1</f>
        <v>-0.83771486349848334</v>
      </c>
      <c r="K2244" s="188"/>
      <c r="L2244" s="188"/>
      <c r="M2244" s="188"/>
      <c r="N2244" s="188"/>
      <c r="O2244" s="188"/>
      <c r="P2244" s="188"/>
      <c r="Q2244" s="188"/>
      <c r="R2244" s="188"/>
      <c r="S2244" s="188"/>
      <c r="T2244" s="180"/>
      <c r="U2244" s="189" t="str">
        <f>IFERROR(IF(Tableau3[[#This Row],[Dettes]]=0,"",(Tableau3[[#This Row],[Dettes]]/Tableau3[[#This Row],[EBE]])),"")</f>
        <v/>
      </c>
      <c r="V2244" s="190" t="str">
        <f>IFERROR(Tableau3[[#This Row],[Fonds propres]]/Tableau3[[#This Row],[Total Bilan]],"")</f>
        <v/>
      </c>
      <c r="W2244" s="180"/>
      <c r="Y2244" s="180"/>
      <c r="Z2244" s="192" t="str">
        <f>IFERROR(Tableau3[[#This Row],[Chiffre d''affaires]]/Tableau3[[#This Row],[Salariés]],"")</f>
        <v/>
      </c>
      <c r="AA2244" s="177"/>
      <c r="AC2244" s="177" t="s">
        <v>1578</v>
      </c>
    </row>
    <row r="2245" spans="1:29" ht="20.25" customHeight="1">
      <c r="A2245" s="217"/>
      <c r="E2245" s="234"/>
      <c r="F2245" s="178">
        <v>2020</v>
      </c>
      <c r="G2245" s="188">
        <v>17164000000</v>
      </c>
      <c r="H2245" s="188">
        <v>2981000000</v>
      </c>
      <c r="I2245" s="188">
        <v>2720000000</v>
      </c>
      <c r="J2245" s="188">
        <v>13846000000</v>
      </c>
      <c r="K2245" s="188">
        <v>8247000000</v>
      </c>
      <c r="L2245" s="188">
        <v>14751000000</v>
      </c>
      <c r="M2245" s="194"/>
      <c r="N2245" s="190">
        <f>J2245/L2245</f>
        <v>0.93864822723883123</v>
      </c>
      <c r="O2245" s="190">
        <f>(I2245*0.78)/(K2245+L2245)</f>
        <v>9.2251500130446126E-2</v>
      </c>
      <c r="P2245" s="188"/>
      <c r="Q2245" s="188"/>
      <c r="R2245" s="195"/>
      <c r="S2245" s="197"/>
      <c r="T2245" s="180">
        <v>2463000000</v>
      </c>
      <c r="U2245" s="189">
        <f>IFERROR(IF(Tableau3[[#This Row],[Dettes]]=0,"",(Tableau3[[#This Row],[Dettes]]/Tableau3[[#This Row],[EBE]])),"")</f>
        <v>2.7665213015766521</v>
      </c>
      <c r="V2245" s="190" t="str">
        <f>IFERROR(Tableau3[[#This Row],[Fonds propres]]/Tableau3[[#This Row],[Total Bilan]],"")</f>
        <v/>
      </c>
      <c r="W2245" s="180"/>
      <c r="Y2245" s="180"/>
      <c r="Z2245" s="192" t="str">
        <f>IFERROR(Tableau3[[#This Row],[Chiffre d''affaires]]/Tableau3[[#This Row],[Salariés]],"")</f>
        <v/>
      </c>
      <c r="AA2245" s="177"/>
      <c r="AC2245" s="177" t="s">
        <v>1579</v>
      </c>
    </row>
    <row r="2246" spans="1:29" ht="20.25" customHeight="1">
      <c r="A2246" s="217"/>
      <c r="E2246" s="234"/>
      <c r="G2246" s="202">
        <f>(G2245/G2247)-1</f>
        <v>3.1924487464678686E-2</v>
      </c>
      <c r="H2246" s="203">
        <f>(H2245/H2247)-1</f>
        <v>0.1962279293739968</v>
      </c>
      <c r="I2246" s="203">
        <f>(I2245/I2247)-1</f>
        <v>0.28060263653483997</v>
      </c>
      <c r="J2246" s="203">
        <f>(J2245/J2247)-1</f>
        <v>8.0853018372703414</v>
      </c>
      <c r="K2246" s="188"/>
      <c r="L2246" s="188"/>
      <c r="M2246" s="188"/>
      <c r="N2246" s="188"/>
      <c r="O2246" s="188"/>
      <c r="P2246" s="188"/>
      <c r="Q2246" s="188"/>
      <c r="R2246" s="188"/>
      <c r="S2246" s="188"/>
      <c r="T2246" s="180"/>
      <c r="U2246" s="189" t="str">
        <f>IFERROR(IF(Tableau3[[#This Row],[Dettes]]=0,"",(Tableau3[[#This Row],[Dettes]]/Tableau3[[#This Row],[EBE]])),"")</f>
        <v/>
      </c>
      <c r="V2246" s="190" t="str">
        <f>IFERROR(Tableau3[[#This Row],[Fonds propres]]/Tableau3[[#This Row],[Total Bilan]],"")</f>
        <v/>
      </c>
      <c r="W2246" s="180"/>
      <c r="Y2246" s="180"/>
      <c r="Z2246" s="192" t="str">
        <f>IFERROR(Tableau3[[#This Row],[Chiffre d''affaires]]/Tableau3[[#This Row],[Salariés]],"")</f>
        <v/>
      </c>
      <c r="AA2246" s="177"/>
      <c r="AC2246" s="177" t="s">
        <v>917</v>
      </c>
    </row>
    <row r="2247" spans="1:29" ht="20.25" customHeight="1">
      <c r="A2247" s="217"/>
      <c r="E2247" s="234"/>
      <c r="F2247" s="178">
        <v>2019</v>
      </c>
      <c r="G2247" s="188">
        <v>16633000000</v>
      </c>
      <c r="H2247" s="188">
        <v>2492000000</v>
      </c>
      <c r="I2247" s="188">
        <v>2124000000</v>
      </c>
      <c r="J2247" s="188">
        <v>1524000000</v>
      </c>
      <c r="K2247" s="188"/>
      <c r="L2247" s="188"/>
      <c r="M2247" s="188"/>
      <c r="N2247" s="188"/>
      <c r="O2247" s="188"/>
      <c r="P2247" s="188"/>
      <c r="Q2247" s="188"/>
      <c r="R2247" s="195"/>
      <c r="S2247" s="197"/>
      <c r="T2247" s="180">
        <v>1900000000</v>
      </c>
      <c r="U2247" s="189" t="str">
        <f>IFERROR(IF(Tableau3[[#This Row],[Dettes]]=0,"",(Tableau3[[#This Row],[Dettes]]/Tableau3[[#This Row],[EBE]])),"")</f>
        <v/>
      </c>
      <c r="V2247" s="190" t="str">
        <f>IFERROR(Tableau3[[#This Row],[Fonds propres]]/Tableau3[[#This Row],[Total Bilan]],"")</f>
        <v/>
      </c>
      <c r="W2247" s="180"/>
      <c r="Y2247" s="180"/>
      <c r="Z2247" s="192" t="str">
        <f>IFERROR(Tableau3[[#This Row],[Chiffre d''affaires]]/Tableau3[[#This Row],[Salariés]],"")</f>
        <v/>
      </c>
      <c r="AA2247" s="177"/>
      <c r="AC2247" s="177" t="s">
        <v>629</v>
      </c>
    </row>
    <row r="2248" spans="1:29" ht="20.25" customHeight="1">
      <c r="A2248" s="217"/>
      <c r="E2248" s="234"/>
      <c r="G2248" s="188"/>
      <c r="H2248" s="188"/>
      <c r="I2248" s="188"/>
      <c r="J2248" s="188"/>
      <c r="K2248" s="188"/>
      <c r="L2248" s="188"/>
      <c r="M2248" s="188"/>
      <c r="N2248" s="188"/>
      <c r="O2248" s="188"/>
      <c r="P2248" s="188"/>
      <c r="Q2248" s="188"/>
      <c r="R2248" s="195"/>
      <c r="S2248" s="197"/>
      <c r="T2248" s="180"/>
      <c r="U2248" s="189" t="str">
        <f>IFERROR(IF(Tableau3[[#This Row],[Dettes]]=0,"",(Tableau3[[#This Row],[Dettes]]/Tableau3[[#This Row],[EBE]])),"")</f>
        <v/>
      </c>
      <c r="V2248" s="190" t="str">
        <f>IFERROR(Tableau3[[#This Row],[Fonds propres]]/Tableau3[[#This Row],[Total Bilan]],"")</f>
        <v/>
      </c>
      <c r="W2248" s="180"/>
      <c r="Y2248" s="180"/>
      <c r="Z2248" s="192" t="str">
        <f>IFERROR(Tableau3[[#This Row],[Chiffre d''affaires]]/Tableau3[[#This Row],[Salariés]],"")</f>
        <v/>
      </c>
      <c r="AA2248" s="177"/>
      <c r="AC2248" s="177" t="s">
        <v>1177</v>
      </c>
    </row>
    <row r="2249" spans="1:29" ht="20.25" customHeight="1">
      <c r="A2249" s="217"/>
      <c r="F2249" s="217" t="s">
        <v>1580</v>
      </c>
      <c r="G2249" s="188"/>
      <c r="H2249" s="188"/>
      <c r="I2249" s="188"/>
      <c r="J2249" s="188"/>
      <c r="K2249" s="188"/>
      <c r="L2249" s="188"/>
      <c r="M2249" s="188"/>
      <c r="N2249" s="188"/>
      <c r="O2249" s="188"/>
      <c r="P2249" s="188"/>
      <c r="Q2249" s="188"/>
      <c r="R2249" s="195"/>
      <c r="S2249" s="197"/>
      <c r="T2249" s="180"/>
      <c r="U2249" s="189" t="str">
        <f>IFERROR(IF(Tableau3[[#This Row],[Dettes]]=0,"",(Tableau3[[#This Row],[Dettes]]/Tableau3[[#This Row],[EBE]])),"")</f>
        <v/>
      </c>
      <c r="V2249" s="190" t="str">
        <f>IFERROR(Tableau3[[#This Row],[Fonds propres]]/Tableau3[[#This Row],[Total Bilan]],"")</f>
        <v/>
      </c>
      <c r="W2249" s="180"/>
      <c r="Y2249" s="180"/>
      <c r="Z2249" s="192" t="str">
        <f>IFERROR(Tableau3[[#This Row],[Chiffre d''affaires]]/Tableau3[[#This Row],[Salariés]],"")</f>
        <v/>
      </c>
      <c r="AA2249" s="177"/>
    </row>
    <row r="2250" spans="1:29" ht="20.25" customHeight="1">
      <c r="A2250" s="217"/>
      <c r="E2250" s="234"/>
      <c r="G2250" s="188"/>
      <c r="H2250" s="188"/>
      <c r="I2250" s="188"/>
      <c r="J2250" s="188"/>
      <c r="K2250" s="188"/>
      <c r="L2250" s="188"/>
      <c r="M2250" s="188"/>
      <c r="N2250" s="188"/>
      <c r="O2250" s="188"/>
      <c r="P2250" s="188"/>
      <c r="Q2250" s="188"/>
      <c r="R2250" s="195"/>
      <c r="S2250" s="197"/>
      <c r="T2250" s="180"/>
      <c r="U2250" s="189" t="str">
        <f>IFERROR(IF(Tableau3[[#This Row],[Dettes]]=0,"",(Tableau3[[#This Row],[Dettes]]/Tableau3[[#This Row],[EBE]])),"")</f>
        <v/>
      </c>
      <c r="V2250" s="190" t="str">
        <f>IFERROR(Tableau3[[#This Row],[Fonds propres]]/Tableau3[[#This Row],[Total Bilan]],"")</f>
        <v/>
      </c>
      <c r="W2250" s="180"/>
      <c r="Y2250" s="180"/>
      <c r="Z2250" s="192" t="str">
        <f>IFERROR(Tableau3[[#This Row],[Chiffre d''affaires]]/Tableau3[[#This Row],[Salariés]],"")</f>
        <v/>
      </c>
      <c r="AA2250" s="177"/>
    </row>
    <row r="2251" spans="1:29" ht="20.25" customHeight="1">
      <c r="A2251" s="217"/>
      <c r="E2251" s="187"/>
      <c r="G2251" s="188"/>
      <c r="H2251" s="188"/>
      <c r="I2251" s="188"/>
      <c r="J2251" s="178"/>
      <c r="K2251" s="188"/>
      <c r="L2251" s="188"/>
      <c r="M2251" s="188"/>
      <c r="N2251" s="188"/>
      <c r="O2251" s="188"/>
      <c r="P2251" s="188"/>
      <c r="Q2251" s="188"/>
      <c r="R2251" s="188"/>
      <c r="S2251" s="188"/>
      <c r="T2251" s="180"/>
      <c r="U2251" s="189" t="str">
        <f>IFERROR(IF(Tableau3[[#This Row],[Dettes]]=0,"",(Tableau3[[#This Row],[Dettes]]/Tableau3[[#This Row],[EBE]])),"")</f>
        <v/>
      </c>
      <c r="V2251" s="190" t="str">
        <f>IFERROR(Tableau3[[#This Row],[Fonds propres]]/Tableau3[[#This Row],[Total Bilan]],"")</f>
        <v/>
      </c>
      <c r="W2251" s="180"/>
      <c r="Y2251" s="180"/>
      <c r="Z2251" s="192" t="str">
        <f>IFERROR(Tableau3[[#This Row],[Chiffre d''affaires]]/Tableau3[[#This Row],[Salariés]],"")</f>
        <v/>
      </c>
      <c r="AA2251" s="177"/>
    </row>
    <row r="2252" spans="1:29" ht="20.25" customHeight="1">
      <c r="A2252" s="217"/>
      <c r="E2252" s="187"/>
      <c r="G2252" s="188"/>
      <c r="H2252" s="188"/>
      <c r="I2252" s="188"/>
      <c r="J2252" s="188"/>
      <c r="K2252" s="188"/>
      <c r="L2252" s="188"/>
      <c r="M2252" s="188"/>
      <c r="N2252" s="188"/>
      <c r="O2252" s="188"/>
      <c r="P2252" s="188"/>
      <c r="Q2252" s="188"/>
      <c r="R2252" s="188"/>
      <c r="S2252" s="188"/>
      <c r="T2252" s="180"/>
      <c r="U2252" s="189" t="str">
        <f>IFERROR(IF(Tableau3[[#This Row],[Dettes]]=0,"",(Tableau3[[#This Row],[Dettes]]/Tableau3[[#This Row],[EBE]])),"")</f>
        <v/>
      </c>
      <c r="V2252" s="190" t="str">
        <f>IFERROR(Tableau3[[#This Row],[Fonds propres]]/Tableau3[[#This Row],[Total Bilan]],"")</f>
        <v/>
      </c>
      <c r="W2252" s="180"/>
      <c r="X2252" s="192"/>
      <c r="Y2252" s="180"/>
      <c r="Z2252" s="192" t="str">
        <f>IFERROR(Tableau3[[#This Row],[Chiffre d''affaires]]/Tableau3[[#This Row],[Salariés]],"")</f>
        <v/>
      </c>
      <c r="AA2252" s="188"/>
      <c r="AB2252" s="188"/>
    </row>
    <row r="2253" spans="1:29" ht="20.25" customHeight="1">
      <c r="A2253" s="217" t="s">
        <v>1591</v>
      </c>
      <c r="B2253" s="216" t="s">
        <v>1592</v>
      </c>
      <c r="C2253" s="178" t="s">
        <v>84</v>
      </c>
      <c r="D2253" s="178" t="s">
        <v>85</v>
      </c>
      <c r="E2253" s="187">
        <v>103.6</v>
      </c>
      <c r="F2253" s="178">
        <v>2025</v>
      </c>
      <c r="G2253" s="188">
        <v>43000000000</v>
      </c>
      <c r="H2253" s="188"/>
      <c r="I2253" s="188"/>
      <c r="J2253" s="188"/>
      <c r="K2253" s="188"/>
      <c r="L2253" s="188"/>
      <c r="M2253" s="188"/>
      <c r="N2253" s="188"/>
      <c r="O2253" s="188"/>
      <c r="P2253" s="188">
        <v>1256192074</v>
      </c>
      <c r="Q2253" s="211">
        <f>P2253*E2253</f>
        <v>130141498866.39999</v>
      </c>
      <c r="R2253" s="188"/>
      <c r="S2253" s="188"/>
      <c r="T2253" s="180"/>
      <c r="U2253" s="189" t="str">
        <f>IFERROR(IF(Tableau3[[#This Row],[Dettes]]=0,"",(Tableau3[[#This Row],[Dettes]]/Tableau3[[#This Row],[EBE]])),"")</f>
        <v/>
      </c>
      <c r="V2253" s="190" t="str">
        <f>IFERROR(Tableau3[[#This Row],[Fonds propres]]/Tableau3[[#This Row],[Total Bilan]],"")</f>
        <v/>
      </c>
      <c r="W2253" s="180"/>
      <c r="X2253" s="191" t="s">
        <v>1046</v>
      </c>
      <c r="Y2253" s="180"/>
      <c r="Z2253" s="192" t="str">
        <f>IFERROR(Tableau3[[#This Row],[Chiffre d''affaires]]/Tableau3[[#This Row],[Salariés]],"")</f>
        <v/>
      </c>
      <c r="AA2253" s="188" t="s">
        <v>101</v>
      </c>
      <c r="AB2253" s="188"/>
      <c r="AC2253" s="177" t="s">
        <v>1593</v>
      </c>
    </row>
    <row r="2254" spans="1:29" ht="20.25" customHeight="1">
      <c r="A2254" s="217"/>
      <c r="E2254" s="187"/>
      <c r="G2254" s="188"/>
      <c r="H2254" s="188"/>
      <c r="I2254" s="188"/>
      <c r="J2254" s="188"/>
      <c r="K2254" s="188"/>
      <c r="L2254" s="188"/>
      <c r="M2254" s="188"/>
      <c r="N2254" s="188"/>
      <c r="O2254" s="188"/>
      <c r="P2254" s="188"/>
      <c r="Q2254" s="188"/>
      <c r="R2254" s="188"/>
      <c r="S2254" s="188"/>
      <c r="T2254" s="180"/>
      <c r="U2254" s="189" t="str">
        <f>IFERROR(IF(Tableau3[[#This Row],[Dettes]]=0,"",(Tableau3[[#This Row],[Dettes]]/Tableau3[[#This Row],[EBE]])),"")</f>
        <v/>
      </c>
      <c r="V2254" s="190" t="str">
        <f>IFERROR(Tableau3[[#This Row],[Fonds propres]]/Tableau3[[#This Row],[Total Bilan]],"")</f>
        <v/>
      </c>
      <c r="W2254" s="180"/>
      <c r="X2254" s="192"/>
      <c r="Y2254" s="180"/>
      <c r="Z2254" s="192" t="str">
        <f>IFERROR(Tableau3[[#This Row],[Chiffre d''affaires]]/Tableau3[[#This Row],[Salariés]],"")</f>
        <v/>
      </c>
      <c r="AA2254" s="188" t="s">
        <v>493</v>
      </c>
      <c r="AB2254" s="188"/>
      <c r="AC2254" s="177" t="s">
        <v>4680</v>
      </c>
    </row>
    <row r="2255" spans="1:29" ht="20.25" customHeight="1">
      <c r="A2255" s="217"/>
      <c r="E2255" s="187">
        <v>93.74</v>
      </c>
      <c r="F2255" s="178">
        <v>2024</v>
      </c>
      <c r="G2255" s="188">
        <v>41081000000</v>
      </c>
      <c r="H2255" s="188">
        <v>13000000000</v>
      </c>
      <c r="I2255" s="188">
        <v>7491000000</v>
      </c>
      <c r="J2255" s="188">
        <v>5744000000</v>
      </c>
      <c r="K2255" s="188">
        <v>8772000000</v>
      </c>
      <c r="L2255" s="188">
        <v>77692000000</v>
      </c>
      <c r="M2255" s="194">
        <f>L2255/P2255</f>
        <v>61.847229900608333</v>
      </c>
      <c r="N2255" s="190">
        <f>J2255/L2257</f>
        <v>7.7579686655861693E-2</v>
      </c>
      <c r="O2255" s="190">
        <f>(I2255*0.8)/(K2257+L2257)</f>
        <v>7.3232070191731946E-2</v>
      </c>
      <c r="P2255" s="188">
        <v>1256192074</v>
      </c>
      <c r="Q2255" s="211">
        <f>P2255*E2255</f>
        <v>117755445016.75999</v>
      </c>
      <c r="R2255" s="195">
        <f>Q2255/L2255</f>
        <v>1.5156701464341245</v>
      </c>
      <c r="S2255" s="197">
        <f>(Q2255+K2255)/H2255</f>
        <v>9.7328803859046147</v>
      </c>
      <c r="T2255" s="180">
        <v>5955000000</v>
      </c>
      <c r="U2255" s="189">
        <f>IFERROR(IF(Tableau3[[#This Row],[Dettes]]=0,"",(Tableau3[[#This Row],[Dettes]]/Tableau3[[#This Row],[EBE]])),"")</f>
        <v>0.67476923076923079</v>
      </c>
      <c r="V2255" s="190">
        <f>IFERROR(Tableau3[[#This Row],[Fonds propres]]/Tableau3[[#This Row],[Total Bilan]],"")</f>
        <v>0.58548422345644591</v>
      </c>
      <c r="W2255" s="180">
        <v>132697000000</v>
      </c>
      <c r="Y2255" s="180"/>
      <c r="Z2255" s="192" t="str">
        <f>IFERROR(Tableau3[[#This Row],[Chiffre d''affaires]]/Tableau3[[#This Row],[Salariés]],"")</f>
        <v/>
      </c>
      <c r="AA2255" s="197" t="s">
        <v>525</v>
      </c>
      <c r="AB2255" s="188"/>
      <c r="AC2255" s="177" t="s">
        <v>1595</v>
      </c>
    </row>
    <row r="2256" spans="1:29" ht="20.25" customHeight="1">
      <c r="A2256" s="217"/>
      <c r="E2256" s="187"/>
      <c r="G2256" s="202">
        <f>(G2255/G2257)-1</f>
        <v>-4.6180636173670742E-2</v>
      </c>
      <c r="H2256" s="203">
        <f>(H2255/H2257)-1</f>
        <v>2.6045777426992878E-2</v>
      </c>
      <c r="I2256" s="203">
        <f>(I2255/I2257)-1</f>
        <v>-4.8761904761904784E-2</v>
      </c>
      <c r="J2256" s="203">
        <f>(J2255/J2257)-1</f>
        <v>6.3703703703703596E-2</v>
      </c>
      <c r="K2256" s="188"/>
      <c r="L2256" s="188"/>
      <c r="M2256" s="188"/>
      <c r="N2256" s="188"/>
      <c r="O2256" s="188"/>
      <c r="P2256" s="188"/>
      <c r="Q2256" s="188"/>
      <c r="R2256" s="188"/>
      <c r="S2256" s="188"/>
      <c r="T2256" s="180"/>
      <c r="U2256" s="189" t="str">
        <f>IFERROR(IF(Tableau3[[#This Row],[Dettes]]=0,"",(Tableau3[[#This Row],[Dettes]]/Tableau3[[#This Row],[EBE]])),"")</f>
        <v/>
      </c>
      <c r="V2256" s="190" t="str">
        <f>IFERROR(Tableau3[[#This Row],[Fonds propres]]/Tableau3[[#This Row],[Total Bilan]],"")</f>
        <v/>
      </c>
      <c r="W2256" s="180"/>
      <c r="X2256" s="192"/>
      <c r="Y2256" s="180"/>
      <c r="Z2256" s="192" t="str">
        <f>IFERROR(Tableau3[[#This Row],[Chiffre d''affaires]]/Tableau3[[#This Row],[Salariés]],"")</f>
        <v/>
      </c>
      <c r="AA2256" s="188"/>
      <c r="AB2256" s="188"/>
      <c r="AC2256" s="177" t="s">
        <v>1596</v>
      </c>
    </row>
    <row r="2257" spans="1:29" ht="20.25" customHeight="1">
      <c r="A2257" s="217"/>
      <c r="E2257" s="187">
        <v>89.76</v>
      </c>
      <c r="F2257" s="178">
        <v>2023</v>
      </c>
      <c r="G2257" s="188">
        <v>43070000000</v>
      </c>
      <c r="H2257" s="188">
        <v>12670000000</v>
      </c>
      <c r="I2257" s="188">
        <v>7875000000</v>
      </c>
      <c r="J2257" s="188">
        <v>5400000000</v>
      </c>
      <c r="K2257" s="188">
        <v>7793000000</v>
      </c>
      <c r="L2257" s="188">
        <v>74040000000</v>
      </c>
      <c r="M2257" s="194">
        <f>L2257/P2257</f>
        <v>58.940031172334876</v>
      </c>
      <c r="N2257" s="190">
        <f>J2257/L2259</f>
        <v>7.2207958921694473E-2</v>
      </c>
      <c r="O2257" s="190">
        <f>(I2257*0.8)/(K2259+L2259)</f>
        <v>7.7566146686201848E-2</v>
      </c>
      <c r="P2257" s="188">
        <v>1256192074</v>
      </c>
      <c r="Q2257" s="211">
        <f>P2257*E2257</f>
        <v>112755800562.24001</v>
      </c>
      <c r="R2257" s="195">
        <f>Q2257/L2257</f>
        <v>1.5229038433581847</v>
      </c>
      <c r="S2257" s="197">
        <f>(Q2257+K2257)/H2257</f>
        <v>9.5145067531365441</v>
      </c>
      <c r="T2257" s="180">
        <v>8478000000</v>
      </c>
      <c r="U2257" s="189">
        <f>IFERROR(IF(Tableau3[[#This Row],[Dettes]]=0,"",(Tableau3[[#This Row],[Dettes]]/Tableau3[[#This Row],[EBE]])),"")</f>
        <v>0.61507498026835039</v>
      </c>
      <c r="V2257" s="190">
        <f>IFERROR(Tableau3[[#This Row],[Fonds propres]]/Tableau3[[#This Row],[Total Bilan]],"")</f>
        <v>0.58615830390930534</v>
      </c>
      <c r="W2257" s="180">
        <v>126314000000</v>
      </c>
      <c r="Y2257" s="180">
        <v>86088</v>
      </c>
      <c r="Z2257" s="192">
        <f>IFERROR(Tableau3[[#This Row],[Chiffre d''affaires]]/Tableau3[[#This Row],[Salariés]],"")</f>
        <v>500302.01654121367</v>
      </c>
      <c r="AB2257" s="188"/>
      <c r="AC2257" s="177" t="s">
        <v>1597</v>
      </c>
    </row>
    <row r="2258" spans="1:29" ht="20.25" customHeight="1">
      <c r="A2258" s="217"/>
      <c r="E2258" s="187"/>
      <c r="G2258" s="202">
        <f>(G2257/G2259)-1</f>
        <v>1.6977928692698541E-3</v>
      </c>
      <c r="H2258" s="203">
        <f>(H2257/H2259)-1</f>
        <v>-2.8374233128834359E-2</v>
      </c>
      <c r="I2258" s="203">
        <f>(I2257/I2259)-1</f>
        <v>-7.3747353563867302E-2</v>
      </c>
      <c r="J2258" s="203">
        <f>(J2257/J2259)-1</f>
        <v>-0.1964285714285714</v>
      </c>
      <c r="K2258" s="188"/>
      <c r="L2258" s="188"/>
      <c r="M2258" s="188"/>
      <c r="N2258" s="188"/>
      <c r="O2258" s="188"/>
      <c r="P2258" s="188"/>
      <c r="Q2258" s="188"/>
      <c r="R2258" s="188"/>
      <c r="S2258" s="188"/>
      <c r="T2258" s="180"/>
      <c r="U2258" s="189" t="str">
        <f>IFERROR(IF(Tableau3[[#This Row],[Dettes]]=0,"",(Tableau3[[#This Row],[Dettes]]/Tableau3[[#This Row],[EBE]])),"")</f>
        <v/>
      </c>
      <c r="V2258" s="190" t="str">
        <f>IFERROR(Tableau3[[#This Row],[Fonds propres]]/Tableau3[[#This Row],[Total Bilan]],"")</f>
        <v/>
      </c>
      <c r="W2258" s="180"/>
      <c r="X2258" s="192"/>
      <c r="Y2258" s="180"/>
      <c r="Z2258" s="192" t="str">
        <f>IFERROR(Tableau3[[#This Row],[Chiffre d''affaires]]/Tableau3[[#This Row],[Salariés]],"")</f>
        <v/>
      </c>
      <c r="AB2258" s="188"/>
      <c r="AC2258" s="177" t="s">
        <v>4687</v>
      </c>
    </row>
    <row r="2259" spans="1:29" ht="20.25" customHeight="1">
      <c r="A2259" s="217"/>
      <c r="E2259" s="187">
        <v>89.84</v>
      </c>
      <c r="F2259" s="178">
        <v>2022</v>
      </c>
      <c r="G2259" s="188">
        <v>42997000000</v>
      </c>
      <c r="H2259" s="188">
        <v>13040000000</v>
      </c>
      <c r="I2259" s="188">
        <v>8502000000</v>
      </c>
      <c r="J2259" s="188">
        <v>6720000000</v>
      </c>
      <c r="K2259" s="188">
        <v>6437000000</v>
      </c>
      <c r="L2259" s="188">
        <v>74784000000</v>
      </c>
      <c r="M2259" s="194">
        <f>L2259/P2259</f>
        <v>59.532297287842944</v>
      </c>
      <c r="N2259" s="190">
        <f>J2259/L2261</f>
        <v>9.7843653994554539E-2</v>
      </c>
      <c r="O2259" s="190">
        <f>(I2259*0.8)/(K2261+L2261)</f>
        <v>8.6463947930438323E-2</v>
      </c>
      <c r="P2259" s="188">
        <v>1256192074</v>
      </c>
      <c r="Q2259" s="211">
        <f>P2259*E2259</f>
        <v>112856295928.16</v>
      </c>
      <c r="R2259" s="195">
        <f>Q2259/L2259</f>
        <v>1.5090968111916989</v>
      </c>
      <c r="S2259" s="197">
        <f>(Q2259+K2259)/H2259</f>
        <v>9.1482588901963187</v>
      </c>
      <c r="T2259" s="180">
        <v>8483000000</v>
      </c>
      <c r="U2259" s="189">
        <f>IFERROR(IF(Tableau3[[#This Row],[Dettes]]=0,"",(Tableau3[[#This Row],[Dettes]]/Tableau3[[#This Row],[EBE]])),"")</f>
        <v>0.49363496932515338</v>
      </c>
      <c r="V2259" s="190">
        <f>IFERROR(Tableau3[[#This Row],[Fonds propres]]/Tableau3[[#This Row],[Total Bilan]],"")</f>
        <v>0.59014220103849369</v>
      </c>
      <c r="W2259" s="180">
        <v>126722000000</v>
      </c>
      <c r="Y2259" s="180">
        <v>89824</v>
      </c>
      <c r="Z2259" s="192">
        <f>IFERROR(Tableau3[[#This Row],[Chiffre d''affaires]]/Tableau3[[#This Row],[Salariés]],"")</f>
        <v>478680.53081581759</v>
      </c>
      <c r="AB2259" s="197"/>
      <c r="AC2259" s="177" t="s">
        <v>4682</v>
      </c>
    </row>
    <row r="2260" spans="1:29" ht="20.25" customHeight="1">
      <c r="A2260" s="217"/>
      <c r="E2260" s="187"/>
      <c r="G2260" s="202">
        <f>(G2259/G2261)-1</f>
        <v>0.1386615820555599</v>
      </c>
      <c r="H2260" s="203">
        <f>(H2259/H2261)-1</f>
        <v>0.21607759022661566</v>
      </c>
      <c r="I2260" s="203">
        <f>(I2259/I2261)-1</f>
        <v>4.6271228156534505E-2</v>
      </c>
      <c r="J2260" s="203">
        <f>(J2259/J2261)-1</f>
        <v>7.9865016872890937E-2</v>
      </c>
      <c r="K2260" s="188"/>
      <c r="L2260" s="188"/>
      <c r="M2260" s="188"/>
      <c r="N2260" s="188"/>
      <c r="O2260" s="188"/>
      <c r="P2260" s="188"/>
      <c r="Q2260" s="188"/>
      <c r="R2260" s="188"/>
      <c r="S2260" s="188"/>
      <c r="T2260" s="180"/>
      <c r="U2260" s="189" t="str">
        <f>IFERROR(IF(Tableau3[[#This Row],[Dettes]]=0,"",(Tableau3[[#This Row],[Dettes]]/Tableau3[[#This Row],[EBE]])),"")</f>
        <v/>
      </c>
      <c r="V2260" s="190" t="str">
        <f>IFERROR(Tableau3[[#This Row],[Fonds propres]]/Tableau3[[#This Row],[Total Bilan]],"")</f>
        <v/>
      </c>
      <c r="W2260" s="180"/>
      <c r="X2260" s="192"/>
      <c r="Y2260" s="180"/>
      <c r="Z2260" s="192" t="str">
        <f>IFERROR(Tableau3[[#This Row],[Chiffre d''affaires]]/Tableau3[[#This Row],[Salariés]],"")</f>
        <v/>
      </c>
      <c r="AC2260" s="177" t="s">
        <v>1598</v>
      </c>
    </row>
    <row r="2261" spans="1:29" ht="20.25" customHeight="1">
      <c r="A2261" s="217"/>
      <c r="E2261" s="187">
        <v>88.58</v>
      </c>
      <c r="F2261" s="178">
        <v>2021</v>
      </c>
      <c r="G2261" s="188">
        <v>37761000000</v>
      </c>
      <c r="H2261" s="188">
        <v>10723000000</v>
      </c>
      <c r="I2261" s="188">
        <v>8126000000</v>
      </c>
      <c r="J2261" s="188">
        <v>6223000000</v>
      </c>
      <c r="K2261" s="188">
        <v>9983000000</v>
      </c>
      <c r="L2261" s="211">
        <v>68681000000</v>
      </c>
      <c r="M2261" s="194">
        <f>L2261/P2261</f>
        <v>54.673963816141701</v>
      </c>
      <c r="N2261" s="190">
        <f>J2261/L2263</f>
        <v>9.8611859411149499E-2</v>
      </c>
      <c r="O2261" s="190">
        <f>(I2261*0.8)/(K2263+L2263)</f>
        <v>9.0420752486264688E-2</v>
      </c>
      <c r="P2261" s="188">
        <v>1256192074</v>
      </c>
      <c r="Q2261" s="211">
        <f>P2261*E2261</f>
        <v>111273493914.92</v>
      </c>
      <c r="R2261" s="195">
        <f>Q2261/L2261</f>
        <v>1.6201495888953277</v>
      </c>
      <c r="S2261" s="197">
        <f>(Q2261+K2261)/H2261</f>
        <v>11.308075530627622</v>
      </c>
      <c r="T2261" s="180">
        <v>8096000000</v>
      </c>
      <c r="U2261" s="189">
        <f>IFERROR(IF(Tableau3[[#This Row],[Dettes]]=0,"",(Tableau3[[#This Row],[Dettes]]/Tableau3[[#This Row],[EBE]])),"")</f>
        <v>0.93098946190431786</v>
      </c>
      <c r="V2261" s="190">
        <f>IFERROR(Tableau3[[#This Row],[Fonds propres]]/Tableau3[[#This Row],[Total Bilan]],"")</f>
        <v>0.5711897673026064</v>
      </c>
      <c r="W2261" s="180">
        <v>120242000000</v>
      </c>
      <c r="Y2261" s="180">
        <v>93548</v>
      </c>
      <c r="Z2261" s="192">
        <f>IFERROR(Tableau3[[#This Row],[Chiffre d''affaires]]/Tableau3[[#This Row],[Salariés]],"")</f>
        <v>403653.73925685207</v>
      </c>
      <c r="AC2261" s="177" t="s">
        <v>1599</v>
      </c>
    </row>
    <row r="2262" spans="1:29" ht="20.25" customHeight="1">
      <c r="G2262" s="202">
        <f>(G2261/G2263)-1</f>
        <v>4.7723426098055022E-2</v>
      </c>
      <c r="H2262" s="203">
        <f>(H2261/H2263)-1</f>
        <v>0.22269099201824405</v>
      </c>
      <c r="I2262" s="203">
        <f>(I2261/I2263)-1</f>
        <v>0.20224885338067766</v>
      </c>
      <c r="J2262" s="203">
        <f>(J2261/J2263)-1</f>
        <v>-0.49381812266146086</v>
      </c>
      <c r="K2262" s="188"/>
      <c r="L2262" s="188"/>
      <c r="M2262" s="188"/>
      <c r="N2262" s="188"/>
      <c r="O2262" s="188"/>
      <c r="P2262" s="188"/>
      <c r="Q2262" s="188"/>
      <c r="R2262" s="195"/>
      <c r="S2262" s="188"/>
      <c r="T2262" s="180"/>
      <c r="U2262" s="189" t="str">
        <f>IFERROR(IF(Tableau3[[#This Row],[Dettes]]=0,"",(Tableau3[[#This Row],[Dettes]]/Tableau3[[#This Row],[EBE]])),"")</f>
        <v/>
      </c>
      <c r="V2262" s="190" t="str">
        <f>IFERROR(Tableau3[[#This Row],[Fonds propres]]/Tableau3[[#This Row],[Total Bilan]],"")</f>
        <v/>
      </c>
      <c r="W2262" s="180"/>
      <c r="X2262" s="192"/>
      <c r="Y2262" s="180"/>
      <c r="Z2262" s="192" t="str">
        <f>IFERROR(Tableau3[[#This Row],[Chiffre d''affaires]]/Tableau3[[#This Row],[Salariés]],"")</f>
        <v/>
      </c>
      <c r="AA2262" s="188"/>
      <c r="AB2262" s="188"/>
      <c r="AC2262" s="177" t="s">
        <v>4685</v>
      </c>
    </row>
    <row r="2263" spans="1:29" ht="20.25" customHeight="1">
      <c r="A2263" s="217"/>
      <c r="E2263" s="187">
        <v>78.7</v>
      </c>
      <c r="F2263" s="178">
        <v>2020</v>
      </c>
      <c r="G2263" s="188">
        <v>36041000000</v>
      </c>
      <c r="H2263" s="188">
        <v>8770000000</v>
      </c>
      <c r="I2263" s="188">
        <v>6759000000</v>
      </c>
      <c r="J2263" s="188">
        <v>12294000000</v>
      </c>
      <c r="K2263" s="188">
        <v>8789000000</v>
      </c>
      <c r="L2263" s="211">
        <v>63106000000</v>
      </c>
      <c r="M2263" s="194">
        <f>L2263/P2263</f>
        <v>50.235948232865539</v>
      </c>
      <c r="N2263" s="190">
        <f>J2263/L2265</f>
        <v>0.20860623748600129</v>
      </c>
      <c r="O2263" s="190">
        <f>(I2263*0.8)/(K2265+L2265)</f>
        <v>7.3029807809186803E-2</v>
      </c>
      <c r="P2263" s="188">
        <v>1256192074</v>
      </c>
      <c r="Q2263" s="211">
        <f>P2263*E2263</f>
        <v>98862316223.800003</v>
      </c>
      <c r="R2263" s="195">
        <f>Q2263/L2263</f>
        <v>1.5666072358222674</v>
      </c>
      <c r="S2263" s="197">
        <f>(Q2263+K2263)/H2263</f>
        <v>12.2749505386317</v>
      </c>
      <c r="T2263" s="180">
        <v>4000000000</v>
      </c>
      <c r="U2263" s="189">
        <f>IFERROR(IF(Tableau3[[#This Row],[Dettes]]=0,"",(Tableau3[[#This Row],[Dettes]]/Tableau3[[#This Row],[EBE]])),"")</f>
        <v>1.0021664766248575</v>
      </c>
      <c r="V2263" s="190" t="str">
        <f>IFERROR(Tableau3[[#This Row],[Fonds propres]]/Tableau3[[#This Row],[Total Bilan]],"")</f>
        <v/>
      </c>
      <c r="W2263" s="180"/>
      <c r="X2263" s="191"/>
      <c r="Y2263" s="180"/>
      <c r="Z2263" s="192" t="str">
        <f>IFERROR(Tableau3[[#This Row],[Chiffre d''affaires]]/Tableau3[[#This Row],[Salariés]],"")</f>
        <v/>
      </c>
      <c r="AA2263" s="197"/>
      <c r="AB2263" s="197"/>
      <c r="AC2263" s="177" t="s">
        <v>1600</v>
      </c>
    </row>
    <row r="2264" spans="1:29" ht="20.25" customHeight="1">
      <c r="A2264" s="217"/>
      <c r="E2264" s="187"/>
      <c r="G2264" s="202">
        <f>(G2263/G2265)-1</f>
        <v>-2.3528760449538222E-3</v>
      </c>
      <c r="H2264" s="203">
        <f>(H2263/H2265)-1</f>
        <v>-1.183098591549292E-2</v>
      </c>
      <c r="I2264" s="203">
        <f>(I2263/I2265)-1</f>
        <v>1.1628799999999999</v>
      </c>
      <c r="J2264" s="203">
        <f>(J2263/J2265)-1</f>
        <v>3.3813257305773341</v>
      </c>
      <c r="K2264" s="178"/>
      <c r="L2264" s="178"/>
      <c r="M2264" s="178"/>
      <c r="N2264" s="178"/>
      <c r="O2264" s="178"/>
      <c r="P2264" s="188"/>
      <c r="Q2264" s="178"/>
      <c r="R2264" s="178"/>
      <c r="S2264" s="178"/>
      <c r="T2264" s="180"/>
      <c r="U2264" s="189" t="str">
        <f>IFERROR(IF(Tableau3[[#This Row],[Dettes]]=0,"",(Tableau3[[#This Row],[Dettes]]/Tableau3[[#This Row],[EBE]])),"")</f>
        <v/>
      </c>
      <c r="V2264" s="190" t="str">
        <f>IFERROR(Tableau3[[#This Row],[Fonds propres]]/Tableau3[[#This Row],[Total Bilan]],"")</f>
        <v/>
      </c>
      <c r="W2264" s="180"/>
      <c r="X2264" s="192"/>
      <c r="Y2264" s="180"/>
      <c r="Z2264" s="192" t="str">
        <f>IFERROR(Tableau3[[#This Row],[Chiffre d''affaires]]/Tableau3[[#This Row],[Salariés]],"")</f>
        <v/>
      </c>
      <c r="AA2264" s="188"/>
      <c r="AB2264" s="188"/>
      <c r="AC2264" s="177" t="s">
        <v>1601</v>
      </c>
    </row>
    <row r="2265" spans="1:29" ht="20.25" customHeight="1">
      <c r="A2265" s="217"/>
      <c r="E2265" s="187">
        <v>90.22</v>
      </c>
      <c r="F2265" s="178">
        <v>2019</v>
      </c>
      <c r="G2265" s="188">
        <v>36126000000</v>
      </c>
      <c r="H2265" s="188">
        <v>8875000000</v>
      </c>
      <c r="I2265" s="188">
        <v>3125000000</v>
      </c>
      <c r="J2265" s="188">
        <v>2806000000</v>
      </c>
      <c r="K2265" s="188">
        <v>15107000000</v>
      </c>
      <c r="L2265" s="188">
        <v>58934000000</v>
      </c>
      <c r="M2265" s="194">
        <f>L2265/P2265</f>
        <v>47.00257829327829</v>
      </c>
      <c r="N2265" s="190">
        <f>J2265/L2267</f>
        <v>4.7659487736938649E-2</v>
      </c>
      <c r="O2265" s="190">
        <f>(I2265*0.8)/(K2267+L2267)</f>
        <v>3.267802990693297E-2</v>
      </c>
      <c r="P2265" s="188">
        <v>1253846111</v>
      </c>
      <c r="Q2265" s="211">
        <f>P2265*E2265</f>
        <v>113121996134.42</v>
      </c>
      <c r="R2265" s="195">
        <f>Q2265/L2265</f>
        <v>1.9194691711816607</v>
      </c>
      <c r="S2265" s="197">
        <f>(Q2265+K2265)/H2265</f>
        <v>14.448337592610704</v>
      </c>
      <c r="T2265" s="180"/>
      <c r="U2265" s="189">
        <f>IFERROR(IF(Tableau3[[#This Row],[Dettes]]=0,"",(Tableau3[[#This Row],[Dettes]]/Tableau3[[#This Row],[EBE]])),"")</f>
        <v>1.7021971830985916</v>
      </c>
      <c r="V2265" s="190" t="str">
        <f>IFERROR(Tableau3[[#This Row],[Fonds propres]]/Tableau3[[#This Row],[Total Bilan]],"")</f>
        <v/>
      </c>
      <c r="W2265" s="180"/>
      <c r="X2265" s="192"/>
      <c r="Y2265" s="180"/>
      <c r="Z2265" s="192" t="str">
        <f>IFERROR(Tableau3[[#This Row],[Chiffre d''affaires]]/Tableau3[[#This Row],[Salariés]],"")</f>
        <v/>
      </c>
      <c r="AA2265" s="188"/>
      <c r="AB2265" s="188"/>
      <c r="AC2265" s="177" t="s">
        <v>1602</v>
      </c>
    </row>
    <row r="2266" spans="1:29" ht="20.25" customHeight="1">
      <c r="A2266" s="217"/>
      <c r="E2266" s="187"/>
      <c r="G2266" s="202">
        <f>(G2265/G2267)-1</f>
        <v>4.8254649914400982E-2</v>
      </c>
      <c r="H2266" s="203">
        <f>(H2265/H2267)-1</f>
        <v>0.17332099418297187</v>
      </c>
      <c r="I2266" s="203">
        <f>(I2265/I2267)-1</f>
        <v>-0.33169375534644996</v>
      </c>
      <c r="J2266" s="203">
        <f>(J2265/J2267)-1</f>
        <v>-0.34835113794705064</v>
      </c>
      <c r="K2266" s="188"/>
      <c r="L2266" s="188"/>
      <c r="M2266" s="188"/>
      <c r="N2266" s="188"/>
      <c r="O2266" s="188"/>
      <c r="P2266" s="188"/>
      <c r="Q2266" s="188"/>
      <c r="R2266" s="188"/>
      <c r="S2266" s="188"/>
      <c r="T2266" s="180"/>
      <c r="U2266" s="189" t="str">
        <f>IFERROR(IF(Tableau3[[#This Row],[Dettes]]=0,"",(Tableau3[[#This Row],[Dettes]]/Tableau3[[#This Row],[EBE]])),"")</f>
        <v/>
      </c>
      <c r="V2266" s="190" t="str">
        <f>IFERROR(Tableau3[[#This Row],[Fonds propres]]/Tableau3[[#This Row],[Total Bilan]],"")</f>
        <v/>
      </c>
      <c r="W2266" s="180"/>
      <c r="X2266" s="192"/>
      <c r="Y2266" s="180"/>
      <c r="Z2266" s="192" t="str">
        <f>IFERROR(Tableau3[[#This Row],[Chiffre d''affaires]]/Tableau3[[#This Row],[Salariés]],"")</f>
        <v/>
      </c>
      <c r="AA2266" s="188"/>
      <c r="AB2266" s="188"/>
      <c r="AC2266" s="177" t="s">
        <v>1603</v>
      </c>
    </row>
    <row r="2267" spans="1:29" ht="20.25" customHeight="1">
      <c r="A2267" s="217"/>
      <c r="E2267" s="187">
        <v>75.66</v>
      </c>
      <c r="F2267" s="178">
        <v>2018</v>
      </c>
      <c r="G2267" s="188">
        <v>34463000000</v>
      </c>
      <c r="H2267" s="188">
        <v>7564000000</v>
      </c>
      <c r="I2267" s="188">
        <v>4676000000</v>
      </c>
      <c r="J2267" s="188">
        <v>4306000000</v>
      </c>
      <c r="K2267" s="188">
        <v>17628000000</v>
      </c>
      <c r="L2267" s="188">
        <v>58876000000</v>
      </c>
      <c r="M2267" s="194">
        <f>L2267/P2267</f>
        <v>47.199145196191637</v>
      </c>
      <c r="N2267" s="190">
        <f>J2267/L2269</f>
        <v>7.4127631737506236E-2</v>
      </c>
      <c r="O2267" s="190">
        <f>(I2267*0.8)/(K2269+L2269)</f>
        <v>5.9026429980276136E-2</v>
      </c>
      <c r="P2267" s="188">
        <v>1247395472</v>
      </c>
      <c r="Q2267" s="211">
        <f>P2267*E2267</f>
        <v>94377941411.519989</v>
      </c>
      <c r="R2267" s="195">
        <f>Q2267/L2267</f>
        <v>1.6029951323377944</v>
      </c>
      <c r="S2267" s="197">
        <f>(Q2267+K2267)/H2267</f>
        <v>14.807765919026968</v>
      </c>
      <c r="T2267" s="180"/>
      <c r="U2267" s="189">
        <f>IFERROR(IF(Tableau3[[#This Row],[Dettes]]=0,"",(Tableau3[[#This Row],[Dettes]]/Tableau3[[#This Row],[EBE]])),"")</f>
        <v>2.3305129561078792</v>
      </c>
      <c r="V2267" s="190" t="str">
        <f>IFERROR(Tableau3[[#This Row],[Fonds propres]]/Tableau3[[#This Row],[Total Bilan]],"")</f>
        <v/>
      </c>
      <c r="W2267" s="180"/>
      <c r="X2267" s="192"/>
      <c r="Y2267" s="180"/>
      <c r="Z2267" s="192" t="str">
        <f>IFERROR(Tableau3[[#This Row],[Chiffre d''affaires]]/Tableau3[[#This Row],[Salariés]],"")</f>
        <v/>
      </c>
      <c r="AA2267" s="188"/>
      <c r="AB2267" s="188"/>
      <c r="AC2267" s="177" t="s">
        <v>1604</v>
      </c>
    </row>
    <row r="2268" spans="1:29" ht="20.25" customHeight="1">
      <c r="A2268" s="217"/>
      <c r="E2268" s="187"/>
      <c r="G2268" s="202">
        <f>(G2267/G2269)-1</f>
        <v>-1.6887747824846699E-2</v>
      </c>
      <c r="H2268" s="203">
        <f>(H2267/H2269)-1</f>
        <v>-4.9987440341622724E-2</v>
      </c>
      <c r="I2268" s="203">
        <f>(I2267/I2269)-1</f>
        <v>-0.19420989143546441</v>
      </c>
      <c r="J2268" s="203">
        <f>(J2267/J2269)-1</f>
        <v>-0.48944747450794401</v>
      </c>
      <c r="K2268" s="188"/>
      <c r="L2268" s="188"/>
      <c r="M2268" s="188"/>
      <c r="N2268" s="188"/>
      <c r="O2268" s="188"/>
      <c r="P2268" s="188"/>
      <c r="Q2268" s="188"/>
      <c r="R2268" s="188"/>
      <c r="S2268" s="188"/>
      <c r="T2268" s="180"/>
      <c r="U2268" s="189" t="str">
        <f>IFERROR(IF(Tableau3[[#This Row],[Dettes]]=0,"",(Tableau3[[#This Row],[Dettes]]/Tableau3[[#This Row],[EBE]])),"")</f>
        <v/>
      </c>
      <c r="V2268" s="190" t="str">
        <f>IFERROR(Tableau3[[#This Row],[Fonds propres]]/Tableau3[[#This Row],[Total Bilan]],"")</f>
        <v/>
      </c>
      <c r="W2268" s="180"/>
      <c r="X2268" s="192"/>
      <c r="Y2268" s="180"/>
      <c r="Z2268" s="192" t="str">
        <f>IFERROR(Tableau3[[#This Row],[Chiffre d''affaires]]/Tableau3[[#This Row],[Salariés]],"")</f>
        <v/>
      </c>
      <c r="AA2268" s="188"/>
      <c r="AB2268" s="188"/>
      <c r="AC2268" s="177" t="s">
        <v>1605</v>
      </c>
    </row>
    <row r="2269" spans="1:29" ht="20.25" customHeight="1">
      <c r="A2269" s="217"/>
      <c r="E2269" s="187">
        <v>71.760000000000005</v>
      </c>
      <c r="F2269" s="178">
        <v>2017</v>
      </c>
      <c r="G2269" s="188">
        <v>35055000000</v>
      </c>
      <c r="H2269" s="188">
        <v>7962000000</v>
      </c>
      <c r="I2269" s="188">
        <v>5803000000</v>
      </c>
      <c r="J2269" s="188">
        <v>8434000000</v>
      </c>
      <c r="K2269" s="188">
        <v>5286000000</v>
      </c>
      <c r="L2269" s="188">
        <v>58089000000</v>
      </c>
      <c r="M2269" s="194">
        <f>L2269/P2269</f>
        <v>46.322231261809385</v>
      </c>
      <c r="N2269" s="190">
        <f>J2269/L2271</f>
        <v>0.14654064009451992</v>
      </c>
      <c r="O2269" s="190">
        <f>(I2269*0.8)/(K2271+L2271)</f>
        <v>7.0488915882174305E-2</v>
      </c>
      <c r="P2269" s="188">
        <v>1254019904</v>
      </c>
      <c r="Q2269" s="211">
        <f>P2269*E2269</f>
        <v>89988468311.040009</v>
      </c>
      <c r="R2269" s="195">
        <f>Q2269/L2269</f>
        <v>1.5491481745432012</v>
      </c>
      <c r="S2269" s="197">
        <f>(Q2269+K2269)/H2269</f>
        <v>11.966147740648079</v>
      </c>
      <c r="T2269" s="180"/>
      <c r="U2269" s="189">
        <f>IFERROR(IF(Tableau3[[#This Row],[Dettes]]=0,"",(Tableau3[[#This Row],[Dettes]]/Tableau3[[#This Row],[EBE]])),"")</f>
        <v>0.6639035418236624</v>
      </c>
      <c r="V2269" s="190" t="str">
        <f>IFERROR(Tableau3[[#This Row],[Fonds propres]]/Tableau3[[#This Row],[Total Bilan]],"")</f>
        <v/>
      </c>
      <c r="W2269" s="180"/>
      <c r="X2269" s="192"/>
      <c r="Y2269" s="180"/>
      <c r="Z2269" s="192" t="str">
        <f>IFERROR(Tableau3[[#This Row],[Chiffre d''affaires]]/Tableau3[[#This Row],[Salariés]],"")</f>
        <v/>
      </c>
      <c r="AA2269" s="188"/>
      <c r="AB2269" s="188"/>
      <c r="AC2269" s="177" t="s">
        <v>1606</v>
      </c>
    </row>
    <row r="2270" spans="1:29" ht="20.25" customHeight="1">
      <c r="A2270" s="217"/>
      <c r="E2270" s="187"/>
      <c r="G2270" s="202">
        <f>(G2269/G2271)-1</f>
        <v>3.6486206794595022E-2</v>
      </c>
      <c r="H2270" s="203">
        <f>(H2269/H2271)-1</f>
        <v>-5.4169636493228812E-2</v>
      </c>
      <c r="I2270" s="203">
        <f>(I2269/I2271)-1</f>
        <v>-0.11187633914906647</v>
      </c>
      <c r="J2270" s="203">
        <f>(J2269/J2271)-1</f>
        <v>0.79103843703546395</v>
      </c>
      <c r="K2270" s="188"/>
      <c r="L2270" s="188"/>
      <c r="M2270" s="188"/>
      <c r="N2270" s="188"/>
      <c r="O2270" s="188"/>
      <c r="P2270" s="188"/>
      <c r="Q2270" s="188"/>
      <c r="R2270" s="188"/>
      <c r="S2270" s="188"/>
      <c r="T2270" s="180"/>
      <c r="U2270" s="189" t="str">
        <f>IFERROR(IF(Tableau3[[#This Row],[Dettes]]=0,"",(Tableau3[[#This Row],[Dettes]]/Tableau3[[#This Row],[EBE]])),"")</f>
        <v/>
      </c>
      <c r="V2270" s="190" t="str">
        <f>IFERROR(Tableau3[[#This Row],[Fonds propres]]/Tableau3[[#This Row],[Total Bilan]],"")</f>
        <v/>
      </c>
      <c r="W2270" s="180"/>
      <c r="X2270" s="192"/>
      <c r="Y2270" s="180"/>
      <c r="Z2270" s="192" t="str">
        <f>IFERROR(Tableau3[[#This Row],[Chiffre d''affaires]]/Tableau3[[#This Row],[Salariés]],"")</f>
        <v/>
      </c>
      <c r="AA2270" s="188"/>
      <c r="AB2270" s="188"/>
      <c r="AC2270" s="177" t="s">
        <v>1607</v>
      </c>
    </row>
    <row r="2271" spans="1:29" ht="20.25" customHeight="1">
      <c r="A2271" s="217"/>
      <c r="E2271" s="187">
        <v>76.900000000000006</v>
      </c>
      <c r="F2271" s="178">
        <v>2016</v>
      </c>
      <c r="G2271" s="188">
        <v>33821000000</v>
      </c>
      <c r="H2271" s="188">
        <v>8418000000</v>
      </c>
      <c r="I2271" s="188">
        <v>6534000000</v>
      </c>
      <c r="J2271" s="188">
        <v>4709000000</v>
      </c>
      <c r="K2271" s="188">
        <v>8306000000</v>
      </c>
      <c r="L2271" s="188">
        <v>57554000000</v>
      </c>
      <c r="M2271" s="194">
        <f>L2271/P2271</f>
        <v>44.545669939987818</v>
      </c>
      <c r="N2271" s="190">
        <f>J2271/L2273</f>
        <v>8.1121121810883906E-2</v>
      </c>
      <c r="O2271" s="190">
        <f>(I2271*0.8)/(K2273+L2273)</f>
        <v>7.9859445420517913E-2</v>
      </c>
      <c r="P2271" s="188">
        <v>1292022324</v>
      </c>
      <c r="Q2271" s="211">
        <f>P2271*E2271</f>
        <v>99356516715.600006</v>
      </c>
      <c r="R2271" s="195">
        <f>Q2271/L2271</f>
        <v>1.7263181831949128</v>
      </c>
      <c r="S2271" s="197">
        <f>(Q2271+K2271)/H2271</f>
        <v>12.789560075504872</v>
      </c>
      <c r="T2271" s="180"/>
      <c r="U2271" s="189">
        <f>IFERROR(IF(Tableau3[[#This Row],[Dettes]]=0,"",(Tableau3[[#This Row],[Dettes]]/Tableau3[[#This Row],[EBE]])),"")</f>
        <v>0.98669517700166309</v>
      </c>
      <c r="V2271" s="190" t="str">
        <f>IFERROR(Tableau3[[#This Row],[Fonds propres]]/Tableau3[[#This Row],[Total Bilan]],"")</f>
        <v/>
      </c>
      <c r="W2271" s="180"/>
      <c r="X2271" s="192"/>
      <c r="Y2271" s="180"/>
      <c r="Z2271" s="192" t="str">
        <f>IFERROR(Tableau3[[#This Row],[Chiffre d''affaires]]/Tableau3[[#This Row],[Salariés]],"")</f>
        <v/>
      </c>
      <c r="AA2271" s="188"/>
      <c r="AB2271" s="188"/>
      <c r="AC2271" s="177" t="s">
        <v>1608</v>
      </c>
    </row>
    <row r="2272" spans="1:29" ht="20.25" customHeight="1">
      <c r="A2272" s="217"/>
      <c r="E2272" s="187"/>
      <c r="G2272" s="202">
        <f>(G2271/G2273)-1</f>
        <v>-2.0873139945573493E-2</v>
      </c>
      <c r="H2272" s="203">
        <f>(H2271/H2273)-1</f>
        <v>-1.2898686679174487E-2</v>
      </c>
      <c r="I2272" s="203">
        <f>(I2271/I2273)-1</f>
        <v>0.16180654338549072</v>
      </c>
      <c r="J2272" s="203">
        <f>(J2271/J2273)-1</f>
        <v>9.8437135526008968E-2</v>
      </c>
      <c r="K2272" s="188"/>
      <c r="L2272" s="188"/>
      <c r="M2272" s="188"/>
      <c r="N2272" s="188"/>
      <c r="O2272" s="188"/>
      <c r="P2272" s="188"/>
      <c r="Q2272" s="188"/>
      <c r="R2272" s="188"/>
      <c r="S2272" s="188"/>
      <c r="T2272" s="180"/>
      <c r="U2272" s="189" t="str">
        <f>IFERROR(IF(Tableau3[[#This Row],[Dettes]]=0,"",(Tableau3[[#This Row],[Dettes]]/Tableau3[[#This Row],[EBE]])),"")</f>
        <v/>
      </c>
      <c r="V2272" s="190" t="str">
        <f>IFERROR(Tableau3[[#This Row],[Fonds propres]]/Tableau3[[#This Row],[Total Bilan]],"")</f>
        <v/>
      </c>
      <c r="W2272" s="180"/>
      <c r="X2272" s="192"/>
      <c r="Y2272" s="180"/>
      <c r="Z2272" s="192" t="str">
        <f>IFERROR(Tableau3[[#This Row],[Chiffre d''affaires]]/Tableau3[[#This Row],[Salariés]],"")</f>
        <v/>
      </c>
      <c r="AA2272" s="188"/>
      <c r="AB2272" s="188"/>
      <c r="AC2272" s="177" t="s">
        <v>1609</v>
      </c>
    </row>
    <row r="2273" spans="1:29" ht="20.25" customHeight="1">
      <c r="A2273" s="217"/>
      <c r="E2273" s="187">
        <v>79.709999999999994</v>
      </c>
      <c r="F2273" s="178">
        <v>2015</v>
      </c>
      <c r="G2273" s="188">
        <v>34542000000</v>
      </c>
      <c r="H2273" s="188">
        <v>8528000000</v>
      </c>
      <c r="I2273" s="188">
        <v>5624000000</v>
      </c>
      <c r="J2273" s="188">
        <v>4287000000</v>
      </c>
      <c r="K2273" s="188">
        <v>7406000000</v>
      </c>
      <c r="L2273" s="188">
        <v>58049000000</v>
      </c>
      <c r="M2273" s="194">
        <f>L2273/P2273</f>
        <v>44.45825541028244</v>
      </c>
      <c r="N2273" s="190">
        <f>J2273/L2275</f>
        <v>7.6389878831076272E-2</v>
      </c>
      <c r="O2273" s="190">
        <f>(I2273*0.8)/(K2275+L2275)</f>
        <v>7.1087516392536063E-2</v>
      </c>
      <c r="P2273" s="188">
        <v>1305696759</v>
      </c>
      <c r="Q2273" s="211">
        <f>P2273*E2273</f>
        <v>104077088659.89</v>
      </c>
      <c r="R2273" s="195">
        <f>Q2273/L2273</f>
        <v>1.7929178566364623</v>
      </c>
      <c r="S2273" s="197">
        <f>(Q2273+K2273)/H2273</f>
        <v>13.072594824095919</v>
      </c>
      <c r="T2273" s="180"/>
      <c r="U2273" s="189">
        <f>IFERROR(IF(Tableau3[[#This Row],[Dettes]]=0,"",(Tableau3[[#This Row],[Dettes]]/Tableau3[[#This Row],[EBE]])),"")</f>
        <v>0.8684333958724203</v>
      </c>
      <c r="V2273" s="190" t="str">
        <f>IFERROR(Tableau3[[#This Row],[Fonds propres]]/Tableau3[[#This Row],[Total Bilan]],"")</f>
        <v/>
      </c>
      <c r="W2273" s="180"/>
      <c r="X2273" s="192"/>
      <c r="Y2273" s="180"/>
      <c r="Z2273" s="192" t="str">
        <f>IFERROR(Tableau3[[#This Row],[Chiffre d''affaires]]/Tableau3[[#This Row],[Salariés]],"")</f>
        <v/>
      </c>
      <c r="AA2273" s="188"/>
      <c r="AB2273" s="188"/>
      <c r="AC2273" s="177" t="s">
        <v>1610</v>
      </c>
    </row>
    <row r="2274" spans="1:29" ht="20.25" customHeight="1">
      <c r="A2274" s="217"/>
      <c r="E2274" s="187"/>
      <c r="G2274" s="202">
        <f>(G2273/G2275)-1</f>
        <v>2.2860527095054817E-2</v>
      </c>
      <c r="H2274" s="203">
        <f>(H2273/H2275)-1</f>
        <v>-8.2567740434934533E-3</v>
      </c>
      <c r="I2274" s="203">
        <f>(I2273/I2275)-1</f>
        <v>-8.4486407292853616E-2</v>
      </c>
      <c r="J2274" s="203">
        <f>(J2273/J2275)-1</f>
        <v>-2.3462414578587665E-2</v>
      </c>
      <c r="K2274" s="188"/>
      <c r="L2274" s="188"/>
      <c r="M2274" s="188"/>
      <c r="N2274" s="188"/>
      <c r="O2274" s="188"/>
      <c r="P2274" s="188"/>
      <c r="Q2274" s="188"/>
      <c r="R2274" s="188"/>
      <c r="S2274" s="188"/>
      <c r="T2274" s="180"/>
      <c r="U2274" s="189" t="str">
        <f>IFERROR(IF(Tableau3[[#This Row],[Dettes]]=0,"",(Tableau3[[#This Row],[Dettes]]/Tableau3[[#This Row],[EBE]])),"")</f>
        <v/>
      </c>
      <c r="V2274" s="190" t="str">
        <f>IFERROR(Tableau3[[#This Row],[Fonds propres]]/Tableau3[[#This Row],[Total Bilan]],"")</f>
        <v/>
      </c>
      <c r="W2274" s="180"/>
      <c r="X2274" s="192"/>
      <c r="Y2274" s="180"/>
      <c r="Z2274" s="192" t="str">
        <f>IFERROR(Tableau3[[#This Row],[Chiffre d''affaires]]/Tableau3[[#This Row],[Salariés]],"")</f>
        <v/>
      </c>
      <c r="AA2274" s="188"/>
      <c r="AB2274" s="188"/>
      <c r="AC2274" s="177" t="s">
        <v>1611</v>
      </c>
    </row>
    <row r="2275" spans="1:29" ht="20.25" customHeight="1">
      <c r="A2275" s="217"/>
      <c r="E2275" s="187">
        <v>75.44</v>
      </c>
      <c r="F2275" s="178">
        <v>2014</v>
      </c>
      <c r="G2275" s="188">
        <v>33770000000</v>
      </c>
      <c r="H2275" s="188">
        <v>8599000000</v>
      </c>
      <c r="I2275" s="188">
        <v>6143000000</v>
      </c>
      <c r="J2275" s="188">
        <v>4390000000</v>
      </c>
      <c r="K2275" s="188">
        <v>7171000000</v>
      </c>
      <c r="L2275" s="188">
        <v>56120000000</v>
      </c>
      <c r="M2275" s="194">
        <f>L2275/P2275</f>
        <v>42.535534897937396</v>
      </c>
      <c r="N2275" s="190">
        <f>J2275/L2277</f>
        <v>7.7147476451567554E-2</v>
      </c>
      <c r="O2275" s="190">
        <f>(I2275*0.8)/(K2277+L2277)</f>
        <v>7.8072028849667185E-2</v>
      </c>
      <c r="P2275" s="188">
        <v>1319367445</v>
      </c>
      <c r="Q2275" s="211">
        <f>P2275*E2275</f>
        <v>99533080050.800003</v>
      </c>
      <c r="R2275" s="195">
        <f>Q2275/L2275</f>
        <v>1.7735759096721313</v>
      </c>
      <c r="S2275" s="197">
        <f>(Q2275+K2275)/H2275</f>
        <v>12.408894063356204</v>
      </c>
      <c r="T2275" s="180"/>
      <c r="U2275" s="189">
        <f>IFERROR(IF(Tableau3[[#This Row],[Dettes]]=0,"",(Tableau3[[#This Row],[Dettes]]/Tableau3[[#This Row],[EBE]])),"")</f>
        <v>0.83393417839283634</v>
      </c>
      <c r="V2275" s="190" t="str">
        <f>IFERROR(Tableau3[[#This Row],[Fonds propres]]/Tableau3[[#This Row],[Total Bilan]],"")</f>
        <v/>
      </c>
      <c r="W2275" s="180"/>
      <c r="X2275" s="192"/>
      <c r="Y2275" s="180"/>
      <c r="Z2275" s="192" t="str">
        <f>IFERROR(Tableau3[[#This Row],[Chiffre d''affaires]]/Tableau3[[#This Row],[Salariés]],"")</f>
        <v/>
      </c>
      <c r="AA2275" s="188"/>
      <c r="AB2275" s="188"/>
      <c r="AC2275" s="177" t="s">
        <v>1612</v>
      </c>
    </row>
    <row r="2276" spans="1:29" ht="20.25" customHeight="1">
      <c r="A2276" s="217"/>
      <c r="E2276" s="187"/>
      <c r="G2276" s="202">
        <f>(G2275/G2277)-1</f>
        <v>2.4855087857728053E-2</v>
      </c>
      <c r="H2276" s="203">
        <f>(H2275/H2277)-1</f>
        <v>-8.5893483576060414E-2</v>
      </c>
      <c r="I2276" s="203">
        <f>(I2275/I2277)-1</f>
        <v>0.20309439874657276</v>
      </c>
      <c r="J2276" s="203">
        <f>(J2275/J2277)-1</f>
        <v>0.18105999461931654</v>
      </c>
      <c r="K2276" s="188"/>
      <c r="L2276" s="188"/>
      <c r="M2276" s="188"/>
      <c r="N2276" s="188"/>
      <c r="O2276" s="188"/>
      <c r="P2276" s="188"/>
      <c r="Q2276" s="188"/>
      <c r="R2276" s="188"/>
      <c r="S2276" s="188"/>
      <c r="T2276" s="180"/>
      <c r="U2276" s="189" t="str">
        <f>IFERROR(IF(Tableau3[[#This Row],[Dettes]]=0,"",(Tableau3[[#This Row],[Dettes]]/Tableau3[[#This Row],[EBE]])),"")</f>
        <v/>
      </c>
      <c r="V2276" s="190" t="str">
        <f>IFERROR(Tableau3[[#This Row],[Fonds propres]]/Tableau3[[#This Row],[Total Bilan]],"")</f>
        <v/>
      </c>
      <c r="W2276" s="180"/>
      <c r="X2276" s="192"/>
      <c r="Y2276" s="180"/>
      <c r="Z2276" s="192" t="str">
        <f>IFERROR(Tableau3[[#This Row],[Chiffre d''affaires]]/Tableau3[[#This Row],[Salariés]],"")</f>
        <v/>
      </c>
      <c r="AA2276" s="188"/>
      <c r="AB2276" s="188"/>
      <c r="AC2276" s="177" t="s">
        <v>1613</v>
      </c>
    </row>
    <row r="2277" spans="1:29" ht="20.25" customHeight="1">
      <c r="A2277" s="217"/>
      <c r="E2277" s="187">
        <v>77.23</v>
      </c>
      <c r="F2277" s="178">
        <v>2013</v>
      </c>
      <c r="G2277" s="188">
        <v>32951000000</v>
      </c>
      <c r="H2277" s="188">
        <v>9407000000</v>
      </c>
      <c r="I2277" s="188">
        <v>5106000000</v>
      </c>
      <c r="J2277" s="188">
        <v>3717000000</v>
      </c>
      <c r="K2277" s="188">
        <v>6043000000</v>
      </c>
      <c r="L2277" s="188">
        <v>56904000000</v>
      </c>
      <c r="M2277" s="194">
        <f>L2277/P2277</f>
        <v>42.96843825118242</v>
      </c>
      <c r="N2277" s="190">
        <f>J2277/L2279</f>
        <v>6.4826118804283378E-2</v>
      </c>
      <c r="O2277" s="190">
        <f>(I2277*0.8)/(K2279+L2279)</f>
        <v>6.2788016662311513E-2</v>
      </c>
      <c r="P2277" s="188">
        <v>1324320881</v>
      </c>
      <c r="Q2277" s="211">
        <f>P2277*E2277</f>
        <v>102277301639.63</v>
      </c>
      <c r="R2277" s="195">
        <f>Q2277/L2277</f>
        <v>1.7973657676021018</v>
      </c>
      <c r="S2277" s="197">
        <f>(Q2277+K2277)/H2277</f>
        <v>11.514861447818646</v>
      </c>
      <c r="T2277" s="180"/>
      <c r="U2277" s="189">
        <f>IFERROR(IF(Tableau3[[#This Row],[Dettes]]=0,"",(Tableau3[[#This Row],[Dettes]]/Tableau3[[#This Row],[EBE]])),"")</f>
        <v>0.64239396194323373</v>
      </c>
      <c r="V2277" s="190" t="str">
        <f>IFERROR(Tableau3[[#This Row],[Fonds propres]]/Tableau3[[#This Row],[Total Bilan]],"")</f>
        <v/>
      </c>
      <c r="W2277" s="180"/>
      <c r="X2277" s="192"/>
      <c r="Y2277" s="180"/>
      <c r="Z2277" s="192" t="str">
        <f>IFERROR(Tableau3[[#This Row],[Chiffre d''affaires]]/Tableau3[[#This Row],[Salariés]],"")</f>
        <v/>
      </c>
      <c r="AA2277" s="188"/>
      <c r="AB2277" s="188"/>
      <c r="AC2277" s="177" t="s">
        <v>1614</v>
      </c>
    </row>
    <row r="2278" spans="1:29" ht="20.25" customHeight="1">
      <c r="A2278" s="217"/>
      <c r="E2278" s="187"/>
      <c r="G2278" s="202">
        <f>(G2277/G2279)-1</f>
        <v>-5.7115059947921099E-2</v>
      </c>
      <c r="H2278" s="203">
        <f>(H2277/H2279)-1</f>
        <v>-3.4684453565931195E-2</v>
      </c>
      <c r="I2278" s="203">
        <f>(I2277/I2279)-1</f>
        <v>-0.19425595707748144</v>
      </c>
      <c r="J2278" s="203">
        <f>(J2277/J2279)-1</f>
        <v>-0.25166096235152002</v>
      </c>
      <c r="K2278" s="188"/>
      <c r="L2278" s="188"/>
      <c r="M2278" s="188"/>
      <c r="N2278" s="188"/>
      <c r="O2278" s="188"/>
      <c r="P2278" s="188"/>
      <c r="Q2278" s="188"/>
      <c r="R2278" s="188"/>
      <c r="S2278" s="188"/>
      <c r="T2278" s="180"/>
      <c r="U2278" s="189" t="str">
        <f>IFERROR(IF(Tableau3[[#This Row],[Dettes]]=0,"",(Tableau3[[#This Row],[Dettes]]/Tableau3[[#This Row],[EBE]])),"")</f>
        <v/>
      </c>
      <c r="V2278" s="190" t="str">
        <f>IFERROR(Tableau3[[#This Row],[Fonds propres]]/Tableau3[[#This Row],[Total Bilan]],"")</f>
        <v/>
      </c>
      <c r="W2278" s="180"/>
      <c r="X2278" s="192"/>
      <c r="Y2278" s="180"/>
      <c r="Z2278" s="192" t="str">
        <f>IFERROR(Tableau3[[#This Row],[Chiffre d''affaires]]/Tableau3[[#This Row],[Salariés]],"")</f>
        <v/>
      </c>
      <c r="AA2278" s="188"/>
      <c r="AB2278" s="188"/>
      <c r="AC2278" s="177" t="s">
        <v>1615</v>
      </c>
    </row>
    <row r="2279" spans="1:29" ht="20.25" customHeight="1">
      <c r="A2279" s="217"/>
      <c r="E2279" s="187">
        <v>71.39</v>
      </c>
      <c r="F2279" s="178">
        <v>2012</v>
      </c>
      <c r="G2279" s="188">
        <v>34947000000</v>
      </c>
      <c r="H2279" s="188">
        <v>9745000000</v>
      </c>
      <c r="I2279" s="188">
        <v>6337000000</v>
      </c>
      <c r="J2279" s="188">
        <v>4967000000</v>
      </c>
      <c r="K2279" s="188">
        <v>7719000000</v>
      </c>
      <c r="L2279" s="188">
        <v>57338000000</v>
      </c>
      <c r="M2279" s="194">
        <f>L2279/P2279</f>
        <v>43.230146178202766</v>
      </c>
      <c r="N2279" s="190">
        <f>J2279/L2281</f>
        <v>8.8376065334590678E-2</v>
      </c>
      <c r="O2279" s="190">
        <f>(I2279*0.8)/(K2281+L2281)</f>
        <v>7.5595717395842657E-2</v>
      </c>
      <c r="P2279" s="188">
        <v>1326342959</v>
      </c>
      <c r="Q2279" s="211">
        <f>P2279*E2279</f>
        <v>94687623843.009995</v>
      </c>
      <c r="R2279" s="195">
        <f>Q2279/L2279</f>
        <v>1.6513939070600647</v>
      </c>
      <c r="S2279" s="197">
        <f>(Q2279+K2279)/H2279</f>
        <v>10.508632513392508</v>
      </c>
      <c r="T2279" s="180"/>
      <c r="U2279" s="189">
        <f>IFERROR(IF(Tableau3[[#This Row],[Dettes]]=0,"",(Tableau3[[#This Row],[Dettes]]/Tableau3[[#This Row],[EBE]])),"")</f>
        <v>0.7920985120574654</v>
      </c>
      <c r="V2279" s="190" t="str">
        <f>IFERROR(Tableau3[[#This Row],[Fonds propres]]/Tableau3[[#This Row],[Total Bilan]],"")</f>
        <v/>
      </c>
      <c r="W2279" s="180"/>
      <c r="X2279" s="192"/>
      <c r="Y2279" s="180"/>
      <c r="Z2279" s="192" t="str">
        <f>IFERROR(Tableau3[[#This Row],[Chiffre d''affaires]]/Tableau3[[#This Row],[Salariés]],"")</f>
        <v/>
      </c>
      <c r="AA2279" s="188"/>
      <c r="AB2279" s="188"/>
      <c r="AC2279" s="177" t="s">
        <v>1616</v>
      </c>
    </row>
    <row r="2280" spans="1:29" ht="20.25" customHeight="1">
      <c r="A2280" s="217"/>
      <c r="E2280" s="187"/>
      <c r="G2280" s="202">
        <f>(G2279/G2281)-1</f>
        <v>4.6662074335859005E-2</v>
      </c>
      <c r="H2280" s="203">
        <f>(H2279/H2281)-1</f>
        <v>6.0737999346903271E-2</v>
      </c>
      <c r="I2280" s="203">
        <f>(I2279/I2281)-1</f>
        <v>0.10574070842784855</v>
      </c>
      <c r="J2280" s="203">
        <f>(J2279/J2281)-1</f>
        <v>-0.12752503073950461</v>
      </c>
      <c r="K2280" s="188"/>
      <c r="L2280" s="188"/>
      <c r="M2280" s="188"/>
      <c r="N2280" s="188"/>
      <c r="O2280" s="188"/>
      <c r="P2280" s="188"/>
      <c r="Q2280" s="188"/>
      <c r="R2280" s="188"/>
      <c r="S2280" s="188"/>
      <c r="T2280" s="180"/>
      <c r="U2280" s="189" t="str">
        <f>IFERROR(IF(Tableau3[[#This Row],[Dettes]]=0,"",(Tableau3[[#This Row],[Dettes]]/Tableau3[[#This Row],[EBE]])),"")</f>
        <v/>
      </c>
      <c r="V2280" s="190" t="str">
        <f>IFERROR(Tableau3[[#This Row],[Fonds propres]]/Tableau3[[#This Row],[Total Bilan]],"")</f>
        <v/>
      </c>
      <c r="W2280" s="180"/>
      <c r="X2280" s="192"/>
      <c r="Y2280" s="180"/>
      <c r="Z2280" s="192" t="str">
        <f>IFERROR(Tableau3[[#This Row],[Chiffre d''affaires]]/Tableau3[[#This Row],[Salariés]],"")</f>
        <v/>
      </c>
      <c r="AA2280" s="188"/>
      <c r="AB2280" s="188"/>
      <c r="AC2280" s="177" t="s">
        <v>1617</v>
      </c>
    </row>
    <row r="2281" spans="1:29" ht="20.25" customHeight="1">
      <c r="A2281" s="217"/>
      <c r="E2281" s="187">
        <v>57.42</v>
      </c>
      <c r="F2281" s="178">
        <v>2011</v>
      </c>
      <c r="G2281" s="188">
        <v>33389000000</v>
      </c>
      <c r="H2281" s="188">
        <v>9187000000</v>
      </c>
      <c r="I2281" s="188">
        <v>5731000000</v>
      </c>
      <c r="J2281" s="188">
        <v>5693000000</v>
      </c>
      <c r="K2281" s="188">
        <v>10859000000</v>
      </c>
      <c r="L2281" s="188">
        <v>56203000000</v>
      </c>
      <c r="M2281" s="194">
        <f>L2281/P2281</f>
        <v>41.913797866767339</v>
      </c>
      <c r="N2281" s="190">
        <f>J2281/L2283</f>
        <v>0.10721886358928</v>
      </c>
      <c r="O2281" s="190">
        <f>(I2281*0.8)/(K2283+L2283)</f>
        <v>8.3857043567326331E-2</v>
      </c>
      <c r="P2281" s="188">
        <v>1340918811</v>
      </c>
      <c r="Q2281" s="211">
        <f>P2281*E2281</f>
        <v>76995558127.619995</v>
      </c>
      <c r="R2281" s="195">
        <f>Q2281/L2281</f>
        <v>1.3699545954418801</v>
      </c>
      <c r="S2281" s="197">
        <f>(Q2281+K2281)/H2281</f>
        <v>9.5629213157309234</v>
      </c>
      <c r="T2281" s="180"/>
      <c r="U2281" s="189">
        <f>IFERROR(IF(Tableau3[[#This Row],[Dettes]]=0,"",(Tableau3[[#This Row],[Dettes]]/Tableau3[[#This Row],[EBE]])),"")</f>
        <v>1.1819962991183193</v>
      </c>
      <c r="V2281" s="190" t="str">
        <f>IFERROR(Tableau3[[#This Row],[Fonds propres]]/Tableau3[[#This Row],[Total Bilan]],"")</f>
        <v/>
      </c>
      <c r="W2281" s="180"/>
      <c r="X2281" s="192"/>
      <c r="Y2281" s="180"/>
      <c r="Z2281" s="192" t="str">
        <f>IFERROR(Tableau3[[#This Row],[Chiffre d''affaires]]/Tableau3[[#This Row],[Salariés]],"")</f>
        <v/>
      </c>
      <c r="AA2281" s="188"/>
      <c r="AB2281" s="188"/>
      <c r="AC2281" s="177" t="s">
        <v>1618</v>
      </c>
    </row>
    <row r="2282" spans="1:29" ht="20.25" customHeight="1">
      <c r="A2282" s="217"/>
      <c r="E2282" s="187"/>
      <c r="G2282" s="202">
        <f>(G2281/G2283)-1</f>
        <v>9.8900737230121161E-2</v>
      </c>
      <c r="H2282" s="203">
        <f>(H2281/H2283)-1</f>
        <v>-7.4171117605562831E-2</v>
      </c>
      <c r="I2282" s="203">
        <f>(I2281/I2283)-1</f>
        <v>-3.8584130179500131E-2</v>
      </c>
      <c r="J2282" s="203">
        <f>(J2281/J2283)-1</f>
        <v>4.1338942747393359E-2</v>
      </c>
      <c r="K2282" s="188"/>
      <c r="L2282" s="188"/>
      <c r="M2282" s="188"/>
      <c r="N2282" s="188"/>
      <c r="O2282" s="188"/>
      <c r="P2282" s="188"/>
      <c r="Q2282" s="188"/>
      <c r="R2282" s="188"/>
      <c r="S2282" s="188"/>
      <c r="T2282" s="180"/>
      <c r="U2282" s="189" t="str">
        <f>IFERROR(IF(Tableau3[[#This Row],[Dettes]]=0,"",(Tableau3[[#This Row],[Dettes]]/Tableau3[[#This Row],[EBE]])),"")</f>
        <v/>
      </c>
      <c r="V2282" s="190" t="str">
        <f>IFERROR(Tableau3[[#This Row],[Fonds propres]]/Tableau3[[#This Row],[Total Bilan]],"")</f>
        <v/>
      </c>
      <c r="W2282" s="180"/>
      <c r="X2282" s="192"/>
      <c r="Y2282" s="180"/>
      <c r="Z2282" s="192" t="str">
        <f>IFERROR(Tableau3[[#This Row],[Chiffre d''affaires]]/Tableau3[[#This Row],[Salariés]],"")</f>
        <v/>
      </c>
      <c r="AA2282" s="188"/>
      <c r="AB2282" s="188"/>
      <c r="AC2282" s="177" t="s">
        <v>1619</v>
      </c>
    </row>
    <row r="2283" spans="1:29" ht="20.25" customHeight="1">
      <c r="A2283" s="217"/>
      <c r="E2283" s="187">
        <v>49.15</v>
      </c>
      <c r="F2283" s="178">
        <v>2010</v>
      </c>
      <c r="G2283" s="188">
        <v>30384000000</v>
      </c>
      <c r="H2283" s="188">
        <v>9923000000</v>
      </c>
      <c r="I2283" s="188">
        <v>5961000000</v>
      </c>
      <c r="J2283" s="188">
        <v>5467000000</v>
      </c>
      <c r="K2283" s="188">
        <v>1577000000</v>
      </c>
      <c r="L2283" s="188">
        <v>53097000000</v>
      </c>
      <c r="M2283" s="194">
        <f>L2283/P2283</f>
        <v>40.501212593581918</v>
      </c>
      <c r="N2283" s="190">
        <f>J2283/L2283</f>
        <v>0.10296250258960017</v>
      </c>
      <c r="O2283" s="190">
        <f>(I2283*0.8)/(K2283+L2283)</f>
        <v>8.7222445769469956E-2</v>
      </c>
      <c r="P2283" s="188">
        <v>1310997785</v>
      </c>
      <c r="Q2283" s="211">
        <f>P2283*E2283</f>
        <v>64435541132.75</v>
      </c>
      <c r="R2283" s="195">
        <f>Q2283/L2283</f>
        <v>1.2135439127022243</v>
      </c>
      <c r="S2283" s="197">
        <f>(Q2283+K2283)/H2283</f>
        <v>6.6524781953794214</v>
      </c>
      <c r="T2283" s="180"/>
      <c r="U2283" s="189">
        <f>IFERROR(IF(Tableau3[[#This Row],[Dettes]]=0,"",(Tableau3[[#This Row],[Dettes]]/Tableau3[[#This Row],[EBE]])),"")</f>
        <v>0.15892371258691929</v>
      </c>
      <c r="V2283" s="190" t="str">
        <f>IFERROR(Tableau3[[#This Row],[Fonds propres]]/Tableau3[[#This Row],[Total Bilan]],"")</f>
        <v/>
      </c>
      <c r="W2283" s="180"/>
      <c r="X2283" s="192"/>
      <c r="Y2283" s="180"/>
      <c r="Z2283" s="192" t="str">
        <f>IFERROR(Tableau3[[#This Row],[Chiffre d''affaires]]/Tableau3[[#This Row],[Salariés]],"")</f>
        <v/>
      </c>
      <c r="AA2283" s="188"/>
      <c r="AB2283" s="188"/>
      <c r="AC2283" s="177" t="s">
        <v>4684</v>
      </c>
    </row>
    <row r="2284" spans="1:29" ht="20.25" customHeight="1">
      <c r="A2284" s="217"/>
      <c r="E2284" s="187"/>
      <c r="G2284" s="188"/>
      <c r="H2284" s="188"/>
      <c r="I2284" s="188"/>
      <c r="J2284" s="188"/>
      <c r="K2284" s="188"/>
      <c r="L2284" s="188"/>
      <c r="M2284" s="188"/>
      <c r="N2284" s="188"/>
      <c r="O2284" s="188"/>
      <c r="P2284" s="188"/>
      <c r="Q2284" s="188"/>
      <c r="R2284" s="188"/>
      <c r="S2284" s="188"/>
      <c r="T2284" s="180"/>
      <c r="U2284" s="189" t="str">
        <f>IFERROR(IF(Tableau3[[#This Row],[Dettes]]=0,"",(Tableau3[[#This Row],[Dettes]]/Tableau3[[#This Row],[EBE]])),"")</f>
        <v/>
      </c>
      <c r="V2284" s="190" t="str">
        <f>IFERROR(Tableau3[[#This Row],[Fonds propres]]/Tableau3[[#This Row],[Total Bilan]],"")</f>
        <v/>
      </c>
      <c r="W2284" s="180"/>
      <c r="X2284" s="192"/>
      <c r="Y2284" s="180"/>
      <c r="Z2284" s="192" t="str">
        <f>IFERROR(Tableau3[[#This Row],[Chiffre d''affaires]]/Tableau3[[#This Row],[Salariés]],"")</f>
        <v/>
      </c>
      <c r="AA2284" s="188"/>
      <c r="AB2284" s="188"/>
      <c r="AC2284" s="177" t="s">
        <v>4674</v>
      </c>
    </row>
    <row r="2285" spans="1:29" ht="20.25" customHeight="1">
      <c r="A2285" s="217"/>
      <c r="F2285" s="224" t="s">
        <v>1621</v>
      </c>
      <c r="G2285" s="188"/>
      <c r="H2285" s="188"/>
      <c r="I2285" s="188"/>
      <c r="J2285" s="188"/>
      <c r="K2285" s="188"/>
      <c r="L2285" s="188"/>
      <c r="M2285" s="188"/>
      <c r="N2285" s="188"/>
      <c r="O2285" s="188"/>
      <c r="P2285" s="188"/>
      <c r="Q2285" s="188"/>
      <c r="R2285" s="188"/>
      <c r="S2285" s="188"/>
      <c r="T2285" s="180"/>
      <c r="U2285" s="189" t="str">
        <f>IFERROR(IF(Tableau3[[#This Row],[Dettes]]=0,"",(Tableau3[[#This Row],[Dettes]]/Tableau3[[#This Row],[EBE]])),"")</f>
        <v/>
      </c>
      <c r="V2285" s="190" t="str">
        <f>IFERROR(Tableau3[[#This Row],[Fonds propres]]/Tableau3[[#This Row],[Total Bilan]],"")</f>
        <v/>
      </c>
      <c r="W2285" s="180"/>
      <c r="X2285" s="192"/>
      <c r="Y2285" s="180"/>
      <c r="Z2285" s="192" t="str">
        <f>IFERROR(Tableau3[[#This Row],[Chiffre d''affaires]]/Tableau3[[#This Row],[Salariés]],"")</f>
        <v/>
      </c>
      <c r="AA2285" s="188"/>
      <c r="AB2285" s="188"/>
      <c r="AC2285" s="177" t="s">
        <v>4683</v>
      </c>
    </row>
    <row r="2286" spans="1:29" ht="20.25" customHeight="1">
      <c r="A2286" s="217"/>
      <c r="E2286" s="232"/>
      <c r="G2286" s="188"/>
      <c r="H2286" s="188"/>
      <c r="I2286" s="188"/>
      <c r="J2286" s="188"/>
      <c r="K2286" s="188"/>
      <c r="L2286" s="188"/>
      <c r="M2286" s="188"/>
      <c r="N2286" s="188"/>
      <c r="O2286" s="188"/>
      <c r="P2286" s="188"/>
      <c r="Q2286" s="188"/>
      <c r="R2286" s="188"/>
      <c r="S2286" s="188"/>
      <c r="T2286" s="180"/>
      <c r="U2286" s="189" t="str">
        <f>IFERROR(IF(Tableau3[[#This Row],[Dettes]]=0,"",(Tableau3[[#This Row],[Dettes]]/Tableau3[[#This Row],[EBE]])),"")</f>
        <v/>
      </c>
      <c r="V2286" s="190" t="str">
        <f>IFERROR(Tableau3[[#This Row],[Fonds propres]]/Tableau3[[#This Row],[Total Bilan]],"")</f>
        <v/>
      </c>
      <c r="W2286" s="180"/>
      <c r="X2286" s="192"/>
      <c r="Y2286" s="180"/>
      <c r="Z2286" s="192" t="str">
        <f>IFERROR(Tableau3[[#This Row],[Chiffre d''affaires]]/Tableau3[[#This Row],[Salariés]],"")</f>
        <v/>
      </c>
      <c r="AA2286" s="188"/>
      <c r="AB2286" s="188"/>
      <c r="AC2286" s="177" t="s">
        <v>1620</v>
      </c>
    </row>
    <row r="2287" spans="1:29" ht="20.25" customHeight="1">
      <c r="A2287" s="217"/>
      <c r="E2287" s="232"/>
      <c r="G2287" s="188"/>
      <c r="H2287" s="188"/>
      <c r="I2287" s="188"/>
      <c r="J2287" s="188"/>
      <c r="K2287" s="188"/>
      <c r="L2287" s="188"/>
      <c r="M2287" s="188"/>
      <c r="N2287" s="188"/>
      <c r="O2287" s="188"/>
      <c r="P2287" s="188"/>
      <c r="Q2287" s="188"/>
      <c r="R2287" s="188"/>
      <c r="S2287" s="188"/>
      <c r="T2287" s="180"/>
      <c r="U2287" s="189" t="str">
        <f>IFERROR(IF(Tableau3[[#This Row],[Dettes]]=0,"",(Tableau3[[#This Row],[Dettes]]/Tableau3[[#This Row],[EBE]])),"")</f>
        <v/>
      </c>
      <c r="V2287" s="190" t="str">
        <f>IFERROR(Tableau3[[#This Row],[Fonds propres]]/Tableau3[[#This Row],[Total Bilan]],"")</f>
        <v/>
      </c>
      <c r="W2287" s="180"/>
      <c r="X2287" s="192"/>
      <c r="Y2287" s="180"/>
      <c r="Z2287" s="192" t="str">
        <f>IFERROR(Tableau3[[#This Row],[Chiffre d''affaires]]/Tableau3[[#This Row],[Salariés]],"")</f>
        <v/>
      </c>
      <c r="AA2287" s="188"/>
      <c r="AB2287" s="188"/>
      <c r="AC2287" s="177" t="s">
        <v>1622</v>
      </c>
    </row>
    <row r="2288" spans="1:29" ht="20.25" customHeight="1">
      <c r="A2288" s="217"/>
      <c r="E2288" s="232"/>
      <c r="G2288" s="188"/>
      <c r="H2288" s="188"/>
      <c r="I2288" s="188"/>
      <c r="J2288" s="188"/>
      <c r="K2288" s="188"/>
      <c r="L2288" s="188"/>
      <c r="M2288" s="188"/>
      <c r="N2288" s="188"/>
      <c r="O2288" s="188"/>
      <c r="P2288" s="188"/>
      <c r="Q2288" s="188"/>
      <c r="R2288" s="188"/>
      <c r="S2288" s="188"/>
      <c r="T2288" s="180"/>
      <c r="U2288" s="189" t="str">
        <f>IFERROR(IF(Tableau3[[#This Row],[Dettes]]=0,"",(Tableau3[[#This Row],[Dettes]]/Tableau3[[#This Row],[EBE]])),"")</f>
        <v/>
      </c>
      <c r="V2288" s="190" t="str">
        <f>IFERROR(Tableau3[[#This Row],[Fonds propres]]/Tableau3[[#This Row],[Total Bilan]],"")</f>
        <v/>
      </c>
      <c r="W2288" s="180"/>
      <c r="X2288" s="192"/>
      <c r="Y2288" s="180"/>
      <c r="Z2288" s="192" t="str">
        <f>IFERROR(Tableau3[[#This Row],[Chiffre d''affaires]]/Tableau3[[#This Row],[Salariés]],"")</f>
        <v/>
      </c>
      <c r="AA2288" s="188"/>
      <c r="AB2288" s="188"/>
      <c r="AC2288" s="177" t="s">
        <v>1623</v>
      </c>
    </row>
    <row r="2289" spans="1:29" ht="20.25" customHeight="1">
      <c r="A2289" s="217"/>
      <c r="E2289" s="232"/>
      <c r="G2289" s="188"/>
      <c r="H2289" s="188"/>
      <c r="I2289" s="188"/>
      <c r="J2289" s="188"/>
      <c r="K2289" s="188"/>
      <c r="L2289" s="188"/>
      <c r="M2289" s="188"/>
      <c r="N2289" s="188"/>
      <c r="O2289" s="188"/>
      <c r="P2289" s="188"/>
      <c r="Q2289" s="188"/>
      <c r="R2289" s="188"/>
      <c r="S2289" s="188"/>
      <c r="T2289" s="180"/>
      <c r="U2289" s="189" t="str">
        <f>IFERROR(IF(Tableau3[[#This Row],[Dettes]]=0,"",(Tableau3[[#This Row],[Dettes]]/Tableau3[[#This Row],[EBE]])),"")</f>
        <v/>
      </c>
      <c r="V2289" s="190" t="str">
        <f>IFERROR(Tableau3[[#This Row],[Fonds propres]]/Tableau3[[#This Row],[Total Bilan]],"")</f>
        <v/>
      </c>
      <c r="W2289" s="180"/>
      <c r="X2289" s="192"/>
      <c r="Y2289" s="180"/>
      <c r="Z2289" s="192" t="str">
        <f>IFERROR(Tableau3[[#This Row],[Chiffre d''affaires]]/Tableau3[[#This Row],[Salariés]],"")</f>
        <v/>
      </c>
      <c r="AA2289" s="188"/>
      <c r="AB2289" s="188"/>
      <c r="AC2289" s="177" t="s">
        <v>1624</v>
      </c>
    </row>
    <row r="2290" spans="1:29" ht="20.25" customHeight="1">
      <c r="A2290" s="217"/>
      <c r="E2290" s="232"/>
      <c r="G2290" s="188"/>
      <c r="H2290" s="188"/>
      <c r="I2290" s="188"/>
      <c r="J2290" s="188"/>
      <c r="K2290" s="188"/>
      <c r="L2290" s="188"/>
      <c r="M2290" s="188"/>
      <c r="N2290" s="188"/>
      <c r="O2290" s="188"/>
      <c r="P2290" s="188"/>
      <c r="Q2290" s="188"/>
      <c r="R2290" s="188"/>
      <c r="S2290" s="188"/>
      <c r="T2290" s="180"/>
      <c r="U2290" s="189" t="str">
        <f>IFERROR(IF(Tableau3[[#This Row],[Dettes]]=0,"",(Tableau3[[#This Row],[Dettes]]/Tableau3[[#This Row],[EBE]])),"")</f>
        <v/>
      </c>
      <c r="V2290" s="190" t="str">
        <f>IFERROR(Tableau3[[#This Row],[Fonds propres]]/Tableau3[[#This Row],[Total Bilan]],"")</f>
        <v/>
      </c>
      <c r="W2290" s="180"/>
      <c r="X2290" s="192"/>
      <c r="Y2290" s="180"/>
      <c r="Z2290" s="192" t="str">
        <f>IFERROR(Tableau3[[#This Row],[Chiffre d''affaires]]/Tableau3[[#This Row],[Salariés]],"")</f>
        <v/>
      </c>
      <c r="AA2290" s="188"/>
      <c r="AB2290" s="188"/>
      <c r="AC2290" s="177" t="s">
        <v>1625</v>
      </c>
    </row>
    <row r="2291" spans="1:29" ht="20.25" customHeight="1">
      <c r="A2291" s="217"/>
      <c r="E2291" s="232"/>
      <c r="G2291" s="188"/>
      <c r="H2291" s="188"/>
      <c r="I2291" s="188"/>
      <c r="J2291" s="188"/>
      <c r="K2291" s="188"/>
      <c r="L2291" s="188"/>
      <c r="M2291" s="188"/>
      <c r="N2291" s="188"/>
      <c r="O2291" s="188"/>
      <c r="P2291" s="188"/>
      <c r="Q2291" s="188"/>
      <c r="R2291" s="188"/>
      <c r="S2291" s="188"/>
      <c r="T2291" s="180"/>
      <c r="U2291" s="189" t="str">
        <f>IFERROR(IF(Tableau3[[#This Row],[Dettes]]=0,"",(Tableau3[[#This Row],[Dettes]]/Tableau3[[#This Row],[EBE]])),"")</f>
        <v/>
      </c>
      <c r="V2291" s="190" t="str">
        <f>IFERROR(Tableau3[[#This Row],[Fonds propres]]/Tableau3[[#This Row],[Total Bilan]],"")</f>
        <v/>
      </c>
      <c r="W2291" s="180"/>
      <c r="X2291" s="192"/>
      <c r="Y2291" s="180"/>
      <c r="Z2291" s="192" t="str">
        <f>IFERROR(Tableau3[[#This Row],[Chiffre d''affaires]]/Tableau3[[#This Row],[Salariés]],"")</f>
        <v/>
      </c>
      <c r="AA2291" s="188"/>
      <c r="AB2291" s="188"/>
      <c r="AC2291" s="177" t="s">
        <v>4686</v>
      </c>
    </row>
    <row r="2292" spans="1:29" ht="20.25" customHeight="1">
      <c r="A2292" s="217"/>
      <c r="E2292" s="232"/>
      <c r="G2292" s="188"/>
      <c r="H2292" s="188"/>
      <c r="I2292" s="188"/>
      <c r="J2292" s="188"/>
      <c r="K2292" s="188"/>
      <c r="L2292" s="188"/>
      <c r="M2292" s="188"/>
      <c r="N2292" s="188"/>
      <c r="O2292" s="188"/>
      <c r="P2292" s="188"/>
      <c r="Q2292" s="188"/>
      <c r="R2292" s="188"/>
      <c r="S2292" s="188"/>
      <c r="T2292" s="180"/>
      <c r="U2292" s="189" t="str">
        <f>IFERROR(IF(Tableau3[[#This Row],[Dettes]]=0,"",(Tableau3[[#This Row],[Dettes]]/Tableau3[[#This Row],[EBE]])),"")</f>
        <v/>
      </c>
      <c r="V2292" s="190" t="str">
        <f>IFERROR(Tableau3[[#This Row],[Fonds propres]]/Tableau3[[#This Row],[Total Bilan]],"")</f>
        <v/>
      </c>
      <c r="W2292" s="180"/>
      <c r="X2292" s="192"/>
      <c r="Y2292" s="180"/>
      <c r="Z2292" s="192" t="str">
        <f>IFERROR(Tableau3[[#This Row],[Chiffre d''affaires]]/Tableau3[[#This Row],[Salariés]],"")</f>
        <v/>
      </c>
      <c r="AA2292" s="188"/>
      <c r="AB2292" s="188"/>
      <c r="AC2292" s="177" t="s">
        <v>1626</v>
      </c>
    </row>
    <row r="2293" spans="1:29" ht="20.25" customHeight="1">
      <c r="A2293" s="217"/>
      <c r="E2293" s="232"/>
      <c r="G2293" s="188"/>
      <c r="H2293" s="188"/>
      <c r="I2293" s="188"/>
      <c r="J2293" s="188"/>
      <c r="K2293" s="188"/>
      <c r="L2293" s="188"/>
      <c r="M2293" s="188"/>
      <c r="N2293" s="188"/>
      <c r="O2293" s="188"/>
      <c r="P2293" s="188"/>
      <c r="Q2293" s="188"/>
      <c r="R2293" s="188"/>
      <c r="S2293" s="188"/>
      <c r="T2293" s="180"/>
      <c r="U2293" s="189" t="str">
        <f>IFERROR(IF(Tableau3[[#This Row],[Dettes]]=0,"",(Tableau3[[#This Row],[Dettes]]/Tableau3[[#This Row],[EBE]])),"")</f>
        <v/>
      </c>
      <c r="V2293" s="190" t="str">
        <f>IFERROR(Tableau3[[#This Row],[Fonds propres]]/Tableau3[[#This Row],[Total Bilan]],"")</f>
        <v/>
      </c>
      <c r="W2293" s="180"/>
      <c r="X2293" s="192"/>
      <c r="Y2293" s="180"/>
      <c r="Z2293" s="192" t="str">
        <f>IFERROR(Tableau3[[#This Row],[Chiffre d''affaires]]/Tableau3[[#This Row],[Salariés]],"")</f>
        <v/>
      </c>
      <c r="AA2293" s="188"/>
      <c r="AB2293" s="188"/>
    </row>
    <row r="2294" spans="1:29" ht="20.25" customHeight="1">
      <c r="A2294" s="217"/>
      <c r="E2294" s="232"/>
      <c r="G2294" s="188"/>
      <c r="H2294" s="188"/>
      <c r="I2294" s="188"/>
      <c r="J2294" s="188"/>
      <c r="K2294" s="188"/>
      <c r="L2294" s="188"/>
      <c r="M2294" s="188"/>
      <c r="N2294" s="188"/>
      <c r="O2294" s="188"/>
      <c r="P2294" s="188"/>
      <c r="Q2294" s="188"/>
      <c r="R2294" s="188"/>
      <c r="S2294" s="188"/>
      <c r="T2294" s="180"/>
      <c r="U2294" s="189" t="str">
        <f>IFERROR(IF(Tableau3[[#This Row],[Dettes]]=0,"",(Tableau3[[#This Row],[Dettes]]/Tableau3[[#This Row],[EBE]])),"")</f>
        <v/>
      </c>
      <c r="V2294" s="190" t="str">
        <f>IFERROR(Tableau3[[#This Row],[Fonds propres]]/Tableau3[[#This Row],[Total Bilan]],"")</f>
        <v/>
      </c>
      <c r="W2294" s="180"/>
      <c r="X2294" s="192"/>
      <c r="Y2294" s="180"/>
      <c r="Z2294" s="192" t="str">
        <f>IFERROR(Tableau3[[#This Row],[Chiffre d''affaires]]/Tableau3[[#This Row],[Salariés]],"")</f>
        <v/>
      </c>
      <c r="AA2294" s="188"/>
      <c r="AB2294" s="188"/>
    </row>
    <row r="2295" spans="1:29" ht="20.25" customHeight="1">
      <c r="A2295" s="217" t="s">
        <v>1627</v>
      </c>
      <c r="B2295" s="216" t="s">
        <v>1592</v>
      </c>
      <c r="C2295" s="178" t="s">
        <v>84</v>
      </c>
      <c r="D2295" s="178" t="s">
        <v>85</v>
      </c>
      <c r="E2295" s="232"/>
      <c r="F2295" s="178">
        <v>2025</v>
      </c>
      <c r="G2295" s="188"/>
      <c r="H2295" s="188"/>
      <c r="I2295" s="188"/>
      <c r="J2295" s="188"/>
      <c r="K2295" s="188"/>
      <c r="L2295" s="188"/>
      <c r="M2295" s="188"/>
      <c r="N2295" s="188"/>
      <c r="O2295" s="188"/>
      <c r="P2295" s="188"/>
      <c r="Q2295" s="188"/>
      <c r="R2295" s="188"/>
      <c r="S2295" s="188"/>
      <c r="T2295" s="180"/>
      <c r="U2295" s="189" t="str">
        <f>IFERROR(IF(Tableau3[[#This Row],[Dettes]]=0,"",(Tableau3[[#This Row],[Dettes]]/Tableau3[[#This Row],[EBE]])),"")</f>
        <v/>
      </c>
      <c r="V2295" s="190" t="str">
        <f>IFERROR(Tableau3[[#This Row],[Fonds propres]]/Tableau3[[#This Row],[Total Bilan]],"")</f>
        <v/>
      </c>
      <c r="W2295" s="180"/>
      <c r="X2295" s="192"/>
      <c r="Y2295" s="180"/>
      <c r="Z2295" s="192" t="str">
        <f>IFERROR(Tableau3[[#This Row],[Chiffre d''affaires]]/Tableau3[[#This Row],[Salariés]],"")</f>
        <v/>
      </c>
      <c r="AA2295" s="188"/>
      <c r="AB2295" s="188"/>
      <c r="AC2295" s="177" t="s">
        <v>1628</v>
      </c>
    </row>
    <row r="2296" spans="1:29" ht="20.25" customHeight="1">
      <c r="A2296" s="217"/>
      <c r="E2296" s="232"/>
      <c r="G2296" s="188"/>
      <c r="H2296" s="188"/>
      <c r="I2296" s="188"/>
      <c r="J2296" s="188"/>
      <c r="K2296" s="188"/>
      <c r="L2296" s="188"/>
      <c r="M2296" s="188"/>
      <c r="N2296" s="188"/>
      <c r="O2296" s="188"/>
      <c r="P2296" s="188"/>
      <c r="Q2296" s="188"/>
      <c r="R2296" s="188"/>
      <c r="S2296" s="188"/>
      <c r="T2296" s="180"/>
      <c r="U2296" s="189" t="str">
        <f>IFERROR(IF(Tableau3[[#This Row],[Dettes]]=0,"",(Tableau3[[#This Row],[Dettes]]/Tableau3[[#This Row],[EBE]])),"")</f>
        <v/>
      </c>
      <c r="V2296" s="190" t="str">
        <f>IFERROR(Tableau3[[#This Row],[Fonds propres]]/Tableau3[[#This Row],[Total Bilan]],"")</f>
        <v/>
      </c>
      <c r="W2296" s="180"/>
      <c r="X2296" s="192"/>
      <c r="Y2296" s="180"/>
      <c r="Z2296" s="192" t="str">
        <f>IFERROR(Tableau3[[#This Row],[Chiffre d''affaires]]/Tableau3[[#This Row],[Salariés]],"")</f>
        <v/>
      </c>
      <c r="AA2296" s="188"/>
      <c r="AB2296" s="188"/>
      <c r="AC2296" s="177" t="s">
        <v>1630</v>
      </c>
    </row>
    <row r="2297" spans="1:29" ht="20.25" customHeight="1">
      <c r="A2297" s="217"/>
      <c r="E2297" s="187">
        <v>110.7</v>
      </c>
      <c r="F2297" s="178">
        <v>2024</v>
      </c>
      <c r="G2297" s="188"/>
      <c r="H2297" s="188"/>
      <c r="I2297" s="188"/>
      <c r="J2297" s="188"/>
      <c r="K2297" s="188"/>
      <c r="L2297" s="188"/>
      <c r="M2297" s="188"/>
      <c r="N2297" s="188"/>
      <c r="O2297" s="188"/>
      <c r="P2297" s="188"/>
      <c r="Q2297" s="188"/>
      <c r="R2297" s="188"/>
      <c r="S2297" s="188"/>
      <c r="T2297" s="180"/>
      <c r="U2297" s="189" t="str">
        <f>IFERROR(IF(Tableau3[[#This Row],[Dettes]]=0,"",(Tableau3[[#This Row],[Dettes]]/Tableau3[[#This Row],[EBE]])),"")</f>
        <v/>
      </c>
      <c r="V2297" s="190" t="str">
        <f>IFERROR(Tableau3[[#This Row],[Fonds propres]]/Tableau3[[#This Row],[Total Bilan]],"")</f>
        <v/>
      </c>
      <c r="W2297" s="180"/>
      <c r="X2297" s="192"/>
      <c r="Y2297" s="180"/>
      <c r="Z2297" s="192" t="str">
        <f>IFERROR(Tableau3[[#This Row],[Chiffre d''affaires]]/Tableau3[[#This Row],[Salariés]],"")</f>
        <v/>
      </c>
      <c r="AA2297" s="188"/>
      <c r="AB2297" s="188"/>
      <c r="AC2297" s="177" t="s">
        <v>1631</v>
      </c>
    </row>
    <row r="2298" spans="1:29" ht="20.25" customHeight="1">
      <c r="A2298" s="217"/>
      <c r="E2298" s="232"/>
      <c r="G2298" s="188"/>
      <c r="H2298" s="188"/>
      <c r="I2298" s="188"/>
      <c r="J2298" s="188"/>
      <c r="K2298" s="188"/>
      <c r="L2298" s="188"/>
      <c r="M2298" s="188"/>
      <c r="N2298" s="188"/>
      <c r="O2298" s="188"/>
      <c r="P2298" s="188"/>
      <c r="Q2298" s="188"/>
      <c r="R2298" s="188"/>
      <c r="S2298" s="188"/>
      <c r="T2298" s="180"/>
      <c r="U2298" s="189" t="str">
        <f>IFERROR(IF(Tableau3[[#This Row],[Dettes]]=0,"",(Tableau3[[#This Row],[Dettes]]/Tableau3[[#This Row],[EBE]])),"")</f>
        <v/>
      </c>
      <c r="V2298" s="190" t="str">
        <f>IFERROR(Tableau3[[#This Row],[Fonds propres]]/Tableau3[[#This Row],[Total Bilan]],"")</f>
        <v/>
      </c>
      <c r="W2298" s="180"/>
      <c r="X2298" s="192"/>
      <c r="Y2298" s="180"/>
      <c r="Z2298" s="192" t="str">
        <f>IFERROR(Tableau3[[#This Row],[Chiffre d''affaires]]/Tableau3[[#This Row],[Salariés]],"")</f>
        <v/>
      </c>
      <c r="AA2298" s="188"/>
      <c r="AB2298" s="188"/>
      <c r="AC2298" s="177" t="s">
        <v>1632</v>
      </c>
    </row>
    <row r="2299" spans="1:29" ht="20.25" customHeight="1">
      <c r="A2299" s="217"/>
      <c r="E2299" s="187">
        <v>107.9</v>
      </c>
      <c r="F2299" s="178">
        <v>2023</v>
      </c>
      <c r="G2299" s="188"/>
      <c r="H2299" s="188"/>
      <c r="I2299" s="188"/>
      <c r="J2299" s="188"/>
      <c r="K2299" s="188"/>
      <c r="L2299" s="188"/>
      <c r="M2299" s="188"/>
      <c r="N2299" s="188"/>
      <c r="O2299" s="188"/>
      <c r="P2299" s="188"/>
      <c r="Q2299" s="188"/>
      <c r="R2299" s="188"/>
      <c r="S2299" s="188"/>
      <c r="T2299" s="180"/>
      <c r="U2299" s="189" t="str">
        <f>IFERROR(IF(Tableau3[[#This Row],[Dettes]]=0,"",(Tableau3[[#This Row],[Dettes]]/Tableau3[[#This Row],[EBE]])),"")</f>
        <v/>
      </c>
      <c r="V2299" s="190" t="str">
        <f>IFERROR(Tableau3[[#This Row],[Fonds propres]]/Tableau3[[#This Row],[Total Bilan]],"")</f>
        <v/>
      </c>
      <c r="W2299" s="180"/>
      <c r="X2299" s="192"/>
      <c r="Y2299" s="180"/>
      <c r="Z2299" s="192" t="str">
        <f>IFERROR(Tableau3[[#This Row],[Chiffre d''affaires]]/Tableau3[[#This Row],[Salariés]],"")</f>
        <v/>
      </c>
      <c r="AA2299" s="188"/>
      <c r="AB2299" s="188"/>
      <c r="AC2299" s="177" t="s">
        <v>1633</v>
      </c>
    </row>
    <row r="2300" spans="1:29" ht="20.25" customHeight="1">
      <c r="A2300" s="217"/>
      <c r="E2300" s="232"/>
      <c r="G2300" s="188"/>
      <c r="H2300" s="188"/>
      <c r="I2300" s="188"/>
      <c r="J2300" s="188"/>
      <c r="K2300" s="188"/>
      <c r="L2300" s="188"/>
      <c r="M2300" s="188"/>
      <c r="N2300" s="188"/>
      <c r="O2300" s="188"/>
      <c r="P2300" s="188"/>
      <c r="Q2300" s="188"/>
      <c r="R2300" s="188"/>
      <c r="S2300" s="188"/>
      <c r="T2300" s="180"/>
      <c r="U2300" s="189" t="str">
        <f>IFERROR(IF(Tableau3[[#This Row],[Dettes]]=0,"",(Tableau3[[#This Row],[Dettes]]/Tableau3[[#This Row],[EBE]])),"")</f>
        <v/>
      </c>
      <c r="V2300" s="190" t="str">
        <f>IFERROR(Tableau3[[#This Row],[Fonds propres]]/Tableau3[[#This Row],[Total Bilan]],"")</f>
        <v/>
      </c>
      <c r="W2300" s="180"/>
      <c r="X2300" s="192"/>
      <c r="Y2300" s="180"/>
      <c r="Z2300" s="192" t="str">
        <f>IFERROR(Tableau3[[#This Row],[Chiffre d''affaires]]/Tableau3[[#This Row],[Salariés]],"")</f>
        <v/>
      </c>
      <c r="AA2300" s="188"/>
      <c r="AB2300" s="188"/>
      <c r="AC2300" s="177" t="s">
        <v>1634</v>
      </c>
    </row>
    <row r="2301" spans="1:29" ht="20.25" customHeight="1">
      <c r="A2301" s="217"/>
      <c r="E2301" s="187">
        <v>100.5</v>
      </c>
      <c r="F2301" s="178">
        <v>2022</v>
      </c>
      <c r="G2301" s="188"/>
      <c r="H2301" s="188"/>
      <c r="I2301" s="188"/>
      <c r="J2301" s="188"/>
      <c r="K2301" s="188"/>
      <c r="L2301" s="188"/>
      <c r="M2301" s="188"/>
      <c r="N2301" s="188"/>
      <c r="O2301" s="188"/>
      <c r="P2301" s="188"/>
      <c r="Q2301" s="188"/>
      <c r="R2301" s="188"/>
      <c r="S2301" s="188"/>
      <c r="T2301" s="180"/>
      <c r="U2301" s="189" t="str">
        <f>IFERROR(IF(Tableau3[[#This Row],[Dettes]]=0,"",(Tableau3[[#This Row],[Dettes]]/Tableau3[[#This Row],[EBE]])),"")</f>
        <v/>
      </c>
      <c r="V2301" s="190" t="str">
        <f>IFERROR(Tableau3[[#This Row],[Fonds propres]]/Tableau3[[#This Row],[Total Bilan]],"")</f>
        <v/>
      </c>
      <c r="W2301" s="180"/>
      <c r="X2301" s="192"/>
      <c r="Y2301" s="180"/>
      <c r="Z2301" s="192" t="str">
        <f>IFERROR(Tableau3[[#This Row],[Chiffre d''affaires]]/Tableau3[[#This Row],[Salariés]],"")</f>
        <v/>
      </c>
      <c r="AA2301" s="188"/>
      <c r="AB2301" s="188"/>
      <c r="AC2301" s="177" t="s">
        <v>1635</v>
      </c>
    </row>
    <row r="2302" spans="1:29" ht="20.25" customHeight="1">
      <c r="A2302" s="217"/>
      <c r="E2302" s="232"/>
      <c r="G2302" s="188"/>
      <c r="H2302" s="188"/>
      <c r="I2302" s="188"/>
      <c r="J2302" s="188"/>
      <c r="K2302" s="188"/>
      <c r="L2302" s="188"/>
      <c r="M2302" s="188"/>
      <c r="N2302" s="188"/>
      <c r="O2302" s="188"/>
      <c r="P2302" s="188"/>
      <c r="Q2302" s="188"/>
      <c r="R2302" s="188"/>
      <c r="S2302" s="188"/>
      <c r="T2302" s="180"/>
      <c r="U2302" s="189" t="str">
        <f>IFERROR(IF(Tableau3[[#This Row],[Dettes]]=0,"",(Tableau3[[#This Row],[Dettes]]/Tableau3[[#This Row],[EBE]])),"")</f>
        <v/>
      </c>
      <c r="V2302" s="190" t="str">
        <f>IFERROR(Tableau3[[#This Row],[Fonds propres]]/Tableau3[[#This Row],[Total Bilan]],"")</f>
        <v/>
      </c>
      <c r="W2302" s="180"/>
      <c r="X2302" s="192"/>
      <c r="Y2302" s="180"/>
      <c r="Z2302" s="192" t="str">
        <f>IFERROR(Tableau3[[#This Row],[Chiffre d''affaires]]/Tableau3[[#This Row],[Salariés]],"")</f>
        <v/>
      </c>
      <c r="AA2302" s="188"/>
      <c r="AB2302" s="188"/>
      <c r="AC2302" s="177" t="s">
        <v>1636</v>
      </c>
    </row>
    <row r="2303" spans="1:29" ht="20.25" customHeight="1">
      <c r="A2303" s="217"/>
      <c r="E2303" s="187">
        <v>80.5</v>
      </c>
      <c r="F2303" s="178">
        <v>2021</v>
      </c>
      <c r="G2303" s="188">
        <v>2700000000</v>
      </c>
      <c r="H2303" s="188" t="s">
        <v>819</v>
      </c>
      <c r="I2303" s="188"/>
      <c r="J2303" s="188"/>
      <c r="K2303" s="188"/>
      <c r="L2303" s="188"/>
      <c r="M2303" s="188"/>
      <c r="N2303" s="188"/>
      <c r="O2303" s="188"/>
      <c r="P2303" s="188"/>
      <c r="Q2303" s="188"/>
      <c r="R2303" s="188"/>
      <c r="S2303" s="188"/>
      <c r="T2303" s="180"/>
      <c r="U2303" s="189" t="str">
        <f>IFERROR(IF(Tableau3[[#This Row],[Dettes]]=0,"",(Tableau3[[#This Row],[Dettes]]/Tableau3[[#This Row],[EBE]])),"")</f>
        <v/>
      </c>
      <c r="V2303" s="190" t="str">
        <f>IFERROR(Tableau3[[#This Row],[Fonds propres]]/Tableau3[[#This Row],[Total Bilan]],"")</f>
        <v/>
      </c>
      <c r="W2303" s="180"/>
      <c r="X2303" s="192"/>
      <c r="Y2303" s="180">
        <v>5700</v>
      </c>
      <c r="Z2303" s="192">
        <f>IFERROR(Tableau3[[#This Row],[Chiffre d''affaires]]/Tableau3[[#This Row],[Salariés]],"")</f>
        <v>473684.21052631579</v>
      </c>
      <c r="AA2303" s="188"/>
      <c r="AB2303" s="188"/>
      <c r="AC2303" s="177" t="s">
        <v>1637</v>
      </c>
    </row>
    <row r="2304" spans="1:29" ht="20.25" customHeight="1">
      <c r="A2304" s="217"/>
      <c r="E2304" s="232"/>
      <c r="G2304" s="202">
        <f>(G2303/G2305)-1</f>
        <v>4.2068699343882576E-2</v>
      </c>
      <c r="H2304" s="188"/>
      <c r="I2304" s="188"/>
      <c r="J2304" s="188"/>
      <c r="K2304" s="188"/>
      <c r="L2304" s="188"/>
      <c r="M2304" s="188"/>
      <c r="N2304" s="188"/>
      <c r="O2304" s="188"/>
      <c r="P2304" s="188"/>
      <c r="Q2304" s="188"/>
      <c r="R2304" s="188"/>
      <c r="S2304" s="188"/>
      <c r="T2304" s="180"/>
      <c r="U2304" s="189" t="str">
        <f>IFERROR(IF(Tableau3[[#This Row],[Dettes]]=0,"",(Tableau3[[#This Row],[Dettes]]/Tableau3[[#This Row],[EBE]])),"")</f>
        <v/>
      </c>
      <c r="V2304" s="190" t="str">
        <f>IFERROR(Tableau3[[#This Row],[Fonds propres]]/Tableau3[[#This Row],[Total Bilan]],"")</f>
        <v/>
      </c>
      <c r="W2304" s="180"/>
      <c r="X2304" s="192"/>
      <c r="Y2304" s="180"/>
      <c r="Z2304" s="192" t="str">
        <f>IFERROR(Tableau3[[#This Row],[Chiffre d''affaires]]/Tableau3[[#This Row],[Salariés]],"")</f>
        <v/>
      </c>
      <c r="AA2304" s="188"/>
      <c r="AB2304" s="188"/>
      <c r="AC2304" s="177" t="s">
        <v>1638</v>
      </c>
    </row>
    <row r="2305" spans="1:29" ht="20.25" customHeight="1">
      <c r="A2305" s="217"/>
      <c r="E2305" s="187">
        <v>68</v>
      </c>
      <c r="F2305" s="178">
        <v>2020</v>
      </c>
      <c r="G2305" s="188">
        <v>2591000000</v>
      </c>
      <c r="H2305" s="188" t="s">
        <v>819</v>
      </c>
      <c r="I2305" s="188">
        <v>521000000</v>
      </c>
      <c r="J2305" s="188">
        <v>548900000</v>
      </c>
      <c r="K2305" s="188">
        <v>525300000</v>
      </c>
      <c r="L2305" s="188">
        <v>2121700000</v>
      </c>
      <c r="M2305" s="194">
        <f>L2305/P2305</f>
        <v>25.314227750927088</v>
      </c>
      <c r="N2305" s="190">
        <f>J2305/L2305</f>
        <v>0.25870764009991987</v>
      </c>
      <c r="O2305" s="190">
        <f>(I2305*0.64)/(K2305+(M2305*P2305))</f>
        <v>0.12596902153381187</v>
      </c>
      <c r="P2305" s="188">
        <v>83814526</v>
      </c>
      <c r="Q2305" s="211">
        <f>P2305*E2305</f>
        <v>5699387768</v>
      </c>
      <c r="R2305" s="195">
        <f>Q2305/L2305</f>
        <v>2.686236399113918</v>
      </c>
      <c r="S2305" s="197"/>
      <c r="T2305" s="180"/>
      <c r="U2305" s="189" t="str">
        <f>IFERROR(IF(Tableau3[[#This Row],[Dettes]]=0,"",(Tableau3[[#This Row],[Dettes]]/Tableau3[[#This Row],[EBE]])),"")</f>
        <v/>
      </c>
      <c r="V2305" s="190" t="str">
        <f>IFERROR(Tableau3[[#This Row],[Fonds propres]]/Tableau3[[#This Row],[Total Bilan]],"")</f>
        <v/>
      </c>
      <c r="W2305" s="180"/>
      <c r="X2305" s="192"/>
      <c r="Y2305" s="180"/>
      <c r="Z2305" s="192" t="str">
        <f>IFERROR(Tableau3[[#This Row],[Chiffre d''affaires]]/Tableau3[[#This Row],[Salariés]],"")</f>
        <v/>
      </c>
      <c r="AA2305" s="188"/>
      <c r="AB2305" s="188"/>
      <c r="AC2305" s="177" t="s">
        <v>1639</v>
      </c>
    </row>
    <row r="2306" spans="1:29" ht="20.25" customHeight="1">
      <c r="A2306" s="217"/>
      <c r="E2306" s="187"/>
      <c r="G2306" s="202">
        <f>(G2305/G2307)-1</f>
        <v>5.7448955826411296E-3</v>
      </c>
      <c r="H2306" s="203"/>
      <c r="I2306" s="203">
        <f>(I2305/I2307)-1</f>
        <v>-16.598802395209582</v>
      </c>
      <c r="J2306" s="203">
        <f>(J2305/J2307)-1</f>
        <v>-11.934262948207172</v>
      </c>
      <c r="K2306" s="188"/>
      <c r="L2306" s="188"/>
      <c r="M2306" s="188"/>
      <c r="N2306" s="188"/>
      <c r="O2306" s="188"/>
      <c r="P2306" s="188"/>
      <c r="Q2306" s="188"/>
      <c r="R2306" s="188"/>
      <c r="S2306" s="188"/>
      <c r="T2306" s="180"/>
      <c r="U2306" s="189" t="str">
        <f>IFERROR(IF(Tableau3[[#This Row],[Dettes]]=0,"",(Tableau3[[#This Row],[Dettes]]/Tableau3[[#This Row],[EBE]])),"")</f>
        <v/>
      </c>
      <c r="V2306" s="190" t="str">
        <f>IFERROR(Tableau3[[#This Row],[Fonds propres]]/Tableau3[[#This Row],[Total Bilan]],"")</f>
        <v/>
      </c>
      <c r="W2306" s="180"/>
      <c r="X2306" s="192"/>
      <c r="Y2306" s="180"/>
      <c r="Z2306" s="192" t="str">
        <f>IFERROR(Tableau3[[#This Row],[Chiffre d''affaires]]/Tableau3[[#This Row],[Salariés]],"")</f>
        <v/>
      </c>
      <c r="AA2306" s="188"/>
      <c r="AB2306" s="188"/>
      <c r="AC2306" s="177" t="s">
        <v>1640</v>
      </c>
    </row>
    <row r="2307" spans="1:29" ht="20.25" customHeight="1">
      <c r="A2307" s="217"/>
      <c r="E2307" s="187">
        <v>79</v>
      </c>
      <c r="F2307" s="178">
        <v>2019</v>
      </c>
      <c r="G2307" s="188">
        <v>2576200000</v>
      </c>
      <c r="H2307" s="188" t="s">
        <v>819</v>
      </c>
      <c r="I2307" s="188">
        <v>-33400000</v>
      </c>
      <c r="J2307" s="188">
        <v>-50200000</v>
      </c>
      <c r="K2307" s="188">
        <v>1115300000</v>
      </c>
      <c r="L2307" s="188">
        <v>1753100000</v>
      </c>
      <c r="M2307" s="194">
        <f>L2307/P2307</f>
        <v>20.916422053141481</v>
      </c>
      <c r="N2307" s="190">
        <f>J2307/L2307</f>
        <v>-2.8634989447264846E-2</v>
      </c>
      <c r="O2307" s="190">
        <f>(I2307*0.64)/(K2307+(M2307*P2307))</f>
        <v>-7.4522381815646356E-3</v>
      </c>
      <c r="P2307" s="188">
        <v>83814526</v>
      </c>
      <c r="Q2307" s="211">
        <f>P2307*E2307</f>
        <v>6621347554</v>
      </c>
      <c r="R2307" s="195">
        <f>Q2307/L2307</f>
        <v>3.7769366003080256</v>
      </c>
      <c r="S2307" s="197"/>
      <c r="T2307" s="180"/>
      <c r="U2307" s="189" t="str">
        <f>IFERROR(IF(Tableau3[[#This Row],[Dettes]]=0,"",(Tableau3[[#This Row],[Dettes]]/Tableau3[[#This Row],[EBE]])),"")</f>
        <v/>
      </c>
      <c r="V2307" s="190" t="str">
        <f>IFERROR(Tableau3[[#This Row],[Fonds propres]]/Tableau3[[#This Row],[Total Bilan]],"")</f>
        <v/>
      </c>
      <c r="W2307" s="180"/>
      <c r="X2307" s="192"/>
      <c r="Y2307" s="180"/>
      <c r="Z2307" s="192" t="str">
        <f>IFERROR(Tableau3[[#This Row],[Chiffre d''affaires]]/Tableau3[[#This Row],[Salariés]],"")</f>
        <v/>
      </c>
      <c r="AA2307" s="188"/>
      <c r="AB2307" s="188"/>
      <c r="AC2307" s="177" t="s">
        <v>917</v>
      </c>
    </row>
    <row r="2308" spans="1:29" ht="20.25" customHeight="1">
      <c r="A2308" s="217"/>
      <c r="E2308" s="187"/>
      <c r="G2308" s="202">
        <f>(G2307/G2309)-1</f>
        <v>0.15794678173318943</v>
      </c>
      <c r="H2308" s="203"/>
      <c r="I2308" s="203">
        <f>(I2307/I2309)-1</f>
        <v>-1.0643049672699267</v>
      </c>
      <c r="J2308" s="203">
        <f>(J2307/J2309)-1</f>
        <v>-1.1290156772038036</v>
      </c>
      <c r="K2308" s="188"/>
      <c r="L2308" s="188"/>
      <c r="M2308" s="188"/>
      <c r="N2308" s="188"/>
      <c r="O2308" s="188"/>
      <c r="P2308" s="188"/>
      <c r="Q2308" s="188"/>
      <c r="R2308" s="188"/>
      <c r="S2308" s="188"/>
      <c r="T2308" s="180"/>
      <c r="U2308" s="189" t="str">
        <f>IFERROR(IF(Tableau3[[#This Row],[Dettes]]=0,"",(Tableau3[[#This Row],[Dettes]]/Tableau3[[#This Row],[EBE]])),"")</f>
        <v/>
      </c>
      <c r="V2308" s="190" t="str">
        <f>IFERROR(Tableau3[[#This Row],[Fonds propres]]/Tableau3[[#This Row],[Total Bilan]],"")</f>
        <v/>
      </c>
      <c r="W2308" s="180"/>
      <c r="X2308" s="192"/>
      <c r="Y2308" s="180"/>
      <c r="Z2308" s="192" t="str">
        <f>IFERROR(Tableau3[[#This Row],[Chiffre d''affaires]]/Tableau3[[#This Row],[Salariés]],"")</f>
        <v/>
      </c>
      <c r="AA2308" s="188"/>
      <c r="AB2308" s="188"/>
      <c r="AC2308" s="177" t="s">
        <v>1641</v>
      </c>
    </row>
    <row r="2309" spans="1:29" ht="20.25" customHeight="1">
      <c r="A2309" s="217"/>
      <c r="E2309" s="187">
        <v>109.2</v>
      </c>
      <c r="F2309" s="178">
        <v>2018</v>
      </c>
      <c r="G2309" s="188">
        <v>2224800000</v>
      </c>
      <c r="H2309" s="188" t="s">
        <v>819</v>
      </c>
      <c r="I2309" s="188">
        <v>519400000</v>
      </c>
      <c r="J2309" s="188">
        <v>389100000</v>
      </c>
      <c r="K2309" s="188">
        <v>242500000</v>
      </c>
      <c r="L2309" s="188">
        <v>1843400000</v>
      </c>
      <c r="M2309" s="194">
        <f>L2309/P2309</f>
        <v>21.995313831211512</v>
      </c>
      <c r="N2309" s="190">
        <f>J2309/L2309</f>
        <v>0.21107735705761094</v>
      </c>
      <c r="O2309" s="190">
        <f>(I2309*0.64)/(K2309+(M2309*P2309))</f>
        <v>0.15936334435974878</v>
      </c>
      <c r="P2309" s="188">
        <v>83808761</v>
      </c>
      <c r="Q2309" s="211">
        <f>P2309*E2309</f>
        <v>9151916701.2000008</v>
      </c>
      <c r="R2309" s="195">
        <f>Q2309/L2309</f>
        <v>4.9646938815232726</v>
      </c>
      <c r="S2309" s="197"/>
      <c r="T2309" s="180"/>
      <c r="U2309" s="189" t="str">
        <f>IFERROR(IF(Tableau3[[#This Row],[Dettes]]=0,"",(Tableau3[[#This Row],[Dettes]]/Tableau3[[#This Row],[EBE]])),"")</f>
        <v/>
      </c>
      <c r="V2309" s="190" t="str">
        <f>IFERROR(Tableau3[[#This Row],[Fonds propres]]/Tableau3[[#This Row],[Total Bilan]],"")</f>
        <v/>
      </c>
      <c r="W2309" s="180"/>
      <c r="X2309" s="192"/>
      <c r="Y2309" s="180"/>
      <c r="Z2309" s="192" t="str">
        <f>IFERROR(Tableau3[[#This Row],[Chiffre d''affaires]]/Tableau3[[#This Row],[Salariés]],"")</f>
        <v/>
      </c>
      <c r="AA2309" s="188"/>
      <c r="AB2309" s="188"/>
      <c r="AC2309" s="177" t="s">
        <v>1642</v>
      </c>
    </row>
    <row r="2310" spans="1:29" ht="20.25" customHeight="1">
      <c r="A2310" s="217"/>
      <c r="E2310" s="187"/>
      <c r="G2310" s="202">
        <f>(G2309/G2311)-1</f>
        <v>0.16561010111594276</v>
      </c>
      <c r="H2310" s="203"/>
      <c r="I2310" s="203">
        <f>(I2309/I2311)-1</f>
        <v>0.30765357502517632</v>
      </c>
      <c r="J2310" s="203">
        <f>(J2309/J2311)-1</f>
        <v>0.42579699523635028</v>
      </c>
      <c r="K2310" s="188"/>
      <c r="L2310" s="188"/>
      <c r="M2310" s="188"/>
      <c r="N2310" s="188"/>
      <c r="O2310" s="188"/>
      <c r="P2310" s="188"/>
      <c r="Q2310" s="188"/>
      <c r="R2310" s="188"/>
      <c r="S2310" s="188"/>
      <c r="T2310" s="180"/>
      <c r="U2310" s="189" t="str">
        <f>IFERROR(IF(Tableau3[[#This Row],[Dettes]]=0,"",(Tableau3[[#This Row],[Dettes]]/Tableau3[[#This Row],[EBE]])),"")</f>
        <v/>
      </c>
      <c r="V2310" s="190" t="str">
        <f>IFERROR(Tableau3[[#This Row],[Fonds propres]]/Tableau3[[#This Row],[Total Bilan]],"")</f>
        <v/>
      </c>
      <c r="W2310" s="180"/>
      <c r="X2310" s="192"/>
      <c r="Y2310" s="180"/>
      <c r="Z2310" s="192" t="str">
        <f>IFERROR(Tableau3[[#This Row],[Chiffre d''affaires]]/Tableau3[[#This Row],[Salariés]],"")</f>
        <v/>
      </c>
      <c r="AA2310" s="188"/>
      <c r="AB2310" s="188"/>
    </row>
    <row r="2311" spans="1:29" ht="20.25" customHeight="1">
      <c r="A2311" s="217"/>
      <c r="E2311" s="187">
        <v>99.6</v>
      </c>
      <c r="F2311" s="178">
        <v>2017</v>
      </c>
      <c r="G2311" s="188">
        <v>1908700000</v>
      </c>
      <c r="H2311" s="188" t="s">
        <v>819</v>
      </c>
      <c r="I2311" s="188">
        <v>397200000</v>
      </c>
      <c r="J2311" s="188">
        <v>272900000</v>
      </c>
      <c r="K2311" s="188">
        <v>464300000</v>
      </c>
      <c r="L2311" s="188">
        <v>1535900000</v>
      </c>
      <c r="M2311" s="194">
        <f>L2311/P2311</f>
        <v>18.343146102388385</v>
      </c>
      <c r="N2311" s="190">
        <f>J2311/L2311</f>
        <v>0.17768083859626277</v>
      </c>
      <c r="O2311" s="190">
        <f>(I2311*0.64)/(K2311+(M2311*P2311))</f>
        <v>0.12709129087091292</v>
      </c>
      <c r="P2311" s="188">
        <v>83731547</v>
      </c>
      <c r="Q2311" s="211">
        <f>P2311*E2311</f>
        <v>8339662081.1999998</v>
      </c>
      <c r="R2311" s="195">
        <f>Q2311/L2311</f>
        <v>5.4298210047529132</v>
      </c>
      <c r="S2311" s="197"/>
      <c r="T2311" s="180"/>
      <c r="U2311" s="189" t="str">
        <f>IFERROR(IF(Tableau3[[#This Row],[Dettes]]=0,"",(Tableau3[[#This Row],[Dettes]]/Tableau3[[#This Row],[EBE]])),"")</f>
        <v/>
      </c>
      <c r="V2311" s="190" t="str">
        <f>IFERROR(Tableau3[[#This Row],[Fonds propres]]/Tableau3[[#This Row],[Total Bilan]],"")</f>
        <v/>
      </c>
      <c r="W2311" s="180"/>
      <c r="X2311" s="192"/>
      <c r="Y2311" s="180"/>
      <c r="Z2311" s="192" t="str">
        <f>IFERROR(Tableau3[[#This Row],[Chiffre d''affaires]]/Tableau3[[#This Row],[Salariés]],"")</f>
        <v/>
      </c>
      <c r="AA2311" s="188"/>
      <c r="AB2311" s="188"/>
    </row>
    <row r="2312" spans="1:29" ht="20.25" customHeight="1">
      <c r="A2312" s="217"/>
      <c r="E2312" s="187"/>
      <c r="G2312" s="202">
        <f>(G2311/G2313)-1</f>
        <v>0.20498737373737375</v>
      </c>
      <c r="H2312" s="203"/>
      <c r="I2312" s="203">
        <f>(I2311/I2313)-1</f>
        <v>0.303577289136856</v>
      </c>
      <c r="J2312" s="203">
        <f>(J2311/J2313)-1</f>
        <v>0.20432480141218012</v>
      </c>
      <c r="K2312" s="188"/>
      <c r="L2312" s="188"/>
      <c r="M2312" s="188"/>
      <c r="N2312" s="188"/>
      <c r="O2312" s="188"/>
      <c r="P2312" s="188"/>
      <c r="Q2312" s="188"/>
      <c r="R2312" s="188"/>
      <c r="S2312" s="188"/>
      <c r="T2312" s="180"/>
      <c r="U2312" s="189" t="str">
        <f>IFERROR(IF(Tableau3[[#This Row],[Dettes]]=0,"",(Tableau3[[#This Row],[Dettes]]/Tableau3[[#This Row],[EBE]])),"")</f>
        <v/>
      </c>
      <c r="V2312" s="190" t="str">
        <f>IFERROR(Tableau3[[#This Row],[Fonds propres]]/Tableau3[[#This Row],[Total Bilan]],"")</f>
        <v/>
      </c>
      <c r="W2312" s="180"/>
      <c r="X2312" s="192"/>
      <c r="Y2312" s="180"/>
      <c r="Z2312" s="192" t="str">
        <f>IFERROR(Tableau3[[#This Row],[Chiffre d''affaires]]/Tableau3[[#This Row],[Salariés]],"")</f>
        <v/>
      </c>
      <c r="AA2312" s="188"/>
      <c r="AB2312" s="188"/>
    </row>
    <row r="2313" spans="1:29" ht="20.25" customHeight="1">
      <c r="A2313" s="217"/>
      <c r="E2313" s="187">
        <v>68.7</v>
      </c>
      <c r="F2313" s="178">
        <v>2016</v>
      </c>
      <c r="G2313" s="188">
        <v>1584000000</v>
      </c>
      <c r="H2313" s="188" t="s">
        <v>819</v>
      </c>
      <c r="I2313" s="188">
        <v>304700000</v>
      </c>
      <c r="J2313" s="188">
        <v>226600000</v>
      </c>
      <c r="K2313" s="188">
        <v>68600000</v>
      </c>
      <c r="L2313" s="188">
        <v>1362200000</v>
      </c>
      <c r="M2313" s="194">
        <f>L2313/P2313</f>
        <v>16.335784876301101</v>
      </c>
      <c r="N2313" s="190">
        <f>J2313/L2313</f>
        <v>0.16634855381001321</v>
      </c>
      <c r="O2313" s="190">
        <f>(I2313*0.64)/(K2313+(M2313*P2313))</f>
        <v>0.1362929829466033</v>
      </c>
      <c r="P2313" s="188">
        <v>83387484</v>
      </c>
      <c r="Q2313" s="211">
        <f>P2313*E2313</f>
        <v>5728720150.8000002</v>
      </c>
      <c r="R2313" s="195">
        <f>Q2313/L2313</f>
        <v>4.2054912280135079</v>
      </c>
      <c r="S2313" s="197"/>
      <c r="T2313" s="180"/>
      <c r="U2313" s="189" t="str">
        <f>IFERROR(IF(Tableau3[[#This Row],[Dettes]]=0,"",(Tableau3[[#This Row],[Dettes]]/Tableau3[[#This Row],[EBE]])),"")</f>
        <v/>
      </c>
      <c r="V2313" s="190" t="str">
        <f>IFERROR(Tableau3[[#This Row],[Fonds propres]]/Tableau3[[#This Row],[Total Bilan]],"")</f>
        <v/>
      </c>
      <c r="W2313" s="180"/>
      <c r="X2313" s="192"/>
      <c r="Y2313" s="180"/>
      <c r="Z2313" s="192" t="str">
        <f>IFERROR(Tableau3[[#This Row],[Chiffre d''affaires]]/Tableau3[[#This Row],[Salariés]],"")</f>
        <v/>
      </c>
      <c r="AA2313" s="188"/>
      <c r="AB2313" s="188"/>
    </row>
    <row r="2314" spans="1:29" ht="20.25" customHeight="1">
      <c r="A2314" s="217"/>
      <c r="E2314" s="232"/>
      <c r="G2314" s="202">
        <f>(G2313/G2315)-1</f>
        <v>9.7028880116351468E-2</v>
      </c>
      <c r="H2314" s="203"/>
      <c r="I2314" s="203">
        <f>(I2313/I2315)-1</f>
        <v>0.2487704918032787</v>
      </c>
      <c r="J2314" s="203">
        <f>(J2313/J2315)-1</f>
        <v>0.18825380178290518</v>
      </c>
      <c r="K2314" s="188"/>
      <c r="L2314" s="188"/>
      <c r="M2314" s="188"/>
      <c r="N2314" s="188"/>
      <c r="O2314" s="188"/>
      <c r="P2314" s="188"/>
      <c r="Q2314" s="188"/>
      <c r="R2314" s="188"/>
      <c r="S2314" s="188"/>
      <c r="T2314" s="180"/>
      <c r="U2314" s="189" t="str">
        <f>IFERROR(IF(Tableau3[[#This Row],[Dettes]]=0,"",(Tableau3[[#This Row],[Dettes]]/Tableau3[[#This Row],[EBE]])),"")</f>
        <v/>
      </c>
      <c r="V2314" s="190" t="str">
        <f>IFERROR(Tableau3[[#This Row],[Fonds propres]]/Tableau3[[#This Row],[Total Bilan]],"")</f>
        <v/>
      </c>
      <c r="W2314" s="180"/>
      <c r="X2314" s="192"/>
      <c r="Y2314" s="180"/>
      <c r="Z2314" s="192" t="str">
        <f>IFERROR(Tableau3[[#This Row],[Chiffre d''affaires]]/Tableau3[[#This Row],[Salariés]],"")</f>
        <v/>
      </c>
      <c r="AA2314" s="188"/>
      <c r="AB2314" s="188"/>
    </row>
    <row r="2315" spans="1:29" ht="20.25" customHeight="1">
      <c r="A2315" s="217"/>
      <c r="E2315" s="187">
        <v>61</v>
      </c>
      <c r="F2315" s="178">
        <v>2015</v>
      </c>
      <c r="G2315" s="188">
        <v>1443900000</v>
      </c>
      <c r="H2315" s="188" t="s">
        <v>819</v>
      </c>
      <c r="I2315" s="188">
        <v>244000000</v>
      </c>
      <c r="J2315" s="188">
        <v>190700000</v>
      </c>
      <c r="K2315" s="188">
        <v>27100000</v>
      </c>
      <c r="L2315" s="188">
        <v>1225600000</v>
      </c>
      <c r="M2315" s="194">
        <f>L2315/P2315</f>
        <v>14.740251535368701</v>
      </c>
      <c r="N2315" s="190">
        <f>J2315/L2315</f>
        <v>0.15559725848563968</v>
      </c>
      <c r="O2315" s="190">
        <f>(I2315*0.64)/(K2315+(M2315*P2315))</f>
        <v>0.12465873712780394</v>
      </c>
      <c r="P2315" s="188">
        <v>83146478</v>
      </c>
      <c r="Q2315" s="211">
        <f>P2315*E2315</f>
        <v>5071935158</v>
      </c>
      <c r="R2315" s="195">
        <f>Q2315/L2315</f>
        <v>4.1383282947127942</v>
      </c>
      <c r="S2315" s="197"/>
      <c r="T2315" s="180"/>
      <c r="U2315" s="189" t="str">
        <f>IFERROR(IF(Tableau3[[#This Row],[Dettes]]=0,"",(Tableau3[[#This Row],[Dettes]]/Tableau3[[#This Row],[EBE]])),"")</f>
        <v/>
      </c>
      <c r="V2315" s="190" t="str">
        <f>IFERROR(Tableau3[[#This Row],[Fonds propres]]/Tableau3[[#This Row],[Total Bilan]],"")</f>
        <v/>
      </c>
      <c r="W2315" s="180"/>
      <c r="X2315" s="192"/>
      <c r="Y2315" s="180"/>
      <c r="Z2315" s="192" t="str">
        <f>IFERROR(Tableau3[[#This Row],[Chiffre d''affaires]]/Tableau3[[#This Row],[Salariés]],"")</f>
        <v/>
      </c>
      <c r="AA2315" s="188"/>
      <c r="AB2315" s="188"/>
    </row>
    <row r="2316" spans="1:29" ht="20.25" customHeight="1">
      <c r="A2316" s="217"/>
      <c r="E2316" s="232"/>
      <c r="G2316" s="202">
        <f>(G2315/G2317)-1</f>
        <v>0.13264825855036078</v>
      </c>
      <c r="H2316" s="203"/>
      <c r="I2316" s="203">
        <f>(I2315/I2317)-1</f>
        <v>0.10207768744354118</v>
      </c>
      <c r="J2316" s="203">
        <f>(J2315/J2317)-1</f>
        <v>0.23831168831168825</v>
      </c>
      <c r="K2316" s="188"/>
      <c r="L2316" s="188"/>
      <c r="M2316" s="188"/>
      <c r="N2316" s="188"/>
      <c r="O2316" s="188"/>
      <c r="P2316" s="188"/>
      <c r="Q2316" s="211"/>
      <c r="R2316" s="195"/>
      <c r="S2316" s="197"/>
      <c r="T2316" s="180"/>
      <c r="U2316" s="189" t="str">
        <f>IFERROR(IF(Tableau3[[#This Row],[Dettes]]=0,"",(Tableau3[[#This Row],[Dettes]]/Tableau3[[#This Row],[EBE]])),"")</f>
        <v/>
      </c>
      <c r="V2316" s="190" t="str">
        <f>IFERROR(Tableau3[[#This Row],[Fonds propres]]/Tableau3[[#This Row],[Total Bilan]],"")</f>
        <v/>
      </c>
      <c r="W2316" s="180"/>
      <c r="X2316" s="192"/>
      <c r="Y2316" s="180"/>
      <c r="Z2316" s="192" t="str">
        <f>IFERROR(Tableau3[[#This Row],[Chiffre d''affaires]]/Tableau3[[#This Row],[Salariés]],"")</f>
        <v/>
      </c>
      <c r="AA2316" s="188"/>
      <c r="AB2316" s="188"/>
    </row>
    <row r="2317" spans="1:29" ht="20.25" customHeight="1">
      <c r="A2317" s="217"/>
      <c r="E2317" s="187">
        <v>43</v>
      </c>
      <c r="F2317" s="178">
        <v>2014</v>
      </c>
      <c r="G2317" s="188">
        <v>1274800000</v>
      </c>
      <c r="H2317" s="188" t="s">
        <v>819</v>
      </c>
      <c r="I2317" s="188">
        <v>221400000</v>
      </c>
      <c r="J2317" s="188">
        <v>154000000</v>
      </c>
      <c r="K2317" s="188">
        <v>20100000</v>
      </c>
      <c r="L2317" s="188">
        <v>1067900000</v>
      </c>
      <c r="M2317" s="194">
        <f>L2317/P2317</f>
        <v>12.890963991936696</v>
      </c>
      <c r="N2317" s="190">
        <f>J2317/L2317</f>
        <v>0.14420825920029964</v>
      </c>
      <c r="O2317" s="190">
        <f>(I2317*0.64)/(K2317+(M2317*P2317))</f>
        <v>0.13023529411764706</v>
      </c>
      <c r="P2317" s="188">
        <v>82840973</v>
      </c>
      <c r="Q2317" s="211">
        <f>P2317*E2317</f>
        <v>3562161839</v>
      </c>
      <c r="R2317" s="195">
        <f>Q2317/L2317</f>
        <v>3.3356698557917408</v>
      </c>
      <c r="S2317" s="197"/>
      <c r="T2317" s="180"/>
      <c r="U2317" s="189" t="str">
        <f>IFERROR(IF(Tableau3[[#This Row],[Dettes]]=0,"",(Tableau3[[#This Row],[Dettes]]/Tableau3[[#This Row],[EBE]])),"")</f>
        <v/>
      </c>
      <c r="V2317" s="190" t="str">
        <f>IFERROR(Tableau3[[#This Row],[Fonds propres]]/Tableau3[[#This Row],[Total Bilan]],"")</f>
        <v/>
      </c>
      <c r="W2317" s="180"/>
      <c r="X2317" s="192"/>
      <c r="Y2317" s="180"/>
      <c r="Z2317" s="192" t="str">
        <f>IFERROR(Tableau3[[#This Row],[Chiffre d''affaires]]/Tableau3[[#This Row],[Salariés]],"")</f>
        <v/>
      </c>
      <c r="AA2317" s="188"/>
      <c r="AB2317" s="188"/>
    </row>
    <row r="2318" spans="1:29" ht="20.25" customHeight="1">
      <c r="A2318" s="217"/>
      <c r="E2318" s="232"/>
      <c r="G2318" s="202">
        <f>(G2317/G2319)-1</f>
        <v>4.0822991508817852E-2</v>
      </c>
      <c r="H2318" s="203"/>
      <c r="I2318" s="203">
        <f>(I2317/I2319)-1</f>
        <v>5.1781472684085506E-2</v>
      </c>
      <c r="J2318" s="203">
        <f>(J2317/J2319)-1</f>
        <v>5.878510777269863E-3</v>
      </c>
      <c r="K2318" s="188"/>
      <c r="L2318" s="188"/>
      <c r="M2318" s="188"/>
      <c r="N2318" s="188"/>
      <c r="O2318" s="188"/>
      <c r="P2318" s="188"/>
      <c r="Q2318" s="188"/>
      <c r="R2318" s="188"/>
      <c r="S2318" s="188"/>
      <c r="T2318" s="180"/>
      <c r="U2318" s="189" t="str">
        <f>IFERROR(IF(Tableau3[[#This Row],[Dettes]]=0,"",(Tableau3[[#This Row],[Dettes]]/Tableau3[[#This Row],[EBE]])),"")</f>
        <v/>
      </c>
      <c r="V2318" s="190" t="str">
        <f>IFERROR(Tableau3[[#This Row],[Fonds propres]]/Tableau3[[#This Row],[Total Bilan]],"")</f>
        <v/>
      </c>
      <c r="W2318" s="180"/>
      <c r="X2318" s="192"/>
      <c r="Y2318" s="180"/>
      <c r="Z2318" s="192" t="str">
        <f>IFERROR(Tableau3[[#This Row],[Chiffre d''affaires]]/Tableau3[[#This Row],[Salariés]],"")</f>
        <v/>
      </c>
      <c r="AA2318" s="188"/>
      <c r="AB2318" s="188"/>
    </row>
    <row r="2319" spans="1:29" ht="20.25" customHeight="1">
      <c r="A2319" s="217"/>
      <c r="E2319" s="187">
        <v>33.700000000000003</v>
      </c>
      <c r="F2319" s="178">
        <v>2013</v>
      </c>
      <c r="G2319" s="188">
        <v>1224800000</v>
      </c>
      <c r="H2319" s="188" t="s">
        <v>819</v>
      </c>
      <c r="I2319" s="188">
        <v>210500000</v>
      </c>
      <c r="J2319" s="188">
        <v>153100000</v>
      </c>
      <c r="K2319" s="188">
        <v>19900000</v>
      </c>
      <c r="L2319" s="188">
        <v>973800000</v>
      </c>
      <c r="M2319" s="194">
        <f>L2319/P2319</f>
        <v>11.55945842714611</v>
      </c>
      <c r="N2319" s="190">
        <f>J2319/L2319</f>
        <v>0.15721914150749641</v>
      </c>
      <c r="O2319" s="190">
        <f>(I2319*0.64)/(K2319+(M2319*P2319))</f>
        <v>0.13557411693670121</v>
      </c>
      <c r="P2319" s="188">
        <v>84242701</v>
      </c>
      <c r="Q2319" s="211">
        <f>P2319*E2319</f>
        <v>2838979023.7000003</v>
      </c>
      <c r="R2319" s="195">
        <f>Q2319/L2319</f>
        <v>2.9153614948654756</v>
      </c>
      <c r="S2319" s="197"/>
      <c r="T2319" s="180"/>
      <c r="U2319" s="189" t="str">
        <f>IFERROR(IF(Tableau3[[#This Row],[Dettes]]=0,"",(Tableau3[[#This Row],[Dettes]]/Tableau3[[#This Row],[EBE]])),"")</f>
        <v/>
      </c>
      <c r="V2319" s="190" t="str">
        <f>IFERROR(Tableau3[[#This Row],[Fonds propres]]/Tableau3[[#This Row],[Total Bilan]],"")</f>
        <v/>
      </c>
      <c r="W2319" s="180"/>
      <c r="X2319" s="192"/>
      <c r="Y2319" s="180"/>
      <c r="Z2319" s="192" t="str">
        <f>IFERROR(Tableau3[[#This Row],[Chiffre d''affaires]]/Tableau3[[#This Row],[Salariés]],"")</f>
        <v/>
      </c>
      <c r="AA2319" s="188"/>
      <c r="AB2319" s="188"/>
    </row>
    <row r="2320" spans="1:29" ht="20.25" customHeight="1">
      <c r="A2320" s="217"/>
      <c r="E2320" s="232"/>
      <c r="G2320" s="202">
        <f>(G2319/G2321)-1</f>
        <v>4.3460434604345455E-3</v>
      </c>
      <c r="H2320" s="203"/>
      <c r="I2320" s="203">
        <f>(I2319/I2321)-1</f>
        <v>0.83362369337979092</v>
      </c>
      <c r="J2320" s="203">
        <f>(J2319/J2321)-1</f>
        <v>-6.1898305084745759</v>
      </c>
      <c r="K2320" s="188"/>
      <c r="L2320" s="188"/>
      <c r="M2320" s="188"/>
      <c r="N2320" s="188"/>
      <c r="O2320" s="188"/>
      <c r="P2320" s="188"/>
      <c r="Q2320" s="188"/>
      <c r="R2320" s="188"/>
      <c r="S2320" s="188"/>
      <c r="T2320" s="180"/>
      <c r="U2320" s="189" t="str">
        <f>IFERROR(IF(Tableau3[[#This Row],[Dettes]]=0,"",(Tableau3[[#This Row],[Dettes]]/Tableau3[[#This Row],[EBE]])),"")</f>
        <v/>
      </c>
      <c r="V2320" s="190" t="str">
        <f>IFERROR(Tableau3[[#This Row],[Fonds propres]]/Tableau3[[#This Row],[Total Bilan]],"")</f>
        <v/>
      </c>
      <c r="W2320" s="180"/>
      <c r="X2320" s="192"/>
      <c r="Y2320" s="180"/>
      <c r="Z2320" s="192" t="str">
        <f>IFERROR(Tableau3[[#This Row],[Chiffre d''affaires]]/Tableau3[[#This Row],[Salariés]],"")</f>
        <v/>
      </c>
      <c r="AA2320" s="188"/>
      <c r="AB2320" s="188"/>
    </row>
    <row r="2321" spans="1:37" ht="20.25" customHeight="1">
      <c r="A2321" s="217"/>
      <c r="E2321" s="187">
        <v>22.7</v>
      </c>
      <c r="F2321" s="178">
        <v>2012</v>
      </c>
      <c r="G2321" s="188">
        <v>1219500000</v>
      </c>
      <c r="H2321" s="188" t="s">
        <v>819</v>
      </c>
      <c r="I2321" s="188">
        <v>114800000</v>
      </c>
      <c r="J2321" s="188">
        <v>-29500000</v>
      </c>
      <c r="K2321" s="188">
        <v>2300000</v>
      </c>
      <c r="L2321" s="188">
        <v>926200000</v>
      </c>
      <c r="M2321" s="194">
        <f>L2321/P2321</f>
        <v>10.992770751842734</v>
      </c>
      <c r="N2321" s="190">
        <f>J2321/L2321</f>
        <v>-3.1850572230619739E-2</v>
      </c>
      <c r="O2321" s="190">
        <f>(I2321*0.64)/(K2321+(M2321*P2321))</f>
        <v>7.9129779213785681E-2</v>
      </c>
      <c r="P2321" s="188">
        <v>84255373</v>
      </c>
      <c r="Q2321" s="211">
        <f>P2321*E2321</f>
        <v>1912596967.0999999</v>
      </c>
      <c r="R2321" s="195">
        <f>Q2321/L2321</f>
        <v>2.0649934863960269</v>
      </c>
      <c r="S2321" s="197"/>
      <c r="T2321" s="180"/>
      <c r="U2321" s="189" t="str">
        <f>IFERROR(IF(Tableau3[[#This Row],[Dettes]]=0,"",(Tableau3[[#This Row],[Dettes]]/Tableau3[[#This Row],[EBE]])),"")</f>
        <v/>
      </c>
      <c r="V2321" s="190" t="str">
        <f>IFERROR(Tableau3[[#This Row],[Fonds propres]]/Tableau3[[#This Row],[Total Bilan]],"")</f>
        <v/>
      </c>
      <c r="W2321" s="180"/>
      <c r="X2321" s="192"/>
      <c r="Y2321" s="180"/>
      <c r="Z2321" s="192" t="str">
        <f>IFERROR(Tableau3[[#This Row],[Chiffre d''affaires]]/Tableau3[[#This Row],[Salariés]],"")</f>
        <v/>
      </c>
      <c r="AA2321" s="188"/>
      <c r="AB2321" s="188"/>
    </row>
    <row r="2322" spans="1:37" ht="20.25" customHeight="1">
      <c r="A2322" s="217"/>
      <c r="E2322" s="232"/>
      <c r="G2322" s="202">
        <f>(G2321/G2323)-1</f>
        <v>5.1474392136575231E-2</v>
      </c>
      <c r="H2322" s="203"/>
      <c r="I2322" s="203">
        <f>(I2321/I2323)-1</f>
        <v>0.58126721763085398</v>
      </c>
      <c r="J2322" s="203">
        <f>(J2321/J2323)-1</f>
        <v>-33.777777777777779</v>
      </c>
      <c r="K2322" s="188"/>
      <c r="L2322" s="188"/>
      <c r="M2322" s="188"/>
      <c r="N2322" s="188"/>
      <c r="O2322" s="188"/>
      <c r="P2322" s="188"/>
      <c r="Q2322" s="188"/>
      <c r="R2322" s="188"/>
      <c r="S2322" s="188"/>
      <c r="T2322" s="180"/>
      <c r="U2322" s="189" t="str">
        <f>IFERROR(IF(Tableau3[[#This Row],[Dettes]]=0,"",(Tableau3[[#This Row],[Dettes]]/Tableau3[[#This Row],[EBE]])),"")</f>
        <v/>
      </c>
      <c r="V2322" s="190" t="str">
        <f>IFERROR(Tableau3[[#This Row],[Fonds propres]]/Tableau3[[#This Row],[Total Bilan]],"")</f>
        <v/>
      </c>
      <c r="W2322" s="180"/>
      <c r="X2322" s="192"/>
      <c r="Y2322" s="180"/>
      <c r="Z2322" s="192" t="str">
        <f>IFERROR(Tableau3[[#This Row],[Chiffre d''affaires]]/Tableau3[[#This Row],[Salariés]],"")</f>
        <v/>
      </c>
      <c r="AA2322" s="188"/>
      <c r="AB2322" s="188"/>
    </row>
    <row r="2323" spans="1:37" ht="20.25" customHeight="1">
      <c r="A2323" s="217"/>
      <c r="E2323" s="187">
        <v>24.2</v>
      </c>
      <c r="F2323" s="178">
        <v>2011</v>
      </c>
      <c r="G2323" s="188">
        <v>1159800000</v>
      </c>
      <c r="H2323" s="188" t="s">
        <v>819</v>
      </c>
      <c r="I2323" s="188">
        <v>72600000</v>
      </c>
      <c r="J2323" s="188">
        <v>900000</v>
      </c>
      <c r="K2323" s="188">
        <v>1800000</v>
      </c>
      <c r="L2323" s="188">
        <v>1015400000</v>
      </c>
      <c r="M2323" s="194">
        <f>L2323/P2323</f>
        <v>12.056078742223049</v>
      </c>
      <c r="N2323" s="190">
        <f>J2323/L2323</f>
        <v>8.8635020681504821E-4</v>
      </c>
      <c r="O2323" s="190">
        <f>(I2323*0.64)/(K2323+(M2323*P2323))</f>
        <v>4.5678332677939443E-2</v>
      </c>
      <c r="P2323" s="188">
        <v>84223073</v>
      </c>
      <c r="Q2323" s="211">
        <f>P2323*E2323</f>
        <v>2038198366.5999999</v>
      </c>
      <c r="R2323" s="195">
        <f>Q2323/L2323</f>
        <v>2.007286159740004</v>
      </c>
      <c r="S2323" s="197"/>
      <c r="T2323" s="180"/>
      <c r="U2323" s="189" t="str">
        <f>IFERROR(IF(Tableau3[[#This Row],[Dettes]]=0,"",(Tableau3[[#This Row],[Dettes]]/Tableau3[[#This Row],[EBE]])),"")</f>
        <v/>
      </c>
      <c r="V2323" s="190" t="str">
        <f>IFERROR(Tableau3[[#This Row],[Fonds propres]]/Tableau3[[#This Row],[Total Bilan]],"")</f>
        <v/>
      </c>
      <c r="W2323" s="180"/>
      <c r="X2323" s="192"/>
      <c r="Y2323" s="180"/>
      <c r="Z2323" s="192" t="str">
        <f>IFERROR(Tableau3[[#This Row],[Chiffre d''affaires]]/Tableau3[[#This Row],[Salariés]],"")</f>
        <v/>
      </c>
      <c r="AA2323" s="188"/>
      <c r="AB2323" s="188"/>
    </row>
    <row r="2324" spans="1:37" ht="20.25" customHeight="1">
      <c r="A2324" s="217"/>
      <c r="E2324" s="232"/>
      <c r="G2324" s="202">
        <f>(G2323/G2325)-1</f>
        <v>8.56500982869981E-2</v>
      </c>
      <c r="H2324" s="203"/>
      <c r="I2324" s="203">
        <f>(I2323/I2325)-1</f>
        <v>-0.43633540372670809</v>
      </c>
      <c r="J2324" s="203">
        <f>(J2323/J2325)-1</f>
        <v>-0.99059561128526641</v>
      </c>
      <c r="K2324" s="188"/>
      <c r="L2324" s="188"/>
      <c r="M2324" s="188"/>
      <c r="N2324" s="188"/>
      <c r="O2324" s="188"/>
      <c r="P2324" s="188"/>
      <c r="Q2324" s="188"/>
      <c r="R2324" s="188"/>
      <c r="S2324" s="188"/>
      <c r="T2324" s="180"/>
      <c r="U2324" s="189" t="str">
        <f>IFERROR(IF(Tableau3[[#This Row],[Dettes]]=0,"",(Tableau3[[#This Row],[Dettes]]/Tableau3[[#This Row],[EBE]])),"")</f>
        <v/>
      </c>
      <c r="V2324" s="190" t="str">
        <f>IFERROR(Tableau3[[#This Row],[Fonds propres]]/Tableau3[[#This Row],[Total Bilan]],"")</f>
        <v/>
      </c>
      <c r="W2324" s="180"/>
      <c r="X2324" s="192"/>
      <c r="Y2324" s="180"/>
      <c r="Z2324" s="192" t="str">
        <f>IFERROR(Tableau3[[#This Row],[Chiffre d''affaires]]/Tableau3[[#This Row],[Salariés]],"")</f>
        <v/>
      </c>
      <c r="AA2324" s="188"/>
      <c r="AB2324" s="188"/>
    </row>
    <row r="2325" spans="1:37" ht="20.25" customHeight="1">
      <c r="A2325" s="217"/>
      <c r="E2325" s="187">
        <v>24.8</v>
      </c>
      <c r="F2325" s="178">
        <v>2010</v>
      </c>
      <c r="G2325" s="188">
        <v>1068300000</v>
      </c>
      <c r="H2325" s="188"/>
      <c r="I2325" s="188">
        <v>128800000</v>
      </c>
      <c r="J2325" s="188">
        <v>95700000</v>
      </c>
      <c r="K2325" s="188">
        <v>22800000</v>
      </c>
      <c r="L2325" s="188">
        <v>1079200000</v>
      </c>
      <c r="M2325" s="194">
        <f>L2325/P2325</f>
        <v>12.817906986629909</v>
      </c>
      <c r="N2325" s="190">
        <f>J2325/L2325</f>
        <v>8.8676797627872492E-2</v>
      </c>
      <c r="O2325" s="190">
        <f>(I2325*0.64)/(K2325+(M2325*P2325))</f>
        <v>7.4802177858439206E-2</v>
      </c>
      <c r="P2325" s="188">
        <v>84194713</v>
      </c>
      <c r="Q2325" s="211">
        <f>P2325*E2325</f>
        <v>2088028882.4000001</v>
      </c>
      <c r="R2325" s="195">
        <f>Q2325/L2325</f>
        <v>1.9347932564862862</v>
      </c>
      <c r="S2325" s="197"/>
      <c r="T2325" s="180"/>
      <c r="U2325" s="189" t="str">
        <f>IFERROR(IF(Tableau3[[#This Row],[Dettes]]=0,"",(Tableau3[[#This Row],[Dettes]]/Tableau3[[#This Row],[EBE]])),"")</f>
        <v/>
      </c>
      <c r="V2325" s="190" t="str">
        <f>IFERROR(Tableau3[[#This Row],[Fonds propres]]/Tableau3[[#This Row],[Total Bilan]],"")</f>
        <v/>
      </c>
      <c r="W2325" s="180"/>
      <c r="X2325" s="192"/>
      <c r="Y2325" s="180"/>
      <c r="Z2325" s="192" t="str">
        <f>IFERROR(Tableau3[[#This Row],[Chiffre d''affaires]]/Tableau3[[#This Row],[Salariés]],"")</f>
        <v/>
      </c>
      <c r="AA2325" s="188"/>
      <c r="AB2325" s="188"/>
    </row>
    <row r="2326" spans="1:37" ht="20.25" customHeight="1">
      <c r="A2326" s="217"/>
      <c r="E2326" s="232"/>
      <c r="G2326" s="188"/>
      <c r="H2326" s="188"/>
      <c r="I2326" s="188"/>
      <c r="J2326" s="188"/>
      <c r="K2326" s="188"/>
      <c r="L2326" s="188"/>
      <c r="M2326" s="188"/>
      <c r="N2326" s="188"/>
      <c r="O2326" s="188"/>
      <c r="P2326" s="188"/>
      <c r="Q2326" s="188"/>
      <c r="R2326" s="188"/>
      <c r="S2326" s="188"/>
      <c r="T2326" s="180"/>
      <c r="U2326" s="189" t="str">
        <f>IFERROR(IF(Tableau3[[#This Row],[Dettes]]=0,"",(Tableau3[[#This Row],[Dettes]]/Tableau3[[#This Row],[EBE]])),"")</f>
        <v/>
      </c>
      <c r="V2326" s="190" t="str">
        <f>IFERROR(Tableau3[[#This Row],[Fonds propres]]/Tableau3[[#This Row],[Total Bilan]],"")</f>
        <v/>
      </c>
      <c r="W2326" s="180"/>
      <c r="X2326" s="192"/>
      <c r="Y2326" s="180"/>
      <c r="Z2326" s="192" t="str">
        <f>IFERROR(Tableau3[[#This Row],[Chiffre d''affaires]]/Tableau3[[#This Row],[Salariés]],"")</f>
        <v/>
      </c>
      <c r="AA2326" s="188"/>
      <c r="AB2326" s="188"/>
    </row>
    <row r="2327" spans="1:37" ht="20.25" customHeight="1">
      <c r="A2327" s="217"/>
      <c r="E2327" s="232"/>
      <c r="G2327" s="188"/>
      <c r="H2327" s="188"/>
      <c r="I2327" s="188"/>
      <c r="J2327" s="188"/>
      <c r="K2327" s="188"/>
      <c r="L2327" s="188"/>
      <c r="M2327" s="188"/>
      <c r="N2327" s="188"/>
      <c r="O2327" s="188"/>
      <c r="P2327" s="188"/>
      <c r="Q2327" s="188"/>
      <c r="R2327" s="188"/>
      <c r="S2327" s="188"/>
      <c r="T2327" s="180"/>
      <c r="U2327" s="189" t="str">
        <f>IFERROR(IF(Tableau3[[#This Row],[Dettes]]=0,"",(Tableau3[[#This Row],[Dettes]]/Tableau3[[#This Row],[EBE]])),"")</f>
        <v/>
      </c>
      <c r="V2327" s="190" t="str">
        <f>IFERROR(Tableau3[[#This Row],[Fonds propres]]/Tableau3[[#This Row],[Total Bilan]],"")</f>
        <v/>
      </c>
      <c r="W2327" s="180"/>
      <c r="X2327" s="192"/>
      <c r="Y2327" s="180"/>
      <c r="Z2327" s="192" t="str">
        <f>IFERROR(Tableau3[[#This Row],[Chiffre d''affaires]]/Tableau3[[#This Row],[Salariés]],"")</f>
        <v/>
      </c>
      <c r="AA2327" s="188"/>
      <c r="AB2327" s="188"/>
    </row>
    <row r="2328" spans="1:37" ht="20.25" customHeight="1">
      <c r="A2328" s="217"/>
      <c r="E2328" s="232"/>
      <c r="G2328" s="188"/>
      <c r="H2328" s="188"/>
      <c r="I2328" s="188"/>
      <c r="J2328" s="188"/>
      <c r="K2328" s="188"/>
      <c r="L2328" s="188"/>
      <c r="M2328" s="188"/>
      <c r="N2328" s="188"/>
      <c r="O2328" s="188"/>
      <c r="P2328" s="188"/>
      <c r="Q2328" s="188"/>
      <c r="R2328" s="188"/>
      <c r="S2328" s="188"/>
      <c r="T2328" s="180"/>
      <c r="U2328" s="189" t="str">
        <f>IFERROR(IF(Tableau3[[#This Row],[Dettes]]=0,"",(Tableau3[[#This Row],[Dettes]]/Tableau3[[#This Row],[EBE]])),"")</f>
        <v/>
      </c>
      <c r="V2328" s="190" t="str">
        <f>IFERROR(Tableau3[[#This Row],[Fonds propres]]/Tableau3[[#This Row],[Total Bilan]],"")</f>
        <v/>
      </c>
      <c r="W2328" s="180"/>
      <c r="X2328" s="192"/>
      <c r="Y2328" s="180"/>
      <c r="Z2328" s="192" t="str">
        <f>IFERROR(Tableau3[[#This Row],[Chiffre d''affaires]]/Tableau3[[#This Row],[Salariés]],"")</f>
        <v/>
      </c>
      <c r="AA2328" s="188"/>
      <c r="AB2328" s="188"/>
    </row>
    <row r="2329" spans="1:37" ht="20.25" customHeight="1">
      <c r="A2329" s="217" t="s">
        <v>1643</v>
      </c>
      <c r="B2329" s="216" t="s">
        <v>1592</v>
      </c>
      <c r="C2329" s="178" t="s">
        <v>1644</v>
      </c>
      <c r="D2329" s="178" t="s">
        <v>383</v>
      </c>
      <c r="E2329" s="255">
        <v>86.78</v>
      </c>
      <c r="F2329" s="178">
        <v>2021</v>
      </c>
      <c r="G2329" s="188"/>
      <c r="H2329" s="188"/>
      <c r="I2329" s="188"/>
      <c r="J2329" s="188"/>
      <c r="K2329" s="188"/>
      <c r="L2329" s="188"/>
      <c r="M2329" s="188"/>
      <c r="N2329" s="188"/>
      <c r="O2329" s="188"/>
      <c r="P2329" s="188">
        <f>P2331</f>
        <v>1312137976</v>
      </c>
      <c r="Q2329" s="211">
        <f>P2329*E2329</f>
        <v>113867333557.28</v>
      </c>
      <c r="R2329" s="195" t="e">
        <f>Q2329/L2329</f>
        <v>#DIV/0!</v>
      </c>
      <c r="S2329" s="197" t="e">
        <f>(Q2329+K2329)/H2329</f>
        <v>#DIV/0!</v>
      </c>
      <c r="T2329" s="180"/>
      <c r="U2329" s="189" t="str">
        <f>IFERROR(IF(Tableau3[[#This Row],[Dettes]]=0,"",(Tableau3[[#This Row],[Dettes]]/Tableau3[[#This Row],[EBE]])),"")</f>
        <v/>
      </c>
      <c r="V2329" s="190" t="str">
        <f>IFERROR(Tableau3[[#This Row],[Fonds propres]]/Tableau3[[#This Row],[Total Bilan]],"")</f>
        <v/>
      </c>
      <c r="W2329" s="180"/>
      <c r="X2329" s="192" t="s">
        <v>318</v>
      </c>
      <c r="Y2329" s="180"/>
      <c r="Z2329" s="192" t="str">
        <f>IFERROR(Tableau3[[#This Row],[Chiffre d''affaires]]/Tableau3[[#This Row],[Salariés]],"")</f>
        <v/>
      </c>
      <c r="AA2329" s="188"/>
      <c r="AB2329" s="188"/>
      <c r="AC2329" s="177" t="s">
        <v>1645</v>
      </c>
      <c r="AD2329" s="188"/>
      <c r="AE2329" s="188"/>
      <c r="AF2329" s="188"/>
      <c r="AG2329" s="188"/>
      <c r="AH2329" s="188"/>
      <c r="AI2329" s="188"/>
      <c r="AJ2329" s="188"/>
      <c r="AK2329" s="188"/>
    </row>
    <row r="2330" spans="1:37" ht="20.25" customHeight="1">
      <c r="A2330" s="217"/>
      <c r="E2330" s="256"/>
      <c r="G2330" s="188"/>
      <c r="H2330" s="188"/>
      <c r="I2330" s="188"/>
      <c r="J2330" s="188"/>
      <c r="K2330" s="188"/>
      <c r="L2330" s="188"/>
      <c r="M2330" s="188"/>
      <c r="N2330" s="188"/>
      <c r="O2330" s="188"/>
      <c r="P2330" s="188"/>
      <c r="Q2330" s="188"/>
      <c r="R2330" s="188"/>
      <c r="S2330" s="188"/>
      <c r="T2330" s="180"/>
      <c r="U2330" s="189" t="str">
        <f>IFERROR(IF(Tableau3[[#This Row],[Dettes]]=0,"",(Tableau3[[#This Row],[Dettes]]/Tableau3[[#This Row],[EBE]])),"")</f>
        <v/>
      </c>
      <c r="V2330" s="190" t="str">
        <f>IFERROR(Tableau3[[#This Row],[Fonds propres]]/Tableau3[[#This Row],[Total Bilan]],"")</f>
        <v/>
      </c>
      <c r="W2330" s="180"/>
      <c r="X2330" s="192"/>
      <c r="Y2330" s="180"/>
      <c r="Z2330" s="192" t="str">
        <f>IFERROR(Tableau3[[#This Row],[Chiffre d''affaires]]/Tableau3[[#This Row],[Salariés]],"")</f>
        <v/>
      </c>
      <c r="AA2330" s="188"/>
      <c r="AB2330" s="188"/>
      <c r="AC2330" s="177" t="s">
        <v>4681</v>
      </c>
      <c r="AD2330" s="188"/>
      <c r="AE2330" s="188"/>
      <c r="AF2330" s="188"/>
      <c r="AG2330" s="188"/>
      <c r="AH2330" s="188"/>
      <c r="AI2330" s="188"/>
      <c r="AJ2330" s="188"/>
      <c r="AK2330" s="188"/>
    </row>
    <row r="2331" spans="1:37" ht="20.25" customHeight="1">
      <c r="A2331" s="217"/>
      <c r="E2331" s="255">
        <f>73.58</f>
        <v>73.58</v>
      </c>
      <c r="F2331" s="178">
        <v>2020</v>
      </c>
      <c r="G2331" s="188">
        <v>26617000000</v>
      </c>
      <c r="H2331" s="188">
        <v>8311000000</v>
      </c>
      <c r="I2331" s="188">
        <v>3916000000</v>
      </c>
      <c r="J2331" s="188">
        <v>3196000000</v>
      </c>
      <c r="K2331" s="188">
        <v>12110000000</v>
      </c>
      <c r="L2331" s="188">
        <v>15622000000</v>
      </c>
      <c r="M2331" s="194">
        <f>L2331/P2331</f>
        <v>11.905760130213624</v>
      </c>
      <c r="N2331" s="190">
        <f>J2331/L2331</f>
        <v>0.20458327998975803</v>
      </c>
      <c r="O2331" s="190">
        <f>(I2331*0.64)/(K2331+(M2331*P2331))</f>
        <v>9.0373575652675606E-2</v>
      </c>
      <c r="P2331" s="188">
        <f>P2333</f>
        <v>1312137976</v>
      </c>
      <c r="Q2331" s="211">
        <f>P2331*E2331</f>
        <v>96547112274.080002</v>
      </c>
      <c r="R2331" s="195">
        <f>Q2331/L2331</f>
        <v>6.1802017842837023</v>
      </c>
      <c r="S2331" s="197">
        <f>(Q2331+K2331)/H2331</f>
        <v>13.07389150211527</v>
      </c>
      <c r="T2331" s="180"/>
      <c r="U2331" s="189">
        <f>IFERROR(IF(Tableau3[[#This Row],[Dettes]]=0,"",(Tableau3[[#This Row],[Dettes]]/Tableau3[[#This Row],[EBE]])),"")</f>
        <v>1.4571050415112501</v>
      </c>
      <c r="V2331" s="190" t="str">
        <f>IFERROR(Tableau3[[#This Row],[Fonds propres]]/Tableau3[[#This Row],[Total Bilan]],"")</f>
        <v/>
      </c>
      <c r="W2331" s="180"/>
      <c r="Y2331" s="180"/>
      <c r="Z2331" s="192" t="str">
        <f>IFERROR(Tableau3[[#This Row],[Chiffre d''affaires]]/Tableau3[[#This Row],[Salariés]],"")</f>
        <v/>
      </c>
      <c r="AA2331" s="177"/>
      <c r="AC2331" s="177" t="s">
        <v>1647</v>
      </c>
      <c r="AD2331" s="188"/>
      <c r="AE2331" s="188"/>
      <c r="AF2331" s="188"/>
      <c r="AG2331" s="188"/>
      <c r="AH2331" s="188"/>
      <c r="AI2331" s="188"/>
      <c r="AJ2331" s="188"/>
      <c r="AK2331" s="188"/>
    </row>
    <row r="2332" spans="1:37" ht="20.25" customHeight="1">
      <c r="A2332" s="217"/>
      <c r="E2332" s="255"/>
      <c r="G2332" s="202">
        <f>(G2331/G2333)-1</f>
        <v>9.1576443569553856E-2</v>
      </c>
      <c r="H2332" s="203">
        <f>(H2331/H2333)-1</f>
        <v>0.24304516900987139</v>
      </c>
      <c r="I2332" s="203">
        <f>(I2331/I2333)-1</f>
        <v>1.5297157622739017</v>
      </c>
      <c r="J2332" s="203">
        <f>(J2331/J2333)-1</f>
        <v>1.3940074906367039</v>
      </c>
      <c r="K2332" s="188"/>
      <c r="L2332" s="188"/>
      <c r="M2332" s="188"/>
      <c r="N2332" s="188"/>
      <c r="O2332" s="188"/>
      <c r="P2332" s="188"/>
      <c r="Q2332" s="188"/>
      <c r="R2332" s="188"/>
      <c r="S2332" s="188"/>
      <c r="T2332" s="180"/>
      <c r="U2332" s="189" t="str">
        <f>IFERROR(IF(Tableau3[[#This Row],[Dettes]]=0,"",(Tableau3[[#This Row],[Dettes]]/Tableau3[[#This Row],[EBE]])),"")</f>
        <v/>
      </c>
      <c r="V2332" s="190" t="str">
        <f>IFERROR(Tableau3[[#This Row],[Fonds propres]]/Tableau3[[#This Row],[Total Bilan]],"")</f>
        <v/>
      </c>
      <c r="W2332" s="180"/>
      <c r="X2332" s="192"/>
      <c r="Y2332" s="180"/>
      <c r="Z2332" s="192" t="str">
        <f>IFERROR(Tableau3[[#This Row],[Chiffre d''affaires]]/Tableau3[[#This Row],[Salariés]],"")</f>
        <v/>
      </c>
      <c r="AA2332" s="188"/>
      <c r="AB2332" s="188"/>
      <c r="AC2332" s="177" t="s">
        <v>1648</v>
      </c>
      <c r="AD2332" s="188"/>
      <c r="AE2332" s="188"/>
      <c r="AF2332" s="188"/>
      <c r="AG2332" s="188"/>
      <c r="AH2332" s="188"/>
      <c r="AI2332" s="188"/>
      <c r="AJ2332" s="188"/>
      <c r="AK2332" s="188"/>
    </row>
    <row r="2333" spans="1:37" ht="20.25" customHeight="1">
      <c r="A2333" s="217"/>
      <c r="E2333" s="255">
        <f>76.565</f>
        <v>76.564999999999998</v>
      </c>
      <c r="F2333" s="178">
        <v>2019</v>
      </c>
      <c r="G2333" s="188">
        <v>24384000000</v>
      </c>
      <c r="H2333" s="188">
        <v>6686000000</v>
      </c>
      <c r="I2333" s="188">
        <v>1548000000</v>
      </c>
      <c r="J2333" s="188">
        <v>1335000000</v>
      </c>
      <c r="K2333" s="188">
        <v>11904000000</v>
      </c>
      <c r="L2333" s="188">
        <v>13127000000</v>
      </c>
      <c r="M2333" s="194">
        <f>L2333/P2333</f>
        <v>10.004283269063771</v>
      </c>
      <c r="N2333" s="190">
        <f>J2333/L2333</f>
        <v>0.10169878875599908</v>
      </c>
      <c r="O2333" s="190">
        <f>(I2333*0.64)/(K2333+(M2333*P2333))</f>
        <v>3.9579721145779234E-2</v>
      </c>
      <c r="P2333" s="188">
        <v>1312137976</v>
      </c>
      <c r="Q2333" s="211">
        <f>P2333*E2333</f>
        <v>100463844132.44</v>
      </c>
      <c r="R2333" s="195">
        <f>Q2333/L2333</f>
        <v>7.6532219191315614</v>
      </c>
      <c r="S2333" s="197">
        <f>(Q2333+K2333)/H2333</f>
        <v>16.806437949811546</v>
      </c>
      <c r="T2333" s="180"/>
      <c r="U2333" s="189">
        <f>IFERROR(IF(Tableau3[[#This Row],[Dettes]]=0,"",(Tableau3[[#This Row],[Dettes]]/Tableau3[[#This Row],[EBE]])),"")</f>
        <v>1.7804367334729285</v>
      </c>
      <c r="V2333" s="190" t="str">
        <f>IFERROR(Tableau3[[#This Row],[Fonds propres]]/Tableau3[[#This Row],[Total Bilan]],"")</f>
        <v/>
      </c>
      <c r="W2333" s="180"/>
      <c r="X2333" s="192"/>
      <c r="Y2333" s="180"/>
      <c r="Z2333" s="192" t="str">
        <f>IFERROR(Tableau3[[#This Row],[Chiffre d''affaires]]/Tableau3[[#This Row],[Salariés]],"")</f>
        <v/>
      </c>
      <c r="AA2333" s="188"/>
      <c r="AB2333" s="188"/>
      <c r="AC2333" s="177" t="s">
        <v>1649</v>
      </c>
      <c r="AD2333" s="188"/>
      <c r="AE2333" s="188"/>
      <c r="AF2333" s="188"/>
      <c r="AG2333" s="188"/>
      <c r="AH2333" s="188"/>
      <c r="AI2333" s="188"/>
      <c r="AJ2333" s="188"/>
      <c r="AK2333" s="188"/>
    </row>
    <row r="2334" spans="1:37" ht="20.25" customHeight="1">
      <c r="A2334" s="217"/>
      <c r="E2334" s="255"/>
      <c r="G2334" s="202">
        <f>(G2333/G2335)-1</f>
        <v>6.4803493449781646E-2</v>
      </c>
      <c r="H2334" s="203">
        <f>(H2333/H2335)-1</f>
        <v>-6.3585434173669464E-2</v>
      </c>
      <c r="I2334" s="203">
        <f>(I2333/I2335)-1</f>
        <v>-0.22328148519819369</v>
      </c>
      <c r="J2334" s="203">
        <f>(J2333/J2335)-1</f>
        <v>-0.38051044083526686</v>
      </c>
      <c r="K2334" s="188"/>
      <c r="L2334" s="188"/>
      <c r="M2334" s="188"/>
      <c r="N2334" s="188"/>
      <c r="O2334" s="188"/>
      <c r="P2334" s="188"/>
      <c r="Q2334" s="188"/>
      <c r="R2334" s="188"/>
      <c r="S2334" s="188"/>
      <c r="T2334" s="180"/>
      <c r="U2334" s="189" t="str">
        <f>IFERROR(IF(Tableau3[[#This Row],[Dettes]]=0,"",(Tableau3[[#This Row],[Dettes]]/Tableau3[[#This Row],[EBE]])),"")</f>
        <v/>
      </c>
      <c r="V2334" s="190" t="str">
        <f>IFERROR(Tableau3[[#This Row],[Fonds propres]]/Tableau3[[#This Row],[Total Bilan]],"")</f>
        <v/>
      </c>
      <c r="W2334" s="180"/>
      <c r="X2334" s="192"/>
      <c r="Y2334" s="180"/>
      <c r="Z2334" s="192" t="str">
        <f>IFERROR(Tableau3[[#This Row],[Chiffre d''affaires]]/Tableau3[[#This Row],[Salariés]],"")</f>
        <v/>
      </c>
      <c r="AA2334" s="188"/>
      <c r="AB2334" s="188"/>
      <c r="AC2334" s="177" t="s">
        <v>1650</v>
      </c>
      <c r="AD2334" s="188"/>
      <c r="AE2334" s="188"/>
      <c r="AF2334" s="188"/>
      <c r="AG2334" s="188"/>
      <c r="AH2334" s="188"/>
      <c r="AI2334" s="188"/>
      <c r="AJ2334" s="188"/>
      <c r="AK2334" s="188"/>
    </row>
    <row r="2335" spans="1:37" ht="20.25" customHeight="1">
      <c r="A2335" s="217"/>
      <c r="E2335" s="255">
        <f>58.73</f>
        <v>58.73</v>
      </c>
      <c r="F2335" s="178">
        <v>2018</v>
      </c>
      <c r="G2335" s="188">
        <v>22900000000</v>
      </c>
      <c r="H2335" s="188">
        <v>7140000000</v>
      </c>
      <c r="I2335" s="188">
        <v>1993000000</v>
      </c>
      <c r="J2335" s="188">
        <v>2155000000</v>
      </c>
      <c r="K2335" s="188">
        <v>13003000000</v>
      </c>
      <c r="L2335" s="188">
        <v>12468000000</v>
      </c>
      <c r="M2335" s="194">
        <f>L2335/P2335</f>
        <v>9.840261988498991</v>
      </c>
      <c r="N2335" s="190">
        <f>J2335/L2335</f>
        <v>0.17284247674045555</v>
      </c>
      <c r="O2335" s="190">
        <f>(I2335*0.64)/(K2335+(M2335*P2335))</f>
        <v>5.007734286050803E-2</v>
      </c>
      <c r="P2335" s="188">
        <v>1267039436</v>
      </c>
      <c r="Q2335" s="211">
        <f>P2335*E2335</f>
        <v>74413226076.279999</v>
      </c>
      <c r="R2335" s="195">
        <f>Q2335/L2335</f>
        <v>5.9683370288963742</v>
      </c>
      <c r="S2335" s="197">
        <f>(Q2335+K2335)/H2335</f>
        <v>12.243168918246498</v>
      </c>
      <c r="T2335" s="180"/>
      <c r="U2335" s="189">
        <f>IFERROR(IF(Tableau3[[#This Row],[Dettes]]=0,"",(Tableau3[[#This Row],[Dettes]]/Tableau3[[#This Row],[EBE]])),"")</f>
        <v>1.8211484593837535</v>
      </c>
      <c r="V2335" s="190" t="str">
        <f>IFERROR(Tableau3[[#This Row],[Fonds propres]]/Tableau3[[#This Row],[Total Bilan]],"")</f>
        <v/>
      </c>
      <c r="W2335" s="180"/>
      <c r="X2335" s="192"/>
      <c r="Y2335" s="180"/>
      <c r="Z2335" s="192" t="str">
        <f>IFERROR(Tableau3[[#This Row],[Chiffre d''affaires]]/Tableau3[[#This Row],[Salariés]],"")</f>
        <v/>
      </c>
      <c r="AA2335" s="188"/>
      <c r="AB2335" s="188"/>
      <c r="AC2335" s="177" t="s">
        <v>1651</v>
      </c>
      <c r="AD2335" s="188"/>
      <c r="AE2335" s="188"/>
      <c r="AF2335" s="188"/>
      <c r="AG2335" s="188"/>
      <c r="AH2335" s="188"/>
      <c r="AI2335" s="188"/>
      <c r="AJ2335" s="188"/>
      <c r="AK2335" s="188"/>
    </row>
    <row r="2336" spans="1:37" ht="20.25" customHeight="1">
      <c r="A2336" s="217"/>
      <c r="D2336" s="178" t="s">
        <v>1652</v>
      </c>
      <c r="E2336" s="255"/>
      <c r="G2336" s="202">
        <f>(G2335/G2337)-1</f>
        <v>1.9363454262185664E-2</v>
      </c>
      <c r="H2336" s="203">
        <f>(H2335/H2337)-1</f>
        <v>6.3607924921793568E-2</v>
      </c>
      <c r="I2336" s="203">
        <f>(I2335/I2337)-1</f>
        <v>-0.1050740907049843</v>
      </c>
      <c r="J2336" s="203">
        <f>(J2335/J2337)-1</f>
        <v>-0.28190603132289238</v>
      </c>
      <c r="K2336" s="188"/>
      <c r="L2336" s="188"/>
      <c r="M2336" s="188"/>
      <c r="N2336" s="188"/>
      <c r="O2336" s="188"/>
      <c r="P2336" s="188"/>
      <c r="Q2336" s="188"/>
      <c r="R2336" s="188"/>
      <c r="S2336" s="188"/>
      <c r="T2336" s="180"/>
      <c r="U2336" s="189" t="str">
        <f>IFERROR(IF(Tableau3[[#This Row],[Dettes]]=0,"",(Tableau3[[#This Row],[Dettes]]/Tableau3[[#This Row],[EBE]])),"")</f>
        <v/>
      </c>
      <c r="V2336" s="190" t="str">
        <f>IFERROR(Tableau3[[#This Row],[Fonds propres]]/Tableau3[[#This Row],[Total Bilan]],"")</f>
        <v/>
      </c>
      <c r="W2336" s="180"/>
      <c r="X2336" s="192"/>
      <c r="Y2336" s="180"/>
      <c r="Z2336" s="192" t="str">
        <f>IFERROR(Tableau3[[#This Row],[Chiffre d''affaires]]/Tableau3[[#This Row],[Salariés]],"")</f>
        <v/>
      </c>
      <c r="AA2336" s="188"/>
      <c r="AB2336" s="188"/>
      <c r="AC2336" s="177" t="s">
        <v>1653</v>
      </c>
      <c r="AD2336" s="188"/>
      <c r="AE2336" s="188"/>
      <c r="AF2336" s="188"/>
      <c r="AG2336" s="188"/>
      <c r="AH2336" s="188"/>
      <c r="AI2336" s="188"/>
      <c r="AJ2336" s="188"/>
      <c r="AK2336" s="188"/>
    </row>
    <row r="2337" spans="1:37" ht="20.25" customHeight="1">
      <c r="A2337" s="217"/>
      <c r="E2337" s="255">
        <f>51.21</f>
        <v>51.21</v>
      </c>
      <c r="F2337" s="178">
        <v>2017</v>
      </c>
      <c r="G2337" s="188">
        <v>22465000000</v>
      </c>
      <c r="H2337" s="188">
        <v>6713000000</v>
      </c>
      <c r="I2337" s="188">
        <v>2227000000</v>
      </c>
      <c r="J2337" s="188">
        <v>3001000000</v>
      </c>
      <c r="K2337" s="188">
        <v>12679000000</v>
      </c>
      <c r="L2337" s="188">
        <v>14960000000</v>
      </c>
      <c r="M2337" s="194">
        <f>L2337/P2337</f>
        <v>11.814677573756926</v>
      </c>
      <c r="N2337" s="190">
        <f>J2337/L2337</f>
        <v>0.20060160427807486</v>
      </c>
      <c r="O2337" s="190">
        <f>(I2337*0.64)/(K2337+(M2337*P2337))</f>
        <v>5.1567712290603855E-2</v>
      </c>
      <c r="P2337" s="188">
        <v>1266221605</v>
      </c>
      <c r="Q2337" s="211">
        <f>P2337*E2337</f>
        <v>64843208392.050003</v>
      </c>
      <c r="R2337" s="195">
        <f>Q2337/L2337</f>
        <v>4.3344390636397057</v>
      </c>
      <c r="S2337" s="197">
        <f>(Q2337+K2337)/H2337</f>
        <v>11.548072157314166</v>
      </c>
      <c r="T2337" s="180"/>
      <c r="U2337" s="189">
        <f>IFERROR(IF(Tableau3[[#This Row],[Dettes]]=0,"",(Tableau3[[#This Row],[Dettes]]/Tableau3[[#This Row],[EBE]])),"")</f>
        <v>1.8887233725607031</v>
      </c>
      <c r="V2337" s="190" t="str">
        <f>IFERROR(Tableau3[[#This Row],[Fonds propres]]/Tableau3[[#This Row],[Total Bilan]],"")</f>
        <v/>
      </c>
      <c r="W2337" s="180"/>
      <c r="X2337" s="192"/>
      <c r="Y2337" s="180"/>
      <c r="Z2337" s="192" t="str">
        <f>IFERROR(Tableau3[[#This Row],[Chiffre d''affaires]]/Tableau3[[#This Row],[Salariés]],"")</f>
        <v/>
      </c>
      <c r="AA2337" s="188"/>
      <c r="AB2337" s="188"/>
      <c r="AC2337" s="177" t="s">
        <v>1654</v>
      </c>
      <c r="AD2337" s="188"/>
      <c r="AE2337" s="188"/>
      <c r="AF2337" s="188"/>
      <c r="AG2337" s="188"/>
      <c r="AH2337" s="188"/>
      <c r="AI2337" s="188"/>
      <c r="AJ2337" s="188"/>
      <c r="AK2337" s="188"/>
    </row>
    <row r="2338" spans="1:37" ht="20.25" customHeight="1">
      <c r="A2338" s="217"/>
      <c r="E2338" s="187"/>
      <c r="G2338" s="188"/>
      <c r="H2338" s="188"/>
      <c r="I2338" s="188"/>
      <c r="J2338" s="188"/>
      <c r="K2338" s="188"/>
      <c r="L2338" s="188"/>
      <c r="M2338" s="188"/>
      <c r="N2338" s="188"/>
      <c r="O2338" s="188"/>
      <c r="P2338" s="188"/>
      <c r="Q2338" s="188"/>
      <c r="R2338" s="188"/>
      <c r="S2338" s="188"/>
      <c r="T2338" s="180"/>
      <c r="U2338" s="189" t="str">
        <f>IFERROR(IF(Tableau3[[#This Row],[Dettes]]=0,"",(Tableau3[[#This Row],[Dettes]]/Tableau3[[#This Row],[EBE]])),"")</f>
        <v/>
      </c>
      <c r="V2338" s="190" t="str">
        <f>IFERROR(Tableau3[[#This Row],[Fonds propres]]/Tableau3[[#This Row],[Total Bilan]],"")</f>
        <v/>
      </c>
      <c r="W2338" s="180"/>
      <c r="X2338" s="192"/>
      <c r="Y2338" s="180"/>
      <c r="Z2338" s="192" t="str">
        <f>IFERROR(Tableau3[[#This Row],[Chiffre d''affaires]]/Tableau3[[#This Row],[Salariés]],"")</f>
        <v/>
      </c>
      <c r="AA2338" s="188"/>
      <c r="AB2338" s="188"/>
      <c r="AC2338" s="177" t="s">
        <v>1655</v>
      </c>
      <c r="AD2338" s="188"/>
      <c r="AE2338" s="188"/>
      <c r="AF2338" s="188"/>
      <c r="AG2338" s="188"/>
      <c r="AH2338" s="188"/>
      <c r="AI2338" s="188"/>
      <c r="AJ2338" s="188"/>
      <c r="AK2338" s="188"/>
    </row>
    <row r="2339" spans="1:37" ht="20.25" customHeight="1">
      <c r="A2339" s="217"/>
      <c r="G2339" s="188"/>
      <c r="H2339" s="188"/>
      <c r="I2339" s="188"/>
      <c r="J2339" s="188"/>
      <c r="K2339" s="188"/>
      <c r="L2339" s="188"/>
      <c r="M2339" s="188"/>
      <c r="N2339" s="188"/>
      <c r="O2339" s="188"/>
      <c r="P2339" s="188"/>
      <c r="Q2339" s="188"/>
      <c r="R2339" s="188"/>
      <c r="S2339" s="188"/>
      <c r="T2339" s="180"/>
      <c r="U2339" s="189" t="str">
        <f>IFERROR(IF(Tableau3[[#This Row],[Dettes]]=0,"",(Tableau3[[#This Row],[Dettes]]/Tableau3[[#This Row],[EBE]])),"")</f>
        <v/>
      </c>
      <c r="V2339" s="190" t="str">
        <f>IFERROR(Tableau3[[#This Row],[Fonds propres]]/Tableau3[[#This Row],[Total Bilan]],"")</f>
        <v/>
      </c>
      <c r="W2339" s="180"/>
      <c r="X2339" s="192"/>
      <c r="Y2339" s="180"/>
      <c r="Z2339" s="192" t="str">
        <f>IFERROR(Tableau3[[#This Row],[Chiffre d''affaires]]/Tableau3[[#This Row],[Salariés]],"")</f>
        <v/>
      </c>
      <c r="AA2339" s="188"/>
      <c r="AB2339" s="188"/>
      <c r="AD2339" s="188"/>
      <c r="AE2339" s="188"/>
      <c r="AF2339" s="188"/>
      <c r="AG2339" s="188"/>
      <c r="AH2339" s="188"/>
      <c r="AI2339" s="188"/>
      <c r="AJ2339" s="188"/>
      <c r="AK2339" s="188"/>
    </row>
    <row r="2340" spans="1:37" ht="20.25" customHeight="1">
      <c r="A2340" s="217"/>
      <c r="G2340" s="188"/>
      <c r="H2340" s="188"/>
      <c r="I2340" s="188"/>
      <c r="J2340" s="188"/>
      <c r="K2340" s="188"/>
      <c r="L2340" s="188"/>
      <c r="M2340" s="188"/>
      <c r="N2340" s="188"/>
      <c r="O2340" s="188"/>
      <c r="P2340" s="188"/>
      <c r="Q2340" s="188"/>
      <c r="R2340" s="188"/>
      <c r="S2340" s="188"/>
      <c r="T2340" s="180"/>
      <c r="U2340" s="189" t="str">
        <f>IFERROR(IF(Tableau3[[#This Row],[Dettes]]=0,"",(Tableau3[[#This Row],[Dettes]]/Tableau3[[#This Row],[EBE]])),"")</f>
        <v/>
      </c>
      <c r="V2340" s="190" t="str">
        <f>IFERROR(Tableau3[[#This Row],[Fonds propres]]/Tableau3[[#This Row],[Total Bilan]],"")</f>
        <v/>
      </c>
      <c r="W2340" s="180"/>
      <c r="X2340" s="192"/>
      <c r="Y2340" s="180"/>
      <c r="Z2340" s="192" t="str">
        <f>IFERROR(Tableau3[[#This Row],[Chiffre d''affaires]]/Tableau3[[#This Row],[Salariés]],"")</f>
        <v/>
      </c>
      <c r="AA2340" s="188"/>
      <c r="AB2340" s="188"/>
      <c r="AD2340" s="188"/>
      <c r="AE2340" s="188"/>
      <c r="AF2340" s="188"/>
      <c r="AG2340" s="188"/>
      <c r="AH2340" s="188"/>
      <c r="AI2340" s="188"/>
      <c r="AJ2340" s="188"/>
      <c r="AK2340" s="188"/>
    </row>
    <row r="2341" spans="1:37" ht="20.25" customHeight="1">
      <c r="A2341" s="217"/>
      <c r="G2341" s="188"/>
      <c r="H2341" s="188"/>
      <c r="I2341" s="188"/>
      <c r="J2341" s="188"/>
      <c r="K2341" s="188"/>
      <c r="L2341" s="188"/>
      <c r="M2341" s="188"/>
      <c r="N2341" s="188"/>
      <c r="O2341" s="188"/>
      <c r="P2341" s="188"/>
      <c r="Q2341" s="188"/>
      <c r="R2341" s="188"/>
      <c r="S2341" s="188"/>
      <c r="T2341" s="180"/>
      <c r="U2341" s="189" t="str">
        <f>IFERROR(IF(Tableau3[[#This Row],[Dettes]]=0,"",(Tableau3[[#This Row],[Dettes]]/Tableau3[[#This Row],[EBE]])),"")</f>
        <v/>
      </c>
      <c r="V2341" s="190" t="str">
        <f>IFERROR(Tableau3[[#This Row],[Fonds propres]]/Tableau3[[#This Row],[Total Bilan]],"")</f>
        <v/>
      </c>
      <c r="W2341" s="180"/>
      <c r="X2341" s="192"/>
      <c r="Y2341" s="180"/>
      <c r="Z2341" s="192" t="str">
        <f>IFERROR(Tableau3[[#This Row],[Chiffre d''affaires]]/Tableau3[[#This Row],[Salariés]],"")</f>
        <v/>
      </c>
      <c r="AA2341" s="188"/>
      <c r="AB2341" s="188"/>
      <c r="AD2341" s="188"/>
      <c r="AE2341" s="188"/>
      <c r="AF2341" s="188"/>
      <c r="AG2341" s="188"/>
      <c r="AH2341" s="188"/>
      <c r="AI2341" s="188"/>
      <c r="AJ2341" s="188"/>
      <c r="AK2341" s="188"/>
    </row>
    <row r="2342" spans="1:37" ht="20.25" customHeight="1">
      <c r="A2342" s="217" t="s">
        <v>1656</v>
      </c>
      <c r="B2342" s="216" t="s">
        <v>1592</v>
      </c>
      <c r="C2342" s="178" t="s">
        <v>382</v>
      </c>
      <c r="D2342" s="178" t="s">
        <v>383</v>
      </c>
      <c r="E2342" s="187">
        <v>30</v>
      </c>
      <c r="F2342" s="178">
        <v>2025</v>
      </c>
      <c r="G2342" s="188">
        <v>2500000000</v>
      </c>
      <c r="H2342" s="188"/>
      <c r="I2342" s="188">
        <v>-3000000000</v>
      </c>
      <c r="J2342" s="188">
        <v>-3000000000</v>
      </c>
      <c r="K2342" s="188">
        <v>-6500000000</v>
      </c>
      <c r="L2342" s="188">
        <v>6500000000</v>
      </c>
      <c r="M2342" s="194">
        <f>L2342/P2342</f>
        <v>16.927083333333332</v>
      </c>
      <c r="N2342" s="190">
        <f>J2342/L2344</f>
        <v>-0.27520410971470505</v>
      </c>
      <c r="O2342" s="190">
        <f>(I2342*0.64)/(K2344+L2344)</f>
        <v>-1.3704496788008564</v>
      </c>
      <c r="P2342" s="188">
        <v>384000000</v>
      </c>
      <c r="Q2342" s="211">
        <f>P2342*E2342</f>
        <v>11520000000</v>
      </c>
      <c r="R2342" s="195">
        <f>Q2342/L2342</f>
        <v>1.7723076923076924</v>
      </c>
      <c r="S2342" s="188"/>
      <c r="T2342" s="180"/>
      <c r="U2342" s="189" t="str">
        <f>IFERROR(IF(Tableau3[[#This Row],[Dettes]]=0,"",(Tableau3[[#This Row],[Dettes]]/Tableau3[[#This Row],[EBE]])),"")</f>
        <v/>
      </c>
      <c r="V2342" s="190" t="str">
        <f>IFERROR(Tableau3[[#This Row],[Fonds propres]]/Tableau3[[#This Row],[Total Bilan]],"")</f>
        <v/>
      </c>
      <c r="W2342" s="180"/>
      <c r="X2342" s="192"/>
      <c r="Y2342" s="180"/>
      <c r="Z2342" s="192" t="str">
        <f>IFERROR(Tableau3[[#This Row],[Chiffre d''affaires]]/Tableau3[[#This Row],[Salariés]],"")</f>
        <v/>
      </c>
      <c r="AA2342" s="188"/>
      <c r="AB2342" s="188"/>
      <c r="AC2342" s="177" t="s">
        <v>1657</v>
      </c>
      <c r="AD2342" s="188"/>
      <c r="AE2342" s="188"/>
      <c r="AF2342" s="188"/>
      <c r="AG2342" s="188"/>
      <c r="AH2342" s="188"/>
      <c r="AI2342" s="188"/>
      <c r="AJ2342" s="188"/>
      <c r="AK2342" s="188"/>
    </row>
    <row r="2343" spans="1:37" ht="20.25" customHeight="1">
      <c r="A2343" s="217"/>
      <c r="G2343" s="202">
        <f>(G2342/G2344)-1</f>
        <v>-0.22744128553770082</v>
      </c>
      <c r="H2343" s="203"/>
      <c r="I2343" s="203">
        <f>(I2342/I2344)-1</f>
        <v>-0.23954372623574149</v>
      </c>
      <c r="J2343" s="203">
        <f>(J2342/J2344)-1</f>
        <v>-0.15754001684919972</v>
      </c>
      <c r="K2343" s="188"/>
      <c r="L2343" s="188"/>
      <c r="M2343" s="188"/>
      <c r="N2343" s="188"/>
      <c r="O2343" s="188"/>
      <c r="P2343" s="188"/>
      <c r="Q2343" s="188"/>
      <c r="R2343" s="188"/>
      <c r="S2343" s="188"/>
      <c r="T2343" s="180"/>
      <c r="U2343" s="189" t="str">
        <f>IFERROR(IF(Tableau3[[#This Row],[Dettes]]=0,"",(Tableau3[[#This Row],[Dettes]]/Tableau3[[#This Row],[EBE]])),"")</f>
        <v/>
      </c>
      <c r="V2343" s="190" t="str">
        <f>IFERROR(Tableau3[[#This Row],[Fonds propres]]/Tableau3[[#This Row],[Total Bilan]],"")</f>
        <v/>
      </c>
      <c r="W2343" s="180"/>
      <c r="X2343" s="192"/>
      <c r="Y2343" s="180"/>
      <c r="Z2343" s="192" t="str">
        <f>IFERROR(Tableau3[[#This Row],[Chiffre d''affaires]]/Tableau3[[#This Row],[Salariés]],"")</f>
        <v/>
      </c>
      <c r="AA2343" s="188"/>
      <c r="AB2343" s="188"/>
      <c r="AC2343" s="177" t="s">
        <v>1659</v>
      </c>
      <c r="AD2343" s="188"/>
      <c r="AE2343" s="188"/>
      <c r="AF2343" s="188"/>
      <c r="AG2343" s="188"/>
      <c r="AH2343" s="188"/>
      <c r="AI2343" s="188"/>
      <c r="AJ2343" s="188"/>
      <c r="AK2343" s="188"/>
    </row>
    <row r="2344" spans="1:37" ht="20.25" customHeight="1">
      <c r="A2344" s="217"/>
      <c r="E2344" s="187">
        <v>41.58</v>
      </c>
      <c r="F2344" s="178">
        <v>2024</v>
      </c>
      <c r="G2344" s="188">
        <v>3236000000</v>
      </c>
      <c r="H2344" s="188"/>
      <c r="I2344" s="188">
        <v>-3945000000</v>
      </c>
      <c r="J2344" s="188">
        <v>-3561000000</v>
      </c>
      <c r="K2344" s="188">
        <v>-9500000000</v>
      </c>
      <c r="L2344" s="188">
        <v>10901000000</v>
      </c>
      <c r="M2344" s="194">
        <f>L2344/P2344</f>
        <v>28.388020833333332</v>
      </c>
      <c r="N2344" s="190">
        <f>J2344/L2346</f>
        <v>-0.2570376786487657</v>
      </c>
      <c r="O2344" s="190">
        <f>(I2344*0.64)/(K2346+L2346)</f>
        <v>-4.5574007220216606</v>
      </c>
      <c r="P2344" s="188">
        <v>384000000</v>
      </c>
      <c r="Q2344" s="211">
        <f>P2344*E2344</f>
        <v>15966720000</v>
      </c>
      <c r="R2344" s="195">
        <f>Q2344/L2344</f>
        <v>1.4647023208879919</v>
      </c>
      <c r="S2344" s="188"/>
      <c r="T2344" s="180"/>
      <c r="U2344" s="189" t="str">
        <f>IFERROR(IF(Tableau3[[#This Row],[Dettes]]=0,"",(Tableau3[[#This Row],[Dettes]]/Tableau3[[#This Row],[EBE]])),"")</f>
        <v/>
      </c>
      <c r="V2344" s="190">
        <f>IFERROR(Tableau3[[#This Row],[Fonds propres]]/Tableau3[[#This Row],[Total Bilan]],"")</f>
        <v>0.77082449441380285</v>
      </c>
      <c r="W2344" s="180">
        <v>14142000000</v>
      </c>
      <c r="X2344" s="192"/>
      <c r="Y2344" s="180"/>
      <c r="Z2344" s="192" t="str">
        <f>IFERROR(Tableau3[[#This Row],[Chiffre d''affaires]]/Tableau3[[#This Row],[Salariés]],"")</f>
        <v/>
      </c>
      <c r="AA2344" s="188"/>
      <c r="AB2344" s="188"/>
      <c r="AC2344" s="177" t="s">
        <v>1660</v>
      </c>
      <c r="AD2344" s="188"/>
      <c r="AE2344" s="188"/>
      <c r="AF2344" s="188"/>
      <c r="AG2344" s="188"/>
      <c r="AH2344" s="188"/>
      <c r="AI2344" s="188"/>
      <c r="AJ2344" s="188"/>
      <c r="AK2344" s="188"/>
    </row>
    <row r="2345" spans="1:37" ht="20.25" customHeight="1">
      <c r="A2345" s="217"/>
      <c r="G2345" s="202">
        <f>(G2344/G2346)-1</f>
        <v>-0.52745327102803741</v>
      </c>
      <c r="H2345" s="203"/>
      <c r="I2345" s="203">
        <f>(I2344/I2346)-1</f>
        <v>-6.9355980184005683E-2</v>
      </c>
      <c r="J2345" s="203">
        <f>(J2344/J2346)-1</f>
        <v>-0.24459058124734834</v>
      </c>
      <c r="K2345" s="188"/>
      <c r="L2345" s="188"/>
      <c r="M2345" s="188"/>
      <c r="N2345" s="188"/>
      <c r="O2345" s="188"/>
      <c r="P2345" s="188"/>
      <c r="Q2345" s="188"/>
      <c r="R2345" s="188"/>
      <c r="S2345" s="188"/>
      <c r="T2345" s="180"/>
      <c r="U2345" s="189" t="str">
        <f>IFERROR(IF(Tableau3[[#This Row],[Dettes]]=0,"",(Tableau3[[#This Row],[Dettes]]/Tableau3[[#This Row],[EBE]])),"")</f>
        <v/>
      </c>
      <c r="V2345" s="190" t="str">
        <f>IFERROR(Tableau3[[#This Row],[Fonds propres]]/Tableau3[[#This Row],[Total Bilan]],"")</f>
        <v/>
      </c>
      <c r="W2345" s="180"/>
      <c r="X2345" s="192"/>
      <c r="Y2345" s="180"/>
      <c r="Z2345" s="192" t="str">
        <f>IFERROR(Tableau3[[#This Row],[Chiffre d''affaires]]/Tableau3[[#This Row],[Salariés]],"")</f>
        <v/>
      </c>
      <c r="AA2345" s="188"/>
      <c r="AB2345" s="188"/>
      <c r="AC2345" s="177" t="s">
        <v>5176</v>
      </c>
      <c r="AD2345" s="188"/>
      <c r="AE2345" s="188"/>
      <c r="AF2345" s="188"/>
      <c r="AG2345" s="188"/>
      <c r="AH2345" s="188"/>
      <c r="AI2345" s="188"/>
      <c r="AJ2345" s="188"/>
      <c r="AK2345" s="188"/>
    </row>
    <row r="2346" spans="1:37" ht="20.25" customHeight="1">
      <c r="A2346" s="217"/>
      <c r="E2346" s="187">
        <v>99.45</v>
      </c>
      <c r="F2346" s="178">
        <v>2023</v>
      </c>
      <c r="G2346" s="188">
        <v>6848000000</v>
      </c>
      <c r="H2346" s="188"/>
      <c r="I2346" s="188">
        <v>-4239000000</v>
      </c>
      <c r="J2346" s="188">
        <v>-4714000000</v>
      </c>
      <c r="K2346" s="188">
        <v>-13300000000</v>
      </c>
      <c r="L2346" s="188">
        <v>13854000000</v>
      </c>
      <c r="M2346" s="194">
        <f>L2346/P2346</f>
        <v>36.267015706806284</v>
      </c>
      <c r="N2346" s="190">
        <f>J2346/L2348</f>
        <v>-0.24650943889557078</v>
      </c>
      <c r="O2346" s="190">
        <f>(I2346*0.64)/(K2348+L2348)</f>
        <v>15.327457627118644</v>
      </c>
      <c r="P2346" s="188">
        <v>382000000</v>
      </c>
      <c r="Q2346" s="211">
        <f>P2346*E2346</f>
        <v>37989900000</v>
      </c>
      <c r="R2346" s="195">
        <f>Q2346/L2346</f>
        <v>2.742161108705067</v>
      </c>
      <c r="S2346" s="188"/>
      <c r="T2346" s="180"/>
      <c r="U2346" s="189" t="str">
        <f>IFERROR(IF(Tableau3[[#This Row],[Dettes]]=0,"",(Tableau3[[#This Row],[Dettes]]/Tableau3[[#This Row],[EBE]])),"")</f>
        <v/>
      </c>
      <c r="V2346" s="190">
        <f>IFERROR(Tableau3[[#This Row],[Fonds propres]]/Tableau3[[#This Row],[Total Bilan]],"")</f>
        <v>0.75187235428199284</v>
      </c>
      <c r="W2346" s="180">
        <v>18426000000</v>
      </c>
      <c r="X2346" s="192"/>
      <c r="Y2346" s="180"/>
      <c r="Z2346" s="192" t="str">
        <f>IFERROR(Tableau3[[#This Row],[Chiffre d''affaires]]/Tableau3[[#This Row],[Salariés]],"")</f>
        <v/>
      </c>
      <c r="AA2346" s="188"/>
      <c r="AB2346" s="188"/>
      <c r="AC2346" s="177" t="s">
        <v>1661</v>
      </c>
      <c r="AD2346" s="188"/>
      <c r="AE2346" s="188"/>
      <c r="AF2346" s="188"/>
      <c r="AG2346" s="188"/>
      <c r="AH2346" s="188"/>
      <c r="AI2346" s="188"/>
      <c r="AJ2346" s="188"/>
      <c r="AK2346" s="188"/>
    </row>
    <row r="2347" spans="1:37" ht="20.25" customHeight="1">
      <c r="A2347" s="217"/>
      <c r="G2347" s="202">
        <f>(G2346/G2348)-1</f>
        <v>-0.64449981830452163</v>
      </c>
      <c r="H2347" s="203"/>
      <c r="I2347" s="203">
        <f>(I2346/I2348)-1</f>
        <v>-1.45</v>
      </c>
      <c r="J2347" s="203">
        <f>(J2346/J2348)-1</f>
        <v>-1.5637407318823247</v>
      </c>
      <c r="K2347" s="188"/>
      <c r="L2347" s="188"/>
      <c r="M2347" s="188"/>
      <c r="N2347" s="188"/>
      <c r="O2347" s="188"/>
      <c r="P2347" s="188"/>
      <c r="Q2347" s="188"/>
      <c r="R2347" s="188"/>
      <c r="S2347" s="188"/>
      <c r="T2347" s="180"/>
      <c r="U2347" s="189" t="str">
        <f>IFERROR(IF(Tableau3[[#This Row],[Dettes]]=0,"",(Tableau3[[#This Row],[Dettes]]/Tableau3[[#This Row],[EBE]])),"")</f>
        <v/>
      </c>
      <c r="V2347" s="190" t="str">
        <f>IFERROR(Tableau3[[#This Row],[Fonds propres]]/Tableau3[[#This Row],[Total Bilan]],"")</f>
        <v/>
      </c>
      <c r="W2347" s="180"/>
      <c r="X2347" s="192"/>
      <c r="Y2347" s="180"/>
      <c r="Z2347" s="192" t="str">
        <f>IFERROR(Tableau3[[#This Row],[Chiffre d''affaires]]/Tableau3[[#This Row],[Salariés]],"")</f>
        <v/>
      </c>
      <c r="AA2347" s="188"/>
      <c r="AB2347" s="188"/>
      <c r="AC2347" s="177" t="s">
        <v>1662</v>
      </c>
      <c r="AD2347" s="188"/>
      <c r="AE2347" s="188"/>
      <c r="AF2347" s="188"/>
      <c r="AG2347" s="188"/>
      <c r="AH2347" s="188"/>
      <c r="AI2347" s="188"/>
      <c r="AJ2347" s="188"/>
      <c r="AK2347" s="188"/>
    </row>
    <row r="2348" spans="1:37" ht="20.25" customHeight="1">
      <c r="A2348" s="217"/>
      <c r="E2348" s="187">
        <v>179.62</v>
      </c>
      <c r="F2348" s="178">
        <v>2022</v>
      </c>
      <c r="G2348" s="188">
        <v>19263000000</v>
      </c>
      <c r="H2348" s="188"/>
      <c r="I2348" s="188">
        <v>9420000000</v>
      </c>
      <c r="J2348" s="188">
        <v>8362000000</v>
      </c>
      <c r="K2348" s="188">
        <v>-19300000000</v>
      </c>
      <c r="L2348" s="188">
        <v>19123000000</v>
      </c>
      <c r="M2348" s="194">
        <f>L2348/P2348</f>
        <v>48.205536975247576</v>
      </c>
      <c r="N2348" s="190">
        <f>J2348/L2350</f>
        <v>0.59116295510781192</v>
      </c>
      <c r="O2348" s="190">
        <f>(I2348*0.64)/(K2350+L2350)</f>
        <v>-1.7449493487698986</v>
      </c>
      <c r="P2348" s="188">
        <f>P2350</f>
        <v>396697168</v>
      </c>
      <c r="Q2348" s="211">
        <f>P2348*E2348</f>
        <v>71254745316.160004</v>
      </c>
      <c r="R2348" s="195">
        <f>Q2348/L2348</f>
        <v>3.7261279776269416</v>
      </c>
      <c r="S2348" s="197"/>
      <c r="T2348" s="180"/>
      <c r="U2348" s="189" t="str">
        <f>IFERROR(IF(Tableau3[[#This Row],[Dettes]]=0,"",(Tableau3[[#This Row],[Dettes]]/Tableau3[[#This Row],[EBE]])),"")</f>
        <v/>
      </c>
      <c r="V2348" s="190">
        <f>IFERROR(Tableau3[[#This Row],[Fonds propres]]/Tableau3[[#This Row],[Total Bilan]],"")</f>
        <v>0.73953902080594014</v>
      </c>
      <c r="W2348" s="180">
        <v>25858000000</v>
      </c>
      <c r="X2348" s="191"/>
      <c r="Y2348" s="180">
        <v>3200</v>
      </c>
      <c r="Z2348" s="192">
        <f>IFERROR(Tableau3[[#This Row],[Chiffre d''affaires]]/Tableau3[[#This Row],[Salariés]],"")</f>
        <v>6019687.5</v>
      </c>
      <c r="AA2348" s="197"/>
      <c r="AB2348" s="197"/>
      <c r="AC2348" s="177" t="s">
        <v>1663</v>
      </c>
      <c r="AD2348" s="188"/>
      <c r="AE2348" s="188"/>
      <c r="AF2348" s="188"/>
      <c r="AG2348" s="188"/>
      <c r="AH2348" s="188"/>
      <c r="AI2348" s="188"/>
      <c r="AJ2348" s="188"/>
      <c r="AK2348" s="188"/>
    </row>
    <row r="2349" spans="1:37" ht="20.25" customHeight="1">
      <c r="A2349" s="217"/>
      <c r="B2349" s="280"/>
      <c r="D2349" s="188"/>
      <c r="E2349" s="188"/>
      <c r="F2349" s="188"/>
      <c r="G2349" s="202">
        <f>(G2348/G2350)-1</f>
        <v>4.2878025012181187E-2</v>
      </c>
      <c r="H2349" s="203"/>
      <c r="I2349" s="203">
        <f>(I2348/I2350)-1</f>
        <v>-0.29151624548736466</v>
      </c>
      <c r="J2349" s="203">
        <f>(J2348/J2350)-1</f>
        <v>-0.31470250778560893</v>
      </c>
      <c r="K2349" s="190"/>
      <c r="L2349" s="190"/>
      <c r="M2349" s="188"/>
      <c r="N2349" s="188"/>
      <c r="O2349" s="195"/>
      <c r="P2349" s="197"/>
      <c r="Q2349" s="197"/>
      <c r="R2349" s="188"/>
      <c r="S2349" s="188" t="s">
        <v>1664</v>
      </c>
      <c r="T2349" s="180"/>
      <c r="U2349" s="189" t="str">
        <f>IFERROR(IF(Tableau3[[#This Row],[Dettes]]=0,"",(Tableau3[[#This Row],[Dettes]]/Tableau3[[#This Row],[EBE]])),"")</f>
        <v/>
      </c>
      <c r="V2349" s="190" t="str">
        <f>IFERROR(Tableau3[[#This Row],[Fonds propres]]/Tableau3[[#This Row],[Total Bilan]],"")</f>
        <v/>
      </c>
      <c r="W2349" s="180"/>
      <c r="X2349" s="192"/>
      <c r="Y2349" s="197"/>
      <c r="AA2349" s="177"/>
      <c r="AC2349" s="177" t="s">
        <v>1665</v>
      </c>
      <c r="AD2349" s="188"/>
      <c r="AE2349" s="188"/>
      <c r="AF2349" s="188"/>
      <c r="AG2349" s="188"/>
      <c r="AH2349" s="188"/>
      <c r="AI2349" s="188"/>
      <c r="AJ2349" s="188"/>
      <c r="AK2349" s="188"/>
    </row>
    <row r="2350" spans="1:37" ht="20.25" customHeight="1">
      <c r="A2350" s="217"/>
      <c r="E2350" s="187">
        <v>240</v>
      </c>
      <c r="F2350" s="178">
        <v>2021</v>
      </c>
      <c r="G2350" s="188">
        <v>18471000000</v>
      </c>
      <c r="H2350" s="188"/>
      <c r="I2350" s="188">
        <v>13296000000</v>
      </c>
      <c r="J2350" s="188">
        <v>12202000000</v>
      </c>
      <c r="K2350" s="188">
        <v>-17600000000</v>
      </c>
      <c r="L2350" s="188">
        <v>14145000000</v>
      </c>
      <c r="M2350" s="194">
        <f>L2350/P2350</f>
        <v>35.656922057986563</v>
      </c>
      <c r="N2350" s="190">
        <f>J2350/L2352</f>
        <v>4.7638475428236786</v>
      </c>
      <c r="O2350" s="190">
        <f>(I2350*0.64)/(K2352+L2352)</f>
        <v>7.3079852937513898</v>
      </c>
      <c r="P2350" s="188">
        <f>P2352</f>
        <v>396697168</v>
      </c>
      <c r="Q2350" s="211">
        <f>P2350*E2350</f>
        <v>95207320320</v>
      </c>
      <c r="R2350" s="195">
        <f>Q2350/L2350</f>
        <v>6.730810909862142</v>
      </c>
      <c r="S2350" s="197" t="e">
        <f>(Q2350+K2350)/H2350</f>
        <v>#DIV/0!</v>
      </c>
      <c r="T2350" s="180"/>
      <c r="U2350" s="189" t="str">
        <f>IFERROR(IF(Tableau3[[#This Row],[Dettes]]=0,"",(Tableau3[[#This Row],[Dettes]]/Tableau3[[#This Row],[EBE]])),"")</f>
        <v/>
      </c>
      <c r="V2350" s="190" t="str">
        <f>IFERROR(Tableau3[[#This Row],[Fonds propres]]/Tableau3[[#This Row],[Total Bilan]],"")</f>
        <v/>
      </c>
      <c r="W2350" s="180"/>
      <c r="X2350" s="192"/>
      <c r="Y2350" s="180">
        <v>2400</v>
      </c>
      <c r="Z2350" s="192">
        <f>IFERROR(Tableau3[[#This Row],[Chiffre d''affaires]]/Tableau3[[#This Row],[Salariés]],"")</f>
        <v>7696250</v>
      </c>
      <c r="AA2350" s="188"/>
      <c r="AB2350" s="188"/>
      <c r="AC2350" s="177" t="s">
        <v>1666</v>
      </c>
      <c r="AD2350" s="188"/>
      <c r="AE2350" s="188"/>
      <c r="AF2350" s="188"/>
      <c r="AG2350" s="188"/>
      <c r="AH2350" s="188"/>
      <c r="AI2350" s="188"/>
      <c r="AJ2350" s="188"/>
      <c r="AK2350" s="188"/>
    </row>
    <row r="2351" spans="1:37" ht="20.25" customHeight="1">
      <c r="A2351" s="217"/>
      <c r="G2351" s="202">
        <f>(G2350/G2352)-1</f>
        <v>21.991181174889064</v>
      </c>
      <c r="H2351" s="203"/>
      <c r="I2351" s="203">
        <f>(I2350/I2352)-1</f>
        <v>-18.85865391202034</v>
      </c>
      <c r="J2351" s="203">
        <f>(J2350/J2352)-1</f>
        <v>-17.333272651339108</v>
      </c>
      <c r="K2351" s="188"/>
      <c r="L2351" s="188"/>
      <c r="M2351" s="188"/>
      <c r="N2351" s="188"/>
      <c r="O2351" s="188"/>
      <c r="P2351" s="188"/>
      <c r="Q2351" s="188"/>
      <c r="R2351" s="188"/>
      <c r="S2351" s="188"/>
      <c r="T2351" s="180"/>
      <c r="U2351" s="189" t="str">
        <f>IFERROR(IF(Tableau3[[#This Row],[Dettes]]=0,"",(Tableau3[[#This Row],[Dettes]]/Tableau3[[#This Row],[EBE]])),"")</f>
        <v/>
      </c>
      <c r="V2351" s="190" t="str">
        <f>IFERROR(Tableau3[[#This Row],[Fonds propres]]/Tableau3[[#This Row],[Total Bilan]],"")</f>
        <v/>
      </c>
      <c r="W2351" s="180"/>
      <c r="X2351" s="192"/>
      <c r="Y2351" s="180"/>
      <c r="Z2351" s="192" t="str">
        <f>IFERROR(Tableau3[[#This Row],[Chiffre d''affaires]]/Tableau3[[#This Row],[Salariés]],"")</f>
        <v/>
      </c>
      <c r="AA2351" s="188"/>
      <c r="AB2351" s="188"/>
      <c r="AC2351" s="177" t="s">
        <v>1667</v>
      </c>
      <c r="AD2351" s="188"/>
      <c r="AE2351" s="188"/>
      <c r="AF2351" s="188"/>
      <c r="AG2351" s="188"/>
      <c r="AH2351" s="188"/>
      <c r="AI2351" s="188"/>
      <c r="AJ2351" s="188"/>
      <c r="AK2351" s="188"/>
    </row>
    <row r="2352" spans="1:37" ht="20.25" customHeight="1">
      <c r="A2352" s="217"/>
      <c r="E2352" s="187">
        <v>104.47</v>
      </c>
      <c r="F2352" s="178">
        <v>2020</v>
      </c>
      <c r="G2352" s="188">
        <v>803395000</v>
      </c>
      <c r="H2352" s="188"/>
      <c r="I2352" s="188">
        <v>-744513000</v>
      </c>
      <c r="J2352" s="188">
        <v>-747064000</v>
      </c>
      <c r="K2352" s="188">
        <f>-1505581000+108609000</f>
        <v>-1396972000</v>
      </c>
      <c r="L2352" s="188">
        <v>2561375000</v>
      </c>
      <c r="M2352" s="194">
        <f>L2352/P2352</f>
        <v>6.4567514129568986</v>
      </c>
      <c r="N2352" s="190">
        <f>J2352/L2354</f>
        <v>-0.63590197563861395</v>
      </c>
      <c r="O2352" s="190">
        <f>(I2352*0.64)/(K2354+L2354)</f>
        <v>-0.48739475237387009</v>
      </c>
      <c r="P2352" s="188">
        <v>396697168</v>
      </c>
      <c r="Q2352" s="211">
        <f>P2352*E2352</f>
        <v>41442953140.959999</v>
      </c>
      <c r="R2352" s="195">
        <f>Q2352/L2352</f>
        <v>16.179963160786688</v>
      </c>
      <c r="S2352" s="197" t="e">
        <f>(Q2352+K2352)/H2352</f>
        <v>#DIV/0!</v>
      </c>
      <c r="T2352" s="180"/>
      <c r="U2352" s="189" t="str">
        <f>IFERROR(IF(Tableau3[[#This Row],[Dettes]]=0,"",(Tableau3[[#This Row],[Dettes]]/Tableau3[[#This Row],[EBE]])),"")</f>
        <v/>
      </c>
      <c r="V2352" s="190" t="str">
        <f>IFERROR(Tableau3[[#This Row],[Fonds propres]]/Tableau3[[#This Row],[Total Bilan]],"")</f>
        <v/>
      </c>
      <c r="W2352" s="180"/>
      <c r="X2352" s="192"/>
      <c r="Y2352" s="180">
        <v>1300</v>
      </c>
      <c r="Z2352" s="192">
        <f>IFERROR(Tableau3[[#This Row],[Chiffre d''affaires]]/Tableau3[[#This Row],[Salariés]],"")</f>
        <v>617996.15384615387</v>
      </c>
      <c r="AA2352" s="188"/>
      <c r="AB2352" s="188"/>
      <c r="AC2352" s="177" t="s">
        <v>1668</v>
      </c>
      <c r="AD2352" s="188"/>
      <c r="AE2352" s="188"/>
      <c r="AF2352" s="188"/>
      <c r="AG2352" s="188"/>
      <c r="AH2352" s="188"/>
      <c r="AI2352" s="188"/>
      <c r="AJ2352" s="188"/>
      <c r="AK2352" s="188"/>
    </row>
    <row r="2353" spans="1:37" ht="20.25" customHeight="1">
      <c r="A2353" s="217"/>
      <c r="E2353" s="187"/>
      <c r="G2353" s="202">
        <f>(G2352/G2354)-1</f>
        <v>12.343437027686891</v>
      </c>
      <c r="H2353" s="203"/>
      <c r="I2353" s="203">
        <f>(I2352/I2354)-1</f>
        <v>0.44645396684773742</v>
      </c>
      <c r="J2353" s="203">
        <f>(J2352/J2354)-1</f>
        <v>0.45337252758155788</v>
      </c>
      <c r="K2353" s="188"/>
      <c r="L2353" s="188"/>
      <c r="M2353" s="188"/>
      <c r="N2353" s="188"/>
      <c r="O2353" s="188"/>
      <c r="P2353" s="188"/>
      <c r="Q2353" s="188"/>
      <c r="R2353" s="188"/>
      <c r="S2353" s="188"/>
      <c r="T2353" s="180"/>
      <c r="U2353" s="189" t="str">
        <f>IFERROR(IF(Tableau3[[#This Row],[Dettes]]=0,"",(Tableau3[[#This Row],[Dettes]]/Tableau3[[#This Row],[EBE]])),"")</f>
        <v/>
      </c>
      <c r="V2353" s="190" t="str">
        <f>IFERROR(Tableau3[[#This Row],[Fonds propres]]/Tableau3[[#This Row],[Total Bilan]],"")</f>
        <v/>
      </c>
      <c r="W2353" s="180"/>
      <c r="X2353" s="192"/>
      <c r="Y2353" s="180"/>
      <c r="Z2353" s="192" t="str">
        <f>IFERROR(Tableau3[[#This Row],[Chiffre d''affaires]]/Tableau3[[#This Row],[Salariés]],"")</f>
        <v/>
      </c>
      <c r="AA2353" s="188"/>
      <c r="AB2353" s="188"/>
      <c r="AC2353" s="177" t="s">
        <v>1669</v>
      </c>
      <c r="AD2353" s="188"/>
      <c r="AE2353" s="188"/>
      <c r="AF2353" s="188"/>
      <c r="AG2353" s="188"/>
      <c r="AH2353" s="188"/>
      <c r="AI2353" s="188"/>
      <c r="AJ2353" s="188"/>
      <c r="AK2353" s="188"/>
    </row>
    <row r="2354" spans="1:37" ht="20.25" customHeight="1">
      <c r="A2354" s="217"/>
      <c r="E2354" s="187">
        <v>18.89</v>
      </c>
      <c r="F2354" s="178">
        <v>2019</v>
      </c>
      <c r="G2354" s="188">
        <v>60209000</v>
      </c>
      <c r="H2354" s="188"/>
      <c r="I2354" s="188">
        <v>-514716000</v>
      </c>
      <c r="J2354" s="188">
        <v>-514021000</v>
      </c>
      <c r="K2354" s="188">
        <f>-235876000+38689000</f>
        <v>-197187000</v>
      </c>
      <c r="L2354" s="188">
        <v>1174810000</v>
      </c>
      <c r="M2354" s="194">
        <f>L2354/P2354</f>
        <v>3.5513978664273194</v>
      </c>
      <c r="N2354" s="190">
        <f>J2354/L2356</f>
        <v>-0.3359085268268201</v>
      </c>
      <c r="O2354" s="190">
        <f>(I2354*0.64)/(K2356+L2356)</f>
        <v>-0.37782650534421713</v>
      </c>
      <c r="P2354" s="188">
        <v>330802136</v>
      </c>
      <c r="Q2354" s="211">
        <f>P2354*E2354</f>
        <v>6248852349.04</v>
      </c>
      <c r="R2354" s="195">
        <f>Q2354/L2354</f>
        <v>5.3190323107906812</v>
      </c>
      <c r="S2354" s="197" t="e">
        <f>(Q2354+K2354)/H2354</f>
        <v>#DIV/0!</v>
      </c>
      <c r="T2354" s="180"/>
      <c r="U2354" s="189" t="str">
        <f>IFERROR(IF(Tableau3[[#This Row],[Dettes]]=0,"",(Tableau3[[#This Row],[Dettes]]/Tableau3[[#This Row],[EBE]])),"")</f>
        <v/>
      </c>
      <c r="V2354" s="190" t="str">
        <f>IFERROR(Tableau3[[#This Row],[Fonds propres]]/Tableau3[[#This Row],[Total Bilan]],"")</f>
        <v/>
      </c>
      <c r="W2354" s="180"/>
      <c r="X2354" s="192"/>
      <c r="Y2354" s="180">
        <v>830</v>
      </c>
      <c r="Z2354" s="192">
        <f>IFERROR(Tableau3[[#This Row],[Chiffre d''affaires]]/Tableau3[[#This Row],[Salariés]],"")</f>
        <v>72540.96385542168</v>
      </c>
      <c r="AA2354" s="188"/>
      <c r="AB2354" s="188"/>
      <c r="AC2354" s="177" t="s">
        <v>1670</v>
      </c>
      <c r="AD2354" s="188"/>
      <c r="AE2354" s="188"/>
      <c r="AF2354" s="188"/>
      <c r="AG2354" s="188"/>
      <c r="AH2354" s="188"/>
      <c r="AI2354" s="188"/>
      <c r="AJ2354" s="188"/>
      <c r="AK2354" s="188"/>
    </row>
    <row r="2355" spans="1:37" ht="20.25" customHeight="1">
      <c r="A2355" s="217"/>
      <c r="E2355" s="187"/>
      <c r="G2355" s="202">
        <f>(G2354/G2356)-1</f>
        <v>-0.55423194242899876</v>
      </c>
      <c r="H2355" s="203"/>
      <c r="I2355" s="203">
        <f>(I2354/I2356)-1</f>
        <v>0.33898357994630701</v>
      </c>
      <c r="J2355" s="203">
        <f>(J2354/J2356)-1</f>
        <v>0.2791142122695387</v>
      </c>
      <c r="K2355" s="188"/>
      <c r="L2355" s="188"/>
      <c r="M2355" s="188"/>
      <c r="N2355" s="188"/>
      <c r="O2355" s="188"/>
      <c r="P2355" s="188"/>
      <c r="Q2355" s="188"/>
      <c r="R2355" s="188"/>
      <c r="S2355" s="188"/>
      <c r="T2355" s="180"/>
      <c r="U2355" s="189" t="str">
        <f>IFERROR(IF(Tableau3[[#This Row],[Dettes]]=0,"",(Tableau3[[#This Row],[Dettes]]/Tableau3[[#This Row],[EBE]])),"")</f>
        <v/>
      </c>
      <c r="V2355" s="190" t="str">
        <f>IFERROR(Tableau3[[#This Row],[Fonds propres]]/Tableau3[[#This Row],[Total Bilan]],"")</f>
        <v/>
      </c>
      <c r="W2355" s="180"/>
      <c r="X2355" s="192"/>
      <c r="Y2355" s="180"/>
      <c r="Z2355" s="192" t="str">
        <f>IFERROR(Tableau3[[#This Row],[Chiffre d''affaires]]/Tableau3[[#This Row],[Salariés]],"")</f>
        <v/>
      </c>
      <c r="AA2355" s="188"/>
      <c r="AB2355" s="188"/>
      <c r="AC2355" s="177" t="s">
        <v>5177</v>
      </c>
      <c r="AD2355" s="188"/>
      <c r="AE2355" s="188"/>
      <c r="AF2355" s="188"/>
      <c r="AG2355" s="188"/>
      <c r="AH2355" s="188"/>
      <c r="AI2355" s="188"/>
      <c r="AJ2355" s="188"/>
      <c r="AK2355" s="188"/>
    </row>
    <row r="2356" spans="1:37" ht="20.25" customHeight="1">
      <c r="A2356" s="217"/>
      <c r="E2356" s="187">
        <v>16.96</v>
      </c>
      <c r="F2356" s="178">
        <v>2018</v>
      </c>
      <c r="G2356" s="188">
        <v>135068000</v>
      </c>
      <c r="H2356" s="188"/>
      <c r="I2356" s="188">
        <v>-384408000</v>
      </c>
      <c r="J2356" s="188">
        <v>-401857000</v>
      </c>
      <c r="K2356" s="188">
        <v>-658364000</v>
      </c>
      <c r="L2356" s="188">
        <v>1530241000</v>
      </c>
      <c r="M2356" s="194">
        <f>L2356/P2356</f>
        <v>18.865270454613345</v>
      </c>
      <c r="N2356" s="190">
        <f>J2356/L2358</f>
        <v>0.72884024194499109</v>
      </c>
      <c r="O2356" s="190">
        <f>(I2356*0.64)/(K2358+L2358)</f>
        <v>0.44620373074097919</v>
      </c>
      <c r="P2356" s="188">
        <v>81114183</v>
      </c>
      <c r="Q2356" s="211">
        <f>P2356*E2356</f>
        <v>1375696543.6800001</v>
      </c>
      <c r="R2356" s="195">
        <f>Q2356/L2356</f>
        <v>0.89900645955767755</v>
      </c>
      <c r="S2356" s="197" t="e">
        <f>(Q2356+K2356)/H2356</f>
        <v>#DIV/0!</v>
      </c>
      <c r="T2356" s="180"/>
      <c r="U2356" s="189" t="str">
        <f>IFERROR(IF(Tableau3[[#This Row],[Dettes]]=0,"",(Tableau3[[#This Row],[Dettes]]/Tableau3[[#This Row],[EBE]])),"")</f>
        <v/>
      </c>
      <c r="V2356" s="190" t="str">
        <f>IFERROR(Tableau3[[#This Row],[Fonds propres]]/Tableau3[[#This Row],[Total Bilan]],"")</f>
        <v/>
      </c>
      <c r="W2356" s="180"/>
      <c r="X2356" s="192"/>
      <c r="Y2356" s="180"/>
      <c r="Z2356" s="192" t="str">
        <f>IFERROR(Tableau3[[#This Row],[Chiffre d''affaires]]/Tableau3[[#This Row],[Salariés]],"")</f>
        <v/>
      </c>
      <c r="AA2356" s="188"/>
      <c r="AB2356" s="188"/>
      <c r="AC2356" s="177" t="s">
        <v>4658</v>
      </c>
      <c r="AD2356" s="188"/>
      <c r="AE2356" s="188"/>
      <c r="AF2356" s="188"/>
      <c r="AG2356" s="188"/>
      <c r="AH2356" s="188"/>
      <c r="AI2356" s="188"/>
      <c r="AJ2356" s="188"/>
      <c r="AK2356" s="188"/>
    </row>
    <row r="2357" spans="1:37" ht="20.25" customHeight="1">
      <c r="A2357" s="217"/>
      <c r="E2357" s="187"/>
      <c r="G2357" s="202">
        <f>(G2356/G2358)-1</f>
        <v>-0.34377262237337547</v>
      </c>
      <c r="H2357" s="203"/>
      <c r="I2357" s="203">
        <f>(I2356/I2358)-1</f>
        <v>0.50208662217290057</v>
      </c>
      <c r="J2357" s="203">
        <f>(J2356/J2358)-1</f>
        <v>0.48923625394213621</v>
      </c>
      <c r="K2357" s="188"/>
      <c r="L2357" s="188"/>
      <c r="M2357" s="188"/>
      <c r="N2357" s="188"/>
      <c r="O2357" s="188"/>
      <c r="P2357" s="188"/>
      <c r="Q2357" s="188"/>
      <c r="R2357" s="188"/>
      <c r="S2357" s="188"/>
      <c r="T2357" s="180"/>
      <c r="U2357" s="189" t="str">
        <f>IFERROR(IF(Tableau3[[#This Row],[Dettes]]=0,"",(Tableau3[[#This Row],[Dettes]]/Tableau3[[#This Row],[EBE]])),"")</f>
        <v/>
      </c>
      <c r="V2357" s="190" t="str">
        <f>IFERROR(Tableau3[[#This Row],[Fonds propres]]/Tableau3[[#This Row],[Total Bilan]],"")</f>
        <v/>
      </c>
      <c r="W2357" s="180"/>
      <c r="X2357" s="192"/>
      <c r="Y2357" s="180"/>
      <c r="Z2357" s="192" t="str">
        <f>IFERROR(Tableau3[[#This Row],[Chiffre d''affaires]]/Tableau3[[#This Row],[Salariés]],"")</f>
        <v/>
      </c>
      <c r="AA2357" s="188"/>
      <c r="AB2357" s="188"/>
      <c r="AC2357" s="177" t="s">
        <v>483</v>
      </c>
      <c r="AD2357" s="188"/>
      <c r="AE2357" s="188"/>
      <c r="AF2357" s="188"/>
      <c r="AG2357" s="188"/>
      <c r="AH2357" s="188"/>
      <c r="AI2357" s="188"/>
      <c r="AJ2357" s="188"/>
      <c r="AK2357" s="188"/>
    </row>
    <row r="2358" spans="1:37" ht="20.25" customHeight="1">
      <c r="A2358" s="217"/>
      <c r="E2358" s="187"/>
      <c r="F2358" s="178">
        <v>2017</v>
      </c>
      <c r="G2358" s="188">
        <v>205825000</v>
      </c>
      <c r="H2358" s="188"/>
      <c r="I2358" s="188">
        <v>-255916000</v>
      </c>
      <c r="J2358" s="188">
        <v>-269841000</v>
      </c>
      <c r="K2358" s="188"/>
      <c r="L2358" s="188">
        <v>-551365000</v>
      </c>
      <c r="M2358" s="194">
        <f>L2358/P2358</f>
        <v>-8.5486200838903255</v>
      </c>
      <c r="N2358" s="190">
        <f>J2358/L2358</f>
        <v>0.48940538481767976</v>
      </c>
      <c r="O2358" s="190">
        <f>(I2358*0.64)/(K2358+(M2358*P2358))</f>
        <v>0.29705592484107624</v>
      </c>
      <c r="P2358" s="188">
        <v>64497544</v>
      </c>
      <c r="Q2358" s="211">
        <f>P2358*E2358</f>
        <v>0</v>
      </c>
      <c r="R2358" s="195">
        <f>Q2358/L2358</f>
        <v>0</v>
      </c>
      <c r="S2358" s="197" t="e">
        <f>(Q2358+K2358)/H2358</f>
        <v>#DIV/0!</v>
      </c>
      <c r="T2358" s="180"/>
      <c r="U2358" s="189" t="str">
        <f>IFERROR(IF(Tableau3[[#This Row],[Dettes]]=0,"",(Tableau3[[#This Row],[Dettes]]/Tableau3[[#This Row],[EBE]])),"")</f>
        <v/>
      </c>
      <c r="V2358" s="190" t="str">
        <f>IFERROR(Tableau3[[#This Row],[Fonds propres]]/Tableau3[[#This Row],[Total Bilan]],"")</f>
        <v/>
      </c>
      <c r="W2358" s="180"/>
      <c r="X2358" s="192"/>
      <c r="Y2358" s="180"/>
      <c r="Z2358" s="192" t="str">
        <f>IFERROR(Tableau3[[#This Row],[Chiffre d''affaires]]/Tableau3[[#This Row],[Salariés]],"")</f>
        <v/>
      </c>
      <c r="AA2358" s="188"/>
      <c r="AB2358" s="188"/>
      <c r="AC2358" s="177" t="s">
        <v>1671</v>
      </c>
      <c r="AD2358" s="188"/>
      <c r="AE2358" s="188"/>
      <c r="AF2358" s="188"/>
      <c r="AG2358" s="188"/>
      <c r="AH2358" s="188"/>
      <c r="AI2358" s="188"/>
      <c r="AJ2358" s="188"/>
      <c r="AK2358" s="188"/>
    </row>
    <row r="2359" spans="1:37" ht="20.25" customHeight="1">
      <c r="A2359" s="217"/>
      <c r="E2359" s="187"/>
      <c r="G2359" s="188"/>
      <c r="H2359" s="188"/>
      <c r="I2359" s="188"/>
      <c r="J2359" s="188"/>
      <c r="K2359" s="188"/>
      <c r="L2359" s="188"/>
      <c r="M2359" s="188"/>
      <c r="N2359" s="188"/>
      <c r="O2359" s="188"/>
      <c r="P2359" s="188"/>
      <c r="Q2359" s="188"/>
      <c r="R2359" s="188"/>
      <c r="S2359" s="188"/>
      <c r="T2359" s="180"/>
      <c r="U2359" s="189" t="str">
        <f>IFERROR(IF(Tableau3[[#This Row],[Dettes]]=0,"",(Tableau3[[#This Row],[Dettes]]/Tableau3[[#This Row],[EBE]])),"")</f>
        <v/>
      </c>
      <c r="V2359" s="190" t="str">
        <f>IFERROR(Tableau3[[#This Row],[Fonds propres]]/Tableau3[[#This Row],[Total Bilan]],"")</f>
        <v/>
      </c>
      <c r="W2359" s="180"/>
      <c r="X2359" s="192"/>
      <c r="Y2359" s="180"/>
      <c r="Z2359" s="192" t="str">
        <f>IFERROR(Tableau3[[#This Row],[Chiffre d''affaires]]/Tableau3[[#This Row],[Salariés]],"")</f>
        <v/>
      </c>
      <c r="AA2359" s="188"/>
      <c r="AB2359" s="188"/>
      <c r="AC2359" s="177" t="s">
        <v>1672</v>
      </c>
      <c r="AD2359" s="188"/>
      <c r="AE2359" s="188"/>
      <c r="AF2359" s="188"/>
      <c r="AG2359" s="188"/>
      <c r="AH2359" s="188"/>
      <c r="AI2359" s="188"/>
      <c r="AJ2359" s="188"/>
      <c r="AK2359" s="188"/>
    </row>
    <row r="2360" spans="1:37" ht="20.25" customHeight="1">
      <c r="A2360" s="217"/>
      <c r="F2360" s="224" t="s">
        <v>1674</v>
      </c>
      <c r="G2360" s="188"/>
      <c r="H2360" s="188"/>
      <c r="I2360" s="188"/>
      <c r="J2360" s="188"/>
      <c r="K2360" s="188"/>
      <c r="L2360" s="188"/>
      <c r="M2360" s="188"/>
      <c r="N2360" s="188"/>
      <c r="O2360" s="188"/>
      <c r="P2360" s="188"/>
      <c r="Q2360" s="188"/>
      <c r="R2360" s="188"/>
      <c r="S2360" s="188"/>
      <c r="T2360" s="180"/>
      <c r="U2360" s="189" t="str">
        <f>IFERROR(IF(Tableau3[[#This Row],[Dettes]]=0,"",(Tableau3[[#This Row],[Dettes]]/Tableau3[[#This Row],[EBE]])),"")</f>
        <v/>
      </c>
      <c r="V2360" s="190" t="str">
        <f>IFERROR(Tableau3[[#This Row],[Fonds propres]]/Tableau3[[#This Row],[Total Bilan]],"")</f>
        <v/>
      </c>
      <c r="W2360" s="180"/>
      <c r="X2360" s="192"/>
      <c r="Y2360" s="180"/>
      <c r="Z2360" s="192" t="str">
        <f>IFERROR(Tableau3[[#This Row],[Chiffre d''affaires]]/Tableau3[[#This Row],[Salariés]],"")</f>
        <v/>
      </c>
      <c r="AA2360" s="188"/>
      <c r="AB2360" s="188"/>
      <c r="AC2360" s="177" t="s">
        <v>1673</v>
      </c>
      <c r="AD2360" s="188"/>
      <c r="AE2360" s="188"/>
      <c r="AF2360" s="188"/>
      <c r="AG2360" s="188"/>
      <c r="AH2360" s="188"/>
      <c r="AI2360" s="188"/>
      <c r="AJ2360" s="188"/>
      <c r="AK2360" s="188"/>
    </row>
    <row r="2361" spans="1:37" ht="20.25" customHeight="1">
      <c r="A2361" s="217"/>
      <c r="E2361" s="232"/>
      <c r="F2361" s="234"/>
      <c r="G2361" s="188"/>
      <c r="H2361" s="188"/>
      <c r="I2361" s="188"/>
      <c r="J2361" s="188"/>
      <c r="K2361" s="188"/>
      <c r="L2361" s="188"/>
      <c r="M2361" s="188"/>
      <c r="N2361" s="188"/>
      <c r="O2361" s="188"/>
      <c r="P2361" s="188"/>
      <c r="Q2361" s="188"/>
      <c r="R2361" s="188"/>
      <c r="S2361" s="188"/>
      <c r="T2361" s="180"/>
      <c r="U2361" s="189" t="str">
        <f>IFERROR(IF(Tableau3[[#This Row],[Dettes]]=0,"",(Tableau3[[#This Row],[Dettes]]/Tableau3[[#This Row],[EBE]])),"")</f>
        <v/>
      </c>
      <c r="V2361" s="190" t="str">
        <f>IFERROR(Tableau3[[#This Row],[Fonds propres]]/Tableau3[[#This Row],[Total Bilan]],"")</f>
        <v/>
      </c>
      <c r="W2361" s="180"/>
      <c r="X2361" s="192"/>
      <c r="Y2361" s="180"/>
      <c r="Z2361" s="192" t="str">
        <f>IFERROR(Tableau3[[#This Row],[Chiffre d''affaires]]/Tableau3[[#This Row],[Salariés]],"")</f>
        <v/>
      </c>
      <c r="AA2361" s="188"/>
      <c r="AB2361" s="188"/>
      <c r="AD2361" s="188"/>
      <c r="AE2361" s="188"/>
      <c r="AF2361" s="188"/>
      <c r="AG2361" s="188"/>
      <c r="AH2361" s="188"/>
      <c r="AI2361" s="188"/>
      <c r="AJ2361" s="188"/>
      <c r="AK2361" s="188"/>
    </row>
    <row r="2362" spans="1:37" ht="20.25" customHeight="1">
      <c r="A2362" s="217"/>
      <c r="E2362" s="187"/>
      <c r="G2362" s="188"/>
      <c r="H2362" s="188"/>
      <c r="I2362" s="188"/>
      <c r="J2362" s="188"/>
      <c r="K2362" s="188"/>
      <c r="L2362" s="188"/>
      <c r="M2362" s="188"/>
      <c r="N2362" s="188"/>
      <c r="O2362" s="188"/>
      <c r="P2362" s="188"/>
      <c r="Q2362" s="188"/>
      <c r="R2362" s="188"/>
      <c r="S2362" s="188"/>
      <c r="T2362" s="180"/>
      <c r="U2362" s="189" t="str">
        <f>IFERROR(IF(Tableau3[[#This Row],[Dettes]]=0,"",(Tableau3[[#This Row],[Dettes]]/Tableau3[[#This Row],[EBE]])),"")</f>
        <v/>
      </c>
      <c r="V2362" s="190" t="str">
        <f>IFERROR(Tableau3[[#This Row],[Fonds propres]]/Tableau3[[#This Row],[Total Bilan]],"")</f>
        <v/>
      </c>
      <c r="W2362" s="180"/>
      <c r="X2362" s="192"/>
      <c r="Y2362" s="180"/>
      <c r="Z2362" s="192" t="str">
        <f>IFERROR(Tableau3[[#This Row],[Chiffre d''affaires]]/Tableau3[[#This Row],[Salariés]],"")</f>
        <v/>
      </c>
      <c r="AA2362" s="188"/>
      <c r="AB2362" s="188"/>
      <c r="AD2362" s="188"/>
      <c r="AE2362" s="188"/>
      <c r="AF2362" s="188"/>
      <c r="AG2362" s="188"/>
      <c r="AH2362" s="188"/>
      <c r="AI2362" s="188"/>
      <c r="AJ2362" s="188"/>
      <c r="AK2362" s="188"/>
    </row>
    <row r="2363" spans="1:37" ht="20.25" customHeight="1">
      <c r="A2363" s="217" t="s">
        <v>1675</v>
      </c>
      <c r="B2363" s="216" t="s">
        <v>1592</v>
      </c>
      <c r="C2363" s="178" t="s">
        <v>99</v>
      </c>
      <c r="D2363" s="178" t="s">
        <v>383</v>
      </c>
      <c r="E2363" s="187"/>
      <c r="F2363" s="178">
        <v>2025</v>
      </c>
      <c r="G2363" s="188"/>
      <c r="H2363" s="188"/>
      <c r="I2363" s="188"/>
      <c r="J2363" s="188"/>
      <c r="K2363" s="188"/>
      <c r="L2363" s="188"/>
      <c r="M2363" s="188"/>
      <c r="N2363" s="188"/>
      <c r="O2363" s="188"/>
      <c r="P2363" s="188"/>
      <c r="Q2363" s="188"/>
      <c r="R2363" s="188"/>
      <c r="S2363" s="188"/>
      <c r="T2363" s="180"/>
      <c r="U2363" s="189" t="str">
        <f>IFERROR(IF(Tableau3[[#This Row],[Dettes]]=0,"",(Tableau3[[#This Row],[Dettes]]/Tableau3[[#This Row],[EBE]])),"")</f>
        <v/>
      </c>
      <c r="V2363" s="190" t="str">
        <f>IFERROR(Tableau3[[#This Row],[Fonds propres]]/Tableau3[[#This Row],[Total Bilan]],"")</f>
        <v/>
      </c>
      <c r="W2363" s="180"/>
      <c r="X2363" s="192"/>
      <c r="Y2363" s="180"/>
      <c r="Z2363" s="192" t="str">
        <f>IFERROR(Tableau3[[#This Row],[Chiffre d''affaires]]/Tableau3[[#This Row],[Salariés]],"")</f>
        <v/>
      </c>
      <c r="AA2363" s="188"/>
      <c r="AB2363" s="188"/>
      <c r="AC2363" s="177" t="s">
        <v>1676</v>
      </c>
      <c r="AD2363" s="188"/>
      <c r="AE2363" s="188"/>
      <c r="AF2363" s="188"/>
      <c r="AG2363" s="188"/>
      <c r="AH2363" s="188"/>
      <c r="AI2363" s="188"/>
      <c r="AJ2363" s="188"/>
      <c r="AK2363" s="188"/>
    </row>
    <row r="2364" spans="1:37" ht="20.25" customHeight="1">
      <c r="A2364" s="217"/>
      <c r="E2364" s="187"/>
      <c r="G2364" s="188"/>
      <c r="H2364" s="188"/>
      <c r="I2364" s="188"/>
      <c r="J2364" s="188"/>
      <c r="K2364" s="188"/>
      <c r="L2364" s="188"/>
      <c r="M2364" s="188"/>
      <c r="N2364" s="188"/>
      <c r="O2364" s="188"/>
      <c r="P2364" s="188"/>
      <c r="Q2364" s="188"/>
      <c r="R2364" s="188"/>
      <c r="S2364" s="188"/>
      <c r="T2364" s="180"/>
      <c r="U2364" s="189" t="str">
        <f>IFERROR(IF(Tableau3[[#This Row],[Dettes]]=0,"",(Tableau3[[#This Row],[Dettes]]/Tableau3[[#This Row],[EBE]])),"")</f>
        <v/>
      </c>
      <c r="V2364" s="190" t="str">
        <f>IFERROR(Tableau3[[#This Row],[Fonds propres]]/Tableau3[[#This Row],[Total Bilan]],"")</f>
        <v/>
      </c>
      <c r="W2364" s="180"/>
      <c r="X2364" s="192"/>
      <c r="Y2364" s="180"/>
      <c r="Z2364" s="192" t="str">
        <f>IFERROR(Tableau3[[#This Row],[Chiffre d''affaires]]/Tableau3[[#This Row],[Salariés]],"")</f>
        <v/>
      </c>
      <c r="AA2364" s="188"/>
      <c r="AB2364" s="188"/>
      <c r="AC2364" s="177" t="s">
        <v>1677</v>
      </c>
      <c r="AD2364" s="188"/>
      <c r="AE2364" s="188"/>
      <c r="AF2364" s="188"/>
      <c r="AG2364" s="188"/>
      <c r="AH2364" s="188"/>
      <c r="AI2364" s="188"/>
      <c r="AJ2364" s="188"/>
      <c r="AK2364" s="188"/>
    </row>
    <row r="2365" spans="1:37" ht="20.25" customHeight="1">
      <c r="A2365" s="217"/>
      <c r="E2365" s="187">
        <v>88.7</v>
      </c>
      <c r="F2365" s="178">
        <v>2024</v>
      </c>
      <c r="G2365" s="188"/>
      <c r="H2365" s="188"/>
      <c r="I2365" s="188"/>
      <c r="J2365" s="188"/>
      <c r="K2365" s="188"/>
      <c r="L2365" s="188"/>
      <c r="M2365" s="194">
        <f>L2365/P2365</f>
        <v>0</v>
      </c>
      <c r="N2365" s="190" t="e">
        <f>J2365/L2365</f>
        <v>#DIV/0!</v>
      </c>
      <c r="O2365" s="190" t="e">
        <f>(I2365*0.64)/(K2365+(M2365*P2365))</f>
        <v>#DIV/0!</v>
      </c>
      <c r="P2365" s="188">
        <v>2277477752</v>
      </c>
      <c r="Q2365" s="211">
        <f>P2365*E2365</f>
        <v>202012276602.39999</v>
      </c>
      <c r="R2365" s="195" t="e">
        <f>Q2365/L2365</f>
        <v>#DIV/0!</v>
      </c>
      <c r="S2365" s="197" t="e">
        <f>(Q2365+K2365)/H2365</f>
        <v>#DIV/0!</v>
      </c>
      <c r="T2365" s="180"/>
      <c r="U2365" s="189" t="str">
        <f>IFERROR(IF(Tableau3[[#This Row],[Dettes]]=0,"",(Tableau3[[#This Row],[Dettes]]/Tableau3[[#This Row],[EBE]])),"")</f>
        <v/>
      </c>
      <c r="V2365" s="190" t="str">
        <f>IFERROR(Tableau3[[#This Row],[Fonds propres]]/Tableau3[[#This Row],[Total Bilan]],"")</f>
        <v/>
      </c>
      <c r="W2365" s="180"/>
      <c r="X2365" s="192"/>
      <c r="Y2365" s="180"/>
      <c r="Z2365" s="192" t="str">
        <f>IFERROR(Tableau3[[#This Row],[Chiffre d''affaires]]/Tableau3[[#This Row],[Salariés]],"")</f>
        <v/>
      </c>
      <c r="AA2365" s="188"/>
      <c r="AB2365" s="188"/>
      <c r="AC2365" s="177" t="s">
        <v>1678</v>
      </c>
      <c r="AD2365" s="188"/>
      <c r="AE2365" s="188"/>
      <c r="AF2365" s="188"/>
      <c r="AG2365" s="188"/>
      <c r="AH2365" s="188"/>
      <c r="AI2365" s="188"/>
      <c r="AJ2365" s="188"/>
      <c r="AK2365" s="188"/>
    </row>
    <row r="2366" spans="1:37" ht="20.25" customHeight="1">
      <c r="A2366" s="217"/>
      <c r="E2366" s="187"/>
      <c r="G2366" s="188"/>
      <c r="H2366" s="188"/>
      <c r="I2366" s="188"/>
      <c r="J2366" s="188"/>
      <c r="K2366" s="188"/>
      <c r="L2366" s="188"/>
      <c r="M2366" s="188"/>
      <c r="N2366" s="188"/>
      <c r="O2366" s="188"/>
      <c r="P2366" s="188"/>
      <c r="Q2366" s="188"/>
      <c r="R2366" s="188"/>
      <c r="S2366" s="188"/>
      <c r="T2366" s="180"/>
      <c r="U2366" s="189" t="str">
        <f>IFERROR(IF(Tableau3[[#This Row],[Dettes]]=0,"",(Tableau3[[#This Row],[Dettes]]/Tableau3[[#This Row],[EBE]])),"")</f>
        <v/>
      </c>
      <c r="V2366" s="190" t="str">
        <f>IFERROR(Tableau3[[#This Row],[Fonds propres]]/Tableau3[[#This Row],[Total Bilan]],"")</f>
        <v/>
      </c>
      <c r="W2366" s="180"/>
      <c r="X2366" s="192"/>
      <c r="Y2366" s="180"/>
      <c r="Z2366" s="192" t="str">
        <f>IFERROR(Tableau3[[#This Row],[Chiffre d''affaires]]/Tableau3[[#This Row],[Salariés]],"")</f>
        <v/>
      </c>
      <c r="AA2366" s="188"/>
      <c r="AB2366" s="188"/>
      <c r="AC2366" s="177" t="s">
        <v>1679</v>
      </c>
      <c r="AD2366" s="188"/>
      <c r="AE2366" s="188"/>
      <c r="AF2366" s="188"/>
      <c r="AG2366" s="188"/>
      <c r="AH2366" s="188"/>
      <c r="AI2366" s="188"/>
      <c r="AJ2366" s="188"/>
      <c r="AK2366" s="188"/>
    </row>
    <row r="2367" spans="1:37" ht="20.25" customHeight="1">
      <c r="A2367" s="217"/>
      <c r="E2367" s="187">
        <v>89.4</v>
      </c>
      <c r="F2367" s="178">
        <v>2023</v>
      </c>
      <c r="G2367" s="188">
        <v>45440000000</v>
      </c>
      <c r="H2367" s="188">
        <v>18255000000</v>
      </c>
      <c r="I2367" s="188">
        <v>9769000000</v>
      </c>
      <c r="J2367" s="188">
        <v>14854000000</v>
      </c>
      <c r="K2367" s="188"/>
      <c r="L2367" s="188">
        <v>46750000000</v>
      </c>
      <c r="M2367" s="194">
        <f>L2367/P2367</f>
        <v>20.527094044693001</v>
      </c>
      <c r="N2367" s="190">
        <f>J2367/L2367</f>
        <v>0.31773262032085564</v>
      </c>
      <c r="O2367" s="190">
        <f>(I2367*0.64)/(K2367+(M2367*P2367))</f>
        <v>0.13373604278074863</v>
      </c>
      <c r="P2367" s="188">
        <v>2277477752</v>
      </c>
      <c r="Q2367" s="211">
        <f>P2367*E2367</f>
        <v>203606511028.80002</v>
      </c>
      <c r="R2367" s="195">
        <f>Q2367/L2367</f>
        <v>4.3552194872470595</v>
      </c>
      <c r="S2367" s="197">
        <f>(Q2367+K2367)/H2367</f>
        <v>11.153465408315531</v>
      </c>
      <c r="T2367" s="180">
        <v>13160000000</v>
      </c>
      <c r="U2367" s="189" t="str">
        <f>IFERROR(IF(Tableau3[[#This Row],[Dettes]]=0,"",(Tableau3[[#This Row],[Dettes]]/Tableau3[[#This Row],[EBE]])),"")</f>
        <v/>
      </c>
      <c r="V2367" s="190">
        <f>IFERROR(Tableau3[[#This Row],[Fonds propres]]/Tableau3[[#This Row],[Total Bilan]],"")</f>
        <v>0.46775726649657312</v>
      </c>
      <c r="W2367" s="180">
        <v>99945000000</v>
      </c>
      <c r="X2367" s="192"/>
      <c r="Y2367" s="180">
        <v>76057</v>
      </c>
      <c r="Z2367" s="192">
        <f>IFERROR(Tableau3[[#This Row],[Chiffre d''affaires]]/Tableau3[[#This Row],[Salariés]],"")</f>
        <v>597446.6518532153</v>
      </c>
      <c r="AA2367" s="188"/>
      <c r="AB2367" s="188"/>
      <c r="AC2367" s="177" t="s">
        <v>1680</v>
      </c>
      <c r="AD2367" s="188"/>
      <c r="AE2367" s="188"/>
      <c r="AF2367" s="188"/>
      <c r="AG2367" s="188"/>
      <c r="AH2367" s="188"/>
      <c r="AI2367" s="188"/>
      <c r="AJ2367" s="188"/>
      <c r="AK2367" s="188"/>
    </row>
    <row r="2368" spans="1:37" ht="20.25" customHeight="1">
      <c r="A2368" s="217"/>
      <c r="E2368" s="187"/>
      <c r="G2368" s="202">
        <f>(G2367/G2369)-1</f>
        <v>7.662417665734722E-2</v>
      </c>
      <c r="H2368" s="203">
        <f>(H2367/H2369)-1</f>
        <v>0.243359215365754</v>
      </c>
      <c r="I2368" s="203">
        <f>(I2367/I2369)-1</f>
        <v>0.22942360936320161</v>
      </c>
      <c r="J2368" s="203">
        <f>(J2367/J2369)-1</f>
        <v>1.1357296908698777</v>
      </c>
      <c r="K2368" s="188"/>
      <c r="L2368" s="188"/>
      <c r="M2368" s="188"/>
      <c r="N2368" s="188"/>
      <c r="O2368" s="188"/>
      <c r="P2368" s="188"/>
      <c r="Q2368" s="188"/>
      <c r="R2368" s="188"/>
      <c r="S2368" s="188"/>
      <c r="T2368" s="180"/>
      <c r="U2368" s="189" t="str">
        <f>IFERROR(IF(Tableau3[[#This Row],[Dettes]]=0,"",(Tableau3[[#This Row],[Dettes]]/Tableau3[[#This Row],[EBE]])),"")</f>
        <v/>
      </c>
      <c r="V2368" s="190" t="str">
        <f>IFERROR(Tableau3[[#This Row],[Fonds propres]]/Tableau3[[#This Row],[Total Bilan]],"")</f>
        <v/>
      </c>
      <c r="W2368" s="180"/>
      <c r="X2368" s="192"/>
      <c r="Y2368" s="180"/>
      <c r="Z2368" s="192" t="str">
        <f>IFERROR(Tableau3[[#This Row],[Chiffre d''affaires]]/Tableau3[[#This Row],[Salariés]],"")</f>
        <v/>
      </c>
      <c r="AA2368" s="188"/>
      <c r="AB2368" s="188"/>
      <c r="AC2368" s="177" t="s">
        <v>1681</v>
      </c>
      <c r="AD2368" s="188"/>
      <c r="AE2368" s="188"/>
      <c r="AF2368" s="188"/>
      <c r="AG2368" s="188"/>
      <c r="AH2368" s="188"/>
      <c r="AI2368" s="188"/>
      <c r="AJ2368" s="188"/>
      <c r="AK2368" s="188"/>
    </row>
    <row r="2369" spans="1:37" ht="20.25" customHeight="1">
      <c r="A2369" s="217"/>
      <c r="E2369" s="187">
        <v>78.150000000000006</v>
      </c>
      <c r="F2369" s="178">
        <v>2022</v>
      </c>
      <c r="G2369" s="188">
        <v>42206000000</v>
      </c>
      <c r="H2369" s="188">
        <v>14682000000</v>
      </c>
      <c r="I2369" s="188">
        <v>7946000000</v>
      </c>
      <c r="J2369" s="188">
        <v>6955000000</v>
      </c>
      <c r="K2369" s="188"/>
      <c r="L2369" s="188">
        <v>59423000000</v>
      </c>
      <c r="M2369" s="194">
        <f>L2369/P2369</f>
        <v>26.091583089150632</v>
      </c>
      <c r="N2369" s="190">
        <f>J2369/L2369</f>
        <v>0.11704222270837891</v>
      </c>
      <c r="O2369" s="190">
        <f>(I2369*0.64)/(K2369+(M2369*P2369))</f>
        <v>8.5580330848324726E-2</v>
      </c>
      <c r="P2369" s="188">
        <v>2277477752</v>
      </c>
      <c r="Q2369" s="211">
        <f>P2369*E2369</f>
        <v>177984886318.80002</v>
      </c>
      <c r="R2369" s="195">
        <f>Q2369/L2369</f>
        <v>2.9952187927031626</v>
      </c>
      <c r="S2369" s="197">
        <f>(Q2369+K2369)/H2369</f>
        <v>12.122659468655497</v>
      </c>
      <c r="T2369" s="180">
        <v>12123000000</v>
      </c>
      <c r="U2369" s="189" t="str">
        <f>IFERROR(IF(Tableau3[[#This Row],[Dettes]]=0,"",(Tableau3[[#This Row],[Dettes]]/Tableau3[[#This Row],[EBE]])),"")</f>
        <v/>
      </c>
      <c r="V2369" s="190">
        <f>IFERROR(Tableau3[[#This Row],[Fonds propres]]/Tableau3[[#This Row],[Total Bilan]],"")</f>
        <v>0.50593003158710292</v>
      </c>
      <c r="W2369" s="180">
        <v>117453000000</v>
      </c>
      <c r="X2369" s="192"/>
      <c r="Y2369" s="180">
        <v>101703</v>
      </c>
      <c r="Z2369" s="192">
        <f>IFERROR(Tableau3[[#This Row],[Chiffre d''affaires]]/Tableau3[[#This Row],[Salariés]],"")</f>
        <v>414992.6747490241</v>
      </c>
      <c r="AA2369" s="188"/>
      <c r="AB2369" s="188"/>
      <c r="AC2369" s="177" t="s">
        <v>1682</v>
      </c>
      <c r="AD2369" s="188"/>
      <c r="AE2369" s="188"/>
      <c r="AF2369" s="188"/>
      <c r="AG2369" s="188"/>
      <c r="AH2369" s="188"/>
      <c r="AI2369" s="188"/>
      <c r="AJ2369" s="188"/>
      <c r="AK2369" s="188"/>
    </row>
    <row r="2370" spans="1:37" ht="20.25" customHeight="1">
      <c r="A2370" s="217"/>
      <c r="E2370" s="187"/>
      <c r="F2370" s="188"/>
      <c r="G2370" s="202">
        <f>(G2369/G2371)-1</f>
        <v>-1.3440546036792012E-2</v>
      </c>
      <c r="H2370" s="203">
        <f>(H2369/H2371)-1</f>
        <v>-0.52506954777770587</v>
      </c>
      <c r="I2370" s="203">
        <f>(I2369/I2371)-1</f>
        <v>-0.67607011822258456</v>
      </c>
      <c r="J2370" s="203">
        <f>(J2369/J2371)-1</f>
        <v>-0.71042551419768507</v>
      </c>
      <c r="K2370" s="188"/>
      <c r="L2370" s="188"/>
      <c r="M2370" s="188"/>
      <c r="N2370" s="188"/>
      <c r="O2370" s="188"/>
      <c r="P2370" s="188"/>
      <c r="Q2370" s="188"/>
      <c r="R2370" s="188"/>
      <c r="S2370" s="188"/>
      <c r="T2370" s="180"/>
      <c r="U2370" s="189" t="str">
        <f>IFERROR(IF(Tableau3[[#This Row],[Dettes]]=0,"",(Tableau3[[#This Row],[Dettes]]/Tableau3[[#This Row],[EBE]])),"")</f>
        <v/>
      </c>
      <c r="V2370" s="190" t="str">
        <f>IFERROR(Tableau3[[#This Row],[Fonds propres]]/Tableau3[[#This Row],[Total Bilan]],"")</f>
        <v/>
      </c>
      <c r="W2370" s="180"/>
      <c r="X2370" s="192"/>
      <c r="Y2370" s="180"/>
      <c r="Z2370" s="192" t="str">
        <f>IFERROR(Tableau3[[#This Row],[Chiffre d''affaires]]/Tableau3[[#This Row],[Salariés]],"")</f>
        <v/>
      </c>
      <c r="AA2370" s="188"/>
      <c r="AB2370" s="188"/>
      <c r="AC2370" s="177" t="s">
        <v>1683</v>
      </c>
      <c r="AD2370" s="188"/>
      <c r="AE2370" s="188"/>
      <c r="AF2370" s="188"/>
      <c r="AG2370" s="188"/>
      <c r="AH2370" s="188"/>
      <c r="AI2370" s="188"/>
      <c r="AJ2370" s="188"/>
      <c r="AK2370" s="188"/>
    </row>
    <row r="2371" spans="1:37" ht="20.25" customHeight="1">
      <c r="A2371" s="217"/>
      <c r="E2371" s="187">
        <v>75.95</v>
      </c>
      <c r="F2371" s="178">
        <v>2021</v>
      </c>
      <c r="G2371" s="188">
        <v>42781000000</v>
      </c>
      <c r="H2371" s="188">
        <v>30914000000</v>
      </c>
      <c r="I2371" s="188">
        <v>24530000000</v>
      </c>
      <c r="J2371" s="188">
        <v>24018000000</v>
      </c>
      <c r="K2371" s="188"/>
      <c r="L2371" s="180">
        <v>67822000000</v>
      </c>
      <c r="M2371" s="194">
        <f>L2371/P2371</f>
        <v>30.345413870246084</v>
      </c>
      <c r="N2371" s="190">
        <f>J2371/L2371</f>
        <v>0.35413287723747455</v>
      </c>
      <c r="O2371" s="190">
        <f>(I2371*0.64)/(K2371+(M2371*P2371))</f>
        <v>0.23147651204623867</v>
      </c>
      <c r="P2371" s="188">
        <v>2235000000</v>
      </c>
      <c r="Q2371" s="211">
        <f>P2371*E2371</f>
        <v>169748250000</v>
      </c>
      <c r="R2371" s="195">
        <f>Q2371/L2371</f>
        <v>2.502849370410781</v>
      </c>
      <c r="S2371" s="197">
        <f>(Q2371+K2371)/H2371</f>
        <v>5.4909830497509216</v>
      </c>
      <c r="T2371" s="180"/>
      <c r="U2371" s="189" t="str">
        <f>IFERROR(IF(Tableau3[[#This Row],[Dettes]]=0,"",(Tableau3[[#This Row],[Dettes]]/Tableau3[[#This Row],[EBE]])),"")</f>
        <v/>
      </c>
      <c r="V2371" s="190">
        <f>IFERROR(Tableau3[[#This Row],[Fonds propres]]/Tableau3[[#This Row],[Total Bilan]],"")</f>
        <v>0.51460222314958837</v>
      </c>
      <c r="W2371" s="180">
        <v>131795000000</v>
      </c>
      <c r="X2371" s="192"/>
      <c r="Y2371" s="180">
        <v>104323</v>
      </c>
      <c r="Z2371" s="192">
        <f>IFERROR(Tableau3[[#This Row],[Chiffre d''affaires]]/Tableau3[[#This Row],[Salariés]],"")</f>
        <v>410082.14871121419</v>
      </c>
      <c r="AA2371" s="188"/>
      <c r="AB2371" s="188"/>
      <c r="AC2371" s="177" t="s">
        <v>1684</v>
      </c>
      <c r="AD2371" s="188"/>
      <c r="AE2371" s="188"/>
      <c r="AF2371" s="188"/>
      <c r="AG2371" s="188"/>
      <c r="AH2371" s="188"/>
      <c r="AI2371" s="188"/>
      <c r="AJ2371" s="188"/>
      <c r="AK2371" s="188"/>
    </row>
    <row r="2372" spans="1:37" ht="20.25" customHeight="1">
      <c r="A2372" s="217"/>
      <c r="E2372" s="187"/>
      <c r="G2372" s="202">
        <f>(G2371/G2373)-1</f>
        <v>-0.14263096717303303</v>
      </c>
      <c r="H2372" s="203">
        <f>(H2371/H2373)-1</f>
        <v>0.79617686363372253</v>
      </c>
      <c r="I2372" s="203">
        <f>(I2371/I2373)-1</f>
        <v>1.2824974411463663</v>
      </c>
      <c r="J2372" s="203">
        <f>(J2371/J2373)-1</f>
        <v>1.9754707631318138</v>
      </c>
      <c r="K2372" s="188"/>
      <c r="L2372" s="188"/>
      <c r="M2372" s="188"/>
      <c r="N2372" s="188"/>
      <c r="O2372" s="188"/>
      <c r="P2372" s="188"/>
      <c r="Q2372" s="188"/>
      <c r="R2372" s="188"/>
      <c r="S2372" s="188"/>
      <c r="T2372" s="180"/>
      <c r="U2372" s="189" t="str">
        <f>IFERROR(IF(Tableau3[[#This Row],[Dettes]]=0,"",(Tableau3[[#This Row],[Dettes]]/Tableau3[[#This Row],[EBE]])),"")</f>
        <v/>
      </c>
      <c r="V2372" s="190" t="str">
        <f>IFERROR(Tableau3[[#This Row],[Fonds propres]]/Tableau3[[#This Row],[Total Bilan]],"")</f>
        <v/>
      </c>
      <c r="W2372" s="180"/>
      <c r="X2372" s="192"/>
      <c r="Y2372" s="180"/>
      <c r="Z2372" s="192" t="str">
        <f>IFERROR(Tableau3[[#This Row],[Chiffre d''affaires]]/Tableau3[[#This Row],[Salariés]],"")</f>
        <v/>
      </c>
      <c r="AA2372" s="188"/>
      <c r="AB2372" s="188"/>
      <c r="AC2372" s="177" t="s">
        <v>1685</v>
      </c>
      <c r="AD2372" s="188"/>
      <c r="AE2372" s="188"/>
      <c r="AF2372" s="188"/>
      <c r="AG2372" s="188"/>
      <c r="AH2372" s="188"/>
      <c r="AI2372" s="188"/>
      <c r="AJ2372" s="188"/>
      <c r="AK2372" s="188"/>
    </row>
    <row r="2373" spans="1:37" ht="20.25" customHeight="1">
      <c r="A2373" s="217"/>
      <c r="E2373" s="187">
        <v>76.33</v>
      </c>
      <c r="F2373" s="178">
        <v>2020</v>
      </c>
      <c r="G2373" s="188">
        <v>49898000000</v>
      </c>
      <c r="H2373" s="188">
        <v>17211000000</v>
      </c>
      <c r="I2373" s="188">
        <v>10747000000</v>
      </c>
      <c r="J2373" s="188">
        <v>8072000000</v>
      </c>
      <c r="K2373" s="188"/>
      <c r="L2373" s="188">
        <v>56598000000</v>
      </c>
      <c r="M2373" s="194">
        <f>L2373/P2373</f>
        <v>25.076650420912717</v>
      </c>
      <c r="N2373" s="190">
        <f>J2373/L2373</f>
        <v>0.14261988056115057</v>
      </c>
      <c r="O2373" s="190">
        <f>(I2373*0.64)/(K2373+(M2373*P2373))</f>
        <v>0.12152514223117425</v>
      </c>
      <c r="P2373" s="188">
        <v>2257000000</v>
      </c>
      <c r="Q2373" s="211">
        <f>P2373*E2373</f>
        <v>172276810000</v>
      </c>
      <c r="R2373" s="195">
        <f>Q2373/L2373</f>
        <v>3.0438674511466837</v>
      </c>
      <c r="S2373" s="197">
        <f>(Q2373+K2373)/H2373</f>
        <v>10.009692057405148</v>
      </c>
      <c r="T2373" s="180"/>
      <c r="U2373" s="189" t="str">
        <f>IFERROR(IF(Tableau3[[#This Row],[Dettes]]=0,"",(Tableau3[[#This Row],[Dettes]]/Tableau3[[#This Row],[EBE]])),"")</f>
        <v/>
      </c>
      <c r="V2373" s="190">
        <f>IFERROR(Tableau3[[#This Row],[Fonds propres]]/Tableau3[[#This Row],[Total Bilan]],"")</f>
        <v>0.44294009923461003</v>
      </c>
      <c r="W2373" s="180">
        <v>127778000000</v>
      </c>
      <c r="X2373" s="192"/>
      <c r="Y2373" s="180">
        <v>110000</v>
      </c>
      <c r="Z2373" s="192">
        <f>IFERROR(Tableau3[[#This Row],[Chiffre d''affaires]]/Tableau3[[#This Row],[Salariés]],"")</f>
        <v>453618.18181818182</v>
      </c>
      <c r="AA2373" s="188"/>
      <c r="AB2373" s="188"/>
      <c r="AC2373" s="177" t="s">
        <v>1686</v>
      </c>
    </row>
    <row r="2374" spans="1:37" ht="20.25" customHeight="1">
      <c r="A2374" s="217"/>
      <c r="E2374" s="187"/>
      <c r="G2374" s="202">
        <f>(G2373/G2375)-1</f>
        <v>2.5083715101587911E-2</v>
      </c>
      <c r="H2374" s="203">
        <f>(H2373/H2375)-1</f>
        <v>0.10213883196721318</v>
      </c>
      <c r="I2374" s="203">
        <f>(I2373/I2375)-1</f>
        <v>9.7752808988764039E-2</v>
      </c>
      <c r="J2374" s="203">
        <f>(J2373/J2375)-1</f>
        <v>-0.31196726900784177</v>
      </c>
      <c r="K2374" s="188"/>
      <c r="L2374" s="188"/>
      <c r="M2374" s="188"/>
      <c r="N2374" s="188"/>
      <c r="O2374" s="188"/>
      <c r="P2374" s="188"/>
      <c r="Q2374" s="188"/>
      <c r="R2374" s="188"/>
      <c r="S2374" s="188"/>
      <c r="T2374" s="180"/>
      <c r="U2374" s="189" t="str">
        <f>IFERROR(IF(Tableau3[[#This Row],[Dettes]]=0,"",(Tableau3[[#This Row],[Dettes]]/Tableau3[[#This Row],[EBE]])),"")</f>
        <v/>
      </c>
      <c r="V2374" s="190" t="str">
        <f>IFERROR(Tableau3[[#This Row],[Fonds propres]]/Tableau3[[#This Row],[Total Bilan]],"")</f>
        <v/>
      </c>
      <c r="W2374" s="180"/>
      <c r="X2374" s="192"/>
      <c r="Y2374" s="180"/>
      <c r="Z2374" s="192" t="str">
        <f>IFERROR(Tableau3[[#This Row],[Chiffre d''affaires]]/Tableau3[[#This Row],[Salariés]],"")</f>
        <v/>
      </c>
      <c r="AA2374" s="188"/>
      <c r="AB2374" s="188"/>
      <c r="AC2374" s="177" t="s">
        <v>1687</v>
      </c>
    </row>
    <row r="2375" spans="1:37" ht="20.25" customHeight="1">
      <c r="A2375" s="217"/>
      <c r="E2375" s="187">
        <v>86.41</v>
      </c>
      <c r="F2375" s="178">
        <v>2019</v>
      </c>
      <c r="G2375" s="188">
        <v>48677000000</v>
      </c>
      <c r="H2375" s="188">
        <v>15616000000</v>
      </c>
      <c r="I2375" s="188">
        <v>9790000000</v>
      </c>
      <c r="J2375" s="188">
        <v>11732000000</v>
      </c>
      <c r="K2375" s="188"/>
      <c r="L2375" s="188">
        <v>55474000000</v>
      </c>
      <c r="M2375" s="194">
        <f>L2375/P2375</f>
        <v>24.491832229580574</v>
      </c>
      <c r="N2375" s="190">
        <f>J2375/L2375</f>
        <v>0.21148646212640157</v>
      </c>
      <c r="O2375" s="190">
        <f>(I2375*0.64)/(K2375+(M2375*P2375))</f>
        <v>0.11294660561704582</v>
      </c>
      <c r="P2375" s="188">
        <v>2265000000</v>
      </c>
      <c r="Q2375" s="211">
        <f>P2375*E2375</f>
        <v>195718650000</v>
      </c>
      <c r="R2375" s="195">
        <f>Q2375/L2375</f>
        <v>3.5281149727800409</v>
      </c>
      <c r="S2375" s="197">
        <f>(Q2375+K2375)/H2375</f>
        <v>12.533212730532787</v>
      </c>
      <c r="T2375" s="180"/>
      <c r="U2375" s="189" t="str">
        <f>IFERROR(IF(Tableau3[[#This Row],[Dettes]]=0,"",(Tableau3[[#This Row],[Dettes]]/Tableau3[[#This Row],[EBE]])),"")</f>
        <v/>
      </c>
      <c r="V2375" s="190">
        <f>IFERROR(Tableau3[[#This Row],[Fonds propres]]/Tableau3[[#This Row],[Total Bilan]],"")</f>
        <v>0.46864915096730592</v>
      </c>
      <c r="W2375" s="180">
        <v>118370000000</v>
      </c>
      <c r="X2375" s="192"/>
      <c r="Y2375" s="180">
        <v>103914</v>
      </c>
      <c r="Z2375" s="192">
        <f>IFERROR(Tableau3[[#This Row],[Chiffre d''affaires]]/Tableau3[[#This Row],[Salariés]],"")</f>
        <v>468435.43699597742</v>
      </c>
      <c r="AA2375" s="188"/>
      <c r="AB2375" s="188"/>
      <c r="AC2375" s="177" t="s">
        <v>1688</v>
      </c>
    </row>
    <row r="2376" spans="1:37" ht="20.25" customHeight="1">
      <c r="A2376" s="217"/>
      <c r="E2376" s="187"/>
      <c r="G2376" s="202">
        <f>(G2375/G2377)-1</f>
        <v>5.5923121976615642E-2</v>
      </c>
      <c r="H2376" s="203">
        <f>(H2375/H2377)-1</f>
        <v>-0.22838225121059397</v>
      </c>
      <c r="I2376" s="203">
        <f>(I2375/I2377)-1</f>
        <v>-0.34850602249284623</v>
      </c>
      <c r="J2376" s="203">
        <f>(J2375/J2377)-1</f>
        <v>-6.9701054634842552E-2</v>
      </c>
      <c r="K2376" s="188"/>
      <c r="L2376" s="188"/>
      <c r="M2376" s="188"/>
      <c r="N2376" s="188"/>
      <c r="O2376" s="188"/>
      <c r="P2376" s="188"/>
      <c r="Q2376" s="188"/>
      <c r="R2376" s="188"/>
      <c r="S2376" s="188"/>
      <c r="T2376" s="180"/>
      <c r="U2376" s="189" t="str">
        <f>IFERROR(IF(Tableau3[[#This Row],[Dettes]]=0,"",(Tableau3[[#This Row],[Dettes]]/Tableau3[[#This Row],[EBE]])),"")</f>
        <v/>
      </c>
      <c r="V2376" s="190" t="str">
        <f>IFERROR(Tableau3[[#This Row],[Fonds propres]]/Tableau3[[#This Row],[Total Bilan]],"")</f>
        <v/>
      </c>
      <c r="W2376" s="180"/>
      <c r="X2376" s="192"/>
      <c r="Y2376" s="180"/>
      <c r="Z2376" s="192" t="str">
        <f>IFERROR(Tableau3[[#This Row],[Chiffre d''affaires]]/Tableau3[[#This Row],[Salariés]],"")</f>
        <v/>
      </c>
      <c r="AA2376" s="188"/>
      <c r="AB2376" s="188"/>
      <c r="AC2376" s="177" t="s">
        <v>1689</v>
      </c>
    </row>
    <row r="2377" spans="1:37" ht="20.25" customHeight="1">
      <c r="A2377" s="217"/>
      <c r="E2377" s="187">
        <v>72.47</v>
      </c>
      <c r="F2377" s="178">
        <v>2018</v>
      </c>
      <c r="G2377" s="188">
        <v>46099000000</v>
      </c>
      <c r="H2377" s="188">
        <v>20238000000</v>
      </c>
      <c r="I2377" s="188">
        <v>15027000000</v>
      </c>
      <c r="J2377" s="188">
        <v>12611000000</v>
      </c>
      <c r="K2377" s="188"/>
      <c r="L2377" s="188">
        <v>78614000000</v>
      </c>
      <c r="M2377" s="194">
        <f>L2377/P2377</f>
        <v>34.017308524448289</v>
      </c>
      <c r="N2377" s="190">
        <f>J2377/L2377</f>
        <v>0.16041671966825247</v>
      </c>
      <c r="O2377" s="190">
        <f>(I2377*0.64)/(K2377+(M2377*P2377))</f>
        <v>0.12233546187701937</v>
      </c>
      <c r="P2377" s="188">
        <v>2311000000</v>
      </c>
      <c r="Q2377" s="211">
        <f>P2377*E2377</f>
        <v>167478170000</v>
      </c>
      <c r="R2377" s="195">
        <f>Q2377/L2377</f>
        <v>2.1303860635510214</v>
      </c>
      <c r="S2377" s="197">
        <f>(Q2377+K2377)/H2377</f>
        <v>8.2754308726158712</v>
      </c>
      <c r="T2377" s="180"/>
      <c r="U2377" s="189" t="str">
        <f>IFERROR(IF(Tableau3[[#This Row],[Dettes]]=0,"",(Tableau3[[#This Row],[Dettes]]/Tableau3[[#This Row],[EBE]])),"")</f>
        <v/>
      </c>
      <c r="V2377" s="190">
        <f>IFERROR(Tableau3[[#This Row],[Fonds propres]]/Tableau3[[#This Row],[Total Bilan]],"")</f>
        <v>0.5400685613789219</v>
      </c>
      <c r="W2377" s="180">
        <v>145563000000</v>
      </c>
      <c r="X2377" s="192"/>
      <c r="Y2377" s="180">
        <v>125161</v>
      </c>
      <c r="Z2377" s="192">
        <f>IFERROR(Tableau3[[#This Row],[Chiffre d''affaires]]/Tableau3[[#This Row],[Salariés]],"")</f>
        <v>368317.60692228412</v>
      </c>
      <c r="AA2377" s="188"/>
      <c r="AB2377" s="188"/>
      <c r="AC2377" s="177" t="s">
        <v>1690</v>
      </c>
    </row>
    <row r="2378" spans="1:37" ht="20.25" customHeight="1">
      <c r="A2378" s="217"/>
      <c r="E2378" s="187"/>
      <c r="G2378" s="202">
        <f>(G2377/G2379)-1</f>
        <v>6.2091051515989371E-2</v>
      </c>
      <c r="H2378" s="203">
        <f>(H2377/H2379)-1</f>
        <v>0.38730463394570891</v>
      </c>
      <c r="I2378" s="203">
        <f>(I2377/I2379)-1</f>
        <v>0.52527405602923261</v>
      </c>
      <c r="J2378" s="203">
        <f>(J2377/J2379)-1</f>
        <v>0.63715435544593024</v>
      </c>
      <c r="K2378" s="188"/>
      <c r="L2378" s="188"/>
      <c r="M2378" s="188"/>
      <c r="N2378" s="188"/>
      <c r="O2378" s="188"/>
      <c r="P2378" s="188"/>
      <c r="Q2378" s="188"/>
      <c r="R2378" s="188"/>
      <c r="S2378" s="188"/>
      <c r="T2378" s="180"/>
      <c r="U2378" s="189" t="str">
        <f>IFERROR(IF(Tableau3[[#This Row],[Dettes]]=0,"",(Tableau3[[#This Row],[Dettes]]/Tableau3[[#This Row],[EBE]])),"")</f>
        <v/>
      </c>
      <c r="V2378" s="190" t="str">
        <f>IFERROR(Tableau3[[#This Row],[Fonds propres]]/Tableau3[[#This Row],[Total Bilan]],"")</f>
        <v/>
      </c>
      <c r="W2378" s="180"/>
      <c r="X2378" s="192"/>
      <c r="Y2378" s="180"/>
      <c r="Z2378" s="192" t="str">
        <f>IFERROR(Tableau3[[#This Row],[Chiffre d''affaires]]/Tableau3[[#This Row],[Salariés]],"")</f>
        <v/>
      </c>
      <c r="AA2378" s="188"/>
      <c r="AB2378" s="188"/>
      <c r="AC2378" s="177" t="s">
        <v>485</v>
      </c>
    </row>
    <row r="2379" spans="1:37" ht="20.25" customHeight="1">
      <c r="A2379" s="217"/>
      <c r="E2379" s="187">
        <v>69</v>
      </c>
      <c r="F2379" s="178">
        <v>2017</v>
      </c>
      <c r="G2379" s="188">
        <v>43404000000</v>
      </c>
      <c r="H2379" s="188">
        <v>14588000000</v>
      </c>
      <c r="I2379" s="188">
        <v>9852000000</v>
      </c>
      <c r="J2379" s="188">
        <v>7703000000</v>
      </c>
      <c r="K2379" s="188"/>
      <c r="L2379" s="188">
        <v>74168000000</v>
      </c>
      <c r="M2379" s="194">
        <f>L2379/P2379</f>
        <v>32.010358221838587</v>
      </c>
      <c r="N2379" s="190">
        <f>J2379/L2379</f>
        <v>0.10385880703268256</v>
      </c>
      <c r="O2379" s="190">
        <f>(I2379*0.64)/(K2379+(M2379*P2379))</f>
        <v>8.5013482903678134E-2</v>
      </c>
      <c r="P2379" s="188">
        <v>2317000000</v>
      </c>
      <c r="Q2379" s="211">
        <f>P2379*E2379</f>
        <v>159873000000</v>
      </c>
      <c r="R2379" s="195">
        <f>Q2379/L2379</f>
        <v>2.1555522597346566</v>
      </c>
      <c r="S2379" s="197">
        <f>(Q2379+K2379)/H2379</f>
        <v>10.959213051823417</v>
      </c>
      <c r="T2379" s="180"/>
      <c r="U2379" s="189" t="str">
        <f>IFERROR(IF(Tableau3[[#This Row],[Dettes]]=0,"",(Tableau3[[#This Row],[Dettes]]/Tableau3[[#This Row],[EBE]])),"")</f>
        <v/>
      </c>
      <c r="V2379" s="190">
        <f>IFERROR(Tableau3[[#This Row],[Fonds propres]]/Tableau3[[#This Row],[Total Bilan]],"")</f>
        <v>0.55732309380142619</v>
      </c>
      <c r="W2379" s="180">
        <v>133079000000</v>
      </c>
      <c r="X2379" s="192"/>
      <c r="Y2379" s="180">
        <v>121597</v>
      </c>
      <c r="Z2379" s="192">
        <f>IFERROR(Tableau3[[#This Row],[Chiffre d''affaires]]/Tableau3[[#This Row],[Salariés]],"")</f>
        <v>356949.59579594893</v>
      </c>
      <c r="AA2379" s="188"/>
      <c r="AB2379" s="188"/>
    </row>
    <row r="2380" spans="1:37" ht="20.25" customHeight="1">
      <c r="A2380" s="217"/>
      <c r="E2380" s="187"/>
      <c r="G2380" s="202">
        <f>(G2379/G2381)-1</f>
        <v>-0.12201634436443076</v>
      </c>
      <c r="H2380" s="203">
        <f>(H2379/H2381)-1</f>
        <v>1.4416146083613413E-3</v>
      </c>
      <c r="I2380" s="203">
        <f>(I2379/I2381)-1</f>
        <v>0.1557954012200844</v>
      </c>
      <c r="J2380" s="203">
        <f>(J2379/J2381)-1</f>
        <v>0.14764600715137077</v>
      </c>
      <c r="K2380" s="188"/>
      <c r="L2380" s="188"/>
      <c r="M2380" s="188"/>
      <c r="N2380" s="188"/>
      <c r="O2380" s="188"/>
      <c r="P2380" s="188"/>
      <c r="Q2380" s="188"/>
      <c r="R2380" s="188"/>
      <c r="S2380" s="188"/>
      <c r="T2380" s="180"/>
      <c r="U2380" s="189" t="str">
        <f>IFERROR(IF(Tableau3[[#This Row],[Dettes]]=0,"",(Tableau3[[#This Row],[Dettes]]/Tableau3[[#This Row],[EBE]])),"")</f>
        <v/>
      </c>
      <c r="V2380" s="190" t="str">
        <f>IFERROR(Tableau3[[#This Row],[Fonds propres]]/Tableau3[[#This Row],[Total Bilan]],"")</f>
        <v/>
      </c>
      <c r="W2380" s="180"/>
      <c r="X2380" s="192"/>
      <c r="Y2380" s="180"/>
      <c r="Z2380" s="192" t="str">
        <f>IFERROR(Tableau3[[#This Row],[Chiffre d''affaires]]/Tableau3[[#This Row],[Salariés]],"")</f>
        <v/>
      </c>
      <c r="AA2380" s="188"/>
      <c r="AB2380" s="188"/>
    </row>
    <row r="2381" spans="1:37" ht="20.25" customHeight="1">
      <c r="A2381" s="217"/>
      <c r="E2381" s="187"/>
      <c r="F2381" s="178">
        <v>2016</v>
      </c>
      <c r="G2381" s="188">
        <v>49436000000</v>
      </c>
      <c r="H2381" s="188">
        <v>14567000000</v>
      </c>
      <c r="I2381" s="188">
        <v>8524000000</v>
      </c>
      <c r="J2381" s="188">
        <v>6712000000</v>
      </c>
      <c r="K2381" s="188"/>
      <c r="L2381" s="188">
        <v>74832000000</v>
      </c>
      <c r="M2381" s="194">
        <f>L2381/P2381</f>
        <v>31.521482729570344</v>
      </c>
      <c r="N2381" s="190">
        <f>J2381/L2381</f>
        <v>8.9694248449861028E-2</v>
      </c>
      <c r="O2381" s="190">
        <f>(I2381*0.64)/(K2381+(M2381*P2381))</f>
        <v>7.2901432542227917E-2</v>
      </c>
      <c r="P2381" s="188">
        <v>2374000000</v>
      </c>
      <c r="Q2381" s="211">
        <f>P2381*E2381</f>
        <v>0</v>
      </c>
      <c r="R2381" s="195">
        <f>Q2381/L2381</f>
        <v>0</v>
      </c>
      <c r="S2381" s="197">
        <f>(Q2381+K2381)/H2381</f>
        <v>0</v>
      </c>
      <c r="T2381" s="180"/>
      <c r="U2381" s="189" t="str">
        <f>IFERROR(IF(Tableau3[[#This Row],[Dettes]]=0,"",(Tableau3[[#This Row],[Dettes]]/Tableau3[[#This Row],[EBE]])),"")</f>
        <v/>
      </c>
      <c r="V2381" s="190">
        <f>IFERROR(Tableau3[[#This Row],[Fonds propres]]/Tableau3[[#This Row],[Total Bilan]],"")</f>
        <v>0.57508222925824604</v>
      </c>
      <c r="W2381" s="180">
        <v>130124000000</v>
      </c>
      <c r="X2381" s="192"/>
      <c r="Y2381" s="180">
        <v>118393</v>
      </c>
      <c r="Z2381" s="192">
        <f>IFERROR(Tableau3[[#This Row],[Chiffre d''affaires]]/Tableau3[[#This Row],[Salariés]],"")</f>
        <v>417558.47051768261</v>
      </c>
      <c r="AA2381" s="188"/>
      <c r="AB2381" s="188"/>
    </row>
    <row r="2382" spans="1:37" ht="20.25" customHeight="1">
      <c r="A2382" s="217"/>
      <c r="E2382" s="187"/>
      <c r="G2382" s="202">
        <f>(G2381/G2383)-1</f>
        <v>-1.8873915891003623E-2</v>
      </c>
      <c r="H2382" s="203">
        <f>(H2381/H2383)-1</f>
        <v>2.1528751753155717E-2</v>
      </c>
      <c r="I2382" s="203">
        <f>(I2381/I2383)-1</f>
        <v>-3.0151325520537009E-2</v>
      </c>
      <c r="J2382" s="203">
        <f>(J2381/J2383)-1</f>
        <v>-0.62256087274363159</v>
      </c>
      <c r="K2382" s="188"/>
      <c r="L2382" s="188"/>
      <c r="M2382" s="188"/>
      <c r="N2382" s="188"/>
      <c r="O2382" s="188"/>
      <c r="P2382" s="188"/>
      <c r="Q2382" s="188"/>
      <c r="R2382" s="188"/>
      <c r="S2382" s="188"/>
      <c r="T2382" s="180"/>
      <c r="U2382" s="189" t="str">
        <f>IFERROR(IF(Tableau3[[#This Row],[Dettes]]=0,"",(Tableau3[[#This Row],[Dettes]]/Tableau3[[#This Row],[EBE]])),"")</f>
        <v/>
      </c>
      <c r="V2382" s="190" t="str">
        <f>IFERROR(Tableau3[[#This Row],[Fonds propres]]/Tableau3[[#This Row],[Total Bilan]],"")</f>
        <v/>
      </c>
      <c r="W2382" s="180"/>
      <c r="X2382" s="192"/>
      <c r="Y2382" s="180"/>
      <c r="Z2382" s="192" t="str">
        <f>IFERROR(Tableau3[[#This Row],[Chiffre d''affaires]]/Tableau3[[#This Row],[Salariés]],"")</f>
        <v/>
      </c>
      <c r="AA2382" s="188"/>
      <c r="AB2382" s="188"/>
    </row>
    <row r="2383" spans="1:37" ht="20.25" customHeight="1">
      <c r="A2383" s="217"/>
      <c r="E2383" s="187"/>
      <c r="F2383" s="178">
        <v>2015</v>
      </c>
      <c r="G2383" s="188">
        <v>50387000000</v>
      </c>
      <c r="H2383" s="188">
        <v>14260000000</v>
      </c>
      <c r="I2383" s="188">
        <v>8789000000</v>
      </c>
      <c r="J2383" s="188">
        <v>17783000000</v>
      </c>
      <c r="K2383" s="188"/>
      <c r="L2383" s="188">
        <v>77046000000</v>
      </c>
      <c r="M2383" s="194">
        <f>L2383/P2383</f>
        <v>32.454085930918282</v>
      </c>
      <c r="N2383" s="190">
        <f>J2383/L2383</f>
        <v>0.23081016535576149</v>
      </c>
      <c r="O2383" s="190">
        <f>(I2383*0.64)/(K2383+(M2383*P2383))</f>
        <v>7.3007813514004621E-2</v>
      </c>
      <c r="P2383" s="188">
        <v>2374000000</v>
      </c>
      <c r="Q2383" s="211">
        <f>P2383*E2383</f>
        <v>0</v>
      </c>
      <c r="R2383" s="195">
        <f>Q2383/L2383</f>
        <v>0</v>
      </c>
      <c r="S2383" s="197">
        <f>(Q2383+K2383)/H2383</f>
        <v>0</v>
      </c>
      <c r="T2383" s="180"/>
      <c r="U2383" s="189" t="str">
        <f>IFERROR(IF(Tableau3[[#This Row],[Dettes]]=0,"",(Tableau3[[#This Row],[Dettes]]/Tableau3[[#This Row],[EBE]])),"")</f>
        <v/>
      </c>
      <c r="V2383" s="190">
        <f>IFERROR(Tableau3[[#This Row],[Fonds propres]]/Tableau3[[#This Row],[Total Bilan]],"")</f>
        <v>0.58565173766304846</v>
      </c>
      <c r="W2383" s="180">
        <v>131556000000</v>
      </c>
      <c r="X2383" s="192"/>
      <c r="Y2383" s="180">
        <v>118700</v>
      </c>
      <c r="Z2383" s="192">
        <f>IFERROR(Tableau3[[#This Row],[Chiffre d''affaires]]/Tableau3[[#This Row],[Salariés]],"")</f>
        <v>424490.31171019375</v>
      </c>
      <c r="AA2383" s="188"/>
      <c r="AB2383" s="188"/>
    </row>
    <row r="2384" spans="1:37" ht="20.25" customHeight="1">
      <c r="A2384" s="217"/>
      <c r="E2384" s="187"/>
      <c r="G2384" s="202">
        <f>(G2383/G2385)-1</f>
        <v>-6.0539955998060946E-2</v>
      </c>
      <c r="H2384" s="203">
        <f>(H2383/H2385)-1</f>
        <v>-0.19243402423830558</v>
      </c>
      <c r="I2384" s="203">
        <f>(I2383/I2385)-1</f>
        <v>-0.32267262638717631</v>
      </c>
      <c r="J2384" s="203">
        <f>(J2383/J2385)-1</f>
        <v>0.74172380019588635</v>
      </c>
      <c r="K2384" s="188"/>
      <c r="L2384" s="188"/>
      <c r="M2384" s="188"/>
      <c r="N2384" s="188"/>
      <c r="O2384" s="188"/>
      <c r="P2384" s="188"/>
      <c r="Q2384" s="188"/>
      <c r="R2384" s="188"/>
      <c r="S2384" s="188"/>
      <c r="T2384" s="180"/>
      <c r="U2384" s="189" t="str">
        <f>IFERROR(IF(Tableau3[[#This Row],[Dettes]]=0,"",(Tableau3[[#This Row],[Dettes]]/Tableau3[[#This Row],[EBE]])),"")</f>
        <v/>
      </c>
      <c r="V2384" s="190" t="str">
        <f>IFERROR(Tableau3[[#This Row],[Fonds propres]]/Tableau3[[#This Row],[Total Bilan]],"")</f>
        <v/>
      </c>
      <c r="W2384" s="180"/>
      <c r="X2384" s="192"/>
      <c r="Y2384" s="180"/>
      <c r="Z2384" s="192" t="str">
        <f>IFERROR(Tableau3[[#This Row],[Chiffre d''affaires]]/Tableau3[[#This Row],[Salariés]],"")</f>
        <v/>
      </c>
      <c r="AA2384" s="188"/>
      <c r="AB2384" s="188"/>
    </row>
    <row r="2385" spans="1:29" ht="20.25" customHeight="1">
      <c r="A2385" s="217"/>
      <c r="E2385" s="187"/>
      <c r="F2385" s="178">
        <v>2014</v>
      </c>
      <c r="G2385" s="188">
        <v>53634000000</v>
      </c>
      <c r="H2385" s="188">
        <v>17658000000</v>
      </c>
      <c r="I2385" s="188">
        <v>12976000000</v>
      </c>
      <c r="J2385" s="188">
        <v>10210000000</v>
      </c>
      <c r="K2385" s="188"/>
      <c r="L2385" s="188">
        <v>70766000000</v>
      </c>
      <c r="M2385" s="194">
        <f>L2385/P2385</f>
        <v>29.498124218424344</v>
      </c>
      <c r="N2385" s="190">
        <f>J2385/L2385</f>
        <v>0.1442783257496538</v>
      </c>
      <c r="O2385" s="190">
        <f>(I2385*0.64)/(K2385+(M2385*P2385))</f>
        <v>0.1173535313568663</v>
      </c>
      <c r="P2385" s="188">
        <v>2399000000</v>
      </c>
      <c r="Q2385" s="211">
        <f>P2385*E2385</f>
        <v>0</v>
      </c>
      <c r="R2385" s="195">
        <f>Q2385/L2385</f>
        <v>0</v>
      </c>
      <c r="S2385" s="197">
        <f>(Q2385+K2385)/H2385</f>
        <v>0</v>
      </c>
      <c r="T2385" s="180"/>
      <c r="U2385" s="189" t="str">
        <f>IFERROR(IF(Tableau3[[#This Row],[Dettes]]=0,"",(Tableau3[[#This Row],[Dettes]]/Tableau3[[#This Row],[EBE]])),"")</f>
        <v/>
      </c>
      <c r="V2385" s="190">
        <f>IFERROR(Tableau3[[#This Row],[Fonds propres]]/Tableau3[[#This Row],[Total Bilan]],"")</f>
        <v>0.56438067742269937</v>
      </c>
      <c r="W2385" s="180">
        <v>125387000000</v>
      </c>
      <c r="X2385" s="192"/>
      <c r="Y2385" s="180">
        <v>133413</v>
      </c>
      <c r="Z2385" s="192">
        <f>IFERROR(Tableau3[[#This Row],[Chiffre d''affaires]]/Tableau3[[#This Row],[Salariés]],"")</f>
        <v>402014.79615929484</v>
      </c>
      <c r="AA2385" s="188"/>
      <c r="AB2385" s="188"/>
    </row>
    <row r="2386" spans="1:29" ht="20.25" customHeight="1">
      <c r="A2386" s="217"/>
      <c r="E2386" s="187"/>
      <c r="G2386" s="202">
        <f>(G2385/G2387)-1</f>
        <v>1.7414067835192393E-2</v>
      </c>
      <c r="H2386" s="203">
        <f>(H2385/H2387)-1</f>
        <v>0.110915382195659</v>
      </c>
      <c r="I2386" s="203">
        <f>(I2385/I2387)-1</f>
        <v>0.12932985204525682</v>
      </c>
      <c r="J2386" s="203">
        <f>(J2385/J2387)-1</f>
        <v>0.11280653950953679</v>
      </c>
      <c r="K2386" s="188"/>
      <c r="L2386" s="188"/>
      <c r="M2386" s="188"/>
      <c r="N2386" s="188"/>
      <c r="O2386" s="188"/>
      <c r="P2386" s="188"/>
      <c r="Q2386" s="188"/>
      <c r="R2386" s="188"/>
      <c r="S2386" s="188"/>
      <c r="T2386" s="180"/>
      <c r="U2386" s="189" t="str">
        <f>IFERROR(IF(Tableau3[[#This Row],[Dettes]]=0,"",(Tableau3[[#This Row],[Dettes]]/Tableau3[[#This Row],[EBE]])),"")</f>
        <v/>
      </c>
      <c r="V2386" s="190" t="str">
        <f>IFERROR(Tableau3[[#This Row],[Fonds propres]]/Tableau3[[#This Row],[Total Bilan]],"")</f>
        <v/>
      </c>
      <c r="W2386" s="180"/>
      <c r="X2386" s="192"/>
      <c r="Y2386" s="180"/>
      <c r="Z2386" s="192" t="str">
        <f>IFERROR(Tableau3[[#This Row],[Chiffre d''affaires]]/Tableau3[[#This Row],[Salariés]],"")</f>
        <v/>
      </c>
      <c r="AA2386" s="188"/>
      <c r="AB2386" s="188"/>
    </row>
    <row r="2387" spans="1:29" ht="20.25" customHeight="1">
      <c r="A2387" s="217"/>
      <c r="E2387" s="187"/>
      <c r="F2387" s="178">
        <v>2013</v>
      </c>
      <c r="G2387" s="188">
        <v>52716000000</v>
      </c>
      <c r="H2387" s="188">
        <v>15895000000</v>
      </c>
      <c r="I2387" s="188">
        <v>11490000000</v>
      </c>
      <c r="J2387" s="188">
        <v>9175000000</v>
      </c>
      <c r="K2387" s="188"/>
      <c r="L2387" s="188">
        <v>74343000000</v>
      </c>
      <c r="M2387" s="194">
        <f>L2387/P2387</f>
        <v>30.64427040395713</v>
      </c>
      <c r="N2387" s="190">
        <f>J2387/L2387</f>
        <v>0.1234144438615606</v>
      </c>
      <c r="O2387" s="190">
        <f>(I2387*0.64)/(K2387+(M2387*P2387))</f>
        <v>9.8914490940640004E-2</v>
      </c>
      <c r="P2387" s="188">
        <v>2426000000</v>
      </c>
      <c r="Q2387" s="211">
        <f>P2387*E2387</f>
        <v>0</v>
      </c>
      <c r="R2387" s="195">
        <f>Q2387/L2387</f>
        <v>0</v>
      </c>
      <c r="S2387" s="197">
        <f>(Q2387+K2387)/H2387</f>
        <v>0</v>
      </c>
      <c r="T2387" s="180"/>
      <c r="U2387" s="189" t="str">
        <f>IFERROR(IF(Tableau3[[#This Row],[Dettes]]=0,"",(Tableau3[[#This Row],[Dettes]]/Tableau3[[#This Row],[EBE]])),"")</f>
        <v/>
      </c>
      <c r="V2387" s="190">
        <f>IFERROR(Tableau3[[#This Row],[Fonds propres]]/Tableau3[[#This Row],[Total Bilan]],"")</f>
        <v>0.58883678932944694</v>
      </c>
      <c r="W2387" s="180">
        <v>126254000000</v>
      </c>
      <c r="X2387" s="192"/>
      <c r="Y2387" s="180">
        <v>135696</v>
      </c>
      <c r="Z2387" s="192">
        <f>IFERROR(Tableau3[[#This Row],[Chiffre d''affaires]]/Tableau3[[#This Row],[Salariés]],"")</f>
        <v>388486.02759108593</v>
      </c>
      <c r="AA2387" s="188"/>
      <c r="AB2387" s="188"/>
    </row>
    <row r="2388" spans="1:29" ht="20.25" customHeight="1">
      <c r="A2388" s="217"/>
      <c r="E2388" s="187"/>
      <c r="G2388" s="188"/>
      <c r="H2388" s="188"/>
      <c r="I2388" s="188"/>
      <c r="J2388" s="188"/>
      <c r="K2388" s="188"/>
      <c r="L2388" s="188"/>
      <c r="M2388" s="188"/>
      <c r="N2388" s="188"/>
      <c r="O2388" s="188"/>
      <c r="P2388" s="188"/>
      <c r="Q2388" s="188"/>
      <c r="R2388" s="188"/>
      <c r="S2388" s="188"/>
      <c r="T2388" s="180"/>
      <c r="U2388" s="189" t="str">
        <f>IFERROR(IF(Tableau3[[#This Row],[Dettes]]=0,"",(Tableau3[[#This Row],[Dettes]]/Tableau3[[#This Row],[EBE]])),"")</f>
        <v/>
      </c>
      <c r="V2388" s="190" t="str">
        <f>IFERROR(Tableau3[[#This Row],[Fonds propres]]/Tableau3[[#This Row],[Total Bilan]],"")</f>
        <v/>
      </c>
      <c r="W2388" s="180"/>
      <c r="X2388" s="192"/>
      <c r="Y2388" s="180"/>
      <c r="Z2388" s="192" t="str">
        <f>IFERROR(Tableau3[[#This Row],[Chiffre d''affaires]]/Tableau3[[#This Row],[Salariés]],"")</f>
        <v/>
      </c>
      <c r="AA2388" s="188"/>
      <c r="AB2388" s="188"/>
    </row>
    <row r="2389" spans="1:29" ht="20.25" customHeight="1">
      <c r="A2389" s="217"/>
      <c r="F2389" s="224" t="s">
        <v>1691</v>
      </c>
      <c r="G2389" s="188"/>
      <c r="H2389" s="188"/>
      <c r="I2389" s="188"/>
      <c r="J2389" s="188"/>
      <c r="K2389" s="188"/>
      <c r="L2389" s="188"/>
      <c r="M2389" s="188"/>
      <c r="N2389" s="188"/>
      <c r="O2389" s="188"/>
      <c r="P2389" s="188"/>
      <c r="Q2389" s="188"/>
      <c r="R2389" s="188"/>
      <c r="S2389" s="188"/>
      <c r="T2389" s="180"/>
      <c r="U2389" s="189" t="str">
        <f>IFERROR(IF(Tableau3[[#This Row],[Dettes]]=0,"",(Tableau3[[#This Row],[Dettes]]/Tableau3[[#This Row],[EBE]])),"")</f>
        <v/>
      </c>
      <c r="V2389" s="190" t="str">
        <f>IFERROR(Tableau3[[#This Row],[Fonds propres]]/Tableau3[[#This Row],[Total Bilan]],"")</f>
        <v/>
      </c>
      <c r="W2389" s="180"/>
      <c r="X2389" s="192"/>
      <c r="Y2389" s="180"/>
      <c r="Z2389" s="192" t="str">
        <f>IFERROR(Tableau3[[#This Row],[Chiffre d''affaires]]/Tableau3[[#This Row],[Salariés]],"")</f>
        <v/>
      </c>
      <c r="AA2389" s="188"/>
      <c r="AB2389" s="188"/>
    </row>
    <row r="2390" spans="1:29" ht="20.25" customHeight="1">
      <c r="A2390" s="217"/>
      <c r="E2390" s="187"/>
      <c r="G2390" s="188"/>
      <c r="H2390" s="188"/>
      <c r="I2390" s="188"/>
      <c r="J2390" s="188"/>
      <c r="K2390" s="188"/>
      <c r="L2390" s="188"/>
      <c r="M2390" s="188"/>
      <c r="N2390" s="188"/>
      <c r="O2390" s="188"/>
      <c r="P2390" s="188"/>
      <c r="Q2390" s="188"/>
      <c r="R2390" s="188"/>
      <c r="S2390" s="188"/>
      <c r="T2390" s="180"/>
      <c r="U2390" s="189" t="str">
        <f>IFERROR(IF(Tableau3[[#This Row],[Dettes]]=0,"",(Tableau3[[#This Row],[Dettes]]/Tableau3[[#This Row],[EBE]])),"")</f>
        <v/>
      </c>
      <c r="V2390" s="190" t="str">
        <f>IFERROR(Tableau3[[#This Row],[Fonds propres]]/Tableau3[[#This Row],[Total Bilan]],"")</f>
        <v/>
      </c>
      <c r="W2390" s="180"/>
      <c r="X2390" s="192"/>
      <c r="Y2390" s="180"/>
      <c r="Z2390" s="192" t="str">
        <f>IFERROR(Tableau3[[#This Row],[Chiffre d''affaires]]/Tableau3[[#This Row],[Salariés]],"")</f>
        <v/>
      </c>
      <c r="AA2390" s="188"/>
      <c r="AB2390" s="188"/>
    </row>
    <row r="2391" spans="1:29" ht="20.25" customHeight="1">
      <c r="A2391" s="217" t="s">
        <v>1692</v>
      </c>
      <c r="B2391" s="216" t="s">
        <v>1693</v>
      </c>
      <c r="C2391" s="178" t="s">
        <v>84</v>
      </c>
      <c r="D2391" s="178" t="s">
        <v>85</v>
      </c>
      <c r="E2391" s="187">
        <v>45.65</v>
      </c>
      <c r="F2391" s="178">
        <v>2022</v>
      </c>
      <c r="G2391" s="188">
        <f>G2393*1.04</f>
        <v>1535664000</v>
      </c>
      <c r="H2391" s="188">
        <v>390000000</v>
      </c>
      <c r="I2391" s="188">
        <f>G2391*0.086</f>
        <v>132067103.99999999</v>
      </c>
      <c r="J2391" s="188">
        <v>110000000</v>
      </c>
      <c r="K2391" s="188">
        <v>820000000</v>
      </c>
      <c r="L2391" s="188">
        <v>1350000000</v>
      </c>
      <c r="M2391" s="194">
        <f>L2391/P2391</f>
        <v>58.907483484523389</v>
      </c>
      <c r="N2391" s="190">
        <f>J2391/L2391</f>
        <v>8.1481481481481488E-2</v>
      </c>
      <c r="O2391" s="190">
        <f>(I2391*0.64)/(K2391+(M2391*P2391))</f>
        <v>3.8950666617511516E-2</v>
      </c>
      <c r="P2391" s="188">
        <v>22917292</v>
      </c>
      <c r="Q2391" s="211">
        <f>P2391*E2391</f>
        <v>1046174379.8</v>
      </c>
      <c r="R2391" s="195">
        <f>Q2391/L2391</f>
        <v>0.77494398503703699</v>
      </c>
      <c r="S2391" s="197">
        <f>(Q2391+K2391)/H2391</f>
        <v>4.7850625123076922</v>
      </c>
      <c r="T2391" s="180"/>
      <c r="U2391" s="189">
        <f>IFERROR(IF(Tableau3[[#This Row],[Dettes]]=0,"",(Tableau3[[#This Row],[Dettes]]/Tableau3[[#This Row],[EBE]])),"")</f>
        <v>2.1025641025641026</v>
      </c>
      <c r="V2391" s="190" t="str">
        <f>IFERROR(Tableau3[[#This Row],[Fonds propres]]/Tableau3[[#This Row],[Total Bilan]],"")</f>
        <v/>
      </c>
      <c r="W2391" s="180"/>
      <c r="X2391" s="257"/>
      <c r="Y2391" s="180"/>
      <c r="Z2391" s="192" t="str">
        <f>IFERROR(Tableau3[[#This Row],[Chiffre d''affaires]]/Tableau3[[#This Row],[Salariés]],"")</f>
        <v/>
      </c>
      <c r="AA2391" s="194"/>
      <c r="AB2391" s="194"/>
      <c r="AC2391" s="177" t="s">
        <v>1694</v>
      </c>
    </row>
    <row r="2392" spans="1:29" ht="20.25" customHeight="1">
      <c r="A2392" s="217"/>
      <c r="E2392" s="187"/>
      <c r="G2392" s="202">
        <f>(G2391/G2393)-1</f>
        <v>4.0000000000000036E-2</v>
      </c>
      <c r="H2392" s="203">
        <f>(H2391/H2393)-1</f>
        <v>6.2091503267973858E-2</v>
      </c>
      <c r="I2392" s="203">
        <f>(I2391/I2393)-1</f>
        <v>3.6633469387755024E-2</v>
      </c>
      <c r="J2392" s="203">
        <f>(J2391/J2393)-1</f>
        <v>0.1917659804983749</v>
      </c>
      <c r="K2392" s="188"/>
      <c r="L2392" s="188"/>
      <c r="M2392" s="188"/>
      <c r="N2392" s="188"/>
      <c r="O2392" s="188"/>
      <c r="P2392" s="188"/>
      <c r="Q2392" s="188"/>
      <c r="R2392" s="188"/>
      <c r="S2392" s="188"/>
      <c r="T2392" s="180"/>
      <c r="U2392" s="189" t="str">
        <f>IFERROR(IF(Tableau3[[#This Row],[Dettes]]=0,"",(Tableau3[[#This Row],[Dettes]]/Tableau3[[#This Row],[EBE]])),"")</f>
        <v/>
      </c>
      <c r="V2392" s="190" t="str">
        <f>IFERROR(Tableau3[[#This Row],[Fonds propres]]/Tableau3[[#This Row],[Total Bilan]],"")</f>
        <v/>
      </c>
      <c r="W2392" s="180"/>
      <c r="X2392" s="192"/>
      <c r="Y2392" s="180"/>
      <c r="Z2392" s="192" t="str">
        <f>IFERROR(Tableau3[[#This Row],[Chiffre d''affaires]]/Tableau3[[#This Row],[Salariés]],"")</f>
        <v/>
      </c>
      <c r="AA2392" s="188"/>
      <c r="AB2392" s="188"/>
      <c r="AC2392" s="177" t="s">
        <v>1696</v>
      </c>
    </row>
    <row r="2393" spans="1:29" ht="20.25" customHeight="1">
      <c r="A2393" s="217"/>
      <c r="E2393" s="187">
        <v>53.6</v>
      </c>
      <c r="F2393" s="178">
        <v>2021</v>
      </c>
      <c r="G2393" s="188">
        <v>1476600000</v>
      </c>
      <c r="H2393" s="211">
        <v>367200000</v>
      </c>
      <c r="I2393" s="188">
        <v>127400000</v>
      </c>
      <c r="J2393" s="188">
        <v>92300000</v>
      </c>
      <c r="K2393" s="188">
        <v>867400000</v>
      </c>
      <c r="L2393" s="188">
        <v>1281200000</v>
      </c>
      <c r="M2393" s="194">
        <f>L2393/P2393</f>
        <v>55.905383585460271</v>
      </c>
      <c r="N2393" s="190">
        <f>J2393/L2393</f>
        <v>7.2041835778957231E-2</v>
      </c>
      <c r="O2393" s="190">
        <f>(I2393*0.64)/(K2393+(M2393*P2393))</f>
        <v>3.7948431536814667E-2</v>
      </c>
      <c r="P2393" s="188">
        <v>22917292</v>
      </c>
      <c r="Q2393" s="211">
        <f>P2393*E2393</f>
        <v>1228366851.2</v>
      </c>
      <c r="R2393" s="195">
        <f>Q2393/L2393</f>
        <v>0.95876276241024039</v>
      </c>
      <c r="S2393" s="197">
        <f>(Q2393+K2393)/H2393</f>
        <v>5.7074260653594768</v>
      </c>
      <c r="T2393" s="180"/>
      <c r="U2393" s="189">
        <f>IFERROR(IF(Tableau3[[#This Row],[Dettes]]=0,"",(Tableau3[[#This Row],[Dettes]]/Tableau3[[#This Row],[EBE]])),"")</f>
        <v>2.3622004357298474</v>
      </c>
      <c r="V2393" s="190" t="str">
        <f>IFERROR(Tableau3[[#This Row],[Fonds propres]]/Tableau3[[#This Row],[Total Bilan]],"")</f>
        <v/>
      </c>
      <c r="W2393" s="180"/>
      <c r="X2393" s="257"/>
      <c r="Y2393" s="180"/>
      <c r="Z2393" s="192" t="str">
        <f>IFERROR(Tableau3[[#This Row],[Chiffre d''affaires]]/Tableau3[[#This Row],[Salariés]],"")</f>
        <v/>
      </c>
      <c r="AA2393" s="194"/>
      <c r="AB2393" s="194"/>
      <c r="AC2393" s="177" t="s">
        <v>1697</v>
      </c>
    </row>
    <row r="2394" spans="1:29" ht="20.25" customHeight="1">
      <c r="A2394" s="217"/>
      <c r="E2394" s="187"/>
      <c r="G2394" s="202">
        <f>(G2393/G2395)-1</f>
        <v>2.8846153846153744E-2</v>
      </c>
      <c r="H2394" s="203">
        <f>(H2393/H2395)-1</f>
        <v>5.7299164987042905E-2</v>
      </c>
      <c r="I2394" s="203">
        <f>(I2393/I2395)-1</f>
        <v>0.16029143897996367</v>
      </c>
      <c r="J2394" s="203">
        <f>(J2393/J2395)-1</f>
        <v>0.39425981873111793</v>
      </c>
      <c r="K2394" s="188"/>
      <c r="L2394" s="188"/>
      <c r="M2394" s="188"/>
      <c r="N2394" s="188"/>
      <c r="O2394" s="188"/>
      <c r="P2394" s="188"/>
      <c r="Q2394" s="188"/>
      <c r="R2394" s="188"/>
      <c r="S2394" s="188"/>
      <c r="T2394" s="180"/>
      <c r="U2394" s="189" t="str">
        <f>IFERROR(IF(Tableau3[[#This Row],[Dettes]]=0,"",(Tableau3[[#This Row],[Dettes]]/Tableau3[[#This Row],[EBE]])),"")</f>
        <v/>
      </c>
      <c r="V2394" s="190" t="str">
        <f>IFERROR(Tableau3[[#This Row],[Fonds propres]]/Tableau3[[#This Row],[Total Bilan]],"")</f>
        <v/>
      </c>
      <c r="W2394" s="180"/>
      <c r="X2394" s="192"/>
      <c r="Y2394" s="180"/>
      <c r="Z2394" s="192" t="str">
        <f>IFERROR(Tableau3[[#This Row],[Chiffre d''affaires]]/Tableau3[[#This Row],[Salariés]],"")</f>
        <v/>
      </c>
      <c r="AA2394" s="188"/>
      <c r="AB2394" s="188"/>
      <c r="AC2394" s="177" t="s">
        <v>1698</v>
      </c>
    </row>
    <row r="2395" spans="1:29" ht="20.25" customHeight="1">
      <c r="A2395" s="217"/>
      <c r="E2395" s="178">
        <v>49.3</v>
      </c>
      <c r="F2395" s="178">
        <v>2020</v>
      </c>
      <c r="G2395" s="188">
        <v>1435200000</v>
      </c>
      <c r="H2395" s="211">
        <v>347300000</v>
      </c>
      <c r="I2395" s="188">
        <v>109800000</v>
      </c>
      <c r="J2395" s="188">
        <v>66200000</v>
      </c>
      <c r="K2395" s="188">
        <v>934000000</v>
      </c>
      <c r="L2395" s="188">
        <v>1214800000</v>
      </c>
      <c r="M2395" s="194">
        <f>L2395/P2395</f>
        <v>53.008008101480748</v>
      </c>
      <c r="N2395" s="190">
        <f>J2395/L2395</f>
        <v>5.4494567006914719E-2</v>
      </c>
      <c r="O2395" s="190">
        <f>(I2395*0.64)/(K2395+(M2395*P2395))</f>
        <v>3.2702903946388681E-2</v>
      </c>
      <c r="P2395" s="188">
        <v>22917292</v>
      </c>
      <c r="Q2395" s="211">
        <f>P2395*E2395</f>
        <v>1129822495.5999999</v>
      </c>
      <c r="R2395" s="195">
        <f>Q2395/L2395</f>
        <v>0.93004815245307859</v>
      </c>
      <c r="S2395" s="197">
        <f>(Q2395+K2395)/H2395</f>
        <v>5.9424776723293977</v>
      </c>
      <c r="T2395" s="180"/>
      <c r="U2395" s="189">
        <f>IFERROR(IF(Tableau3[[#This Row],[Dettes]]=0,"",(Tableau3[[#This Row],[Dettes]]/Tableau3[[#This Row],[EBE]])),"")</f>
        <v>2.6893175928591995</v>
      </c>
      <c r="V2395" s="190" t="str">
        <f>IFERROR(Tableau3[[#This Row],[Fonds propres]]/Tableau3[[#This Row],[Total Bilan]],"")</f>
        <v/>
      </c>
      <c r="W2395" s="180"/>
      <c r="X2395" s="257"/>
      <c r="Y2395" s="180"/>
      <c r="Z2395" s="192" t="str">
        <f>IFERROR(Tableau3[[#This Row],[Chiffre d''affaires]]/Tableau3[[#This Row],[Salariés]],"")</f>
        <v/>
      </c>
      <c r="AA2395" s="194"/>
      <c r="AB2395" s="194"/>
      <c r="AC2395" s="177" t="s">
        <v>1699</v>
      </c>
    </row>
    <row r="2396" spans="1:29" ht="20.25" customHeight="1">
      <c r="E2396" s="187"/>
      <c r="G2396" s="202">
        <f>(G2395/G2397)-1</f>
        <v>3.199827425037749E-2</v>
      </c>
      <c r="H2396" s="203">
        <f>(H2395/H2397)-1</f>
        <v>-1.2510662496445835E-2</v>
      </c>
      <c r="I2396" s="203">
        <f>(I2395/I2397)-1</f>
        <v>-1.0810810810810811E-2</v>
      </c>
      <c r="J2396" s="203">
        <f>(J2395/J2397)-1</f>
        <v>-0.10419485791610283</v>
      </c>
      <c r="K2396" s="188"/>
      <c r="L2396" s="188"/>
      <c r="M2396" s="188"/>
      <c r="N2396" s="188"/>
      <c r="O2396" s="188"/>
      <c r="P2396" s="188"/>
      <c r="Q2396" s="188"/>
      <c r="R2396" s="195"/>
      <c r="S2396" s="188"/>
      <c r="T2396" s="180"/>
      <c r="U2396" s="189" t="str">
        <f>IFERROR(IF(Tableau3[[#This Row],[Dettes]]=0,"",(Tableau3[[#This Row],[Dettes]]/Tableau3[[#This Row],[EBE]])),"")</f>
        <v/>
      </c>
      <c r="V2396" s="190" t="str">
        <f>IFERROR(Tableau3[[#This Row],[Fonds propres]]/Tableau3[[#This Row],[Total Bilan]],"")</f>
        <v/>
      </c>
      <c r="W2396" s="180"/>
      <c r="X2396" s="192"/>
      <c r="Y2396" s="180"/>
      <c r="Z2396" s="192" t="str">
        <f>IFERROR(Tableau3[[#This Row],[Chiffre d''affaires]]/Tableau3[[#This Row],[Salariés]],"")</f>
        <v/>
      </c>
      <c r="AA2396" s="188"/>
      <c r="AB2396" s="188"/>
      <c r="AC2396" s="177" t="s">
        <v>1700</v>
      </c>
    </row>
    <row r="2397" spans="1:29" ht="20.25" customHeight="1">
      <c r="A2397" s="217"/>
      <c r="E2397" s="187">
        <v>49.3</v>
      </c>
      <c r="F2397" s="178">
        <v>2019</v>
      </c>
      <c r="G2397" s="188">
        <v>1390700000</v>
      </c>
      <c r="H2397" s="211">
        <v>351700000</v>
      </c>
      <c r="I2397" s="188">
        <v>111000000</v>
      </c>
      <c r="J2397" s="188">
        <v>73900000</v>
      </c>
      <c r="K2397" s="188">
        <v>912000000</v>
      </c>
      <c r="L2397" s="188">
        <v>1235900000</v>
      </c>
      <c r="M2397" s="194">
        <f>L2397/P2397</f>
        <v>59.179553706007624</v>
      </c>
      <c r="N2397" s="190">
        <f>J2397/L2397</f>
        <v>5.979448175418723E-2</v>
      </c>
      <c r="O2397" s="190">
        <f>(I2397*0.64)/(K2397+(M2397*P2397))</f>
        <v>3.3074165463941527E-2</v>
      </c>
      <c r="P2397" s="188">
        <v>20883902</v>
      </c>
      <c r="Q2397" s="211">
        <f>P2397*E2397</f>
        <v>1029576368.5999999</v>
      </c>
      <c r="R2397" s="195">
        <f>Q2397/L2397</f>
        <v>0.83305798899587336</v>
      </c>
      <c r="S2397" s="197">
        <f>(Q2397+K2397)/H2397</f>
        <v>5.5205469678703434</v>
      </c>
      <c r="T2397" s="180"/>
      <c r="U2397" s="189">
        <f>IFERROR(IF(Tableau3[[#This Row],[Dettes]]=0,"",(Tableau3[[#This Row],[Dettes]]/Tableau3[[#This Row],[EBE]])),"")</f>
        <v>2.5931191356269547</v>
      </c>
      <c r="V2397" s="190" t="str">
        <f>IFERROR(Tableau3[[#This Row],[Fonds propres]]/Tableau3[[#This Row],[Total Bilan]],"")</f>
        <v/>
      </c>
      <c r="W2397" s="180"/>
      <c r="X2397" s="257"/>
      <c r="Y2397" s="180"/>
      <c r="Z2397" s="192" t="str">
        <f>IFERROR(Tableau3[[#This Row],[Chiffre d''affaires]]/Tableau3[[#This Row],[Salariés]],"")</f>
        <v/>
      </c>
      <c r="AA2397" s="194"/>
      <c r="AB2397" s="194"/>
      <c r="AC2397" s="177" t="s">
        <v>1701</v>
      </c>
    </row>
    <row r="2398" spans="1:29" ht="20.25" customHeight="1">
      <c r="E2398" s="187"/>
      <c r="G2398" s="202">
        <f>(G2397/G2399)-1</f>
        <v>3.3209509658246761E-2</v>
      </c>
      <c r="H2398" s="203">
        <f>(H2397/H2399)-1</f>
        <v>0.18537243006403781</v>
      </c>
      <c r="I2398" s="203">
        <f>(I2397/I2399)-1</f>
        <v>0.1431513903192585</v>
      </c>
      <c r="J2398" s="203">
        <f>(J2397/J2399)-1</f>
        <v>-2.6990553306343035E-3</v>
      </c>
      <c r="K2398" s="188"/>
      <c r="L2398" s="188"/>
      <c r="M2398" s="188"/>
      <c r="N2398" s="188"/>
      <c r="O2398" s="188"/>
      <c r="P2398" s="188"/>
      <c r="Q2398" s="188"/>
      <c r="R2398" s="195"/>
      <c r="S2398" s="188"/>
      <c r="T2398" s="180"/>
      <c r="U2398" s="189" t="str">
        <f>IFERROR(IF(Tableau3[[#This Row],[Dettes]]=0,"",(Tableau3[[#This Row],[Dettes]]/Tableau3[[#This Row],[EBE]])),"")</f>
        <v/>
      </c>
      <c r="V2398" s="190" t="str">
        <f>IFERROR(Tableau3[[#This Row],[Fonds propres]]/Tableau3[[#This Row],[Total Bilan]],"")</f>
        <v/>
      </c>
      <c r="W2398" s="180"/>
      <c r="X2398" s="192"/>
      <c r="Y2398" s="180"/>
      <c r="Z2398" s="192" t="str">
        <f>IFERROR(Tableau3[[#This Row],[Chiffre d''affaires]]/Tableau3[[#This Row],[Salariés]],"")</f>
        <v/>
      </c>
      <c r="AA2398" s="188"/>
      <c r="AB2398" s="188"/>
      <c r="AC2398" s="177" t="s">
        <v>1702</v>
      </c>
    </row>
    <row r="2399" spans="1:29" ht="20.25" customHeight="1">
      <c r="A2399" s="217"/>
      <c r="E2399" s="187">
        <v>60</v>
      </c>
      <c r="F2399" s="178">
        <v>2018</v>
      </c>
      <c r="G2399" s="188">
        <v>1346000000</v>
      </c>
      <c r="H2399" s="211">
        <v>296700000</v>
      </c>
      <c r="I2399" s="188">
        <v>97100000</v>
      </c>
      <c r="J2399" s="188">
        <v>74100000</v>
      </c>
      <c r="K2399" s="188">
        <v>765900000</v>
      </c>
      <c r="L2399" s="188">
        <v>1195000000</v>
      </c>
      <c r="M2399" s="194">
        <f>L2399/P2399</f>
        <v>57.221107434807919</v>
      </c>
      <c r="N2399" s="190">
        <f>J2399/L2399</f>
        <v>6.2008368200836821E-2</v>
      </c>
      <c r="O2399" s="190">
        <f>(I2399*0.64)/(K2399+(M2399*P2399))</f>
        <v>3.1691570197358354E-2</v>
      </c>
      <c r="P2399" s="188">
        <v>20883902</v>
      </c>
      <c r="Q2399" s="211">
        <f>P2399*E2399</f>
        <v>1253034120</v>
      </c>
      <c r="R2399" s="195">
        <f>Q2399/L2399</f>
        <v>1.0485641171548117</v>
      </c>
      <c r="S2399" s="197">
        <f>(Q2399+K2399)/H2399</f>
        <v>6.8046313447927202</v>
      </c>
      <c r="T2399" s="180"/>
      <c r="U2399" s="189">
        <f>IFERROR(IF(Tableau3[[#This Row],[Dettes]]=0,"",(Tableau3[[#This Row],[Dettes]]/Tableau3[[#This Row],[EBE]])),"")</f>
        <v>2.5813953488372094</v>
      </c>
      <c r="V2399" s="190" t="str">
        <f>IFERROR(Tableau3[[#This Row],[Fonds propres]]/Tableau3[[#This Row],[Total Bilan]],"")</f>
        <v/>
      </c>
      <c r="W2399" s="180"/>
      <c r="X2399" s="257"/>
      <c r="Y2399" s="180"/>
      <c r="Z2399" s="192" t="str">
        <f>IFERROR(Tableau3[[#This Row],[Chiffre d''affaires]]/Tableau3[[#This Row],[Salariés]],"")</f>
        <v/>
      </c>
      <c r="AA2399" s="194"/>
      <c r="AB2399" s="194"/>
      <c r="AC2399" s="177" t="s">
        <v>1703</v>
      </c>
    </row>
    <row r="2400" spans="1:29" ht="20.25" customHeight="1">
      <c r="E2400" s="187"/>
      <c r="G2400" s="202">
        <f>(G2399/G2401)-1</f>
        <v>-4.8090523338048086E-2</v>
      </c>
      <c r="H2400" s="203">
        <f>(H2399/H2401)-1</f>
        <v>-6.2262958280657421E-2</v>
      </c>
      <c r="I2400" s="203">
        <f>(I2399/I2401)-1</f>
        <v>-0.17920540997464074</v>
      </c>
      <c r="J2400" s="203">
        <f>(J2399/J2401)-1</f>
        <v>-0.14729574223245112</v>
      </c>
      <c r="K2400" s="178"/>
      <c r="L2400" s="178"/>
      <c r="M2400" s="178"/>
      <c r="N2400" s="178"/>
      <c r="O2400" s="178"/>
      <c r="P2400" s="178"/>
      <c r="Q2400" s="178"/>
      <c r="R2400" s="195"/>
      <c r="S2400" s="178"/>
      <c r="T2400" s="180"/>
      <c r="U2400" s="189" t="str">
        <f>IFERROR(IF(Tableau3[[#This Row],[Dettes]]=0,"",(Tableau3[[#This Row],[Dettes]]/Tableau3[[#This Row],[EBE]])),"")</f>
        <v/>
      </c>
      <c r="V2400" s="190" t="str">
        <f>IFERROR(Tableau3[[#This Row],[Fonds propres]]/Tableau3[[#This Row],[Total Bilan]],"")</f>
        <v/>
      </c>
      <c r="W2400" s="180"/>
      <c r="X2400" s="257"/>
      <c r="Y2400" s="180"/>
      <c r="Z2400" s="192" t="str">
        <f>IFERROR(Tableau3[[#This Row],[Chiffre d''affaires]]/Tableau3[[#This Row],[Salariés]],"")</f>
        <v/>
      </c>
      <c r="AA2400" s="194"/>
      <c r="AB2400" s="194"/>
      <c r="AC2400" s="177" t="s">
        <v>1704</v>
      </c>
    </row>
    <row r="2401" spans="1:29" ht="20.25" customHeight="1">
      <c r="A2401" s="217"/>
      <c r="E2401" s="187">
        <v>81</v>
      </c>
      <c r="F2401" s="178">
        <v>2017</v>
      </c>
      <c r="G2401" s="188">
        <v>1414000000</v>
      </c>
      <c r="H2401" s="188">
        <v>316400000</v>
      </c>
      <c r="I2401" s="188">
        <v>118300000</v>
      </c>
      <c r="J2401" s="188">
        <v>86900000</v>
      </c>
      <c r="K2401" s="188">
        <v>713900000</v>
      </c>
      <c r="L2401" s="188">
        <v>1196700000</v>
      </c>
      <c r="M2401" s="194">
        <f>L2401/P2401</f>
        <v>57.302509847058275</v>
      </c>
      <c r="N2401" s="190">
        <f>J2401/L2401</f>
        <v>7.2616361661235057E-2</v>
      </c>
      <c r="O2401" s="190">
        <f>(I2401*0.64)/(K2401+(M2401*P2401))</f>
        <v>3.9627342196168744E-2</v>
      </c>
      <c r="P2401" s="188">
        <v>20883902</v>
      </c>
      <c r="Q2401" s="211">
        <f>P2401*E2401</f>
        <v>1691596062</v>
      </c>
      <c r="R2401" s="195">
        <f>Q2401/L2401</f>
        <v>1.4135506492855352</v>
      </c>
      <c r="S2401" s="197">
        <f>(Q2401+K2401)/H2401</f>
        <v>7.6027056321112516</v>
      </c>
      <c r="T2401" s="180"/>
      <c r="U2401" s="189">
        <f>IFERROR(IF(Tableau3[[#This Row],[Dettes]]=0,"",(Tableau3[[#This Row],[Dettes]]/Tableau3[[#This Row],[EBE]])),"")</f>
        <v>2.2563211125158027</v>
      </c>
      <c r="V2401" s="190" t="str">
        <f>IFERROR(Tableau3[[#This Row],[Fonds propres]]/Tableau3[[#This Row],[Total Bilan]],"")</f>
        <v/>
      </c>
      <c r="W2401" s="180"/>
      <c r="X2401" s="257"/>
      <c r="Y2401" s="180"/>
      <c r="Z2401" s="192" t="str">
        <f>IFERROR(Tableau3[[#This Row],[Chiffre d''affaires]]/Tableau3[[#This Row],[Salariés]],"")</f>
        <v/>
      </c>
      <c r="AA2401" s="194"/>
      <c r="AB2401" s="194"/>
      <c r="AC2401" s="177" t="s">
        <v>1705</v>
      </c>
    </row>
    <row r="2402" spans="1:29" ht="20.25" customHeight="1">
      <c r="E2402" s="187"/>
      <c r="G2402" s="202">
        <f>(G2401/G2403)-1</f>
        <v>6.7089276281035337E-2</v>
      </c>
      <c r="H2402" s="203">
        <f>(H2401/H2403)-1</f>
        <v>0.13812949640287764</v>
      </c>
      <c r="I2402" s="203">
        <f>(I2401/I2403)-1</f>
        <v>0.17946161515453629</v>
      </c>
      <c r="J2402" s="203">
        <f>(J2401/J2403)-1</f>
        <v>0.46543001686340646</v>
      </c>
      <c r="K2402" s="188"/>
      <c r="L2402" s="188"/>
      <c r="M2402" s="188"/>
      <c r="N2402" s="188"/>
      <c r="O2402" s="188"/>
      <c r="P2402" s="188"/>
      <c r="Q2402" s="188"/>
      <c r="R2402" s="195"/>
      <c r="S2402" s="188"/>
      <c r="T2402" s="180"/>
      <c r="U2402" s="189" t="str">
        <f>IFERROR(IF(Tableau3[[#This Row],[Dettes]]=0,"",(Tableau3[[#This Row],[Dettes]]/Tableau3[[#This Row],[EBE]])),"")</f>
        <v/>
      </c>
      <c r="V2402" s="190" t="str">
        <f>IFERROR(Tableau3[[#This Row],[Fonds propres]]/Tableau3[[#This Row],[Total Bilan]],"")</f>
        <v/>
      </c>
      <c r="W2402" s="180"/>
      <c r="X2402" s="192"/>
      <c r="Y2402" s="180"/>
      <c r="Z2402" s="192" t="str">
        <f>IFERROR(Tableau3[[#This Row],[Chiffre d''affaires]]/Tableau3[[#This Row],[Salariés]],"")</f>
        <v/>
      </c>
      <c r="AA2402" s="188"/>
      <c r="AB2402" s="188"/>
      <c r="AC2402" s="177" t="s">
        <v>1706</v>
      </c>
    </row>
    <row r="2403" spans="1:29" ht="20.25" customHeight="1">
      <c r="E2403" s="187">
        <v>60.45</v>
      </c>
      <c r="F2403" s="178">
        <v>2016</v>
      </c>
      <c r="G2403" s="188">
        <v>1325100000</v>
      </c>
      <c r="H2403" s="188">
        <v>278000000</v>
      </c>
      <c r="I2403" s="188">
        <v>100300000</v>
      </c>
      <c r="J2403" s="188">
        <v>59300000</v>
      </c>
      <c r="K2403" s="188">
        <v>742300000</v>
      </c>
      <c r="L2403" s="188">
        <v>1151600000</v>
      </c>
      <c r="M2403" s="194">
        <f>L2403/P2403</f>
        <v>55.142951733828284</v>
      </c>
      <c r="N2403" s="190">
        <f>J2403/L2403</f>
        <v>5.1493574157693643E-2</v>
      </c>
      <c r="O2403" s="190">
        <f>(I2403*0.64)/(K2403+(M2403*P2403))</f>
        <v>3.3894080996884735E-2</v>
      </c>
      <c r="P2403" s="188">
        <v>20883902</v>
      </c>
      <c r="Q2403" s="211">
        <f>P2403*E2403</f>
        <v>1262431875.9000001</v>
      </c>
      <c r="R2403" s="195">
        <f>Q2403/L2403</f>
        <v>1.0962416428447379</v>
      </c>
      <c r="S2403" s="197">
        <f>(Q2403+K2403)/H2403</f>
        <v>7.211265740647482</v>
      </c>
      <c r="T2403" s="180"/>
      <c r="U2403" s="189">
        <f>IFERROR(IF(Tableau3[[#This Row],[Dettes]]=0,"",(Tableau3[[#This Row],[Dettes]]/Tableau3[[#This Row],[EBE]])),"")</f>
        <v>2.6701438848920862</v>
      </c>
      <c r="V2403" s="190" t="str">
        <f>IFERROR(Tableau3[[#This Row],[Fonds propres]]/Tableau3[[#This Row],[Total Bilan]],"")</f>
        <v/>
      </c>
      <c r="W2403" s="180"/>
      <c r="X2403" s="257"/>
      <c r="Y2403" s="180"/>
      <c r="Z2403" s="192" t="str">
        <f>IFERROR(Tableau3[[#This Row],[Chiffre d''affaires]]/Tableau3[[#This Row],[Salariés]],"")</f>
        <v/>
      </c>
      <c r="AA2403" s="194"/>
      <c r="AB2403" s="194"/>
      <c r="AC2403" s="177" t="s">
        <v>1707</v>
      </c>
    </row>
    <row r="2404" spans="1:29" ht="20.25" customHeight="1">
      <c r="E2404" s="187"/>
      <c r="G2404" s="188"/>
      <c r="H2404" s="188"/>
      <c r="I2404" s="188"/>
      <c r="J2404" s="188"/>
      <c r="K2404" s="188"/>
      <c r="L2404" s="188"/>
      <c r="M2404" s="188"/>
      <c r="N2404" s="188"/>
      <c r="O2404" s="188"/>
      <c r="P2404" s="188"/>
      <c r="Q2404" s="188"/>
      <c r="R2404" s="195"/>
      <c r="S2404" s="188"/>
      <c r="T2404" s="180"/>
      <c r="U2404" s="189" t="str">
        <f>IFERROR(IF(Tableau3[[#This Row],[Dettes]]=0,"",(Tableau3[[#This Row],[Dettes]]/Tableau3[[#This Row],[EBE]])),"")</f>
        <v/>
      </c>
      <c r="V2404" s="190" t="str">
        <f>IFERROR(Tableau3[[#This Row],[Fonds propres]]/Tableau3[[#This Row],[Total Bilan]],"")</f>
        <v/>
      </c>
      <c r="W2404" s="180"/>
      <c r="X2404" s="192"/>
      <c r="Y2404" s="180"/>
      <c r="Z2404" s="192" t="str">
        <f>IFERROR(Tableau3[[#This Row],[Chiffre d''affaires]]/Tableau3[[#This Row],[Salariés]],"")</f>
        <v/>
      </c>
      <c r="AA2404" s="188"/>
      <c r="AB2404" s="188"/>
      <c r="AC2404" s="177" t="s">
        <v>1708</v>
      </c>
    </row>
    <row r="2405" spans="1:29" ht="20.25" customHeight="1">
      <c r="E2405" s="187">
        <v>65.31</v>
      </c>
      <c r="F2405" s="178">
        <v>2015</v>
      </c>
      <c r="G2405" s="188"/>
      <c r="H2405" s="188"/>
      <c r="I2405" s="188"/>
      <c r="J2405" s="188"/>
      <c r="K2405" s="188"/>
      <c r="L2405" s="188"/>
      <c r="M2405" s="188"/>
      <c r="N2405" s="188"/>
      <c r="O2405" s="188"/>
      <c r="P2405" s="188"/>
      <c r="Q2405" s="211"/>
      <c r="R2405" s="195"/>
      <c r="S2405" s="197"/>
      <c r="T2405" s="180"/>
      <c r="U2405" s="189" t="str">
        <f>IFERROR(IF(Tableau3[[#This Row],[Dettes]]=0,"",(Tableau3[[#This Row],[Dettes]]/Tableau3[[#This Row],[EBE]])),"")</f>
        <v/>
      </c>
      <c r="V2405" s="190" t="str">
        <f>IFERROR(Tableau3[[#This Row],[Fonds propres]]/Tableau3[[#This Row],[Total Bilan]],"")</f>
        <v/>
      </c>
      <c r="W2405" s="180"/>
      <c r="X2405" s="257"/>
      <c r="Y2405" s="180"/>
      <c r="Z2405" s="192" t="str">
        <f>IFERROR(Tableau3[[#This Row],[Chiffre d''affaires]]/Tableau3[[#This Row],[Salariés]],"")</f>
        <v/>
      </c>
      <c r="AA2405" s="194"/>
      <c r="AB2405" s="194"/>
      <c r="AC2405" s="177" t="s">
        <v>1709</v>
      </c>
    </row>
    <row r="2406" spans="1:29" ht="20.25" customHeight="1">
      <c r="E2406" s="187"/>
      <c r="G2406" s="188"/>
      <c r="H2406" s="188"/>
      <c r="I2406" s="188"/>
      <c r="J2406" s="188"/>
      <c r="K2406" s="188"/>
      <c r="L2406" s="188"/>
      <c r="M2406" s="188"/>
      <c r="N2406" s="188"/>
      <c r="O2406" s="188"/>
      <c r="P2406" s="188"/>
      <c r="Q2406" s="188"/>
      <c r="R2406" s="195"/>
      <c r="S2406" s="188"/>
      <c r="T2406" s="180"/>
      <c r="U2406" s="189" t="str">
        <f>IFERROR(IF(Tableau3[[#This Row],[Dettes]]=0,"",(Tableau3[[#This Row],[Dettes]]/Tableau3[[#This Row],[EBE]])),"")</f>
        <v/>
      </c>
      <c r="V2406" s="190" t="str">
        <f>IFERROR(Tableau3[[#This Row],[Fonds propres]]/Tableau3[[#This Row],[Total Bilan]],"")</f>
        <v/>
      </c>
      <c r="W2406" s="180"/>
      <c r="X2406" s="192"/>
      <c r="Y2406" s="180"/>
      <c r="Z2406" s="192" t="str">
        <f>IFERROR(Tableau3[[#This Row],[Chiffre d''affaires]]/Tableau3[[#This Row],[Salariés]],"")</f>
        <v/>
      </c>
      <c r="AA2406" s="188"/>
      <c r="AB2406" s="188"/>
      <c r="AC2406" s="177" t="s">
        <v>1710</v>
      </c>
    </row>
    <row r="2407" spans="1:29" ht="20.25" customHeight="1">
      <c r="E2407" s="187">
        <v>85.25</v>
      </c>
      <c r="F2407" s="178">
        <v>2014</v>
      </c>
      <c r="G2407" s="188"/>
      <c r="H2407" s="188"/>
      <c r="I2407" s="188"/>
      <c r="J2407" s="188"/>
      <c r="K2407" s="188"/>
      <c r="L2407" s="188"/>
      <c r="M2407" s="188"/>
      <c r="N2407" s="188"/>
      <c r="O2407" s="188"/>
      <c r="P2407" s="188"/>
      <c r="Q2407" s="211"/>
      <c r="R2407" s="195"/>
      <c r="S2407" s="197"/>
      <c r="T2407" s="180"/>
      <c r="U2407" s="189" t="str">
        <f>IFERROR(IF(Tableau3[[#This Row],[Dettes]]=0,"",(Tableau3[[#This Row],[Dettes]]/Tableau3[[#This Row],[EBE]])),"")</f>
        <v/>
      </c>
      <c r="V2407" s="190" t="str">
        <f>IFERROR(Tableau3[[#This Row],[Fonds propres]]/Tableau3[[#This Row],[Total Bilan]],"")</f>
        <v/>
      </c>
      <c r="W2407" s="180"/>
      <c r="X2407" s="257"/>
      <c r="Y2407" s="180"/>
      <c r="Z2407" s="192" t="str">
        <f>IFERROR(Tableau3[[#This Row],[Chiffre d''affaires]]/Tableau3[[#This Row],[Salariés]],"")</f>
        <v/>
      </c>
      <c r="AA2407" s="194"/>
      <c r="AB2407" s="194"/>
      <c r="AC2407" s="177" t="s">
        <v>1711</v>
      </c>
    </row>
    <row r="2408" spans="1:29" ht="20.25" customHeight="1">
      <c r="E2408" s="187"/>
      <c r="G2408" s="188"/>
      <c r="H2408" s="188"/>
      <c r="I2408" s="188"/>
      <c r="J2408" s="188"/>
      <c r="K2408" s="188"/>
      <c r="L2408" s="188"/>
      <c r="M2408" s="188"/>
      <c r="N2408" s="188"/>
      <c r="O2408" s="188"/>
      <c r="P2408" s="188"/>
      <c r="Q2408" s="188"/>
      <c r="R2408" s="195"/>
      <c r="S2408" s="188"/>
      <c r="T2408" s="180"/>
      <c r="U2408" s="189" t="str">
        <f>IFERROR(IF(Tableau3[[#This Row],[Dettes]]=0,"",(Tableau3[[#This Row],[Dettes]]/Tableau3[[#This Row],[EBE]])),"")</f>
        <v/>
      </c>
      <c r="V2408" s="190" t="str">
        <f>IFERROR(Tableau3[[#This Row],[Fonds propres]]/Tableau3[[#This Row],[Total Bilan]],"")</f>
        <v/>
      </c>
      <c r="W2408" s="180"/>
      <c r="X2408" s="192"/>
      <c r="Y2408" s="180"/>
      <c r="Z2408" s="192" t="str">
        <f>IFERROR(Tableau3[[#This Row],[Chiffre d''affaires]]/Tableau3[[#This Row],[Salariés]],"")</f>
        <v/>
      </c>
      <c r="AA2408" s="188"/>
      <c r="AB2408" s="188"/>
      <c r="AC2408" s="177" t="s">
        <v>1712</v>
      </c>
    </row>
    <row r="2409" spans="1:29" ht="20.25" customHeight="1">
      <c r="E2409" s="187">
        <v>93</v>
      </c>
      <c r="F2409" s="178">
        <v>2013</v>
      </c>
      <c r="G2409" s="188"/>
      <c r="H2409" s="188"/>
      <c r="I2409" s="188"/>
      <c r="J2409" s="188"/>
      <c r="K2409" s="188"/>
      <c r="L2409" s="188"/>
      <c r="M2409" s="188"/>
      <c r="N2409" s="188"/>
      <c r="O2409" s="188"/>
      <c r="P2409" s="188"/>
      <c r="Q2409" s="211"/>
      <c r="R2409" s="195"/>
      <c r="S2409" s="197"/>
      <c r="T2409" s="180"/>
      <c r="U2409" s="189" t="str">
        <f>IFERROR(IF(Tableau3[[#This Row],[Dettes]]=0,"",(Tableau3[[#This Row],[Dettes]]/Tableau3[[#This Row],[EBE]])),"")</f>
        <v/>
      </c>
      <c r="V2409" s="190" t="str">
        <f>IFERROR(Tableau3[[#This Row],[Fonds propres]]/Tableau3[[#This Row],[Total Bilan]],"")</f>
        <v/>
      </c>
      <c r="W2409" s="180"/>
      <c r="X2409" s="191"/>
      <c r="Y2409" s="180"/>
      <c r="Z2409" s="192" t="str">
        <f>IFERROR(Tableau3[[#This Row],[Chiffre d''affaires]]/Tableau3[[#This Row],[Salariés]],"")</f>
        <v/>
      </c>
      <c r="AA2409" s="197"/>
      <c r="AB2409" s="197"/>
      <c r="AC2409" s="177" t="s">
        <v>1713</v>
      </c>
    </row>
    <row r="2410" spans="1:29" ht="20.25" customHeight="1">
      <c r="G2410" s="188"/>
      <c r="H2410" s="188"/>
      <c r="I2410" s="188"/>
      <c r="J2410" s="188"/>
      <c r="K2410" s="188"/>
      <c r="L2410" s="188"/>
      <c r="M2410" s="188"/>
      <c r="N2410" s="188"/>
      <c r="O2410" s="188"/>
      <c r="P2410" s="188"/>
      <c r="Q2410" s="188"/>
      <c r="R2410" s="195"/>
      <c r="S2410" s="188"/>
      <c r="T2410" s="180"/>
      <c r="U2410" s="189" t="str">
        <f>IFERROR(IF(Tableau3[[#This Row],[Dettes]]=0,"",(Tableau3[[#This Row],[Dettes]]/Tableau3[[#This Row],[EBE]])),"")</f>
        <v/>
      </c>
      <c r="V2410" s="190" t="str">
        <f>IFERROR(Tableau3[[#This Row],[Fonds propres]]/Tableau3[[#This Row],[Total Bilan]],"")</f>
        <v/>
      </c>
      <c r="W2410" s="180"/>
      <c r="X2410" s="192"/>
      <c r="Y2410" s="180"/>
      <c r="Z2410" s="192" t="str">
        <f>IFERROR(Tableau3[[#This Row],[Chiffre d''affaires]]/Tableau3[[#This Row],[Salariés]],"")</f>
        <v/>
      </c>
      <c r="AA2410" s="188"/>
      <c r="AB2410" s="188"/>
      <c r="AC2410" s="177" t="s">
        <v>1714</v>
      </c>
    </row>
    <row r="2411" spans="1:29" ht="20.25" customHeight="1">
      <c r="F2411" s="217" t="s">
        <v>1715</v>
      </c>
      <c r="G2411" s="188"/>
      <c r="H2411" s="188"/>
      <c r="I2411" s="188"/>
      <c r="J2411" s="188"/>
      <c r="K2411" s="188"/>
      <c r="L2411" s="188"/>
      <c r="M2411" s="188"/>
      <c r="N2411" s="188"/>
      <c r="O2411" s="188"/>
      <c r="P2411" s="188"/>
      <c r="Q2411" s="188"/>
      <c r="R2411" s="195"/>
      <c r="S2411" s="188"/>
      <c r="T2411" s="180"/>
      <c r="U2411" s="189" t="str">
        <f>IFERROR(IF(Tableau3[[#This Row],[Dettes]]=0,"",(Tableau3[[#This Row],[Dettes]]/Tableau3[[#This Row],[EBE]])),"")</f>
        <v/>
      </c>
      <c r="V2411" s="190" t="str">
        <f>IFERROR(Tableau3[[#This Row],[Fonds propres]]/Tableau3[[#This Row],[Total Bilan]],"")</f>
        <v/>
      </c>
      <c r="W2411" s="180"/>
      <c r="X2411" s="192"/>
      <c r="Y2411" s="180"/>
      <c r="Z2411" s="192" t="str">
        <f>IFERROR(Tableau3[[#This Row],[Chiffre d''affaires]]/Tableau3[[#This Row],[Salariés]],"")</f>
        <v/>
      </c>
      <c r="AA2411" s="188"/>
      <c r="AB2411" s="188"/>
    </row>
    <row r="2412" spans="1:29" ht="20.25" customHeight="1">
      <c r="F2412" s="234"/>
      <c r="G2412" s="188"/>
      <c r="H2412" s="188"/>
      <c r="I2412" s="188"/>
      <c r="J2412" s="188"/>
      <c r="K2412" s="188"/>
      <c r="L2412" s="188"/>
      <c r="M2412" s="188"/>
      <c r="N2412" s="188"/>
      <c r="O2412" s="188"/>
      <c r="P2412" s="188"/>
      <c r="Q2412" s="188"/>
      <c r="R2412" s="195"/>
      <c r="S2412" s="188"/>
      <c r="T2412" s="180"/>
      <c r="U2412" s="189" t="str">
        <f>IFERROR(IF(Tableau3[[#This Row],[Dettes]]=0,"",(Tableau3[[#This Row],[Dettes]]/Tableau3[[#This Row],[EBE]])),"")</f>
        <v/>
      </c>
      <c r="V2412" s="190" t="str">
        <f>IFERROR(Tableau3[[#This Row],[Fonds propres]]/Tableau3[[#This Row],[Total Bilan]],"")</f>
        <v/>
      </c>
      <c r="W2412" s="180"/>
      <c r="X2412" s="192"/>
      <c r="Y2412" s="180"/>
      <c r="Z2412" s="192" t="str">
        <f>IFERROR(Tableau3[[#This Row],[Chiffre d''affaires]]/Tableau3[[#This Row],[Salariés]],"")</f>
        <v/>
      </c>
      <c r="AA2412" s="188"/>
      <c r="AB2412" s="188"/>
    </row>
    <row r="2413" spans="1:29" ht="20.25" customHeight="1">
      <c r="F2413" s="234"/>
      <c r="G2413" s="188"/>
      <c r="H2413" s="188"/>
      <c r="I2413" s="188"/>
      <c r="J2413" s="188"/>
      <c r="K2413" s="188"/>
      <c r="L2413" s="188"/>
      <c r="M2413" s="188"/>
      <c r="N2413" s="188"/>
      <c r="O2413" s="188"/>
      <c r="P2413" s="188"/>
      <c r="Q2413" s="188"/>
      <c r="R2413" s="195"/>
      <c r="S2413" s="188"/>
      <c r="T2413" s="180"/>
      <c r="U2413" s="189" t="str">
        <f>IFERROR(IF(Tableau3[[#This Row],[Dettes]]=0,"",(Tableau3[[#This Row],[Dettes]]/Tableau3[[#This Row],[EBE]])),"")</f>
        <v/>
      </c>
      <c r="V2413" s="190" t="str">
        <f>IFERROR(Tableau3[[#This Row],[Fonds propres]]/Tableau3[[#This Row],[Total Bilan]],"")</f>
        <v/>
      </c>
      <c r="W2413" s="180"/>
      <c r="X2413" s="192"/>
      <c r="Y2413" s="180"/>
      <c r="Z2413" s="192" t="str">
        <f>IFERROR(Tableau3[[#This Row],[Chiffre d''affaires]]/Tableau3[[#This Row],[Salariés]],"")</f>
        <v/>
      </c>
      <c r="AA2413" s="188"/>
      <c r="AB2413" s="188"/>
    </row>
    <row r="2414" spans="1:29" ht="20.25" customHeight="1">
      <c r="A2414" s="217" t="s">
        <v>1716</v>
      </c>
      <c r="B2414" s="216" t="s">
        <v>1717</v>
      </c>
      <c r="C2414" s="178" t="s">
        <v>84</v>
      </c>
      <c r="D2414" s="178" t="s">
        <v>85</v>
      </c>
      <c r="E2414" s="178">
        <v>59.2</v>
      </c>
      <c r="F2414" s="178">
        <v>2021</v>
      </c>
      <c r="G2414" s="188"/>
      <c r="H2414" s="188"/>
      <c r="I2414" s="188"/>
      <c r="J2414" s="188"/>
      <c r="K2414" s="188"/>
      <c r="L2414" s="188"/>
      <c r="M2414" s="188"/>
      <c r="N2414" s="188"/>
      <c r="O2414" s="188"/>
      <c r="P2414" s="226">
        <v>240436984</v>
      </c>
      <c r="Q2414" s="211">
        <f>P2414*E2414</f>
        <v>14233869452.800001</v>
      </c>
      <c r="R2414" s="195"/>
      <c r="S2414" s="197"/>
      <c r="T2414" s="180"/>
      <c r="U2414" s="189" t="str">
        <f>IFERROR(IF(Tableau3[[#This Row],[Dettes]]=0,"",(Tableau3[[#This Row],[Dettes]]/Tableau3[[#This Row],[EBE]])),"")</f>
        <v/>
      </c>
      <c r="V2414" s="190" t="str">
        <f>IFERROR(Tableau3[[#This Row],[Fonds propres]]/Tableau3[[#This Row],[Total Bilan]],"")</f>
        <v/>
      </c>
      <c r="W2414" s="180"/>
      <c r="X2414" s="192"/>
      <c r="Y2414" s="180"/>
      <c r="Z2414" s="192" t="str">
        <f>IFERROR(Tableau3[[#This Row],[Chiffre d''affaires]]/Tableau3[[#This Row],[Salariés]],"")</f>
        <v/>
      </c>
      <c r="AA2414" s="188"/>
      <c r="AB2414" s="188"/>
      <c r="AC2414" s="177" t="s">
        <v>1718</v>
      </c>
    </row>
    <row r="2415" spans="1:29" ht="20.25" customHeight="1">
      <c r="G2415" s="188"/>
      <c r="H2415" s="188"/>
      <c r="I2415" s="188"/>
      <c r="J2415" s="188"/>
      <c r="K2415" s="188"/>
      <c r="L2415" s="188"/>
      <c r="M2415" s="188"/>
      <c r="N2415" s="188"/>
      <c r="O2415" s="188"/>
      <c r="P2415" s="188"/>
      <c r="Q2415" s="188"/>
      <c r="R2415" s="195"/>
      <c r="S2415" s="188"/>
      <c r="T2415" s="180"/>
      <c r="U2415" s="189" t="str">
        <f>IFERROR(IF(Tableau3[[#This Row],[Dettes]]=0,"",(Tableau3[[#This Row],[Dettes]]/Tableau3[[#This Row],[EBE]])),"")</f>
        <v/>
      </c>
      <c r="V2415" s="190" t="str">
        <f>IFERROR(Tableau3[[#This Row],[Fonds propres]]/Tableau3[[#This Row],[Total Bilan]],"")</f>
        <v/>
      </c>
      <c r="W2415" s="180"/>
      <c r="X2415" s="192"/>
      <c r="Y2415" s="180"/>
      <c r="Z2415" s="192" t="str">
        <f>IFERROR(Tableau3[[#This Row],[Chiffre d''affaires]]/Tableau3[[#This Row],[Salariés]],"")</f>
        <v/>
      </c>
      <c r="AA2415" s="188"/>
      <c r="AB2415" s="188"/>
      <c r="AC2415" s="177" t="s">
        <v>1720</v>
      </c>
    </row>
    <row r="2416" spans="1:29" ht="20.25" customHeight="1">
      <c r="A2416" s="217"/>
      <c r="E2416" s="187">
        <v>40.76</v>
      </c>
      <c r="F2416" s="178">
        <v>2019</v>
      </c>
      <c r="G2416" s="188">
        <v>9700000000</v>
      </c>
      <c r="H2416" s="188">
        <f>H2418</f>
        <v>2049000000</v>
      </c>
      <c r="I2416" s="188">
        <v>1350000000</v>
      </c>
      <c r="J2416" s="188">
        <v>930000000</v>
      </c>
      <c r="K2416" s="188">
        <v>4500000000</v>
      </c>
      <c r="L2416" s="188">
        <v>7200000000</v>
      </c>
      <c r="M2416" s="194">
        <f>L2416/P2416</f>
        <v>29.945476274981058</v>
      </c>
      <c r="N2416" s="190">
        <f>J2416/L2416</f>
        <v>0.12916666666666668</v>
      </c>
      <c r="O2416" s="190">
        <f>(I2416*0.64)/(K2416+(M2416*P2416))</f>
        <v>7.3846153846153853E-2</v>
      </c>
      <c r="P2416" s="226">
        <v>240436984</v>
      </c>
      <c r="Q2416" s="211">
        <f>P2416*E2416</f>
        <v>9800211467.8400002</v>
      </c>
      <c r="R2416" s="195">
        <f>Q2416/L2416</f>
        <v>1.3611404816444446</v>
      </c>
      <c r="S2416" s="197">
        <f>(Q2416+K2416)/H2416</f>
        <v>6.9791173586334798</v>
      </c>
      <c r="T2416" s="180"/>
      <c r="U2416" s="189">
        <f>IFERROR(IF(Tableau3[[#This Row],[Dettes]]=0,"",(Tableau3[[#This Row],[Dettes]]/Tableau3[[#This Row],[EBE]])),"")</f>
        <v>2.1961932650073206</v>
      </c>
      <c r="V2416" s="190" t="str">
        <f>IFERROR(Tableau3[[#This Row],[Fonds propres]]/Tableau3[[#This Row],[Total Bilan]],"")</f>
        <v/>
      </c>
      <c r="W2416" s="180"/>
      <c r="X2416" s="191"/>
      <c r="Y2416" s="180"/>
      <c r="Z2416" s="192" t="str">
        <f>IFERROR(Tableau3[[#This Row],[Chiffre d''affaires]]/Tableau3[[#This Row],[Salariés]],"")</f>
        <v/>
      </c>
      <c r="AA2416" s="197"/>
      <c r="AB2416" s="197"/>
      <c r="AC2416" s="177" t="s">
        <v>1721</v>
      </c>
    </row>
    <row r="2417" spans="1:29" ht="20.25" customHeight="1">
      <c r="E2417" s="187"/>
      <c r="G2417" s="202">
        <f>(G2416/G2418)-1</f>
        <v>8.1502954621474055E-2</v>
      </c>
      <c r="H2417" s="203">
        <f>(H2416/H2418)-1</f>
        <v>0</v>
      </c>
      <c r="I2417" s="203">
        <f>(I2416/I2418)-1</f>
        <v>3.6070606293169716E-2</v>
      </c>
      <c r="J2417" s="203">
        <f>(J2411/J2416)-1</f>
        <v>-1</v>
      </c>
      <c r="K2417" s="188"/>
      <c r="L2417" s="188"/>
      <c r="M2417" s="188"/>
      <c r="N2417" s="188"/>
      <c r="O2417" s="188"/>
      <c r="P2417" s="188"/>
      <c r="Q2417" s="188"/>
      <c r="R2417" s="195"/>
      <c r="S2417" s="188"/>
      <c r="T2417" s="180"/>
      <c r="U2417" s="189" t="str">
        <f>IFERROR(IF(Tableau3[[#This Row],[Dettes]]=0,"",(Tableau3[[#This Row],[Dettes]]/Tableau3[[#This Row],[EBE]])),"")</f>
        <v/>
      </c>
      <c r="V2417" s="190" t="str">
        <f>IFERROR(Tableau3[[#This Row],[Fonds propres]]/Tableau3[[#This Row],[Total Bilan]],"")</f>
        <v/>
      </c>
      <c r="W2417" s="180"/>
      <c r="X2417" s="192"/>
      <c r="Y2417" s="180"/>
      <c r="Z2417" s="192" t="str">
        <f>IFERROR(Tableau3[[#This Row],[Chiffre d''affaires]]/Tableau3[[#This Row],[Salariés]],"")</f>
        <v/>
      </c>
      <c r="AA2417" s="188"/>
      <c r="AB2417" s="188"/>
      <c r="AC2417" s="177" t="s">
        <v>1722</v>
      </c>
    </row>
    <row r="2418" spans="1:29" ht="20.25" customHeight="1">
      <c r="E2418" s="187">
        <v>45</v>
      </c>
      <c r="F2418" s="178">
        <v>2018</v>
      </c>
      <c r="G2418" s="188">
        <v>8969000000</v>
      </c>
      <c r="H2418" s="211">
        <v>2049000000</v>
      </c>
      <c r="I2418" s="188">
        <v>1303000000</v>
      </c>
      <c r="J2418" s="188">
        <v>919000000</v>
      </c>
      <c r="K2418" s="188">
        <v>-288000000</v>
      </c>
      <c r="L2418" s="188">
        <v>6853000000</v>
      </c>
      <c r="M2418" s="194">
        <f>L2418/P2418</f>
        <v>29.215859379707531</v>
      </c>
      <c r="N2418" s="190">
        <f>J2418/L2418</f>
        <v>0.1341018532029768</v>
      </c>
      <c r="O2418" s="190">
        <f>(I2418*0.64)/(K2418+(M2418*P2418))</f>
        <v>0.12702513328255902</v>
      </c>
      <c r="P2418" s="226">
        <v>234564382</v>
      </c>
      <c r="Q2418" s="211">
        <f>P2418*E2418</f>
        <v>10555397190</v>
      </c>
      <c r="R2418" s="195">
        <f>Q2418/L2418</f>
        <v>1.5402593302203416</v>
      </c>
      <c r="S2418" s="197">
        <f>(Q2418+K2418)/H2418</f>
        <v>5.0109307906295752</v>
      </c>
      <c r="T2418" s="180"/>
      <c r="U2418" s="189">
        <f>IFERROR(IF(Tableau3[[#This Row],[Dettes]]=0,"",(Tableau3[[#This Row],[Dettes]]/Tableau3[[#This Row],[EBE]])),"")</f>
        <v>-0.14055636896046853</v>
      </c>
      <c r="V2418" s="190" t="str">
        <f>IFERROR(Tableau3[[#This Row],[Fonds propres]]/Tableau3[[#This Row],[Total Bilan]],"")</f>
        <v/>
      </c>
      <c r="W2418" s="180"/>
      <c r="X2418" s="191"/>
      <c r="Y2418" s="180"/>
      <c r="Z2418" s="192" t="str">
        <f>IFERROR(Tableau3[[#This Row],[Chiffre d''affaires]]/Tableau3[[#This Row],[Salariés]],"")</f>
        <v/>
      </c>
      <c r="AA2418" s="197"/>
      <c r="AB2418" s="197"/>
      <c r="AC2418" s="177" t="s">
        <v>1723</v>
      </c>
    </row>
    <row r="2419" spans="1:29" ht="20.25" customHeight="1">
      <c r="E2419" s="187"/>
      <c r="G2419" s="202">
        <f>(G2418/G2420)-1</f>
        <v>-7.8495838898592463E-2</v>
      </c>
      <c r="H2419" s="203">
        <f>(H2418/H2420)-1</f>
        <v>0.21819262782401894</v>
      </c>
      <c r="I2419" s="203">
        <f>(I2418/I2420)-1</f>
        <v>-9.8784194528875879E-3</v>
      </c>
      <c r="J2419" s="203">
        <f>(J2416/J2418)-1</f>
        <v>1.196953210010876E-2</v>
      </c>
      <c r="K2419" s="178"/>
      <c r="L2419" s="178"/>
      <c r="M2419" s="178"/>
      <c r="N2419" s="178"/>
      <c r="O2419" s="178"/>
      <c r="P2419" s="178"/>
      <c r="Q2419" s="178"/>
      <c r="R2419" s="195"/>
      <c r="S2419" s="178"/>
      <c r="T2419" s="180"/>
      <c r="U2419" s="189" t="str">
        <f>IFERROR(IF(Tableau3[[#This Row],[Dettes]]=0,"",(Tableau3[[#This Row],[Dettes]]/Tableau3[[#This Row],[EBE]])),"")</f>
        <v/>
      </c>
      <c r="V2419" s="190" t="str">
        <f>IFERROR(Tableau3[[#This Row],[Fonds propres]]/Tableau3[[#This Row],[Total Bilan]],"")</f>
        <v/>
      </c>
      <c r="W2419" s="180"/>
      <c r="Y2419" s="180"/>
      <c r="Z2419" s="192" t="str">
        <f>IFERROR(Tableau3[[#This Row],[Chiffre d''affaires]]/Tableau3[[#This Row],[Salariés]],"")</f>
        <v/>
      </c>
      <c r="AA2419" s="177"/>
      <c r="AC2419" s="177" t="s">
        <v>1724</v>
      </c>
    </row>
    <row r="2420" spans="1:29" ht="20.25" customHeight="1">
      <c r="A2420" s="217"/>
      <c r="E2420" s="187">
        <v>55</v>
      </c>
      <c r="F2420" s="178">
        <v>2017</v>
      </c>
      <c r="G2420" s="188">
        <v>9733000000</v>
      </c>
      <c r="H2420" s="188">
        <v>1682000000</v>
      </c>
      <c r="I2420" s="188">
        <v>1316000000</v>
      </c>
      <c r="J2420" s="188">
        <v>862000000</v>
      </c>
      <c r="K2420" s="188">
        <v>727000000</v>
      </c>
      <c r="L2420" s="188">
        <v>5956000000</v>
      </c>
      <c r="M2420" s="194">
        <f>L2420/P2420</f>
        <v>25.820035617603331</v>
      </c>
      <c r="N2420" s="190">
        <f>J2420/L2420</f>
        <v>0.14472800537273336</v>
      </c>
      <c r="O2420" s="190">
        <f>(I2420*0.64)/(K2420+(M2420*P2420))</f>
        <v>0.12602723327846777</v>
      </c>
      <c r="P2420" s="226">
        <v>230673578</v>
      </c>
      <c r="Q2420" s="211">
        <f>P2420*E2420</f>
        <v>12687046790</v>
      </c>
      <c r="R2420" s="195">
        <f>Q2420/L2420</f>
        <v>2.1301287424445938</v>
      </c>
      <c r="S2420" s="197">
        <f>(Q2420+K2420)/H2420</f>
        <v>7.9750575445897738</v>
      </c>
      <c r="T2420" s="180"/>
      <c r="U2420" s="189">
        <f>IFERROR(IF(Tableau3[[#This Row],[Dettes]]=0,"",(Tableau3[[#This Row],[Dettes]]/Tableau3[[#This Row],[EBE]])),"")</f>
        <v>0.43222354340071345</v>
      </c>
      <c r="V2420" s="190" t="str">
        <f>IFERROR(Tableau3[[#This Row],[Fonds propres]]/Tableau3[[#This Row],[Total Bilan]],"")</f>
        <v/>
      </c>
      <c r="W2420" s="180"/>
      <c r="X2420" s="191"/>
      <c r="Y2420" s="180"/>
      <c r="Z2420" s="192" t="str">
        <f>IFERROR(Tableau3[[#This Row],[Chiffre d''affaires]]/Tableau3[[#This Row],[Salariés]],"")</f>
        <v/>
      </c>
      <c r="AA2420" s="197"/>
      <c r="AB2420" s="197"/>
      <c r="AC2420" s="177" t="s">
        <v>1725</v>
      </c>
    </row>
    <row r="2421" spans="1:29" ht="20.25" customHeight="1">
      <c r="E2421" s="187"/>
      <c r="G2421" s="202">
        <f>(G2420/G2422)-1</f>
        <v>0</v>
      </c>
      <c r="H2421" s="203">
        <f>(H2420/H2422)-1</f>
        <v>0</v>
      </c>
      <c r="I2421" s="203">
        <f>(I2420/I2422)-1</f>
        <v>1.2307692307692353E-2</v>
      </c>
      <c r="J2421" s="203">
        <f>(J2418/J2420)-1</f>
        <v>6.6125290023201888E-2</v>
      </c>
      <c r="K2421" s="188"/>
      <c r="L2421" s="188"/>
      <c r="M2421" s="178"/>
      <c r="N2421" s="178"/>
      <c r="O2421" s="178"/>
      <c r="P2421" s="178"/>
      <c r="Q2421" s="178"/>
      <c r="R2421" s="195"/>
      <c r="S2421" s="178"/>
      <c r="T2421" s="180"/>
      <c r="U2421" s="189" t="str">
        <f>IFERROR(IF(Tableau3[[#This Row],[Dettes]]=0,"",(Tableau3[[#This Row],[Dettes]]/Tableau3[[#This Row],[EBE]])),"")</f>
        <v/>
      </c>
      <c r="V2421" s="190" t="str">
        <f>IFERROR(Tableau3[[#This Row],[Fonds propres]]/Tableau3[[#This Row],[Total Bilan]],"")</f>
        <v/>
      </c>
      <c r="W2421" s="180"/>
      <c r="Y2421" s="180"/>
      <c r="Z2421" s="192" t="str">
        <f>IFERROR(Tableau3[[#This Row],[Chiffre d''affaires]]/Tableau3[[#This Row],[Salariés]],"")</f>
        <v/>
      </c>
      <c r="AA2421" s="177"/>
      <c r="AC2421" s="177" t="s">
        <v>1726</v>
      </c>
    </row>
    <row r="2422" spans="1:29" ht="20.25" customHeight="1">
      <c r="A2422" s="217"/>
      <c r="E2422" s="187">
        <v>67.05</v>
      </c>
      <c r="F2422" s="178">
        <v>2016</v>
      </c>
      <c r="G2422" s="188">
        <v>9733000000</v>
      </c>
      <c r="H2422" s="188">
        <v>1682000000</v>
      </c>
      <c r="I2422" s="188">
        <v>1300000000</v>
      </c>
      <c r="J2422" s="178"/>
      <c r="K2422" s="188">
        <v>1244000000</v>
      </c>
      <c r="L2422" s="188">
        <v>6218668620</v>
      </c>
      <c r="M2422" s="178"/>
      <c r="N2422" s="178"/>
      <c r="O2422" s="178"/>
      <c r="P2422" s="226">
        <v>225367784</v>
      </c>
      <c r="Q2422" s="211">
        <f>P2422*E2422</f>
        <v>15110909917.199999</v>
      </c>
      <c r="R2422" s="195">
        <f>Q2422/L2422</f>
        <v>2.4299268606469013</v>
      </c>
      <c r="S2422" s="197">
        <f>(Q2422+K2422)/H2422</f>
        <v>9.7234898437574309</v>
      </c>
      <c r="T2422" s="180"/>
      <c r="U2422" s="189">
        <f>IFERROR(IF(Tableau3[[#This Row],[Dettes]]=0,"",(Tableau3[[#This Row],[Dettes]]/Tableau3[[#This Row],[EBE]])),"")</f>
        <v>0.73959571938168844</v>
      </c>
      <c r="V2422" s="190" t="str">
        <f>IFERROR(Tableau3[[#This Row],[Fonds propres]]/Tableau3[[#This Row],[Total Bilan]],"")</f>
        <v/>
      </c>
      <c r="W2422" s="180"/>
      <c r="X2422" s="191"/>
      <c r="Y2422" s="180"/>
      <c r="Z2422" s="192" t="str">
        <f>IFERROR(Tableau3[[#This Row],[Chiffre d''affaires]]/Tableau3[[#This Row],[Salariés]],"")</f>
        <v/>
      </c>
      <c r="AA2422" s="197"/>
      <c r="AB2422" s="197"/>
      <c r="AC2422" s="177" t="s">
        <v>1727</v>
      </c>
    </row>
    <row r="2423" spans="1:29" ht="20.25" customHeight="1">
      <c r="E2423" s="187"/>
      <c r="G2423" s="188"/>
      <c r="H2423" s="188"/>
      <c r="I2423" s="188"/>
      <c r="J2423" s="188"/>
      <c r="K2423" s="188"/>
      <c r="L2423" s="188"/>
      <c r="M2423" s="178"/>
      <c r="N2423" s="178"/>
      <c r="O2423" s="178"/>
      <c r="P2423" s="178"/>
      <c r="Q2423" s="178"/>
      <c r="R2423" s="195"/>
      <c r="S2423" s="178"/>
      <c r="T2423" s="180"/>
      <c r="U2423" s="189" t="str">
        <f>IFERROR(IF(Tableau3[[#This Row],[Dettes]]=0,"",(Tableau3[[#This Row],[Dettes]]/Tableau3[[#This Row],[EBE]])),"")</f>
        <v/>
      </c>
      <c r="V2423" s="190" t="str">
        <f>IFERROR(Tableau3[[#This Row],[Fonds propres]]/Tableau3[[#This Row],[Total Bilan]],"")</f>
        <v/>
      </c>
      <c r="W2423" s="180"/>
      <c r="Y2423" s="180"/>
      <c r="Z2423" s="192" t="str">
        <f>IFERROR(Tableau3[[#This Row],[Chiffre d''affaires]]/Tableau3[[#This Row],[Salariés]],"")</f>
        <v/>
      </c>
      <c r="AA2423" s="177"/>
    </row>
    <row r="2424" spans="1:29" ht="20.25" customHeight="1">
      <c r="E2424" s="187">
        <v>59</v>
      </c>
      <c r="F2424" s="178">
        <v>2015</v>
      </c>
      <c r="G2424" s="188"/>
      <c r="H2424" s="188"/>
      <c r="I2424" s="188"/>
      <c r="J2424" s="188"/>
      <c r="K2424" s="188"/>
      <c r="L2424" s="188"/>
      <c r="M2424" s="178"/>
      <c r="N2424" s="178"/>
      <c r="O2424" s="178"/>
      <c r="P2424" s="226">
        <v>222540740</v>
      </c>
      <c r="Q2424" s="211">
        <f>P2424*E2424</f>
        <v>13129903660</v>
      </c>
      <c r="R2424" s="195"/>
      <c r="S2424" s="178"/>
      <c r="T2424" s="180"/>
      <c r="U2424" s="189" t="str">
        <f>IFERROR(IF(Tableau3[[#This Row],[Dettes]]=0,"",(Tableau3[[#This Row],[Dettes]]/Tableau3[[#This Row],[EBE]])),"")</f>
        <v/>
      </c>
      <c r="V2424" s="190" t="str">
        <f>IFERROR(Tableau3[[#This Row],[Fonds propres]]/Tableau3[[#This Row],[Total Bilan]],"")</f>
        <v/>
      </c>
      <c r="W2424" s="180"/>
      <c r="Y2424" s="180"/>
      <c r="Z2424" s="192" t="str">
        <f>IFERROR(Tableau3[[#This Row],[Chiffre d''affaires]]/Tableau3[[#This Row],[Salariés]],"")</f>
        <v/>
      </c>
      <c r="AA2424" s="177"/>
    </row>
    <row r="2425" spans="1:29" ht="20.25" customHeight="1">
      <c r="E2425" s="187"/>
      <c r="G2425" s="188"/>
      <c r="H2425" s="188"/>
      <c r="I2425" s="188"/>
      <c r="J2425" s="188"/>
      <c r="K2425" s="188"/>
      <c r="L2425" s="188"/>
      <c r="M2425" s="178"/>
      <c r="N2425" s="178"/>
      <c r="O2425" s="178"/>
      <c r="P2425" s="178"/>
      <c r="Q2425" s="178"/>
      <c r="R2425" s="195"/>
      <c r="S2425" s="178"/>
      <c r="T2425" s="180"/>
      <c r="U2425" s="189" t="str">
        <f>IFERROR(IF(Tableau3[[#This Row],[Dettes]]=0,"",(Tableau3[[#This Row],[Dettes]]/Tableau3[[#This Row],[EBE]])),"")</f>
        <v/>
      </c>
      <c r="V2425" s="190" t="str">
        <f>IFERROR(Tableau3[[#This Row],[Fonds propres]]/Tableau3[[#This Row],[Total Bilan]],"")</f>
        <v/>
      </c>
      <c r="W2425" s="180"/>
      <c r="Y2425" s="180"/>
      <c r="Z2425" s="192" t="str">
        <f>IFERROR(Tableau3[[#This Row],[Chiffre d''affaires]]/Tableau3[[#This Row],[Salariés]],"")</f>
        <v/>
      </c>
      <c r="AA2425" s="177"/>
    </row>
    <row r="2426" spans="1:29" ht="20.25" customHeight="1">
      <c r="E2426" s="187">
        <v>59.9</v>
      </c>
      <c r="F2426" s="178">
        <v>2014</v>
      </c>
      <c r="G2426" s="188"/>
      <c r="H2426" s="188"/>
      <c r="I2426" s="188"/>
      <c r="J2426" s="188"/>
      <c r="K2426" s="188"/>
      <c r="L2426" s="188"/>
      <c r="M2426" s="178"/>
      <c r="N2426" s="178"/>
      <c r="O2426" s="178"/>
      <c r="P2426" s="226">
        <v>221203857</v>
      </c>
      <c r="Q2426" s="211">
        <f>P2426*E2426</f>
        <v>13250111034.299999</v>
      </c>
      <c r="R2426" s="195"/>
      <c r="S2426" s="178"/>
      <c r="T2426" s="180"/>
      <c r="U2426" s="189" t="str">
        <f>IFERROR(IF(Tableau3[[#This Row],[Dettes]]=0,"",(Tableau3[[#This Row],[Dettes]]/Tableau3[[#This Row],[EBE]])),"")</f>
        <v/>
      </c>
      <c r="V2426" s="190" t="str">
        <f>IFERROR(Tableau3[[#This Row],[Fonds propres]]/Tableau3[[#This Row],[Total Bilan]],"")</f>
        <v/>
      </c>
      <c r="W2426" s="180"/>
      <c r="Y2426" s="180"/>
      <c r="Z2426" s="192" t="str">
        <f>IFERROR(Tableau3[[#This Row],[Chiffre d''affaires]]/Tableau3[[#This Row],[Salariés]],"")</f>
        <v/>
      </c>
      <c r="AA2426" s="177"/>
    </row>
    <row r="2427" spans="1:29" ht="20.25" customHeight="1">
      <c r="E2427" s="187"/>
      <c r="G2427" s="188"/>
      <c r="H2427" s="188"/>
      <c r="I2427" s="188"/>
      <c r="J2427" s="188"/>
      <c r="K2427" s="188"/>
      <c r="L2427" s="188"/>
      <c r="M2427" s="178"/>
      <c r="N2427" s="178"/>
      <c r="O2427" s="178"/>
      <c r="P2427" s="178"/>
      <c r="Q2427" s="178"/>
      <c r="R2427" s="195"/>
      <c r="S2427" s="178"/>
      <c r="T2427" s="180"/>
      <c r="U2427" s="189" t="str">
        <f>IFERROR(IF(Tableau3[[#This Row],[Dettes]]=0,"",(Tableau3[[#This Row],[Dettes]]/Tableau3[[#This Row],[EBE]])),"")</f>
        <v/>
      </c>
      <c r="V2427" s="190" t="str">
        <f>IFERROR(Tableau3[[#This Row],[Fonds propres]]/Tableau3[[#This Row],[Total Bilan]],"")</f>
        <v/>
      </c>
      <c r="W2427" s="180"/>
      <c r="Y2427" s="180"/>
      <c r="Z2427" s="192" t="str">
        <f>IFERROR(Tableau3[[#This Row],[Chiffre d''affaires]]/Tableau3[[#This Row],[Salariés]],"")</f>
        <v/>
      </c>
      <c r="AA2427" s="177"/>
    </row>
    <row r="2428" spans="1:29" ht="20.25" customHeight="1">
      <c r="E2428" s="187">
        <v>65.7</v>
      </c>
      <c r="F2428" s="178">
        <v>2013</v>
      </c>
      <c r="G2428" s="188"/>
      <c r="H2428" s="188"/>
      <c r="I2428" s="188"/>
      <c r="J2428" s="188"/>
      <c r="K2428" s="188"/>
      <c r="L2428" s="188"/>
      <c r="M2428" s="178"/>
      <c r="N2428" s="178"/>
      <c r="O2428" s="178"/>
      <c r="P2428" s="178"/>
      <c r="Q2428" s="178"/>
      <c r="R2428" s="195"/>
      <c r="S2428" s="178"/>
      <c r="T2428" s="180"/>
      <c r="U2428" s="189" t="str">
        <f>IFERROR(IF(Tableau3[[#This Row],[Dettes]]=0,"",(Tableau3[[#This Row],[Dettes]]/Tableau3[[#This Row],[EBE]])),"")</f>
        <v/>
      </c>
      <c r="V2428" s="190" t="str">
        <f>IFERROR(Tableau3[[#This Row],[Fonds propres]]/Tableau3[[#This Row],[Total Bilan]],"")</f>
        <v/>
      </c>
      <c r="W2428" s="180"/>
      <c r="Y2428" s="180"/>
      <c r="Z2428" s="192" t="str">
        <f>IFERROR(Tableau3[[#This Row],[Chiffre d''affaires]]/Tableau3[[#This Row],[Salariés]],"")</f>
        <v/>
      </c>
      <c r="AA2428" s="177"/>
    </row>
    <row r="2429" spans="1:29" ht="20.25" customHeight="1">
      <c r="E2429" s="187"/>
      <c r="G2429" s="188"/>
      <c r="H2429" s="188"/>
      <c r="I2429" s="188"/>
      <c r="J2429" s="188"/>
      <c r="K2429" s="188"/>
      <c r="L2429" s="188"/>
      <c r="M2429" s="178"/>
      <c r="N2429" s="178"/>
      <c r="O2429" s="178"/>
      <c r="P2429" s="178"/>
      <c r="Q2429" s="178"/>
      <c r="R2429" s="195"/>
      <c r="S2429" s="178"/>
      <c r="T2429" s="180"/>
      <c r="U2429" s="189" t="str">
        <f>IFERROR(IF(Tableau3[[#This Row],[Dettes]]=0,"",(Tableau3[[#This Row],[Dettes]]/Tableau3[[#This Row],[EBE]])),"")</f>
        <v/>
      </c>
      <c r="V2429" s="190" t="str">
        <f>IFERROR(Tableau3[[#This Row],[Fonds propres]]/Tableau3[[#This Row],[Total Bilan]],"")</f>
        <v/>
      </c>
      <c r="W2429" s="180"/>
      <c r="Y2429" s="180"/>
      <c r="Z2429" s="192" t="str">
        <f>IFERROR(Tableau3[[#This Row],[Chiffre d''affaires]]/Tableau3[[#This Row],[Salariés]],"")</f>
        <v/>
      </c>
      <c r="AA2429" s="177"/>
    </row>
    <row r="2430" spans="1:29" ht="20.25" customHeight="1">
      <c r="E2430" s="187"/>
      <c r="G2430" s="188"/>
      <c r="H2430" s="188"/>
      <c r="I2430" s="188"/>
      <c r="J2430" s="188"/>
      <c r="K2430" s="188"/>
      <c r="L2430" s="188"/>
      <c r="M2430" s="178"/>
      <c r="N2430" s="178"/>
      <c r="O2430" s="178"/>
      <c r="P2430" s="178"/>
      <c r="Q2430" s="178"/>
      <c r="R2430" s="195"/>
      <c r="S2430" s="178"/>
      <c r="T2430" s="180"/>
      <c r="U2430" s="189" t="str">
        <f>IFERROR(IF(Tableau3[[#This Row],[Dettes]]=0,"",(Tableau3[[#This Row],[Dettes]]/Tableau3[[#This Row],[EBE]])),"")</f>
        <v/>
      </c>
      <c r="V2430" s="190" t="str">
        <f>IFERROR(Tableau3[[#This Row],[Fonds propres]]/Tableau3[[#This Row],[Total Bilan]],"")</f>
        <v/>
      </c>
      <c r="W2430" s="180"/>
      <c r="Y2430" s="180"/>
      <c r="Z2430" s="192" t="str">
        <f>IFERROR(Tableau3[[#This Row],[Chiffre d''affaires]]/Tableau3[[#This Row],[Salariés]],"")</f>
        <v/>
      </c>
      <c r="AA2430" s="177"/>
    </row>
    <row r="2431" spans="1:29" ht="20.25" customHeight="1">
      <c r="E2431" s="187"/>
      <c r="G2431" s="188"/>
      <c r="H2431" s="188"/>
      <c r="I2431" s="188"/>
      <c r="J2431" s="188"/>
      <c r="K2431" s="188"/>
      <c r="L2431" s="188"/>
      <c r="M2431" s="178"/>
      <c r="N2431" s="178"/>
      <c r="O2431" s="178"/>
      <c r="P2431" s="178"/>
      <c r="Q2431" s="178"/>
      <c r="R2431" s="195"/>
      <c r="S2431" s="178"/>
      <c r="T2431" s="180"/>
      <c r="U2431" s="189" t="str">
        <f>IFERROR(IF(Tableau3[[#This Row],[Dettes]]=0,"",(Tableau3[[#This Row],[Dettes]]/Tableau3[[#This Row],[EBE]])),"")</f>
        <v/>
      </c>
      <c r="V2431" s="190" t="str">
        <f>IFERROR(Tableau3[[#This Row],[Fonds propres]]/Tableau3[[#This Row],[Total Bilan]],"")</f>
        <v/>
      </c>
      <c r="W2431" s="180"/>
      <c r="Y2431" s="180"/>
      <c r="Z2431" s="192" t="str">
        <f>IFERROR(Tableau3[[#This Row],[Chiffre d''affaires]]/Tableau3[[#This Row],[Salariés]],"")</f>
        <v/>
      </c>
      <c r="AA2431" s="177"/>
    </row>
    <row r="2432" spans="1:29" ht="20.25" customHeight="1">
      <c r="A2432" s="217" t="s">
        <v>1728</v>
      </c>
      <c r="B2432" s="216" t="s">
        <v>1729</v>
      </c>
      <c r="C2432" s="178" t="s">
        <v>84</v>
      </c>
      <c r="D2432" s="178" t="s">
        <v>85</v>
      </c>
      <c r="E2432" s="187">
        <v>8.6999999999999993</v>
      </c>
      <c r="F2432" s="178">
        <v>2021</v>
      </c>
      <c r="G2432" s="188"/>
      <c r="H2432" s="188"/>
      <c r="I2432" s="188"/>
      <c r="J2432" s="188"/>
      <c r="K2432" s="188"/>
      <c r="L2432" s="188"/>
      <c r="M2432" s="178"/>
      <c r="N2432" s="178"/>
      <c r="O2432" s="178"/>
      <c r="P2432" s="178"/>
      <c r="Q2432" s="178"/>
      <c r="R2432" s="195"/>
      <c r="S2432" s="178"/>
      <c r="T2432" s="180"/>
      <c r="U2432" s="189" t="str">
        <f>IFERROR(IF(Tableau3[[#This Row],[Dettes]]=0,"",(Tableau3[[#This Row],[Dettes]]/Tableau3[[#This Row],[EBE]])),"")</f>
        <v/>
      </c>
      <c r="V2432" s="190" t="str">
        <f>IFERROR(Tableau3[[#This Row],[Fonds propres]]/Tableau3[[#This Row],[Total Bilan]],"")</f>
        <v/>
      </c>
      <c r="W2432" s="180"/>
      <c r="Y2432" s="180"/>
      <c r="Z2432" s="192" t="str">
        <f>IFERROR(Tableau3[[#This Row],[Chiffre d''affaires]]/Tableau3[[#This Row],[Salariés]],"")</f>
        <v/>
      </c>
      <c r="AA2432" s="177"/>
      <c r="AC2432" s="177" t="s">
        <v>1731</v>
      </c>
    </row>
    <row r="2433" spans="1:29" ht="20.25" customHeight="1">
      <c r="G2433" s="188"/>
      <c r="H2433" s="188"/>
      <c r="I2433" s="188"/>
      <c r="J2433" s="188"/>
      <c r="K2433" s="188"/>
      <c r="L2433" s="188"/>
      <c r="M2433" s="178"/>
      <c r="N2433" s="178"/>
      <c r="O2433" s="178"/>
      <c r="P2433" s="178"/>
      <c r="Q2433" s="178"/>
      <c r="R2433" s="195"/>
      <c r="S2433" s="178"/>
      <c r="T2433" s="180"/>
      <c r="U2433" s="189" t="str">
        <f>IFERROR(IF(Tableau3[[#This Row],[Dettes]]=0,"",(Tableau3[[#This Row],[Dettes]]/Tableau3[[#This Row],[EBE]])),"")</f>
        <v/>
      </c>
      <c r="V2433" s="190" t="str">
        <f>IFERROR(Tableau3[[#This Row],[Fonds propres]]/Tableau3[[#This Row],[Total Bilan]],"")</f>
        <v/>
      </c>
      <c r="W2433" s="180"/>
      <c r="Y2433" s="180"/>
      <c r="Z2433" s="192" t="str">
        <f>IFERROR(Tableau3[[#This Row],[Chiffre d''affaires]]/Tableau3[[#This Row],[Salariés]],"")</f>
        <v/>
      </c>
      <c r="AA2433" s="177"/>
      <c r="AC2433" s="177" t="s">
        <v>1732</v>
      </c>
    </row>
    <row r="2434" spans="1:29" ht="20.25" customHeight="1">
      <c r="A2434" s="217"/>
      <c r="E2434" s="187">
        <v>7</v>
      </c>
      <c r="F2434" s="178">
        <v>2020</v>
      </c>
      <c r="G2434" s="188">
        <v>2081700000</v>
      </c>
      <c r="H2434" s="188"/>
      <c r="I2434" s="188">
        <v>190100000</v>
      </c>
      <c r="J2434" s="188">
        <v>55300000</v>
      </c>
      <c r="K2434" s="188">
        <v>93100000</v>
      </c>
      <c r="L2434" s="188">
        <v>1596600000</v>
      </c>
      <c r="M2434" s="194">
        <f>L2434/P2434</f>
        <v>7.5886558407261768</v>
      </c>
      <c r="N2434" s="190">
        <f>J2434/L2434</f>
        <v>3.4636101716146811E-2</v>
      </c>
      <c r="O2434" s="190">
        <f>(I2434*0.64)/(K2434+(M2434*P2434))</f>
        <v>7.2003314197786591E-2</v>
      </c>
      <c r="P2434" s="226">
        <v>210392991</v>
      </c>
      <c r="Q2434" s="211">
        <f>P2434*E2434</f>
        <v>1472750937</v>
      </c>
      <c r="R2434" s="195">
        <f>Q2434/L2434</f>
        <v>0.92242949830890641</v>
      </c>
      <c r="S2434" s="197"/>
      <c r="T2434" s="180"/>
      <c r="U2434" s="189" t="str">
        <f>IFERROR(IF(Tableau3[[#This Row],[Dettes]]=0,"",(Tableau3[[#This Row],[Dettes]]/Tableau3[[#This Row],[EBE]])),"")</f>
        <v/>
      </c>
      <c r="V2434" s="190" t="str">
        <f>IFERROR(Tableau3[[#This Row],[Fonds propres]]/Tableau3[[#This Row],[Total Bilan]],"")</f>
        <v/>
      </c>
      <c r="W2434" s="180"/>
      <c r="Y2434" s="180"/>
      <c r="Z2434" s="192" t="str">
        <f>IFERROR(Tableau3[[#This Row],[Chiffre d''affaires]]/Tableau3[[#This Row],[Salariés]],"")</f>
        <v/>
      </c>
      <c r="AA2434" s="177"/>
      <c r="AC2434" s="177" t="s">
        <v>1733</v>
      </c>
    </row>
    <row r="2435" spans="1:29" ht="20.25" customHeight="1">
      <c r="E2435" s="187"/>
      <c r="G2435" s="202">
        <f>(G2434/G2436)-1</f>
        <v>-0.10935695032730075</v>
      </c>
      <c r="H2435" s="203"/>
      <c r="I2435" s="203">
        <f>(I2434/I2436)-1</f>
        <v>-0.25480203841630733</v>
      </c>
      <c r="J2435" s="203">
        <f>(J2434/J2436)-1</f>
        <v>-0.64276485788113691</v>
      </c>
      <c r="K2435" s="188"/>
      <c r="L2435" s="188"/>
      <c r="M2435" s="178"/>
      <c r="N2435" s="178"/>
      <c r="O2435" s="178"/>
      <c r="P2435" s="178"/>
      <c r="Q2435" s="178"/>
      <c r="R2435" s="195"/>
      <c r="S2435" s="178"/>
      <c r="T2435" s="180"/>
      <c r="U2435" s="189" t="str">
        <f>IFERROR(IF(Tableau3[[#This Row],[Dettes]]=0,"",(Tableau3[[#This Row],[Dettes]]/Tableau3[[#This Row],[EBE]])),"")</f>
        <v/>
      </c>
      <c r="V2435" s="190" t="str">
        <f>IFERROR(Tableau3[[#This Row],[Fonds propres]]/Tableau3[[#This Row],[Total Bilan]],"")</f>
        <v/>
      </c>
      <c r="W2435" s="180"/>
      <c r="Y2435" s="180"/>
      <c r="Z2435" s="192" t="str">
        <f>IFERROR(Tableau3[[#This Row],[Chiffre d''affaires]]/Tableau3[[#This Row],[Salariés]],"")</f>
        <v/>
      </c>
      <c r="AA2435" s="177"/>
      <c r="AC2435" s="177" t="s">
        <v>1734</v>
      </c>
    </row>
    <row r="2436" spans="1:29" ht="20.25" customHeight="1">
      <c r="A2436" s="217"/>
      <c r="E2436" s="187">
        <v>7.42</v>
      </c>
      <c r="F2436" s="178">
        <v>2019</v>
      </c>
      <c r="G2436" s="188">
        <v>2337300000</v>
      </c>
      <c r="H2436" s="188"/>
      <c r="I2436" s="188">
        <v>255100000</v>
      </c>
      <c r="J2436" s="188">
        <v>154800000</v>
      </c>
      <c r="K2436" s="188">
        <v>225800000</v>
      </c>
      <c r="L2436" s="178"/>
      <c r="M2436" s="194">
        <f>L2436/P2436</f>
        <v>0</v>
      </c>
      <c r="N2436" s="190"/>
      <c r="O2436" s="190"/>
      <c r="P2436" s="226">
        <v>209795942</v>
      </c>
      <c r="Q2436" s="211">
        <f>P2436*E2436</f>
        <v>1556685889.6399999</v>
      </c>
      <c r="R2436" s="195"/>
      <c r="S2436" s="197"/>
      <c r="T2436" s="180"/>
      <c r="U2436" s="189" t="str">
        <f>IFERROR(IF(Tableau3[[#This Row],[Dettes]]=0,"",(Tableau3[[#This Row],[Dettes]]/Tableau3[[#This Row],[EBE]])),"")</f>
        <v/>
      </c>
      <c r="V2436" s="190" t="str">
        <f>IFERROR(Tableau3[[#This Row],[Fonds propres]]/Tableau3[[#This Row],[Total Bilan]],"")</f>
        <v/>
      </c>
      <c r="W2436" s="180"/>
      <c r="Y2436" s="180"/>
      <c r="Z2436" s="192" t="str">
        <f>IFERROR(Tableau3[[#This Row],[Chiffre d''affaires]]/Tableau3[[#This Row],[Salariés]],"")</f>
        <v/>
      </c>
      <c r="AA2436" s="177"/>
      <c r="AC2436" s="177" t="s">
        <v>1727</v>
      </c>
    </row>
    <row r="2437" spans="1:29" ht="20.25" customHeight="1">
      <c r="A2437" s="217"/>
      <c r="E2437" s="187"/>
      <c r="G2437" s="202"/>
      <c r="H2437" s="203"/>
      <c r="I2437" s="203"/>
      <c r="J2437" s="203"/>
      <c r="K2437" s="178"/>
      <c r="L2437" s="178"/>
      <c r="M2437" s="178"/>
      <c r="N2437" s="178"/>
      <c r="O2437" s="178"/>
      <c r="P2437" s="178"/>
      <c r="Q2437" s="178"/>
      <c r="R2437" s="195"/>
      <c r="S2437" s="178"/>
      <c r="T2437" s="180"/>
      <c r="U2437" s="189" t="str">
        <f>IFERROR(IF(Tableau3[[#This Row],[Dettes]]=0,"",(Tableau3[[#This Row],[Dettes]]/Tableau3[[#This Row],[EBE]])),"")</f>
        <v/>
      </c>
      <c r="V2437" s="190" t="str">
        <f>IFERROR(Tableau3[[#This Row],[Fonds propres]]/Tableau3[[#This Row],[Total Bilan]],"")</f>
        <v/>
      </c>
      <c r="W2437" s="180"/>
      <c r="Y2437" s="180"/>
      <c r="Z2437" s="192" t="str">
        <f>IFERROR(Tableau3[[#This Row],[Chiffre d''affaires]]/Tableau3[[#This Row],[Salariés]],"")</f>
        <v/>
      </c>
      <c r="AA2437" s="177"/>
      <c r="AC2437" s="177" t="s">
        <v>1735</v>
      </c>
    </row>
    <row r="2438" spans="1:29" ht="20.25" customHeight="1">
      <c r="A2438" s="217"/>
      <c r="E2438" s="187">
        <v>6.59</v>
      </c>
      <c r="F2438" s="178">
        <v>2017</v>
      </c>
      <c r="G2438" s="188">
        <v>1986000000</v>
      </c>
      <c r="H2438" s="188">
        <v>320000000</v>
      </c>
      <c r="I2438" s="188">
        <v>130000000</v>
      </c>
      <c r="J2438" s="188">
        <v>110000000</v>
      </c>
      <c r="K2438" s="188">
        <v>-297000000</v>
      </c>
      <c r="L2438" s="188">
        <v>1514000000</v>
      </c>
      <c r="M2438" s="194">
        <f>L2438/P2438</f>
        <v>7.2165361520672313</v>
      </c>
      <c r="N2438" s="190">
        <f>J2438/L2438</f>
        <v>7.2655217965653898E-2</v>
      </c>
      <c r="O2438" s="190">
        <f>(I2438*0.64)/(K2438+(M2438*P2438))</f>
        <v>6.8364831552999175E-2</v>
      </c>
      <c r="P2438" s="226">
        <v>209795942</v>
      </c>
      <c r="Q2438" s="211">
        <f>P2438*E2438</f>
        <v>1382555257.78</v>
      </c>
      <c r="R2438" s="195">
        <f>Q2438/L2438</f>
        <v>0.91318048730515189</v>
      </c>
      <c r="S2438" s="197">
        <f>(Q2438+K2438)/H2438</f>
        <v>3.3923601805625001</v>
      </c>
      <c r="T2438" s="180"/>
      <c r="U2438" s="189">
        <f>IFERROR(IF(Tableau3[[#This Row],[Dettes]]=0,"",(Tableau3[[#This Row],[Dettes]]/Tableau3[[#This Row],[EBE]])),"")</f>
        <v>-0.92812499999999998</v>
      </c>
      <c r="V2438" s="190" t="str">
        <f>IFERROR(Tableau3[[#This Row],[Fonds propres]]/Tableau3[[#This Row],[Total Bilan]],"")</f>
        <v/>
      </c>
      <c r="W2438" s="180"/>
      <c r="X2438" s="191"/>
      <c r="Y2438" s="180"/>
      <c r="Z2438" s="192" t="str">
        <f>IFERROR(Tableau3[[#This Row],[Chiffre d''affaires]]/Tableau3[[#This Row],[Salariés]],"")</f>
        <v/>
      </c>
      <c r="AA2438" s="197"/>
      <c r="AB2438" s="197"/>
    </row>
    <row r="2439" spans="1:29" ht="20.25" customHeight="1">
      <c r="E2439" s="187"/>
      <c r="G2439" s="202">
        <f>(G2438/G2440)-1</f>
        <v>-3.7324285021812842E-2</v>
      </c>
      <c r="H2439" s="203">
        <f>(H2438/H2440)-1</f>
        <v>4.2345276872964188E-2</v>
      </c>
      <c r="I2439" s="203">
        <f>(I2438/I2440)-1</f>
        <v>7.7519379844961378E-3</v>
      </c>
      <c r="J2439" s="203">
        <f>(J2438/J2440)-1</f>
        <v>0.11556209117184735</v>
      </c>
      <c r="K2439" s="188"/>
      <c r="L2439" s="188"/>
      <c r="M2439" s="178"/>
      <c r="N2439" s="178"/>
      <c r="O2439" s="178"/>
      <c r="P2439" s="178"/>
      <c r="Q2439" s="178"/>
      <c r="R2439" s="195"/>
      <c r="S2439" s="178"/>
      <c r="T2439" s="180"/>
      <c r="U2439" s="189" t="str">
        <f>IFERROR(IF(Tableau3[[#This Row],[Dettes]]=0,"",(Tableau3[[#This Row],[Dettes]]/Tableau3[[#This Row],[EBE]])),"")</f>
        <v/>
      </c>
      <c r="V2439" s="190" t="str">
        <f>IFERROR(Tableau3[[#This Row],[Fonds propres]]/Tableau3[[#This Row],[Total Bilan]],"")</f>
        <v/>
      </c>
      <c r="W2439" s="180"/>
      <c r="Y2439" s="180"/>
      <c r="Z2439" s="192" t="str">
        <f>IFERROR(Tableau3[[#This Row],[Chiffre d''affaires]]/Tableau3[[#This Row],[Salariés]],"")</f>
        <v/>
      </c>
      <c r="AA2439" s="177"/>
    </row>
    <row r="2440" spans="1:29" ht="20.25" customHeight="1">
      <c r="A2440" s="217"/>
      <c r="E2440" s="187">
        <v>9.4499999999999993</v>
      </c>
      <c r="F2440" s="178">
        <v>2016</v>
      </c>
      <c r="G2440" s="188">
        <v>2063000000</v>
      </c>
      <c r="H2440" s="188">
        <v>307000000</v>
      </c>
      <c r="I2440" s="188">
        <v>129000000</v>
      </c>
      <c r="J2440" s="188">
        <v>98605000</v>
      </c>
      <c r="K2440" s="188">
        <v>-187000000</v>
      </c>
      <c r="L2440" s="188">
        <v>1514000000</v>
      </c>
      <c r="M2440" s="194">
        <f>L2440/P2440</f>
        <v>7.2165361520672313</v>
      </c>
      <c r="N2440" s="190">
        <f>J2440/L2440</f>
        <v>6.5128797886393655E-2</v>
      </c>
      <c r="O2440" s="190">
        <f>(I2440*0.64)/(K2440+(M2440*P2440))</f>
        <v>6.2215523737754332E-2</v>
      </c>
      <c r="P2440" s="226">
        <v>209795942</v>
      </c>
      <c r="Q2440" s="211">
        <f>P2440*E2440</f>
        <v>1982571651.8999999</v>
      </c>
      <c r="R2440" s="195">
        <f>Q2440/L2440</f>
        <v>1.3094925045574637</v>
      </c>
      <c r="S2440" s="197">
        <f>(Q2440+K2440)/H2440</f>
        <v>5.8487675957654721</v>
      </c>
      <c r="T2440" s="180"/>
      <c r="U2440" s="189">
        <f>IFERROR(IF(Tableau3[[#This Row],[Dettes]]=0,"",(Tableau3[[#This Row],[Dettes]]/Tableau3[[#This Row],[EBE]])),"")</f>
        <v>-0.60912052117263848</v>
      </c>
      <c r="V2440" s="190" t="str">
        <f>IFERROR(Tableau3[[#This Row],[Fonds propres]]/Tableau3[[#This Row],[Total Bilan]],"")</f>
        <v/>
      </c>
      <c r="W2440" s="180"/>
      <c r="X2440" s="191"/>
      <c r="Y2440" s="180"/>
      <c r="Z2440" s="192" t="str">
        <f>IFERROR(Tableau3[[#This Row],[Chiffre d''affaires]]/Tableau3[[#This Row],[Salariés]],"")</f>
        <v/>
      </c>
      <c r="AA2440" s="197"/>
      <c r="AB2440" s="197"/>
    </row>
    <row r="2441" spans="1:29" ht="20.25" customHeight="1">
      <c r="E2441" s="187"/>
      <c r="G2441" s="188"/>
      <c r="H2441" s="188"/>
      <c r="I2441" s="188"/>
      <c r="J2441" s="188"/>
      <c r="K2441" s="188"/>
      <c r="L2441" s="188"/>
      <c r="M2441" s="178"/>
      <c r="N2441" s="178"/>
      <c r="O2441" s="178"/>
      <c r="P2441" s="178"/>
      <c r="Q2441" s="178"/>
      <c r="R2441" s="195"/>
      <c r="S2441" s="178"/>
      <c r="T2441" s="180"/>
      <c r="U2441" s="189" t="str">
        <f>IFERROR(IF(Tableau3[[#This Row],[Dettes]]=0,"",(Tableau3[[#This Row],[Dettes]]/Tableau3[[#This Row],[EBE]])),"")</f>
        <v/>
      </c>
      <c r="V2441" s="190" t="str">
        <f>IFERROR(Tableau3[[#This Row],[Fonds propres]]/Tableau3[[#This Row],[Total Bilan]],"")</f>
        <v/>
      </c>
      <c r="W2441" s="180"/>
      <c r="Y2441" s="180"/>
      <c r="Z2441" s="192" t="str">
        <f>IFERROR(Tableau3[[#This Row],[Chiffre d''affaires]]/Tableau3[[#This Row],[Salariés]],"")</f>
        <v/>
      </c>
      <c r="AA2441" s="177"/>
    </row>
    <row r="2442" spans="1:29" ht="20.25" customHeight="1">
      <c r="E2442" s="187">
        <v>10.210000000000001</v>
      </c>
      <c r="F2442" s="178">
        <v>2015</v>
      </c>
      <c r="G2442" s="188"/>
      <c r="H2442" s="188"/>
      <c r="I2442" s="188"/>
      <c r="J2442" s="188"/>
      <c r="K2442" s="188"/>
      <c r="L2442" s="188"/>
      <c r="M2442" s="178"/>
      <c r="N2442" s="178"/>
      <c r="O2442" s="178"/>
      <c r="P2442" s="226">
        <v>209795942</v>
      </c>
      <c r="Q2442" s="211">
        <f>P2442*E2442</f>
        <v>2142016567.8200002</v>
      </c>
      <c r="R2442" s="195"/>
      <c r="S2442" s="178"/>
      <c r="T2442" s="180"/>
      <c r="U2442" s="189" t="str">
        <f>IFERROR(IF(Tableau3[[#This Row],[Dettes]]=0,"",(Tableau3[[#This Row],[Dettes]]/Tableau3[[#This Row],[EBE]])),"")</f>
        <v/>
      </c>
      <c r="V2442" s="190" t="str">
        <f>IFERROR(Tableau3[[#This Row],[Fonds propres]]/Tableau3[[#This Row],[Total Bilan]],"")</f>
        <v/>
      </c>
      <c r="W2442" s="180"/>
      <c r="Y2442" s="180"/>
      <c r="Z2442" s="192" t="str">
        <f>IFERROR(Tableau3[[#This Row],[Chiffre d''affaires]]/Tableau3[[#This Row],[Salariés]],"")</f>
        <v/>
      </c>
      <c r="AA2442" s="177"/>
    </row>
    <row r="2443" spans="1:29" ht="20.25" customHeight="1">
      <c r="E2443" s="187"/>
      <c r="G2443" s="188"/>
      <c r="H2443" s="188"/>
      <c r="I2443" s="188"/>
      <c r="J2443" s="188"/>
      <c r="K2443" s="188"/>
      <c r="L2443" s="188"/>
      <c r="M2443" s="178"/>
      <c r="N2443" s="178"/>
      <c r="O2443" s="178"/>
      <c r="P2443" s="178"/>
      <c r="Q2443" s="178"/>
      <c r="R2443" s="195"/>
      <c r="S2443" s="178"/>
      <c r="T2443" s="180"/>
      <c r="U2443" s="189" t="str">
        <f>IFERROR(IF(Tableau3[[#This Row],[Dettes]]=0,"",(Tableau3[[#This Row],[Dettes]]/Tableau3[[#This Row],[EBE]])),"")</f>
        <v/>
      </c>
      <c r="V2443" s="190" t="str">
        <f>IFERROR(Tableau3[[#This Row],[Fonds propres]]/Tableau3[[#This Row],[Total Bilan]],"")</f>
        <v/>
      </c>
      <c r="W2443" s="180"/>
      <c r="Y2443" s="180"/>
      <c r="Z2443" s="192" t="str">
        <f>IFERROR(Tableau3[[#This Row],[Chiffre d''affaires]]/Tableau3[[#This Row],[Salariés]],"")</f>
        <v/>
      </c>
      <c r="AA2443" s="177"/>
    </row>
    <row r="2444" spans="1:29" ht="20.25" customHeight="1">
      <c r="E2444" s="187">
        <v>12.77</v>
      </c>
      <c r="F2444" s="178">
        <v>2014</v>
      </c>
      <c r="G2444" s="188"/>
      <c r="H2444" s="188"/>
      <c r="I2444" s="188"/>
      <c r="J2444" s="188"/>
      <c r="K2444" s="188"/>
      <c r="L2444" s="188"/>
      <c r="M2444" s="178"/>
      <c r="N2444" s="178"/>
      <c r="O2444" s="178"/>
      <c r="P2444" s="226">
        <v>209795942</v>
      </c>
      <c r="Q2444" s="211">
        <f>P2444*E2444</f>
        <v>2679094179.3399997</v>
      </c>
      <c r="R2444" s="195"/>
      <c r="S2444" s="178"/>
      <c r="T2444" s="180"/>
      <c r="U2444" s="189" t="str">
        <f>IFERROR(IF(Tableau3[[#This Row],[Dettes]]=0,"",(Tableau3[[#This Row],[Dettes]]/Tableau3[[#This Row],[EBE]])),"")</f>
        <v/>
      </c>
      <c r="V2444" s="190" t="str">
        <f>IFERROR(Tableau3[[#This Row],[Fonds propres]]/Tableau3[[#This Row],[Total Bilan]],"")</f>
        <v/>
      </c>
      <c r="W2444" s="180"/>
      <c r="Y2444" s="180"/>
      <c r="Z2444" s="192" t="str">
        <f>IFERROR(Tableau3[[#This Row],[Chiffre d''affaires]]/Tableau3[[#This Row],[Salariés]],"")</f>
        <v/>
      </c>
      <c r="AA2444" s="177"/>
    </row>
    <row r="2445" spans="1:29" ht="20.25" customHeight="1">
      <c r="E2445" s="187"/>
      <c r="G2445" s="188"/>
      <c r="H2445" s="188"/>
      <c r="I2445" s="188"/>
      <c r="J2445" s="188"/>
      <c r="K2445" s="188"/>
      <c r="L2445" s="188"/>
      <c r="M2445" s="178"/>
      <c r="N2445" s="178"/>
      <c r="O2445" s="178"/>
      <c r="P2445" s="178"/>
      <c r="Q2445" s="178"/>
      <c r="R2445" s="195"/>
      <c r="S2445" s="178"/>
      <c r="T2445" s="180"/>
      <c r="U2445" s="189" t="str">
        <f>IFERROR(IF(Tableau3[[#This Row],[Dettes]]=0,"",(Tableau3[[#This Row],[Dettes]]/Tableau3[[#This Row],[EBE]])),"")</f>
        <v/>
      </c>
      <c r="V2445" s="190" t="str">
        <f>IFERROR(Tableau3[[#This Row],[Fonds propres]]/Tableau3[[#This Row],[Total Bilan]],"")</f>
        <v/>
      </c>
      <c r="W2445" s="180"/>
      <c r="Y2445" s="180"/>
      <c r="Z2445" s="192" t="str">
        <f>IFERROR(Tableau3[[#This Row],[Chiffre d''affaires]]/Tableau3[[#This Row],[Salariés]],"")</f>
        <v/>
      </c>
      <c r="AA2445" s="177"/>
    </row>
    <row r="2446" spans="1:29" ht="20.25" customHeight="1">
      <c r="E2446" s="187">
        <v>14.1</v>
      </c>
      <c r="F2446" s="178">
        <v>2013</v>
      </c>
      <c r="G2446" s="188"/>
      <c r="H2446" s="188"/>
      <c r="I2446" s="188"/>
      <c r="J2446" s="188"/>
      <c r="K2446" s="188"/>
      <c r="L2446" s="188"/>
      <c r="M2446" s="178"/>
      <c r="N2446" s="178"/>
      <c r="O2446" s="178"/>
      <c r="P2446" s="226">
        <v>209795942</v>
      </c>
      <c r="Q2446" s="211">
        <f>P2446*E2446</f>
        <v>2958122782.1999998</v>
      </c>
      <c r="R2446" s="195"/>
      <c r="S2446" s="178"/>
      <c r="T2446" s="180"/>
      <c r="U2446" s="189" t="str">
        <f>IFERROR(IF(Tableau3[[#This Row],[Dettes]]=0,"",(Tableau3[[#This Row],[Dettes]]/Tableau3[[#This Row],[EBE]])),"")</f>
        <v/>
      </c>
      <c r="V2446" s="190" t="str">
        <f>IFERROR(Tableau3[[#This Row],[Fonds propres]]/Tableau3[[#This Row],[Total Bilan]],"")</f>
        <v/>
      </c>
      <c r="W2446" s="180"/>
      <c r="Y2446" s="180"/>
      <c r="Z2446" s="192" t="str">
        <f>IFERROR(Tableau3[[#This Row],[Chiffre d''affaires]]/Tableau3[[#This Row],[Salariés]],"")</f>
        <v/>
      </c>
      <c r="AA2446" s="177"/>
    </row>
    <row r="2447" spans="1:29" ht="20.25" customHeight="1">
      <c r="G2447" s="188"/>
      <c r="H2447" s="178"/>
      <c r="I2447" s="178"/>
      <c r="J2447" s="178"/>
      <c r="K2447" s="178"/>
      <c r="L2447" s="178"/>
      <c r="M2447" s="178"/>
      <c r="N2447" s="178"/>
      <c r="O2447" s="178"/>
      <c r="P2447" s="178"/>
      <c r="Q2447" s="178"/>
      <c r="R2447" s="195"/>
      <c r="S2447" s="178"/>
      <c r="T2447" s="180"/>
      <c r="U2447" s="189" t="str">
        <f>IFERROR(IF(Tableau3[[#This Row],[Dettes]]=0,"",(Tableau3[[#This Row],[Dettes]]/Tableau3[[#This Row],[EBE]])),"")</f>
        <v/>
      </c>
      <c r="V2447" s="190" t="str">
        <f>IFERROR(Tableau3[[#This Row],[Fonds propres]]/Tableau3[[#This Row],[Total Bilan]],"")</f>
        <v/>
      </c>
      <c r="W2447" s="180"/>
      <c r="Y2447" s="180"/>
      <c r="Z2447" s="192" t="str">
        <f>IFERROR(Tableau3[[#This Row],[Chiffre d''affaires]]/Tableau3[[#This Row],[Salariés]],"")</f>
        <v/>
      </c>
      <c r="AA2447" s="177"/>
    </row>
    <row r="2448" spans="1:29" ht="20.25" customHeight="1">
      <c r="G2448" s="188"/>
      <c r="H2448" s="178"/>
      <c r="I2448" s="178"/>
      <c r="J2448" s="178"/>
      <c r="K2448" s="178"/>
      <c r="L2448" s="178"/>
      <c r="M2448" s="178"/>
      <c r="N2448" s="178"/>
      <c r="O2448" s="178"/>
      <c r="P2448" s="178"/>
      <c r="Q2448" s="178"/>
      <c r="R2448" s="195"/>
      <c r="S2448" s="178"/>
      <c r="T2448" s="180"/>
      <c r="U2448" s="189" t="str">
        <f>IFERROR(IF(Tableau3[[#This Row],[Dettes]]=0,"",(Tableau3[[#This Row],[Dettes]]/Tableau3[[#This Row],[EBE]])),"")</f>
        <v/>
      </c>
      <c r="V2448" s="190" t="str">
        <f>IFERROR(Tableau3[[#This Row],[Fonds propres]]/Tableau3[[#This Row],[Total Bilan]],"")</f>
        <v/>
      </c>
      <c r="W2448" s="180"/>
      <c r="Y2448" s="180"/>
      <c r="Z2448" s="192" t="str">
        <f>IFERROR(Tableau3[[#This Row],[Chiffre d''affaires]]/Tableau3[[#This Row],[Salariés]],"")</f>
        <v/>
      </c>
      <c r="AA2448" s="177"/>
    </row>
    <row r="2449" spans="1:29" ht="20.25" customHeight="1">
      <c r="G2449" s="188"/>
      <c r="H2449" s="178"/>
      <c r="I2449" s="178"/>
      <c r="J2449" s="178"/>
      <c r="K2449" s="178"/>
      <c r="L2449" s="178"/>
      <c r="M2449" s="178"/>
      <c r="N2449" s="178"/>
      <c r="O2449" s="178"/>
      <c r="P2449" s="178"/>
      <c r="Q2449" s="178"/>
      <c r="R2449" s="195"/>
      <c r="S2449" s="178"/>
      <c r="T2449" s="180"/>
      <c r="U2449" s="189" t="str">
        <f>IFERROR(IF(Tableau3[[#This Row],[Dettes]]=0,"",(Tableau3[[#This Row],[Dettes]]/Tableau3[[#This Row],[EBE]])),"")</f>
        <v/>
      </c>
      <c r="V2449" s="190" t="str">
        <f>IFERROR(Tableau3[[#This Row],[Fonds propres]]/Tableau3[[#This Row],[Total Bilan]],"")</f>
        <v/>
      </c>
      <c r="W2449" s="180"/>
      <c r="Y2449" s="180"/>
      <c r="Z2449" s="192" t="str">
        <f>IFERROR(Tableau3[[#This Row],[Chiffre d''affaires]]/Tableau3[[#This Row],[Salariés]],"")</f>
        <v/>
      </c>
      <c r="AA2449" s="177"/>
    </row>
    <row r="2450" spans="1:29" ht="20.25" customHeight="1">
      <c r="A2450" s="217" t="s">
        <v>1736</v>
      </c>
      <c r="B2450" s="216" t="s">
        <v>1737</v>
      </c>
      <c r="C2450" s="178" t="s">
        <v>84</v>
      </c>
      <c r="D2450" s="178" t="s">
        <v>85</v>
      </c>
      <c r="E2450" s="187">
        <v>11.58</v>
      </c>
      <c r="F2450" s="178">
        <v>2025</v>
      </c>
      <c r="G2450" s="188"/>
      <c r="H2450" s="178"/>
      <c r="I2450" s="178"/>
      <c r="J2450" s="178"/>
      <c r="K2450" s="178"/>
      <c r="L2450" s="178"/>
      <c r="M2450" s="178"/>
      <c r="N2450" s="178"/>
      <c r="O2450" s="178"/>
      <c r="P2450" s="188">
        <v>2660056599</v>
      </c>
      <c r="Q2450" s="211">
        <f>P2450*E2450</f>
        <v>30803455416.420002</v>
      </c>
      <c r="R2450" s="195"/>
      <c r="S2450" s="178"/>
      <c r="T2450" s="180"/>
      <c r="U2450" s="189" t="str">
        <f>IFERROR(IF(Tableau3[[#This Row],[Dettes]]=0,"",(Tableau3[[#This Row],[Dettes]]/Tableau3[[#This Row],[EBE]])),"")</f>
        <v/>
      </c>
      <c r="V2450" s="190" t="str">
        <f>IFERROR(Tableau3[[#This Row],[Fonds propres]]/Tableau3[[#This Row],[Total Bilan]],"")</f>
        <v/>
      </c>
      <c r="W2450" s="180"/>
      <c r="Y2450" s="180">
        <v>137000</v>
      </c>
      <c r="Z2450" s="192">
        <f>IFERROR(Tableau3[[#This Row],[Chiffre d''affaires]]/Tableau3[[#This Row],[Salariés]],"")</f>
        <v>0</v>
      </c>
      <c r="AA2450" s="177"/>
      <c r="AC2450" s="177" t="s">
        <v>1738</v>
      </c>
    </row>
    <row r="2451" spans="1:29" ht="20.25" customHeight="1">
      <c r="G2451" s="188"/>
      <c r="H2451" s="178"/>
      <c r="I2451" s="178"/>
      <c r="J2451" s="178"/>
      <c r="K2451" s="178"/>
      <c r="L2451" s="178"/>
      <c r="M2451" s="178"/>
      <c r="N2451" s="178"/>
      <c r="O2451" s="178"/>
      <c r="P2451" s="178"/>
      <c r="Q2451" s="178"/>
      <c r="R2451" s="195"/>
      <c r="S2451" s="178"/>
      <c r="T2451" s="180"/>
      <c r="U2451" s="189" t="str">
        <f>IFERROR(IF(Tableau3[[#This Row],[Dettes]]=0,"",(Tableau3[[#This Row],[Dettes]]/Tableau3[[#This Row],[EBE]])),"")</f>
        <v/>
      </c>
      <c r="V2451" s="190" t="str">
        <f>IFERROR(Tableau3[[#This Row],[Fonds propres]]/Tableau3[[#This Row],[Total Bilan]],"")</f>
        <v/>
      </c>
      <c r="W2451" s="180"/>
      <c r="Y2451" s="180"/>
      <c r="Z2451" s="192" t="str">
        <f>IFERROR(Tableau3[[#This Row],[Chiffre d''affaires]]/Tableau3[[#This Row],[Salariés]],"")</f>
        <v/>
      </c>
      <c r="AA2451" s="177"/>
      <c r="AC2451" s="177" t="s">
        <v>1740</v>
      </c>
    </row>
    <row r="2452" spans="1:29" ht="20.25" customHeight="1">
      <c r="A2452" s="217"/>
      <c r="E2452" s="178">
        <v>9.6</v>
      </c>
      <c r="F2452" s="178">
        <v>2024</v>
      </c>
      <c r="G2452" s="188">
        <v>40260000000</v>
      </c>
      <c r="H2452" s="188">
        <v>12109000000</v>
      </c>
      <c r="I2452" s="188">
        <v>5116000000</v>
      </c>
      <c r="J2452" s="188">
        <v>2350000000</v>
      </c>
      <c r="K2452" s="188">
        <v>22482000000</v>
      </c>
      <c r="L2452" s="188">
        <v>31773000000</v>
      </c>
      <c r="M2452" s="194">
        <f>L2452/P2452</f>
        <v>11.94448268955799</v>
      </c>
      <c r="N2452" s="190">
        <f>J2452/L2452</f>
        <v>7.3962169137317846E-2</v>
      </c>
      <c r="O2452" s="190">
        <f>(I2452*0.64)/(K2452+(M2452*P2452))</f>
        <v>6.0349092249562253E-2</v>
      </c>
      <c r="P2452" s="188">
        <v>2660056599</v>
      </c>
      <c r="Q2452" s="211">
        <f>P2452*E2452</f>
        <v>25536543350.399998</v>
      </c>
      <c r="R2452" s="195">
        <f>Q2452/L2452</f>
        <v>0.8037183567935039</v>
      </c>
      <c r="S2452" s="197">
        <f>(Q2452+K2452)/H2452</f>
        <v>3.9655250929391355</v>
      </c>
      <c r="T2452" s="180">
        <v>2875000000</v>
      </c>
      <c r="U2452" s="189">
        <f>IFERROR(IF(Tableau3[[#This Row],[Dettes]]=0,"",(Tableau3[[#This Row],[Dettes]]/Tableau3[[#This Row],[EBE]])),"")</f>
        <v>1.8566355603270295</v>
      </c>
      <c r="V2452" s="190">
        <f>IFERROR(Tableau3[[#This Row],[Fonds propres]]/Tableau3[[#This Row],[Total Bilan]],"")</f>
        <v>0.30588020101276547</v>
      </c>
      <c r="W2452" s="180">
        <v>103874000000</v>
      </c>
      <c r="Y2452" s="180">
        <v>137000</v>
      </c>
      <c r="Z2452" s="192">
        <f>IFERROR(Tableau3[[#This Row],[Chiffre d''affaires]]/Tableau3[[#This Row],[Salariés]],"")</f>
        <v>293868.61313868611</v>
      </c>
      <c r="AA2452" s="177"/>
      <c r="AC2452" s="177" t="s">
        <v>4995</v>
      </c>
    </row>
    <row r="2453" spans="1:29" ht="20.25" customHeight="1">
      <c r="G2453" s="202">
        <f>(G2452/G2454)-1</f>
        <v>-8.7552054690670178E-2</v>
      </c>
      <c r="H2453" s="203">
        <f>(H2452/H2454)-1</f>
        <v>-7.2107279693486626E-2</v>
      </c>
      <c r="I2453" s="203">
        <f>(I2452/I2454)-1</f>
        <v>2.3200000000000109E-2</v>
      </c>
      <c r="J2453" s="203">
        <f>(J2452/J2454)-1</f>
        <v>-3.688524590163933E-2</v>
      </c>
      <c r="K2453" s="178"/>
      <c r="L2453" s="178"/>
      <c r="M2453" s="178"/>
      <c r="N2453" s="178"/>
      <c r="O2453" s="178"/>
      <c r="P2453" s="178"/>
      <c r="Q2453" s="178"/>
      <c r="R2453" s="195"/>
      <c r="S2453" s="178"/>
      <c r="T2453" s="180"/>
      <c r="U2453" s="189" t="str">
        <f>IFERROR(IF(Tableau3[[#This Row],[Dettes]]=0,"",(Tableau3[[#This Row],[Dettes]]/Tableau3[[#This Row],[EBE]])),"")</f>
        <v/>
      </c>
      <c r="V2453" s="190" t="str">
        <f>IFERROR(Tableau3[[#This Row],[Fonds propres]]/Tableau3[[#This Row],[Total Bilan]],"")</f>
        <v/>
      </c>
      <c r="W2453" s="180"/>
      <c r="Y2453" s="180"/>
      <c r="Z2453" s="192" t="str">
        <f>IFERROR(Tableau3[[#This Row],[Chiffre d''affaires]]/Tableau3[[#This Row],[Salariés]],"")</f>
        <v/>
      </c>
      <c r="AA2453" s="177"/>
      <c r="AC2453" s="177" t="s">
        <v>1741</v>
      </c>
    </row>
    <row r="2454" spans="1:29" ht="20.25" customHeight="1">
      <c r="A2454" s="217"/>
      <c r="E2454" s="187">
        <v>10.3</v>
      </c>
      <c r="F2454" s="178">
        <v>2023</v>
      </c>
      <c r="G2454" s="188">
        <f>G2456*1.015</f>
        <v>44123064999.999992</v>
      </c>
      <c r="H2454" s="188">
        <v>13050000000</v>
      </c>
      <c r="I2454" s="188">
        <v>5000000000</v>
      </c>
      <c r="J2454" s="188">
        <v>2440000000</v>
      </c>
      <c r="K2454" s="188">
        <v>27002000000</v>
      </c>
      <c r="L2454" s="188">
        <v>31825000000</v>
      </c>
      <c r="M2454" s="194">
        <f>L2454/P2454</f>
        <v>11.964031145789917</v>
      </c>
      <c r="N2454" s="190">
        <f>J2454/L2454</f>
        <v>7.6669285153181457E-2</v>
      </c>
      <c r="O2454" s="190">
        <f>(I2454*0.64)/(K2454+(M2454*P2454))</f>
        <v>5.4396790589355225E-2</v>
      </c>
      <c r="P2454" s="188">
        <v>2660056599</v>
      </c>
      <c r="Q2454" s="211">
        <f>P2454*E2454</f>
        <v>27398582969.700001</v>
      </c>
      <c r="R2454" s="195">
        <f>Q2454/L2454</f>
        <v>0.86091384036763552</v>
      </c>
      <c r="S2454" s="197">
        <f>(Q2454+K2454)/H2454</f>
        <v>4.1686270474865896</v>
      </c>
      <c r="T2454" s="180">
        <v>2512000000</v>
      </c>
      <c r="U2454" s="189">
        <f>IFERROR(IF(Tableau3[[#This Row],[Dettes]]=0,"",(Tableau3[[#This Row],[Dettes]]/Tableau3[[#This Row],[EBE]])),"")</f>
        <v>2.0691187739463603</v>
      </c>
      <c r="V2454" s="190">
        <f>IFERROR(Tableau3[[#This Row],[Fonds propres]]/Tableau3[[#This Row],[Total Bilan]],"")</f>
        <v>0.28918147784683607</v>
      </c>
      <c r="W2454" s="180">
        <v>110052000000</v>
      </c>
      <c r="Y2454" s="180"/>
      <c r="Z2454" s="192" t="str">
        <f>IFERROR(Tableau3[[#This Row],[Chiffre d''affaires]]/Tableau3[[#This Row],[Salariés]],"")</f>
        <v/>
      </c>
      <c r="AA2454" s="178" t="s">
        <v>579</v>
      </c>
      <c r="AC2454" s="177" t="s">
        <v>1742</v>
      </c>
    </row>
    <row r="2455" spans="1:29" ht="20.25" customHeight="1">
      <c r="A2455" s="217"/>
      <c r="G2455" s="202">
        <f>(G2454/G2456)-1</f>
        <v>1.4999999999999902E-2</v>
      </c>
      <c r="H2455" s="203">
        <f>(H2454/H2456)-1</f>
        <v>6.7114093959732557E-3</v>
      </c>
      <c r="I2455" s="203">
        <f>(I2454/I2456)-1</f>
        <v>4.144969797958753E-2</v>
      </c>
      <c r="J2455" s="203">
        <f>(J2454/J2456)-1</f>
        <v>0.13699906803355089</v>
      </c>
      <c r="K2455" s="178"/>
      <c r="L2455" s="178"/>
      <c r="M2455" s="178"/>
      <c r="N2455" s="178"/>
      <c r="O2455" s="178"/>
      <c r="P2455" s="178"/>
      <c r="Q2455" s="178"/>
      <c r="R2455" s="195"/>
      <c r="S2455" s="178"/>
      <c r="T2455" s="180"/>
      <c r="U2455" s="189" t="str">
        <f>IFERROR(IF(Tableau3[[#This Row],[Dettes]]=0,"",(Tableau3[[#This Row],[Dettes]]/Tableau3[[#This Row],[EBE]])),"")</f>
        <v/>
      </c>
      <c r="V2455" s="190" t="str">
        <f>IFERROR(Tableau3[[#This Row],[Fonds propres]]/Tableau3[[#This Row],[Total Bilan]],"")</f>
        <v/>
      </c>
      <c r="W2455" s="180"/>
      <c r="Y2455" s="180"/>
      <c r="Z2455" s="192" t="str">
        <f>IFERROR(Tableau3[[#This Row],[Chiffre d''affaires]]/Tableau3[[#This Row],[Salariés]],"")</f>
        <v/>
      </c>
      <c r="AA2455" s="178" t="s">
        <v>1743</v>
      </c>
      <c r="AC2455" s="6" t="s">
        <v>4991</v>
      </c>
    </row>
    <row r="2456" spans="1:29" ht="20.25" customHeight="1">
      <c r="A2456" s="217"/>
      <c r="E2456" s="187">
        <v>9.2799999999999994</v>
      </c>
      <c r="F2456" s="178">
        <v>2022</v>
      </c>
      <c r="G2456" s="188">
        <v>43471000000</v>
      </c>
      <c r="H2456" s="188">
        <v>12963000000</v>
      </c>
      <c r="I2456" s="188">
        <v>4801000000</v>
      </c>
      <c r="J2456" s="188">
        <v>2146000000</v>
      </c>
      <c r="K2456" s="188">
        <v>25298000000</v>
      </c>
      <c r="L2456" s="188">
        <v>31784000000</v>
      </c>
      <c r="M2456" s="194">
        <f>L2456/P2456</f>
        <v>11.948617939914744</v>
      </c>
      <c r="N2456" s="190">
        <f>J2454/Tableau3[[#This Row],[Fonds propres]]</f>
        <v>7.6768185250440477E-2</v>
      </c>
      <c r="O2456" s="190">
        <f>(I2456*0.7)/(Tableau3[[#This Row],[Dettes]]+Tableau3[[#This Row],[Fonds propres]])</f>
        <v>5.8874951823692234E-2</v>
      </c>
      <c r="P2456" s="188">
        <v>2660056599</v>
      </c>
      <c r="Q2456" s="211">
        <f>P2456*E2456</f>
        <v>24685325238.719997</v>
      </c>
      <c r="R2456" s="195">
        <f>Q2456/L2456</f>
        <v>0.77665886102189774</v>
      </c>
      <c r="S2456" s="197">
        <f>(Q2456+K2456)/H2456</f>
        <v>3.8558455017141093</v>
      </c>
      <c r="T2456" s="180">
        <v>3058000000</v>
      </c>
      <c r="U2456" s="189">
        <f>IFERROR(IF(Tableau3[[#This Row],[Dettes]]=0,"",(Tableau3[[#This Row],[Dettes]]/Tableau3[[#This Row],[EBE]])),"")</f>
        <v>1.9515544241302167</v>
      </c>
      <c r="V2456" s="190">
        <f>IFERROR(Tableau3[[#This Row],[Fonds propres]]/Tableau3[[#This Row],[Total Bilan]],"")</f>
        <v>0.28986776105791151</v>
      </c>
      <c r="W2456" s="180">
        <v>109650000000</v>
      </c>
      <c r="Y2456" s="180"/>
      <c r="Z2456" s="192" t="str">
        <f>IFERROR(Tableau3[[#This Row],[Chiffre d''affaires]]/Tableau3[[#This Row],[Salariés]],"")</f>
        <v/>
      </c>
      <c r="AA2456" s="178" t="s">
        <v>169</v>
      </c>
      <c r="AC2456" s="10" t="s">
        <v>4986</v>
      </c>
    </row>
    <row r="2457" spans="1:29" ht="20.25" customHeight="1">
      <c r="A2457" s="217"/>
      <c r="G2457" s="202">
        <f>(G2456/G2458)-1</f>
        <v>2.2317858990640094E-2</v>
      </c>
      <c r="H2457" s="203">
        <f>(H2456/H2458)-1</f>
        <v>3.1593187967531522E-2</v>
      </c>
      <c r="I2457" s="203">
        <f>(I2456/I2458)-1</f>
        <v>0.90440301467671569</v>
      </c>
      <c r="J2457" s="203">
        <f>(J2456/J2458)-1</f>
        <v>8.2103004291845494</v>
      </c>
      <c r="K2457" s="178"/>
      <c r="L2457" s="178"/>
      <c r="M2457" s="178"/>
      <c r="N2457" s="178"/>
      <c r="O2457" s="178"/>
      <c r="P2457" s="178"/>
      <c r="Q2457" s="178"/>
      <c r="R2457" s="195"/>
      <c r="S2457" s="178"/>
      <c r="T2457" s="180"/>
      <c r="U2457" s="189" t="str">
        <f>IFERROR(IF(Tableau3[[#This Row],[Dettes]]=0,"",(Tableau3[[#This Row],[Dettes]]/Tableau3[[#This Row],[EBE]])),"")</f>
        <v/>
      </c>
      <c r="V2457" s="190" t="str">
        <f>IFERROR(Tableau3[[#This Row],[Fonds propres]]/Tableau3[[#This Row],[Total Bilan]],"")</f>
        <v/>
      </c>
      <c r="W2457" s="180"/>
      <c r="Y2457" s="180"/>
      <c r="Z2457" s="192" t="str">
        <f>IFERROR(Tableau3[[#This Row],[Chiffre d''affaires]]/Tableau3[[#This Row],[Salariés]],"")</f>
        <v/>
      </c>
      <c r="AA2457" s="177"/>
      <c r="AC2457" s="10" t="s">
        <v>4989</v>
      </c>
    </row>
    <row r="2458" spans="1:29" ht="20.25" customHeight="1">
      <c r="A2458" s="217"/>
      <c r="E2458" s="187">
        <v>9.4</v>
      </c>
      <c r="F2458" s="178">
        <v>2021</v>
      </c>
      <c r="G2458" s="188">
        <v>42522000000</v>
      </c>
      <c r="H2458" s="188">
        <v>12566000000</v>
      </c>
      <c r="I2458" s="188">
        <v>2521000000</v>
      </c>
      <c r="J2458" s="188">
        <v>233000000</v>
      </c>
      <c r="K2458" s="188">
        <v>24269000000</v>
      </c>
      <c r="L2458" s="188">
        <v>32341000000</v>
      </c>
      <c r="M2458" s="194">
        <f>L2458/P2458</f>
        <v>12.15801198070673</v>
      </c>
      <c r="N2458" s="190">
        <f>J2456/Tableau3[[#This Row],[Fonds propres]]</f>
        <v>6.6355400265916326E-2</v>
      </c>
      <c r="O2458" s="190">
        <f>(I2458*0.7)/(Tableau3[[#This Row],[Dettes]]+Tableau3[[#This Row],[Fonds propres]])</f>
        <v>3.117293764352588E-2</v>
      </c>
      <c r="P2458" s="188">
        <v>2660056599</v>
      </c>
      <c r="Q2458" s="211">
        <f>P2458*E2456</f>
        <v>24685325238.719997</v>
      </c>
      <c r="R2458" s="195">
        <f>Q2458/L2458</f>
        <v>0.76328268262329546</v>
      </c>
      <c r="S2458" s="197">
        <f>(Q2458+K2458)/H2458</f>
        <v>3.8957763201273279</v>
      </c>
      <c r="T2458" s="180">
        <v>2400000000</v>
      </c>
      <c r="U2458" s="189">
        <f>IFERROR(IF(Tableau3[[#This Row],[Dettes]]=0,"",(Tableau3[[#This Row],[Dettes]]/Tableau3[[#This Row],[EBE]])),"")</f>
        <v>1.9313226165844342</v>
      </c>
      <c r="V2458" s="190" t="str">
        <f>IFERROR(Tableau3[[#This Row],[Fonds propres]]/Tableau3[[#This Row],[Total Bilan]],"")</f>
        <v/>
      </c>
      <c r="W2458" s="180"/>
      <c r="Y2458" s="180"/>
      <c r="Z2458" s="192" t="str">
        <f>IFERROR(Tableau3[[#This Row],[Chiffre d''affaires]]/Tableau3[[#This Row],[Salariés]],"")</f>
        <v/>
      </c>
      <c r="AA2458" s="177"/>
      <c r="AC2458" s="177" t="s">
        <v>4982</v>
      </c>
    </row>
    <row r="2459" spans="1:29" ht="20.25" customHeight="1">
      <c r="G2459" s="202">
        <f>(G2458/G2460)-1</f>
        <v>5.9616749467708008E-3</v>
      </c>
      <c r="H2459" s="203">
        <f>(H2458/H2460)-1</f>
        <v>-8.99053627760249E-3</v>
      </c>
      <c r="I2459" s="203">
        <f>(I2458/I2460)-1</f>
        <v>-0.54337982249592465</v>
      </c>
      <c r="J2459" s="203">
        <f>(J2458/J2460)-1</f>
        <v>-0.9516798009124845</v>
      </c>
      <c r="K2459" s="178"/>
      <c r="L2459" s="178"/>
      <c r="M2459" s="178"/>
      <c r="N2459" s="178"/>
      <c r="O2459" s="178"/>
      <c r="P2459" s="178"/>
      <c r="Q2459" s="178"/>
      <c r="R2459" s="195"/>
      <c r="S2459" s="178"/>
      <c r="T2459" s="180"/>
      <c r="U2459" s="189" t="str">
        <f>IFERROR(IF(Tableau3[[#This Row],[Dettes]]=0,"",(Tableau3[[#This Row],[Dettes]]/Tableau3[[#This Row],[EBE]])),"")</f>
        <v/>
      </c>
      <c r="V2459" s="190" t="str">
        <f>IFERROR(Tableau3[[#This Row],[Fonds propres]]/Tableau3[[#This Row],[Total Bilan]],"")</f>
        <v/>
      </c>
      <c r="W2459" s="180"/>
      <c r="Y2459" s="180"/>
      <c r="Z2459" s="192" t="str">
        <f>IFERROR(Tableau3[[#This Row],[Chiffre d''affaires]]/Tableau3[[#This Row],[Salariés]],"")</f>
        <v/>
      </c>
      <c r="AA2459" s="177"/>
      <c r="AC2459" s="177" t="s">
        <v>4983</v>
      </c>
    </row>
    <row r="2460" spans="1:29" ht="20.25" customHeight="1">
      <c r="A2460" s="217"/>
      <c r="E2460" s="178">
        <v>9.5</v>
      </c>
      <c r="F2460" s="178">
        <v>2020</v>
      </c>
      <c r="G2460" s="188">
        <v>42270000000</v>
      </c>
      <c r="H2460" s="211">
        <v>12680000000</v>
      </c>
      <c r="I2460" s="188">
        <v>5521000000</v>
      </c>
      <c r="J2460" s="188">
        <v>4822000000</v>
      </c>
      <c r="K2460" s="188">
        <v>23489000000</v>
      </c>
      <c r="L2460" s="188">
        <v>34557000000</v>
      </c>
      <c r="M2460" s="194">
        <f>L2460/P2460</f>
        <v>12.991076961667311</v>
      </c>
      <c r="N2460" s="190">
        <f>J2458/Tableau3[[#This Row],[Fonds propres]]</f>
        <v>6.7424834331683888E-3</v>
      </c>
      <c r="O2460" s="190">
        <f>(I2460*0.7)/(Tableau3[[#This Row],[Dettes]]+Tableau3[[#This Row],[Fonds propres]])</f>
        <v>6.6579953829721247E-2</v>
      </c>
      <c r="P2460" s="188">
        <v>2660056599</v>
      </c>
      <c r="Q2460" s="211">
        <f>P2460*E2460</f>
        <v>25270537690.5</v>
      </c>
      <c r="R2460" s="195">
        <f>Q2460/L2460</f>
        <v>0.7312711662036635</v>
      </c>
      <c r="S2460" s="197">
        <f>(Q2460+K2460)/H2460</f>
        <v>3.8453894077681388</v>
      </c>
      <c r="T2460" s="180"/>
      <c r="U2460" s="189">
        <f>IFERROR(IF(Tableau3[[#This Row],[Dettes]]=0,"",(Tableau3[[#This Row],[Dettes]]/Tableau3[[#This Row],[EBE]])),"")</f>
        <v>1.8524447949526814</v>
      </c>
      <c r="V2460" s="190" t="str">
        <f>IFERROR(Tableau3[[#This Row],[Fonds propres]]/Tableau3[[#This Row],[Total Bilan]],"")</f>
        <v/>
      </c>
      <c r="W2460" s="180"/>
      <c r="Y2460" s="180"/>
      <c r="Z2460" s="192" t="str">
        <f>IFERROR(Tableau3[[#This Row],[Chiffre d''affaires]]/Tableau3[[#This Row],[Salariés]],"")</f>
        <v/>
      </c>
      <c r="AA2460" s="177"/>
      <c r="AC2460" s="177" t="s">
        <v>4985</v>
      </c>
    </row>
    <row r="2461" spans="1:29" ht="20.25" customHeight="1">
      <c r="A2461" s="217"/>
      <c r="G2461" s="202">
        <f>(G2460/G2462)-1</f>
        <v>2.8231833171217247E-3</v>
      </c>
      <c r="H2461" s="203">
        <f>(H2460/H2462)-1</f>
        <v>-1.3690105787181106E-2</v>
      </c>
      <c r="I2461" s="203">
        <f>(I2460/I2462)-1</f>
        <v>-6.8971332209106229E-2</v>
      </c>
      <c r="J2461" s="203">
        <f>(J2460/J2462)-1</f>
        <v>0.60519307589880156</v>
      </c>
      <c r="K2461" s="178"/>
      <c r="L2461" s="178"/>
      <c r="M2461" s="178"/>
      <c r="N2461" s="178"/>
      <c r="O2461" s="178"/>
      <c r="P2461" s="188"/>
      <c r="Q2461" s="178"/>
      <c r="R2461" s="195"/>
      <c r="S2461" s="178"/>
      <c r="T2461" s="180"/>
      <c r="U2461" s="189" t="str">
        <f>IFERROR(IF(Tableau3[[#This Row],[Dettes]]=0,"",(Tableau3[[#This Row],[Dettes]]/Tableau3[[#This Row],[EBE]])),"")</f>
        <v/>
      </c>
      <c r="V2461" s="190" t="str">
        <f>IFERROR(Tableau3[[#This Row],[Fonds propres]]/Tableau3[[#This Row],[Total Bilan]],"")</f>
        <v/>
      </c>
      <c r="W2461" s="180"/>
      <c r="Y2461" s="180"/>
      <c r="Z2461" s="192" t="str">
        <f>IFERROR(Tableau3[[#This Row],[Chiffre d''affaires]]/Tableau3[[#This Row],[Salariés]],"")</f>
        <v/>
      </c>
      <c r="AA2461" s="177"/>
      <c r="AC2461" s="177" t="s">
        <v>1744</v>
      </c>
    </row>
    <row r="2462" spans="1:29" ht="20.25" customHeight="1">
      <c r="A2462" s="217"/>
      <c r="E2462" s="187">
        <v>9.73</v>
      </c>
      <c r="F2462" s="178">
        <v>2019</v>
      </c>
      <c r="G2462" s="188">
        <v>42151000000</v>
      </c>
      <c r="H2462" s="211">
        <v>12856000000</v>
      </c>
      <c r="I2462" s="188">
        <v>5930000000</v>
      </c>
      <c r="J2462" s="188">
        <v>3004000000</v>
      </c>
      <c r="K2462" s="188">
        <v>25466000000</v>
      </c>
      <c r="L2462" s="188">
        <v>31725000000</v>
      </c>
      <c r="M2462" s="194">
        <f>L2462/P2462</f>
        <v>11.926437960728519</v>
      </c>
      <c r="N2462" s="190">
        <f>J2460/Tableau3[[#This Row],[Fonds propres]]</f>
        <v>0.15199369582348304</v>
      </c>
      <c r="O2462" s="190">
        <f>(I2462*0.7)/(Tableau3[[#This Row],[Dettes]]+Tableau3[[#This Row],[Fonds propres]])</f>
        <v>7.2581350212446008E-2</v>
      </c>
      <c r="P2462" s="188">
        <v>2660056599</v>
      </c>
      <c r="Q2462" s="211">
        <f>P2462*E2462</f>
        <v>25882350708.27</v>
      </c>
      <c r="R2462" s="195">
        <f>Q2462/L2462</f>
        <v>0.81583453769172576</v>
      </c>
      <c r="S2462" s="197">
        <f>(Q2462+K2462)/H2462</f>
        <v>3.9941156431448355</v>
      </c>
      <c r="T2462" s="180"/>
      <c r="U2462" s="189">
        <f>IFERROR(IF(Tableau3[[#This Row],[Dettes]]=0,"",(Tableau3[[#This Row],[Dettes]]/Tableau3[[#This Row],[EBE]])),"")</f>
        <v>1.9808649657747355</v>
      </c>
      <c r="V2462" s="190" t="str">
        <f>IFERROR(Tableau3[[#This Row],[Fonds propres]]/Tableau3[[#This Row],[Total Bilan]],"")</f>
        <v/>
      </c>
      <c r="W2462" s="180"/>
      <c r="X2462" s="191"/>
      <c r="Y2462" s="180">
        <v>146768</v>
      </c>
      <c r="Z2462" s="192">
        <f>IFERROR(Tableau3[[#This Row],[Chiffre d''affaires]]/Tableau3[[#This Row],[Salariés]],"")</f>
        <v>287194.75635015807</v>
      </c>
      <c r="AA2462" s="197"/>
      <c r="AB2462" s="197"/>
      <c r="AC2462" s="177" t="s">
        <v>1746</v>
      </c>
    </row>
    <row r="2463" spans="1:29" ht="20.25" customHeight="1">
      <c r="E2463" s="187"/>
      <c r="G2463" s="202">
        <f>(G2462/G2464)-1</f>
        <v>1.8541805570081005E-2</v>
      </c>
      <c r="H2463" s="203">
        <f>(H2462/H2464)-1</f>
        <v>-1.8625954198473238E-2</v>
      </c>
      <c r="I2463" s="203">
        <f>(I2462/I2464)-1</f>
        <v>0.22799751501346033</v>
      </c>
      <c r="J2463" s="203">
        <f>(J2462/J2464)-1</f>
        <v>0.53735926305015358</v>
      </c>
      <c r="K2463" s="178"/>
      <c r="L2463" s="178"/>
      <c r="M2463" s="178"/>
      <c r="N2463" s="178"/>
      <c r="O2463" s="178"/>
      <c r="P2463" s="178"/>
      <c r="Q2463" s="178"/>
      <c r="R2463" s="195"/>
      <c r="S2463" s="178"/>
      <c r="T2463" s="180"/>
      <c r="U2463" s="189" t="str">
        <f>IFERROR(IF(Tableau3[[#This Row],[Dettes]]=0,"",(Tableau3[[#This Row],[Dettes]]/Tableau3[[#This Row],[EBE]])),"")</f>
        <v/>
      </c>
      <c r="V2463" s="190" t="str">
        <f>IFERROR(Tableau3[[#This Row],[Fonds propres]]/Tableau3[[#This Row],[Total Bilan]],"")</f>
        <v/>
      </c>
      <c r="W2463" s="180"/>
      <c r="Y2463" s="180"/>
      <c r="Z2463" s="192" t="str">
        <f>IFERROR(Tableau3[[#This Row],[Chiffre d''affaires]]/Tableau3[[#This Row],[Salariés]],"")</f>
        <v/>
      </c>
      <c r="AA2463" s="177"/>
      <c r="AC2463" s="177" t="s">
        <v>4984</v>
      </c>
    </row>
    <row r="2464" spans="1:29" ht="20.25" customHeight="1">
      <c r="A2464" s="217"/>
      <c r="E2464" s="187">
        <v>14</v>
      </c>
      <c r="F2464" s="178">
        <v>2018</v>
      </c>
      <c r="G2464" s="188">
        <f>G2466*1.007</f>
        <v>41383671999.999992</v>
      </c>
      <c r="H2464" s="188">
        <v>13100000000</v>
      </c>
      <c r="I2464" s="188">
        <v>4829000000</v>
      </c>
      <c r="J2464" s="188">
        <v>1954000000</v>
      </c>
      <c r="K2464" s="188">
        <v>25441000000</v>
      </c>
      <c r="L2464" s="188">
        <v>30669000000</v>
      </c>
      <c r="M2464" s="194">
        <f>L2464/P2464</f>
        <v>11.529453926480157</v>
      </c>
      <c r="N2464" s="190">
        <f>J2462/Tableau3[[#This Row],[Fonds propres]]</f>
        <v>9.7949069092569049E-2</v>
      </c>
      <c r="O2464" s="190">
        <f>(I2464*0.7)/(Tableau3[[#This Row],[Dettes]]+Tableau3[[#This Row],[Fonds propres]])</f>
        <v>6.0244163250757439E-2</v>
      </c>
      <c r="P2464" s="188">
        <v>2660056599</v>
      </c>
      <c r="Q2464" s="211">
        <f>P2464*E2464</f>
        <v>37240792386</v>
      </c>
      <c r="R2464" s="195">
        <f>Q2464/L2464</f>
        <v>1.2142812737943851</v>
      </c>
      <c r="S2464" s="197">
        <f>(Q2464+K2464)/H2464</f>
        <v>4.7848696477862598</v>
      </c>
      <c r="T2464" s="180"/>
      <c r="U2464" s="189">
        <f>IFERROR(IF(Tableau3[[#This Row],[Dettes]]=0,"",(Tableau3[[#This Row],[Dettes]]/Tableau3[[#This Row],[EBE]])),"")</f>
        <v>1.9420610687022901</v>
      </c>
      <c r="V2464" s="190" t="str">
        <f>IFERROR(Tableau3[[#This Row],[Fonds propres]]/Tableau3[[#This Row],[Total Bilan]],"")</f>
        <v/>
      </c>
      <c r="W2464" s="180"/>
      <c r="X2464" s="191"/>
      <c r="Y2464" s="180"/>
      <c r="Z2464" s="192" t="str">
        <f>IFERROR(Tableau3[[#This Row],[Chiffre d''affaires]]/Tableau3[[#This Row],[Salariés]],"")</f>
        <v/>
      </c>
      <c r="AA2464" s="197"/>
      <c r="AB2464" s="197"/>
      <c r="AC2464" s="177" t="s">
        <v>4981</v>
      </c>
    </row>
    <row r="2465" spans="5:32" ht="20.25" customHeight="1">
      <c r="E2465" s="187"/>
      <c r="G2465" s="202">
        <f>(G2464/G2466)-1</f>
        <v>6.9999999999998952E-3</v>
      </c>
      <c r="H2465" s="203">
        <f>(H2464/H2466)-1</f>
        <v>2.192058662922225E-2</v>
      </c>
      <c r="I2465" s="203">
        <f>(I2464/I2466)-1</f>
        <v>-1.7897091722595126E-2</v>
      </c>
      <c r="J2465" s="203">
        <f>(J2464/J2466)-1</f>
        <v>2.5183630640083887E-2</v>
      </c>
      <c r="K2465" s="188"/>
      <c r="L2465" s="188"/>
      <c r="M2465" s="188"/>
      <c r="N2465" s="188"/>
      <c r="O2465" s="188"/>
      <c r="P2465" s="188"/>
      <c r="Q2465" s="188"/>
      <c r="R2465" s="195"/>
      <c r="S2465" s="188"/>
      <c r="T2465" s="180"/>
      <c r="U2465" s="189" t="str">
        <f>IFERROR(IF(Tableau3[[#This Row],[Dettes]]=0,"",(Tableau3[[#This Row],[Dettes]]/Tableau3[[#This Row],[EBE]])),"")</f>
        <v/>
      </c>
      <c r="V2465" s="190" t="str">
        <f>IFERROR(Tableau3[[#This Row],[Fonds propres]]/Tableau3[[#This Row],[Total Bilan]],"")</f>
        <v/>
      </c>
      <c r="W2465" s="180"/>
      <c r="X2465" s="192"/>
      <c r="Y2465" s="180"/>
      <c r="Z2465" s="192" t="str">
        <f>IFERROR(Tableau3[[#This Row],[Chiffre d''affaires]]/Tableau3[[#This Row],[Salariés]],"")</f>
        <v/>
      </c>
      <c r="AA2465" s="188"/>
      <c r="AB2465" s="188"/>
      <c r="AC2465" s="177" t="s">
        <v>1747</v>
      </c>
    </row>
    <row r="2466" spans="5:32" ht="20.25" customHeight="1">
      <c r="E2466" s="187">
        <v>14.5</v>
      </c>
      <c r="F2466" s="178">
        <v>2017</v>
      </c>
      <c r="G2466" s="188">
        <v>41096000000</v>
      </c>
      <c r="H2466" s="188">
        <v>12819000000</v>
      </c>
      <c r="I2466" s="188">
        <v>4917000000</v>
      </c>
      <c r="J2466" s="188">
        <v>1906000000</v>
      </c>
      <c r="K2466" s="188">
        <v>23843000000</v>
      </c>
      <c r="L2466" s="188">
        <v>30488000000</v>
      </c>
      <c r="M2466" s="194">
        <f>L2466/P2466</f>
        <v>11.461410261519026</v>
      </c>
      <c r="N2466" s="190">
        <f>J2464/Tableau3[[#This Row],[Fonds propres]]</f>
        <v>6.4090789818945157E-2</v>
      </c>
      <c r="O2466" s="190">
        <f>(I2466*0.7)/(Tableau3[[#This Row],[Dettes]]+Tableau3[[#This Row],[Fonds propres]])</f>
        <v>6.3350573337505295E-2</v>
      </c>
      <c r="P2466" s="188">
        <v>2660056599</v>
      </c>
      <c r="Q2466" s="211">
        <f>P2466*E2466</f>
        <v>38570820685.5</v>
      </c>
      <c r="R2466" s="195">
        <f>Q2466/L2466</f>
        <v>1.2651148217495407</v>
      </c>
      <c r="S2466" s="197">
        <f>(Q2466+K2466)/H2466</f>
        <v>4.8688525380684924</v>
      </c>
      <c r="T2466" s="180"/>
      <c r="U2466" s="189">
        <f>IFERROR(IF(Tableau3[[#This Row],[Dettes]]=0,"",(Tableau3[[#This Row],[Dettes]]/Tableau3[[#This Row],[EBE]])),"")</f>
        <v>1.8599734768702707</v>
      </c>
      <c r="V2466" s="190" t="str">
        <f>IFERROR(Tableau3[[#This Row],[Fonds propres]]/Tableau3[[#This Row],[Total Bilan]],"")</f>
        <v/>
      </c>
      <c r="W2466" s="180"/>
      <c r="X2466" s="191"/>
      <c r="Y2466" s="180"/>
      <c r="Z2466" s="192" t="str">
        <f>IFERROR(Tableau3[[#This Row],[Chiffre d''affaires]]/Tableau3[[#This Row],[Salariés]],"")</f>
        <v/>
      </c>
      <c r="AA2466" s="197"/>
      <c r="AB2466" s="197"/>
      <c r="AC2466" s="177" t="s">
        <v>4977</v>
      </c>
    </row>
    <row r="2467" spans="5:32" ht="20.25" customHeight="1">
      <c r="E2467" s="187"/>
      <c r="G2467" s="202">
        <f>(G2466/G2468)-1</f>
        <v>4.3501637421183847E-3</v>
      </c>
      <c r="H2467" s="203">
        <f>(H2466/H2468)-1</f>
        <v>1.0802712505913803E-2</v>
      </c>
      <c r="I2467" s="203">
        <f>(I2466/I2468)-1</f>
        <v>0.20603384841795447</v>
      </c>
      <c r="J2467" s="203">
        <f>(J2466/J2468)-1</f>
        <v>-0.35059625212947187</v>
      </c>
      <c r="K2467" s="188"/>
      <c r="L2467" s="188"/>
      <c r="M2467" s="188"/>
      <c r="N2467" s="188"/>
      <c r="O2467" s="188"/>
      <c r="P2467" s="188"/>
      <c r="Q2467" s="188"/>
      <c r="R2467" s="195"/>
      <c r="S2467" s="188"/>
      <c r="T2467" s="180"/>
      <c r="U2467" s="189" t="str">
        <f>IFERROR(IF(Tableau3[[#This Row],[Dettes]]=0,"",(Tableau3[[#This Row],[Dettes]]/Tableau3[[#This Row],[EBE]])),"")</f>
        <v/>
      </c>
      <c r="V2467" s="190" t="str">
        <f>IFERROR(Tableau3[[#This Row],[Fonds propres]]/Tableau3[[#This Row],[Total Bilan]],"")</f>
        <v/>
      </c>
      <c r="W2467" s="180"/>
      <c r="X2467" s="192"/>
      <c r="Y2467" s="180"/>
      <c r="Z2467" s="192" t="str">
        <f>IFERROR(Tableau3[[#This Row],[Chiffre d''affaires]]/Tableau3[[#This Row],[Salariés]],"")</f>
        <v/>
      </c>
      <c r="AA2467" s="188"/>
      <c r="AB2467" s="188"/>
      <c r="AC2467" s="177" t="s">
        <v>1745</v>
      </c>
    </row>
    <row r="2468" spans="5:32" ht="20.25" customHeight="1">
      <c r="E2468" s="187">
        <v>14.44</v>
      </c>
      <c r="F2468" s="178">
        <v>2016</v>
      </c>
      <c r="G2468" s="188">
        <v>40918000000</v>
      </c>
      <c r="H2468" s="188">
        <v>12682000000</v>
      </c>
      <c r="I2468" s="188">
        <v>4077000000</v>
      </c>
      <c r="J2468" s="188">
        <v>2935000000</v>
      </c>
      <c r="K2468" s="188">
        <v>24444000000</v>
      </c>
      <c r="L2468" s="188">
        <v>30688000000</v>
      </c>
      <c r="M2468" s="194">
        <f>L2468/P2468</f>
        <v>11.536596631641821</v>
      </c>
      <c r="N2468" s="190">
        <f>J2466/Tableau3[[#This Row],[Fonds propres]]</f>
        <v>6.2108967674661106E-2</v>
      </c>
      <c r="O2468" s="190">
        <f>(I2468*0.7)/(Tableau3[[#This Row],[Dettes]]+Tableau3[[#This Row],[Fonds propres]])</f>
        <v>5.1764855256475367E-2</v>
      </c>
      <c r="P2468" s="188">
        <v>2660056599</v>
      </c>
      <c r="Q2468" s="211">
        <f>P2468*E2468</f>
        <v>38411217289.559998</v>
      </c>
      <c r="R2468" s="195">
        <f>Q2468/L2468</f>
        <v>1.2516689679861834</v>
      </c>
      <c r="S2468" s="197">
        <f>(Q2468+K2468)/H2468</f>
        <v>4.9562543202617881</v>
      </c>
      <c r="T2468" s="180"/>
      <c r="U2468" s="189">
        <f>IFERROR(IF(Tableau3[[#This Row],[Dettes]]=0,"",(Tableau3[[#This Row],[Dettes]]/Tableau3[[#This Row],[EBE]])),"")</f>
        <v>1.9274562371865636</v>
      </c>
      <c r="V2468" s="190" t="str">
        <f>IFERROR(Tableau3[[#This Row],[Fonds propres]]/Tableau3[[#This Row],[Total Bilan]],"")</f>
        <v/>
      </c>
      <c r="W2468" s="180"/>
      <c r="X2468" s="191"/>
      <c r="Y2468" s="180"/>
      <c r="Z2468" s="192" t="str">
        <f>IFERROR(Tableau3[[#This Row],[Chiffre d''affaires]]/Tableau3[[#This Row],[Salariés]],"")</f>
        <v/>
      </c>
      <c r="AA2468" s="197"/>
      <c r="AB2468" s="197"/>
      <c r="AC2468" s="177" t="s">
        <v>4978</v>
      </c>
    </row>
    <row r="2469" spans="5:32" ht="20.25" customHeight="1">
      <c r="E2469" s="187"/>
      <c r="G2469" s="202">
        <f>(G2468/G2470)-1</f>
        <v>1.6949995029327036E-2</v>
      </c>
      <c r="H2469" s="203">
        <f>(H2468/H2470)-1</f>
        <v>2.1259462071187007E-2</v>
      </c>
      <c r="I2469" s="203">
        <f>(I2468/I2470)-1</f>
        <v>-0.14023618726275833</v>
      </c>
      <c r="J2469" s="203">
        <f>(J2468/J2470)-1</f>
        <v>0.10671191553544501</v>
      </c>
      <c r="K2469" s="188"/>
      <c r="L2469" s="188"/>
      <c r="M2469" s="188"/>
      <c r="N2469" s="188"/>
      <c r="O2469" s="188"/>
      <c r="P2469" s="188"/>
      <c r="Q2469" s="188"/>
      <c r="R2469" s="195"/>
      <c r="S2469" s="188"/>
      <c r="T2469" s="180"/>
      <c r="U2469" s="189" t="str">
        <f>IFERROR(IF(Tableau3[[#This Row],[Dettes]]=0,"",(Tableau3[[#This Row],[Dettes]]/Tableau3[[#This Row],[EBE]])),"")</f>
        <v/>
      </c>
      <c r="V2469" s="190" t="str">
        <f>IFERROR(Tableau3[[#This Row],[Fonds propres]]/Tableau3[[#This Row],[Total Bilan]],"")</f>
        <v/>
      </c>
      <c r="W2469" s="180"/>
      <c r="X2469" s="192"/>
      <c r="Y2469" s="180"/>
      <c r="Z2469" s="192" t="str">
        <f>IFERROR(Tableau3[[#This Row],[Chiffre d''affaires]]/Tableau3[[#This Row],[Salariés]],"")</f>
        <v/>
      </c>
      <c r="AA2469" s="188"/>
      <c r="AB2469" s="188"/>
      <c r="AC2469" s="177" t="s">
        <v>4979</v>
      </c>
    </row>
    <row r="2470" spans="5:32" ht="20.25" customHeight="1">
      <c r="E2470" s="187">
        <v>15.58</v>
      </c>
      <c r="F2470" s="178">
        <v>2015</v>
      </c>
      <c r="G2470" s="188">
        <v>40236000000</v>
      </c>
      <c r="H2470" s="188">
        <v>12418000000</v>
      </c>
      <c r="I2470" s="188">
        <v>4742000000</v>
      </c>
      <c r="J2470" s="188">
        <v>2652000000</v>
      </c>
      <c r="K2470" s="188">
        <v>26552000000</v>
      </c>
      <c r="L2470" s="188">
        <v>30907000000</v>
      </c>
      <c r="M2470" s="194">
        <f>L2470/P2470</f>
        <v>11.667926516698213</v>
      </c>
      <c r="N2470" s="190">
        <f>J2468/Tableau3[[#This Row],[Fonds propres]]</f>
        <v>9.4962306273659688E-2</v>
      </c>
      <c r="O2470" s="190">
        <f>(I2470*0.7)/(Tableau3[[#This Row],[Dettes]]+Tableau3[[#This Row],[Fonds propres]])</f>
        <v>5.7769888094119287E-2</v>
      </c>
      <c r="P2470" s="188">
        <v>2648885383</v>
      </c>
      <c r="Q2470" s="211">
        <f>P2470*E2470</f>
        <v>41269634267.139999</v>
      </c>
      <c r="R2470" s="195">
        <f>Q2470/L2470</f>
        <v>1.3352843778800918</v>
      </c>
      <c r="S2470" s="197">
        <f>(Q2470+K2470)/H2470</f>
        <v>5.4615585655612824</v>
      </c>
      <c r="T2470" s="180"/>
      <c r="U2470" s="189">
        <f>IFERROR(IF(Tableau3[[#This Row],[Dettes]]=0,"",(Tableau3[[#This Row],[Dettes]]/Tableau3[[#This Row],[EBE]])),"")</f>
        <v>2.1381865034627152</v>
      </c>
      <c r="V2470" s="190" t="str">
        <f>IFERROR(Tableau3[[#This Row],[Fonds propres]]/Tableau3[[#This Row],[Total Bilan]],"")</f>
        <v/>
      </c>
      <c r="W2470" s="180"/>
      <c r="X2470" s="191"/>
      <c r="Y2470" s="180"/>
      <c r="Z2470" s="192" t="str">
        <f>IFERROR(Tableau3[[#This Row],[Chiffre d''affaires]]/Tableau3[[#This Row],[Salariés]],"")</f>
        <v/>
      </c>
      <c r="AA2470" s="197"/>
      <c r="AB2470" s="197"/>
      <c r="AC2470" s="177" t="s">
        <v>1748</v>
      </c>
    </row>
    <row r="2471" spans="5:32" ht="20.25" customHeight="1">
      <c r="E2471" s="187"/>
      <c r="G2471" s="202">
        <f>(G2470/G2472)-1</f>
        <v>2.0053238686779107E-2</v>
      </c>
      <c r="H2471" s="203">
        <f>(H2470/H2472)-1</f>
        <v>2.1385096232932943E-2</v>
      </c>
      <c r="I2471" s="203">
        <f>(I2470/I2472)-1</f>
        <v>3.740975716473427E-2</v>
      </c>
      <c r="J2471" s="203">
        <f>(J2470/J2472)-1</f>
        <v>1.8670270270270271</v>
      </c>
      <c r="K2471" s="188"/>
      <c r="L2471" s="188"/>
      <c r="M2471" s="188"/>
      <c r="N2471" s="188"/>
      <c r="O2471" s="188"/>
      <c r="P2471" s="188"/>
      <c r="Q2471" s="188"/>
      <c r="R2471" s="195"/>
      <c r="S2471" s="188"/>
      <c r="T2471" s="180"/>
      <c r="U2471" s="189" t="str">
        <f>IFERROR(IF(Tableau3[[#This Row],[Dettes]]=0,"",(Tableau3[[#This Row],[Dettes]]/Tableau3[[#This Row],[EBE]])),"")</f>
        <v/>
      </c>
      <c r="V2471" s="190" t="str">
        <f>IFERROR(Tableau3[[#This Row],[Fonds propres]]/Tableau3[[#This Row],[Total Bilan]],"")</f>
        <v/>
      </c>
      <c r="W2471" s="180"/>
      <c r="X2471" s="192"/>
      <c r="Y2471" s="180"/>
      <c r="Z2471" s="192" t="str">
        <f>IFERROR(Tableau3[[#This Row],[Chiffre d''affaires]]/Tableau3[[#This Row],[Salariés]],"")</f>
        <v/>
      </c>
      <c r="AA2471" s="188"/>
      <c r="AB2471" s="188"/>
      <c r="AC2471" s="177" t="s">
        <v>4980</v>
      </c>
    </row>
    <row r="2472" spans="5:32" ht="20.25" customHeight="1">
      <c r="E2472" s="187">
        <v>14.49</v>
      </c>
      <c r="F2472" s="178">
        <v>2014</v>
      </c>
      <c r="G2472" s="188">
        <v>39445000000</v>
      </c>
      <c r="H2472" s="188">
        <v>12158000000</v>
      </c>
      <c r="I2472" s="188">
        <v>4571000000</v>
      </c>
      <c r="J2472" s="188">
        <v>925000000</v>
      </c>
      <c r="K2472" s="188">
        <v>26090000000</v>
      </c>
      <c r="L2472" s="188">
        <v>20559000000</v>
      </c>
      <c r="M2472" s="194">
        <f>L2472/P2472</f>
        <v>7.7613777220952711</v>
      </c>
      <c r="N2472" s="190">
        <f>J2470/Tableau3[[#This Row],[Fonds propres]]</f>
        <v>0.12899460090471326</v>
      </c>
      <c r="O2472" s="190">
        <f>(I2472*0.7)/(Tableau3[[#This Row],[Dettes]]+Tableau3[[#This Row],[Fonds propres]])</f>
        <v>6.8590966580205359E-2</v>
      </c>
      <c r="P2472" s="188">
        <v>2648885383</v>
      </c>
      <c r="Q2472" s="211">
        <f>P2472*E2472</f>
        <v>38382349199.669998</v>
      </c>
      <c r="R2472" s="195">
        <f>Q2472/L2472</f>
        <v>1.8669365825025535</v>
      </c>
      <c r="S2472" s="197">
        <f>(Q2472+K2472)/H2472</f>
        <v>5.3028745846084879</v>
      </c>
      <c r="T2472" s="180"/>
      <c r="U2472" s="189">
        <f>IFERROR(IF(Tableau3[[#This Row],[Dettes]]=0,"",(Tableau3[[#This Row],[Dettes]]/Tableau3[[#This Row],[EBE]])),"")</f>
        <v>2.1459121566047048</v>
      </c>
      <c r="V2472" s="190" t="str">
        <f>IFERROR(Tableau3[[#This Row],[Fonds propres]]/Tableau3[[#This Row],[Total Bilan]],"")</f>
        <v/>
      </c>
      <c r="W2472" s="180"/>
      <c r="X2472" s="191"/>
      <c r="Y2472" s="180"/>
      <c r="Z2472" s="192" t="str">
        <f>IFERROR(Tableau3[[#This Row],[Chiffre d''affaires]]/Tableau3[[#This Row],[Salariés]],"")</f>
        <v/>
      </c>
      <c r="AA2472" s="197"/>
      <c r="AB2472" s="197"/>
      <c r="AC2472" s="177" t="s">
        <v>1749</v>
      </c>
    </row>
    <row r="2473" spans="5:32" ht="20.25" customHeight="1">
      <c r="E2473" s="187"/>
      <c r="G2473" s="202">
        <f>(G2472/G2474)-1</f>
        <v>-3.7480783777848248E-2</v>
      </c>
      <c r="H2473" s="203">
        <f>(H2472/H2474)-1</f>
        <v>-3.8817297810103568E-2</v>
      </c>
      <c r="I2473" s="203">
        <f>(I2472/I2474)-1</f>
        <v>-0.14288393024564039</v>
      </c>
      <c r="J2473" s="203">
        <f>(J2472/J2474)-1</f>
        <v>-0.50613988254137743</v>
      </c>
      <c r="K2473" s="188"/>
      <c r="L2473" s="188"/>
      <c r="M2473" s="188"/>
      <c r="N2473" s="188"/>
      <c r="O2473" s="188"/>
      <c r="P2473" s="188"/>
      <c r="Q2473" s="188"/>
      <c r="R2473" s="195"/>
      <c r="S2473" s="188"/>
      <c r="T2473" s="180"/>
      <c r="U2473" s="189" t="str">
        <f>IFERROR(IF(Tableau3[[#This Row],[Dettes]]=0,"",(Tableau3[[#This Row],[Dettes]]/Tableau3[[#This Row],[EBE]])),"")</f>
        <v/>
      </c>
      <c r="V2473" s="190" t="str">
        <f>IFERROR(Tableau3[[#This Row],[Fonds propres]]/Tableau3[[#This Row],[Total Bilan]],"")</f>
        <v/>
      </c>
      <c r="W2473" s="180"/>
      <c r="X2473" s="192"/>
      <c r="Y2473" s="180"/>
      <c r="Z2473" s="192" t="str">
        <f>IFERROR(Tableau3[[#This Row],[Chiffre d''affaires]]/Tableau3[[#This Row],[Salariés]],"")</f>
        <v/>
      </c>
      <c r="AA2473" s="188"/>
      <c r="AB2473" s="188"/>
      <c r="AC2473" s="177" t="s">
        <v>1750</v>
      </c>
      <c r="AD2473" s="188"/>
      <c r="AE2473" s="188"/>
      <c r="AF2473" s="188"/>
    </row>
    <row r="2474" spans="5:32" ht="20.25" customHeight="1">
      <c r="E2474" s="187">
        <v>8.84</v>
      </c>
      <c r="F2474" s="178">
        <v>2013</v>
      </c>
      <c r="G2474" s="188">
        <v>40981000000</v>
      </c>
      <c r="H2474" s="188">
        <v>12649000000</v>
      </c>
      <c r="I2474" s="188">
        <v>5333000000</v>
      </c>
      <c r="J2474" s="188">
        <v>1873000000</v>
      </c>
      <c r="K2474" s="188">
        <v>30726000000</v>
      </c>
      <c r="L2474" s="188">
        <v>24349000000</v>
      </c>
      <c r="M2474" s="194">
        <f>L2474/P2474</f>
        <v>9.1921682063961168</v>
      </c>
      <c r="N2474" s="190">
        <f>J2472/Tableau3[[#This Row],[Fonds propres]]</f>
        <v>3.7989239804509425E-2</v>
      </c>
      <c r="O2474" s="190">
        <f>(I2474*0.7)/(Tableau3[[#This Row],[Dettes]]+Tableau3[[#This Row],[Fonds propres]])</f>
        <v>6.7782115297321838E-2</v>
      </c>
      <c r="P2474" s="188">
        <v>2648885383</v>
      </c>
      <c r="Q2474" s="211">
        <f>P2474*E2474</f>
        <v>23416146785.720001</v>
      </c>
      <c r="R2474" s="195">
        <f>Q2474/L2474</f>
        <v>0.96168823301655104</v>
      </c>
      <c r="S2474" s="197">
        <f>(Q2474+K2474)/H2474</f>
        <v>4.2803499712008852</v>
      </c>
      <c r="T2474" s="180"/>
      <c r="U2474" s="189">
        <f>IFERROR(IF(Tableau3[[#This Row],[Dettes]]=0,"",(Tableau3[[#This Row],[Dettes]]/Tableau3[[#This Row],[EBE]])),"")</f>
        <v>2.4291248320025298</v>
      </c>
      <c r="V2474" s="190" t="str">
        <f>IFERROR(Tableau3[[#This Row],[Fonds propres]]/Tableau3[[#This Row],[Total Bilan]],"")</f>
        <v/>
      </c>
      <c r="W2474" s="180"/>
      <c r="X2474" s="191"/>
      <c r="Y2474" s="180"/>
      <c r="Z2474" s="192" t="str">
        <f>IFERROR(Tableau3[[#This Row],[Chiffre d''affaires]]/Tableau3[[#This Row],[Salariés]],"")</f>
        <v/>
      </c>
      <c r="AA2474" s="197"/>
      <c r="AB2474" s="197"/>
      <c r="AC2474" s="177" t="s">
        <v>4992</v>
      </c>
    </row>
    <row r="2475" spans="5:32" ht="20.25" customHeight="1">
      <c r="E2475" s="187"/>
      <c r="G2475" s="202">
        <f>(G2474/G2476)-1</f>
        <v>-5.8232793289670237E-2</v>
      </c>
      <c r="H2475" s="203">
        <f>(H2474/H2476)-1</f>
        <v>-7.4689100219458626E-2</v>
      </c>
      <c r="I2475" s="203">
        <f>(I2474/I2476)-1</f>
        <v>0.27583732057416266</v>
      </c>
      <c r="J2475" s="203">
        <f>(J2474/J2476)-1</f>
        <v>1.2841463414634147</v>
      </c>
      <c r="K2475" s="188"/>
      <c r="L2475" s="188"/>
      <c r="M2475" s="188"/>
      <c r="N2475" s="188"/>
      <c r="O2475" s="188"/>
      <c r="P2475" s="178"/>
      <c r="Q2475" s="188"/>
      <c r="R2475" s="195"/>
      <c r="S2475" s="188"/>
      <c r="T2475" s="180"/>
      <c r="U2475" s="189" t="str">
        <f>IFERROR(IF(Tableau3[[#This Row],[Dettes]]=0,"",(Tableau3[[#This Row],[Dettes]]/Tableau3[[#This Row],[EBE]])),"")</f>
        <v/>
      </c>
      <c r="V2475" s="190" t="str">
        <f>IFERROR(Tableau3[[#This Row],[Fonds propres]]/Tableau3[[#This Row],[Total Bilan]],"")</f>
        <v/>
      </c>
      <c r="W2475" s="180"/>
      <c r="X2475" s="192"/>
      <c r="Y2475" s="180"/>
      <c r="Z2475" s="192" t="str">
        <f>IFERROR(Tableau3[[#This Row],[Chiffre d''affaires]]/Tableau3[[#This Row],[Salariés]],"")</f>
        <v/>
      </c>
      <c r="AA2475" s="188"/>
      <c r="AB2475" s="188"/>
      <c r="AC2475" s="177" t="s">
        <v>1751</v>
      </c>
    </row>
    <row r="2476" spans="5:32" ht="20.25" customHeight="1">
      <c r="E2476" s="187">
        <v>8.2799999999999994</v>
      </c>
      <c r="F2476" s="178">
        <v>2012</v>
      </c>
      <c r="G2476" s="188">
        <v>43515000000</v>
      </c>
      <c r="H2476" s="188">
        <v>13670000000</v>
      </c>
      <c r="I2476" s="188">
        <v>4180000000</v>
      </c>
      <c r="J2476" s="188">
        <v>820000000</v>
      </c>
      <c r="K2476" s="188">
        <v>30545000000</v>
      </c>
      <c r="L2476" s="188">
        <v>24306000000</v>
      </c>
      <c r="M2476" s="194">
        <f>L2476/P2476</f>
        <v>9.1759349634343916</v>
      </c>
      <c r="N2476" s="190">
        <f>J2476/L2476</f>
        <v>3.3736525960668146E-2</v>
      </c>
      <c r="O2476" s="190">
        <f>(I2476*0.64)/(K2476+(M2476*P2476))</f>
        <v>4.8772128128931107E-2</v>
      </c>
      <c r="P2476" s="188">
        <v>2648885383</v>
      </c>
      <c r="Q2476" s="211">
        <f>P2476*E2476</f>
        <v>21932770971.239998</v>
      </c>
      <c r="R2476" s="195">
        <f>Q2476/L2476</f>
        <v>0.9023603625129597</v>
      </c>
      <c r="S2476" s="197">
        <f>(Q2476+K2476)/H2476</f>
        <v>3.8389005831192389</v>
      </c>
      <c r="T2476" s="180"/>
      <c r="U2476" s="189">
        <f>IFERROR(IF(Tableau3[[#This Row],[Dettes]]=0,"",(Tableau3[[#This Row],[Dettes]]/Tableau3[[#This Row],[EBE]])),"")</f>
        <v>2.2344550109729333</v>
      </c>
      <c r="V2476" s="190" t="str">
        <f>IFERROR(Tableau3[[#This Row],[Fonds propres]]/Tableau3[[#This Row],[Total Bilan]],"")</f>
        <v/>
      </c>
      <c r="W2476" s="180"/>
      <c r="X2476" s="191"/>
      <c r="Y2476" s="180"/>
      <c r="Z2476" s="192" t="str">
        <f>IFERROR(Tableau3[[#This Row],[Chiffre d''affaires]]/Tableau3[[#This Row],[Salariés]],"")</f>
        <v/>
      </c>
      <c r="AA2476" s="197"/>
      <c r="AB2476" s="197"/>
      <c r="AC2476" s="177" t="s">
        <v>4993</v>
      </c>
    </row>
    <row r="2477" spans="5:32" ht="20.25" customHeight="1">
      <c r="E2477" s="187"/>
      <c r="G2477" s="202">
        <f>(G2476/G2478)-1</f>
        <v>-0.17832663003455507</v>
      </c>
      <c r="H2477" s="203">
        <f>(H2476/H2478)-1</f>
        <v>-0.28489223686963805</v>
      </c>
      <c r="I2477" s="203">
        <f>(I2476/I2478)-1</f>
        <v>-0.61292712288174833</v>
      </c>
      <c r="J2477" s="203">
        <f>(J2476/J2478)-1</f>
        <v>-0.87974776360170115</v>
      </c>
      <c r="K2477" s="188"/>
      <c r="L2477" s="188"/>
      <c r="M2477" s="188"/>
      <c r="N2477" s="188"/>
      <c r="O2477" s="188"/>
      <c r="P2477" s="188"/>
      <c r="Q2477" s="188"/>
      <c r="R2477" s="195"/>
      <c r="S2477" s="188"/>
      <c r="T2477" s="180"/>
      <c r="U2477" s="189" t="str">
        <f>IFERROR(IF(Tableau3[[#This Row],[Dettes]]=0,"",(Tableau3[[#This Row],[Dettes]]/Tableau3[[#This Row],[EBE]])),"")</f>
        <v/>
      </c>
      <c r="V2477" s="190" t="str">
        <f>IFERROR(Tableau3[[#This Row],[Fonds propres]]/Tableau3[[#This Row],[Total Bilan]],"")</f>
        <v/>
      </c>
      <c r="W2477" s="180"/>
      <c r="X2477" s="192"/>
      <c r="Y2477" s="180"/>
      <c r="Z2477" s="192" t="str">
        <f>IFERROR(Tableau3[[#This Row],[Chiffre d''affaires]]/Tableau3[[#This Row],[Salariés]],"")</f>
        <v/>
      </c>
      <c r="AA2477" s="188"/>
      <c r="AB2477" s="188"/>
      <c r="AC2477" s="177" t="s">
        <v>4994</v>
      </c>
    </row>
    <row r="2478" spans="5:32" ht="20.25" customHeight="1">
      <c r="E2478" s="187">
        <v>24.3</v>
      </c>
      <c r="F2478" s="178">
        <v>2007</v>
      </c>
      <c r="G2478" s="188">
        <v>52959000000</v>
      </c>
      <c r="H2478" s="188">
        <v>19116000000</v>
      </c>
      <c r="I2478" s="188">
        <v>10799000000</v>
      </c>
      <c r="J2478" s="188">
        <v>6819000000</v>
      </c>
      <c r="K2478" s="188">
        <v>37980000000</v>
      </c>
      <c r="L2478" s="188">
        <v>29855000000</v>
      </c>
      <c r="M2478" s="194">
        <f>L2478/P2478</f>
        <v>10.595265472530031</v>
      </c>
      <c r="N2478" s="190">
        <f>J2478/L2478</f>
        <v>0.22840395243677775</v>
      </c>
      <c r="O2478" s="190">
        <f>(I2478*0.64)/(K2478+(M2478*P2478))</f>
        <v>0.10188486769366846</v>
      </c>
      <c r="P2478" s="188">
        <v>2817768000</v>
      </c>
      <c r="Q2478" s="211">
        <f>P2478*E2478</f>
        <v>68471762400</v>
      </c>
      <c r="R2478" s="195">
        <f>Q2478/L2478</f>
        <v>2.2934772198961646</v>
      </c>
      <c r="S2478" s="197">
        <f>(Q2478+K2478)/H2478</f>
        <v>5.5687258003766482</v>
      </c>
      <c r="T2478" s="180"/>
      <c r="U2478" s="189">
        <f>IFERROR(IF(Tableau3[[#This Row],[Dettes]]=0,"",(Tableau3[[#This Row],[Dettes]]/Tableau3[[#This Row],[EBE]])),"")</f>
        <v>1.9868173258003767</v>
      </c>
      <c r="V2478" s="190" t="str">
        <f>IFERROR(Tableau3[[#This Row],[Fonds propres]]/Tableau3[[#This Row],[Total Bilan]],"")</f>
        <v/>
      </c>
      <c r="W2478" s="180"/>
      <c r="X2478" s="191"/>
      <c r="Y2478" s="180"/>
      <c r="Z2478" s="192" t="str">
        <f>IFERROR(Tableau3[[#This Row],[Chiffre d''affaires]]/Tableau3[[#This Row],[Salariés]],"")</f>
        <v/>
      </c>
      <c r="AA2478" s="197"/>
      <c r="AB2478" s="197"/>
      <c r="AC2478" s="177" t="s">
        <v>4987</v>
      </c>
    </row>
    <row r="2479" spans="5:32" ht="20.25" customHeight="1">
      <c r="G2479" s="188"/>
      <c r="H2479" s="178"/>
      <c r="I2479" s="178"/>
      <c r="J2479" s="178"/>
      <c r="K2479" s="178"/>
      <c r="L2479" s="178"/>
      <c r="M2479" s="178"/>
      <c r="N2479" s="178"/>
      <c r="O2479" s="178"/>
      <c r="P2479" s="178"/>
      <c r="Q2479" s="178"/>
      <c r="R2479" s="195"/>
      <c r="S2479" s="178"/>
      <c r="T2479" s="180"/>
      <c r="U2479" s="189" t="str">
        <f>IFERROR(IF(Tableau3[[#This Row],[Dettes]]=0,"",(Tableau3[[#This Row],[Dettes]]/Tableau3[[#This Row],[EBE]])),"")</f>
        <v/>
      </c>
      <c r="V2479" s="190" t="str">
        <f>IFERROR(Tableau3[[#This Row],[Fonds propres]]/Tableau3[[#This Row],[Total Bilan]],"")</f>
        <v/>
      </c>
      <c r="W2479" s="180"/>
      <c r="Y2479" s="180"/>
      <c r="Z2479" s="192" t="str">
        <f>IFERROR(Tableau3[[#This Row],[Chiffre d''affaires]]/Tableau3[[#This Row],[Salariés]],"")</f>
        <v/>
      </c>
      <c r="AA2479" s="177"/>
      <c r="AC2479" s="177" t="s">
        <v>4988</v>
      </c>
    </row>
    <row r="2480" spans="5:32" ht="20.25" customHeight="1">
      <c r="F2480" s="220" t="s">
        <v>1754</v>
      </c>
      <c r="G2480" s="188"/>
      <c r="H2480" s="178"/>
      <c r="I2480" s="178"/>
      <c r="J2480" s="178"/>
      <c r="K2480" s="178"/>
      <c r="L2480" s="178"/>
      <c r="M2480" s="178"/>
      <c r="N2480" s="178"/>
      <c r="O2480" s="178"/>
      <c r="P2480" s="178"/>
      <c r="Q2480" s="178"/>
      <c r="R2480" s="195"/>
      <c r="S2480" s="178"/>
      <c r="T2480" s="180"/>
      <c r="U2480" s="189" t="str">
        <f>IFERROR(IF(Tableau3[[#This Row],[Dettes]]=0,"",(Tableau3[[#This Row],[Dettes]]/Tableau3[[#This Row],[EBE]])),"")</f>
        <v/>
      </c>
      <c r="V2480" s="190" t="str">
        <f>IFERROR(Tableau3[[#This Row],[Fonds propres]]/Tableau3[[#This Row],[Total Bilan]],"")</f>
        <v/>
      </c>
      <c r="W2480" s="180"/>
      <c r="Y2480" s="180"/>
      <c r="Z2480" s="192" t="str">
        <f>IFERROR(Tableau3[[#This Row],[Chiffre d''affaires]]/Tableau3[[#This Row],[Salariés]],"")</f>
        <v/>
      </c>
      <c r="AA2480" s="177"/>
      <c r="AC2480" s="177" t="s">
        <v>1752</v>
      </c>
    </row>
    <row r="2481" spans="1:29" ht="20.25" customHeight="1">
      <c r="E2481" s="234"/>
      <c r="G2481" s="188"/>
      <c r="H2481" s="178"/>
      <c r="I2481" s="178"/>
      <c r="J2481" s="178"/>
      <c r="K2481" s="178"/>
      <c r="L2481" s="178"/>
      <c r="M2481" s="178"/>
      <c r="N2481" s="178"/>
      <c r="O2481" s="178"/>
      <c r="P2481" s="178"/>
      <c r="Q2481" s="178"/>
      <c r="R2481" s="195"/>
      <c r="S2481" s="178"/>
      <c r="T2481" s="180"/>
      <c r="U2481" s="189" t="str">
        <f>IFERROR(IF(Tableau3[[#This Row],[Dettes]]=0,"",(Tableau3[[#This Row],[Dettes]]/Tableau3[[#This Row],[EBE]])),"")</f>
        <v/>
      </c>
      <c r="V2481" s="190" t="str">
        <f>IFERROR(Tableau3[[#This Row],[Fonds propres]]/Tableau3[[#This Row],[Total Bilan]],"")</f>
        <v/>
      </c>
      <c r="W2481" s="180"/>
      <c r="Y2481" s="180"/>
      <c r="Z2481" s="192" t="str">
        <f>IFERROR(Tableau3[[#This Row],[Chiffre d''affaires]]/Tableau3[[#This Row],[Salariés]],"")</f>
        <v/>
      </c>
      <c r="AA2481" s="177"/>
      <c r="AC2481" s="177" t="s">
        <v>1753</v>
      </c>
    </row>
    <row r="2482" spans="1:29" ht="20.25" customHeight="1">
      <c r="A2482" s="217"/>
      <c r="E2482" s="234"/>
      <c r="G2482" s="188"/>
      <c r="H2482" s="178"/>
      <c r="I2482" s="178"/>
      <c r="J2482" s="178"/>
      <c r="K2482" s="178"/>
      <c r="L2482" s="178"/>
      <c r="M2482" s="178"/>
      <c r="N2482" s="178"/>
      <c r="O2482" s="178"/>
      <c r="P2482" s="178"/>
      <c r="Q2482" s="178"/>
      <c r="R2482" s="195"/>
      <c r="S2482" s="178"/>
      <c r="T2482" s="180"/>
      <c r="U2482" s="189" t="str">
        <f>IFERROR(IF(Tableau3[[#This Row],[Dettes]]=0,"",(Tableau3[[#This Row],[Dettes]]/Tableau3[[#This Row],[EBE]])),"")</f>
        <v/>
      </c>
      <c r="V2482" s="190" t="str">
        <f>IFERROR(Tableau3[[#This Row],[Fonds propres]]/Tableau3[[#This Row],[Total Bilan]],"")</f>
        <v/>
      </c>
      <c r="W2482" s="180"/>
      <c r="Y2482" s="180"/>
      <c r="Z2482" s="192" t="str">
        <f>IFERROR(Tableau3[[#This Row],[Chiffre d''affaires]]/Tableau3[[#This Row],[Salariés]],"")</f>
        <v/>
      </c>
      <c r="AA2482" s="177"/>
    </row>
    <row r="2483" spans="1:29" ht="20.25" customHeight="1">
      <c r="A2483" s="217"/>
      <c r="E2483" s="234"/>
      <c r="G2483" s="188"/>
      <c r="H2483" s="178"/>
      <c r="I2483" s="178"/>
      <c r="J2483" s="178"/>
      <c r="K2483" s="178"/>
      <c r="L2483" s="178"/>
      <c r="M2483" s="178"/>
      <c r="N2483" s="178"/>
      <c r="O2483" s="178"/>
      <c r="P2483" s="178"/>
      <c r="Q2483" s="178"/>
      <c r="R2483" s="195"/>
      <c r="S2483" s="178"/>
      <c r="T2483" s="180"/>
      <c r="U2483" s="189" t="str">
        <f>IFERROR(IF(Tableau3[[#This Row],[Dettes]]=0,"",(Tableau3[[#This Row],[Dettes]]/Tableau3[[#This Row],[EBE]])),"")</f>
        <v/>
      </c>
      <c r="V2483" s="190" t="str">
        <f>IFERROR(Tableau3[[#This Row],[Fonds propres]]/Tableau3[[#This Row],[Total Bilan]],"")</f>
        <v/>
      </c>
      <c r="W2483" s="180"/>
      <c r="Y2483" s="180"/>
      <c r="Z2483" s="192" t="str">
        <f>IFERROR(Tableau3[[#This Row],[Chiffre d''affaires]]/Tableau3[[#This Row],[Salariés]],"")</f>
        <v/>
      </c>
      <c r="AA2483" s="177"/>
    </row>
    <row r="2484" spans="1:29" ht="20.25" customHeight="1">
      <c r="A2484" s="217"/>
      <c r="E2484" s="234"/>
      <c r="G2484" s="188"/>
      <c r="H2484" s="178"/>
      <c r="I2484" s="178"/>
      <c r="J2484" s="178"/>
      <c r="K2484" s="178"/>
      <c r="L2484" s="178"/>
      <c r="M2484" s="178"/>
      <c r="N2484" s="178"/>
      <c r="O2484" s="178"/>
      <c r="P2484" s="178"/>
      <c r="Q2484" s="178"/>
      <c r="R2484" s="195"/>
      <c r="S2484" s="178"/>
      <c r="T2484" s="180"/>
      <c r="U2484" s="189" t="str">
        <f>IFERROR(IF(Tableau3[[#This Row],[Dettes]]=0,"",(Tableau3[[#This Row],[Dettes]]/Tableau3[[#This Row],[EBE]])),"")</f>
        <v/>
      </c>
      <c r="V2484" s="190" t="str">
        <f>IFERROR(Tableau3[[#This Row],[Fonds propres]]/Tableau3[[#This Row],[Total Bilan]],"")</f>
        <v/>
      </c>
      <c r="W2484" s="180"/>
      <c r="Y2484" s="180"/>
      <c r="Z2484" s="192" t="str">
        <f>IFERROR(Tableau3[[#This Row],[Chiffre d''affaires]]/Tableau3[[#This Row],[Salariés]],"")</f>
        <v/>
      </c>
      <c r="AA2484" s="177"/>
    </row>
    <row r="2485" spans="1:29" ht="20.25" customHeight="1">
      <c r="A2485" s="217" t="s">
        <v>1755</v>
      </c>
      <c r="B2485" s="216" t="s">
        <v>1737</v>
      </c>
      <c r="C2485" s="178" t="s">
        <v>47</v>
      </c>
      <c r="D2485" s="178" t="s">
        <v>48</v>
      </c>
      <c r="E2485" s="187">
        <v>132.25</v>
      </c>
      <c r="F2485" s="178">
        <v>2017</v>
      </c>
      <c r="G2485" s="188"/>
      <c r="H2485" s="188">
        <v>7500000000</v>
      </c>
      <c r="I2485" s="178"/>
      <c r="J2485" s="178"/>
      <c r="K2485" s="188">
        <v>9500000000</v>
      </c>
      <c r="L2485" s="178"/>
      <c r="M2485" s="178"/>
      <c r="N2485" s="178"/>
      <c r="O2485" s="178"/>
      <c r="P2485" s="188">
        <v>98431200</v>
      </c>
      <c r="Q2485" s="211">
        <f>P2485*E2485</f>
        <v>13017526200</v>
      </c>
      <c r="R2485" s="195"/>
      <c r="S2485" s="197">
        <f>(Q2485+K2485)/H2485</f>
        <v>3.0023368266666668</v>
      </c>
      <c r="T2485" s="180"/>
      <c r="U2485" s="189">
        <f>IFERROR(IF(Tableau3[[#This Row],[Dettes]]=0,"",(Tableau3[[#This Row],[Dettes]]/Tableau3[[#This Row],[EBE]])),"")</f>
        <v>1.2666666666666666</v>
      </c>
      <c r="V2485" s="190" t="str">
        <f>IFERROR(Tableau3[[#This Row],[Fonds propres]]/Tableau3[[#This Row],[Total Bilan]],"")</f>
        <v/>
      </c>
      <c r="W2485" s="180"/>
      <c r="X2485" s="191"/>
      <c r="Y2485" s="180"/>
      <c r="Z2485" s="192" t="str">
        <f>IFERROR(Tableau3[[#This Row],[Chiffre d''affaires]]/Tableau3[[#This Row],[Salariés]],"")</f>
        <v/>
      </c>
      <c r="AA2485" s="197"/>
      <c r="AB2485" s="197"/>
      <c r="AC2485" s="177" t="s">
        <v>1756</v>
      </c>
    </row>
    <row r="2486" spans="1:29" ht="20.25" customHeight="1">
      <c r="A2486" s="217"/>
      <c r="G2486" s="188"/>
      <c r="H2486" s="188"/>
      <c r="I2486" s="178"/>
      <c r="J2486" s="178"/>
      <c r="K2486" s="188"/>
      <c r="L2486" s="178"/>
      <c r="M2486" s="178"/>
      <c r="N2486" s="178"/>
      <c r="O2486" s="178"/>
      <c r="P2486" s="188"/>
      <c r="Q2486" s="211"/>
      <c r="R2486" s="195"/>
      <c r="S2486" s="197"/>
      <c r="T2486" s="180"/>
      <c r="U2486" s="189" t="str">
        <f>IFERROR(IF(Tableau3[[#This Row],[Dettes]]=0,"",(Tableau3[[#This Row],[Dettes]]/Tableau3[[#This Row],[EBE]])),"")</f>
        <v/>
      </c>
      <c r="V2486" s="190" t="str">
        <f>IFERROR(Tableau3[[#This Row],[Fonds propres]]/Tableau3[[#This Row],[Total Bilan]],"")</f>
        <v/>
      </c>
      <c r="W2486" s="180"/>
      <c r="X2486" s="191"/>
      <c r="Y2486" s="180"/>
      <c r="Z2486" s="192" t="str">
        <f>IFERROR(Tableau3[[#This Row],[Chiffre d''affaires]]/Tableau3[[#This Row],[Salariés]],"")</f>
        <v/>
      </c>
      <c r="AA2486" s="197"/>
      <c r="AB2486" s="197"/>
      <c r="AC2486" s="177" t="s">
        <v>1758</v>
      </c>
    </row>
    <row r="2487" spans="1:29" ht="20.25" customHeight="1">
      <c r="G2487" s="188"/>
      <c r="H2487" s="178"/>
      <c r="I2487" s="178"/>
      <c r="J2487" s="178"/>
      <c r="K2487" s="178"/>
      <c r="L2487" s="178"/>
      <c r="M2487" s="178"/>
      <c r="N2487" s="178"/>
      <c r="O2487" s="178"/>
      <c r="P2487" s="178"/>
      <c r="Q2487" s="178"/>
      <c r="R2487" s="195"/>
      <c r="S2487" s="178"/>
      <c r="T2487" s="180"/>
      <c r="U2487" s="189" t="str">
        <f>IFERROR(IF(Tableau3[[#This Row],[Dettes]]=0,"",(Tableau3[[#This Row],[Dettes]]/Tableau3[[#This Row],[EBE]])),"")</f>
        <v/>
      </c>
      <c r="V2487" s="190" t="str">
        <f>IFERROR(Tableau3[[#This Row],[Fonds propres]]/Tableau3[[#This Row],[Total Bilan]],"")</f>
        <v/>
      </c>
      <c r="W2487" s="180"/>
      <c r="Y2487" s="180"/>
      <c r="Z2487" s="192" t="str">
        <f>IFERROR(Tableau3[[#This Row],[Chiffre d''affaires]]/Tableau3[[#This Row],[Salariés]],"")</f>
        <v/>
      </c>
      <c r="AA2487" s="177"/>
    </row>
    <row r="2488" spans="1:29" ht="20.25" customHeight="1">
      <c r="G2488" s="188"/>
      <c r="H2488" s="178"/>
      <c r="I2488" s="178"/>
      <c r="J2488" s="178"/>
      <c r="K2488" s="178"/>
      <c r="L2488" s="178"/>
      <c r="M2488" s="178"/>
      <c r="N2488" s="178"/>
      <c r="O2488" s="178"/>
      <c r="P2488" s="178"/>
      <c r="Q2488" s="178"/>
      <c r="R2488" s="195"/>
      <c r="S2488" s="178"/>
      <c r="T2488" s="180"/>
      <c r="U2488" s="189" t="str">
        <f>IFERROR(IF(Tableau3[[#This Row],[Dettes]]=0,"",(Tableau3[[#This Row],[Dettes]]/Tableau3[[#This Row],[EBE]])),"")</f>
        <v/>
      </c>
      <c r="V2488" s="190" t="str">
        <f>IFERROR(Tableau3[[#This Row],[Fonds propres]]/Tableau3[[#This Row],[Total Bilan]],"")</f>
        <v/>
      </c>
      <c r="W2488" s="180"/>
      <c r="Y2488" s="180"/>
      <c r="Z2488" s="192" t="str">
        <f>IFERROR(Tableau3[[#This Row],[Chiffre d''affaires]]/Tableau3[[#This Row],[Salariés]],"")</f>
        <v/>
      </c>
      <c r="AA2488" s="177"/>
    </row>
    <row r="2489" spans="1:29" ht="20.25" customHeight="1">
      <c r="F2489" s="217" t="s">
        <v>1759</v>
      </c>
      <c r="G2489" s="188"/>
      <c r="H2489" s="178"/>
      <c r="I2489" s="178"/>
      <c r="J2489" s="178"/>
      <c r="K2489" s="178"/>
      <c r="L2489" s="178"/>
      <c r="M2489" s="178"/>
      <c r="N2489" s="178"/>
      <c r="O2489" s="178"/>
      <c r="P2489" s="178"/>
      <c r="Q2489" s="178"/>
      <c r="R2489" s="195"/>
      <c r="S2489" s="178"/>
      <c r="T2489" s="180"/>
      <c r="U2489" s="189" t="str">
        <f>IFERROR(IF(Tableau3[[#This Row],[Dettes]]=0,"",(Tableau3[[#This Row],[Dettes]]/Tableau3[[#This Row],[EBE]])),"")</f>
        <v/>
      </c>
      <c r="V2489" s="190" t="str">
        <f>IFERROR(Tableau3[[#This Row],[Fonds propres]]/Tableau3[[#This Row],[Total Bilan]],"")</f>
        <v/>
      </c>
      <c r="W2489" s="180"/>
      <c r="Y2489" s="180"/>
      <c r="Z2489" s="192" t="str">
        <f>IFERROR(Tableau3[[#This Row],[Chiffre d''affaires]]/Tableau3[[#This Row],[Salariés]],"")</f>
        <v/>
      </c>
      <c r="AA2489" s="177"/>
    </row>
    <row r="2490" spans="1:29" ht="20.25" customHeight="1">
      <c r="G2490" s="188"/>
      <c r="H2490" s="178"/>
      <c r="I2490" s="178"/>
      <c r="J2490" s="178"/>
      <c r="K2490" s="178"/>
      <c r="L2490" s="178"/>
      <c r="M2490" s="178"/>
      <c r="N2490" s="178"/>
      <c r="O2490" s="178"/>
      <c r="P2490" s="178"/>
      <c r="Q2490" s="178"/>
      <c r="R2490" s="195"/>
      <c r="S2490" s="178"/>
      <c r="T2490" s="180"/>
      <c r="U2490" s="189" t="str">
        <f>IFERROR(IF(Tableau3[[#This Row],[Dettes]]=0,"",(Tableau3[[#This Row],[Dettes]]/Tableau3[[#This Row],[EBE]])),"")</f>
        <v/>
      </c>
      <c r="V2490" s="190" t="str">
        <f>IFERROR(Tableau3[[#This Row],[Fonds propres]]/Tableau3[[#This Row],[Total Bilan]],"")</f>
        <v/>
      </c>
      <c r="W2490" s="180"/>
      <c r="Y2490" s="180"/>
      <c r="Z2490" s="192" t="str">
        <f>IFERROR(Tableau3[[#This Row],[Chiffre d''affaires]]/Tableau3[[#This Row],[Salariés]],"")</f>
        <v/>
      </c>
      <c r="AA2490" s="177"/>
    </row>
    <row r="2491" spans="1:29" ht="20.25" customHeight="1">
      <c r="A2491" s="217" t="s">
        <v>1760</v>
      </c>
      <c r="B2491" s="216" t="s">
        <v>1737</v>
      </c>
      <c r="C2491" s="178" t="s">
        <v>84</v>
      </c>
      <c r="D2491" s="178" t="s">
        <v>85</v>
      </c>
      <c r="E2491" s="187">
        <v>166</v>
      </c>
      <c r="F2491" s="178">
        <v>2020</v>
      </c>
      <c r="G2491" s="188">
        <v>5871000000</v>
      </c>
      <c r="H2491" s="211">
        <v>1957000000</v>
      </c>
      <c r="I2491" s="211">
        <v>556000000</v>
      </c>
      <c r="J2491" s="211">
        <v>420000000</v>
      </c>
      <c r="K2491" s="211">
        <v>7747000000</v>
      </c>
      <c r="L2491" s="211">
        <v>5492000000</v>
      </c>
      <c r="M2491" s="194">
        <f>L2491/P2493</f>
        <v>92.828788472246544</v>
      </c>
      <c r="N2491" s="190">
        <f>J2491/L2491</f>
        <v>7.6474872541879096E-2</v>
      </c>
      <c r="O2491" s="190">
        <f>(I2491*0.64)/(K2491+(M2491*P2493))</f>
        <v>2.6878163003247978E-2</v>
      </c>
      <c r="P2491" s="188">
        <v>59310531</v>
      </c>
      <c r="Q2491" s="188">
        <f>P2491*E2491</f>
        <v>9845548146</v>
      </c>
      <c r="R2491" s="195">
        <f>Q2491/L2491</f>
        <v>1.7927072370721049</v>
      </c>
      <c r="S2491" s="197">
        <f>(Q2491+K2491)/H2491</f>
        <v>8.9895493847726105</v>
      </c>
      <c r="T2491" s="180"/>
      <c r="U2491" s="189">
        <f>IFERROR(IF(Tableau3[[#This Row],[Dettes]]=0,"",(Tableau3[[#This Row],[Dettes]]/Tableau3[[#This Row],[EBE]])),"")</f>
        <v>3.9586101175268267</v>
      </c>
      <c r="V2491" s="190" t="str">
        <f>IFERROR(Tableau3[[#This Row],[Fonds propres]]/Tableau3[[#This Row],[Total Bilan]],"")</f>
        <v/>
      </c>
      <c r="W2491" s="180"/>
      <c r="Y2491" s="180"/>
      <c r="Z2491" s="192" t="str">
        <f>IFERROR(Tableau3[[#This Row],[Chiffre d''affaires]]/Tableau3[[#This Row],[Salariés]],"")</f>
        <v/>
      </c>
      <c r="AA2491" s="177"/>
      <c r="AC2491" s="177" t="s">
        <v>1761</v>
      </c>
    </row>
    <row r="2492" spans="1:29" ht="20.25" customHeight="1">
      <c r="A2492" s="217"/>
      <c r="G2492" s="202">
        <f>(G2491/G2493)-1</f>
        <v>0.10108777194298568</v>
      </c>
      <c r="H2492" s="203">
        <f>(H2491/H2493)-1</f>
        <v>0.18319226118500609</v>
      </c>
      <c r="I2492" s="203">
        <f>(I2491/I2493)-1</f>
        <v>0.25225225225225234</v>
      </c>
      <c r="J2492" s="203">
        <f>(J2491/J2493)-1</f>
        <v>-0.75666280417149478</v>
      </c>
      <c r="K2492" s="178"/>
      <c r="L2492" s="178"/>
      <c r="M2492" s="178"/>
      <c r="N2492" s="178"/>
      <c r="O2492" s="178"/>
      <c r="P2492" s="178"/>
      <c r="Q2492" s="178"/>
      <c r="R2492" s="195"/>
      <c r="S2492" s="178"/>
      <c r="T2492" s="180"/>
      <c r="U2492" s="189" t="str">
        <f>IFERROR(IF(Tableau3[[#This Row],[Dettes]]=0,"",(Tableau3[[#This Row],[Dettes]]/Tableau3[[#This Row],[EBE]])),"")</f>
        <v/>
      </c>
      <c r="V2492" s="190" t="str">
        <f>IFERROR(Tableau3[[#This Row],[Fonds propres]]/Tableau3[[#This Row],[Total Bilan]],"")</f>
        <v/>
      </c>
      <c r="W2492" s="180"/>
      <c r="Y2492" s="180"/>
      <c r="Z2492" s="192" t="str">
        <f>IFERROR(Tableau3[[#This Row],[Chiffre d''affaires]]/Tableau3[[#This Row],[Salariés]],"")</f>
        <v/>
      </c>
      <c r="AA2492" s="177"/>
      <c r="AC2492" s="177" t="s">
        <v>1762</v>
      </c>
    </row>
    <row r="2493" spans="1:29" ht="20.25" customHeight="1">
      <c r="A2493" s="217"/>
      <c r="E2493" s="187">
        <v>168.1</v>
      </c>
      <c r="F2493" s="178">
        <v>2019</v>
      </c>
      <c r="G2493" s="188">
        <v>5332000000</v>
      </c>
      <c r="H2493" s="211">
        <v>1654000000</v>
      </c>
      <c r="I2493" s="211">
        <v>444000000</v>
      </c>
      <c r="J2493" s="211">
        <v>1726000000</v>
      </c>
      <c r="K2493" s="211">
        <v>3609000000</v>
      </c>
      <c r="L2493" s="211">
        <v>3822000000</v>
      </c>
      <c r="M2493" s="194">
        <f>L2493/P2495</f>
        <v>64.743820374283985</v>
      </c>
      <c r="N2493" s="190">
        <f>J2493/L2493</f>
        <v>0.45159602302459445</v>
      </c>
      <c r="O2493" s="190">
        <f>(I2493*0.64)/(K2493+(M2493*P2495))</f>
        <v>3.8239806217198226E-2</v>
      </c>
      <c r="P2493" s="188">
        <v>59162681</v>
      </c>
      <c r="Q2493" s="188">
        <f>P2493*E2493</f>
        <v>9945246676.1000004</v>
      </c>
      <c r="R2493" s="195">
        <f>Q2493/L2493</f>
        <v>2.6021053574306645</v>
      </c>
      <c r="S2493" s="197">
        <f>(Q2493+K2493)/H2493</f>
        <v>8.1948287038089482</v>
      </c>
      <c r="T2493" s="180"/>
      <c r="U2493" s="189">
        <f>IFERROR(IF(Tableau3[[#This Row],[Dettes]]=0,"",(Tableau3[[#This Row],[Dettes]]/Tableau3[[#This Row],[EBE]])),"")</f>
        <v>2.1819830713422008</v>
      </c>
      <c r="V2493" s="190" t="str">
        <f>IFERROR(Tableau3[[#This Row],[Fonds propres]]/Tableau3[[#This Row],[Total Bilan]],"")</f>
        <v/>
      </c>
      <c r="W2493" s="180"/>
      <c r="X2493" s="191"/>
      <c r="Y2493" s="180"/>
      <c r="Z2493" s="192" t="str">
        <f>IFERROR(Tableau3[[#This Row],[Chiffre d''affaires]]/Tableau3[[#This Row],[Salariés]],"")</f>
        <v/>
      </c>
      <c r="AA2493" s="197"/>
      <c r="AB2493" s="197"/>
      <c r="AC2493" s="177" t="s">
        <v>1763</v>
      </c>
    </row>
    <row r="2494" spans="1:29" ht="20.25" customHeight="1">
      <c r="E2494" s="187"/>
      <c r="G2494" s="202">
        <f>(G2493/G2495)-1</f>
        <v>9.0165610304641097E-2</v>
      </c>
      <c r="H2494" s="203">
        <f>(H2493/H2495)-1</f>
        <v>-5.754985754985753E-2</v>
      </c>
      <c r="I2494" s="203">
        <f>(I2493/I2495)-1</f>
        <v>-0.35652173913043483</v>
      </c>
      <c r="J2494" s="203">
        <f>(J2493/J2495)-1</f>
        <v>4.2303030303030305</v>
      </c>
      <c r="K2494" s="178"/>
      <c r="L2494" s="178"/>
      <c r="M2494" s="178"/>
      <c r="N2494" s="178"/>
      <c r="O2494" s="178"/>
      <c r="P2494" s="178"/>
      <c r="Q2494" s="178"/>
      <c r="R2494" s="195"/>
      <c r="S2494" s="178"/>
      <c r="T2494" s="180"/>
      <c r="U2494" s="189" t="str">
        <f>IFERROR(IF(Tableau3[[#This Row],[Dettes]]=0,"",(Tableau3[[#This Row],[Dettes]]/Tableau3[[#This Row],[EBE]])),"")</f>
        <v/>
      </c>
      <c r="V2494" s="190" t="str">
        <f>IFERROR(Tableau3[[#This Row],[Fonds propres]]/Tableau3[[#This Row],[Total Bilan]],"")</f>
        <v/>
      </c>
      <c r="W2494" s="180"/>
      <c r="Y2494" s="180"/>
      <c r="Z2494" s="192" t="str">
        <f>IFERROR(Tableau3[[#This Row],[Chiffre d''affaires]]/Tableau3[[#This Row],[Salariés]],"")</f>
        <v/>
      </c>
      <c r="AA2494" s="177"/>
      <c r="AC2494" s="177" t="s">
        <v>1764</v>
      </c>
    </row>
    <row r="2495" spans="1:29" ht="20.25" customHeight="1">
      <c r="A2495" s="217"/>
      <c r="E2495" s="187">
        <v>114.7</v>
      </c>
      <c r="F2495" s="178">
        <v>2018</v>
      </c>
      <c r="G2495" s="188">
        <v>4891000000</v>
      </c>
      <c r="H2495" s="211">
        <v>1755000000</v>
      </c>
      <c r="I2495" s="211">
        <v>690000000</v>
      </c>
      <c r="J2495" s="211">
        <v>330000000</v>
      </c>
      <c r="K2495" s="211">
        <v>4036000000</v>
      </c>
      <c r="L2495" s="211">
        <f>L2497</f>
        <v>3374000000</v>
      </c>
      <c r="M2495" s="194">
        <f>L2495/P2497</f>
        <v>57.154801136272681</v>
      </c>
      <c r="N2495" s="190">
        <f>J2495/L2495</f>
        <v>9.7806757557794902E-2</v>
      </c>
      <c r="O2495" s="190">
        <f>(I2495*0.64)/(K2495+(M2495*P2497))</f>
        <v>5.9595141700404856E-2</v>
      </c>
      <c r="P2495" s="188">
        <f>P2497</f>
        <v>59032661</v>
      </c>
      <c r="Q2495" s="188">
        <f>P2495*E2495</f>
        <v>6771046216.6999998</v>
      </c>
      <c r="R2495" s="195">
        <f>Q2495/L2495</f>
        <v>2.0068305325133373</v>
      </c>
      <c r="S2495" s="197">
        <f>(Q2495+K2495)/H2495</f>
        <v>6.1578610921367529</v>
      </c>
      <c r="T2495" s="180"/>
      <c r="U2495" s="189">
        <f>IFERROR(IF(Tableau3[[#This Row],[Dettes]]=0,"",(Tableau3[[#This Row],[Dettes]]/Tableau3[[#This Row],[EBE]])),"")</f>
        <v>2.2997150997150997</v>
      </c>
      <c r="V2495" s="190" t="str">
        <f>IFERROR(Tableau3[[#This Row],[Fonds propres]]/Tableau3[[#This Row],[Total Bilan]],"")</f>
        <v/>
      </c>
      <c r="W2495" s="180"/>
      <c r="X2495" s="191"/>
      <c r="Y2495" s="180"/>
      <c r="Z2495" s="192" t="str">
        <f>IFERROR(Tableau3[[#This Row],[Chiffre d''affaires]]/Tableau3[[#This Row],[Salariés]],"")</f>
        <v/>
      </c>
      <c r="AA2495" s="197"/>
      <c r="AB2495" s="197"/>
      <c r="AC2495" s="177" t="s">
        <v>1765</v>
      </c>
    </row>
    <row r="2496" spans="1:29" ht="20.25" customHeight="1">
      <c r="A2496" s="217"/>
      <c r="E2496" s="187"/>
      <c r="G2496" s="202">
        <f>(G2495/G2497)-1</f>
        <v>-1.9348370927318337E-2</v>
      </c>
      <c r="H2496" s="203">
        <f>(H2495/H2497)-1</f>
        <v>-1.2213654528057671E-2</v>
      </c>
      <c r="I2496" s="203">
        <f>(I2495/I2497)-1</f>
        <v>-0.19953596287703013</v>
      </c>
      <c r="J2496" s="203">
        <f>(J2495/J2497)-1</f>
        <v>-0.1844118868260276</v>
      </c>
      <c r="K2496" s="178"/>
      <c r="L2496" s="178"/>
      <c r="M2496" s="178"/>
      <c r="N2496" s="178"/>
      <c r="O2496" s="178"/>
      <c r="P2496" s="178"/>
      <c r="Q2496" s="178"/>
      <c r="R2496" s="178"/>
      <c r="S2496" s="178"/>
      <c r="T2496" s="180"/>
      <c r="U2496" s="189" t="str">
        <f>IFERROR(IF(Tableau3[[#This Row],[Dettes]]=0,"",(Tableau3[[#This Row],[Dettes]]/Tableau3[[#This Row],[EBE]])),"")</f>
        <v/>
      </c>
      <c r="V2496" s="190" t="str">
        <f>IFERROR(Tableau3[[#This Row],[Fonds propres]]/Tableau3[[#This Row],[Total Bilan]],"")</f>
        <v/>
      </c>
      <c r="W2496" s="180"/>
      <c r="Y2496" s="180"/>
      <c r="Z2496" s="192" t="str">
        <f>IFERROR(Tableau3[[#This Row],[Chiffre d''affaires]]/Tableau3[[#This Row],[Salariés]],"")</f>
        <v/>
      </c>
      <c r="AA2496" s="177"/>
      <c r="AC2496" s="177" t="s">
        <v>1766</v>
      </c>
    </row>
    <row r="2497" spans="1:29" ht="20.25" customHeight="1">
      <c r="A2497" s="217"/>
      <c r="E2497" s="187">
        <v>206.1</v>
      </c>
      <c r="F2497" s="178">
        <v>2017</v>
      </c>
      <c r="G2497" s="188">
        <v>4987500000</v>
      </c>
      <c r="H2497" s="188">
        <v>1776700000</v>
      </c>
      <c r="I2497" s="211">
        <v>862000000</v>
      </c>
      <c r="J2497" s="188">
        <v>404616000</v>
      </c>
      <c r="K2497" s="188">
        <v>2449000000</v>
      </c>
      <c r="L2497" s="188">
        <v>3374000000</v>
      </c>
      <c r="M2497" s="194">
        <f>L2497/P2499</f>
        <v>57.344538598942052</v>
      </c>
      <c r="N2497" s="190">
        <f>J2497/L2497</f>
        <v>0.11992175459395377</v>
      </c>
      <c r="O2497" s="190">
        <f>(I2497*0.64)/(K2497+(M2497*P2499))</f>
        <v>9.4741542160398415E-2</v>
      </c>
      <c r="P2497" s="188">
        <v>59032661</v>
      </c>
      <c r="Q2497" s="188">
        <f>P2497*E2497</f>
        <v>12166631432.1</v>
      </c>
      <c r="R2497" s="195">
        <f>Q2497/L2497</f>
        <v>3.6059962750740961</v>
      </c>
      <c r="S2497" s="197">
        <f>(Q2497+K2497)/H2497</f>
        <v>8.2262798627230254</v>
      </c>
      <c r="T2497" s="180"/>
      <c r="U2497" s="189">
        <f>IFERROR(IF(Tableau3[[#This Row],[Dettes]]=0,"",(Tableau3[[#This Row],[Dettes]]/Tableau3[[#This Row],[EBE]])),"")</f>
        <v>1.3783981538807901</v>
      </c>
      <c r="V2497" s="190" t="str">
        <f>IFERROR(Tableau3[[#This Row],[Fonds propres]]/Tableau3[[#This Row],[Total Bilan]],"")</f>
        <v/>
      </c>
      <c r="W2497" s="180"/>
      <c r="X2497" s="191"/>
      <c r="Y2497" s="180"/>
      <c r="Z2497" s="192" t="str">
        <f>IFERROR(Tableau3[[#This Row],[Chiffre d''affaires]]/Tableau3[[#This Row],[Salariés]],"")</f>
        <v/>
      </c>
      <c r="AA2497" s="197"/>
      <c r="AB2497" s="197"/>
      <c r="AC2497" s="177" t="s">
        <v>1767</v>
      </c>
    </row>
    <row r="2498" spans="1:29" ht="20.25" customHeight="1">
      <c r="A2498" s="217"/>
      <c r="E2498" s="187"/>
      <c r="G2498" s="202">
        <f>(G2497/G2499)-1</f>
        <v>5.6203807627962066E-2</v>
      </c>
      <c r="H2498" s="203">
        <f>(H2497/H2499)-1</f>
        <v>6.02733186131168E-2</v>
      </c>
      <c r="I2498" s="211"/>
      <c r="J2498" s="203">
        <f>(J2497/J2499)-1</f>
        <v>4.7578842811024646E-3</v>
      </c>
      <c r="K2498" s="188"/>
      <c r="L2498" s="188"/>
      <c r="M2498" s="188"/>
      <c r="N2498" s="188"/>
      <c r="O2498" s="188"/>
      <c r="P2498" s="188"/>
      <c r="Q2498" s="188"/>
      <c r="R2498" s="188"/>
      <c r="S2498" s="188"/>
      <c r="T2498" s="180"/>
      <c r="U2498" s="189" t="str">
        <f>IFERROR(IF(Tableau3[[#This Row],[Dettes]]=0,"",(Tableau3[[#This Row],[Dettes]]/Tableau3[[#This Row],[EBE]])),"")</f>
        <v/>
      </c>
      <c r="V2498" s="190" t="str">
        <f>IFERROR(Tableau3[[#This Row],[Fonds propres]]/Tableau3[[#This Row],[Total Bilan]],"")</f>
        <v/>
      </c>
      <c r="W2498" s="180"/>
      <c r="X2498" s="192"/>
      <c r="Y2498" s="180"/>
      <c r="Z2498" s="192" t="str">
        <f>IFERROR(Tableau3[[#This Row],[Chiffre d''affaires]]/Tableau3[[#This Row],[Salariés]],"")</f>
        <v/>
      </c>
      <c r="AA2498" s="188"/>
      <c r="AB2498" s="188"/>
      <c r="AC2498" s="177" t="s">
        <v>1768</v>
      </c>
    </row>
    <row r="2499" spans="1:29" ht="20.25" customHeight="1">
      <c r="A2499" s="217"/>
      <c r="E2499" s="187">
        <v>182.65</v>
      </c>
      <c r="F2499" s="178">
        <v>2016</v>
      </c>
      <c r="G2499" s="188">
        <v>4722100000</v>
      </c>
      <c r="H2499" s="188">
        <v>1675700000</v>
      </c>
      <c r="I2499" s="211"/>
      <c r="J2499" s="188">
        <v>402700000</v>
      </c>
      <c r="K2499" s="188">
        <v>1643000000</v>
      </c>
      <c r="L2499" s="188">
        <v>3001778000</v>
      </c>
      <c r="M2499" s="194">
        <f>L2499/P2501</f>
        <v>51.171927207067633</v>
      </c>
      <c r="N2499" s="190">
        <f>J2499/L2499</f>
        <v>0.13415382483314889</v>
      </c>
      <c r="O2499" s="190">
        <f>(I2499*0.64)/(K2499+(M2499*P2501))</f>
        <v>0</v>
      </c>
      <c r="P2499" s="188">
        <v>58837338</v>
      </c>
      <c r="Q2499" s="188">
        <f>P2499*E2499</f>
        <v>10746639785.700001</v>
      </c>
      <c r="R2499" s="195">
        <f>Q2499/L2499</f>
        <v>3.5800914610274313</v>
      </c>
      <c r="S2499" s="197">
        <f>(Q2499+K2499)/H2499</f>
        <v>7.3937099634182735</v>
      </c>
      <c r="T2499" s="180"/>
      <c r="U2499" s="189">
        <f>IFERROR(IF(Tableau3[[#This Row],[Dettes]]=0,"",(Tableau3[[#This Row],[Dettes]]/Tableau3[[#This Row],[EBE]])),"")</f>
        <v>0.9804857671420899</v>
      </c>
      <c r="V2499" s="190" t="str">
        <f>IFERROR(Tableau3[[#This Row],[Fonds propres]]/Tableau3[[#This Row],[Total Bilan]],"")</f>
        <v/>
      </c>
      <c r="W2499" s="180"/>
      <c r="X2499" s="191"/>
      <c r="Y2499" s="180"/>
      <c r="Z2499" s="192" t="str">
        <f>IFERROR(Tableau3[[#This Row],[Chiffre d''affaires]]/Tableau3[[#This Row],[Salariés]],"")</f>
        <v/>
      </c>
      <c r="AA2499" s="197"/>
      <c r="AB2499" s="197"/>
      <c r="AC2499" s="177" t="s">
        <v>1769</v>
      </c>
    </row>
    <row r="2500" spans="1:29" ht="20.25" customHeight="1">
      <c r="A2500" s="217"/>
      <c r="E2500" s="187"/>
      <c r="G2500" s="202">
        <f>(G2499/G2501)-1</f>
        <v>6.9703696991663566E-2</v>
      </c>
      <c r="H2500" s="203">
        <f>(H2499/H2501)-1</f>
        <v>0.124706356131284</v>
      </c>
      <c r="I2500" s="211"/>
      <c r="J2500" s="203">
        <f>(J2499/J2501)-1</f>
        <v>0.20208955223880598</v>
      </c>
      <c r="K2500" s="188"/>
      <c r="L2500" s="188"/>
      <c r="M2500" s="188"/>
      <c r="N2500" s="188"/>
      <c r="O2500" s="188"/>
      <c r="P2500" s="188"/>
      <c r="Q2500" s="188"/>
      <c r="R2500" s="188"/>
      <c r="S2500" s="188"/>
      <c r="T2500" s="180"/>
      <c r="U2500" s="189" t="str">
        <f>IFERROR(IF(Tableau3[[#This Row],[Dettes]]=0,"",(Tableau3[[#This Row],[Dettes]]/Tableau3[[#This Row],[EBE]])),"")</f>
        <v/>
      </c>
      <c r="V2500" s="190" t="str">
        <f>IFERROR(Tableau3[[#This Row],[Fonds propres]]/Tableau3[[#This Row],[Total Bilan]],"")</f>
        <v/>
      </c>
      <c r="W2500" s="180"/>
      <c r="X2500" s="192"/>
      <c r="Y2500" s="180"/>
      <c r="Z2500" s="192" t="str">
        <f>IFERROR(Tableau3[[#This Row],[Chiffre d''affaires]]/Tableau3[[#This Row],[Salariés]],"")</f>
        <v/>
      </c>
      <c r="AA2500" s="188"/>
      <c r="AB2500" s="188"/>
      <c r="AC2500" s="177" t="s">
        <v>1770</v>
      </c>
    </row>
    <row r="2501" spans="1:29" ht="20.25" customHeight="1">
      <c r="A2501" s="217"/>
      <c r="E2501" s="187">
        <v>219.2</v>
      </c>
      <c r="F2501" s="178">
        <v>2015</v>
      </c>
      <c r="G2501" s="188">
        <v>4414400000</v>
      </c>
      <c r="H2501" s="188">
        <v>1489900000</v>
      </c>
      <c r="I2501" s="211"/>
      <c r="J2501" s="188">
        <v>335000000</v>
      </c>
      <c r="K2501" s="188">
        <v>1191000000</v>
      </c>
      <c r="L2501" s="188">
        <v>2637198000</v>
      </c>
      <c r="M2501" s="194">
        <f>L2501/P2503</f>
        <v>45.115833519163424</v>
      </c>
      <c r="N2501" s="190">
        <f>J2501/L2501</f>
        <v>0.1270287631038701</v>
      </c>
      <c r="O2501" s="190">
        <f>(I2501*0.64)/(K2501+(M2501*P2503))</f>
        <v>0</v>
      </c>
      <c r="P2501" s="188">
        <v>58660640</v>
      </c>
      <c r="Q2501" s="188">
        <f>P2501*E2501</f>
        <v>12858412288</v>
      </c>
      <c r="R2501" s="195">
        <f>Q2501/L2501</f>
        <v>4.8757856967887889</v>
      </c>
      <c r="S2501" s="197">
        <f>(Q2501+K2501)/H2501</f>
        <v>9.4297686341365186</v>
      </c>
      <c r="T2501" s="180"/>
      <c r="U2501" s="189">
        <f>IFERROR(IF(Tableau3[[#This Row],[Dettes]]=0,"",(Tableau3[[#This Row],[Dettes]]/Tableau3[[#This Row],[EBE]])),"")</f>
        <v>0.79938250889321427</v>
      </c>
      <c r="V2501" s="190" t="str">
        <f>IFERROR(Tableau3[[#This Row],[Fonds propres]]/Tableau3[[#This Row],[Total Bilan]],"")</f>
        <v/>
      </c>
      <c r="W2501" s="180"/>
      <c r="X2501" s="191"/>
      <c r="Y2501" s="180"/>
      <c r="Z2501" s="192" t="str">
        <f>IFERROR(Tableau3[[#This Row],[Chiffre d''affaires]]/Tableau3[[#This Row],[Salariés]],"")</f>
        <v/>
      </c>
      <c r="AA2501" s="197"/>
      <c r="AB2501" s="197"/>
      <c r="AC2501" s="177" t="s">
        <v>1771</v>
      </c>
    </row>
    <row r="2502" spans="1:29" ht="20.25" customHeight="1">
      <c r="A2502" s="217"/>
      <c r="E2502" s="187"/>
      <c r="G2502" s="202">
        <f>(G2501/G2503)-1</f>
        <v>5.921873500335928E-2</v>
      </c>
      <c r="H2502" s="203">
        <f>(H2501/H2503)-1</f>
        <v>0.1607198504206917</v>
      </c>
      <c r="I2502" s="211"/>
      <c r="J2502" s="203">
        <f>(J2501/J2503)-1</f>
        <v>0.20330459770114939</v>
      </c>
      <c r="K2502" s="188"/>
      <c r="L2502" s="188"/>
      <c r="M2502" s="188"/>
      <c r="N2502" s="188"/>
      <c r="O2502" s="188"/>
      <c r="P2502" s="188"/>
      <c r="Q2502" s="188"/>
      <c r="R2502" s="188"/>
      <c r="S2502" s="188"/>
      <c r="T2502" s="180"/>
      <c r="U2502" s="189" t="str">
        <f>IFERROR(IF(Tableau3[[#This Row],[Dettes]]=0,"",(Tableau3[[#This Row],[Dettes]]/Tableau3[[#This Row],[EBE]])),"")</f>
        <v/>
      </c>
      <c r="V2502" s="190" t="str">
        <f>IFERROR(Tableau3[[#This Row],[Fonds propres]]/Tableau3[[#This Row],[Total Bilan]],"")</f>
        <v/>
      </c>
      <c r="W2502" s="180"/>
      <c r="X2502" s="192"/>
      <c r="Y2502" s="180"/>
      <c r="Z2502" s="192" t="str">
        <f>IFERROR(Tableau3[[#This Row],[Chiffre d''affaires]]/Tableau3[[#This Row],[Salariés]],"")</f>
        <v/>
      </c>
      <c r="AA2502" s="188"/>
      <c r="AB2502" s="188"/>
      <c r="AC2502" s="177" t="s">
        <v>1772</v>
      </c>
    </row>
    <row r="2503" spans="1:29" ht="20.25" customHeight="1">
      <c r="A2503" s="217"/>
      <c r="E2503" s="187">
        <v>197.4</v>
      </c>
      <c r="F2503" s="178">
        <v>2014</v>
      </c>
      <c r="G2503" s="188">
        <v>4167600000</v>
      </c>
      <c r="H2503" s="188">
        <v>1283600000</v>
      </c>
      <c r="I2503" s="211"/>
      <c r="J2503" s="188">
        <v>278400000</v>
      </c>
      <c r="K2503" s="188">
        <v>1084000000</v>
      </c>
      <c r="L2503" s="188">
        <v>2315227000</v>
      </c>
      <c r="M2503" s="194">
        <f>L2503/P2505</f>
        <v>39.864922302791598</v>
      </c>
      <c r="N2503" s="190">
        <f>J2503/L2503</f>
        <v>0.12024738826905526</v>
      </c>
      <c r="O2503" s="190">
        <f>(I2503*0.64)/(K2503+(M2503*P2505))</f>
        <v>0</v>
      </c>
      <c r="P2503" s="188">
        <v>58453935</v>
      </c>
      <c r="Q2503" s="188">
        <f>P2503*E2503</f>
        <v>11538806769</v>
      </c>
      <c r="R2503" s="195">
        <f>Q2503/L2503</f>
        <v>4.9838770751204962</v>
      </c>
      <c r="S2503" s="197">
        <f>(Q2503+K2503)/H2503</f>
        <v>9.8339099166406978</v>
      </c>
      <c r="T2503" s="180"/>
      <c r="U2503" s="189">
        <f>IFERROR(IF(Tableau3[[#This Row],[Dettes]]=0,"",(Tableau3[[#This Row],[Dettes]]/Tableau3[[#This Row],[EBE]])),"")</f>
        <v>0.84449984418822066</v>
      </c>
      <c r="V2503" s="190" t="str">
        <f>IFERROR(Tableau3[[#This Row],[Fonds propres]]/Tableau3[[#This Row],[Total Bilan]],"")</f>
        <v/>
      </c>
      <c r="W2503" s="180"/>
      <c r="X2503" s="191"/>
      <c r="Y2503" s="180"/>
      <c r="Z2503" s="192" t="str">
        <f>IFERROR(Tableau3[[#This Row],[Chiffre d''affaires]]/Tableau3[[#This Row],[Salariés]],"")</f>
        <v/>
      </c>
      <c r="AA2503" s="197"/>
      <c r="AB2503" s="197"/>
      <c r="AC2503" s="177" t="s">
        <v>1773</v>
      </c>
    </row>
    <row r="2504" spans="1:29" ht="20.25" customHeight="1">
      <c r="A2504" s="217"/>
      <c r="E2504" s="187"/>
      <c r="G2504" s="202">
        <f>(G2503/G2505)-1</f>
        <v>0.11198271031777796</v>
      </c>
      <c r="H2504" s="203">
        <f>(H2503/H2505)-1</f>
        <v>6.5935891047998574E-2</v>
      </c>
      <c r="I2504" s="211"/>
      <c r="J2504" s="203">
        <f>(J2503/J2505)-1</f>
        <v>4.8982667671439328E-2</v>
      </c>
      <c r="K2504" s="188"/>
      <c r="L2504" s="188"/>
      <c r="M2504" s="188"/>
      <c r="N2504" s="188"/>
      <c r="O2504" s="188"/>
      <c r="P2504" s="188"/>
      <c r="Q2504" s="188"/>
      <c r="R2504" s="188"/>
      <c r="S2504" s="188"/>
      <c r="T2504" s="180"/>
      <c r="U2504" s="189" t="str">
        <f>IFERROR(IF(Tableau3[[#This Row],[Dettes]]=0,"",(Tableau3[[#This Row],[Dettes]]/Tableau3[[#This Row],[EBE]])),"")</f>
        <v/>
      </c>
      <c r="V2504" s="190" t="str">
        <f>IFERROR(Tableau3[[#This Row],[Fonds propres]]/Tableau3[[#This Row],[Total Bilan]],"")</f>
        <v/>
      </c>
      <c r="W2504" s="180"/>
      <c r="X2504" s="192"/>
      <c r="Y2504" s="180"/>
      <c r="Z2504" s="192" t="str">
        <f>IFERROR(Tableau3[[#This Row],[Chiffre d''affaires]]/Tableau3[[#This Row],[Salariés]],"")</f>
        <v/>
      </c>
      <c r="AA2504" s="188"/>
      <c r="AB2504" s="188"/>
      <c r="AC2504" s="177" t="s">
        <v>1774</v>
      </c>
    </row>
    <row r="2505" spans="1:29" ht="20.25" customHeight="1">
      <c r="A2505" s="217"/>
      <c r="E2505" s="187">
        <v>157.1</v>
      </c>
      <c r="F2505" s="178">
        <v>2013</v>
      </c>
      <c r="G2505" s="188">
        <v>3747900000</v>
      </c>
      <c r="H2505" s="188">
        <v>1204200000</v>
      </c>
      <c r="I2505" s="211"/>
      <c r="J2505" s="188">
        <v>265400000</v>
      </c>
      <c r="K2505" s="188">
        <v>1023000000</v>
      </c>
      <c r="L2505" s="188">
        <v>2013599000</v>
      </c>
      <c r="M2505" s="194">
        <f>L2505/P2507</f>
        <v>34.935386592185459</v>
      </c>
      <c r="N2505" s="190">
        <f>J2505/L2505</f>
        <v>0.13180380006148196</v>
      </c>
      <c r="O2505" s="190">
        <f>(I2505*0.64)/(K2505+(M2505*P2507))</f>
        <v>0</v>
      </c>
      <c r="P2505" s="188">
        <v>58076797</v>
      </c>
      <c r="Q2505" s="188">
        <f>P2505*E2505</f>
        <v>9123864808.6999989</v>
      </c>
      <c r="R2505" s="195">
        <f>Q2505/L2505</f>
        <v>4.5311230332851773</v>
      </c>
      <c r="S2505" s="197">
        <f>(Q2505+K2505)/H2505</f>
        <v>8.4262288728616497</v>
      </c>
      <c r="T2505" s="180"/>
      <c r="U2505" s="189">
        <f>IFERROR(IF(Tableau3[[#This Row],[Dettes]]=0,"",(Tableau3[[#This Row],[Dettes]]/Tableau3[[#This Row],[EBE]])),"")</f>
        <v>0.84952665670154459</v>
      </c>
      <c r="V2505" s="190" t="str">
        <f>IFERROR(Tableau3[[#This Row],[Fonds propres]]/Tableau3[[#This Row],[Total Bilan]],"")</f>
        <v/>
      </c>
      <c r="W2505" s="180"/>
      <c r="X2505" s="191"/>
      <c r="Y2505" s="180"/>
      <c r="Z2505" s="192" t="str">
        <f>IFERROR(Tableau3[[#This Row],[Chiffre d''affaires]]/Tableau3[[#This Row],[Salariés]],"")</f>
        <v/>
      </c>
      <c r="AA2505" s="197"/>
      <c r="AB2505" s="197"/>
      <c r="AC2505" s="177" t="s">
        <v>1775</v>
      </c>
    </row>
    <row r="2506" spans="1:29" ht="20.25" customHeight="1">
      <c r="A2506" s="217"/>
      <c r="E2506" s="187"/>
      <c r="G2506" s="202">
        <f>(G2505/G2507)-1</f>
        <v>0.1885643611454666</v>
      </c>
      <c r="H2506" s="203">
        <f>(H2505/H2507)-1</f>
        <v>0.30649886080069444</v>
      </c>
      <c r="I2506" s="211"/>
      <c r="J2506" s="203">
        <f>(J2505/J2507)-1</f>
        <v>0.42305630026809649</v>
      </c>
      <c r="K2506" s="188"/>
      <c r="L2506" s="188"/>
      <c r="M2506" s="188"/>
      <c r="N2506" s="188"/>
      <c r="O2506" s="188"/>
      <c r="P2506" s="188"/>
      <c r="Q2506" s="188"/>
      <c r="R2506" s="188"/>
      <c r="S2506" s="188"/>
      <c r="T2506" s="180"/>
      <c r="U2506" s="189" t="str">
        <f>IFERROR(IF(Tableau3[[#This Row],[Dettes]]=0,"",(Tableau3[[#This Row],[Dettes]]/Tableau3[[#This Row],[EBE]])),"")</f>
        <v/>
      </c>
      <c r="V2506" s="190" t="str">
        <f>IFERROR(Tableau3[[#This Row],[Fonds propres]]/Tableau3[[#This Row],[Total Bilan]],"")</f>
        <v/>
      </c>
      <c r="W2506" s="180"/>
      <c r="X2506" s="192"/>
      <c r="Y2506" s="180"/>
      <c r="Z2506" s="192" t="str">
        <f>IFERROR(Tableau3[[#This Row],[Chiffre d''affaires]]/Tableau3[[#This Row],[Salariés]],"")</f>
        <v/>
      </c>
      <c r="AA2506" s="188"/>
      <c r="AB2506" s="188"/>
      <c r="AC2506" s="177" t="s">
        <v>1776</v>
      </c>
    </row>
    <row r="2507" spans="1:29" ht="20.25" customHeight="1">
      <c r="A2507" s="217"/>
      <c r="E2507" s="187">
        <v>128.44999999999999</v>
      </c>
      <c r="F2507" s="178">
        <v>2012</v>
      </c>
      <c r="G2507" s="188">
        <v>3153300000</v>
      </c>
      <c r="H2507" s="188">
        <v>921700000</v>
      </c>
      <c r="I2507" s="211"/>
      <c r="J2507" s="188">
        <v>186500000</v>
      </c>
      <c r="K2507" s="188">
        <v>1064000000</v>
      </c>
      <c r="L2507" s="188">
        <v>1726693000</v>
      </c>
      <c r="M2507" s="194">
        <f>L2507/P2509</f>
        <v>30.270506207942024</v>
      </c>
      <c r="N2507" s="190">
        <f>J2507/L2507</f>
        <v>0.10800993575580604</v>
      </c>
      <c r="O2507" s="190">
        <f>(I2507*0.64)/(K2507+(M2507*P2509))</f>
        <v>0</v>
      </c>
      <c r="P2507" s="188">
        <v>57637805</v>
      </c>
      <c r="Q2507" s="188">
        <f>P2507*E2507</f>
        <v>7403576052.249999</v>
      </c>
      <c r="R2507" s="195">
        <f>Q2507/L2507</f>
        <v>4.287719966577729</v>
      </c>
      <c r="S2507" s="197">
        <f>(Q2507+K2507)/H2507</f>
        <v>9.1869111991428873</v>
      </c>
      <c r="T2507" s="180"/>
      <c r="U2507" s="189">
        <f>IFERROR(IF(Tableau3[[#This Row],[Dettes]]=0,"",(Tableau3[[#This Row],[Dettes]]/Tableau3[[#This Row],[EBE]])),"")</f>
        <v>1.154388629705978</v>
      </c>
      <c r="V2507" s="190" t="str">
        <f>IFERROR(Tableau3[[#This Row],[Fonds propres]]/Tableau3[[#This Row],[Total Bilan]],"")</f>
        <v/>
      </c>
      <c r="W2507" s="180"/>
      <c r="X2507" s="191"/>
      <c r="Y2507" s="180"/>
      <c r="Z2507" s="192" t="str">
        <f>IFERROR(Tableau3[[#This Row],[Chiffre d''affaires]]/Tableau3[[#This Row],[Salariés]],"")</f>
        <v/>
      </c>
      <c r="AA2507" s="197"/>
      <c r="AB2507" s="197"/>
      <c r="AC2507" s="177" t="s">
        <v>1777</v>
      </c>
    </row>
    <row r="2508" spans="1:29" ht="20.25" customHeight="1">
      <c r="A2508" s="217"/>
      <c r="E2508" s="187"/>
      <c r="G2508" s="202">
        <f>(G2507/G2509)-1</f>
        <v>0.48593374487535934</v>
      </c>
      <c r="H2508" s="203">
        <f>(H2507/H2509)-1</f>
        <v>0.1059515238780897</v>
      </c>
      <c r="I2508" s="211"/>
      <c r="J2508" s="203">
        <f>(J2507/J2509)-1</f>
        <v>-0.25933280381254964</v>
      </c>
      <c r="K2508" s="188"/>
      <c r="L2508" s="188"/>
      <c r="M2508" s="188"/>
      <c r="N2508" s="188"/>
      <c r="O2508" s="188"/>
      <c r="P2508" s="188"/>
      <c r="Q2508" s="188"/>
      <c r="R2508" s="188"/>
      <c r="S2508" s="188"/>
      <c r="T2508" s="180"/>
      <c r="U2508" s="189" t="str">
        <f>IFERROR(IF(Tableau3[[#This Row],[Dettes]]=0,"",(Tableau3[[#This Row],[Dettes]]/Tableau3[[#This Row],[EBE]])),"")</f>
        <v/>
      </c>
      <c r="V2508" s="190" t="str">
        <f>IFERROR(Tableau3[[#This Row],[Fonds propres]]/Tableau3[[#This Row],[Total Bilan]],"")</f>
        <v/>
      </c>
      <c r="W2508" s="180"/>
      <c r="X2508" s="192"/>
      <c r="Y2508" s="180"/>
      <c r="Z2508" s="192" t="str">
        <f>IFERROR(Tableau3[[#This Row],[Chiffre d''affaires]]/Tableau3[[#This Row],[Salariés]],"")</f>
        <v/>
      </c>
      <c r="AA2508" s="188"/>
      <c r="AB2508" s="188"/>
    </row>
    <row r="2509" spans="1:29" ht="20.25" customHeight="1">
      <c r="A2509" s="217"/>
      <c r="E2509" s="187">
        <v>95</v>
      </c>
      <c r="F2509" s="178">
        <v>2011</v>
      </c>
      <c r="G2509" s="188">
        <v>2122100000</v>
      </c>
      <c r="H2509" s="188">
        <v>833400000</v>
      </c>
      <c r="I2509" s="211"/>
      <c r="J2509" s="188">
        <v>251800000</v>
      </c>
      <c r="K2509" s="188">
        <v>969400000</v>
      </c>
      <c r="L2509" s="188">
        <v>1523921000</v>
      </c>
      <c r="M2509" s="194">
        <f>L2509/P2511</f>
        <v>27.861276558712639</v>
      </c>
      <c r="N2509" s="190">
        <f>J2509/L2509</f>
        <v>0.16523166227120697</v>
      </c>
      <c r="O2509" s="190">
        <f>(I2509*0.64)/(K2509+(M2509*P2511))</f>
        <v>0</v>
      </c>
      <c r="P2509" s="188">
        <v>57042092</v>
      </c>
      <c r="Q2509" s="188">
        <f>P2509*E2509</f>
        <v>5418998740</v>
      </c>
      <c r="R2509" s="195">
        <f>Q2509/L2509</f>
        <v>3.5559577825884676</v>
      </c>
      <c r="S2509" s="197">
        <f>(Q2509+K2509)/H2509</f>
        <v>7.6654652507799375</v>
      </c>
      <c r="T2509" s="180"/>
      <c r="U2509" s="189">
        <f>IFERROR(IF(Tableau3[[#This Row],[Dettes]]=0,"",(Tableau3[[#This Row],[Dettes]]/Tableau3[[#This Row],[EBE]])),"")</f>
        <v>1.1631869450443963</v>
      </c>
      <c r="V2509" s="190" t="str">
        <f>IFERROR(Tableau3[[#This Row],[Fonds propres]]/Tableau3[[#This Row],[Total Bilan]],"")</f>
        <v/>
      </c>
      <c r="W2509" s="180"/>
      <c r="X2509" s="191"/>
      <c r="Y2509" s="180"/>
      <c r="Z2509" s="192" t="str">
        <f>IFERROR(Tableau3[[#This Row],[Chiffre d''affaires]]/Tableau3[[#This Row],[Salariés]],"")</f>
        <v/>
      </c>
      <c r="AA2509" s="197"/>
      <c r="AB2509" s="197"/>
    </row>
    <row r="2510" spans="1:29" ht="20.25" customHeight="1">
      <c r="A2510" s="217"/>
      <c r="E2510" s="187"/>
      <c r="G2510" s="202">
        <f>(G2509/G2511)-1</f>
        <v>4.111269194917333E-2</v>
      </c>
      <c r="H2510" s="203">
        <f>(H2509/H2511)-1</f>
        <v>4.4230046360105302E-2</v>
      </c>
      <c r="I2510" s="211"/>
      <c r="J2510" s="203">
        <f>(J2509/J2511)-1</f>
        <v>-0.19578409453848611</v>
      </c>
      <c r="K2510" s="188"/>
      <c r="L2510" s="188"/>
      <c r="M2510" s="188"/>
      <c r="N2510" s="188"/>
      <c r="O2510" s="188"/>
      <c r="P2510" s="188"/>
      <c r="Q2510" s="188"/>
      <c r="R2510" s="188"/>
      <c r="S2510" s="188"/>
      <c r="T2510" s="180"/>
      <c r="U2510" s="189" t="str">
        <f>IFERROR(IF(Tableau3[[#This Row],[Dettes]]=0,"",(Tableau3[[#This Row],[Dettes]]/Tableau3[[#This Row],[EBE]])),"")</f>
        <v/>
      </c>
      <c r="V2510" s="190" t="str">
        <f>IFERROR(Tableau3[[#This Row],[Fonds propres]]/Tableau3[[#This Row],[Total Bilan]],"")</f>
        <v/>
      </c>
      <c r="W2510" s="180"/>
      <c r="X2510" s="192"/>
      <c r="Y2510" s="180"/>
      <c r="Z2510" s="192" t="str">
        <f>IFERROR(Tableau3[[#This Row],[Chiffre d''affaires]]/Tableau3[[#This Row],[Salariés]],"")</f>
        <v/>
      </c>
      <c r="AA2510" s="188"/>
      <c r="AB2510" s="188"/>
    </row>
    <row r="2511" spans="1:29" ht="20.25" customHeight="1">
      <c r="A2511" s="217"/>
      <c r="E2511" s="187">
        <v>81.400000000000006</v>
      </c>
      <c r="F2511" s="178">
        <v>2010</v>
      </c>
      <c r="G2511" s="188">
        <v>2038300000</v>
      </c>
      <c r="H2511" s="188">
        <v>798100000</v>
      </c>
      <c r="I2511" s="211"/>
      <c r="J2511" s="188">
        <v>313100000</v>
      </c>
      <c r="K2511" s="188">
        <v>691000000</v>
      </c>
      <c r="L2511" s="188">
        <v>1078339000</v>
      </c>
      <c r="M2511" s="194" t="e">
        <f>L2511/P2741</f>
        <v>#DIV/0!</v>
      </c>
      <c r="N2511" s="190">
        <f>J2511/L2511</f>
        <v>0.2903539610456452</v>
      </c>
      <c r="O2511" s="190" t="e">
        <f>(I2511*0.64)/(K2511+(M2511*P2741))</f>
        <v>#DIV/0!</v>
      </c>
      <c r="P2511" s="188">
        <v>54696740</v>
      </c>
      <c r="Q2511" s="188">
        <f>P2511*E2511</f>
        <v>4452314636</v>
      </c>
      <c r="R2511" s="195">
        <f>Q2511/L2511</f>
        <v>4.1288635911341425</v>
      </c>
      <c r="S2511" s="197">
        <f>(Q2511+K2511)/H2511</f>
        <v>6.4444488610449815</v>
      </c>
      <c r="T2511" s="180"/>
      <c r="U2511" s="189">
        <f>IFERROR(IF(Tableau3[[#This Row],[Dettes]]=0,"",(Tableau3[[#This Row],[Dettes]]/Tableau3[[#This Row],[EBE]])),"")</f>
        <v>0.8658062899386042</v>
      </c>
      <c r="V2511" s="190" t="str">
        <f>IFERROR(Tableau3[[#This Row],[Fonds propres]]/Tableau3[[#This Row],[Total Bilan]],"")</f>
        <v/>
      </c>
      <c r="W2511" s="180"/>
      <c r="X2511" s="191"/>
      <c r="Y2511" s="180"/>
      <c r="Z2511" s="192" t="str">
        <f>IFERROR(Tableau3[[#This Row],[Chiffre d''affaires]]/Tableau3[[#This Row],[Salariés]],"")</f>
        <v/>
      </c>
      <c r="AA2511" s="197"/>
      <c r="AB2511" s="197"/>
    </row>
    <row r="2512" spans="1:29" ht="20.25" customHeight="1">
      <c r="A2512" s="217"/>
      <c r="E2512" s="187"/>
      <c r="G2512" s="188"/>
      <c r="H2512" s="188"/>
      <c r="I2512" s="211"/>
      <c r="J2512" s="188"/>
      <c r="K2512" s="188"/>
      <c r="L2512" s="188"/>
      <c r="M2512" s="194"/>
      <c r="N2512" s="190"/>
      <c r="O2512" s="190"/>
      <c r="P2512" s="188"/>
      <c r="Q2512" s="188"/>
      <c r="R2512" s="195"/>
      <c r="S2512" s="197"/>
      <c r="T2512" s="180"/>
      <c r="U2512" s="189" t="str">
        <f>IFERROR(IF(Tableau3[[#This Row],[Dettes]]=0,"",(Tableau3[[#This Row],[Dettes]]/Tableau3[[#This Row],[EBE]])),"")</f>
        <v/>
      </c>
      <c r="V2512" s="190" t="str">
        <f>IFERROR(Tableau3[[#This Row],[Fonds propres]]/Tableau3[[#This Row],[Total Bilan]],"")</f>
        <v/>
      </c>
      <c r="W2512" s="180"/>
      <c r="X2512" s="191"/>
      <c r="Y2512" s="180"/>
      <c r="Z2512" s="192" t="str">
        <f>IFERROR(Tableau3[[#This Row],[Chiffre d''affaires]]/Tableau3[[#This Row],[Salariés]],"")</f>
        <v/>
      </c>
      <c r="AA2512" s="197"/>
      <c r="AB2512" s="197"/>
    </row>
    <row r="2513" spans="1:29" ht="20.25" customHeight="1">
      <c r="A2513" s="217"/>
      <c r="F2513" s="217" t="s">
        <v>1778</v>
      </c>
      <c r="G2513" s="188"/>
      <c r="H2513" s="188"/>
      <c r="I2513" s="211"/>
      <c r="J2513" s="188"/>
      <c r="K2513" s="188"/>
      <c r="L2513" s="188"/>
      <c r="M2513" s="194"/>
      <c r="N2513" s="190"/>
      <c r="O2513" s="190"/>
      <c r="P2513" s="188"/>
      <c r="Q2513" s="188"/>
      <c r="R2513" s="195"/>
      <c r="S2513" s="197"/>
      <c r="T2513" s="180"/>
      <c r="U2513" s="189" t="str">
        <f>IFERROR(IF(Tableau3[[#This Row],[Dettes]]=0,"",(Tableau3[[#This Row],[Dettes]]/Tableau3[[#This Row],[EBE]])),"")</f>
        <v/>
      </c>
      <c r="V2513" s="190" t="str">
        <f>IFERROR(Tableau3[[#This Row],[Fonds propres]]/Tableau3[[#This Row],[Total Bilan]],"")</f>
        <v/>
      </c>
      <c r="W2513" s="180"/>
      <c r="X2513" s="191"/>
      <c r="Y2513" s="180"/>
      <c r="Z2513" s="192" t="str">
        <f>IFERROR(Tableau3[[#This Row],[Chiffre d''affaires]]/Tableau3[[#This Row],[Salariés]],"")</f>
        <v/>
      </c>
      <c r="AA2513" s="197"/>
      <c r="AB2513" s="197"/>
    </row>
    <row r="2514" spans="1:29" ht="20.25" customHeight="1">
      <c r="A2514" s="217"/>
      <c r="G2514" s="202"/>
      <c r="H2514" s="203"/>
      <c r="I2514" s="211"/>
      <c r="J2514" s="203"/>
      <c r="K2514" s="188"/>
      <c r="L2514" s="188"/>
      <c r="M2514" s="188"/>
      <c r="N2514" s="188"/>
      <c r="O2514" s="188"/>
      <c r="P2514" s="188"/>
      <c r="Q2514" s="188"/>
      <c r="R2514" s="188"/>
      <c r="S2514" s="188"/>
      <c r="T2514" s="180"/>
      <c r="U2514" s="189" t="str">
        <f>IFERROR(IF(Tableau3[[#This Row],[Dettes]]=0,"",(Tableau3[[#This Row],[Dettes]]/Tableau3[[#This Row],[EBE]])),"")</f>
        <v/>
      </c>
      <c r="V2514" s="190" t="str">
        <f>IFERROR(Tableau3[[#This Row],[Fonds propres]]/Tableau3[[#This Row],[Total Bilan]],"")</f>
        <v/>
      </c>
      <c r="W2514" s="180"/>
      <c r="X2514" s="192"/>
      <c r="Y2514" s="180"/>
      <c r="Z2514" s="192" t="str">
        <f>IFERROR(Tableau3[[#This Row],[Chiffre d''affaires]]/Tableau3[[#This Row],[Salariés]],"")</f>
        <v/>
      </c>
      <c r="AA2514" s="188"/>
      <c r="AB2514" s="188"/>
    </row>
    <row r="2515" spans="1:29" ht="20.25" customHeight="1">
      <c r="A2515" s="217"/>
      <c r="G2515" s="202"/>
      <c r="H2515" s="203"/>
      <c r="I2515" s="211"/>
      <c r="J2515" s="203"/>
      <c r="K2515" s="188"/>
      <c r="L2515" s="188"/>
      <c r="M2515" s="188"/>
      <c r="N2515" s="188"/>
      <c r="O2515" s="188"/>
      <c r="P2515" s="188"/>
      <c r="Q2515" s="188"/>
      <c r="R2515" s="188"/>
      <c r="S2515" s="188"/>
      <c r="T2515" s="180"/>
      <c r="U2515" s="189" t="str">
        <f>IFERROR(IF(Tableau3[[#This Row],[Dettes]]=0,"",(Tableau3[[#This Row],[Dettes]]/Tableau3[[#This Row],[EBE]])),"")</f>
        <v/>
      </c>
      <c r="V2515" s="190" t="str">
        <f>IFERROR(Tableau3[[#This Row],[Fonds propres]]/Tableau3[[#This Row],[Total Bilan]],"")</f>
        <v/>
      </c>
      <c r="W2515" s="180"/>
      <c r="X2515" s="192"/>
      <c r="Y2515" s="180"/>
      <c r="Z2515" s="192" t="str">
        <f>IFERROR(Tableau3[[#This Row],[Chiffre d''affaires]]/Tableau3[[#This Row],[Salariés]],"")</f>
        <v/>
      </c>
      <c r="AA2515" s="188"/>
      <c r="AB2515" s="188"/>
    </row>
    <row r="2516" spans="1:29" ht="20.25" customHeight="1">
      <c r="A2516" s="217"/>
      <c r="G2516" s="188"/>
      <c r="H2516" s="203"/>
      <c r="I2516" s="203"/>
      <c r="J2516" s="203"/>
      <c r="K2516" s="188"/>
      <c r="L2516" s="188"/>
      <c r="M2516" s="188"/>
      <c r="N2516" s="188"/>
      <c r="O2516" s="188"/>
      <c r="P2516" s="188"/>
      <c r="Q2516" s="188"/>
      <c r="R2516" s="188"/>
      <c r="S2516" s="188"/>
      <c r="T2516" s="180"/>
      <c r="U2516" s="189" t="str">
        <f>IFERROR(IF(Tableau3[[#This Row],[Dettes]]=0,"",(Tableau3[[#This Row],[Dettes]]/Tableau3[[#This Row],[EBE]])),"")</f>
        <v/>
      </c>
      <c r="V2516" s="190" t="str">
        <f>IFERROR(Tableau3[[#This Row],[Fonds propres]]/Tableau3[[#This Row],[Total Bilan]],"")</f>
        <v/>
      </c>
      <c r="W2516" s="180"/>
      <c r="X2516" s="192"/>
      <c r="Y2516" s="180"/>
      <c r="Z2516" s="192" t="str">
        <f>IFERROR(Tableau3[[#This Row],[Chiffre d''affaires]]/Tableau3[[#This Row],[Salariés]],"")</f>
        <v/>
      </c>
      <c r="AA2516" s="188"/>
      <c r="AB2516" s="188"/>
    </row>
    <row r="2517" spans="1:29" ht="20.25" customHeight="1">
      <c r="A2517" s="217" t="s">
        <v>1779</v>
      </c>
      <c r="B2517" s="216" t="s">
        <v>1737</v>
      </c>
      <c r="C2517" s="178" t="s">
        <v>84</v>
      </c>
      <c r="D2517" s="178" t="s">
        <v>85</v>
      </c>
      <c r="E2517" s="187">
        <v>5.33</v>
      </c>
      <c r="F2517" s="178">
        <v>2018</v>
      </c>
      <c r="G2517" s="188"/>
      <c r="H2517" s="203"/>
      <c r="I2517" s="203"/>
      <c r="J2517" s="203"/>
      <c r="K2517" s="188"/>
      <c r="L2517" s="188"/>
      <c r="M2517" s="188"/>
      <c r="N2517" s="188"/>
      <c r="O2517" s="188"/>
      <c r="P2517" s="188"/>
      <c r="Q2517" s="188"/>
      <c r="R2517" s="188"/>
      <c r="S2517" s="188"/>
      <c r="T2517" s="180"/>
      <c r="U2517" s="189" t="str">
        <f>IFERROR(IF(Tableau3[[#This Row],[Dettes]]=0,"",(Tableau3[[#This Row],[Dettes]]/Tableau3[[#This Row],[EBE]])),"")</f>
        <v/>
      </c>
      <c r="V2517" s="190" t="str">
        <f>IFERROR(Tableau3[[#This Row],[Fonds propres]]/Tableau3[[#This Row],[Total Bilan]],"")</f>
        <v/>
      </c>
      <c r="W2517" s="180"/>
      <c r="X2517" s="192"/>
      <c r="Y2517" s="180"/>
      <c r="Z2517" s="192" t="str">
        <f>IFERROR(Tableau3[[#This Row],[Chiffre d''affaires]]/Tableau3[[#This Row],[Salariés]],"")</f>
        <v/>
      </c>
      <c r="AA2517" s="188"/>
      <c r="AB2517" s="188"/>
    </row>
    <row r="2518" spans="1:29" ht="20.25" customHeight="1">
      <c r="A2518" s="217"/>
      <c r="G2518" s="188"/>
      <c r="H2518" s="203"/>
      <c r="I2518" s="203"/>
      <c r="J2518" s="203"/>
      <c r="K2518" s="188"/>
      <c r="L2518" s="188"/>
      <c r="M2518" s="188"/>
      <c r="N2518" s="188"/>
      <c r="O2518" s="188"/>
      <c r="P2518" s="188"/>
      <c r="Q2518" s="188"/>
      <c r="R2518" s="188"/>
      <c r="S2518" s="188"/>
      <c r="T2518" s="180"/>
      <c r="U2518" s="189" t="str">
        <f>IFERROR(IF(Tableau3[[#This Row],[Dettes]]=0,"",(Tableau3[[#This Row],[Dettes]]/Tableau3[[#This Row],[EBE]])),"")</f>
        <v/>
      </c>
      <c r="V2518" s="190" t="str">
        <f>IFERROR(Tableau3[[#This Row],[Fonds propres]]/Tableau3[[#This Row],[Total Bilan]],"")</f>
        <v/>
      </c>
      <c r="W2518" s="180"/>
      <c r="X2518" s="192"/>
      <c r="Y2518" s="180"/>
      <c r="Z2518" s="192" t="str">
        <f>IFERROR(Tableau3[[#This Row],[Chiffre d''affaires]]/Tableau3[[#This Row],[Salariés]],"")</f>
        <v/>
      </c>
      <c r="AA2518" s="188"/>
      <c r="AB2518" s="188"/>
    </row>
    <row r="2519" spans="1:29" ht="20.25" customHeight="1">
      <c r="A2519" s="217"/>
      <c r="F2519" s="178">
        <v>2017</v>
      </c>
      <c r="G2519" s="188">
        <v>14719000</v>
      </c>
      <c r="H2519" s="188">
        <v>5786000</v>
      </c>
      <c r="I2519" s="188">
        <v>2550000</v>
      </c>
      <c r="J2519" s="188"/>
      <c r="K2519" s="188">
        <v>29736000</v>
      </c>
      <c r="L2519" s="188"/>
      <c r="M2519" s="188"/>
      <c r="N2519" s="188"/>
      <c r="O2519" s="188"/>
      <c r="P2519" s="188"/>
      <c r="Q2519" s="188"/>
      <c r="R2519" s="188"/>
      <c r="S2519" s="188"/>
      <c r="T2519" s="180"/>
      <c r="U2519" s="189">
        <f>IFERROR(IF(Tableau3[[#This Row],[Dettes]]=0,"",(Tableau3[[#This Row],[Dettes]]/Tableau3[[#This Row],[EBE]])),"")</f>
        <v>5.139301762875907</v>
      </c>
      <c r="V2519" s="190" t="str">
        <f>IFERROR(Tableau3[[#This Row],[Fonds propres]]/Tableau3[[#This Row],[Total Bilan]],"")</f>
        <v/>
      </c>
      <c r="W2519" s="180"/>
      <c r="X2519" s="192"/>
      <c r="Y2519" s="180"/>
      <c r="Z2519" s="192" t="str">
        <f>IFERROR(Tableau3[[#This Row],[Chiffre d''affaires]]/Tableau3[[#This Row],[Salariés]],"")</f>
        <v/>
      </c>
      <c r="AA2519" s="188"/>
      <c r="AB2519" s="188"/>
      <c r="AC2519" s="212" t="s">
        <v>1780</v>
      </c>
    </row>
    <row r="2520" spans="1:29" ht="20.25" customHeight="1">
      <c r="A2520" s="217"/>
      <c r="G2520" s="202">
        <f>(G2519/G2521)-1</f>
        <v>-4.2619401975375615E-3</v>
      </c>
      <c r="H2520" s="203">
        <f>(H2519/H2521)-1</f>
        <v>-1.7280110592710063E-4</v>
      </c>
      <c r="I2520" s="203">
        <f>(I2519/I2521)-1</f>
        <v>1.1503371677905605E-2</v>
      </c>
      <c r="J2520" s="203" t="e">
        <f>(J2519/J2521)-1</f>
        <v>#DIV/0!</v>
      </c>
      <c r="K2520" s="188"/>
      <c r="L2520" s="188"/>
      <c r="M2520" s="188"/>
      <c r="N2520" s="188"/>
      <c r="O2520" s="188"/>
      <c r="P2520" s="188"/>
      <c r="Q2520" s="188"/>
      <c r="R2520" s="188"/>
      <c r="S2520" s="188"/>
      <c r="T2520" s="180"/>
      <c r="U2520" s="189" t="str">
        <f>IFERROR(IF(Tableau3[[#This Row],[Dettes]]=0,"",(Tableau3[[#This Row],[Dettes]]/Tableau3[[#This Row],[EBE]])),"")</f>
        <v/>
      </c>
      <c r="V2520" s="190" t="str">
        <f>IFERROR(Tableau3[[#This Row],[Fonds propres]]/Tableau3[[#This Row],[Total Bilan]],"")</f>
        <v/>
      </c>
      <c r="W2520" s="180"/>
      <c r="X2520" s="192"/>
      <c r="Y2520" s="180"/>
      <c r="Z2520" s="192" t="str">
        <f>IFERROR(Tableau3[[#This Row],[Chiffre d''affaires]]/Tableau3[[#This Row],[Salariés]],"")</f>
        <v/>
      </c>
      <c r="AA2520" s="188"/>
      <c r="AB2520" s="188"/>
    </row>
    <row r="2521" spans="1:29" ht="20.25" customHeight="1">
      <c r="A2521" s="217"/>
      <c r="F2521" s="178">
        <v>2016</v>
      </c>
      <c r="G2521" s="188">
        <v>14782000</v>
      </c>
      <c r="H2521" s="188">
        <v>5787000</v>
      </c>
      <c r="I2521" s="188">
        <v>2521000</v>
      </c>
      <c r="J2521" s="188"/>
      <c r="K2521" s="188"/>
      <c r="L2521" s="188"/>
      <c r="M2521" s="188"/>
      <c r="N2521" s="188"/>
      <c r="O2521" s="188"/>
      <c r="P2521" s="188"/>
      <c r="Q2521" s="188"/>
      <c r="R2521" s="188"/>
      <c r="S2521" s="188"/>
      <c r="T2521" s="180"/>
      <c r="U2521" s="189" t="str">
        <f>IFERROR(IF(Tableau3[[#This Row],[Dettes]]=0,"",(Tableau3[[#This Row],[Dettes]]/Tableau3[[#This Row],[EBE]])),"")</f>
        <v/>
      </c>
      <c r="V2521" s="190" t="str">
        <f>IFERROR(Tableau3[[#This Row],[Fonds propres]]/Tableau3[[#This Row],[Total Bilan]],"")</f>
        <v/>
      </c>
      <c r="W2521" s="180"/>
      <c r="X2521" s="192"/>
      <c r="Y2521" s="180"/>
      <c r="Z2521" s="192" t="str">
        <f>IFERROR(Tableau3[[#This Row],[Chiffre d''affaires]]/Tableau3[[#This Row],[Salariés]],"")</f>
        <v/>
      </c>
      <c r="AA2521" s="188"/>
      <c r="AB2521" s="188"/>
      <c r="AC2521" s="188"/>
    </row>
    <row r="2522" spans="1:29" ht="20.25" customHeight="1">
      <c r="A2522" s="217"/>
      <c r="G2522" s="188"/>
      <c r="H2522" s="188"/>
      <c r="I2522" s="188"/>
      <c r="J2522" s="188"/>
      <c r="K2522" s="188"/>
      <c r="L2522" s="188"/>
      <c r="M2522" s="188"/>
      <c r="N2522" s="188"/>
      <c r="O2522" s="188"/>
      <c r="P2522" s="188"/>
      <c r="Q2522" s="188"/>
      <c r="R2522" s="188"/>
      <c r="S2522" s="188"/>
      <c r="T2522" s="180"/>
      <c r="U2522" s="189" t="str">
        <f>IFERROR(IF(Tableau3[[#This Row],[Dettes]]=0,"",(Tableau3[[#This Row],[Dettes]]/Tableau3[[#This Row],[EBE]])),"")</f>
        <v/>
      </c>
      <c r="V2522" s="190" t="str">
        <f>IFERROR(Tableau3[[#This Row],[Fonds propres]]/Tableau3[[#This Row],[Total Bilan]],"")</f>
        <v/>
      </c>
      <c r="W2522" s="180"/>
      <c r="X2522" s="192"/>
      <c r="Y2522" s="180"/>
      <c r="Z2522" s="192" t="str">
        <f>IFERROR(Tableau3[[#This Row],[Chiffre d''affaires]]/Tableau3[[#This Row],[Salariés]],"")</f>
        <v/>
      </c>
      <c r="AA2522" s="188"/>
      <c r="AB2522" s="188"/>
      <c r="AC2522" s="188"/>
    </row>
    <row r="2523" spans="1:29" ht="20.25" customHeight="1">
      <c r="A2523" s="217"/>
      <c r="F2523" s="178">
        <v>2015</v>
      </c>
      <c r="G2523" s="188"/>
      <c r="H2523" s="188">
        <v>5790000</v>
      </c>
      <c r="I2523" s="188">
        <v>3150000</v>
      </c>
      <c r="J2523" s="188"/>
      <c r="K2523" s="188"/>
      <c r="L2523" s="188"/>
      <c r="M2523" s="188"/>
      <c r="N2523" s="188"/>
      <c r="O2523" s="188"/>
      <c r="P2523" s="188"/>
      <c r="Q2523" s="188"/>
      <c r="R2523" s="188"/>
      <c r="S2523" s="188"/>
      <c r="T2523" s="180"/>
      <c r="U2523" s="189" t="str">
        <f>IFERROR(IF(Tableau3[[#This Row],[Dettes]]=0,"",(Tableau3[[#This Row],[Dettes]]/Tableau3[[#This Row],[EBE]])),"")</f>
        <v/>
      </c>
      <c r="V2523" s="190" t="str">
        <f>IFERROR(Tableau3[[#This Row],[Fonds propres]]/Tableau3[[#This Row],[Total Bilan]],"")</f>
        <v/>
      </c>
      <c r="W2523" s="180"/>
      <c r="X2523" s="192"/>
      <c r="Y2523" s="180"/>
      <c r="Z2523" s="192" t="str">
        <f>IFERROR(Tableau3[[#This Row],[Chiffre d''affaires]]/Tableau3[[#This Row],[Salariés]],"")</f>
        <v/>
      </c>
      <c r="AA2523" s="188"/>
      <c r="AB2523" s="188"/>
      <c r="AC2523" s="188"/>
    </row>
    <row r="2524" spans="1:29" ht="20.25" customHeight="1">
      <c r="A2524" s="217"/>
      <c r="G2524" s="188"/>
      <c r="H2524" s="203"/>
      <c r="I2524" s="203"/>
      <c r="J2524" s="203"/>
      <c r="K2524" s="188"/>
      <c r="L2524" s="188"/>
      <c r="M2524" s="188"/>
      <c r="N2524" s="188"/>
      <c r="O2524" s="188"/>
      <c r="P2524" s="188"/>
      <c r="Q2524" s="188"/>
      <c r="R2524" s="188"/>
      <c r="S2524" s="188"/>
      <c r="T2524" s="180"/>
      <c r="U2524" s="189" t="str">
        <f>IFERROR(IF(Tableau3[[#This Row],[Dettes]]=0,"",(Tableau3[[#This Row],[Dettes]]/Tableau3[[#This Row],[EBE]])),"")</f>
        <v/>
      </c>
      <c r="V2524" s="190" t="str">
        <f>IFERROR(Tableau3[[#This Row],[Fonds propres]]/Tableau3[[#This Row],[Total Bilan]],"")</f>
        <v/>
      </c>
      <c r="W2524" s="180"/>
      <c r="X2524" s="192"/>
      <c r="Y2524" s="180"/>
      <c r="Z2524" s="192" t="str">
        <f>IFERROR(Tableau3[[#This Row],[Chiffre d''affaires]]/Tableau3[[#This Row],[Salariés]],"")</f>
        <v/>
      </c>
      <c r="AA2524" s="188"/>
      <c r="AB2524" s="188"/>
    </row>
    <row r="2525" spans="1:29" ht="20.25" customHeight="1">
      <c r="A2525" s="217"/>
      <c r="G2525" s="188"/>
      <c r="H2525" s="203"/>
      <c r="I2525" s="203"/>
      <c r="J2525" s="203"/>
      <c r="K2525" s="188"/>
      <c r="L2525" s="188"/>
      <c r="M2525" s="188"/>
      <c r="N2525" s="188"/>
      <c r="O2525" s="188"/>
      <c r="P2525" s="188"/>
      <c r="Q2525" s="188"/>
      <c r="R2525" s="188"/>
      <c r="S2525" s="188"/>
      <c r="T2525" s="180"/>
      <c r="U2525" s="189" t="str">
        <f>IFERROR(IF(Tableau3[[#This Row],[Dettes]]=0,"",(Tableau3[[#This Row],[Dettes]]/Tableau3[[#This Row],[EBE]])),"")</f>
        <v/>
      </c>
      <c r="V2525" s="190" t="str">
        <f>IFERROR(Tableau3[[#This Row],[Fonds propres]]/Tableau3[[#This Row],[Total Bilan]],"")</f>
        <v/>
      </c>
      <c r="W2525" s="180"/>
      <c r="X2525" s="192"/>
      <c r="Y2525" s="180"/>
      <c r="Z2525" s="192" t="str">
        <f>IFERROR(Tableau3[[#This Row],[Chiffre d''affaires]]/Tableau3[[#This Row],[Salariés]],"")</f>
        <v/>
      </c>
      <c r="AA2525" s="188"/>
      <c r="AB2525" s="188"/>
    </row>
    <row r="2526" spans="1:29" ht="20.25" customHeight="1">
      <c r="A2526" s="217"/>
      <c r="G2526" s="188"/>
      <c r="H2526" s="203"/>
      <c r="I2526" s="203"/>
      <c r="J2526" s="203"/>
      <c r="K2526" s="188"/>
      <c r="L2526" s="188"/>
      <c r="M2526" s="188"/>
      <c r="N2526" s="188"/>
      <c r="O2526" s="188"/>
      <c r="P2526" s="188"/>
      <c r="Q2526" s="188"/>
      <c r="R2526" s="188"/>
      <c r="S2526" s="188"/>
      <c r="T2526" s="180"/>
      <c r="U2526" s="189" t="str">
        <f>IFERROR(IF(Tableau3[[#This Row],[Dettes]]=0,"",(Tableau3[[#This Row],[Dettes]]/Tableau3[[#This Row],[EBE]])),"")</f>
        <v/>
      </c>
      <c r="V2526" s="190" t="str">
        <f>IFERROR(Tableau3[[#This Row],[Fonds propres]]/Tableau3[[#This Row],[Total Bilan]],"")</f>
        <v/>
      </c>
      <c r="W2526" s="180"/>
      <c r="X2526" s="192"/>
      <c r="Y2526" s="180"/>
      <c r="Z2526" s="192" t="str">
        <f>IFERROR(Tableau3[[#This Row],[Chiffre d''affaires]]/Tableau3[[#This Row],[Salariés]],"")</f>
        <v/>
      </c>
      <c r="AA2526" s="188"/>
      <c r="AB2526" s="188"/>
    </row>
    <row r="2527" spans="1:29" ht="20.25" customHeight="1">
      <c r="A2527" s="217" t="s">
        <v>1781</v>
      </c>
      <c r="B2527" s="216" t="s">
        <v>1782</v>
      </c>
      <c r="C2527" s="178" t="s">
        <v>84</v>
      </c>
      <c r="D2527" s="178" t="s">
        <v>85</v>
      </c>
      <c r="F2527" s="178">
        <v>2025</v>
      </c>
      <c r="G2527" s="188"/>
      <c r="H2527" s="203"/>
      <c r="I2527" s="203"/>
      <c r="J2527" s="203"/>
      <c r="K2527" s="188"/>
      <c r="L2527" s="188"/>
      <c r="M2527" s="188"/>
      <c r="N2527" s="188"/>
      <c r="O2527" s="188"/>
      <c r="P2527" s="188"/>
      <c r="Q2527" s="188"/>
      <c r="R2527" s="188"/>
      <c r="S2527" s="188"/>
      <c r="T2527" s="180"/>
      <c r="U2527" s="189" t="str">
        <f>IFERROR(IF(Tableau3[[#This Row],[Dettes]]=0,"",(Tableau3[[#This Row],[Dettes]]/Tableau3[[#This Row],[EBE]])),"")</f>
        <v/>
      </c>
      <c r="V2527" s="190" t="str">
        <f>IFERROR(Tableau3[[#This Row],[Fonds propres]]/Tableau3[[#This Row],[Total Bilan]],"")</f>
        <v/>
      </c>
      <c r="W2527" s="180"/>
      <c r="X2527" s="192"/>
      <c r="Y2527" s="180"/>
      <c r="Z2527" s="192" t="str">
        <f>IFERROR(Tableau3[[#This Row],[Chiffre d''affaires]]/Tableau3[[#This Row],[Salariés]],"")</f>
        <v/>
      </c>
      <c r="AA2527" s="188"/>
      <c r="AB2527" s="188"/>
      <c r="AC2527" s="177" t="s">
        <v>1783</v>
      </c>
    </row>
    <row r="2528" spans="1:29" ht="20.25" customHeight="1">
      <c r="A2528" s="217"/>
      <c r="G2528" s="188"/>
      <c r="H2528" s="203"/>
      <c r="I2528" s="203"/>
      <c r="J2528" s="203"/>
      <c r="K2528" s="188"/>
      <c r="L2528" s="188"/>
      <c r="M2528" s="188"/>
      <c r="N2528" s="188"/>
      <c r="O2528" s="188"/>
      <c r="P2528" s="188"/>
      <c r="Q2528" s="188"/>
      <c r="R2528" s="188"/>
      <c r="S2528" s="188"/>
      <c r="T2528" s="180"/>
      <c r="U2528" s="189" t="str">
        <f>IFERROR(IF(Tableau3[[#This Row],[Dettes]]=0,"",(Tableau3[[#This Row],[Dettes]]/Tableau3[[#This Row],[EBE]])),"")</f>
        <v/>
      </c>
      <c r="V2528" s="190" t="str">
        <f>IFERROR(Tableau3[[#This Row],[Fonds propres]]/Tableau3[[#This Row],[Total Bilan]],"")</f>
        <v/>
      </c>
      <c r="W2528" s="180"/>
      <c r="X2528" s="192"/>
      <c r="Y2528" s="180"/>
      <c r="Z2528" s="192" t="str">
        <f>IFERROR(Tableau3[[#This Row],[Chiffre d''affaires]]/Tableau3[[#This Row],[Salariés]],"")</f>
        <v/>
      </c>
      <c r="AA2528" s="188"/>
      <c r="AB2528" s="188"/>
      <c r="AC2528" s="177" t="s">
        <v>1785</v>
      </c>
    </row>
    <row r="2529" spans="1:29" ht="20.25" customHeight="1">
      <c r="A2529" s="217"/>
      <c r="E2529" s="178">
        <v>63.8</v>
      </c>
      <c r="F2529" s="178">
        <v>2024</v>
      </c>
      <c r="G2529" s="188"/>
      <c r="H2529" s="203"/>
      <c r="I2529" s="203"/>
      <c r="J2529" s="203"/>
      <c r="K2529" s="188"/>
      <c r="L2529" s="188"/>
      <c r="M2529" s="188"/>
      <c r="N2529" s="188"/>
      <c r="O2529" s="188"/>
      <c r="P2529" s="188"/>
      <c r="Q2529" s="188"/>
      <c r="R2529" s="188"/>
      <c r="S2529" s="188"/>
      <c r="T2529" s="180"/>
      <c r="U2529" s="189" t="str">
        <f>IFERROR(IF(Tableau3[[#This Row],[Dettes]]=0,"",(Tableau3[[#This Row],[Dettes]]/Tableau3[[#This Row],[EBE]])),"")</f>
        <v/>
      </c>
      <c r="V2529" s="190" t="str">
        <f>IFERROR(Tableau3[[#This Row],[Fonds propres]]/Tableau3[[#This Row],[Total Bilan]],"")</f>
        <v/>
      </c>
      <c r="W2529" s="180"/>
      <c r="X2529" s="192"/>
      <c r="Y2529" s="180"/>
      <c r="Z2529" s="192" t="str">
        <f>IFERROR(Tableau3[[#This Row],[Chiffre d''affaires]]/Tableau3[[#This Row],[Salariés]],"")</f>
        <v/>
      </c>
      <c r="AA2529" s="188"/>
      <c r="AB2529" s="188"/>
      <c r="AC2529" s="177" t="s">
        <v>1786</v>
      </c>
    </row>
    <row r="2530" spans="1:29" ht="20.25" customHeight="1">
      <c r="A2530" s="217"/>
      <c r="G2530" s="188"/>
      <c r="H2530" s="203"/>
      <c r="I2530" s="203"/>
      <c r="J2530" s="203"/>
      <c r="K2530" s="188"/>
      <c r="L2530" s="188"/>
      <c r="M2530" s="188"/>
      <c r="N2530" s="188"/>
      <c r="O2530" s="188"/>
      <c r="P2530" s="188"/>
      <c r="Q2530" s="188"/>
      <c r="R2530" s="188"/>
      <c r="S2530" s="188"/>
      <c r="T2530" s="180"/>
      <c r="U2530" s="189" t="str">
        <f>IFERROR(IF(Tableau3[[#This Row],[Dettes]]=0,"",(Tableau3[[#This Row],[Dettes]]/Tableau3[[#This Row],[EBE]])),"")</f>
        <v/>
      </c>
      <c r="V2530" s="190" t="str">
        <f>IFERROR(Tableau3[[#This Row],[Fonds propres]]/Tableau3[[#This Row],[Total Bilan]],"")</f>
        <v/>
      </c>
      <c r="W2530" s="180"/>
      <c r="X2530" s="192"/>
      <c r="Y2530" s="180"/>
      <c r="Z2530" s="192" t="str">
        <f>IFERROR(Tableau3[[#This Row],[Chiffre d''affaires]]/Tableau3[[#This Row],[Salariés]],"")</f>
        <v/>
      </c>
      <c r="AA2530" s="188"/>
      <c r="AB2530" s="188"/>
      <c r="AC2530" s="177" t="s">
        <v>1787</v>
      </c>
    </row>
    <row r="2531" spans="1:29" ht="20.25" customHeight="1">
      <c r="A2531" s="217"/>
      <c r="F2531" s="178">
        <v>2023</v>
      </c>
      <c r="G2531" s="188"/>
      <c r="H2531" s="188"/>
      <c r="I2531" s="253"/>
      <c r="J2531" s="253"/>
      <c r="K2531" s="188"/>
      <c r="L2531" s="188"/>
      <c r="M2531" s="188"/>
      <c r="N2531" s="188"/>
      <c r="O2531" s="188"/>
      <c r="P2531" s="188"/>
      <c r="Q2531" s="188"/>
      <c r="R2531" s="188"/>
      <c r="S2531" s="188"/>
      <c r="T2531" s="180"/>
      <c r="U2531" s="189" t="str">
        <f>IFERROR(IF(Tableau3[[#This Row],[Dettes]]=0,"",(Tableau3[[#This Row],[Dettes]]/Tableau3[[#This Row],[EBE]])),"")</f>
        <v/>
      </c>
      <c r="V2531" s="190" t="str">
        <f>IFERROR(Tableau3[[#This Row],[Fonds propres]]/Tableau3[[#This Row],[Total Bilan]],"")</f>
        <v/>
      </c>
      <c r="W2531" s="180"/>
      <c r="X2531" s="192"/>
      <c r="Y2531" s="180"/>
      <c r="Z2531" s="192" t="str">
        <f>IFERROR(Tableau3[[#This Row],[Chiffre d''affaires]]/Tableau3[[#This Row],[Salariés]],"")</f>
        <v/>
      </c>
      <c r="AA2531" s="188"/>
      <c r="AB2531" s="188"/>
      <c r="AC2531" s="177" t="s">
        <v>1788</v>
      </c>
    </row>
    <row r="2532" spans="1:29" ht="20.25" customHeight="1">
      <c r="A2532" s="217"/>
      <c r="G2532" s="188"/>
      <c r="H2532" s="188"/>
      <c r="I2532" s="253"/>
      <c r="J2532" s="253"/>
      <c r="K2532" s="188"/>
      <c r="L2532" s="188"/>
      <c r="M2532" s="188"/>
      <c r="N2532" s="188"/>
      <c r="O2532" s="188"/>
      <c r="P2532" s="188"/>
      <c r="Q2532" s="188"/>
      <c r="R2532" s="188"/>
      <c r="S2532" s="188"/>
      <c r="T2532" s="180"/>
      <c r="U2532" s="189" t="str">
        <f>IFERROR(IF(Tableau3[[#This Row],[Dettes]]=0,"",(Tableau3[[#This Row],[Dettes]]/Tableau3[[#This Row],[EBE]])),"")</f>
        <v/>
      </c>
      <c r="V2532" s="190" t="str">
        <f>IFERROR(Tableau3[[#This Row],[Fonds propres]]/Tableau3[[#This Row],[Total Bilan]],"")</f>
        <v/>
      </c>
      <c r="W2532" s="180"/>
      <c r="X2532" s="192"/>
      <c r="Y2532" s="180"/>
      <c r="Z2532" s="192" t="str">
        <f>IFERROR(Tableau3[[#This Row],[Chiffre d''affaires]]/Tableau3[[#This Row],[Salariés]],"")</f>
        <v/>
      </c>
      <c r="AA2532" s="188"/>
      <c r="AB2532" s="188"/>
      <c r="AC2532" s="177" t="s">
        <v>1789</v>
      </c>
    </row>
    <row r="2533" spans="1:29" ht="20.25" customHeight="1">
      <c r="A2533" s="217"/>
      <c r="E2533" s="187">
        <v>62</v>
      </c>
      <c r="F2533" s="178">
        <v>2022</v>
      </c>
      <c r="G2533" s="188">
        <v>2233900000</v>
      </c>
      <c r="H2533" s="188">
        <v>404500000</v>
      </c>
      <c r="I2533" s="211">
        <v>303500000</v>
      </c>
      <c r="J2533" s="211">
        <v>225200000</v>
      </c>
      <c r="K2533" s="188"/>
      <c r="L2533" s="211"/>
      <c r="M2533" s="188"/>
      <c r="N2533" s="188"/>
      <c r="O2533" s="188"/>
      <c r="P2533" s="188">
        <v>43952226</v>
      </c>
      <c r="Q2533" s="211">
        <f>P2533*E2533</f>
        <v>2725038012</v>
      </c>
      <c r="R2533" s="188"/>
      <c r="S2533" s="188"/>
      <c r="T2533" s="180"/>
      <c r="U2533" s="189" t="str">
        <f>IFERROR(IF(Tableau3[[#This Row],[Dettes]]=0,"",(Tableau3[[#This Row],[Dettes]]/Tableau3[[#This Row],[EBE]])),"")</f>
        <v/>
      </c>
      <c r="V2533" s="190" t="str">
        <f>IFERROR(Tableau3[[#This Row],[Fonds propres]]/Tableau3[[#This Row],[Total Bilan]],"")</f>
        <v/>
      </c>
      <c r="W2533" s="180"/>
      <c r="X2533" s="192"/>
      <c r="Y2533" s="180"/>
      <c r="Z2533" s="192" t="str">
        <f>IFERROR(Tableau3[[#This Row],[Chiffre d''affaires]]/Tableau3[[#This Row],[Salariés]],"")</f>
        <v/>
      </c>
      <c r="AA2533" s="188"/>
      <c r="AB2533" s="188"/>
      <c r="AC2533" s="177" t="s">
        <v>1790</v>
      </c>
    </row>
    <row r="2534" spans="1:29" ht="20.25" customHeight="1">
      <c r="A2534" s="217"/>
      <c r="G2534" s="202">
        <f>(G2533/G2535)-1</f>
        <v>0.21944429281074296</v>
      </c>
      <c r="H2534" s="203">
        <f>(H2533/H2535)-1</f>
        <v>-0.26360822865465139</v>
      </c>
      <c r="I2534" s="203">
        <f>(I2533/I2535)-1</f>
        <v>-0.32853982300884954</v>
      </c>
      <c r="J2534" s="203">
        <f>(J2533/J2535)-1</f>
        <v>0.17475221700573806</v>
      </c>
      <c r="K2534" s="188"/>
      <c r="L2534" s="188"/>
      <c r="M2534" s="188"/>
      <c r="N2534" s="188"/>
      <c r="O2534" s="188"/>
      <c r="P2534" s="188"/>
      <c r="Q2534" s="188"/>
      <c r="R2534" s="188"/>
      <c r="S2534" s="188"/>
      <c r="T2534" s="180"/>
      <c r="U2534" s="189" t="str">
        <f>IFERROR(IF(Tableau3[[#This Row],[Dettes]]=0,"",(Tableau3[[#This Row],[Dettes]]/Tableau3[[#This Row],[EBE]])),"")</f>
        <v/>
      </c>
      <c r="V2534" s="190" t="str">
        <f>IFERROR(Tableau3[[#This Row],[Fonds propres]]/Tableau3[[#This Row],[Total Bilan]],"")</f>
        <v/>
      </c>
      <c r="W2534" s="180"/>
      <c r="X2534" s="192"/>
      <c r="Y2534" s="180"/>
      <c r="Z2534" s="192" t="str">
        <f>IFERROR(Tableau3[[#This Row],[Chiffre d''affaires]]/Tableau3[[#This Row],[Salariés]],"")</f>
        <v/>
      </c>
      <c r="AA2534" s="188"/>
      <c r="AB2534" s="188"/>
      <c r="AC2534" s="177" t="s">
        <v>1791</v>
      </c>
    </row>
    <row r="2535" spans="1:29" ht="20.25" customHeight="1">
      <c r="A2535" s="217"/>
      <c r="E2535" s="178">
        <v>47.3</v>
      </c>
      <c r="F2535" s="178">
        <v>2021</v>
      </c>
      <c r="G2535" s="188">
        <v>1831900000</v>
      </c>
      <c r="H2535" s="188">
        <v>549300000</v>
      </c>
      <c r="I2535" s="211">
        <v>452000000</v>
      </c>
      <c r="J2535" s="211">
        <v>191700000</v>
      </c>
      <c r="K2535" s="188"/>
      <c r="L2535" s="211"/>
      <c r="M2535" s="188"/>
      <c r="N2535" s="188"/>
      <c r="O2535" s="188"/>
      <c r="P2535" s="188">
        <v>43952226</v>
      </c>
      <c r="Q2535" s="211">
        <f>P2535*E2535</f>
        <v>2078940289.8</v>
      </c>
      <c r="R2535" s="188"/>
      <c r="S2535" s="188"/>
      <c r="T2535" s="180"/>
      <c r="U2535" s="189" t="str">
        <f>IFERROR(IF(Tableau3[[#This Row],[Dettes]]=0,"",(Tableau3[[#This Row],[Dettes]]/Tableau3[[#This Row],[EBE]])),"")</f>
        <v/>
      </c>
      <c r="V2535" s="190" t="str">
        <f>IFERROR(Tableau3[[#This Row],[Fonds propres]]/Tableau3[[#This Row],[Total Bilan]],"")</f>
        <v/>
      </c>
      <c r="W2535" s="180"/>
      <c r="X2535" s="192"/>
      <c r="Y2535" s="180"/>
      <c r="Z2535" s="192" t="str">
        <f>IFERROR(Tableau3[[#This Row],[Chiffre d''affaires]]/Tableau3[[#This Row],[Salariés]],"")</f>
        <v/>
      </c>
      <c r="AA2535" s="188"/>
      <c r="AB2535" s="188"/>
      <c r="AC2535" s="177" t="s">
        <v>1792</v>
      </c>
    </row>
    <row r="2536" spans="1:29" ht="20.25" customHeight="1">
      <c r="A2536" s="217"/>
      <c r="G2536" s="202">
        <f>(G2535/G2537)-1</f>
        <v>-5.0782784239232326E-2</v>
      </c>
      <c r="H2536" s="203">
        <f>(H2535/H2537)-1</f>
        <v>0.30785714285714283</v>
      </c>
      <c r="I2536" s="203">
        <f>(I2535/I2537)-1</f>
        <v>0.43492063492063493</v>
      </c>
      <c r="J2536" s="203">
        <f>(J2535/J2537)-1</f>
        <v>0.12764705882352945</v>
      </c>
      <c r="K2536" s="188"/>
      <c r="L2536" s="188"/>
      <c r="M2536" s="188"/>
      <c r="N2536" s="188"/>
      <c r="O2536" s="188"/>
      <c r="P2536" s="188"/>
      <c r="Q2536" s="188"/>
      <c r="R2536" s="188"/>
      <c r="S2536" s="188"/>
      <c r="T2536" s="180"/>
      <c r="U2536" s="189" t="str">
        <f>IFERROR(IF(Tableau3[[#This Row],[Dettes]]=0,"",(Tableau3[[#This Row],[Dettes]]/Tableau3[[#This Row],[EBE]])),"")</f>
        <v/>
      </c>
      <c r="V2536" s="190" t="str">
        <f>IFERROR(Tableau3[[#This Row],[Fonds propres]]/Tableau3[[#This Row],[Total Bilan]],"")</f>
        <v/>
      </c>
      <c r="W2536" s="180"/>
      <c r="X2536" s="192"/>
      <c r="Y2536" s="180"/>
      <c r="Z2536" s="192" t="str">
        <f>IFERROR(Tableau3[[#This Row],[Chiffre d''affaires]]/Tableau3[[#This Row],[Salariés]],"")</f>
        <v/>
      </c>
      <c r="AA2536" s="188"/>
      <c r="AB2536" s="188"/>
      <c r="AC2536" s="177" t="s">
        <v>1793</v>
      </c>
    </row>
    <row r="2537" spans="1:29" ht="20.25" customHeight="1">
      <c r="A2537" s="217"/>
      <c r="E2537" s="187">
        <v>46.26</v>
      </c>
      <c r="F2537" s="178">
        <v>2020</v>
      </c>
      <c r="G2537" s="188">
        <f>G2539*0.99</f>
        <v>1929906000</v>
      </c>
      <c r="H2537" s="188">
        <v>420000000</v>
      </c>
      <c r="I2537" s="211">
        <v>315000000</v>
      </c>
      <c r="J2537" s="211">
        <v>170000000</v>
      </c>
      <c r="K2537" s="188">
        <v>-140000000</v>
      </c>
      <c r="L2537" s="188">
        <v>1600000000</v>
      </c>
      <c r="M2537" s="194">
        <f>L2537/P2537</f>
        <v>35.139936010176527</v>
      </c>
      <c r="N2537" s="190">
        <f>J2537/L2537</f>
        <v>0.10625</v>
      </c>
      <c r="O2537" s="190">
        <f>(I2537*0.64)/(K2537+(M2537*P2537))</f>
        <v>0.13808219178082193</v>
      </c>
      <c r="P2537" s="188">
        <v>45532240</v>
      </c>
      <c r="Q2537" s="211">
        <f>P2537*E2537</f>
        <v>2106321422.3999999</v>
      </c>
      <c r="R2537" s="195">
        <f>Q2537/L2537</f>
        <v>1.316450889</v>
      </c>
      <c r="S2537" s="197">
        <f>(Q2537+K2537)/H2537</f>
        <v>4.6817176723809517</v>
      </c>
      <c r="T2537" s="180"/>
      <c r="U2537" s="189">
        <f>IFERROR(IF(Tableau3[[#This Row],[Dettes]]=0,"",(Tableau3[[#This Row],[Dettes]]/Tableau3[[#This Row],[EBE]])),"")</f>
        <v>-0.33333333333333331</v>
      </c>
      <c r="V2537" s="190" t="str">
        <f>IFERROR(Tableau3[[#This Row],[Fonds propres]]/Tableau3[[#This Row],[Total Bilan]],"")</f>
        <v/>
      </c>
      <c r="W2537" s="180"/>
      <c r="X2537" s="191"/>
      <c r="Y2537" s="180"/>
      <c r="Z2537" s="192" t="str">
        <f>IFERROR(Tableau3[[#This Row],[Chiffre d''affaires]]/Tableau3[[#This Row],[Salariés]],"")</f>
        <v/>
      </c>
      <c r="AA2537" s="197"/>
      <c r="AB2537" s="197"/>
      <c r="AC2537" s="177" t="s">
        <v>1794</v>
      </c>
    </row>
    <row r="2538" spans="1:29" ht="20.25" customHeight="1">
      <c r="E2538" s="187"/>
      <c r="G2538" s="202">
        <f>(G2537/G2539)-1</f>
        <v>-1.0000000000000009E-2</v>
      </c>
      <c r="H2538" s="203">
        <f>(H2537/H2539)-1</f>
        <v>-2.3255813953488413E-2</v>
      </c>
      <c r="I2538" s="203">
        <f>(I2537/I2539)-1</f>
        <v>-5.0632911392405111E-2</v>
      </c>
      <c r="J2538" s="203">
        <f>(J2537/J2539)-1</f>
        <v>-3.4639409426462264E-2</v>
      </c>
      <c r="K2538" s="178"/>
      <c r="L2538" s="178"/>
      <c r="M2538" s="178"/>
      <c r="N2538" s="178"/>
      <c r="O2538" s="178"/>
      <c r="P2538" s="178"/>
      <c r="Q2538" s="178"/>
      <c r="R2538" s="195"/>
      <c r="S2538" s="178"/>
      <c r="T2538" s="180"/>
      <c r="U2538" s="189" t="str">
        <f>IFERROR(IF(Tableau3[[#This Row],[Dettes]]=0,"",(Tableau3[[#This Row],[Dettes]]/Tableau3[[#This Row],[EBE]])),"")</f>
        <v/>
      </c>
      <c r="V2538" s="190" t="str">
        <f>IFERROR(Tableau3[[#This Row],[Fonds propres]]/Tableau3[[#This Row],[Total Bilan]],"")</f>
        <v/>
      </c>
      <c r="W2538" s="180"/>
      <c r="Y2538" s="180"/>
      <c r="Z2538" s="192" t="str">
        <f>IFERROR(Tableau3[[#This Row],[Chiffre d''affaires]]/Tableau3[[#This Row],[Salariés]],"")</f>
        <v/>
      </c>
      <c r="AA2538" s="177"/>
      <c r="AC2538" s="177" t="s">
        <v>1795</v>
      </c>
    </row>
    <row r="2539" spans="1:29" ht="20.25" customHeight="1">
      <c r="A2539" s="217"/>
      <c r="E2539" s="187">
        <v>62</v>
      </c>
      <c r="F2539" s="178">
        <v>2019</v>
      </c>
      <c r="G2539" s="188">
        <v>1949400000</v>
      </c>
      <c r="H2539" s="188">
        <v>430000000</v>
      </c>
      <c r="I2539" s="211">
        <v>331800000</v>
      </c>
      <c r="J2539" s="211">
        <v>176100000</v>
      </c>
      <c r="K2539" s="188">
        <v>-146900000</v>
      </c>
      <c r="L2539" s="188">
        <v>1608100000</v>
      </c>
      <c r="M2539" s="194">
        <f>L2539/P2539</f>
        <v>35.317831936228046</v>
      </c>
      <c r="N2539" s="190">
        <f>J2539/L2539</f>
        <v>0.10950811516696723</v>
      </c>
      <c r="O2539" s="190">
        <f>(I2539*0.64)/(K2539+(M2539*P2539))</f>
        <v>0.1453271283876266</v>
      </c>
      <c r="P2539" s="188">
        <v>45532240</v>
      </c>
      <c r="Q2539" s="211">
        <f>P2539*E2539</f>
        <v>2822998880</v>
      </c>
      <c r="R2539" s="195">
        <f>Q2539/L2539</f>
        <v>1.7554871463217461</v>
      </c>
      <c r="S2539" s="197">
        <f>(Q2539+K2539)/H2539</f>
        <v>6.2234857674418604</v>
      </c>
      <c r="T2539" s="180"/>
      <c r="U2539" s="189">
        <f>IFERROR(IF(Tableau3[[#This Row],[Dettes]]=0,"",(Tableau3[[#This Row],[Dettes]]/Tableau3[[#This Row],[EBE]])),"")</f>
        <v>-0.34162790697674417</v>
      </c>
      <c r="V2539" s="190" t="str">
        <f>IFERROR(Tableau3[[#This Row],[Fonds propres]]/Tableau3[[#This Row],[Total Bilan]],"")</f>
        <v/>
      </c>
      <c r="W2539" s="180"/>
      <c r="X2539" s="191"/>
      <c r="Y2539" s="180"/>
      <c r="Z2539" s="192" t="str">
        <f>IFERROR(Tableau3[[#This Row],[Chiffre d''affaires]]/Tableau3[[#This Row],[Salariés]],"")</f>
        <v/>
      </c>
      <c r="AA2539" s="197"/>
      <c r="AB2539" s="197"/>
    </row>
    <row r="2540" spans="1:29" ht="20.25" customHeight="1">
      <c r="A2540" s="217"/>
      <c r="E2540" s="187"/>
      <c r="G2540" s="202">
        <f>(G2539/G2541)-1</f>
        <v>-2.0514924607650808E-4</v>
      </c>
      <c r="H2540" s="203">
        <f>(H2539/H2541)-1</f>
        <v>-4.4444444444444398E-2</v>
      </c>
      <c r="I2540" s="203">
        <f>(I2539/I2541)-1</f>
        <v>-5.8456299659477851E-2</v>
      </c>
      <c r="J2540" s="203">
        <f>(J2539/J2541)-1</f>
        <v>1.5570934256055269E-2</v>
      </c>
      <c r="K2540" s="178"/>
      <c r="L2540" s="188"/>
      <c r="M2540" s="178"/>
      <c r="N2540" s="178"/>
      <c r="O2540" s="178"/>
      <c r="P2540" s="178"/>
      <c r="Q2540" s="178"/>
      <c r="R2540" s="195"/>
      <c r="S2540" s="178"/>
      <c r="T2540" s="180"/>
      <c r="U2540" s="189" t="str">
        <f>IFERROR(IF(Tableau3[[#This Row],[Dettes]]=0,"",(Tableau3[[#This Row],[Dettes]]/Tableau3[[#This Row],[EBE]])),"")</f>
        <v/>
      </c>
      <c r="V2540" s="190" t="str">
        <f>IFERROR(Tableau3[[#This Row],[Fonds propres]]/Tableau3[[#This Row],[Total Bilan]],"")</f>
        <v/>
      </c>
      <c r="W2540" s="180"/>
      <c r="Y2540" s="180"/>
      <c r="Z2540" s="192" t="str">
        <f>IFERROR(Tableau3[[#This Row],[Chiffre d''affaires]]/Tableau3[[#This Row],[Salariés]],"")</f>
        <v/>
      </c>
      <c r="AA2540" s="177"/>
    </row>
    <row r="2541" spans="1:29" ht="20.25" customHeight="1">
      <c r="A2541" s="217"/>
      <c r="E2541" s="187">
        <v>79.650000000000006</v>
      </c>
      <c r="F2541" s="178">
        <v>2018</v>
      </c>
      <c r="G2541" s="188">
        <v>1949800000</v>
      </c>
      <c r="H2541" s="188">
        <v>450000000</v>
      </c>
      <c r="I2541" s="188">
        <v>352400000</v>
      </c>
      <c r="J2541" s="188">
        <v>173400000</v>
      </c>
      <c r="K2541" s="188">
        <v>-161500000</v>
      </c>
      <c r="L2541" s="188">
        <v>1638100000</v>
      </c>
      <c r="M2541" s="194">
        <f>L2539/P2541</f>
        <v>35.266813367194679</v>
      </c>
      <c r="N2541" s="190">
        <f>J2541/L2539</f>
        <v>0.10782911510478205</v>
      </c>
      <c r="O2541" s="190">
        <f>(I2541*0.64)/(K2541+(M2541*P2541))</f>
        <v>0.15590764551361813</v>
      </c>
      <c r="P2541" s="188">
        <v>45598109</v>
      </c>
      <c r="Q2541" s="211">
        <f>P2541*E2541</f>
        <v>3631889381.8500004</v>
      </c>
      <c r="R2541" s="195">
        <f>Q2541/L2539</f>
        <v>2.2584972214725454</v>
      </c>
      <c r="S2541" s="197">
        <f>(Q2541+K2541)/H2541</f>
        <v>7.7119764041111116</v>
      </c>
      <c r="T2541" s="180"/>
      <c r="U2541" s="189">
        <f>IFERROR(IF(Tableau3[[#This Row],[Dettes]]=0,"",(Tableau3[[#This Row],[Dettes]]/Tableau3[[#This Row],[EBE]])),"")</f>
        <v>-0.35888888888888887</v>
      </c>
      <c r="V2541" s="190" t="str">
        <f>IFERROR(Tableau3[[#This Row],[Fonds propres]]/Tableau3[[#This Row],[Total Bilan]],"")</f>
        <v/>
      </c>
      <c r="W2541" s="180"/>
      <c r="X2541" s="191"/>
      <c r="Y2541" s="180"/>
      <c r="Z2541" s="192" t="str">
        <f>IFERROR(Tableau3[[#This Row],[Chiffre d''affaires]]/Tableau3[[#This Row],[Salariés]],"")</f>
        <v/>
      </c>
      <c r="AA2541" s="197"/>
      <c r="AB2541" s="197"/>
    </row>
    <row r="2542" spans="1:29" ht="20.25" customHeight="1">
      <c r="A2542" s="217"/>
      <c r="E2542" s="187"/>
      <c r="G2542" s="202">
        <f>(G2541/G2543)-1</f>
        <v>-3.4895807553333658E-2</v>
      </c>
      <c r="H2542" s="203">
        <f>(H2541/H2543)-1</f>
        <v>-6.25E-2</v>
      </c>
      <c r="I2542" s="203">
        <f>(I2541/I2543)-1</f>
        <v>-0.12097779995011226</v>
      </c>
      <c r="J2542" s="203">
        <f>(J2541/J2543)-1</f>
        <v>-0.39854318418314261</v>
      </c>
      <c r="K2542" s="188"/>
      <c r="L2542" s="188"/>
      <c r="M2542" s="188"/>
      <c r="N2542" s="188"/>
      <c r="O2542" s="188"/>
      <c r="P2542" s="188"/>
      <c r="Q2542" s="188"/>
      <c r="R2542" s="195"/>
      <c r="S2542" s="188"/>
      <c r="T2542" s="180"/>
      <c r="U2542" s="189" t="str">
        <f>IFERROR(IF(Tableau3[[#This Row],[Dettes]]=0,"",(Tableau3[[#This Row],[Dettes]]/Tableau3[[#This Row],[EBE]])),"")</f>
        <v/>
      </c>
      <c r="V2542" s="190" t="str">
        <f>IFERROR(Tableau3[[#This Row],[Fonds propres]]/Tableau3[[#This Row],[Total Bilan]],"")</f>
        <v/>
      </c>
      <c r="W2542" s="180"/>
      <c r="X2542" s="192"/>
      <c r="Y2542" s="180"/>
      <c r="Z2542" s="192" t="str">
        <f>IFERROR(Tableau3[[#This Row],[Chiffre d''affaires]]/Tableau3[[#This Row],[Salariés]],"")</f>
        <v/>
      </c>
      <c r="AA2542" s="188"/>
      <c r="AB2542" s="188"/>
    </row>
    <row r="2543" spans="1:29" ht="20.25" customHeight="1">
      <c r="A2543" s="217"/>
      <c r="E2543" s="187">
        <v>92.76</v>
      </c>
      <c r="F2543" s="178">
        <v>2017</v>
      </c>
      <c r="G2543" s="188">
        <v>2020300000</v>
      </c>
      <c r="H2543" s="188">
        <v>480000000</v>
      </c>
      <c r="I2543" s="188">
        <v>400900000</v>
      </c>
      <c r="J2543" s="188">
        <v>288300000</v>
      </c>
      <c r="K2543" s="188">
        <v>-204900000</v>
      </c>
      <c r="L2543" s="188">
        <v>1703900000</v>
      </c>
      <c r="M2543" s="194">
        <f>L2543/P2543</f>
        <v>36.662525465974376</v>
      </c>
      <c r="N2543" s="190">
        <f>J2543/L2543</f>
        <v>0.16920007042666824</v>
      </c>
      <c r="O2543" s="190">
        <f>(I2543*0.64)/(K2543+(M2543*P2543))</f>
        <v>0.17116477651767842</v>
      </c>
      <c r="P2543" s="188">
        <v>46475249</v>
      </c>
      <c r="Q2543" s="211">
        <f>P2543*E2543</f>
        <v>4311044097.2399998</v>
      </c>
      <c r="R2543" s="195">
        <f>Q2543/L2543</f>
        <v>2.5301039364047186</v>
      </c>
      <c r="S2543" s="197">
        <f>(Q2543+K2543)/H2543</f>
        <v>8.5544668692499997</v>
      </c>
      <c r="T2543" s="180"/>
      <c r="U2543" s="189">
        <f>IFERROR(IF(Tableau3[[#This Row],[Dettes]]=0,"",(Tableau3[[#This Row],[Dettes]]/Tableau3[[#This Row],[EBE]])),"")</f>
        <v>-0.426875</v>
      </c>
      <c r="V2543" s="190" t="str">
        <f>IFERROR(Tableau3[[#This Row],[Fonds propres]]/Tableau3[[#This Row],[Total Bilan]],"")</f>
        <v/>
      </c>
      <c r="W2543" s="180"/>
      <c r="X2543" s="191"/>
      <c r="Y2543" s="180"/>
      <c r="Z2543" s="192" t="str">
        <f>IFERROR(Tableau3[[#This Row],[Chiffre d''affaires]]/Tableau3[[#This Row],[Salariés]],"")</f>
        <v/>
      </c>
      <c r="AA2543" s="197"/>
      <c r="AB2543" s="197"/>
    </row>
    <row r="2544" spans="1:29" ht="20.25" customHeight="1">
      <c r="A2544" s="217"/>
      <c r="E2544" s="187"/>
      <c r="G2544" s="202">
        <f>(G2543/G2545)-1</f>
        <v>-2.714976799289115E-3</v>
      </c>
      <c r="H2544" s="203">
        <f>(H2543/H2545)-1</f>
        <v>-4.0000000000000036E-2</v>
      </c>
      <c r="I2544" s="203">
        <f>(I2543/I2545)-1</f>
        <v>-2.0043999022243963E-2</v>
      </c>
      <c r="J2544" s="203">
        <f>(J2543/J2545)-1</f>
        <v>0.15458550260312376</v>
      </c>
      <c r="K2544" s="188"/>
      <c r="L2544" s="188"/>
      <c r="M2544" s="188"/>
      <c r="N2544" s="188"/>
      <c r="O2544" s="188"/>
      <c r="P2544" s="188"/>
      <c r="Q2544" s="188"/>
      <c r="R2544" s="195"/>
      <c r="S2544" s="188"/>
      <c r="T2544" s="180"/>
      <c r="U2544" s="189" t="str">
        <f>IFERROR(IF(Tableau3[[#This Row],[Dettes]]=0,"",(Tableau3[[#This Row],[Dettes]]/Tableau3[[#This Row],[EBE]])),"")</f>
        <v/>
      </c>
      <c r="V2544" s="190" t="str">
        <f>IFERROR(Tableau3[[#This Row],[Fonds propres]]/Tableau3[[#This Row],[Total Bilan]],"")</f>
        <v/>
      </c>
      <c r="W2544" s="180"/>
      <c r="X2544" s="192"/>
      <c r="Y2544" s="180"/>
      <c r="Z2544" s="192" t="str">
        <f>IFERROR(Tableau3[[#This Row],[Chiffre d''affaires]]/Tableau3[[#This Row],[Salariés]],"")</f>
        <v/>
      </c>
      <c r="AA2544" s="188"/>
      <c r="AB2544" s="188"/>
    </row>
    <row r="2545" spans="1:29" ht="20.25" customHeight="1">
      <c r="A2545" s="217"/>
      <c r="E2545" s="187">
        <v>129.55000000000001</v>
      </c>
      <c r="F2545" s="178">
        <v>2016</v>
      </c>
      <c r="G2545" s="188">
        <v>2025800000</v>
      </c>
      <c r="H2545" s="188">
        <v>500000000</v>
      </c>
      <c r="I2545" s="188">
        <v>409100000</v>
      </c>
      <c r="J2545" s="188">
        <v>249700000</v>
      </c>
      <c r="K2545" s="188">
        <v>-222000000</v>
      </c>
      <c r="L2545" s="188">
        <v>1792600000</v>
      </c>
      <c r="M2545" s="194">
        <f>L2545/P2545</f>
        <v>38.222704375953796</v>
      </c>
      <c r="N2545" s="190">
        <f>J2545/L2545</f>
        <v>0.13929487894678122</v>
      </c>
      <c r="O2545" s="190">
        <f>(I2545*0.64)/(K2545+(M2545*P2545))</f>
        <v>0.16670317076276583</v>
      </c>
      <c r="P2545" s="188">
        <v>46898827</v>
      </c>
      <c r="Q2545" s="211">
        <f>P2545*E2545</f>
        <v>6075743037.8500004</v>
      </c>
      <c r="R2545" s="195">
        <f>Q2545/L2545</f>
        <v>3.3893467800122727</v>
      </c>
      <c r="S2545" s="197">
        <f>(Q2545+K2545)/H2545</f>
        <v>11.7074860757</v>
      </c>
      <c r="T2545" s="180"/>
      <c r="U2545" s="189">
        <f>IFERROR(IF(Tableau3[[#This Row],[Dettes]]=0,"",(Tableau3[[#This Row],[Dettes]]/Tableau3[[#This Row],[EBE]])),"")</f>
        <v>-0.44400000000000001</v>
      </c>
      <c r="V2545" s="190" t="str">
        <f>IFERROR(Tableau3[[#This Row],[Fonds propres]]/Tableau3[[#This Row],[Total Bilan]],"")</f>
        <v/>
      </c>
      <c r="W2545" s="180"/>
      <c r="X2545" s="191"/>
      <c r="Y2545" s="180"/>
      <c r="Z2545" s="192" t="str">
        <f>IFERROR(Tableau3[[#This Row],[Chiffre d''affaires]]/Tableau3[[#This Row],[Salariés]],"")</f>
        <v/>
      </c>
      <c r="AA2545" s="197"/>
      <c r="AB2545" s="197"/>
    </row>
    <row r="2546" spans="1:29" ht="20.25" customHeight="1">
      <c r="A2546" s="217"/>
      <c r="E2546" s="187"/>
      <c r="G2546" s="202">
        <f>(G2545/G2547)-1</f>
        <v>1.6253637002106913E-2</v>
      </c>
      <c r="H2546" s="203">
        <f>(H2545/H2547)-1</f>
        <v>-4.7619047619047672E-2</v>
      </c>
      <c r="I2546" s="203">
        <f>(I2545/I2547)-1</f>
        <v>-3.6050895381715353E-2</v>
      </c>
      <c r="J2546" s="203">
        <f>(J2545/J2547)-1</f>
        <v>-0.23192863734235625</v>
      </c>
      <c r="K2546" s="188"/>
      <c r="L2546" s="188"/>
      <c r="M2546" s="178"/>
      <c r="N2546" s="178"/>
      <c r="O2546" s="178"/>
      <c r="P2546" s="178"/>
      <c r="Q2546" s="178"/>
      <c r="R2546" s="195"/>
      <c r="S2546" s="178"/>
      <c r="T2546" s="180"/>
      <c r="U2546" s="189" t="str">
        <f>IFERROR(IF(Tableau3[[#This Row],[Dettes]]=0,"",(Tableau3[[#This Row],[Dettes]]/Tableau3[[#This Row],[EBE]])),"")</f>
        <v/>
      </c>
      <c r="V2546" s="190" t="str">
        <f>IFERROR(Tableau3[[#This Row],[Fonds propres]]/Tableau3[[#This Row],[Total Bilan]],"")</f>
        <v/>
      </c>
      <c r="W2546" s="180"/>
      <c r="Y2546" s="180"/>
      <c r="Z2546" s="192" t="str">
        <f>IFERROR(Tableau3[[#This Row],[Chiffre d''affaires]]/Tableau3[[#This Row],[Salariés]],"")</f>
        <v/>
      </c>
      <c r="AA2546" s="177"/>
    </row>
    <row r="2547" spans="1:29" ht="20.25" customHeight="1">
      <c r="A2547" s="217"/>
      <c r="E2547" s="187">
        <v>149.30000000000001</v>
      </c>
      <c r="F2547" s="178">
        <v>2015</v>
      </c>
      <c r="G2547" s="188">
        <v>1993400000</v>
      </c>
      <c r="H2547" s="188">
        <v>525000000</v>
      </c>
      <c r="I2547" s="188">
        <v>424400000</v>
      </c>
      <c r="J2547" s="188">
        <v>325100000</v>
      </c>
      <c r="K2547" s="188">
        <v>-448000000</v>
      </c>
      <c r="L2547" s="188">
        <v>1849500000</v>
      </c>
      <c r="M2547" s="194">
        <f>L2547/P2547</f>
        <v>39.206467873728421</v>
      </c>
      <c r="N2547" s="190">
        <f>J2547/L2547</f>
        <v>0.17577723709110571</v>
      </c>
      <c r="O2547" s="190">
        <f>(I2547*0.64)/(K2547+(M2547*P2547))</f>
        <v>0.19380378166250445</v>
      </c>
      <c r="P2547" s="188">
        <v>47173339</v>
      </c>
      <c r="Q2547" s="211">
        <f>P2547*E2547</f>
        <v>7042979512.7000008</v>
      </c>
      <c r="R2547" s="195">
        <f>Q2547/L2547</f>
        <v>3.8080451542038394</v>
      </c>
      <c r="S2547" s="197">
        <f>(Q2547+K2547)/H2547</f>
        <v>12.561865738476191</v>
      </c>
      <c r="T2547" s="180"/>
      <c r="U2547" s="189">
        <f>IFERROR(IF(Tableau3[[#This Row],[Dettes]]=0,"",(Tableau3[[#This Row],[Dettes]]/Tableau3[[#This Row],[EBE]])),"")</f>
        <v>-0.85333333333333339</v>
      </c>
      <c r="V2547" s="190" t="str">
        <f>IFERROR(Tableau3[[#This Row],[Fonds propres]]/Tableau3[[#This Row],[Total Bilan]],"")</f>
        <v/>
      </c>
      <c r="W2547" s="180"/>
      <c r="X2547" s="191"/>
      <c r="Y2547" s="180"/>
      <c r="Z2547" s="192" t="str">
        <f>IFERROR(Tableau3[[#This Row],[Chiffre d''affaires]]/Tableau3[[#This Row],[Salariés]],"")</f>
        <v/>
      </c>
      <c r="AA2547" s="197"/>
      <c r="AB2547" s="197"/>
    </row>
    <row r="2548" spans="1:29" ht="20.25" customHeight="1">
      <c r="A2548" s="217"/>
      <c r="E2548" s="187"/>
      <c r="G2548" s="202">
        <f>(G2547/G2549)-1</f>
        <v>4.9876231105493218E-2</v>
      </c>
      <c r="H2548" s="203">
        <f>(H2547/H2549)-1</f>
        <v>0.10806247361756016</v>
      </c>
      <c r="I2548" s="203">
        <f>(I2547/I2549)-1</f>
        <v>0.13536650615302293</v>
      </c>
      <c r="J2548" s="203">
        <f>(J2547/J2549)-1</f>
        <v>0.23565184340554923</v>
      </c>
      <c r="K2548" s="178"/>
      <c r="L2548" s="178"/>
      <c r="M2548" s="178"/>
      <c r="N2548" s="178"/>
      <c r="O2548" s="178"/>
      <c r="P2548" s="178"/>
      <c r="Q2548" s="178"/>
      <c r="R2548" s="195"/>
      <c r="S2548" s="178"/>
      <c r="T2548" s="180"/>
      <c r="U2548" s="189" t="str">
        <f>IFERROR(IF(Tableau3[[#This Row],[Dettes]]=0,"",(Tableau3[[#This Row],[Dettes]]/Tableau3[[#This Row],[EBE]])),"")</f>
        <v/>
      </c>
      <c r="V2548" s="190" t="str">
        <f>IFERROR(Tableau3[[#This Row],[Fonds propres]]/Tableau3[[#This Row],[Total Bilan]],"")</f>
        <v/>
      </c>
      <c r="W2548" s="180"/>
      <c r="Y2548" s="180"/>
      <c r="Z2548" s="192" t="str">
        <f>IFERROR(Tableau3[[#This Row],[Chiffre d''affaires]]/Tableau3[[#This Row],[Salariés]],"")</f>
        <v/>
      </c>
      <c r="AA2548" s="177"/>
    </row>
    <row r="2549" spans="1:29" ht="20.25" customHeight="1">
      <c r="A2549" s="217"/>
      <c r="E2549" s="187">
        <v>90.32</v>
      </c>
      <c r="F2549" s="178">
        <v>2012</v>
      </c>
      <c r="G2549" s="188">
        <v>1898700000</v>
      </c>
      <c r="H2549" s="188">
        <v>473800000</v>
      </c>
      <c r="I2549" s="188">
        <v>373800000</v>
      </c>
      <c r="J2549" s="188">
        <v>263100000</v>
      </c>
      <c r="K2549" s="188">
        <v>-334500000</v>
      </c>
      <c r="L2549" s="188">
        <v>1495300000</v>
      </c>
      <c r="M2549" s="194">
        <f>L2549/P2549</f>
        <v>31.586848666738405</v>
      </c>
      <c r="N2549" s="190">
        <f>J2549/L2549</f>
        <v>0.17595131411756837</v>
      </c>
      <c r="O2549" s="190">
        <f>(I2549*0.64)/(K2549+(M2549*P2549))</f>
        <v>0.20609235010337698</v>
      </c>
      <c r="P2549" s="211">
        <v>47339322</v>
      </c>
      <c r="Q2549" s="211">
        <f>P2549*E2549</f>
        <v>4275687563.0399995</v>
      </c>
      <c r="R2549" s="195">
        <f>Q2549/L2549</f>
        <v>2.8594178847321605</v>
      </c>
      <c r="S2549" s="197">
        <f>(Q2549+K2549)/H2549</f>
        <v>8.3182515049387913</v>
      </c>
      <c r="T2549" s="180"/>
      <c r="U2549" s="189">
        <f>IFERROR(IF(Tableau3[[#This Row],[Dettes]]=0,"",(Tableau3[[#This Row],[Dettes]]/Tableau3[[#This Row],[EBE]])),"")</f>
        <v>-0.70599409033347404</v>
      </c>
      <c r="V2549" s="190" t="str">
        <f>IFERROR(Tableau3[[#This Row],[Fonds propres]]/Tableau3[[#This Row],[Total Bilan]],"")</f>
        <v/>
      </c>
      <c r="W2549" s="180"/>
      <c r="X2549" s="191"/>
      <c r="Y2549" s="180"/>
      <c r="Z2549" s="192" t="str">
        <f>IFERROR(Tableau3[[#This Row],[Chiffre d''affaires]]/Tableau3[[#This Row],[Salariés]],"")</f>
        <v/>
      </c>
      <c r="AA2549" s="197"/>
      <c r="AB2549" s="197"/>
    </row>
    <row r="2550" spans="1:29" ht="20.25" customHeight="1">
      <c r="A2550" s="217"/>
      <c r="G2550" s="188"/>
      <c r="H2550" s="178"/>
      <c r="I2550" s="178"/>
      <c r="J2550" s="178"/>
      <c r="K2550" s="178"/>
      <c r="L2550" s="178"/>
      <c r="M2550" s="178"/>
      <c r="N2550" s="178"/>
      <c r="O2550" s="178"/>
      <c r="P2550" s="178"/>
      <c r="Q2550" s="178"/>
      <c r="R2550" s="195"/>
      <c r="S2550" s="178"/>
      <c r="T2550" s="180"/>
      <c r="U2550" s="189" t="str">
        <f>IFERROR(IF(Tableau3[[#This Row],[Dettes]]=0,"",(Tableau3[[#This Row],[Dettes]]/Tableau3[[#This Row],[EBE]])),"")</f>
        <v/>
      </c>
      <c r="V2550" s="190" t="str">
        <f>IFERROR(Tableau3[[#This Row],[Fonds propres]]/Tableau3[[#This Row],[Total Bilan]],"")</f>
        <v/>
      </c>
      <c r="W2550" s="180"/>
      <c r="Y2550" s="180"/>
      <c r="Z2550" s="192" t="str">
        <f>IFERROR(Tableau3[[#This Row],[Chiffre d''affaires]]/Tableau3[[#This Row],[Salariés]],"")</f>
        <v/>
      </c>
      <c r="AA2550" s="177"/>
    </row>
    <row r="2551" spans="1:29" ht="20.25" customHeight="1">
      <c r="A2551" s="217"/>
      <c r="G2551" s="188"/>
      <c r="H2551" s="178"/>
      <c r="I2551" s="178"/>
      <c r="J2551" s="178"/>
      <c r="K2551" s="178"/>
      <c r="L2551" s="178"/>
      <c r="M2551" s="178"/>
      <c r="N2551" s="178"/>
      <c r="O2551" s="178"/>
      <c r="P2551" s="178"/>
      <c r="Q2551" s="178"/>
      <c r="R2551" s="195"/>
      <c r="S2551" s="178"/>
      <c r="T2551" s="180"/>
      <c r="U2551" s="189" t="str">
        <f>IFERROR(IF(Tableau3[[#This Row],[Dettes]]=0,"",(Tableau3[[#This Row],[Dettes]]/Tableau3[[#This Row],[EBE]])),"")</f>
        <v/>
      </c>
      <c r="V2551" s="190" t="str">
        <f>IFERROR(Tableau3[[#This Row],[Fonds propres]]/Tableau3[[#This Row],[Total Bilan]],"")</f>
        <v/>
      </c>
      <c r="W2551" s="180"/>
      <c r="Y2551" s="180"/>
      <c r="Z2551" s="192" t="str">
        <f>IFERROR(Tableau3[[#This Row],[Chiffre d''affaires]]/Tableau3[[#This Row],[Salariés]],"")</f>
        <v/>
      </c>
      <c r="AA2551" s="177"/>
    </row>
    <row r="2552" spans="1:29" ht="20.25" customHeight="1">
      <c r="A2552" s="217"/>
      <c r="G2552" s="188"/>
      <c r="H2552" s="178"/>
      <c r="I2552" s="178"/>
      <c r="J2552" s="178"/>
      <c r="K2552" s="178"/>
      <c r="L2552" s="178"/>
      <c r="M2552" s="178"/>
      <c r="N2552" s="178"/>
      <c r="O2552" s="178"/>
      <c r="P2552" s="178"/>
      <c r="Q2552" s="178"/>
      <c r="R2552" s="195"/>
      <c r="S2552" s="178"/>
      <c r="T2552" s="180"/>
      <c r="U2552" s="189" t="str">
        <f>IFERROR(IF(Tableau3[[#This Row],[Dettes]]=0,"",(Tableau3[[#This Row],[Dettes]]/Tableau3[[#This Row],[EBE]])),"")</f>
        <v/>
      </c>
      <c r="V2552" s="190" t="str">
        <f>IFERROR(Tableau3[[#This Row],[Fonds propres]]/Tableau3[[#This Row],[Total Bilan]],"")</f>
        <v/>
      </c>
      <c r="W2552" s="180"/>
      <c r="Y2552" s="180"/>
      <c r="Z2552" s="192" t="str">
        <f>IFERROR(Tableau3[[#This Row],[Chiffre d''affaires]]/Tableau3[[#This Row],[Salariés]],"")</f>
        <v/>
      </c>
      <c r="AA2552" s="177"/>
    </row>
    <row r="2553" spans="1:29" ht="20.25" customHeight="1">
      <c r="A2553" s="217" t="s">
        <v>1796</v>
      </c>
      <c r="B2553" s="216" t="s">
        <v>1797</v>
      </c>
      <c r="C2553" s="178" t="s">
        <v>84</v>
      </c>
      <c r="D2553" s="178" t="s">
        <v>85</v>
      </c>
      <c r="F2553" s="217" t="s">
        <v>1798</v>
      </c>
      <c r="G2553" s="188"/>
      <c r="H2553" s="178"/>
      <c r="I2553" s="178"/>
      <c r="J2553" s="178"/>
      <c r="K2553" s="178"/>
      <c r="L2553" s="178"/>
      <c r="M2553" s="178"/>
      <c r="N2553" s="178"/>
      <c r="O2553" s="178"/>
      <c r="P2553" s="178"/>
      <c r="Q2553" s="178"/>
      <c r="R2553" s="195"/>
      <c r="S2553" s="178"/>
      <c r="T2553" s="180"/>
      <c r="U2553" s="189" t="str">
        <f>IFERROR(IF(Tableau3[[#This Row],[Dettes]]=0,"",(Tableau3[[#This Row],[Dettes]]/Tableau3[[#This Row],[EBE]])),"")</f>
        <v/>
      </c>
      <c r="V2553" s="190" t="str">
        <f>IFERROR(Tableau3[[#This Row],[Fonds propres]]/Tableau3[[#This Row],[Total Bilan]],"")</f>
        <v/>
      </c>
      <c r="W2553" s="180"/>
      <c r="Y2553" s="180"/>
      <c r="Z2553" s="192" t="str">
        <f>IFERROR(Tableau3[[#This Row],[Chiffre d''affaires]]/Tableau3[[#This Row],[Salariés]],"")</f>
        <v/>
      </c>
      <c r="AA2553" s="177"/>
      <c r="AC2553" s="177" t="s">
        <v>1800</v>
      </c>
    </row>
    <row r="2554" spans="1:29" ht="20.25" customHeight="1">
      <c r="A2554" s="217"/>
      <c r="G2554" s="188"/>
      <c r="H2554" s="178"/>
      <c r="I2554" s="178"/>
      <c r="J2554" s="178"/>
      <c r="K2554" s="178"/>
      <c r="L2554" s="178"/>
      <c r="M2554" s="178"/>
      <c r="N2554" s="178"/>
      <c r="O2554" s="178"/>
      <c r="P2554" s="178"/>
      <c r="Q2554" s="178"/>
      <c r="R2554" s="195"/>
      <c r="S2554" s="178"/>
      <c r="T2554" s="180"/>
      <c r="U2554" s="189" t="str">
        <f>IFERROR(IF(Tableau3[[#This Row],[Dettes]]=0,"",(Tableau3[[#This Row],[Dettes]]/Tableau3[[#This Row],[EBE]])),"")</f>
        <v/>
      </c>
      <c r="V2554" s="190" t="str">
        <f>IFERROR(Tableau3[[#This Row],[Fonds propres]]/Tableau3[[#This Row],[Total Bilan]],"")</f>
        <v/>
      </c>
      <c r="W2554" s="180"/>
      <c r="Y2554" s="180"/>
      <c r="Z2554" s="192" t="str">
        <f>IFERROR(Tableau3[[#This Row],[Chiffre d''affaires]]/Tableau3[[#This Row],[Salariés]],"")</f>
        <v/>
      </c>
      <c r="AA2554" s="177"/>
      <c r="AC2554" s="177" t="s">
        <v>1801</v>
      </c>
    </row>
    <row r="2555" spans="1:29" ht="20.25" customHeight="1">
      <c r="A2555" s="217"/>
      <c r="E2555" s="187">
        <v>14.4</v>
      </c>
      <c r="F2555" s="178">
        <v>2020</v>
      </c>
      <c r="G2555" s="188">
        <v>2966000000</v>
      </c>
      <c r="H2555" s="188">
        <v>257000000</v>
      </c>
      <c r="I2555" s="188">
        <v>98000000</v>
      </c>
      <c r="J2555" s="188">
        <v>40000000</v>
      </c>
      <c r="K2555" s="188">
        <v>781000000</v>
      </c>
      <c r="L2555" s="188">
        <v>900000000</v>
      </c>
      <c r="M2555" s="194">
        <f>L2555/P2555</f>
        <v>14.123696210216844</v>
      </c>
      <c r="N2555" s="190">
        <f>J2555/L2555</f>
        <v>4.4444444444444446E-2</v>
      </c>
      <c r="O2555" s="190">
        <f>(I2555*0.64)/(K2555+(M2555*P2555))</f>
        <v>3.73111243307555E-2</v>
      </c>
      <c r="P2555" s="188">
        <v>63722696</v>
      </c>
      <c r="Q2555" s="211">
        <f>P2555*E2555</f>
        <v>917606822.39999998</v>
      </c>
      <c r="R2555" s="195">
        <f>Q2555/L2555</f>
        <v>1.0195631359999999</v>
      </c>
      <c r="S2555" s="197">
        <f>(Q2555+K2555)/H2555</f>
        <v>6.6093650677042808</v>
      </c>
      <c r="T2555" s="180"/>
      <c r="U2555" s="189">
        <f>IFERROR(IF(Tableau3[[#This Row],[Dettes]]=0,"",(Tableau3[[#This Row],[Dettes]]/Tableau3[[#This Row],[EBE]])),"")</f>
        <v>3.0389105058365757</v>
      </c>
      <c r="V2555" s="190" t="str">
        <f>IFERROR(Tableau3[[#This Row],[Fonds propres]]/Tableau3[[#This Row],[Total Bilan]],"")</f>
        <v/>
      </c>
      <c r="W2555" s="180"/>
      <c r="X2555" s="191"/>
      <c r="Y2555" s="180"/>
      <c r="Z2555" s="192" t="str">
        <f>IFERROR(Tableau3[[#This Row],[Chiffre d''affaires]]/Tableau3[[#This Row],[Salariés]],"")</f>
        <v/>
      </c>
      <c r="AA2555" s="197"/>
      <c r="AB2555" s="197"/>
      <c r="AC2555" s="177" t="s">
        <v>1802</v>
      </c>
    </row>
    <row r="2556" spans="1:29" ht="20.25" customHeight="1">
      <c r="A2556" s="217"/>
      <c r="E2556" s="187"/>
      <c r="G2556" s="202">
        <f>(G2555/G2557)-1</f>
        <v>0</v>
      </c>
      <c r="H2556" s="203">
        <f>(H2555/H2557)-1</f>
        <v>0</v>
      </c>
      <c r="I2556" s="203">
        <f>(I2555/I2557)-1</f>
        <v>0</v>
      </c>
      <c r="J2556" s="203">
        <f>(J2555/J2557)-1</f>
        <v>0</v>
      </c>
      <c r="K2556" s="178"/>
      <c r="L2556" s="178"/>
      <c r="M2556" s="178"/>
      <c r="N2556" s="178"/>
      <c r="O2556" s="178"/>
      <c r="P2556" s="178"/>
      <c r="Q2556" s="178"/>
      <c r="R2556" s="195"/>
      <c r="S2556" s="178"/>
      <c r="T2556" s="180"/>
      <c r="U2556" s="189" t="str">
        <f>IFERROR(IF(Tableau3[[#This Row],[Dettes]]=0,"",(Tableau3[[#This Row],[Dettes]]/Tableau3[[#This Row],[EBE]])),"")</f>
        <v/>
      </c>
      <c r="V2556" s="190" t="str">
        <f>IFERROR(Tableau3[[#This Row],[Fonds propres]]/Tableau3[[#This Row],[Total Bilan]],"")</f>
        <v/>
      </c>
      <c r="W2556" s="180"/>
      <c r="Y2556" s="180"/>
      <c r="Z2556" s="192" t="str">
        <f>IFERROR(Tableau3[[#This Row],[Chiffre d''affaires]]/Tableau3[[#This Row],[Salariés]],"")</f>
        <v/>
      </c>
      <c r="AA2556" s="177"/>
      <c r="AC2556" s="177" t="s">
        <v>1803</v>
      </c>
    </row>
    <row r="2557" spans="1:29" ht="20.25" customHeight="1">
      <c r="A2557" s="217"/>
      <c r="E2557" s="187">
        <v>19</v>
      </c>
      <c r="F2557" s="178">
        <v>2019</v>
      </c>
      <c r="G2557" s="188">
        <v>2966000000</v>
      </c>
      <c r="H2557" s="188">
        <v>257000000</v>
      </c>
      <c r="I2557" s="188">
        <v>98000000</v>
      </c>
      <c r="J2557" s="188">
        <v>40000000</v>
      </c>
      <c r="K2557" s="188">
        <v>781000000</v>
      </c>
      <c r="L2557" s="188">
        <v>900000000</v>
      </c>
      <c r="M2557" s="194">
        <f>L2557/P2557</f>
        <v>14.123696210216844</v>
      </c>
      <c r="N2557" s="190">
        <f>J2557/L2557</f>
        <v>4.4444444444444446E-2</v>
      </c>
      <c r="O2557" s="190">
        <f>(I2557*0.64)/(K2557+(M2557*P2557))</f>
        <v>3.73111243307555E-2</v>
      </c>
      <c r="P2557" s="188">
        <v>63722696</v>
      </c>
      <c r="Q2557" s="211">
        <f>P2557*E2557</f>
        <v>1210731224</v>
      </c>
      <c r="R2557" s="195">
        <f>Q2557/L2557</f>
        <v>1.3452569155555556</v>
      </c>
      <c r="S2557" s="197">
        <f>(Q2557+K2557)/H2557</f>
        <v>7.7499269416342411</v>
      </c>
      <c r="T2557" s="180"/>
      <c r="U2557" s="189">
        <f>IFERROR(IF(Tableau3[[#This Row],[Dettes]]=0,"",(Tableau3[[#This Row],[Dettes]]/Tableau3[[#This Row],[EBE]])),"")</f>
        <v>3.0389105058365757</v>
      </c>
      <c r="V2557" s="190" t="str">
        <f>IFERROR(Tableau3[[#This Row],[Fonds propres]]/Tableau3[[#This Row],[Total Bilan]],"")</f>
        <v/>
      </c>
      <c r="W2557" s="180"/>
      <c r="X2557" s="191"/>
      <c r="Y2557" s="180"/>
      <c r="Z2557" s="192" t="str">
        <f>IFERROR(Tableau3[[#This Row],[Chiffre d''affaires]]/Tableau3[[#This Row],[Salariés]],"")</f>
        <v/>
      </c>
      <c r="AA2557" s="197"/>
      <c r="AB2557" s="197"/>
      <c r="AC2557" s="177" t="s">
        <v>1804</v>
      </c>
    </row>
    <row r="2558" spans="1:29" ht="20.25" customHeight="1">
      <c r="A2558" s="217"/>
      <c r="E2558" s="187"/>
      <c r="G2558" s="202">
        <f>(G2557/G2559)-1</f>
        <v>7.8545454545454474E-2</v>
      </c>
      <c r="H2558" s="203">
        <f>(H2557/H2559)-1</f>
        <v>-8.2142857142857184E-2</v>
      </c>
      <c r="I2558" s="203">
        <f>(I2557/I2559)-1</f>
        <v>-0.34666666666666668</v>
      </c>
      <c r="J2558" s="203">
        <f>(J2557/J2559)-1</f>
        <v>-0.6</v>
      </c>
      <c r="K2558" s="178"/>
      <c r="L2558" s="178"/>
      <c r="M2558" s="178"/>
      <c r="N2558" s="178"/>
      <c r="O2558" s="178"/>
      <c r="P2558" s="178"/>
      <c r="Q2558" s="178"/>
      <c r="R2558" s="195"/>
      <c r="S2558" s="178"/>
      <c r="T2558" s="180"/>
      <c r="U2558" s="189" t="str">
        <f>IFERROR(IF(Tableau3[[#This Row],[Dettes]]=0,"",(Tableau3[[#This Row],[Dettes]]/Tableau3[[#This Row],[EBE]])),"")</f>
        <v/>
      </c>
      <c r="V2558" s="190" t="str">
        <f>IFERROR(Tableau3[[#This Row],[Fonds propres]]/Tableau3[[#This Row],[Total Bilan]],"")</f>
        <v/>
      </c>
      <c r="W2558" s="180"/>
      <c r="Y2558" s="180"/>
      <c r="Z2558" s="192" t="str">
        <f>IFERROR(Tableau3[[#This Row],[Chiffre d''affaires]]/Tableau3[[#This Row],[Salariés]],"")</f>
        <v/>
      </c>
      <c r="AA2558" s="177"/>
      <c r="AC2558" s="177" t="s">
        <v>1805</v>
      </c>
    </row>
    <row r="2559" spans="1:29" ht="20.25" customHeight="1">
      <c r="A2559" s="217"/>
      <c r="E2559" s="187">
        <v>20</v>
      </c>
      <c r="F2559" s="178">
        <v>2018</v>
      </c>
      <c r="G2559" s="188">
        <v>2750000000</v>
      </c>
      <c r="H2559" s="188">
        <v>280000000</v>
      </c>
      <c r="I2559" s="188">
        <v>150000000</v>
      </c>
      <c r="J2559" s="188">
        <v>100000000</v>
      </c>
      <c r="K2559" s="188">
        <v>500000000</v>
      </c>
      <c r="L2559" s="188">
        <v>900000000</v>
      </c>
      <c r="M2559" s="194">
        <f>L2559/P2559</f>
        <v>14.123696210216844</v>
      </c>
      <c r="N2559" s="190">
        <f>J2559/L2559</f>
        <v>0.1111111111111111</v>
      </c>
      <c r="O2559" s="190">
        <f>(I2559*0.64)/(K2559+(M2559*P2559))</f>
        <v>6.8571428571428575E-2</v>
      </c>
      <c r="P2559" s="188">
        <v>63722696</v>
      </c>
      <c r="Q2559" s="211">
        <f>P2559*E2559</f>
        <v>1274453920</v>
      </c>
      <c r="R2559" s="195">
        <f>Q2559/L2559</f>
        <v>1.4160599111111112</v>
      </c>
      <c r="S2559" s="197">
        <f>(Q2559+K2559)/H2559</f>
        <v>6.3373354285714285</v>
      </c>
      <c r="T2559" s="180"/>
      <c r="U2559" s="189">
        <f>IFERROR(IF(Tableau3[[#This Row],[Dettes]]=0,"",(Tableau3[[#This Row],[Dettes]]/Tableau3[[#This Row],[EBE]])),"")</f>
        <v>1.7857142857142858</v>
      </c>
      <c r="V2559" s="190" t="str">
        <f>IFERROR(Tableau3[[#This Row],[Fonds propres]]/Tableau3[[#This Row],[Total Bilan]],"")</f>
        <v/>
      </c>
      <c r="W2559" s="180"/>
      <c r="X2559" s="191"/>
      <c r="Y2559" s="180"/>
      <c r="Z2559" s="192" t="str">
        <f>IFERROR(Tableau3[[#This Row],[Chiffre d''affaires]]/Tableau3[[#This Row],[Salariés]],"")</f>
        <v/>
      </c>
      <c r="AA2559" s="197"/>
      <c r="AB2559" s="197"/>
      <c r="AC2559" s="177" t="s">
        <v>1806</v>
      </c>
    </row>
    <row r="2560" spans="1:29" ht="20.25" customHeight="1">
      <c r="A2560" s="217"/>
      <c r="E2560" s="187"/>
      <c r="G2560" s="202">
        <f>(G2559/G2561)-1</f>
        <v>-3.0324400564174847E-2</v>
      </c>
      <c r="H2560" s="203">
        <f>(H2559/H2561)-1</f>
        <v>-9.9678456591639875E-2</v>
      </c>
      <c r="I2560" s="203">
        <f>(I2559/I2561)-1</f>
        <v>-0.20634920634920639</v>
      </c>
      <c r="J2560" s="203" t="e">
        <f>(J2559/J2561)-1</f>
        <v>#DIV/0!</v>
      </c>
      <c r="K2560" s="188"/>
      <c r="L2560" s="188"/>
      <c r="M2560" s="188"/>
      <c r="N2560" s="178"/>
      <c r="O2560" s="178"/>
      <c r="P2560" s="188"/>
      <c r="Q2560" s="178"/>
      <c r="R2560" s="195"/>
      <c r="S2560" s="178"/>
      <c r="T2560" s="180"/>
      <c r="U2560" s="189" t="str">
        <f>IFERROR(IF(Tableau3[[#This Row],[Dettes]]=0,"",(Tableau3[[#This Row],[Dettes]]/Tableau3[[#This Row],[EBE]])),"")</f>
        <v/>
      </c>
      <c r="V2560" s="190" t="str">
        <f>IFERROR(Tableau3[[#This Row],[Fonds propres]]/Tableau3[[#This Row],[Total Bilan]],"")</f>
        <v/>
      </c>
      <c r="W2560" s="180"/>
      <c r="Y2560" s="180"/>
      <c r="Z2560" s="192" t="str">
        <f>IFERROR(Tableau3[[#This Row],[Chiffre d''affaires]]/Tableau3[[#This Row],[Salariés]],"")</f>
        <v/>
      </c>
      <c r="AA2560" s="177"/>
      <c r="AC2560" s="177" t="s">
        <v>1807</v>
      </c>
    </row>
    <row r="2561" spans="1:29" ht="20.25" customHeight="1">
      <c r="A2561" s="217"/>
      <c r="E2561" s="187">
        <v>34.979999999999997</v>
      </c>
      <c r="F2561" s="178">
        <v>2017</v>
      </c>
      <c r="G2561" s="188">
        <v>2836000000</v>
      </c>
      <c r="H2561" s="188">
        <v>311000000</v>
      </c>
      <c r="I2561" s="188">
        <v>189000000</v>
      </c>
      <c r="J2561" s="188">
        <v>0</v>
      </c>
      <c r="K2561" s="188">
        <v>438000000</v>
      </c>
      <c r="L2561" s="188">
        <v>950000000</v>
      </c>
      <c r="M2561" s="194">
        <f>L2561/P2561</f>
        <v>14.908345999673335</v>
      </c>
      <c r="N2561" s="190">
        <f>J2561/L2561</f>
        <v>0</v>
      </c>
      <c r="O2561" s="190">
        <f>(I2561*0.64)/(K2561+(M2561*P2561))</f>
        <v>8.7146974063400579E-2</v>
      </c>
      <c r="P2561" s="188">
        <v>63722696</v>
      </c>
      <c r="Q2561" s="211">
        <f>P2561*E2561</f>
        <v>2229019906.0799999</v>
      </c>
      <c r="R2561" s="195">
        <f>Q2561/L2561</f>
        <v>2.3463367432421052</v>
      </c>
      <c r="S2561" s="197">
        <f>(Q2561+K2561)/H2561</f>
        <v>8.5756267076527326</v>
      </c>
      <c r="T2561" s="180"/>
      <c r="U2561" s="189">
        <f>IFERROR(IF(Tableau3[[#This Row],[Dettes]]=0,"",(Tableau3[[#This Row],[Dettes]]/Tableau3[[#This Row],[EBE]])),"")</f>
        <v>1.4083601286173633</v>
      </c>
      <c r="V2561" s="190" t="str">
        <f>IFERROR(Tableau3[[#This Row],[Fonds propres]]/Tableau3[[#This Row],[Total Bilan]],"")</f>
        <v/>
      </c>
      <c r="W2561" s="180"/>
      <c r="X2561" s="191"/>
      <c r="Y2561" s="180"/>
      <c r="Z2561" s="192" t="str">
        <f>IFERROR(Tableau3[[#This Row],[Chiffre d''affaires]]/Tableau3[[#This Row],[Salariés]],"")</f>
        <v/>
      </c>
      <c r="AA2561" s="197"/>
      <c r="AB2561" s="197"/>
      <c r="AC2561" s="216" t="s">
        <v>1808</v>
      </c>
    </row>
    <row r="2562" spans="1:29" ht="20.25" customHeight="1">
      <c r="A2562" s="217"/>
      <c r="E2562" s="187"/>
      <c r="G2562" s="202">
        <f>(G2561/G2563)-1</f>
        <v>3.5300989303836738E-2</v>
      </c>
      <c r="H2562" s="203">
        <f>(H2561/H2563)-1</f>
        <v>-6.9976076555023914E-2</v>
      </c>
      <c r="I2562" s="203">
        <f>(I2561/I2563)-1</f>
        <v>-8.9145254326167267E-3</v>
      </c>
      <c r="J2562" s="203">
        <f>(J2561/J2563)-1</f>
        <v>-1</v>
      </c>
      <c r="K2562" s="188"/>
      <c r="L2562" s="188"/>
      <c r="M2562" s="188"/>
      <c r="N2562" s="178"/>
      <c r="O2562" s="178"/>
      <c r="P2562" s="188"/>
      <c r="Q2562" s="178"/>
      <c r="R2562" s="195"/>
      <c r="S2562" s="178"/>
      <c r="T2562" s="180"/>
      <c r="U2562" s="189" t="str">
        <f>IFERROR(IF(Tableau3[[#This Row],[Dettes]]=0,"",(Tableau3[[#This Row],[Dettes]]/Tableau3[[#This Row],[EBE]])),"")</f>
        <v/>
      </c>
      <c r="V2562" s="190" t="str">
        <f>IFERROR(Tableau3[[#This Row],[Fonds propres]]/Tableau3[[#This Row],[Total Bilan]],"")</f>
        <v/>
      </c>
      <c r="W2562" s="180"/>
      <c r="Y2562" s="180"/>
      <c r="Z2562" s="192" t="str">
        <f>IFERROR(Tableau3[[#This Row],[Chiffre d''affaires]]/Tableau3[[#This Row],[Salariés]],"")</f>
        <v/>
      </c>
      <c r="AA2562" s="177"/>
      <c r="AC2562" s="216" t="s">
        <v>1809</v>
      </c>
    </row>
    <row r="2563" spans="1:29" ht="20.25" customHeight="1">
      <c r="A2563" s="217"/>
      <c r="E2563" s="187">
        <v>34.090000000000003</v>
      </c>
      <c r="F2563" s="178">
        <v>2016</v>
      </c>
      <c r="G2563" s="188">
        <v>2739300000</v>
      </c>
      <c r="H2563" s="188">
        <v>334400000</v>
      </c>
      <c r="I2563" s="188">
        <v>190700000</v>
      </c>
      <c r="J2563" s="188">
        <v>119300000</v>
      </c>
      <c r="K2563" s="188">
        <v>378000000</v>
      </c>
      <c r="L2563" s="188">
        <v>935200000</v>
      </c>
      <c r="M2563" s="194">
        <f>L2563/P2563</f>
        <v>14.676089661994213</v>
      </c>
      <c r="N2563" s="190">
        <f>J2563/L2563</f>
        <v>0.12756629597946964</v>
      </c>
      <c r="O2563" s="190">
        <f>(I2563*0.64)/(K2563+(M2563*P2563))</f>
        <v>9.2939384709107523E-2</v>
      </c>
      <c r="P2563" s="188">
        <v>63722696</v>
      </c>
      <c r="Q2563" s="211">
        <f>P2563*E2563</f>
        <v>2172306706.6400003</v>
      </c>
      <c r="R2563" s="195">
        <f>Q2563/L2563</f>
        <v>2.3228258197604794</v>
      </c>
      <c r="S2563" s="197">
        <f>(Q2563+K2563)/H2563</f>
        <v>7.6265152710526323</v>
      </c>
      <c r="T2563" s="180"/>
      <c r="U2563" s="189">
        <f>IFERROR(IF(Tableau3[[#This Row],[Dettes]]=0,"",(Tableau3[[#This Row],[Dettes]]/Tableau3[[#This Row],[EBE]])),"")</f>
        <v>1.1303827751196172</v>
      </c>
      <c r="V2563" s="190" t="str">
        <f>IFERROR(Tableau3[[#This Row],[Fonds propres]]/Tableau3[[#This Row],[Total Bilan]],"")</f>
        <v/>
      </c>
      <c r="W2563" s="180"/>
      <c r="X2563" s="191"/>
      <c r="Y2563" s="180"/>
      <c r="Z2563" s="192" t="str">
        <f>IFERROR(Tableau3[[#This Row],[Chiffre d''affaires]]/Tableau3[[#This Row],[Salariés]],"")</f>
        <v/>
      </c>
      <c r="AA2563" s="197"/>
      <c r="AB2563" s="197"/>
      <c r="AC2563" s="216" t="s">
        <v>1810</v>
      </c>
    </row>
    <row r="2564" spans="1:29" ht="20.25" customHeight="1">
      <c r="A2564" s="217"/>
      <c r="E2564" s="187"/>
      <c r="G2564" s="202">
        <f>(G2563/G2565)-1</f>
        <v>9.0246058641521021E-3</v>
      </c>
      <c r="H2564" s="203">
        <f>(H2563/H2565)-1</f>
        <v>0.17209954433929187</v>
      </c>
      <c r="I2564" s="203">
        <f>(I2563/I2565)-1</f>
        <v>0.15856622114216279</v>
      </c>
      <c r="J2564" s="203">
        <f>(J2563/J2565)-1</f>
        <v>0.42874251497005988</v>
      </c>
      <c r="K2564" s="188"/>
      <c r="L2564" s="188"/>
      <c r="M2564" s="188"/>
      <c r="N2564" s="178"/>
      <c r="O2564" s="178"/>
      <c r="P2564" s="188"/>
      <c r="Q2564" s="178"/>
      <c r="R2564" s="195"/>
      <c r="S2564" s="178"/>
      <c r="T2564" s="180"/>
      <c r="U2564" s="189" t="str">
        <f>IFERROR(IF(Tableau3[[#This Row],[Dettes]]=0,"",(Tableau3[[#This Row],[Dettes]]/Tableau3[[#This Row],[EBE]])),"")</f>
        <v/>
      </c>
      <c r="V2564" s="190" t="str">
        <f>IFERROR(Tableau3[[#This Row],[Fonds propres]]/Tableau3[[#This Row],[Total Bilan]],"")</f>
        <v/>
      </c>
      <c r="W2564" s="180"/>
      <c r="Y2564" s="180"/>
      <c r="Z2564" s="192" t="str">
        <f>IFERROR(Tableau3[[#This Row],[Chiffre d''affaires]]/Tableau3[[#This Row],[Salariés]],"")</f>
        <v/>
      </c>
      <c r="AA2564" s="177"/>
      <c r="AC2564" s="216" t="s">
        <v>1811</v>
      </c>
    </row>
    <row r="2565" spans="1:29" ht="20.25" customHeight="1">
      <c r="A2565" s="217"/>
      <c r="E2565" s="187">
        <v>28.79</v>
      </c>
      <c r="F2565" s="178">
        <v>2015</v>
      </c>
      <c r="G2565" s="188">
        <v>2714800000</v>
      </c>
      <c r="H2565" s="188">
        <v>285300000</v>
      </c>
      <c r="I2565" s="188">
        <v>164600000</v>
      </c>
      <c r="J2565" s="188">
        <v>83500000</v>
      </c>
      <c r="K2565" s="188">
        <v>482300000</v>
      </c>
      <c r="L2565" s="188">
        <v>834200000</v>
      </c>
      <c r="M2565" s="194">
        <f>L2565/P2565</f>
        <v>13.0910970872921</v>
      </c>
      <c r="N2565" s="190">
        <f>J2565/L2565</f>
        <v>0.10009590026372572</v>
      </c>
      <c r="O2565" s="190">
        <f>(I2565*0.64)/(K2565+(M2565*P2565))</f>
        <v>8.0018230155715908E-2</v>
      </c>
      <c r="P2565" s="188">
        <v>63722696</v>
      </c>
      <c r="Q2565" s="211">
        <f>P2565*E2565</f>
        <v>1834576417.8399999</v>
      </c>
      <c r="R2565" s="195">
        <f>Q2565/L2565</f>
        <v>2.1992045286981536</v>
      </c>
      <c r="S2565" s="197">
        <f>(Q2565+K2565)/H2565</f>
        <v>8.120842684332283</v>
      </c>
      <c r="T2565" s="180"/>
      <c r="U2565" s="189">
        <f>IFERROR(IF(Tableau3[[#This Row],[Dettes]]=0,"",(Tableau3[[#This Row],[Dettes]]/Tableau3[[#This Row],[EBE]])),"")</f>
        <v>1.6905012267788293</v>
      </c>
      <c r="V2565" s="190" t="str">
        <f>IFERROR(Tableau3[[#This Row],[Fonds propres]]/Tableau3[[#This Row],[Total Bilan]],"")</f>
        <v/>
      </c>
      <c r="W2565" s="180"/>
      <c r="X2565" s="191"/>
      <c r="Y2565" s="180"/>
      <c r="Z2565" s="192" t="str">
        <f>IFERROR(Tableau3[[#This Row],[Chiffre d''affaires]]/Tableau3[[#This Row],[Salariés]],"")</f>
        <v/>
      </c>
      <c r="AA2565" s="197"/>
      <c r="AB2565" s="197"/>
      <c r="AC2565" s="216"/>
    </row>
    <row r="2566" spans="1:29" ht="20.25" customHeight="1">
      <c r="A2566" s="217"/>
      <c r="E2566" s="187"/>
      <c r="G2566" s="202">
        <f>(G2565/G2567)-1</f>
        <v>0.12460646230323125</v>
      </c>
      <c r="H2566" s="203">
        <f>(H2565/H2567)-1</f>
        <v>3.7454545454545407E-2</v>
      </c>
      <c r="I2566" s="203" t="e">
        <f>(I2565/I2567)-1</f>
        <v>#DIV/0!</v>
      </c>
      <c r="J2566" s="203">
        <f>(J2565/J2567)-1</f>
        <v>0.3643790849673203</v>
      </c>
      <c r="K2566" s="188"/>
      <c r="L2566" s="188"/>
      <c r="M2566" s="188"/>
      <c r="N2566" s="178"/>
      <c r="O2566" s="178"/>
      <c r="P2566" s="188"/>
      <c r="Q2566" s="178"/>
      <c r="R2566" s="195"/>
      <c r="S2566" s="178"/>
      <c r="T2566" s="180"/>
      <c r="U2566" s="189" t="str">
        <f>IFERROR(IF(Tableau3[[#This Row],[Dettes]]=0,"",(Tableau3[[#This Row],[Dettes]]/Tableau3[[#This Row],[EBE]])),"")</f>
        <v/>
      </c>
      <c r="V2566" s="190" t="str">
        <f>IFERROR(Tableau3[[#This Row],[Fonds propres]]/Tableau3[[#This Row],[Total Bilan]],"")</f>
        <v/>
      </c>
      <c r="W2566" s="180"/>
      <c r="Y2566" s="180"/>
      <c r="Z2566" s="192" t="str">
        <f>IFERROR(Tableau3[[#This Row],[Chiffre d''affaires]]/Tableau3[[#This Row],[Salariés]],"")</f>
        <v/>
      </c>
      <c r="AA2566" s="177"/>
    </row>
    <row r="2567" spans="1:29" ht="20.25" customHeight="1">
      <c r="A2567" s="217"/>
      <c r="E2567" s="187">
        <v>17.899999999999999</v>
      </c>
      <c r="F2567" s="178">
        <v>2014</v>
      </c>
      <c r="G2567" s="188">
        <v>2414000000</v>
      </c>
      <c r="H2567" s="188">
        <v>275000000</v>
      </c>
      <c r="I2567" s="188"/>
      <c r="J2567" s="188">
        <v>61200000</v>
      </c>
      <c r="K2567" s="188">
        <v>595000000</v>
      </c>
      <c r="L2567" s="188">
        <v>725800000</v>
      </c>
      <c r="M2567" s="194">
        <f>L2567/P2567</f>
        <v>11.389976343750428</v>
      </c>
      <c r="N2567" s="190">
        <f>J2567/L2567</f>
        <v>8.4320749517773491E-2</v>
      </c>
      <c r="O2567" s="190">
        <f>(I2567*0.64)/(K2567+(M2567*P2567))</f>
        <v>0</v>
      </c>
      <c r="P2567" s="188">
        <v>63722696</v>
      </c>
      <c r="Q2567" s="211">
        <f>P2567*E2567</f>
        <v>1140636258.3999999</v>
      </c>
      <c r="R2567" s="195">
        <f>Q2567/L2567</f>
        <v>1.5715572587489666</v>
      </c>
      <c r="S2567" s="197">
        <f>(Q2567+K2567)/H2567</f>
        <v>6.3114045759999993</v>
      </c>
      <c r="T2567" s="180"/>
      <c r="U2567" s="189">
        <f>IFERROR(IF(Tableau3[[#This Row],[Dettes]]=0,"",(Tableau3[[#This Row],[Dettes]]/Tableau3[[#This Row],[EBE]])),"")</f>
        <v>2.1636363636363636</v>
      </c>
      <c r="V2567" s="190" t="str">
        <f>IFERROR(Tableau3[[#This Row],[Fonds propres]]/Tableau3[[#This Row],[Total Bilan]],"")</f>
        <v/>
      </c>
      <c r="W2567" s="180"/>
      <c r="X2567" s="191"/>
      <c r="Y2567" s="180"/>
      <c r="Z2567" s="192" t="str">
        <f>IFERROR(Tableau3[[#This Row],[Chiffre d''affaires]]/Tableau3[[#This Row],[Salariés]],"")</f>
        <v/>
      </c>
      <c r="AA2567" s="197"/>
      <c r="AB2567" s="197"/>
    </row>
    <row r="2568" spans="1:29" ht="20.25" customHeight="1">
      <c r="A2568" s="217"/>
      <c r="E2568" s="187"/>
      <c r="G2568" s="202">
        <f>(G2567/G2569)-1</f>
        <v>-4.0540540540540571E-2</v>
      </c>
      <c r="H2568" s="203">
        <f>(H2567/H2569)-1</f>
        <v>-0.11290322580645162</v>
      </c>
      <c r="I2568" s="203" t="e">
        <f>(I2567/I2569)-1</f>
        <v>#DIV/0!</v>
      </c>
      <c r="J2568" s="203">
        <f>(J2567/J2569)-1</f>
        <v>-0.37295081967213117</v>
      </c>
      <c r="K2568" s="188"/>
      <c r="L2568" s="188"/>
      <c r="M2568" s="188"/>
      <c r="N2568" s="178"/>
      <c r="O2568" s="178"/>
      <c r="P2568" s="178"/>
      <c r="Q2568" s="178"/>
      <c r="R2568" s="195"/>
      <c r="S2568" s="178"/>
      <c r="T2568" s="180"/>
      <c r="U2568" s="189" t="str">
        <f>IFERROR(IF(Tableau3[[#This Row],[Dettes]]=0,"",(Tableau3[[#This Row],[Dettes]]/Tableau3[[#This Row],[EBE]])),"")</f>
        <v/>
      </c>
      <c r="V2568" s="190" t="str">
        <f>IFERROR(Tableau3[[#This Row],[Fonds propres]]/Tableau3[[#This Row],[Total Bilan]],"")</f>
        <v/>
      </c>
      <c r="W2568" s="180"/>
      <c r="Y2568" s="180"/>
      <c r="Z2568" s="192" t="str">
        <f>IFERROR(Tableau3[[#This Row],[Chiffre d''affaires]]/Tableau3[[#This Row],[Salariés]],"")</f>
        <v/>
      </c>
      <c r="AA2568" s="177"/>
    </row>
    <row r="2569" spans="1:29" ht="20.25" customHeight="1">
      <c r="A2569" s="217"/>
      <c r="E2569" s="187">
        <v>28.52</v>
      </c>
      <c r="F2569" s="178">
        <v>2013</v>
      </c>
      <c r="G2569" s="188">
        <v>2516000000</v>
      </c>
      <c r="H2569" s="188">
        <v>310000000</v>
      </c>
      <c r="I2569" s="188"/>
      <c r="J2569" s="188">
        <v>97600000</v>
      </c>
      <c r="K2569" s="188">
        <v>429000000</v>
      </c>
      <c r="L2569" s="188"/>
      <c r="M2569" s="194">
        <f>L2569/P2569</f>
        <v>0</v>
      </c>
      <c r="N2569" s="190" t="e">
        <f>J2569/L2569</f>
        <v>#DIV/0!</v>
      </c>
      <c r="O2569" s="190">
        <f>(I2569*0.64)/(K2569+(M2569*P2569))</f>
        <v>0</v>
      </c>
      <c r="P2569" s="188">
        <v>63722696</v>
      </c>
      <c r="Q2569" s="211">
        <f>P2569*E2569</f>
        <v>1817371289.9200001</v>
      </c>
      <c r="R2569" s="195"/>
      <c r="S2569" s="197">
        <f>(Q2569+K2569)/H2569</f>
        <v>7.2463589997419353</v>
      </c>
      <c r="T2569" s="180"/>
      <c r="U2569" s="189">
        <f>IFERROR(IF(Tableau3[[#This Row],[Dettes]]=0,"",(Tableau3[[#This Row],[Dettes]]/Tableau3[[#This Row],[EBE]])),"")</f>
        <v>1.3838709677419354</v>
      </c>
      <c r="V2569" s="190" t="str">
        <f>IFERROR(Tableau3[[#This Row],[Fonds propres]]/Tableau3[[#This Row],[Total Bilan]],"")</f>
        <v/>
      </c>
      <c r="W2569" s="180"/>
      <c r="X2569" s="191"/>
      <c r="Y2569" s="180"/>
      <c r="Z2569" s="192" t="str">
        <f>IFERROR(Tableau3[[#This Row],[Chiffre d''affaires]]/Tableau3[[#This Row],[Salariés]],"")</f>
        <v/>
      </c>
      <c r="AA2569" s="197"/>
      <c r="AB2569" s="197"/>
    </row>
    <row r="2570" spans="1:29" ht="20.25" customHeight="1">
      <c r="A2570" s="217"/>
      <c r="G2570" s="202">
        <f>(G2569/G2571)-1</f>
        <v>9.7731239092495592E-2</v>
      </c>
      <c r="H2570" s="203">
        <f>(H2569/H2571)-1</f>
        <v>0.18320610687022909</v>
      </c>
      <c r="I2570" s="203" t="e">
        <f>(I2569/I2571)-1</f>
        <v>#DIV/0!</v>
      </c>
      <c r="J2570" s="203" t="e">
        <f>(J2569/J2571)-1</f>
        <v>#DIV/0!</v>
      </c>
      <c r="K2570" s="188"/>
      <c r="L2570" s="188"/>
      <c r="M2570" s="188"/>
      <c r="N2570" s="178"/>
      <c r="O2570" s="178"/>
      <c r="P2570" s="178"/>
      <c r="Q2570" s="178"/>
      <c r="R2570" s="195"/>
      <c r="S2570" s="178"/>
      <c r="T2570" s="180"/>
      <c r="U2570" s="189" t="str">
        <f>IFERROR(IF(Tableau3[[#This Row],[Dettes]]=0,"",(Tableau3[[#This Row],[Dettes]]/Tableau3[[#This Row],[EBE]])),"")</f>
        <v/>
      </c>
      <c r="V2570" s="190" t="str">
        <f>IFERROR(Tableau3[[#This Row],[Fonds propres]]/Tableau3[[#This Row],[Total Bilan]],"")</f>
        <v/>
      </c>
      <c r="W2570" s="180"/>
      <c r="Y2570" s="180"/>
      <c r="Z2570" s="192" t="str">
        <f>IFERROR(Tableau3[[#This Row],[Chiffre d''affaires]]/Tableau3[[#This Row],[Salariés]],"")</f>
        <v/>
      </c>
      <c r="AA2570" s="177"/>
    </row>
    <row r="2571" spans="1:29" ht="20.25" customHeight="1">
      <c r="A2571" s="217"/>
      <c r="F2571" s="178">
        <v>2012</v>
      </c>
      <c r="G2571" s="188">
        <v>2292000000</v>
      </c>
      <c r="H2571" s="188">
        <v>262000000</v>
      </c>
      <c r="I2571" s="188"/>
      <c r="J2571" s="188"/>
      <c r="K2571" s="188"/>
      <c r="L2571" s="188"/>
      <c r="M2571" s="188"/>
      <c r="N2571" s="178"/>
      <c r="O2571" s="178"/>
      <c r="P2571" s="178"/>
      <c r="Q2571" s="178"/>
      <c r="R2571" s="195"/>
      <c r="S2571" s="178"/>
      <c r="T2571" s="180"/>
      <c r="U2571" s="189" t="str">
        <f>IFERROR(IF(Tableau3[[#This Row],[Dettes]]=0,"",(Tableau3[[#This Row],[Dettes]]/Tableau3[[#This Row],[EBE]])),"")</f>
        <v/>
      </c>
      <c r="V2571" s="190" t="str">
        <f>IFERROR(Tableau3[[#This Row],[Fonds propres]]/Tableau3[[#This Row],[Total Bilan]],"")</f>
        <v/>
      </c>
      <c r="W2571" s="180"/>
      <c r="Y2571" s="180"/>
      <c r="Z2571" s="192" t="str">
        <f>IFERROR(Tableau3[[#This Row],[Chiffre d''affaires]]/Tableau3[[#This Row],[Salariés]],"")</f>
        <v/>
      </c>
      <c r="AA2571" s="177"/>
    </row>
    <row r="2572" spans="1:29" ht="20.25" customHeight="1">
      <c r="A2572" s="217"/>
      <c r="E2572" s="234"/>
      <c r="G2572" s="202">
        <f>(G2571/G2573)-1</f>
        <v>9.7701149425287293E-2</v>
      </c>
      <c r="H2572" s="203">
        <f>(H2571/H2573)-1</f>
        <v>0.37172774869109948</v>
      </c>
      <c r="I2572" s="203" t="e">
        <f>(I2571/I2573)-1</f>
        <v>#DIV/0!</v>
      </c>
      <c r="J2572" s="203" t="e">
        <f>(J2571/J2573)-1</f>
        <v>#DIV/0!</v>
      </c>
      <c r="K2572" s="188"/>
      <c r="L2572" s="188"/>
      <c r="M2572" s="188"/>
      <c r="N2572" s="178"/>
      <c r="O2572" s="178"/>
      <c r="P2572" s="178"/>
      <c r="Q2572" s="178"/>
      <c r="R2572" s="195"/>
      <c r="S2572" s="178"/>
      <c r="T2572" s="180"/>
      <c r="U2572" s="189" t="str">
        <f>IFERROR(IF(Tableau3[[#This Row],[Dettes]]=0,"",(Tableau3[[#This Row],[Dettes]]/Tableau3[[#This Row],[EBE]])),"")</f>
        <v/>
      </c>
      <c r="V2572" s="190" t="str">
        <f>IFERROR(Tableau3[[#This Row],[Fonds propres]]/Tableau3[[#This Row],[Total Bilan]],"")</f>
        <v/>
      </c>
      <c r="W2572" s="180"/>
      <c r="Y2572" s="180"/>
      <c r="Z2572" s="192" t="str">
        <f>IFERROR(Tableau3[[#This Row],[Chiffre d''affaires]]/Tableau3[[#This Row],[Salariés]],"")</f>
        <v/>
      </c>
      <c r="AA2572" s="177"/>
    </row>
    <row r="2573" spans="1:29" ht="20.25" customHeight="1">
      <c r="A2573" s="217"/>
      <c r="F2573" s="178">
        <v>2011</v>
      </c>
      <c r="G2573" s="188">
        <v>2088000000</v>
      </c>
      <c r="H2573" s="188">
        <v>191000000</v>
      </c>
      <c r="I2573" s="188"/>
      <c r="J2573" s="188"/>
      <c r="K2573" s="188"/>
      <c r="L2573" s="188"/>
      <c r="M2573" s="188"/>
      <c r="N2573" s="178"/>
      <c r="O2573" s="178"/>
      <c r="P2573" s="178"/>
      <c r="Q2573" s="178"/>
      <c r="R2573" s="195"/>
      <c r="S2573" s="178"/>
      <c r="T2573" s="180"/>
      <c r="U2573" s="189" t="str">
        <f>IFERROR(IF(Tableau3[[#This Row],[Dettes]]=0,"",(Tableau3[[#This Row],[Dettes]]/Tableau3[[#This Row],[EBE]])),"")</f>
        <v/>
      </c>
      <c r="V2573" s="190" t="str">
        <f>IFERROR(Tableau3[[#This Row],[Fonds propres]]/Tableau3[[#This Row],[Total Bilan]],"")</f>
        <v/>
      </c>
      <c r="W2573" s="180"/>
      <c r="Y2573" s="180"/>
      <c r="Z2573" s="192" t="str">
        <f>IFERROR(Tableau3[[#This Row],[Chiffre d''affaires]]/Tableau3[[#This Row],[Salariés]],"")</f>
        <v/>
      </c>
      <c r="AA2573" s="177"/>
    </row>
    <row r="2574" spans="1:29" ht="20.25" customHeight="1">
      <c r="A2574" s="217"/>
      <c r="F2574" s="217" t="s">
        <v>1812</v>
      </c>
      <c r="G2574" s="188"/>
      <c r="H2574" s="188"/>
      <c r="I2574" s="188"/>
      <c r="J2574" s="188"/>
      <c r="K2574" s="188"/>
      <c r="L2574" s="188"/>
      <c r="M2574" s="188"/>
      <c r="N2574" s="178"/>
      <c r="O2574" s="178"/>
      <c r="P2574" s="178"/>
      <c r="Q2574" s="178"/>
      <c r="R2574" s="195"/>
      <c r="S2574" s="178"/>
      <c r="T2574" s="180"/>
      <c r="U2574" s="189" t="str">
        <f>IFERROR(IF(Tableau3[[#This Row],[Dettes]]=0,"",(Tableau3[[#This Row],[Dettes]]/Tableau3[[#This Row],[EBE]])),"")</f>
        <v/>
      </c>
      <c r="V2574" s="190" t="str">
        <f>IFERROR(Tableau3[[#This Row],[Fonds propres]]/Tableau3[[#This Row],[Total Bilan]],"")</f>
        <v/>
      </c>
      <c r="W2574" s="180"/>
      <c r="Y2574" s="180"/>
      <c r="Z2574" s="192" t="str">
        <f>IFERROR(Tableau3[[#This Row],[Chiffre d''affaires]]/Tableau3[[#This Row],[Salariés]],"")</f>
        <v/>
      </c>
      <c r="AA2574" s="177"/>
    </row>
    <row r="2575" spans="1:29" ht="20.25" customHeight="1">
      <c r="A2575" s="217"/>
      <c r="G2575" s="188"/>
      <c r="H2575" s="188"/>
      <c r="I2575" s="188"/>
      <c r="J2575" s="188"/>
      <c r="K2575" s="188"/>
      <c r="L2575" s="188"/>
      <c r="M2575" s="188"/>
      <c r="N2575" s="178"/>
      <c r="O2575" s="178"/>
      <c r="P2575" s="178"/>
      <c r="Q2575" s="178"/>
      <c r="R2575" s="195"/>
      <c r="S2575" s="178"/>
      <c r="T2575" s="180"/>
      <c r="U2575" s="189" t="str">
        <f>IFERROR(IF(Tableau3[[#This Row],[Dettes]]=0,"",(Tableau3[[#This Row],[Dettes]]/Tableau3[[#This Row],[EBE]])),"")</f>
        <v/>
      </c>
      <c r="V2575" s="190" t="str">
        <f>IFERROR(Tableau3[[#This Row],[Fonds propres]]/Tableau3[[#This Row],[Total Bilan]],"")</f>
        <v/>
      </c>
      <c r="W2575" s="180"/>
      <c r="Y2575" s="180"/>
      <c r="Z2575" s="192" t="str">
        <f>IFERROR(Tableau3[[#This Row],[Chiffre d''affaires]]/Tableau3[[#This Row],[Salariés]],"")</f>
        <v/>
      </c>
      <c r="AA2575" s="177"/>
    </row>
    <row r="2576" spans="1:29" ht="20.25" customHeight="1">
      <c r="A2576" s="217"/>
      <c r="G2576" s="188"/>
      <c r="H2576" s="188"/>
      <c r="I2576" s="188"/>
      <c r="J2576" s="188"/>
      <c r="K2576" s="188"/>
      <c r="L2576" s="188"/>
      <c r="M2576" s="188"/>
      <c r="N2576" s="178"/>
      <c r="O2576" s="178"/>
      <c r="P2576" s="178"/>
      <c r="Q2576" s="178"/>
      <c r="R2576" s="195"/>
      <c r="S2576" s="178"/>
      <c r="T2576" s="180"/>
      <c r="U2576" s="189" t="str">
        <f>IFERROR(IF(Tableau3[[#This Row],[Dettes]]=0,"",(Tableau3[[#This Row],[Dettes]]/Tableau3[[#This Row],[EBE]])),"")</f>
        <v/>
      </c>
      <c r="V2576" s="190" t="str">
        <f>IFERROR(Tableau3[[#This Row],[Fonds propres]]/Tableau3[[#This Row],[Total Bilan]],"")</f>
        <v/>
      </c>
      <c r="W2576" s="180"/>
      <c r="Y2576" s="180"/>
      <c r="Z2576" s="192" t="str">
        <f>IFERROR(Tableau3[[#This Row],[Chiffre d''affaires]]/Tableau3[[#This Row],[Salariés]],"")</f>
        <v/>
      </c>
      <c r="AA2576" s="177"/>
    </row>
    <row r="2577" spans="1:29" ht="20.25" customHeight="1">
      <c r="A2577" s="217" t="s">
        <v>1813</v>
      </c>
      <c r="B2577" s="216" t="s">
        <v>1814</v>
      </c>
      <c r="C2577" s="178" t="s">
        <v>84</v>
      </c>
      <c r="D2577" s="178" t="s">
        <v>85</v>
      </c>
      <c r="E2577" s="187">
        <v>3.4649999999999999</v>
      </c>
      <c r="F2577" s="178">
        <v>2022</v>
      </c>
      <c r="G2577" s="188">
        <f>G2579*1.2</f>
        <v>594960000</v>
      </c>
      <c r="H2577" s="188">
        <v>10000000</v>
      </c>
      <c r="I2577" s="188">
        <v>2000000</v>
      </c>
      <c r="J2577" s="188">
        <v>0</v>
      </c>
      <c r="K2577" s="188">
        <v>190000000</v>
      </c>
      <c r="L2577" s="188">
        <v>224000000</v>
      </c>
      <c r="M2577" s="194">
        <f>L2577/P2577</f>
        <v>7.1402901903186971</v>
      </c>
      <c r="N2577" s="190">
        <f>J2577/L2577</f>
        <v>0</v>
      </c>
      <c r="O2577" s="190">
        <f>(I2577*0.64)/(K2577+(M2577*P2577))</f>
        <v>3.0917874396135265E-3</v>
      </c>
      <c r="P2577" s="211">
        <v>31371274</v>
      </c>
      <c r="Q2577" s="211">
        <f>P2577*E2577</f>
        <v>108701464.41</v>
      </c>
      <c r="R2577" s="195">
        <f>Q2577/L2577</f>
        <v>0.4852743946875</v>
      </c>
      <c r="S2577" s="197">
        <f>(Q2577+K2577)/H2579</f>
        <v>10.17063789744288</v>
      </c>
      <c r="T2577" s="180">
        <v>-50000000</v>
      </c>
      <c r="U2577" s="189">
        <f>IFERROR(IF(Tableau3[[#This Row],[Dettes]]=0,"",(Tableau3[[#This Row],[Dettes]]/Tableau3[[#This Row],[EBE]])),"")</f>
        <v>19</v>
      </c>
      <c r="V2577" s="190" t="str">
        <f>IFERROR(Tableau3[[#This Row],[Fonds propres]]/Tableau3[[#This Row],[Total Bilan]],"")</f>
        <v/>
      </c>
      <c r="W2577" s="180"/>
      <c r="X2577" s="191" t="s">
        <v>106</v>
      </c>
      <c r="Y2577" s="180">
        <v>1900</v>
      </c>
      <c r="Z2577" s="192">
        <f>IFERROR(Tableau3[[#This Row],[Chiffre d''affaires]]/Tableau3[[#This Row],[Salariés]],"")</f>
        <v>313136.84210526315</v>
      </c>
      <c r="AA2577" s="178" t="s">
        <v>1815</v>
      </c>
      <c r="AC2577" s="177" t="s">
        <v>1816</v>
      </c>
    </row>
    <row r="2578" spans="1:29" ht="20.25" customHeight="1">
      <c r="A2578" s="217"/>
      <c r="G2578" s="202">
        <f>(G2577/G2579)-1</f>
        <v>0.19999999999999996</v>
      </c>
      <c r="H2578" s="203">
        <f>(H2577/H2579)-1</f>
        <v>-0.65950492015390383</v>
      </c>
      <c r="I2578" s="203">
        <f>(I2577/I2579)-1</f>
        <v>-0.83294353491480122</v>
      </c>
      <c r="J2578" s="203">
        <f>(J2577/J2579)-1</f>
        <v>-1</v>
      </c>
      <c r="K2578" s="188"/>
      <c r="L2578" s="188"/>
      <c r="M2578" s="188"/>
      <c r="N2578" s="178"/>
      <c r="O2578" s="178"/>
      <c r="P2578" s="178"/>
      <c r="Q2578" s="178"/>
      <c r="R2578" s="195"/>
      <c r="S2578" s="178"/>
      <c r="T2578" s="180"/>
      <c r="U2578" s="189" t="str">
        <f>IFERROR(IF(Tableau3[[#This Row],[Dettes]]=0,"",(Tableau3[[#This Row],[Dettes]]/Tableau3[[#This Row],[EBE]])),"")</f>
        <v/>
      </c>
      <c r="V2578" s="190" t="str">
        <f>IFERROR(Tableau3[[#This Row],[Fonds propres]]/Tableau3[[#This Row],[Total Bilan]],"")</f>
        <v/>
      </c>
      <c r="W2578" s="180"/>
      <c r="Y2578" s="180"/>
      <c r="Z2578" s="192" t="str">
        <f>IFERROR(Tableau3[[#This Row],[Chiffre d''affaires]]/Tableau3[[#This Row],[Salariés]],"")</f>
        <v/>
      </c>
      <c r="AA2578" s="178" t="s">
        <v>491</v>
      </c>
      <c r="AC2578" s="177" t="s">
        <v>1818</v>
      </c>
    </row>
    <row r="2579" spans="1:29" ht="20.25" customHeight="1">
      <c r="A2579" s="217"/>
      <c r="E2579" s="187">
        <v>4.8</v>
      </c>
      <c r="F2579" s="178">
        <v>2021</v>
      </c>
      <c r="G2579" s="188">
        <v>495800000</v>
      </c>
      <c r="H2579" s="188">
        <v>29369000</v>
      </c>
      <c r="I2579" s="188">
        <v>11972000</v>
      </c>
      <c r="J2579" s="188">
        <v>8138000</v>
      </c>
      <c r="K2579" s="188">
        <v>140900000</v>
      </c>
      <c r="L2579" s="188">
        <v>224191000</v>
      </c>
      <c r="M2579" s="194">
        <f>L2579/P2579</f>
        <v>7.1463785627577634</v>
      </c>
      <c r="N2579" s="190">
        <f>J2579/L2579</f>
        <v>3.6299405417701873E-2</v>
      </c>
      <c r="O2579" s="190">
        <f>(I2579*0.64)/(K2579+(M2579*P2579))</f>
        <v>2.0986767682577769E-2</v>
      </c>
      <c r="P2579" s="211">
        <v>31371274</v>
      </c>
      <c r="Q2579" s="211">
        <f>P2579*E2579</f>
        <v>150582115.19999999</v>
      </c>
      <c r="R2579" s="195">
        <f>Q2579/L2579</f>
        <v>0.67166886806339232</v>
      </c>
      <c r="S2579" s="197">
        <f>(Q2579+K2579)/H2581</f>
        <v>12.874651731448763</v>
      </c>
      <c r="T2579" s="180">
        <v>1756000</v>
      </c>
      <c r="U2579" s="189">
        <f>IFERROR(IF(Tableau3[[#This Row],[Dettes]]=0,"",(Tableau3[[#This Row],[Dettes]]/Tableau3[[#This Row],[EBE]])),"")</f>
        <v>4.7975756750314957</v>
      </c>
      <c r="V2579" s="190" t="str">
        <f>IFERROR(Tableau3[[#This Row],[Fonds propres]]/Tableau3[[#This Row],[Total Bilan]],"")</f>
        <v/>
      </c>
      <c r="W2579" s="180"/>
      <c r="X2579" s="191"/>
      <c r="Y2579" s="180"/>
      <c r="Z2579" s="192" t="str">
        <f>IFERROR(Tableau3[[#This Row],[Chiffre d''affaires]]/Tableau3[[#This Row],[Salariés]],"")</f>
        <v/>
      </c>
      <c r="AA2579" s="197" t="s">
        <v>493</v>
      </c>
      <c r="AB2579" s="197"/>
      <c r="AC2579" s="177" t="s">
        <v>1819</v>
      </c>
    </row>
    <row r="2580" spans="1:29" ht="20.25" customHeight="1">
      <c r="A2580" s="217"/>
      <c r="G2580" s="202">
        <f>(G2579/G2581)-1</f>
        <v>0.1305593053376628</v>
      </c>
      <c r="H2580" s="203">
        <f>(H2579/H2581)-1</f>
        <v>0.29721731448763244</v>
      </c>
      <c r="I2580" s="203">
        <f>(I2579/I2581)-1</f>
        <v>2.0927408938258849</v>
      </c>
      <c r="J2580" s="203">
        <f>(J2579/J2581)-1</f>
        <v>-1.3127954798785408</v>
      </c>
      <c r="K2580" s="188"/>
      <c r="L2580" s="188"/>
      <c r="M2580" s="188"/>
      <c r="N2580" s="178"/>
      <c r="O2580" s="178"/>
      <c r="P2580" s="178"/>
      <c r="Q2580" s="178"/>
      <c r="R2580" s="195"/>
      <c r="S2580" s="178"/>
      <c r="T2580" s="180"/>
      <c r="U2580" s="189" t="str">
        <f>IFERROR(IF(Tableau3[[#This Row],[Dettes]]=0,"",(Tableau3[[#This Row],[Dettes]]/Tableau3[[#This Row],[EBE]])),"")</f>
        <v/>
      </c>
      <c r="V2580" s="190" t="str">
        <f>IFERROR(Tableau3[[#This Row],[Fonds propres]]/Tableau3[[#This Row],[Total Bilan]],"")</f>
        <v/>
      </c>
      <c r="W2580" s="180"/>
      <c r="Y2580" s="180"/>
      <c r="Z2580" s="192" t="str">
        <f>IFERROR(Tableau3[[#This Row],[Chiffre d''affaires]]/Tableau3[[#This Row],[Salariés]],"")</f>
        <v/>
      </c>
      <c r="AA2580" s="178" t="s">
        <v>169</v>
      </c>
      <c r="AC2580" s="177" t="s">
        <v>1820</v>
      </c>
    </row>
    <row r="2581" spans="1:29" ht="20.25" customHeight="1">
      <c r="A2581" s="217"/>
      <c r="E2581" s="187">
        <v>6.07</v>
      </c>
      <c r="F2581" s="178">
        <v>2020</v>
      </c>
      <c r="G2581" s="188">
        <v>438544000</v>
      </c>
      <c r="H2581" s="211">
        <v>22640000</v>
      </c>
      <c r="I2581" s="188">
        <v>3871000</v>
      </c>
      <c r="J2581" s="211">
        <v>-26017000</v>
      </c>
      <c r="K2581" s="188">
        <v>162179000</v>
      </c>
      <c r="L2581" s="188">
        <v>218881000</v>
      </c>
      <c r="M2581" s="194">
        <f>L2581/P2581</f>
        <v>6.97711543369262</v>
      </c>
      <c r="N2581" s="190">
        <f>J2581/L2581</f>
        <v>-0.11886367478218758</v>
      </c>
      <c r="O2581" s="190">
        <f>(I2581*0.64)/(K2581+(M2581*P2581))</f>
        <v>6.5014433422558131E-3</v>
      </c>
      <c r="P2581" s="211">
        <v>31371274</v>
      </c>
      <c r="Q2581" s="211">
        <f>P2581*E2581</f>
        <v>190423633.18000001</v>
      </c>
      <c r="R2581" s="195">
        <f>Q2581/L2581</f>
        <v>0.869987039441523</v>
      </c>
      <c r="S2581" s="197">
        <f>(Q2581+K2581)/H2583</f>
        <v>7.665274634347826</v>
      </c>
      <c r="T2581" s="180">
        <v>4958000</v>
      </c>
      <c r="U2581" s="189">
        <f>IFERROR(IF(Tableau3[[#This Row],[Dettes]]=0,"",(Tableau3[[#This Row],[Dettes]]/Tableau3[[#This Row],[EBE]])),"")</f>
        <v>7.1633833922261481</v>
      </c>
      <c r="V2581" s="190" t="str">
        <f>IFERROR(Tableau3[[#This Row],[Fonds propres]]/Tableau3[[#This Row],[Total Bilan]],"")</f>
        <v/>
      </c>
      <c r="W2581" s="180"/>
      <c r="X2581" s="191"/>
      <c r="Y2581" s="180"/>
      <c r="Z2581" s="192" t="str">
        <f>IFERROR(Tableau3[[#This Row],[Chiffre d''affaires]]/Tableau3[[#This Row],[Salariés]],"")</f>
        <v/>
      </c>
      <c r="AA2581" s="197"/>
      <c r="AB2581" s="197"/>
      <c r="AC2581" s="177" t="s">
        <v>1821</v>
      </c>
    </row>
    <row r="2582" spans="1:29" ht="20.25" customHeight="1">
      <c r="A2582" s="217"/>
      <c r="G2582" s="202">
        <f>(G2581/G2583)-1</f>
        <v>-0.28201702685003271</v>
      </c>
      <c r="H2582" s="203">
        <f>(H2581/H2583)-1</f>
        <v>-0.50782608695652176</v>
      </c>
      <c r="I2582" s="203">
        <f>(I2581/I2583)-1</f>
        <v>-0.86761285909712726</v>
      </c>
      <c r="J2582" s="203">
        <f>(J2581/J2583)-1</f>
        <v>-2.3342051282051282</v>
      </c>
      <c r="K2582" s="188"/>
      <c r="L2582" s="188"/>
      <c r="M2582" s="188"/>
      <c r="N2582" s="178"/>
      <c r="O2582" s="178"/>
      <c r="P2582" s="178"/>
      <c r="Q2582" s="178"/>
      <c r="R2582" s="195"/>
      <c r="S2582" s="178"/>
      <c r="T2582" s="180"/>
      <c r="U2582" s="189" t="str">
        <f>IFERROR(IF(Tableau3[[#This Row],[Dettes]]=0,"",(Tableau3[[#This Row],[Dettes]]/Tableau3[[#This Row],[EBE]])),"")</f>
        <v/>
      </c>
      <c r="V2582" s="190" t="str">
        <f>IFERROR(Tableau3[[#This Row],[Fonds propres]]/Tableau3[[#This Row],[Total Bilan]],"")</f>
        <v/>
      </c>
      <c r="W2582" s="180"/>
      <c r="Y2582" s="180"/>
      <c r="Z2582" s="192" t="str">
        <f>IFERROR(Tableau3[[#This Row],[Chiffre d''affaires]]/Tableau3[[#This Row],[Salariés]],"")</f>
        <v/>
      </c>
      <c r="AA2582" s="177"/>
      <c r="AC2582" s="177" t="s">
        <v>1822</v>
      </c>
    </row>
    <row r="2583" spans="1:29" ht="20.25" customHeight="1">
      <c r="A2583" s="217"/>
      <c r="E2583" s="187">
        <v>4.84</v>
      </c>
      <c r="F2583" s="178">
        <v>2019</v>
      </c>
      <c r="G2583" s="188">
        <v>610800000</v>
      </c>
      <c r="H2583" s="211">
        <v>46000000</v>
      </c>
      <c r="I2583" s="188">
        <v>29240000</v>
      </c>
      <c r="J2583" s="211">
        <v>19500000</v>
      </c>
      <c r="K2583" s="188">
        <v>150300000</v>
      </c>
      <c r="L2583" s="188">
        <v>264718000</v>
      </c>
      <c r="M2583" s="194">
        <f>L2583/P2583</f>
        <v>8.4382283832436915</v>
      </c>
      <c r="N2583" s="190">
        <f>J2583/L2583</f>
        <v>7.3663294524739534E-2</v>
      </c>
      <c r="O2583" s="190">
        <f>(I2583*0.64)/(K2583+(M2583*P2583))</f>
        <v>4.5091056291534343E-2</v>
      </c>
      <c r="P2583" s="211">
        <v>31371277</v>
      </c>
      <c r="Q2583" s="211">
        <f>P2583*E2583</f>
        <v>151836980.68000001</v>
      </c>
      <c r="R2583" s="195">
        <f>Q2583/L2583</f>
        <v>0.57358011423477062</v>
      </c>
      <c r="S2583" s="197">
        <f>(Q2583+K2583)/H2585</f>
        <v>6.358101445286195</v>
      </c>
      <c r="T2583" s="180"/>
      <c r="U2583" s="189">
        <f>IFERROR(IF(Tableau3[[#This Row],[Dettes]]=0,"",(Tableau3[[#This Row],[Dettes]]/Tableau3[[#This Row],[EBE]])),"")</f>
        <v>3.267391304347826</v>
      </c>
      <c r="V2583" s="190" t="str">
        <f>IFERROR(Tableau3[[#This Row],[Fonds propres]]/Tableau3[[#This Row],[Total Bilan]],"")</f>
        <v/>
      </c>
      <c r="W2583" s="180"/>
      <c r="X2583" s="191"/>
      <c r="Y2583" s="180"/>
      <c r="Z2583" s="192" t="str">
        <f>IFERROR(Tableau3[[#This Row],[Chiffre d''affaires]]/Tableau3[[#This Row],[Salariés]],"")</f>
        <v/>
      </c>
      <c r="AA2583" s="197"/>
      <c r="AB2583" s="197"/>
      <c r="AC2583" s="177" t="s">
        <v>1823</v>
      </c>
    </row>
    <row r="2584" spans="1:29" ht="20.25" customHeight="1">
      <c r="A2584" s="217"/>
      <c r="E2584" s="187"/>
      <c r="G2584" s="202">
        <f>(G2583/G2585)-1</f>
        <v>9.8748886950108306E-2</v>
      </c>
      <c r="H2584" s="203">
        <f>(H2583/H2585)-1</f>
        <v>-3.1986531986532007E-2</v>
      </c>
      <c r="I2584" s="203">
        <f>(I2583/I2585)-1</f>
        <v>9.1806447159521465E-3</v>
      </c>
      <c r="J2584" s="203">
        <f>(J2583/J2585)-1</f>
        <v>-0.18317764838939388</v>
      </c>
      <c r="K2584" s="188"/>
      <c r="L2584" s="188"/>
      <c r="M2584" s="188"/>
      <c r="N2584" s="178"/>
      <c r="O2584" s="178"/>
      <c r="P2584" s="178"/>
      <c r="Q2584" s="178"/>
      <c r="R2584" s="195"/>
      <c r="S2584" s="178"/>
      <c r="T2584" s="180"/>
      <c r="U2584" s="189" t="str">
        <f>IFERROR(IF(Tableau3[[#This Row],[Dettes]]=0,"",(Tableau3[[#This Row],[Dettes]]/Tableau3[[#This Row],[EBE]])),"")</f>
        <v/>
      </c>
      <c r="V2584" s="190" t="str">
        <f>IFERROR(Tableau3[[#This Row],[Fonds propres]]/Tableau3[[#This Row],[Total Bilan]],"")</f>
        <v/>
      </c>
      <c r="W2584" s="180"/>
      <c r="Y2584" s="180"/>
      <c r="Z2584" s="192" t="str">
        <f>IFERROR(Tableau3[[#This Row],[Chiffre d''affaires]]/Tableau3[[#This Row],[Salariés]],"")</f>
        <v/>
      </c>
      <c r="AA2584" s="177"/>
      <c r="AC2584" s="177" t="s">
        <v>1824</v>
      </c>
    </row>
    <row r="2585" spans="1:29" ht="20.25" customHeight="1">
      <c r="A2585" s="217"/>
      <c r="E2585" s="187">
        <v>9</v>
      </c>
      <c r="F2585" s="178">
        <v>2018</v>
      </c>
      <c r="G2585" s="188">
        <v>555905000</v>
      </c>
      <c r="H2585" s="211">
        <v>47520000</v>
      </c>
      <c r="I2585" s="188">
        <v>28974000</v>
      </c>
      <c r="J2585" s="211">
        <v>23873000</v>
      </c>
      <c r="K2585" s="188">
        <v>124000000</v>
      </c>
      <c r="L2585" s="188">
        <v>257337000</v>
      </c>
      <c r="M2585" s="194">
        <f>L2585/P2585</f>
        <v>8.2029502531519753</v>
      </c>
      <c r="N2585" s="190">
        <f>J2585/L2585</f>
        <v>9.2769403544768148E-2</v>
      </c>
      <c r="O2585" s="190">
        <f>(I2585*0.64)/(K2585+(M2585*P2585))</f>
        <v>4.8627224738223673E-2</v>
      </c>
      <c r="P2585" s="211">
        <v>31371274</v>
      </c>
      <c r="Q2585" s="211">
        <f>P2585*E2585</f>
        <v>282341466</v>
      </c>
      <c r="R2585" s="195">
        <f>Q2585/L2585</f>
        <v>1.0971662294967299</v>
      </c>
      <c r="S2585" s="197">
        <f>(Q2585+K2585)/H2587</f>
        <v>9.4060524537037029</v>
      </c>
      <c r="T2585" s="180"/>
      <c r="U2585" s="189">
        <f>IFERROR(IF(Tableau3[[#This Row],[Dettes]]=0,"",(Tableau3[[#This Row],[Dettes]]/Tableau3[[#This Row],[EBE]])),"")</f>
        <v>2.6094276094276094</v>
      </c>
      <c r="V2585" s="190" t="str">
        <f>IFERROR(Tableau3[[#This Row],[Fonds propres]]/Tableau3[[#This Row],[Total Bilan]],"")</f>
        <v/>
      </c>
      <c r="W2585" s="180"/>
      <c r="X2585" s="191"/>
      <c r="Y2585" s="180"/>
      <c r="Z2585" s="192" t="str">
        <f>IFERROR(Tableau3[[#This Row],[Chiffre d''affaires]]/Tableau3[[#This Row],[Salariés]],"")</f>
        <v/>
      </c>
      <c r="AA2585" s="197"/>
      <c r="AB2585" s="197"/>
      <c r="AC2585" s="177" t="s">
        <v>1825</v>
      </c>
    </row>
    <row r="2586" spans="1:29" ht="20.25" customHeight="1">
      <c r="A2586" s="217"/>
      <c r="E2586" s="187"/>
      <c r="G2586" s="202">
        <f>(G2585/G2587)-1</f>
        <v>0.11305216621749881</v>
      </c>
      <c r="H2586" s="203">
        <f>(H2585/H2587)-1</f>
        <v>0.10000000000000009</v>
      </c>
      <c r="I2586" s="203">
        <f>(I2585/I2587)-1</f>
        <v>-0.2169189189189189</v>
      </c>
      <c r="J2586" s="203">
        <f>(J2585/J2587)-1</f>
        <v>0.34967209407507904</v>
      </c>
      <c r="K2586" s="188"/>
      <c r="L2586" s="188"/>
      <c r="M2586" s="188"/>
      <c r="N2586" s="178"/>
      <c r="O2586" s="178"/>
      <c r="P2586" s="178"/>
      <c r="Q2586" s="178"/>
      <c r="R2586" s="195"/>
      <c r="S2586" s="178"/>
      <c r="T2586" s="180"/>
      <c r="U2586" s="189" t="str">
        <f>IFERROR(IF(Tableau3[[#This Row],[Dettes]]=0,"",(Tableau3[[#This Row],[Dettes]]/Tableau3[[#This Row],[EBE]])),"")</f>
        <v/>
      </c>
      <c r="V2586" s="190" t="str">
        <f>IFERROR(Tableau3[[#This Row],[Fonds propres]]/Tableau3[[#This Row],[Total Bilan]],"")</f>
        <v/>
      </c>
      <c r="W2586" s="180"/>
      <c r="Y2586" s="180"/>
      <c r="Z2586" s="192" t="str">
        <f>IFERROR(Tableau3[[#This Row],[Chiffre d''affaires]]/Tableau3[[#This Row],[Salariés]],"")</f>
        <v/>
      </c>
      <c r="AA2586" s="177"/>
      <c r="AC2586" s="177" t="s">
        <v>1826</v>
      </c>
    </row>
    <row r="2587" spans="1:29" ht="20.25" customHeight="1">
      <c r="A2587" s="217"/>
      <c r="E2587" s="187">
        <v>17</v>
      </c>
      <c r="F2587" s="178">
        <v>2017</v>
      </c>
      <c r="G2587" s="188">
        <v>499442000</v>
      </c>
      <c r="H2587" s="211">
        <v>43200000</v>
      </c>
      <c r="I2587" s="188">
        <v>37000000</v>
      </c>
      <c r="J2587" s="188">
        <v>17688000</v>
      </c>
      <c r="K2587" s="188">
        <v>57800000</v>
      </c>
      <c r="L2587" s="188">
        <v>238723000</v>
      </c>
      <c r="M2587" s="194">
        <f>L2587/P2587</f>
        <v>7.6096048888546894</v>
      </c>
      <c r="N2587" s="190">
        <f>J2587/L2587</f>
        <v>7.4094243118593514E-2</v>
      </c>
      <c r="O2587" s="190">
        <f>(I2587*0.64)/(K2587+(M2587*P2587))</f>
        <v>7.9858897960697825E-2</v>
      </c>
      <c r="P2587" s="211">
        <v>31371274</v>
      </c>
      <c r="Q2587" s="211">
        <f>P2587*E2587</f>
        <v>533311658</v>
      </c>
      <c r="R2587" s="195">
        <f>Q2587/L2587</f>
        <v>2.2340187497643713</v>
      </c>
      <c r="S2587" s="197">
        <f>(Q2587+K2587)/H2589</f>
        <v>21.339771046931407</v>
      </c>
      <c r="T2587" s="180"/>
      <c r="U2587" s="189">
        <f>IFERROR(IF(Tableau3[[#This Row],[Dettes]]=0,"",(Tableau3[[#This Row],[Dettes]]/Tableau3[[#This Row],[EBE]])),"")</f>
        <v>1.337962962962963</v>
      </c>
      <c r="V2587" s="190" t="str">
        <f>IFERROR(Tableau3[[#This Row],[Fonds propres]]/Tableau3[[#This Row],[Total Bilan]],"")</f>
        <v/>
      </c>
      <c r="W2587" s="180"/>
      <c r="X2587" s="191"/>
      <c r="Y2587" s="180"/>
      <c r="Z2587" s="192" t="str">
        <f>IFERROR(Tableau3[[#This Row],[Chiffre d''affaires]]/Tableau3[[#This Row],[Salariés]],"")</f>
        <v/>
      </c>
      <c r="AA2587" s="197"/>
      <c r="AB2587" s="197"/>
      <c r="AC2587" s="177" t="s">
        <v>1827</v>
      </c>
    </row>
    <row r="2588" spans="1:29" ht="20.25" customHeight="1">
      <c r="A2588" s="217"/>
      <c r="E2588" s="187"/>
      <c r="G2588" s="202">
        <f>(G2587/G2589)-1</f>
        <v>9.0961118392311135E-2</v>
      </c>
      <c r="H2588" s="203">
        <f>(H2587/H2589)-1</f>
        <v>0.55956678700361007</v>
      </c>
      <c r="I2588" s="203">
        <f>(I2587/I2589)-1</f>
        <v>0.41523867809057524</v>
      </c>
      <c r="J2588" s="203">
        <f>(J2587/J2589)-1</f>
        <v>-0.23938937862825194</v>
      </c>
      <c r="K2588" s="188"/>
      <c r="L2588" s="188"/>
      <c r="M2588" s="188"/>
      <c r="N2588" s="178"/>
      <c r="O2588" s="178"/>
      <c r="P2588" s="178"/>
      <c r="Q2588" s="178"/>
      <c r="R2588" s="195"/>
      <c r="S2588" s="178"/>
      <c r="T2588" s="180"/>
      <c r="U2588" s="189" t="str">
        <f>IFERROR(IF(Tableau3[[#This Row],[Dettes]]=0,"",(Tableau3[[#This Row],[Dettes]]/Tableau3[[#This Row],[EBE]])),"")</f>
        <v/>
      </c>
      <c r="V2588" s="190" t="str">
        <f>IFERROR(Tableau3[[#This Row],[Fonds propres]]/Tableau3[[#This Row],[Total Bilan]],"")</f>
        <v/>
      </c>
      <c r="W2588" s="180"/>
      <c r="Y2588" s="180"/>
      <c r="Z2588" s="192" t="str">
        <f>IFERROR(Tableau3[[#This Row],[Chiffre d''affaires]]/Tableau3[[#This Row],[Salariés]],"")</f>
        <v/>
      </c>
      <c r="AA2588" s="177"/>
      <c r="AC2588" s="177" t="s">
        <v>1828</v>
      </c>
    </row>
    <row r="2589" spans="1:29" ht="20.25" customHeight="1">
      <c r="A2589" s="217"/>
      <c r="E2589" s="187">
        <v>14.06</v>
      </c>
      <c r="F2589" s="178">
        <v>2016</v>
      </c>
      <c r="G2589" s="188">
        <v>457800000</v>
      </c>
      <c r="H2589" s="188">
        <v>27700000</v>
      </c>
      <c r="I2589" s="188">
        <v>26144000</v>
      </c>
      <c r="J2589" s="188">
        <v>23255000</v>
      </c>
      <c r="K2589" s="188">
        <v>74792000</v>
      </c>
      <c r="L2589" s="188">
        <v>236634000</v>
      </c>
      <c r="M2589" s="194">
        <f>L2589/P2589</f>
        <v>7.5430153075708688</v>
      </c>
      <c r="N2589" s="190">
        <f>J2589/L2589</f>
        <v>9.8274127978227988E-2</v>
      </c>
      <c r="O2589" s="190">
        <f>(I2589*0.64)/(K2589+(M2589*P2589))</f>
        <v>5.3727562888133941E-2</v>
      </c>
      <c r="P2589" s="211">
        <v>31371274</v>
      </c>
      <c r="Q2589" s="211">
        <f>P2589*E2589</f>
        <v>441080112.44</v>
      </c>
      <c r="R2589" s="195">
        <f>Q2589/L2589</f>
        <v>1.8639760661612448</v>
      </c>
      <c r="S2589" s="197">
        <f>(Q2589+K2589)/H2591</f>
        <v>15.921978779012345</v>
      </c>
      <c r="T2589" s="180"/>
      <c r="U2589" s="189">
        <f>IFERROR(IF(Tableau3[[#This Row],[Dettes]]=0,"",(Tableau3[[#This Row],[Dettes]]/Tableau3[[#This Row],[EBE]])),"")</f>
        <v>2.7000722021660648</v>
      </c>
      <c r="V2589" s="190" t="str">
        <f>IFERROR(Tableau3[[#This Row],[Fonds propres]]/Tableau3[[#This Row],[Total Bilan]],"")</f>
        <v/>
      </c>
      <c r="W2589" s="180"/>
      <c r="X2589" s="191"/>
      <c r="Y2589" s="180"/>
      <c r="Z2589" s="192" t="str">
        <f>IFERROR(Tableau3[[#This Row],[Chiffre d''affaires]]/Tableau3[[#This Row],[Salariés]],"")</f>
        <v/>
      </c>
      <c r="AA2589" s="197"/>
      <c r="AB2589" s="197"/>
      <c r="AC2589" s="177" t="s">
        <v>1829</v>
      </c>
    </row>
    <row r="2590" spans="1:29" ht="20.25" customHeight="1">
      <c r="A2590" s="217"/>
      <c r="E2590" s="187"/>
      <c r="G2590" s="202">
        <f>(G2589/G2591)-1</f>
        <v>2.8070963395463666E-2</v>
      </c>
      <c r="H2590" s="203">
        <f>(H2589/H2591)-1</f>
        <v>-0.14506172839506171</v>
      </c>
      <c r="I2590" s="203">
        <f>(I2589/I2591)-1</f>
        <v>-0.23955788248981968</v>
      </c>
      <c r="J2590" s="203">
        <f>(J2589/J2591)-1</f>
        <v>-0.16267598026860619</v>
      </c>
      <c r="K2590" s="188"/>
      <c r="L2590" s="188"/>
      <c r="M2590" s="188"/>
      <c r="N2590" s="178"/>
      <c r="O2590" s="178"/>
      <c r="P2590" s="178"/>
      <c r="Q2590" s="178"/>
      <c r="R2590" s="195"/>
      <c r="S2590" s="178"/>
      <c r="T2590" s="180"/>
      <c r="U2590" s="189" t="str">
        <f>IFERROR(IF(Tableau3[[#This Row],[Dettes]]=0,"",(Tableau3[[#This Row],[Dettes]]/Tableau3[[#This Row],[EBE]])),"")</f>
        <v/>
      </c>
      <c r="V2590" s="190" t="str">
        <f>IFERROR(Tableau3[[#This Row],[Fonds propres]]/Tableau3[[#This Row],[Total Bilan]],"")</f>
        <v/>
      </c>
      <c r="W2590" s="180"/>
      <c r="X2590" s="191"/>
      <c r="Y2590" s="180"/>
      <c r="Z2590" s="192" t="str">
        <f>IFERROR(Tableau3[[#This Row],[Chiffre d''affaires]]/Tableau3[[#This Row],[Salariés]],"")</f>
        <v/>
      </c>
      <c r="AA2590" s="197"/>
      <c r="AB2590" s="197"/>
      <c r="AC2590" s="177" t="s">
        <v>1830</v>
      </c>
    </row>
    <row r="2591" spans="1:29" ht="20.25" customHeight="1">
      <c r="A2591" s="217"/>
      <c r="E2591" s="187">
        <v>13.99</v>
      </c>
      <c r="F2591" s="178">
        <v>2015</v>
      </c>
      <c r="G2591" s="188">
        <v>445300000</v>
      </c>
      <c r="H2591" s="188">
        <v>32400000</v>
      </c>
      <c r="I2591" s="188">
        <v>34380000</v>
      </c>
      <c r="J2591" s="188">
        <v>27773000</v>
      </c>
      <c r="K2591" s="188">
        <v>68282000</v>
      </c>
      <c r="L2591" s="188">
        <v>221077000</v>
      </c>
      <c r="M2591" s="194">
        <f>L2591/P2591</f>
        <v>7.0470124475746223</v>
      </c>
      <c r="N2591" s="190">
        <f>J2591/L2591</f>
        <v>0.12562591314338442</v>
      </c>
      <c r="O2591" s="190">
        <f>(I2591*0.64)/(K2591+(M2591*P2591))</f>
        <v>7.6041180678672521E-2</v>
      </c>
      <c r="P2591" s="211">
        <v>31371734</v>
      </c>
      <c r="Q2591" s="211">
        <f>P2591*E2591</f>
        <v>438890558.66000003</v>
      </c>
      <c r="R2591" s="195">
        <f>Q2591/L2591</f>
        <v>1.9852384402719416</v>
      </c>
      <c r="S2591" s="197">
        <f>(Q2591+K2591)/H2591</f>
        <v>15.65347403271605</v>
      </c>
      <c r="T2591" s="180"/>
      <c r="U2591" s="189">
        <f>IFERROR(IF(Tableau3[[#This Row],[Dettes]]=0,"",(Tableau3[[#This Row],[Dettes]]/Tableau3[[#This Row],[EBE]])),"")</f>
        <v>2.1074691358024693</v>
      </c>
      <c r="V2591" s="190" t="str">
        <f>IFERROR(Tableau3[[#This Row],[Fonds propres]]/Tableau3[[#This Row],[Total Bilan]],"")</f>
        <v/>
      </c>
      <c r="W2591" s="180"/>
      <c r="X2591" s="191"/>
      <c r="Y2591" s="180"/>
      <c r="Z2591" s="192" t="str">
        <f>IFERROR(Tableau3[[#This Row],[Chiffre d''affaires]]/Tableau3[[#This Row],[Salariés]],"")</f>
        <v/>
      </c>
      <c r="AA2591" s="197"/>
      <c r="AB2591" s="197"/>
      <c r="AC2591" s="177" t="s">
        <v>1831</v>
      </c>
    </row>
    <row r="2592" spans="1:29" ht="20.25" customHeight="1">
      <c r="A2592" s="217"/>
      <c r="E2592" s="187"/>
      <c r="G2592" s="188"/>
      <c r="H2592" s="188"/>
      <c r="I2592" s="188"/>
      <c r="J2592" s="188"/>
      <c r="K2592" s="188"/>
      <c r="L2592" s="188"/>
      <c r="M2592" s="194"/>
      <c r="N2592" s="190"/>
      <c r="O2592" s="190"/>
      <c r="P2592" s="211"/>
      <c r="Q2592" s="211"/>
      <c r="R2592" s="195"/>
      <c r="S2592" s="197"/>
      <c r="T2592" s="180"/>
      <c r="U2592" s="189" t="str">
        <f>IFERROR(IF(Tableau3[[#This Row],[Dettes]]=0,"",(Tableau3[[#This Row],[Dettes]]/Tableau3[[#This Row],[EBE]])),"")</f>
        <v/>
      </c>
      <c r="V2592" s="190" t="str">
        <f>IFERROR(Tableau3[[#This Row],[Fonds propres]]/Tableau3[[#This Row],[Total Bilan]],"")</f>
        <v/>
      </c>
      <c r="W2592" s="180"/>
      <c r="X2592" s="191"/>
      <c r="Y2592" s="180"/>
      <c r="Z2592" s="192" t="str">
        <f>IFERROR(Tableau3[[#This Row],[Chiffre d''affaires]]/Tableau3[[#This Row],[Salariés]],"")</f>
        <v/>
      </c>
      <c r="AA2592" s="197"/>
      <c r="AB2592" s="197"/>
      <c r="AC2592" s="177" t="s">
        <v>1832</v>
      </c>
    </row>
    <row r="2593" spans="1:37" ht="20.25" customHeight="1">
      <c r="A2593" s="217"/>
      <c r="E2593" s="187">
        <v>6.4</v>
      </c>
      <c r="F2593" s="178">
        <v>2009</v>
      </c>
      <c r="G2593" s="188">
        <v>202028000</v>
      </c>
      <c r="H2593" s="188">
        <f>17416000-63359000</f>
        <v>-45943000</v>
      </c>
      <c r="I2593" s="188">
        <v>-63359000</v>
      </c>
      <c r="J2593" s="188">
        <v>-55326000</v>
      </c>
      <c r="K2593" s="188">
        <f>267236000-65845000</f>
        <v>201391000</v>
      </c>
      <c r="L2593" s="188">
        <v>225042000</v>
      </c>
      <c r="M2593" s="194">
        <f>L2593/P2593</f>
        <v>7.2148111086970053</v>
      </c>
      <c r="N2593" s="190">
        <f>J2593/L2593</f>
        <v>-0.24584744181086196</v>
      </c>
      <c r="O2593" s="190">
        <f>(I2593*0.64)/(K2593+(M2593*P2593))</f>
        <v>-9.5090576948782105E-2</v>
      </c>
      <c r="P2593" s="211">
        <v>31191669</v>
      </c>
      <c r="Q2593" s="211">
        <f>P2593*E2593</f>
        <v>199626681.60000002</v>
      </c>
      <c r="R2593" s="195">
        <f>Q2593/L2593</f>
        <v>0.88706411069933622</v>
      </c>
      <c r="S2593" s="197">
        <f>(Q2593+K2593)/H2593</f>
        <v>-8.7285915503994076</v>
      </c>
      <c r="T2593" s="180"/>
      <c r="U2593" s="189">
        <f>IFERROR(IF(Tableau3[[#This Row],[Dettes]]=0,"",(Tableau3[[#This Row],[Dettes]]/Tableau3[[#This Row],[EBE]])),"")</f>
        <v>-4.3834969418627425</v>
      </c>
      <c r="V2593" s="190" t="str">
        <f>IFERROR(Tableau3[[#This Row],[Fonds propres]]/Tableau3[[#This Row],[Total Bilan]],"")</f>
        <v/>
      </c>
      <c r="W2593" s="180"/>
      <c r="Y2593" s="180"/>
      <c r="Z2593" s="192" t="str">
        <f>IFERROR(Tableau3[[#This Row],[Chiffre d''affaires]]/Tableau3[[#This Row],[Salariés]],"")</f>
        <v/>
      </c>
      <c r="AA2593" s="177"/>
      <c r="AC2593" s="177" t="s">
        <v>215</v>
      </c>
    </row>
    <row r="2594" spans="1:37" ht="20.25" customHeight="1">
      <c r="A2594" s="217"/>
      <c r="E2594" s="187"/>
      <c r="G2594" s="202">
        <f>(G2593/G2595)-1</f>
        <v>-0.55182572430010213</v>
      </c>
      <c r="H2594" s="203">
        <f>(H2593/H2595)-1</f>
        <v>-1.6705930434528762</v>
      </c>
      <c r="I2594" s="203">
        <f>(I2593/I2595)-1</f>
        <v>-2.2512639229007032</v>
      </c>
      <c r="J2594" s="203">
        <f>(J2593/J2595)-1</f>
        <v>-2.7310472137918085</v>
      </c>
      <c r="K2594" s="188"/>
      <c r="L2594" s="188"/>
      <c r="M2594" s="194"/>
      <c r="N2594" s="190"/>
      <c r="O2594" s="190"/>
      <c r="P2594" s="211"/>
      <c r="Q2594" s="211"/>
      <c r="R2594" s="195"/>
      <c r="S2594" s="197"/>
      <c r="T2594" s="180"/>
      <c r="U2594" s="189" t="str">
        <f>IFERROR(IF(Tableau3[[#This Row],[Dettes]]=0,"",(Tableau3[[#This Row],[Dettes]]/Tableau3[[#This Row],[EBE]])),"")</f>
        <v/>
      </c>
      <c r="V2594" s="190" t="str">
        <f>IFERROR(Tableau3[[#This Row],[Fonds propres]]/Tableau3[[#This Row],[Total Bilan]],"")</f>
        <v/>
      </c>
      <c r="W2594" s="180"/>
      <c r="Y2594" s="180"/>
      <c r="Z2594" s="192" t="str">
        <f>IFERROR(Tableau3[[#This Row],[Chiffre d''affaires]]/Tableau3[[#This Row],[Salariés]],"")</f>
        <v/>
      </c>
      <c r="AA2594" s="177"/>
      <c r="AC2594" s="177" t="s">
        <v>1833</v>
      </c>
    </row>
    <row r="2595" spans="1:37" ht="20.25" customHeight="1">
      <c r="A2595" s="217"/>
      <c r="E2595" s="187">
        <v>3.98</v>
      </c>
      <c r="F2595" s="178">
        <v>2008</v>
      </c>
      <c r="G2595" s="188">
        <v>450780000</v>
      </c>
      <c r="H2595" s="188">
        <f>17875000+50636000</f>
        <v>68511000</v>
      </c>
      <c r="I2595" s="188">
        <v>50636000</v>
      </c>
      <c r="J2595" s="188">
        <v>31961000</v>
      </c>
      <c r="K2595" s="188">
        <f>240561000-22848000</f>
        <v>217713000</v>
      </c>
      <c r="L2595" s="188">
        <v>286332000</v>
      </c>
      <c r="M2595" s="194">
        <f>L2595/P2595</f>
        <v>8.7855714512068364</v>
      </c>
      <c r="N2595" s="190">
        <f>J2595/L2595</f>
        <v>0.11162217286227177</v>
      </c>
      <c r="O2595" s="190">
        <f>(I2595*0.64)/(K2595+(M2595*P2595))</f>
        <v>6.429394200914601E-2</v>
      </c>
      <c r="P2595" s="211">
        <v>32591164</v>
      </c>
      <c r="Q2595" s="211">
        <f>P2595*E2595</f>
        <v>129712832.72</v>
      </c>
      <c r="R2595" s="195">
        <f>Q2595/L2595</f>
        <v>0.45301549501976723</v>
      </c>
      <c r="S2595" s="197">
        <f>(Q2595+K2595)/H2595</f>
        <v>5.071095630190773</v>
      </c>
      <c r="T2595" s="180"/>
      <c r="U2595" s="189">
        <f>IFERROR(IF(Tableau3[[#This Row],[Dettes]]=0,"",(Tableau3[[#This Row],[Dettes]]/Tableau3[[#This Row],[EBE]])),"")</f>
        <v>3.1777816700967727</v>
      </c>
      <c r="V2595" s="190" t="str">
        <f>IFERROR(Tableau3[[#This Row],[Fonds propres]]/Tableau3[[#This Row],[Total Bilan]],"")</f>
        <v/>
      </c>
      <c r="W2595" s="180"/>
      <c r="X2595" s="191"/>
      <c r="Y2595" s="180"/>
      <c r="Z2595" s="192" t="str">
        <f>IFERROR(Tableau3[[#This Row],[Chiffre d''affaires]]/Tableau3[[#This Row],[Salariés]],"")</f>
        <v/>
      </c>
      <c r="AA2595" s="197"/>
      <c r="AB2595" s="197"/>
      <c r="AC2595" s="177" t="s">
        <v>1834</v>
      </c>
    </row>
    <row r="2596" spans="1:37" ht="20.25" customHeight="1">
      <c r="A2596" s="217"/>
      <c r="E2596" s="187"/>
      <c r="G2596" s="188"/>
      <c r="H2596" s="188"/>
      <c r="I2596" s="188"/>
      <c r="J2596" s="188"/>
      <c r="K2596" s="188"/>
      <c r="L2596" s="188"/>
      <c r="M2596" s="194"/>
      <c r="N2596" s="190"/>
      <c r="O2596" s="190"/>
      <c r="P2596" s="178"/>
      <c r="Q2596" s="211"/>
      <c r="R2596" s="195"/>
      <c r="S2596" s="197"/>
      <c r="T2596" s="180"/>
      <c r="U2596" s="189" t="str">
        <f>IFERROR(IF(Tableau3[[#This Row],[Dettes]]=0,"",(Tableau3[[#This Row],[Dettes]]/Tableau3[[#This Row],[EBE]])),"")</f>
        <v/>
      </c>
      <c r="V2596" s="190" t="str">
        <f>IFERROR(Tableau3[[#This Row],[Fonds propres]]/Tableau3[[#This Row],[Total Bilan]],"")</f>
        <v/>
      </c>
      <c r="W2596" s="180"/>
      <c r="X2596" s="191"/>
      <c r="Y2596" s="180"/>
      <c r="Z2596" s="192" t="str">
        <f>IFERROR(Tableau3[[#This Row],[Chiffre d''affaires]]/Tableau3[[#This Row],[Salariés]],"")</f>
        <v/>
      </c>
      <c r="AA2596" s="197"/>
      <c r="AB2596" s="197"/>
    </row>
    <row r="2597" spans="1:37" ht="20.25" customHeight="1">
      <c r="A2597" s="217"/>
      <c r="E2597" s="187"/>
      <c r="G2597" s="188"/>
      <c r="H2597" s="188"/>
      <c r="I2597" s="188"/>
      <c r="J2597" s="188"/>
      <c r="K2597" s="188"/>
      <c r="L2597" s="188"/>
      <c r="M2597" s="194"/>
      <c r="N2597" s="190"/>
      <c r="O2597" s="190"/>
      <c r="P2597" s="178"/>
      <c r="Q2597" s="211"/>
      <c r="R2597" s="195"/>
      <c r="S2597" s="197"/>
      <c r="T2597" s="180"/>
      <c r="U2597" s="189" t="str">
        <f>IFERROR(IF(Tableau3[[#This Row],[Dettes]]=0,"",(Tableau3[[#This Row],[Dettes]]/Tableau3[[#This Row],[EBE]])),"")</f>
        <v/>
      </c>
      <c r="V2597" s="190" t="str">
        <f>IFERROR(Tableau3[[#This Row],[Fonds propres]]/Tableau3[[#This Row],[Total Bilan]],"")</f>
        <v/>
      </c>
      <c r="W2597" s="180"/>
      <c r="X2597" s="191"/>
      <c r="Y2597" s="180"/>
      <c r="Z2597" s="192" t="str">
        <f>IFERROR(Tableau3[[#This Row],[Chiffre d''affaires]]/Tableau3[[#This Row],[Salariés]],"")</f>
        <v/>
      </c>
      <c r="AA2597" s="197"/>
      <c r="AB2597" s="197"/>
    </row>
    <row r="2598" spans="1:37" ht="20.25" customHeight="1">
      <c r="A2598" s="217"/>
      <c r="E2598" s="187"/>
      <c r="G2598" s="188"/>
      <c r="H2598" s="188"/>
      <c r="I2598" s="188"/>
      <c r="J2598" s="188"/>
      <c r="K2598" s="188"/>
      <c r="L2598" s="188"/>
      <c r="M2598" s="194"/>
      <c r="N2598" s="190"/>
      <c r="O2598" s="190"/>
      <c r="P2598" s="178"/>
      <c r="Q2598" s="211"/>
      <c r="R2598" s="195"/>
      <c r="S2598" s="197"/>
      <c r="T2598" s="180"/>
      <c r="U2598" s="189" t="str">
        <f>IFERROR(IF(Tableau3[[#This Row],[Dettes]]=0,"",(Tableau3[[#This Row],[Dettes]]/Tableau3[[#This Row],[EBE]])),"")</f>
        <v/>
      </c>
      <c r="V2598" s="190" t="str">
        <f>IFERROR(Tableau3[[#This Row],[Fonds propres]]/Tableau3[[#This Row],[Total Bilan]],"")</f>
        <v/>
      </c>
      <c r="W2598" s="180"/>
      <c r="X2598" s="191"/>
      <c r="Y2598" s="180"/>
      <c r="Z2598" s="192" t="str">
        <f>IFERROR(Tableau3[[#This Row],[Chiffre d''affaires]]/Tableau3[[#This Row],[Salariés]],"")</f>
        <v/>
      </c>
      <c r="AA2598" s="197"/>
      <c r="AB2598" s="197"/>
    </row>
    <row r="2599" spans="1:37" ht="20.25" customHeight="1">
      <c r="A2599" s="217"/>
      <c r="E2599" s="187"/>
      <c r="G2599" s="188"/>
      <c r="H2599" s="188"/>
      <c r="I2599" s="188"/>
      <c r="J2599" s="188"/>
      <c r="K2599" s="188"/>
      <c r="L2599" s="188"/>
      <c r="M2599" s="194"/>
      <c r="N2599" s="190"/>
      <c r="O2599" s="190"/>
      <c r="P2599" s="178"/>
      <c r="Q2599" s="211"/>
      <c r="R2599" s="195"/>
      <c r="S2599" s="197"/>
      <c r="T2599" s="180"/>
      <c r="U2599" s="189" t="str">
        <f>IFERROR(IF(Tableau3[[#This Row],[Dettes]]=0,"",(Tableau3[[#This Row],[Dettes]]/Tableau3[[#This Row],[EBE]])),"")</f>
        <v/>
      </c>
      <c r="V2599" s="190" t="str">
        <f>IFERROR(Tableau3[[#This Row],[Fonds propres]]/Tableau3[[#This Row],[Total Bilan]],"")</f>
        <v/>
      </c>
      <c r="W2599" s="180"/>
      <c r="X2599" s="191"/>
      <c r="Y2599" s="180"/>
      <c r="Z2599" s="192" t="str">
        <f>IFERROR(Tableau3[[#This Row],[Chiffre d''affaires]]/Tableau3[[#This Row],[Salariés]],"")</f>
        <v/>
      </c>
      <c r="AA2599" s="197"/>
      <c r="AB2599" s="197"/>
    </row>
    <row r="2600" spans="1:37" ht="20.25" customHeight="1">
      <c r="A2600" s="217" t="s">
        <v>1835</v>
      </c>
      <c r="B2600" s="216" t="s">
        <v>1836</v>
      </c>
      <c r="C2600" s="178" t="s">
        <v>84</v>
      </c>
      <c r="D2600" s="178" t="s">
        <v>85</v>
      </c>
      <c r="E2600" s="187"/>
      <c r="F2600" s="178">
        <v>2025</v>
      </c>
      <c r="G2600" s="188"/>
      <c r="H2600" s="188"/>
      <c r="I2600" s="188"/>
      <c r="J2600" s="188"/>
      <c r="K2600" s="188"/>
      <c r="L2600" s="188"/>
      <c r="M2600" s="194"/>
      <c r="N2600" s="190"/>
      <c r="O2600" s="190"/>
      <c r="P2600" s="178"/>
      <c r="Q2600" s="211"/>
      <c r="R2600" s="195"/>
      <c r="S2600" s="197"/>
      <c r="T2600" s="180"/>
      <c r="U2600" s="189" t="str">
        <f>IFERROR(IF(Tableau3[[#This Row],[Dettes]]=0,"",(Tableau3[[#This Row],[Dettes]]/Tableau3[[#This Row],[EBE]])),"")</f>
        <v/>
      </c>
      <c r="V2600" s="190" t="str">
        <f>IFERROR(Tableau3[[#This Row],[Fonds propres]]/Tableau3[[#This Row],[Total Bilan]],"")</f>
        <v/>
      </c>
      <c r="W2600" s="180"/>
      <c r="X2600" s="191"/>
      <c r="Y2600" s="180"/>
      <c r="Z2600" s="192" t="str">
        <f>IFERROR(Tableau3[[#This Row],[Chiffre d''affaires]]/Tableau3[[#This Row],[Salariés]],"")</f>
        <v/>
      </c>
      <c r="AA2600" s="197"/>
      <c r="AB2600" s="197"/>
      <c r="AC2600" s="177" t="s">
        <v>1837</v>
      </c>
      <c r="AD2600" s="188"/>
      <c r="AE2600" s="188"/>
      <c r="AF2600" s="188"/>
      <c r="AG2600" s="188"/>
      <c r="AH2600" s="188"/>
      <c r="AI2600" s="188"/>
      <c r="AJ2600" s="188"/>
      <c r="AK2600" s="188"/>
    </row>
    <row r="2601" spans="1:37" ht="20.25" customHeight="1">
      <c r="A2601" s="217"/>
      <c r="E2601" s="187"/>
      <c r="G2601" s="188"/>
      <c r="H2601" s="188"/>
      <c r="I2601" s="188"/>
      <c r="J2601" s="188"/>
      <c r="K2601" s="188"/>
      <c r="L2601" s="188"/>
      <c r="M2601" s="194"/>
      <c r="N2601" s="190"/>
      <c r="O2601" s="190"/>
      <c r="P2601" s="178"/>
      <c r="Q2601" s="211"/>
      <c r="R2601" s="195"/>
      <c r="S2601" s="197"/>
      <c r="T2601" s="180"/>
      <c r="U2601" s="189" t="str">
        <f>IFERROR(IF(Tableau3[[#This Row],[Dettes]]=0,"",(Tableau3[[#This Row],[Dettes]]/Tableau3[[#This Row],[EBE]])),"")</f>
        <v/>
      </c>
      <c r="V2601" s="190" t="str">
        <f>IFERROR(Tableau3[[#This Row],[Fonds propres]]/Tableau3[[#This Row],[Total Bilan]],"")</f>
        <v/>
      </c>
      <c r="W2601" s="180"/>
      <c r="X2601" s="191"/>
      <c r="Y2601" s="180"/>
      <c r="Z2601" s="192" t="str">
        <f>IFERROR(Tableau3[[#This Row],[Chiffre d''affaires]]/Tableau3[[#This Row],[Salariés]],"")</f>
        <v/>
      </c>
      <c r="AA2601" s="197"/>
      <c r="AB2601" s="197"/>
      <c r="AC2601" s="177" t="s">
        <v>1839</v>
      </c>
      <c r="AD2601" s="188"/>
      <c r="AE2601" s="188"/>
      <c r="AF2601" s="188"/>
      <c r="AG2601" s="188"/>
      <c r="AH2601" s="188"/>
      <c r="AI2601" s="188"/>
      <c r="AJ2601" s="188"/>
      <c r="AK2601" s="188"/>
    </row>
    <row r="2602" spans="1:37" ht="20.25" customHeight="1">
      <c r="A2602" s="217"/>
      <c r="E2602" s="187">
        <v>16.78</v>
      </c>
      <c r="F2602" s="178">
        <v>2024</v>
      </c>
      <c r="G2602" s="188"/>
      <c r="H2602" s="188"/>
      <c r="I2602" s="188"/>
      <c r="J2602" s="188"/>
      <c r="K2602" s="188"/>
      <c r="L2602" s="188"/>
      <c r="M2602" s="194"/>
      <c r="N2602" s="190"/>
      <c r="O2602" s="190"/>
      <c r="P2602" s="178"/>
      <c r="Q2602" s="211"/>
      <c r="R2602" s="195"/>
      <c r="S2602" s="197"/>
      <c r="T2602" s="180"/>
      <c r="U2602" s="189" t="str">
        <f>IFERROR(IF(Tableau3[[#This Row],[Dettes]]=0,"",(Tableau3[[#This Row],[Dettes]]/Tableau3[[#This Row],[EBE]])),"")</f>
        <v/>
      </c>
      <c r="V2602" s="190" t="str">
        <f>IFERROR(Tableau3[[#This Row],[Fonds propres]]/Tableau3[[#This Row],[Total Bilan]],"")</f>
        <v/>
      </c>
      <c r="W2602" s="180"/>
      <c r="X2602" s="191"/>
      <c r="Y2602" s="180"/>
      <c r="Z2602" s="192" t="str">
        <f>IFERROR(Tableau3[[#This Row],[Chiffre d''affaires]]/Tableau3[[#This Row],[Salariés]],"")</f>
        <v/>
      </c>
      <c r="AA2602" s="197"/>
      <c r="AB2602" s="197"/>
      <c r="AC2602" s="177" t="s">
        <v>1840</v>
      </c>
      <c r="AD2602" s="188"/>
      <c r="AE2602" s="188"/>
      <c r="AF2602" s="188"/>
      <c r="AG2602" s="188"/>
      <c r="AH2602" s="188"/>
      <c r="AI2602" s="188"/>
      <c r="AJ2602" s="188"/>
      <c r="AK2602" s="188"/>
    </row>
    <row r="2603" spans="1:37" ht="20.25" customHeight="1">
      <c r="A2603" s="217"/>
      <c r="E2603" s="187"/>
      <c r="G2603" s="188"/>
      <c r="H2603" s="188"/>
      <c r="I2603" s="188"/>
      <c r="J2603" s="188"/>
      <c r="K2603" s="188"/>
      <c r="L2603" s="188"/>
      <c r="M2603" s="194"/>
      <c r="N2603" s="190"/>
      <c r="O2603" s="190"/>
      <c r="P2603" s="178"/>
      <c r="Q2603" s="211"/>
      <c r="R2603" s="195"/>
      <c r="S2603" s="197"/>
      <c r="T2603" s="180"/>
      <c r="U2603" s="189" t="str">
        <f>IFERROR(IF(Tableau3[[#This Row],[Dettes]]=0,"",(Tableau3[[#This Row],[Dettes]]/Tableau3[[#This Row],[EBE]])),"")</f>
        <v/>
      </c>
      <c r="V2603" s="190" t="str">
        <f>IFERROR(Tableau3[[#This Row],[Fonds propres]]/Tableau3[[#This Row],[Total Bilan]],"")</f>
        <v/>
      </c>
      <c r="W2603" s="180"/>
      <c r="X2603" s="191"/>
      <c r="Y2603" s="180"/>
      <c r="Z2603" s="192" t="str">
        <f>IFERROR(Tableau3[[#This Row],[Chiffre d''affaires]]/Tableau3[[#This Row],[Salariés]],"")</f>
        <v/>
      </c>
      <c r="AA2603" s="197"/>
      <c r="AB2603" s="197"/>
      <c r="AC2603" s="177" t="s">
        <v>1841</v>
      </c>
      <c r="AD2603" s="188"/>
      <c r="AE2603" s="188"/>
      <c r="AF2603" s="188"/>
      <c r="AG2603" s="188"/>
      <c r="AH2603" s="188"/>
      <c r="AI2603" s="188"/>
      <c r="AJ2603" s="188"/>
      <c r="AK2603" s="188"/>
    </row>
    <row r="2604" spans="1:37" ht="20.25" customHeight="1">
      <c r="A2604" s="217"/>
      <c r="E2604" s="187">
        <v>23.2</v>
      </c>
      <c r="F2604" s="178">
        <v>2023</v>
      </c>
      <c r="G2604" s="188"/>
      <c r="H2604" s="188"/>
      <c r="I2604" s="188"/>
      <c r="J2604" s="188"/>
      <c r="K2604" s="188"/>
      <c r="L2604" s="188"/>
      <c r="M2604" s="194"/>
      <c r="N2604" s="190"/>
      <c r="O2604" s="190"/>
      <c r="P2604" s="178"/>
      <c r="Q2604" s="211"/>
      <c r="R2604" s="195"/>
      <c r="S2604" s="197"/>
      <c r="T2604" s="180"/>
      <c r="U2604" s="189" t="str">
        <f>IFERROR(IF(Tableau3[[#This Row],[Dettes]]=0,"",(Tableau3[[#This Row],[Dettes]]/Tableau3[[#This Row],[EBE]])),"")</f>
        <v/>
      </c>
      <c r="V2604" s="190" t="str">
        <f>IFERROR(Tableau3[[#This Row],[Fonds propres]]/Tableau3[[#This Row],[Total Bilan]],"")</f>
        <v/>
      </c>
      <c r="W2604" s="180"/>
      <c r="X2604" s="191"/>
      <c r="Y2604" s="180"/>
      <c r="Z2604" s="192" t="str">
        <f>IFERROR(Tableau3[[#This Row],[Chiffre d''affaires]]/Tableau3[[#This Row],[Salariés]],"")</f>
        <v/>
      </c>
      <c r="AA2604" s="197"/>
      <c r="AB2604" s="197"/>
      <c r="AC2604" s="177" t="s">
        <v>1842</v>
      </c>
      <c r="AD2604" s="188"/>
      <c r="AE2604" s="188"/>
      <c r="AF2604" s="188"/>
      <c r="AG2604" s="188"/>
      <c r="AH2604" s="188"/>
      <c r="AI2604" s="188"/>
      <c r="AJ2604" s="188"/>
      <c r="AK2604" s="188"/>
    </row>
    <row r="2605" spans="1:37" ht="20.25" customHeight="1">
      <c r="A2605" s="217"/>
      <c r="E2605" s="187"/>
      <c r="G2605" s="188"/>
      <c r="H2605" s="188"/>
      <c r="I2605" s="188"/>
      <c r="J2605" s="188"/>
      <c r="K2605" s="188"/>
      <c r="L2605" s="188"/>
      <c r="M2605" s="194"/>
      <c r="N2605" s="190"/>
      <c r="O2605" s="190"/>
      <c r="P2605" s="178"/>
      <c r="Q2605" s="211"/>
      <c r="R2605" s="195"/>
      <c r="S2605" s="197"/>
      <c r="T2605" s="180"/>
      <c r="U2605" s="189" t="str">
        <f>IFERROR(IF(Tableau3[[#This Row],[Dettes]]=0,"",(Tableau3[[#This Row],[Dettes]]/Tableau3[[#This Row],[EBE]])),"")</f>
        <v/>
      </c>
      <c r="V2605" s="190" t="str">
        <f>IFERROR(Tableau3[[#This Row],[Fonds propres]]/Tableau3[[#This Row],[Total Bilan]],"")</f>
        <v/>
      </c>
      <c r="W2605" s="180"/>
      <c r="X2605" s="191"/>
      <c r="Y2605" s="180"/>
      <c r="Z2605" s="192" t="str">
        <f>IFERROR(Tableau3[[#This Row],[Chiffre d''affaires]]/Tableau3[[#This Row],[Salariés]],"")</f>
        <v/>
      </c>
      <c r="AA2605" s="197"/>
      <c r="AB2605" s="197"/>
      <c r="AC2605" s="177" t="s">
        <v>1843</v>
      </c>
      <c r="AD2605" s="188"/>
      <c r="AE2605" s="188"/>
      <c r="AF2605" s="188"/>
      <c r="AG2605" s="188"/>
      <c r="AH2605" s="188"/>
      <c r="AI2605" s="188"/>
      <c r="AJ2605" s="188"/>
      <c r="AK2605" s="188"/>
    </row>
    <row r="2606" spans="1:37" ht="20.25" customHeight="1">
      <c r="A2606" s="217"/>
      <c r="E2606" s="187">
        <v>24.8</v>
      </c>
      <c r="F2606" s="178">
        <v>2022</v>
      </c>
      <c r="G2606" s="188">
        <f>G2608*1.2</f>
        <v>2250000000</v>
      </c>
      <c r="H2606" s="188">
        <v>240000000</v>
      </c>
      <c r="I2606" s="188">
        <v>200000000</v>
      </c>
      <c r="J2606" s="188">
        <v>140000000</v>
      </c>
      <c r="K2606" s="188"/>
      <c r="L2606" s="188">
        <v>850000000</v>
      </c>
      <c r="M2606" s="194">
        <f>L2606/P2606</f>
        <v>21.427635635105919</v>
      </c>
      <c r="N2606" s="190">
        <f>J2606/L2606</f>
        <v>0.16470588235294117</v>
      </c>
      <c r="O2606" s="190">
        <f>(I2606*0.64)/(K2606+(M2606*P2606))</f>
        <v>0.15058823529411763</v>
      </c>
      <c r="P2606" s="211">
        <v>39668399</v>
      </c>
      <c r="Q2606" s="211">
        <f>P2606*E2606</f>
        <v>983776295.20000005</v>
      </c>
      <c r="R2606" s="195">
        <f>Q2606/L2606</f>
        <v>1.1573838767058824</v>
      </c>
      <c r="S2606" s="197">
        <f>(Q2606+K2606)/H2606</f>
        <v>4.0990678966666669</v>
      </c>
      <c r="T2606" s="180"/>
      <c r="U2606" s="189" t="str">
        <f>IFERROR(IF(Tableau3[[#This Row],[Dettes]]=0,"",(Tableau3[[#This Row],[Dettes]]/Tableau3[[#This Row],[EBE]])),"")</f>
        <v/>
      </c>
      <c r="V2606" s="190" t="str">
        <f>IFERROR(Tableau3[[#This Row],[Fonds propres]]/Tableau3[[#This Row],[Total Bilan]],"")</f>
        <v/>
      </c>
      <c r="W2606" s="180"/>
      <c r="X2606" s="191"/>
      <c r="Y2606" s="180">
        <v>4354</v>
      </c>
      <c r="Z2606" s="192">
        <f>IFERROR(Tableau3[[#This Row],[Chiffre d''affaires]]/Tableau3[[#This Row],[Salariés]],"")</f>
        <v>516766.19200734957</v>
      </c>
      <c r="AA2606" s="197"/>
      <c r="AB2606" s="197"/>
      <c r="AC2606" s="177" t="s">
        <v>1844</v>
      </c>
      <c r="AD2606" s="188"/>
      <c r="AE2606" s="188"/>
      <c r="AF2606" s="188"/>
      <c r="AG2606" s="188"/>
      <c r="AH2606" s="188"/>
      <c r="AI2606" s="188"/>
      <c r="AJ2606" s="188"/>
      <c r="AK2606" s="188"/>
    </row>
    <row r="2607" spans="1:37" ht="20.25" customHeight="1">
      <c r="A2607" s="217"/>
      <c r="E2607" s="187"/>
      <c r="G2607" s="202">
        <f>(G2606/G2608)-1</f>
        <v>0.19999999999999996</v>
      </c>
      <c r="H2607" s="203">
        <f>(H2606/H2608)-1</f>
        <v>9.0909090909090828E-2</v>
      </c>
      <c r="I2607" s="203">
        <f>(I2606/I2608)-1</f>
        <v>0.17647058823529416</v>
      </c>
      <c r="J2607" s="203">
        <f>(J2606/J2608)-1</f>
        <v>0.12000000000000011</v>
      </c>
      <c r="K2607" s="188"/>
      <c r="L2607" s="188"/>
      <c r="M2607" s="194"/>
      <c r="N2607" s="190"/>
      <c r="O2607" s="190"/>
      <c r="P2607" s="211"/>
      <c r="Q2607" s="211"/>
      <c r="R2607" s="195"/>
      <c r="S2607" s="197"/>
      <c r="T2607" s="180"/>
      <c r="U2607" s="189" t="str">
        <f>IFERROR(IF(Tableau3[[#This Row],[Dettes]]=0,"",(Tableau3[[#This Row],[Dettes]]/Tableau3[[#This Row],[EBE]])),"")</f>
        <v/>
      </c>
      <c r="V2607" s="190" t="str">
        <f>IFERROR(Tableau3[[#This Row],[Fonds propres]]/Tableau3[[#This Row],[Total Bilan]],"")</f>
        <v/>
      </c>
      <c r="W2607" s="180"/>
      <c r="X2607" s="191"/>
      <c r="Y2607" s="180"/>
      <c r="Z2607" s="192" t="str">
        <f>IFERROR(Tableau3[[#This Row],[Chiffre d''affaires]]/Tableau3[[#This Row],[Salariés]],"")</f>
        <v/>
      </c>
      <c r="AA2607" s="197"/>
      <c r="AB2607" s="197"/>
      <c r="AC2607" s="177" t="s">
        <v>1845</v>
      </c>
      <c r="AD2607" s="188"/>
      <c r="AE2607" s="188"/>
      <c r="AF2607" s="188"/>
      <c r="AG2607" s="188"/>
      <c r="AH2607" s="188"/>
      <c r="AI2607" s="188"/>
      <c r="AJ2607" s="188"/>
      <c r="AK2607" s="188"/>
    </row>
    <row r="2608" spans="1:37" ht="20.25" customHeight="1">
      <c r="A2608" s="217"/>
      <c r="E2608" s="187">
        <v>27.55</v>
      </c>
      <c r="F2608" s="178">
        <v>2021</v>
      </c>
      <c r="G2608" s="188">
        <v>1875000000</v>
      </c>
      <c r="H2608" s="188">
        <v>220000000</v>
      </c>
      <c r="I2608" s="188">
        <v>170000000</v>
      </c>
      <c r="J2608" s="188">
        <v>125000000</v>
      </c>
      <c r="K2608" s="188">
        <v>-15000000</v>
      </c>
      <c r="L2608" s="188">
        <v>750000000</v>
      </c>
      <c r="M2608" s="194">
        <f>L2608/P2608</f>
        <v>18.906737325093459</v>
      </c>
      <c r="N2608" s="190">
        <f>J2608/L2608</f>
        <v>0.16666666666666666</v>
      </c>
      <c r="O2608" s="190">
        <f>(I2608*0.64)/(K2608+(M2608*P2608))</f>
        <v>0.14802721088435375</v>
      </c>
      <c r="P2608" s="211">
        <v>39668399</v>
      </c>
      <c r="Q2608" s="211">
        <f>P2608*E2608</f>
        <v>1092864392.45</v>
      </c>
      <c r="R2608" s="195">
        <f>Q2608/L2608</f>
        <v>1.4571525232666667</v>
      </c>
      <c r="S2608" s="197">
        <f>(Q2608+K2608)/H2608</f>
        <v>4.8993836020454546</v>
      </c>
      <c r="T2608" s="180"/>
      <c r="U2608" s="189">
        <f>IFERROR(IF(Tableau3[[#This Row],[Dettes]]=0,"",(Tableau3[[#This Row],[Dettes]]/Tableau3[[#This Row],[EBE]])),"")</f>
        <v>-6.8181818181818177E-2</v>
      </c>
      <c r="V2608" s="190" t="str">
        <f>IFERROR(Tableau3[[#This Row],[Fonds propres]]/Tableau3[[#This Row],[Total Bilan]],"")</f>
        <v/>
      </c>
      <c r="W2608" s="180"/>
      <c r="X2608" s="191"/>
      <c r="Y2608" s="180">
        <v>4354</v>
      </c>
      <c r="Z2608" s="192">
        <f>IFERROR(Tableau3[[#This Row],[Chiffre d''affaires]]/Tableau3[[#This Row],[Salariés]],"")</f>
        <v>430638.49333945796</v>
      </c>
      <c r="AA2608" s="197"/>
      <c r="AB2608" s="197"/>
      <c r="AC2608" s="177" t="s">
        <v>1846</v>
      </c>
      <c r="AD2608" s="188"/>
      <c r="AE2608" s="188"/>
      <c r="AF2608" s="188"/>
      <c r="AG2608" s="188"/>
      <c r="AH2608" s="188"/>
      <c r="AI2608" s="188"/>
      <c r="AJ2608" s="188"/>
      <c r="AK2608" s="188"/>
    </row>
    <row r="2609" spans="1:37" ht="20.25" customHeight="1">
      <c r="A2609" s="217"/>
      <c r="E2609" s="187"/>
      <c r="G2609" s="202">
        <f>(G2608/G2610)-1</f>
        <v>0.18512993764636354</v>
      </c>
      <c r="H2609" s="203">
        <f>(H2608/H2610)-1</f>
        <v>0.82876142975893607</v>
      </c>
      <c r="I2609" s="203">
        <f>(I2608/I2610)-1</f>
        <v>1.2733047164386675</v>
      </c>
      <c r="J2609" s="203">
        <f>(J2608/J2610)-1</f>
        <v>2.1579213298638305</v>
      </c>
      <c r="K2609" s="188"/>
      <c r="L2609" s="188"/>
      <c r="M2609" s="194"/>
      <c r="N2609" s="190"/>
      <c r="O2609" s="190"/>
      <c r="P2609" s="211"/>
      <c r="Q2609" s="211"/>
      <c r="R2609" s="195"/>
      <c r="S2609" s="197"/>
      <c r="T2609" s="180"/>
      <c r="U2609" s="189" t="str">
        <f>IFERROR(IF(Tableau3[[#This Row],[Dettes]]=0,"",(Tableau3[[#This Row],[Dettes]]/Tableau3[[#This Row],[EBE]])),"")</f>
        <v/>
      </c>
      <c r="V2609" s="190" t="str">
        <f>IFERROR(Tableau3[[#This Row],[Fonds propres]]/Tableau3[[#This Row],[Total Bilan]],"")</f>
        <v/>
      </c>
      <c r="W2609" s="180"/>
      <c r="X2609" s="191"/>
      <c r="Y2609" s="180"/>
      <c r="Z2609" s="192" t="str">
        <f>IFERROR(Tableau3[[#This Row],[Chiffre d''affaires]]/Tableau3[[#This Row],[Salariés]],"")</f>
        <v/>
      </c>
      <c r="AA2609" s="197"/>
      <c r="AB2609" s="197"/>
      <c r="AC2609" s="177" t="s">
        <v>1847</v>
      </c>
      <c r="AD2609" s="188"/>
      <c r="AE2609" s="188"/>
      <c r="AF2609" s="188"/>
      <c r="AG2609" s="188"/>
      <c r="AH2609" s="188"/>
      <c r="AI2609" s="188"/>
      <c r="AJ2609" s="188"/>
      <c r="AK2609" s="188"/>
    </row>
    <row r="2610" spans="1:37" ht="20.25" customHeight="1">
      <c r="A2610" s="217"/>
      <c r="E2610" s="187">
        <v>23.9</v>
      </c>
      <c r="F2610" s="178">
        <v>2020</v>
      </c>
      <c r="G2610" s="188">
        <v>1582105000</v>
      </c>
      <c r="H2610" s="188">
        <v>120300000</v>
      </c>
      <c r="I2610" s="188">
        <v>74781000</v>
      </c>
      <c r="J2610" s="188">
        <v>39583000</v>
      </c>
      <c r="K2610" s="188">
        <v>39876000</v>
      </c>
      <c r="L2610" s="188">
        <v>659009000</v>
      </c>
      <c r="M2610" s="194">
        <f>L2610/P2610</f>
        <v>16.612946743830019</v>
      </c>
      <c r="N2610" s="190">
        <f>J2610/L2610</f>
        <v>6.0064430076068764E-2</v>
      </c>
      <c r="O2610" s="190">
        <f>(I2610*0.64)/(K2610+(M2610*P2610))</f>
        <v>6.8480279302031086E-2</v>
      </c>
      <c r="P2610" s="211">
        <v>39668399</v>
      </c>
      <c r="Q2610" s="211">
        <f>P2610*E2610</f>
        <v>948074736.0999999</v>
      </c>
      <c r="R2610" s="195">
        <f>Q2610/L2610</f>
        <v>1.4386370081440465</v>
      </c>
      <c r="S2610" s="197">
        <f>(Q2610+K2610)/H2610</f>
        <v>8.2123918212801321</v>
      </c>
      <c r="T2610" s="180"/>
      <c r="U2610" s="189">
        <f>IFERROR(IF(Tableau3[[#This Row],[Dettes]]=0,"",(Tableau3[[#This Row],[Dettes]]/Tableau3[[#This Row],[EBE]])),"")</f>
        <v>0.3314713216957606</v>
      </c>
      <c r="V2610" s="190" t="str">
        <f>IFERROR(Tableau3[[#This Row],[Fonds propres]]/Tableau3[[#This Row],[Total Bilan]],"")</f>
        <v/>
      </c>
      <c r="W2610" s="180"/>
      <c r="X2610" s="191"/>
      <c r="Y2610" s="180">
        <v>4354</v>
      </c>
      <c r="Z2610" s="192">
        <f>IFERROR(Tableau3[[#This Row],[Chiffre d''affaires]]/Tableau3[[#This Row],[Salariés]],"")</f>
        <v>363368.16720257234</v>
      </c>
      <c r="AA2610" s="197"/>
      <c r="AB2610" s="197"/>
      <c r="AC2610" s="177" t="s">
        <v>1848</v>
      </c>
      <c r="AD2610" s="188"/>
      <c r="AE2610" s="188"/>
      <c r="AF2610" s="188"/>
      <c r="AG2610" s="188"/>
      <c r="AH2610" s="188"/>
      <c r="AI2610" s="188"/>
      <c r="AJ2610" s="188"/>
      <c r="AK2610" s="188"/>
    </row>
    <row r="2611" spans="1:37" ht="20.25" customHeight="1">
      <c r="A2611" s="217"/>
      <c r="E2611" s="187"/>
      <c r="G2611" s="202">
        <f>(G2610/G2612)-1</f>
        <v>-0.24430532051125897</v>
      </c>
      <c r="H2611" s="203">
        <f>(H2610/H2612)-1</f>
        <v>-0.35153841178119405</v>
      </c>
      <c r="I2611" s="203">
        <f>(I2610/I2612)-1</f>
        <v>-0.48806084587263987</v>
      </c>
      <c r="J2611" s="203">
        <f>(J2610/J2612)-1</f>
        <v>-0.58606013071895424</v>
      </c>
      <c r="K2611" s="188"/>
      <c r="L2611" s="188"/>
      <c r="M2611" s="194"/>
      <c r="N2611" s="190"/>
      <c r="O2611" s="190"/>
      <c r="P2611" s="211"/>
      <c r="Q2611" s="211"/>
      <c r="R2611" s="195"/>
      <c r="S2611" s="197"/>
      <c r="T2611" s="180"/>
      <c r="U2611" s="189" t="str">
        <f>IFERROR(IF(Tableau3[[#This Row],[Dettes]]=0,"",(Tableau3[[#This Row],[Dettes]]/Tableau3[[#This Row],[EBE]])),"")</f>
        <v/>
      </c>
      <c r="V2611" s="190" t="str">
        <f>IFERROR(Tableau3[[#This Row],[Fonds propres]]/Tableau3[[#This Row],[Total Bilan]],"")</f>
        <v/>
      </c>
      <c r="W2611" s="180"/>
      <c r="X2611" s="191"/>
      <c r="Y2611" s="180"/>
      <c r="Z2611" s="192" t="str">
        <f>IFERROR(Tableau3[[#This Row],[Chiffre d''affaires]]/Tableau3[[#This Row],[Salariés]],"")</f>
        <v/>
      </c>
      <c r="AA2611" s="197"/>
      <c r="AB2611" s="197"/>
      <c r="AC2611" s="177" t="s">
        <v>1849</v>
      </c>
      <c r="AD2611" s="188"/>
      <c r="AE2611" s="188"/>
      <c r="AF2611" s="188"/>
      <c r="AG2611" s="188"/>
      <c r="AH2611" s="188"/>
      <c r="AI2611" s="188"/>
      <c r="AJ2611" s="188"/>
      <c r="AK2611" s="188"/>
    </row>
    <row r="2612" spans="1:37" ht="20.25" customHeight="1">
      <c r="A2612" s="217"/>
      <c r="E2612" s="187">
        <v>21.45</v>
      </c>
      <c r="F2612" s="178">
        <v>2019</v>
      </c>
      <c r="G2612" s="188">
        <v>2093577000</v>
      </c>
      <c r="H2612" s="188">
        <v>185516000</v>
      </c>
      <c r="I2612" s="188">
        <v>146074000</v>
      </c>
      <c r="J2612" s="188">
        <v>95625000</v>
      </c>
      <c r="K2612" s="188">
        <v>190181000</v>
      </c>
      <c r="L2612" s="188">
        <v>664646000</v>
      </c>
      <c r="M2612" s="194">
        <f>L2612/P2612</f>
        <v>16.755049781565422</v>
      </c>
      <c r="N2612" s="190">
        <f>J2612/L2612</f>
        <v>0.14387358082347596</v>
      </c>
      <c r="O2612" s="190">
        <f>(I2612*0.64)/(K2612+(M2612*P2612))</f>
        <v>0.10936407015688554</v>
      </c>
      <c r="P2612" s="211">
        <v>39668399</v>
      </c>
      <c r="Q2612" s="211">
        <f>P2612*E2612</f>
        <v>850887158.54999995</v>
      </c>
      <c r="R2612" s="195">
        <f>Q2612/L2612</f>
        <v>1.2802110575404049</v>
      </c>
      <c r="S2612" s="197">
        <f>(Q2612+K2612)/H2612</f>
        <v>5.6117432380495478</v>
      </c>
      <c r="T2612" s="180"/>
      <c r="U2612" s="189">
        <f>IFERROR(IF(Tableau3[[#This Row],[Dettes]]=0,"",(Tableau3[[#This Row],[Dettes]]/Tableau3[[#This Row],[EBE]])),"")</f>
        <v>1.0251460790443951</v>
      </c>
      <c r="V2612" s="190" t="str">
        <f>IFERROR(Tableau3[[#This Row],[Fonds propres]]/Tableau3[[#This Row],[Total Bilan]],"")</f>
        <v/>
      </c>
      <c r="W2612" s="180"/>
      <c r="X2612" s="191"/>
      <c r="Y2612" s="180">
        <v>4600</v>
      </c>
      <c r="Z2612" s="192">
        <f>IFERROR(Tableau3[[#This Row],[Chiffre d''affaires]]/Tableau3[[#This Row],[Salariés]],"")</f>
        <v>455125.4347826087</v>
      </c>
      <c r="AA2612" s="197"/>
      <c r="AB2612" s="197"/>
      <c r="AC2612" s="177" t="s">
        <v>1850</v>
      </c>
    </row>
    <row r="2613" spans="1:37" ht="20.25" customHeight="1">
      <c r="A2613" s="217"/>
      <c r="E2613" s="187"/>
      <c r="G2613" s="202">
        <f>(G2612/G2614)-1</f>
        <v>0.11124044585987258</v>
      </c>
      <c r="H2613" s="203">
        <f>(H2612/H2614)-1</f>
        <v>0.1453867430603577</v>
      </c>
      <c r="I2613" s="203">
        <f>(I2612/I2614)-1</f>
        <v>0.1593174603174603</v>
      </c>
      <c r="J2613" s="203">
        <f>(J2612/J2614)-1</f>
        <v>0.13839285714285721</v>
      </c>
      <c r="K2613" s="188"/>
      <c r="L2613" s="188"/>
      <c r="M2613" s="194"/>
      <c r="N2613" s="190"/>
      <c r="O2613" s="190"/>
      <c r="P2613" s="211"/>
      <c r="Q2613" s="211"/>
      <c r="R2613" s="195"/>
      <c r="S2613" s="197"/>
      <c r="T2613" s="180"/>
      <c r="U2613" s="189" t="str">
        <f>IFERROR(IF(Tableau3[[#This Row],[Dettes]]=0,"",(Tableau3[[#This Row],[Dettes]]/Tableau3[[#This Row],[EBE]])),"")</f>
        <v/>
      </c>
      <c r="V2613" s="190" t="str">
        <f>IFERROR(Tableau3[[#This Row],[Fonds propres]]/Tableau3[[#This Row],[Total Bilan]],"")</f>
        <v/>
      </c>
      <c r="W2613" s="180"/>
      <c r="X2613" s="191"/>
      <c r="Y2613" s="180"/>
      <c r="Z2613" s="192" t="str">
        <f>IFERROR(Tableau3[[#This Row],[Chiffre d''affaires]]/Tableau3[[#This Row],[Salariés]],"")</f>
        <v/>
      </c>
      <c r="AA2613" s="197"/>
      <c r="AB2613" s="197"/>
      <c r="AC2613" s="177" t="s">
        <v>1851</v>
      </c>
    </row>
    <row r="2614" spans="1:37" ht="20.25" customHeight="1">
      <c r="A2614" s="217"/>
      <c r="E2614" s="187">
        <v>22.4</v>
      </c>
      <c r="F2614" s="178">
        <v>2018</v>
      </c>
      <c r="G2614" s="188">
        <v>1884000000</v>
      </c>
      <c r="H2614" s="188">
        <v>161968000</v>
      </c>
      <c r="I2614" s="188">
        <v>126000000</v>
      </c>
      <c r="J2614" s="188">
        <v>84000000</v>
      </c>
      <c r="K2614" s="188">
        <v>148000000</v>
      </c>
      <c r="L2614" s="188">
        <v>592000000</v>
      </c>
      <c r="M2614" s="194">
        <f>L2614/P2614</f>
        <v>14.923717995273769</v>
      </c>
      <c r="N2614" s="190">
        <f>J2614/L2614</f>
        <v>0.14189189189189189</v>
      </c>
      <c r="O2614" s="190">
        <f>(I2614*0.64)/(K2614+(M2614*P2614))</f>
        <v>0.10897297297297297</v>
      </c>
      <c r="P2614" s="211">
        <v>39668399</v>
      </c>
      <c r="Q2614" s="211">
        <f>P2614*E2614</f>
        <v>888572137.5999999</v>
      </c>
      <c r="R2614" s="195">
        <f>Q2614/L2614</f>
        <v>1.5009664486486485</v>
      </c>
      <c r="S2614" s="197">
        <f>(Q2614+K2614)/H2614</f>
        <v>6.3998576113800247</v>
      </c>
      <c r="T2614" s="180"/>
      <c r="U2614" s="189">
        <f>IFERROR(IF(Tableau3[[#This Row],[Dettes]]=0,"",(Tableau3[[#This Row],[Dettes]]/Tableau3[[#This Row],[EBE]])),"")</f>
        <v>0.91376074286278774</v>
      </c>
      <c r="V2614" s="190" t="str">
        <f>IFERROR(Tableau3[[#This Row],[Fonds propres]]/Tableau3[[#This Row],[Total Bilan]],"")</f>
        <v/>
      </c>
      <c r="W2614" s="180"/>
      <c r="X2614" s="191"/>
      <c r="Y2614" s="180">
        <v>4425</v>
      </c>
      <c r="Z2614" s="192">
        <f>IFERROR(Tableau3[[#This Row],[Chiffre d''affaires]]/Tableau3[[#This Row],[Salariés]],"")</f>
        <v>425762.71186440677</v>
      </c>
      <c r="AA2614" s="197"/>
      <c r="AB2614" s="197"/>
      <c r="AC2614" s="177" t="s">
        <v>1852</v>
      </c>
    </row>
    <row r="2615" spans="1:37" ht="20.25" customHeight="1">
      <c r="A2615" s="217"/>
      <c r="E2615" s="187"/>
      <c r="G2615" s="202">
        <f>(G2614/G2616)-1</f>
        <v>0.18416090509113769</v>
      </c>
      <c r="H2615" s="203">
        <f>(H2614/H2616)-1</f>
        <v>0.31284246020166639</v>
      </c>
      <c r="I2615" s="203">
        <f>(I2614/I2616)-1</f>
        <v>0.39999999999999991</v>
      </c>
      <c r="J2615" s="203">
        <f>(J2614/J2616)-1</f>
        <v>0.39999999999999991</v>
      </c>
      <c r="K2615" s="188"/>
      <c r="L2615" s="188"/>
      <c r="M2615" s="194"/>
      <c r="N2615" s="190"/>
      <c r="O2615" s="190"/>
      <c r="P2615" s="211"/>
      <c r="Q2615" s="211"/>
      <c r="R2615" s="195"/>
      <c r="S2615" s="197"/>
      <c r="T2615" s="180"/>
      <c r="U2615" s="189" t="str">
        <f>IFERROR(IF(Tableau3[[#This Row],[Dettes]]=0,"",(Tableau3[[#This Row],[Dettes]]/Tableau3[[#This Row],[EBE]])),"")</f>
        <v/>
      </c>
      <c r="V2615" s="190" t="str">
        <f>IFERROR(Tableau3[[#This Row],[Fonds propres]]/Tableau3[[#This Row],[Total Bilan]],"")</f>
        <v/>
      </c>
      <c r="W2615" s="180"/>
      <c r="X2615" s="191"/>
      <c r="Y2615" s="180"/>
      <c r="Z2615" s="192" t="str">
        <f>IFERROR(Tableau3[[#This Row],[Chiffre d''affaires]]/Tableau3[[#This Row],[Salariés]],"")</f>
        <v/>
      </c>
      <c r="AA2615" s="197"/>
      <c r="AB2615" s="197"/>
      <c r="AC2615" s="177" t="s">
        <v>1853</v>
      </c>
    </row>
    <row r="2616" spans="1:37" ht="20.25" customHeight="1">
      <c r="A2616" s="217"/>
      <c r="E2616" s="187">
        <v>30.5</v>
      </c>
      <c r="F2616" s="178">
        <v>2017</v>
      </c>
      <c r="G2616" s="188">
        <v>1591000000</v>
      </c>
      <c r="H2616" s="188">
        <v>123372000</v>
      </c>
      <c r="I2616" s="188">
        <v>90000000</v>
      </c>
      <c r="J2616" s="188">
        <v>60000000</v>
      </c>
      <c r="K2616" s="188">
        <v>76000000</v>
      </c>
      <c r="L2616" s="188">
        <v>531000000</v>
      </c>
      <c r="M2616" s="194">
        <f>L2616/P2616</f>
        <v>13.401781523299489</v>
      </c>
      <c r="N2616" s="190">
        <f>J2616/L2616</f>
        <v>0.11299435028248588</v>
      </c>
      <c r="O2616" s="190">
        <f>(I2616*0.64)/(K2616+(M2616*P2616))</f>
        <v>9.4892915980230641E-2</v>
      </c>
      <c r="P2616" s="211">
        <v>39621598</v>
      </c>
      <c r="Q2616" s="211">
        <f>P2616*E2616</f>
        <v>1208458739</v>
      </c>
      <c r="R2616" s="195">
        <f>Q2616/L2616</f>
        <v>2.275816834274953</v>
      </c>
      <c r="S2616" s="197">
        <f>(Q2616+K2616)/H2616</f>
        <v>10.411266243556074</v>
      </c>
      <c r="T2616" s="180"/>
      <c r="U2616" s="189">
        <f>IFERROR(IF(Tableau3[[#This Row],[Dettes]]=0,"",(Tableau3[[#This Row],[Dettes]]/Tableau3[[#This Row],[EBE]])),"")</f>
        <v>0.6160230846545407</v>
      </c>
      <c r="V2616" s="190" t="str">
        <f>IFERROR(Tableau3[[#This Row],[Fonds propres]]/Tableau3[[#This Row],[Total Bilan]],"")</f>
        <v/>
      </c>
      <c r="W2616" s="180"/>
      <c r="X2616" s="191"/>
      <c r="Y2616" s="180">
        <v>3900</v>
      </c>
      <c r="Z2616" s="192">
        <f>IFERROR(Tableau3[[#This Row],[Chiffre d''affaires]]/Tableau3[[#This Row],[Salariés]],"")</f>
        <v>407948.71794871794</v>
      </c>
      <c r="AA2616" s="197"/>
      <c r="AB2616" s="197"/>
      <c r="AC2616" s="177" t="s">
        <v>1854</v>
      </c>
    </row>
    <row r="2617" spans="1:37" ht="20.25" customHeight="1">
      <c r="A2617" s="217"/>
      <c r="E2617" s="187"/>
      <c r="G2617" s="202">
        <f>(G2616/G2618)-1</f>
        <v>0.19444444444444442</v>
      </c>
      <c r="H2617" s="203" t="s">
        <v>4606</v>
      </c>
      <c r="I2617" s="203">
        <f>(I2616/I2618)-1</f>
        <v>0.28571428571428581</v>
      </c>
      <c r="J2617" s="203">
        <f>(J2616/J2618)-1</f>
        <v>0.39534883720930236</v>
      </c>
      <c r="K2617" s="188"/>
      <c r="L2617" s="188"/>
      <c r="M2617" s="194"/>
      <c r="N2617" s="190"/>
      <c r="O2617" s="190"/>
      <c r="P2617" s="211"/>
      <c r="Q2617" s="211"/>
      <c r="R2617" s="195"/>
      <c r="S2617" s="197"/>
      <c r="T2617" s="180"/>
      <c r="U2617" s="189" t="str">
        <f>IFERROR(IF(Tableau3[[#This Row],[Dettes]]=0,"",(Tableau3[[#This Row],[Dettes]]/Tableau3[[#This Row],[EBE]])),"")</f>
        <v/>
      </c>
      <c r="V2617" s="190" t="str">
        <f>IFERROR(Tableau3[[#This Row],[Fonds propres]]/Tableau3[[#This Row],[Total Bilan]],"")</f>
        <v/>
      </c>
      <c r="W2617" s="180"/>
      <c r="X2617" s="191"/>
      <c r="Y2617" s="180"/>
      <c r="Z2617" s="192" t="str">
        <f>IFERROR(Tableau3[[#This Row],[Chiffre d''affaires]]/Tableau3[[#This Row],[Salariés]],"")</f>
        <v/>
      </c>
      <c r="AA2617" s="197"/>
      <c r="AB2617" s="197"/>
      <c r="AC2617" s="177" t="s">
        <v>1855</v>
      </c>
    </row>
    <row r="2618" spans="1:37" ht="20.25" customHeight="1">
      <c r="A2618" s="217"/>
      <c r="E2618" s="187">
        <v>18.7</v>
      </c>
      <c r="F2618" s="178">
        <v>2016</v>
      </c>
      <c r="G2618" s="188">
        <v>1332000000</v>
      </c>
      <c r="H2618" s="188">
        <v>99489000</v>
      </c>
      <c r="I2618" s="188">
        <v>70000000</v>
      </c>
      <c r="J2618" s="188">
        <v>43000000</v>
      </c>
      <c r="K2618" s="188">
        <v>59000000</v>
      </c>
      <c r="L2618" s="188">
        <v>512000000</v>
      </c>
      <c r="M2618" s="194">
        <f>L2618/P2618</f>
        <v>12.943200659880773</v>
      </c>
      <c r="N2618" s="190">
        <f>J2618/L2618</f>
        <v>8.3984375E-2</v>
      </c>
      <c r="O2618" s="190">
        <f>(I2618*0.64)/(K2618+(M2618*P2618))</f>
        <v>7.8458844133099823E-2</v>
      </c>
      <c r="P2618" s="211">
        <v>39557449</v>
      </c>
      <c r="Q2618" s="211">
        <f>P2618*E2618</f>
        <v>739724296.29999995</v>
      </c>
      <c r="R2618" s="195">
        <f>Q2618/L2618</f>
        <v>1.4447740162109375</v>
      </c>
      <c r="S2618" s="197">
        <f>(Q2618+K2618)/H2618</f>
        <v>8.0282674094623516</v>
      </c>
      <c r="T2618" s="180"/>
      <c r="U2618" s="189">
        <f>IFERROR(IF(Tableau3[[#This Row],[Dettes]]=0,"",(Tableau3[[#This Row],[Dettes]]/Tableau3[[#This Row],[EBE]])),"")</f>
        <v>0.5930303852687232</v>
      </c>
      <c r="V2618" s="190" t="str">
        <f>IFERROR(Tableau3[[#This Row],[Fonds propres]]/Tableau3[[#This Row],[Total Bilan]],"")</f>
        <v/>
      </c>
      <c r="W2618" s="180"/>
      <c r="X2618" s="191"/>
      <c r="Y2618" s="180">
        <v>3301</v>
      </c>
      <c r="Z2618" s="192">
        <f>IFERROR(Tableau3[[#This Row],[Chiffre d''affaires]]/Tableau3[[#This Row],[Salariés]],"")</f>
        <v>403514.08664041199</v>
      </c>
      <c r="AA2618" s="197"/>
      <c r="AB2618" s="197"/>
    </row>
    <row r="2619" spans="1:37" ht="20.25" customHeight="1">
      <c r="A2619" s="217"/>
      <c r="E2619" s="187"/>
      <c r="G2619" s="202">
        <f>(G2618/G2620)-1</f>
        <v>3.4965034965035002E-2</v>
      </c>
      <c r="H2619" s="203">
        <f>(H2618/H2620)-1</f>
        <v>0.10202928731252348</v>
      </c>
      <c r="I2619" s="203">
        <f>(I2618/I2620)-1</f>
        <v>0.22807017543859653</v>
      </c>
      <c r="J2619" s="203">
        <f>(J2618/J2620)-1</f>
        <v>0.33135178648832753</v>
      </c>
      <c r="K2619" s="188"/>
      <c r="L2619" s="188"/>
      <c r="M2619" s="194"/>
      <c r="N2619" s="190"/>
      <c r="O2619" s="190"/>
      <c r="P2619" s="211"/>
      <c r="Q2619" s="211"/>
      <c r="R2619" s="195"/>
      <c r="S2619" s="197"/>
      <c r="T2619" s="180"/>
      <c r="U2619" s="189" t="str">
        <f>IFERROR(IF(Tableau3[[#This Row],[Dettes]]=0,"",(Tableau3[[#This Row],[Dettes]]/Tableau3[[#This Row],[EBE]])),"")</f>
        <v/>
      </c>
      <c r="V2619" s="190" t="str">
        <f>IFERROR(Tableau3[[#This Row],[Fonds propres]]/Tableau3[[#This Row],[Total Bilan]],"")</f>
        <v/>
      </c>
      <c r="W2619" s="180"/>
      <c r="X2619" s="191"/>
      <c r="Y2619" s="180"/>
      <c r="Z2619" s="192" t="str">
        <f>IFERROR(Tableau3[[#This Row],[Chiffre d''affaires]]/Tableau3[[#This Row],[Salariés]],"")</f>
        <v/>
      </c>
      <c r="AA2619" s="197"/>
      <c r="AB2619" s="197"/>
    </row>
    <row r="2620" spans="1:37" ht="20.25" customHeight="1">
      <c r="A2620" s="217"/>
      <c r="E2620" s="187">
        <v>14.04</v>
      </c>
      <c r="F2620" s="178">
        <v>2015</v>
      </c>
      <c r="G2620" s="188">
        <v>1287000000</v>
      </c>
      <c r="H2620" s="188">
        <v>90278000</v>
      </c>
      <c r="I2620" s="188">
        <v>57000000</v>
      </c>
      <c r="J2620" s="188">
        <v>32298000</v>
      </c>
      <c r="K2620" s="188">
        <v>66000000</v>
      </c>
      <c r="L2620" s="188">
        <v>494883000</v>
      </c>
      <c r="M2620" s="194">
        <f>L2620/P2620</f>
        <v>12.512227905633678</v>
      </c>
      <c r="N2620" s="190">
        <f>J2620/L2620</f>
        <v>6.5263910863779917E-2</v>
      </c>
      <c r="O2620" s="190">
        <f>(I2620*0.64)/(K2620+(M2620*P2620))</f>
        <v>6.5040302522986079E-2</v>
      </c>
      <c r="P2620" s="211">
        <v>39551949</v>
      </c>
      <c r="Q2620" s="211">
        <f>P2620*E2620</f>
        <v>555309363.95999992</v>
      </c>
      <c r="R2620" s="195">
        <f>Q2620/L2620</f>
        <v>1.1221023230945495</v>
      </c>
      <c r="S2620" s="197">
        <f>(Q2620+K2620)/H2620</f>
        <v>6.8821790908083909</v>
      </c>
      <c r="T2620" s="180"/>
      <c r="U2620" s="189">
        <f>IFERROR(IF(Tableau3[[#This Row],[Dettes]]=0,"",(Tableau3[[#This Row],[Dettes]]/Tableau3[[#This Row],[EBE]])),"")</f>
        <v>0.73107512350738824</v>
      </c>
      <c r="V2620" s="190" t="str">
        <f>IFERROR(Tableau3[[#This Row],[Fonds propres]]/Tableau3[[#This Row],[Total Bilan]],"")</f>
        <v/>
      </c>
      <c r="W2620" s="180"/>
      <c r="X2620" s="191"/>
      <c r="Y2620" s="180">
        <v>3214</v>
      </c>
      <c r="Z2620" s="192">
        <f>IFERROR(Tableau3[[#This Row],[Chiffre d''affaires]]/Tableau3[[#This Row],[Salariés]],"")</f>
        <v>400435.59427504666</v>
      </c>
      <c r="AA2620" s="197"/>
      <c r="AB2620" s="197"/>
    </row>
    <row r="2621" spans="1:37" ht="20.25" customHeight="1">
      <c r="A2621" s="217"/>
      <c r="E2621" s="187"/>
      <c r="G2621" s="202">
        <f>(G2620/G2622)-1</f>
        <v>3.2905296950240803E-2</v>
      </c>
      <c r="H2621" s="203">
        <f>(H2620/H2622)-1</f>
        <v>0.16068398045770116</v>
      </c>
      <c r="I2621" s="203">
        <f>(I2620/I2622)-1</f>
        <v>0.23913043478260865</v>
      </c>
      <c r="J2621" s="203">
        <f>(J2620/J2622)-1</f>
        <v>6.2434210526315814E-2</v>
      </c>
      <c r="K2621" s="188"/>
      <c r="L2621" s="188"/>
      <c r="M2621" s="194"/>
      <c r="N2621" s="190"/>
      <c r="O2621" s="190"/>
      <c r="P2621" s="211"/>
      <c r="Q2621" s="211"/>
      <c r="R2621" s="195"/>
      <c r="S2621" s="197"/>
      <c r="T2621" s="180"/>
      <c r="U2621" s="189" t="str">
        <f>IFERROR(IF(Tableau3[[#This Row],[Dettes]]=0,"",(Tableau3[[#This Row],[Dettes]]/Tableau3[[#This Row],[EBE]])),"")</f>
        <v/>
      </c>
      <c r="V2621" s="190" t="str">
        <f>IFERROR(Tableau3[[#This Row],[Fonds propres]]/Tableau3[[#This Row],[Total Bilan]],"")</f>
        <v/>
      </c>
      <c r="W2621" s="180"/>
      <c r="X2621" s="191"/>
      <c r="Y2621" s="180"/>
      <c r="Z2621" s="192" t="str">
        <f>IFERROR(Tableau3[[#This Row],[Chiffre d''affaires]]/Tableau3[[#This Row],[Salariés]],"")</f>
        <v/>
      </c>
      <c r="AA2621" s="197"/>
      <c r="AB2621" s="197"/>
    </row>
    <row r="2622" spans="1:37" ht="20.25" customHeight="1">
      <c r="A2622" s="217"/>
      <c r="E2622" s="187">
        <v>12.2</v>
      </c>
      <c r="F2622" s="178">
        <v>2014</v>
      </c>
      <c r="G2622" s="188">
        <v>1246000000</v>
      </c>
      <c r="H2622" s="188">
        <v>77780000</v>
      </c>
      <c r="I2622" s="188">
        <v>46000000</v>
      </c>
      <c r="J2622" s="188">
        <v>30400000</v>
      </c>
      <c r="K2622" s="188">
        <v>97000000</v>
      </c>
      <c r="L2622" s="188">
        <v>456365000</v>
      </c>
      <c r="M2622" s="194">
        <f>L2622/P2622</f>
        <v>11.539244696489911</v>
      </c>
      <c r="N2622" s="190">
        <f>J2622/L2622</f>
        <v>6.6613346772868204E-2</v>
      </c>
      <c r="O2622" s="190">
        <f>(I2622*0.64)/(K2622+(M2622*P2622))</f>
        <v>5.3201774597236906E-2</v>
      </c>
      <c r="P2622" s="211">
        <v>39548949</v>
      </c>
      <c r="Q2622" s="211">
        <f>P2622*E2622</f>
        <v>482497177.79999995</v>
      </c>
      <c r="R2622" s="195">
        <f>Q2622/L2622</f>
        <v>1.0572615730829489</v>
      </c>
      <c r="S2622" s="197">
        <f>(Q2622+K2622)/H2622</f>
        <v>7.4504651298534323</v>
      </c>
      <c r="T2622" s="180"/>
      <c r="U2622" s="189">
        <f>IFERROR(IF(Tableau3[[#This Row],[Dettes]]=0,"",(Tableau3[[#This Row],[Dettes]]/Tableau3[[#This Row],[EBE]])),"")</f>
        <v>1.2471072255078426</v>
      </c>
      <c r="V2622" s="190" t="str">
        <f>IFERROR(Tableau3[[#This Row],[Fonds propres]]/Tableau3[[#This Row],[Total Bilan]],"")</f>
        <v/>
      </c>
      <c r="W2622" s="180"/>
      <c r="X2622" s="191"/>
      <c r="Y2622" s="180">
        <v>3307</v>
      </c>
      <c r="Z2622" s="192">
        <f>IFERROR(Tableau3[[#This Row],[Chiffre d''affaires]]/Tableau3[[#This Row],[Salariés]],"")</f>
        <v>376776.53462352586</v>
      </c>
      <c r="AA2622" s="197"/>
      <c r="AB2622" s="197"/>
    </row>
    <row r="2623" spans="1:37" ht="20.25" customHeight="1">
      <c r="A2623" s="217"/>
      <c r="E2623" s="187"/>
      <c r="G2623" s="202">
        <f>(G2622/G2624)-1</f>
        <v>5.9523809523809534E-2</v>
      </c>
      <c r="H2623" s="203">
        <f>(H2622/H2624)-1</f>
        <v>0.62522462284257596</v>
      </c>
      <c r="I2623" s="203">
        <f>(I2622/I2624)-1</f>
        <v>1.875</v>
      </c>
      <c r="J2623" s="203">
        <f>(J2622/J2624)-1</f>
        <v>44.238095238095241</v>
      </c>
      <c r="K2623" s="188"/>
      <c r="L2623" s="188"/>
      <c r="M2623" s="194"/>
      <c r="N2623" s="190"/>
      <c r="O2623" s="190"/>
      <c r="P2623" s="211"/>
      <c r="Q2623" s="211"/>
      <c r="R2623" s="195"/>
      <c r="S2623" s="197"/>
      <c r="T2623" s="180"/>
      <c r="U2623" s="189" t="str">
        <f>IFERROR(IF(Tableau3[[#This Row],[Dettes]]=0,"",(Tableau3[[#This Row],[Dettes]]/Tableau3[[#This Row],[EBE]])),"")</f>
        <v/>
      </c>
      <c r="V2623" s="190" t="str">
        <f>IFERROR(Tableau3[[#This Row],[Fonds propres]]/Tableau3[[#This Row],[Total Bilan]],"")</f>
        <v/>
      </c>
      <c r="W2623" s="180"/>
      <c r="X2623" s="191"/>
      <c r="Y2623" s="180"/>
      <c r="Z2623" s="192" t="str">
        <f>IFERROR(Tableau3[[#This Row],[Chiffre d''affaires]]/Tableau3[[#This Row],[Salariés]],"")</f>
        <v/>
      </c>
      <c r="AA2623" s="197"/>
      <c r="AB2623" s="197"/>
    </row>
    <row r="2624" spans="1:37" ht="20.25" customHeight="1">
      <c r="A2624" s="217"/>
      <c r="E2624" s="187">
        <v>13.8</v>
      </c>
      <c r="F2624" s="178">
        <v>2013</v>
      </c>
      <c r="G2624" s="188">
        <v>1176000000</v>
      </c>
      <c r="H2624" s="188">
        <v>47858000</v>
      </c>
      <c r="I2624" s="188">
        <v>16000000</v>
      </c>
      <c r="J2624" s="188">
        <v>672000</v>
      </c>
      <c r="K2624" s="188">
        <v>85000000</v>
      </c>
      <c r="L2624" s="188">
        <v>413251000</v>
      </c>
      <c r="M2624" s="194">
        <f>L2624/P2624</f>
        <v>10.449101947058063</v>
      </c>
      <c r="N2624" s="190">
        <f>J2624/L2624</f>
        <v>1.6261303662907047E-3</v>
      </c>
      <c r="O2624" s="190">
        <f>(I2624*0.64)/(K2624+(M2624*P2624))</f>
        <v>2.0551890513014526E-2</v>
      </c>
      <c r="P2624" s="211">
        <v>39548949</v>
      </c>
      <c r="Q2624" s="211">
        <f>P2624*E2624</f>
        <v>545775496.20000005</v>
      </c>
      <c r="R2624" s="195">
        <f>Q2624/L2624</f>
        <v>1.3206876600419601</v>
      </c>
      <c r="S2624" s="197">
        <f>(Q2624+K2624)/H2624</f>
        <v>13.180147440344353</v>
      </c>
      <c r="T2624" s="180"/>
      <c r="U2624" s="189">
        <f>IFERROR(IF(Tableau3[[#This Row],[Dettes]]=0,"",(Tableau3[[#This Row],[Dettes]]/Tableau3[[#This Row],[EBE]])),"")</f>
        <v>1.7760875924610307</v>
      </c>
      <c r="V2624" s="190" t="str">
        <f>IFERROR(Tableau3[[#This Row],[Fonds propres]]/Tableau3[[#This Row],[Total Bilan]],"")</f>
        <v/>
      </c>
      <c r="W2624" s="180"/>
      <c r="X2624" s="191"/>
      <c r="Y2624" s="180">
        <v>3242</v>
      </c>
      <c r="Z2624" s="192">
        <f>IFERROR(Tableau3[[#This Row],[Chiffre d''affaires]]/Tableau3[[#This Row],[Salariés]],"")</f>
        <v>362739.04996915482</v>
      </c>
      <c r="AA2624" s="197"/>
      <c r="AB2624" s="197"/>
    </row>
    <row r="2625" spans="1:29" ht="20.25" customHeight="1">
      <c r="A2625" s="217"/>
      <c r="E2625" s="187"/>
      <c r="G2625" s="202">
        <f>(G2624/G2626)-1</f>
        <v>-7.0355731225296481E-2</v>
      </c>
      <c r="H2625" s="203">
        <f>(H2624/H2626)-1</f>
        <v>-0.36674826331458821</v>
      </c>
      <c r="I2625" s="203">
        <f>(I2624/I2626)-1</f>
        <v>-0.65217391304347827</v>
      </c>
      <c r="J2625" s="203">
        <f>(J2624/J2626)-1</f>
        <v>-0.9851881240494611</v>
      </c>
      <c r="K2625" s="188"/>
      <c r="L2625" s="188"/>
      <c r="M2625" s="194"/>
      <c r="N2625" s="190"/>
      <c r="O2625" s="190"/>
      <c r="P2625" s="211"/>
      <c r="Q2625" s="211"/>
      <c r="R2625" s="195"/>
      <c r="S2625" s="197"/>
      <c r="T2625" s="180"/>
      <c r="U2625" s="189" t="str">
        <f>IFERROR(IF(Tableau3[[#This Row],[Dettes]]=0,"",(Tableau3[[#This Row],[Dettes]]/Tableau3[[#This Row],[EBE]])),"")</f>
        <v/>
      </c>
      <c r="V2625" s="190" t="str">
        <f>IFERROR(Tableau3[[#This Row],[Fonds propres]]/Tableau3[[#This Row],[Total Bilan]],"")</f>
        <v/>
      </c>
      <c r="W2625" s="180"/>
      <c r="X2625" s="191"/>
      <c r="Y2625" s="180"/>
      <c r="Z2625" s="192" t="str">
        <f>IFERROR(Tableau3[[#This Row],[Chiffre d''affaires]]/Tableau3[[#This Row],[Salariés]],"")</f>
        <v/>
      </c>
      <c r="AA2625" s="197"/>
      <c r="AB2625" s="197"/>
    </row>
    <row r="2626" spans="1:29" ht="20.25" customHeight="1">
      <c r="A2626" s="217"/>
      <c r="E2626" s="187">
        <v>12.98</v>
      </c>
      <c r="F2626" s="178">
        <v>2012</v>
      </c>
      <c r="G2626" s="188">
        <v>1265000000</v>
      </c>
      <c r="H2626" s="188">
        <v>75575000</v>
      </c>
      <c r="I2626" s="188">
        <v>46000000</v>
      </c>
      <c r="J2626" s="188">
        <v>45369000</v>
      </c>
      <c r="K2626" s="188">
        <v>103000000</v>
      </c>
      <c r="L2626" s="188">
        <v>435413000</v>
      </c>
      <c r="M2626" s="194">
        <f>L2626/P2626</f>
        <v>11.009470820577306</v>
      </c>
      <c r="N2626" s="190">
        <f>J2626/L2626</f>
        <v>0.10419762386515791</v>
      </c>
      <c r="O2626" s="190">
        <f>(I2626*0.64)/(K2626+(M2626*P2626))</f>
        <v>5.4679214654921038E-2</v>
      </c>
      <c r="P2626" s="211">
        <v>39548949</v>
      </c>
      <c r="Q2626" s="211">
        <f>P2626*E2626</f>
        <v>513345358.02000004</v>
      </c>
      <c r="R2626" s="195">
        <f>Q2626/L2626</f>
        <v>1.1789849132203218</v>
      </c>
      <c r="S2626" s="197">
        <f>(Q2626+K2626)/H2626</f>
        <v>8.1554132718491559</v>
      </c>
      <c r="T2626" s="180"/>
      <c r="U2626" s="189">
        <f>IFERROR(IF(Tableau3[[#This Row],[Dettes]]=0,"",(Tableau3[[#This Row],[Dettes]]/Tableau3[[#This Row],[EBE]])),"")</f>
        <v>1.3628845517697652</v>
      </c>
      <c r="V2626" s="190" t="str">
        <f>IFERROR(Tableau3[[#This Row],[Fonds propres]]/Tableau3[[#This Row],[Total Bilan]],"")</f>
        <v/>
      </c>
      <c r="W2626" s="180"/>
      <c r="X2626" s="191"/>
      <c r="Y2626" s="180">
        <v>3219</v>
      </c>
      <c r="Z2626" s="192">
        <f>IFERROR(Tableau3[[#This Row],[Chiffre d''affaires]]/Tableau3[[#This Row],[Salariés]],"")</f>
        <v>392979.18608263438</v>
      </c>
      <c r="AA2626" s="197"/>
      <c r="AB2626" s="197"/>
    </row>
    <row r="2627" spans="1:29" ht="20.25" customHeight="1">
      <c r="A2627" s="217"/>
      <c r="E2627" s="187"/>
      <c r="G2627" s="202"/>
      <c r="H2627" s="203"/>
      <c r="I2627" s="203"/>
      <c r="J2627" s="203"/>
      <c r="K2627" s="188"/>
      <c r="L2627" s="188"/>
      <c r="M2627" s="194"/>
      <c r="N2627" s="190"/>
      <c r="O2627" s="190"/>
      <c r="P2627" s="211"/>
      <c r="Q2627" s="211"/>
      <c r="R2627" s="195"/>
      <c r="S2627" s="197"/>
      <c r="T2627" s="180"/>
      <c r="U2627" s="189" t="str">
        <f>IFERROR(IF(Tableau3[[#This Row],[Dettes]]=0,"",(Tableau3[[#This Row],[Dettes]]/Tableau3[[#This Row],[EBE]])),"")</f>
        <v/>
      </c>
      <c r="V2627" s="190" t="str">
        <f>IFERROR(Tableau3[[#This Row],[Fonds propres]]/Tableau3[[#This Row],[Total Bilan]],"")</f>
        <v/>
      </c>
      <c r="W2627" s="180"/>
      <c r="X2627" s="191"/>
      <c r="Y2627" s="180"/>
      <c r="Z2627" s="192" t="str">
        <f>IFERROR(Tableau3[[#This Row],[Chiffre d''affaires]]/Tableau3[[#This Row],[Salariés]],"")</f>
        <v/>
      </c>
      <c r="AA2627" s="197"/>
      <c r="AB2627" s="197"/>
    </row>
    <row r="2628" spans="1:29" ht="20.25" customHeight="1">
      <c r="A2628" s="217"/>
      <c r="E2628" s="187"/>
      <c r="F2628" s="178" t="s">
        <v>800</v>
      </c>
      <c r="G2628" s="188"/>
      <c r="H2628" s="188"/>
      <c r="I2628" s="188"/>
      <c r="J2628" s="188"/>
      <c r="K2628" s="188"/>
      <c r="L2628" s="188"/>
      <c r="M2628" s="194"/>
      <c r="N2628" s="190"/>
      <c r="O2628" s="190"/>
      <c r="P2628" s="178"/>
      <c r="Q2628" s="211"/>
      <c r="R2628" s="195"/>
      <c r="S2628" s="197"/>
      <c r="T2628" s="180"/>
      <c r="U2628" s="189" t="str">
        <f>IFERROR(IF(Tableau3[[#This Row],[Dettes]]=0,"",(Tableau3[[#This Row],[Dettes]]/Tableau3[[#This Row],[EBE]])),"")</f>
        <v/>
      </c>
      <c r="V2628" s="190" t="str">
        <f>IFERROR(Tableau3[[#This Row],[Fonds propres]]/Tableau3[[#This Row],[Total Bilan]],"")</f>
        <v/>
      </c>
      <c r="W2628" s="180"/>
      <c r="X2628" s="191"/>
      <c r="Y2628" s="180"/>
      <c r="Z2628" s="192" t="str">
        <f>IFERROR(Tableau3[[#This Row],[Chiffre d''affaires]]/Tableau3[[#This Row],[Salariés]],"")</f>
        <v/>
      </c>
      <c r="AA2628" s="197"/>
      <c r="AB2628" s="197"/>
    </row>
    <row r="2629" spans="1:29" ht="20.25" customHeight="1">
      <c r="A2629" s="217"/>
      <c r="E2629" s="187"/>
      <c r="G2629" s="188"/>
      <c r="H2629" s="188"/>
      <c r="I2629" s="188"/>
      <c r="J2629" s="188"/>
      <c r="K2629" s="188"/>
      <c r="L2629" s="188"/>
      <c r="M2629" s="194"/>
      <c r="N2629" s="190"/>
      <c r="O2629" s="190"/>
      <c r="P2629" s="178"/>
      <c r="Q2629" s="211"/>
      <c r="R2629" s="195"/>
      <c r="S2629" s="197"/>
      <c r="T2629" s="180"/>
      <c r="U2629" s="189" t="str">
        <f>IFERROR(IF(Tableau3[[#This Row],[Dettes]]=0,"",(Tableau3[[#This Row],[Dettes]]/Tableau3[[#This Row],[EBE]])),"")</f>
        <v/>
      </c>
      <c r="V2629" s="190" t="str">
        <f>IFERROR(Tableau3[[#This Row],[Fonds propres]]/Tableau3[[#This Row],[Total Bilan]],"")</f>
        <v/>
      </c>
      <c r="W2629" s="180"/>
      <c r="X2629" s="191"/>
      <c r="Y2629" s="180"/>
      <c r="Z2629" s="192" t="str">
        <f>IFERROR(Tableau3[[#This Row],[Chiffre d''affaires]]/Tableau3[[#This Row],[Salariés]],"")</f>
        <v/>
      </c>
      <c r="AA2629" s="197"/>
      <c r="AB2629" s="197"/>
    </row>
    <row r="2630" spans="1:29" ht="20.25" customHeight="1">
      <c r="A2630" s="217"/>
      <c r="E2630" s="187">
        <v>38</v>
      </c>
      <c r="F2630" s="178">
        <v>2006</v>
      </c>
      <c r="G2630" s="188">
        <v>1128000000</v>
      </c>
      <c r="H2630" s="188">
        <v>154999000</v>
      </c>
      <c r="I2630" s="188">
        <v>135245000</v>
      </c>
      <c r="J2630" s="188">
        <v>87800000</v>
      </c>
      <c r="K2630" s="188">
        <v>152000000</v>
      </c>
      <c r="L2630" s="188">
        <v>505723000</v>
      </c>
      <c r="M2630" s="258">
        <f>L2630/P2630</f>
        <v>13.375716495314348</v>
      </c>
      <c r="N2630" s="190">
        <f>J2630/L2630</f>
        <v>0.17361282757557003</v>
      </c>
      <c r="O2630" s="190">
        <f>(I2630*0.64)/(K2630+(M2630*P2630))</f>
        <v>0.13160068904386801</v>
      </c>
      <c r="P2630" s="211">
        <v>37809040</v>
      </c>
      <c r="Q2630" s="211">
        <f>P2630*E2630</f>
        <v>1436743520</v>
      </c>
      <c r="R2630" s="195">
        <f>Q2630/L2630</f>
        <v>2.8409693053311793</v>
      </c>
      <c r="S2630" s="197">
        <f>(Q2630+K2630)/H2630</f>
        <v>10.250024322737566</v>
      </c>
      <c r="T2630" s="180"/>
      <c r="U2630" s="189">
        <f>IFERROR(IF(Tableau3[[#This Row],[Dettes]]=0,"",(Tableau3[[#This Row],[Dettes]]/Tableau3[[#This Row],[EBE]])),"")</f>
        <v>0.98065148807411662</v>
      </c>
      <c r="V2630" s="190" t="str">
        <f>IFERROR(Tableau3[[#This Row],[Fonds propres]]/Tableau3[[#This Row],[Total Bilan]],"")</f>
        <v/>
      </c>
      <c r="W2630" s="180"/>
      <c r="X2630" s="191"/>
      <c r="Y2630" s="180">
        <v>2405</v>
      </c>
      <c r="Z2630" s="192">
        <f>IFERROR(Tableau3[[#This Row],[Chiffre d''affaires]]/Tableau3[[#This Row],[Salariés]],"")</f>
        <v>469022.86902286904</v>
      </c>
      <c r="AA2630" s="197"/>
      <c r="AB2630" s="197"/>
    </row>
    <row r="2631" spans="1:29" ht="20.25" customHeight="1">
      <c r="A2631" s="217"/>
      <c r="E2631" s="187"/>
      <c r="G2631" s="188"/>
      <c r="H2631" s="188"/>
      <c r="I2631" s="188"/>
      <c r="J2631" s="188"/>
      <c r="K2631" s="188"/>
      <c r="L2631" s="188"/>
      <c r="M2631" s="194"/>
      <c r="N2631" s="190"/>
      <c r="O2631" s="190"/>
      <c r="P2631" s="211"/>
      <c r="Q2631" s="211"/>
      <c r="R2631" s="195"/>
      <c r="S2631" s="197"/>
      <c r="T2631" s="180"/>
      <c r="U2631" s="189" t="str">
        <f>IFERROR(IF(Tableau3[[#This Row],[Dettes]]=0,"",(Tableau3[[#This Row],[Dettes]]/Tableau3[[#This Row],[EBE]])),"")</f>
        <v/>
      </c>
      <c r="V2631" s="190" t="str">
        <f>IFERROR(Tableau3[[#This Row],[Fonds propres]]/Tableau3[[#This Row],[Total Bilan]],"")</f>
        <v/>
      </c>
      <c r="W2631" s="180"/>
      <c r="X2631" s="191"/>
      <c r="Y2631" s="180"/>
      <c r="Z2631" s="192" t="str">
        <f>IFERROR(Tableau3[[#This Row],[Chiffre d''affaires]]/Tableau3[[#This Row],[Salariés]],"")</f>
        <v/>
      </c>
      <c r="AA2631" s="197"/>
      <c r="AB2631" s="197"/>
    </row>
    <row r="2632" spans="1:29" ht="20.25" customHeight="1">
      <c r="A2632" s="217"/>
      <c r="F2632" s="234" t="s">
        <v>1856</v>
      </c>
      <c r="G2632" s="188"/>
      <c r="H2632" s="188"/>
      <c r="I2632" s="188"/>
      <c r="J2632" s="188"/>
      <c r="K2632" s="188"/>
      <c r="L2632" s="188"/>
      <c r="M2632" s="194"/>
      <c r="N2632" s="190"/>
      <c r="O2632" s="190"/>
      <c r="P2632" s="211"/>
      <c r="Q2632" s="211"/>
      <c r="R2632" s="195"/>
      <c r="S2632" s="197"/>
      <c r="T2632" s="180"/>
      <c r="U2632" s="189" t="str">
        <f>IFERROR(IF(Tableau3[[#This Row],[Dettes]]=0,"",(Tableau3[[#This Row],[Dettes]]/Tableau3[[#This Row],[EBE]])),"")</f>
        <v/>
      </c>
      <c r="V2632" s="190" t="str">
        <f>IFERROR(Tableau3[[#This Row],[Fonds propres]]/Tableau3[[#This Row],[Total Bilan]],"")</f>
        <v/>
      </c>
      <c r="W2632" s="180"/>
      <c r="X2632" s="191"/>
      <c r="Y2632" s="180"/>
      <c r="Z2632" s="192" t="str">
        <f>IFERROR(Tableau3[[#This Row],[Chiffre d''affaires]]/Tableau3[[#This Row],[Salariés]],"")</f>
        <v/>
      </c>
      <c r="AA2632" s="197"/>
      <c r="AB2632" s="197"/>
    </row>
    <row r="2633" spans="1:29" ht="20.25" customHeight="1">
      <c r="A2633" s="217"/>
      <c r="E2633" s="187"/>
      <c r="G2633" s="188"/>
      <c r="H2633" s="188"/>
      <c r="I2633" s="188"/>
      <c r="J2633" s="188"/>
      <c r="K2633" s="188"/>
      <c r="L2633" s="188"/>
      <c r="M2633" s="194"/>
      <c r="N2633" s="190"/>
      <c r="O2633" s="190"/>
      <c r="P2633" s="211"/>
      <c r="Q2633" s="211"/>
      <c r="R2633" s="195"/>
      <c r="S2633" s="197"/>
      <c r="T2633" s="180"/>
      <c r="U2633" s="189" t="str">
        <f>IFERROR(IF(Tableau3[[#This Row],[Dettes]]=0,"",(Tableau3[[#This Row],[Dettes]]/Tableau3[[#This Row],[EBE]])),"")</f>
        <v/>
      </c>
      <c r="V2633" s="190" t="str">
        <f>IFERROR(Tableau3[[#This Row],[Fonds propres]]/Tableau3[[#This Row],[Total Bilan]],"")</f>
        <v/>
      </c>
      <c r="W2633" s="180"/>
      <c r="X2633" s="191"/>
      <c r="Y2633" s="180"/>
      <c r="Z2633" s="192" t="str">
        <f>IFERROR(Tableau3[[#This Row],[Chiffre d''affaires]]/Tableau3[[#This Row],[Salariés]],"")</f>
        <v/>
      </c>
      <c r="AA2633" s="197"/>
      <c r="AB2633" s="197"/>
    </row>
    <row r="2634" spans="1:29" ht="20.25" customHeight="1">
      <c r="A2634" s="217"/>
      <c r="E2634" s="187"/>
      <c r="G2634" s="188"/>
      <c r="H2634" s="188"/>
      <c r="I2634" s="188"/>
      <c r="J2634" s="188"/>
      <c r="K2634" s="188"/>
      <c r="L2634" s="188"/>
      <c r="M2634" s="194"/>
      <c r="N2634" s="190"/>
      <c r="O2634" s="190"/>
      <c r="P2634" s="178"/>
      <c r="Q2634" s="211"/>
      <c r="R2634" s="195"/>
      <c r="S2634" s="197"/>
      <c r="T2634" s="180"/>
      <c r="U2634" s="189" t="str">
        <f>IFERROR(IF(Tableau3[[#This Row],[Dettes]]=0,"",(Tableau3[[#This Row],[Dettes]]/Tableau3[[#This Row],[EBE]])),"")</f>
        <v/>
      </c>
      <c r="V2634" s="190" t="str">
        <f>IFERROR(Tableau3[[#This Row],[Fonds propres]]/Tableau3[[#This Row],[Total Bilan]],"")</f>
        <v/>
      </c>
      <c r="W2634" s="180"/>
      <c r="X2634" s="191"/>
      <c r="Y2634" s="180"/>
      <c r="Z2634" s="192" t="str">
        <f>IFERROR(Tableau3[[#This Row],[Chiffre d''affaires]]/Tableau3[[#This Row],[Salariés]],"")</f>
        <v/>
      </c>
      <c r="AA2634" s="197"/>
      <c r="AB2634" s="197"/>
    </row>
    <row r="2635" spans="1:29" ht="20.25" customHeight="1">
      <c r="A2635" s="217"/>
      <c r="E2635" s="187"/>
      <c r="G2635" s="188"/>
      <c r="H2635" s="188"/>
      <c r="I2635" s="188"/>
      <c r="J2635" s="188"/>
      <c r="K2635" s="188"/>
      <c r="L2635" s="188"/>
      <c r="M2635" s="194"/>
      <c r="N2635" s="190"/>
      <c r="O2635" s="190"/>
      <c r="P2635" s="178"/>
      <c r="Q2635" s="211"/>
      <c r="R2635" s="195"/>
      <c r="S2635" s="197"/>
      <c r="T2635" s="180"/>
      <c r="U2635" s="189" t="str">
        <f>IFERROR(IF(Tableau3[[#This Row],[Dettes]]=0,"",(Tableau3[[#This Row],[Dettes]]/Tableau3[[#This Row],[EBE]])),"")</f>
        <v/>
      </c>
      <c r="V2635" s="190" t="str">
        <f>IFERROR(Tableau3[[#This Row],[Fonds propres]]/Tableau3[[#This Row],[Total Bilan]],"")</f>
        <v/>
      </c>
      <c r="W2635" s="180"/>
      <c r="X2635" s="191"/>
      <c r="Y2635" s="180"/>
      <c r="Z2635" s="192" t="str">
        <f>IFERROR(Tableau3[[#This Row],[Chiffre d''affaires]]/Tableau3[[#This Row],[Salariés]],"")</f>
        <v/>
      </c>
      <c r="AA2635" s="197"/>
      <c r="AB2635" s="197"/>
    </row>
    <row r="2636" spans="1:29" ht="20.25" customHeight="1">
      <c r="A2636" s="217" t="s">
        <v>1857</v>
      </c>
      <c r="B2636" s="216" t="s">
        <v>1858</v>
      </c>
      <c r="C2636" s="178" t="s">
        <v>452</v>
      </c>
      <c r="D2636" s="178" t="s">
        <v>85</v>
      </c>
      <c r="E2636" s="187">
        <v>8.6999999999999993</v>
      </c>
      <c r="F2636" s="178">
        <v>2025</v>
      </c>
      <c r="G2636" s="188">
        <f>G2638*1.03</f>
        <v>1912916000</v>
      </c>
      <c r="H2636" s="188">
        <f>Tableau3[[#This Row],[Chiffre d''affaires]]*0.125</f>
        <v>239114500</v>
      </c>
      <c r="I2636" s="188">
        <v>150000000</v>
      </c>
      <c r="J2636" s="188">
        <v>75000000</v>
      </c>
      <c r="K2636" s="188">
        <v>500000000</v>
      </c>
      <c r="L2636" s="188">
        <v>1000000000</v>
      </c>
      <c r="M2636" s="194">
        <f>L2636/P2636</f>
        <v>12.143701078037633</v>
      </c>
      <c r="N2636" s="190">
        <f>J2636/L2638</f>
        <v>8.1019768823592964E-2</v>
      </c>
      <c r="O2636" s="190">
        <f>(I2636*0.81)/(K2638+L2638)</f>
        <v>7.9014111985432803E-2</v>
      </c>
      <c r="P2636" s="188">
        <f>P2638</f>
        <v>82347218</v>
      </c>
      <c r="Q2636" s="188">
        <f>P2636*E2636</f>
        <v>716420796.5999999</v>
      </c>
      <c r="R2636" s="195">
        <f>Q2636/L2636</f>
        <v>0.71642079659999991</v>
      </c>
      <c r="S2636" s="197">
        <f>(Q2636+K2636)/H2636</f>
        <v>5.0871895957794271</v>
      </c>
      <c r="T2636" s="180">
        <v>50000000</v>
      </c>
      <c r="U2636" s="189">
        <f>IFERROR(IF(Tableau3[[#This Row],[Dettes]]=0,"",(Tableau3[[#This Row],[Dettes]]/Tableau3[[#This Row],[EBE]])),"")</f>
        <v>2.0910484307727053</v>
      </c>
      <c r="V2636" s="190" t="str">
        <f>IFERROR(Tableau3[[#This Row],[Fonds propres]]/Tableau3[[#This Row],[Total Bilan]],"")</f>
        <v/>
      </c>
      <c r="W2636" s="180"/>
      <c r="X2636" s="191" t="s">
        <v>5214</v>
      </c>
      <c r="Y2636" s="180">
        <v>7000</v>
      </c>
      <c r="Z2636" s="192">
        <f>IFERROR(Tableau3[[#This Row],[Chiffre d''affaires]]/Tableau3[[#This Row],[Salariés]],"")</f>
        <v>273273.71428571426</v>
      </c>
      <c r="AA2636" s="197" t="s">
        <v>540</v>
      </c>
      <c r="AB2636" s="197"/>
      <c r="AC2636" s="177" t="s">
        <v>1859</v>
      </c>
    </row>
    <row r="2637" spans="1:29" ht="20.25" customHeight="1">
      <c r="A2637" s="217"/>
      <c r="E2637" s="187"/>
      <c r="G2637" s="202">
        <f>(G2636/G2638)-1</f>
        <v>3.0000000000000027E-2</v>
      </c>
      <c r="H2637" s="203">
        <f>(H2636/H2638)-1</f>
        <v>7.2916666666666741E-2</v>
      </c>
      <c r="I2637" s="203">
        <f>(I2636/I2638)-1</f>
        <v>0.97889182058047486</v>
      </c>
      <c r="J2637" s="203">
        <f>(J2636/J2638)-1</f>
        <v>6.2815533980582527</v>
      </c>
      <c r="K2637" s="188"/>
      <c r="L2637" s="188"/>
      <c r="M2637" s="194"/>
      <c r="N2637" s="190"/>
      <c r="O2637" s="190"/>
      <c r="P2637" s="178"/>
      <c r="Q2637" s="211"/>
      <c r="R2637" s="195"/>
      <c r="S2637" s="197"/>
      <c r="T2637" s="180"/>
      <c r="U2637" s="189" t="str">
        <f>IFERROR(IF(Tableau3[[#This Row],[Dettes]]=0,"",(Tableau3[[#This Row],[Dettes]]/Tableau3[[#This Row],[EBE]])),"")</f>
        <v/>
      </c>
      <c r="V2637" s="190" t="str">
        <f>IFERROR(Tableau3[[#This Row],[Fonds propres]]/Tableau3[[#This Row],[Total Bilan]],"")</f>
        <v/>
      </c>
      <c r="W2637" s="180"/>
      <c r="X2637" s="191"/>
      <c r="Y2637" s="180"/>
      <c r="Z2637" s="192" t="str">
        <f>IFERROR(Tableau3[[#This Row],[Chiffre d''affaires]]/Tableau3[[#This Row],[Salariés]],"")</f>
        <v/>
      </c>
      <c r="AA2637" s="197" t="s">
        <v>541</v>
      </c>
      <c r="AB2637" s="197"/>
      <c r="AC2637" s="177" t="s">
        <v>1861</v>
      </c>
    </row>
    <row r="2638" spans="1:29" ht="20.25" customHeight="1">
      <c r="A2638" s="217"/>
      <c r="E2638" s="187">
        <v>8.39</v>
      </c>
      <c r="F2638" s="178">
        <v>2024</v>
      </c>
      <c r="G2638" s="188">
        <v>1857200000</v>
      </c>
      <c r="H2638" s="188">
        <f>Tableau3[[#This Row],[Chiffre d''affaires]]*0.12</f>
        <v>222864000</v>
      </c>
      <c r="I2638" s="188">
        <v>75800000</v>
      </c>
      <c r="J2638" s="188">
        <v>10300000</v>
      </c>
      <c r="K2638" s="188">
        <v>612000000</v>
      </c>
      <c r="L2638" s="188">
        <v>925700000</v>
      </c>
      <c r="M2638" s="194">
        <f>L2638/P2638</f>
        <v>11.241424087939437</v>
      </c>
      <c r="N2638" s="190">
        <f>J2638/L2640</f>
        <v>1.1419068736141907E-2</v>
      </c>
      <c r="O2638" s="190">
        <f>(I2638*0.81)/(K2640+L2640)</f>
        <v>3.9174376315957382E-2</v>
      </c>
      <c r="P2638" s="188">
        <f>P2640</f>
        <v>82347218</v>
      </c>
      <c r="Q2638" s="188">
        <f>P2638*E2638</f>
        <v>690893159.0200001</v>
      </c>
      <c r="R2638" s="195">
        <f>Q2638/L2638</f>
        <v>0.7463467203413634</v>
      </c>
      <c r="S2638" s="197">
        <f>(Q2638+K2638)/H2638</f>
        <v>5.846135576046378</v>
      </c>
      <c r="T2638" s="180">
        <v>47900000</v>
      </c>
      <c r="U2638" s="189">
        <f>IFERROR(IF(Tableau3[[#This Row],[Dettes]]=0,"",(Tableau3[[#This Row],[Dettes]]/Tableau3[[#This Row],[EBE]])),"")</f>
        <v>2.7460693517122552</v>
      </c>
      <c r="V2638" s="190">
        <f>IFERROR(Tableau3[[#This Row],[Fonds propres]]/Tableau3[[#This Row],[Total Bilan]],"")</f>
        <v>0.39214606455985768</v>
      </c>
      <c r="W2638" s="180">
        <v>2360600000</v>
      </c>
      <c r="Y2638" s="180">
        <v>9600</v>
      </c>
      <c r="Z2638" s="192">
        <f>IFERROR(Tableau3[[#This Row],[Chiffre d''affaires]]/Tableau3[[#This Row],[Salariés]],"")</f>
        <v>193458.33333333334</v>
      </c>
      <c r="AA2638" s="207" t="s">
        <v>55</v>
      </c>
      <c r="AB2638" s="197"/>
      <c r="AC2638" s="177" t="s">
        <v>4575</v>
      </c>
    </row>
    <row r="2639" spans="1:29" ht="20.25" customHeight="1">
      <c r="A2639" s="217"/>
      <c r="E2639" s="187"/>
      <c r="G2639" s="202">
        <f>(G2638/G2640)-1</f>
        <v>-0.20683322656416825</v>
      </c>
      <c r="H2639" s="203">
        <f>(H2638/H2640)-1</f>
        <v>-1.9525302283922574E-3</v>
      </c>
      <c r="I2639" s="203">
        <f>(I2638/I2640)-1</f>
        <v>-0.31464737793851716</v>
      </c>
      <c r="J2639" s="203">
        <f>(J2638/J2640)-1</f>
        <v>-0.70402298850574718</v>
      </c>
      <c r="K2639" s="188"/>
      <c r="L2639" s="188"/>
      <c r="M2639" s="194"/>
      <c r="N2639" s="190"/>
      <c r="O2639" s="190"/>
      <c r="P2639" s="178"/>
      <c r="Q2639" s="211"/>
      <c r="R2639" s="195"/>
      <c r="S2639" s="197"/>
      <c r="T2639" s="180"/>
      <c r="U2639" s="189" t="str">
        <f>IFERROR(IF(Tableau3[[#This Row],[Dettes]]=0,"",(Tableau3[[#This Row],[Dettes]]/Tableau3[[#This Row],[EBE]])),"")</f>
        <v/>
      </c>
      <c r="V2639" s="190" t="str">
        <f>IFERROR(Tableau3[[#This Row],[Fonds propres]]/Tableau3[[#This Row],[Total Bilan]],"")</f>
        <v/>
      </c>
      <c r="W2639" s="180"/>
      <c r="X2639" s="191"/>
      <c r="Y2639" s="180"/>
      <c r="Z2639" s="192" t="str">
        <f>IFERROR(Tableau3[[#This Row],[Chiffre d''affaires]]/Tableau3[[#This Row],[Salariés]],"")</f>
        <v/>
      </c>
      <c r="AB2639" s="197"/>
      <c r="AC2639" s="177" t="s">
        <v>5213</v>
      </c>
    </row>
    <row r="2640" spans="1:29" ht="20.25" customHeight="1">
      <c r="A2640" s="217"/>
      <c r="E2640" s="187">
        <v>7.6</v>
      </c>
      <c r="F2640" s="178">
        <v>2023</v>
      </c>
      <c r="G2640" s="188">
        <v>2341500000</v>
      </c>
      <c r="H2640" s="188">
        <v>223300000</v>
      </c>
      <c r="I2640" s="188">
        <v>110600000</v>
      </c>
      <c r="J2640" s="188">
        <v>34800000</v>
      </c>
      <c r="K2640" s="188">
        <v>665300000</v>
      </c>
      <c r="L2640" s="188">
        <v>902000000</v>
      </c>
      <c r="M2640" s="194">
        <f>L2640/P2640</f>
        <v>10.953618372389945</v>
      </c>
      <c r="N2640" s="190">
        <f>J2640/L2642</f>
        <v>4.0540540540540543E-2</v>
      </c>
      <c r="O2640" s="190">
        <f>(I2640*0.81)/(K2642+L2642)</f>
        <v>5.1909838915285667E-2</v>
      </c>
      <c r="P2640" s="188">
        <f>P2642</f>
        <v>82347218</v>
      </c>
      <c r="Q2640" s="188">
        <f>P2640*E2640</f>
        <v>625838856.79999995</v>
      </c>
      <c r="R2640" s="195">
        <f>Q2640/L2640</f>
        <v>0.6938346527716186</v>
      </c>
      <c r="S2640" s="197">
        <f>(Q2640+K2640)/H2640</f>
        <v>5.7820817590685172</v>
      </c>
      <c r="T2640" s="180">
        <v>9100000</v>
      </c>
      <c r="U2640" s="189">
        <f>IFERROR(IF(Tableau3[[#This Row],[Dettes]]=0,"",(Tableau3[[#This Row],[Dettes]]/Tableau3[[#This Row],[EBE]])),"")</f>
        <v>2.9793999104343931</v>
      </c>
      <c r="V2640" s="190">
        <f>IFERROR(Tableau3[[#This Row],[Fonds propres]]/Tableau3[[#This Row],[Total Bilan]],"")</f>
        <v>0.38204150783566287</v>
      </c>
      <c r="W2640" s="180">
        <v>2361000000</v>
      </c>
      <c r="X2640" s="206"/>
      <c r="Y2640" s="180">
        <v>11000</v>
      </c>
      <c r="Z2640" s="192">
        <f>IFERROR(Tableau3[[#This Row],[Chiffre d''affaires]]/Tableau3[[#This Row],[Salariés]],"")</f>
        <v>212863.63636363635</v>
      </c>
      <c r="AB2640" s="197"/>
      <c r="AC2640" s="177" t="s">
        <v>2645</v>
      </c>
    </row>
    <row r="2641" spans="1:29" ht="20.25" customHeight="1">
      <c r="A2641" s="217"/>
      <c r="E2641" s="187"/>
      <c r="G2641" s="202">
        <f>(G2640/G2642)-1</f>
        <v>5.0452212611707292E-2</v>
      </c>
      <c r="H2641" s="203">
        <f>(H2640/H2642)-1</f>
        <v>0.65407407407407403</v>
      </c>
      <c r="I2641" s="203">
        <f>(I2640/I2642)-1</f>
        <v>-2.5936599423631126</v>
      </c>
      <c r="J2641" s="203">
        <f>(J2640/J2642)-1</f>
        <v>-1.1284606866002216</v>
      </c>
      <c r="K2641" s="188"/>
      <c r="L2641" s="188"/>
      <c r="M2641" s="194"/>
      <c r="N2641" s="190"/>
      <c r="O2641" s="190"/>
      <c r="P2641" s="178"/>
      <c r="Q2641" s="211"/>
      <c r="R2641" s="195"/>
      <c r="S2641" s="197"/>
      <c r="T2641" s="180"/>
      <c r="U2641" s="189" t="str">
        <f>IFERROR(IF(Tableau3[[#This Row],[Dettes]]=0,"",(Tableau3[[#This Row],[Dettes]]/Tableau3[[#This Row],[EBE]])),"")</f>
        <v/>
      </c>
      <c r="V2641" s="190" t="str">
        <f>IFERROR(Tableau3[[#This Row],[Fonds propres]]/Tableau3[[#This Row],[Total Bilan]],"")</f>
        <v/>
      </c>
      <c r="W2641" s="180"/>
      <c r="Y2641" s="180"/>
      <c r="Z2641" s="192" t="str">
        <f>IFERROR(Tableau3[[#This Row],[Chiffre d''affaires]]/Tableau3[[#This Row],[Salariés]],"")</f>
        <v/>
      </c>
      <c r="AB2641" s="197"/>
      <c r="AC2641" s="177" t="s">
        <v>4829</v>
      </c>
    </row>
    <row r="2642" spans="1:29" ht="20.25" customHeight="1">
      <c r="A2642" s="217"/>
      <c r="E2642" s="187">
        <v>6.24</v>
      </c>
      <c r="F2642" s="178">
        <v>2022</v>
      </c>
      <c r="G2642" s="188">
        <f>G2644*1.1</f>
        <v>2229040000</v>
      </c>
      <c r="H2642" s="188">
        <v>135000000</v>
      </c>
      <c r="I2642" s="188">
        <v>-69400000</v>
      </c>
      <c r="J2642" s="188">
        <v>-270900000</v>
      </c>
      <c r="K2642" s="188">
        <v>867400000</v>
      </c>
      <c r="L2642" s="188">
        <v>858400000</v>
      </c>
      <c r="M2642" s="194">
        <f>L2642/P2642</f>
        <v>10.424153005387504</v>
      </c>
      <c r="N2642" s="190">
        <f>J2642/L2644</f>
        <v>-0.25891235783236166</v>
      </c>
      <c r="O2642" s="190">
        <f>(I2642*0.81)/(K2644+L2644)</f>
        <v>-3.1727057229935657E-2</v>
      </c>
      <c r="P2642" s="188">
        <f>P2644</f>
        <v>82347218</v>
      </c>
      <c r="Q2642" s="188">
        <f>P2642*E2642</f>
        <v>513846640.31999999</v>
      </c>
      <c r="R2642" s="195">
        <f>Q2642/L2642</f>
        <v>0.5986097860205033</v>
      </c>
      <c r="S2642" s="197">
        <f>(Q2642+K2642)/H2642</f>
        <v>10.231456594962962</v>
      </c>
      <c r="T2642" s="180">
        <v>-115000000</v>
      </c>
      <c r="U2642" s="189">
        <f>IFERROR(IF(Tableau3[[#This Row],[Dettes]]=0,"",(Tableau3[[#This Row],[Dettes]]/Tableau3[[#This Row],[EBE]])),"")</f>
        <v>6.4251851851851853</v>
      </c>
      <c r="V2642" s="190">
        <f>IFERROR(Tableau3[[#This Row],[Fonds propres]]/Tableau3[[#This Row],[Total Bilan]],"")</f>
        <v>0.31863400148478099</v>
      </c>
      <c r="W2642" s="180">
        <v>2694000000</v>
      </c>
      <c r="X2642" s="191"/>
      <c r="Y2642" s="180">
        <v>11000</v>
      </c>
      <c r="Z2642" s="192">
        <f>IFERROR(Tableau3[[#This Row],[Chiffre d''affaires]]/Tableau3[[#This Row],[Salariés]],"")</f>
        <v>202640</v>
      </c>
      <c r="AB2642" s="197"/>
      <c r="AC2642" s="177" t="s">
        <v>5212</v>
      </c>
    </row>
    <row r="2643" spans="1:29" ht="20.25" customHeight="1">
      <c r="A2643" s="217"/>
      <c r="E2643" s="187"/>
      <c r="G2643" s="202">
        <f>(G2642/G2644)-1</f>
        <v>0.10000000000000009</v>
      </c>
      <c r="H2643" s="203">
        <f>(H2642/H2644)-1</f>
        <v>-0.21511627906976749</v>
      </c>
      <c r="I2643" s="203">
        <f>(I2642/I2644)-1</f>
        <v>-3.2459546925566345</v>
      </c>
      <c r="J2643" s="203">
        <f>(J2642/J2644)-1</f>
        <v>3.3764135702746367</v>
      </c>
      <c r="K2643" s="188"/>
      <c r="L2643" s="188"/>
      <c r="M2643" s="194"/>
      <c r="N2643" s="190"/>
      <c r="O2643" s="190"/>
      <c r="P2643" s="178"/>
      <c r="Q2643" s="211"/>
      <c r="R2643" s="195"/>
      <c r="S2643" s="197"/>
      <c r="T2643" s="180"/>
      <c r="U2643" s="189" t="str">
        <f>IFERROR(IF(Tableau3[[#This Row],[Dettes]]=0,"",(Tableau3[[#This Row],[Dettes]]/Tableau3[[#This Row],[EBE]])),"")</f>
        <v/>
      </c>
      <c r="V2643" s="190" t="str">
        <f>IFERROR(Tableau3[[#This Row],[Fonds propres]]/Tableau3[[#This Row],[Total Bilan]],"")</f>
        <v/>
      </c>
      <c r="W2643" s="180"/>
      <c r="Y2643" s="180"/>
      <c r="Z2643" s="192" t="str">
        <f>IFERROR(Tableau3[[#This Row],[Chiffre d''affaires]]/Tableau3[[#This Row],[Salariés]],"")</f>
        <v/>
      </c>
      <c r="AB2643" s="197"/>
      <c r="AC2643" s="177" t="s">
        <v>1862</v>
      </c>
    </row>
    <row r="2644" spans="1:29" ht="20.25" customHeight="1">
      <c r="A2644" s="217"/>
      <c r="E2644" s="187">
        <v>6.99</v>
      </c>
      <c r="F2644" s="178">
        <v>2021</v>
      </c>
      <c r="G2644" s="188">
        <v>2026400000</v>
      </c>
      <c r="H2644" s="188">
        <v>172000000</v>
      </c>
      <c r="I2644" s="188">
        <v>30900000</v>
      </c>
      <c r="J2644" s="188">
        <v>-61900000</v>
      </c>
      <c r="K2644" s="188">
        <v>725500000</v>
      </c>
      <c r="L2644" s="188">
        <v>1046300000</v>
      </c>
      <c r="M2644" s="194">
        <f>L2644/P2644</f>
        <v>12.705954437950776</v>
      </c>
      <c r="N2644" s="190">
        <f>J2644/L2646</f>
        <v>-5.6354697742170431E-2</v>
      </c>
      <c r="O2644" s="190">
        <f>(I2644*0.81)/(K2646+L2646)</f>
        <v>1.2861767728674204E-2</v>
      </c>
      <c r="P2644" s="188">
        <v>82347218</v>
      </c>
      <c r="Q2644" s="188">
        <f>P2644*E2644</f>
        <v>575607053.82000005</v>
      </c>
      <c r="R2644" s="195">
        <f>Q2644/L2644</f>
        <v>0.55013576777214956</v>
      </c>
      <c r="S2644" s="197">
        <f>(Q2644+K2644)/H2644</f>
        <v>7.5645758943023269</v>
      </c>
      <c r="T2644" s="180">
        <v>52900000</v>
      </c>
      <c r="U2644" s="189">
        <f>IFERROR(IF(Tableau3[[#This Row],[Dettes]]=0,"",(Tableau3[[#This Row],[Dettes]]/Tableau3[[#This Row],[EBE]])),"")</f>
        <v>4.2180232558139537</v>
      </c>
      <c r="V2644" s="190">
        <f>IFERROR(Tableau3[[#This Row],[Fonds propres]]/Tableau3[[#This Row],[Total Bilan]],"")</f>
        <v>0.34081433224755703</v>
      </c>
      <c r="W2644" s="180">
        <v>3070000000</v>
      </c>
      <c r="Y2644" s="180">
        <v>11000</v>
      </c>
      <c r="Z2644" s="192">
        <f>IFERROR(Tableau3[[#This Row],[Chiffre d''affaires]]/Tableau3[[#This Row],[Salariés]],"")</f>
        <v>184218.18181818182</v>
      </c>
      <c r="AB2644" s="207"/>
      <c r="AC2644" s="177" t="s">
        <v>4571</v>
      </c>
    </row>
    <row r="2645" spans="1:29" ht="20.25" customHeight="1">
      <c r="A2645" s="217"/>
      <c r="E2645" s="187"/>
      <c r="G2645" s="202">
        <f>(G2644/G2646)-1</f>
        <v>-2.8943837454475707E-2</v>
      </c>
      <c r="H2645" s="203">
        <f>(H2644/H2646)-1</f>
        <v>-0.2699490662139219</v>
      </c>
      <c r="I2645" s="203">
        <f>(I2644/I2646)-1</f>
        <v>-0.7213706041478809</v>
      </c>
      <c r="J2645" s="203">
        <f>(J2644/J2646)-1</f>
        <v>-2.1462962962962964</v>
      </c>
      <c r="K2645" s="188"/>
      <c r="L2645" s="188"/>
      <c r="M2645" s="194"/>
      <c r="N2645" s="190"/>
      <c r="O2645" s="190"/>
      <c r="P2645" s="178"/>
      <c r="Q2645" s="211"/>
      <c r="R2645" s="195"/>
      <c r="S2645" s="197"/>
      <c r="T2645" s="180"/>
      <c r="U2645" s="189" t="str">
        <f>IFERROR(IF(Tableau3[[#This Row],[Dettes]]=0,"",(Tableau3[[#This Row],[Dettes]]/Tableau3[[#This Row],[EBE]])),"")</f>
        <v/>
      </c>
      <c r="V2645" s="190" t="str">
        <f>IFERROR(Tableau3[[#This Row],[Fonds propres]]/Tableau3[[#This Row],[Total Bilan]],"")</f>
        <v/>
      </c>
      <c r="W2645" s="180"/>
      <c r="Y2645" s="180"/>
      <c r="Z2645" s="192" t="str">
        <f>IFERROR(Tableau3[[#This Row],[Chiffre d''affaires]]/Tableau3[[#This Row],[Salariés]],"")</f>
        <v/>
      </c>
      <c r="AA2645" s="177"/>
      <c r="AC2645" s="177" t="s">
        <v>4570</v>
      </c>
    </row>
    <row r="2646" spans="1:29" ht="20.25" customHeight="1">
      <c r="A2646" s="217"/>
      <c r="E2646" s="187">
        <v>11</v>
      </c>
      <c r="F2646" s="178">
        <v>2020</v>
      </c>
      <c r="G2646" s="188">
        <v>2086800000</v>
      </c>
      <c r="H2646" s="188">
        <v>235600000</v>
      </c>
      <c r="I2646" s="188">
        <v>110900000</v>
      </c>
      <c r="J2646" s="188">
        <v>54000000</v>
      </c>
      <c r="K2646" s="188">
        <v>847600000</v>
      </c>
      <c r="L2646" s="188">
        <v>1098400000</v>
      </c>
      <c r="M2646" s="194">
        <f>L2646/P2646</f>
        <v>13.338641264116536</v>
      </c>
      <c r="N2646" s="190">
        <f>J2646/L2648</f>
        <v>4.5067601402103155E-2</v>
      </c>
      <c r="O2646" s="190">
        <f>(I2646*0.81)/(K2648+L2648)</f>
        <v>4.3616897305171161E-2</v>
      </c>
      <c r="P2646" s="188">
        <v>82347218</v>
      </c>
      <c r="Q2646" s="188">
        <f>P2646*E2646</f>
        <v>905819398</v>
      </c>
      <c r="R2646" s="195">
        <f>Q2646/L2646</f>
        <v>0.82467170247632926</v>
      </c>
      <c r="S2646" s="197">
        <f>(Q2646+K2646)/H2646</f>
        <v>7.4423573769100173</v>
      </c>
      <c r="T2646" s="180">
        <v>60000000</v>
      </c>
      <c r="U2646" s="189">
        <f>IFERROR(IF(Tableau3[[#This Row],[Dettes]]=0,"",(Tableau3[[#This Row],[Dettes]]/Tableau3[[#This Row],[EBE]])),"")</f>
        <v>3.5976230899830219</v>
      </c>
      <c r="V2646" s="190">
        <f>IFERROR(Tableau3[[#This Row],[Fonds propres]]/Tableau3[[#This Row],[Total Bilan]],"")</f>
        <v>0.38138888888888889</v>
      </c>
      <c r="W2646" s="180">
        <v>2880000000</v>
      </c>
      <c r="Y2646" s="180"/>
      <c r="Z2646" s="192" t="str">
        <f>IFERROR(Tableau3[[#This Row],[Chiffre d''affaires]]/Tableau3[[#This Row],[Salariés]],"")</f>
        <v/>
      </c>
      <c r="AA2646" s="197"/>
      <c r="AB2646" s="197"/>
      <c r="AC2646" s="177" t="s">
        <v>4573</v>
      </c>
    </row>
    <row r="2647" spans="1:29" ht="20.25" customHeight="1">
      <c r="A2647" s="217"/>
      <c r="E2647" s="187"/>
      <c r="G2647" s="202">
        <f>(G2646/G2648)-1</f>
        <v>-8.5258405295226436E-2</v>
      </c>
      <c r="H2647" s="203">
        <f>(H2646/H2648)-1</f>
        <v>-3.8759689922480578E-2</v>
      </c>
      <c r="I2647" s="203">
        <f>(I2646/I2648)-1</f>
        <v>0.27178899082568808</v>
      </c>
      <c r="J2647" s="203">
        <f>(J2646/J2648)-1</f>
        <v>0.44772117962466496</v>
      </c>
      <c r="K2647" s="188"/>
      <c r="L2647" s="188"/>
      <c r="M2647" s="188"/>
      <c r="N2647" s="178"/>
      <c r="O2647" s="178"/>
      <c r="P2647" s="178"/>
      <c r="Q2647" s="178"/>
      <c r="R2647" s="195"/>
      <c r="S2647" s="178"/>
      <c r="T2647" s="180"/>
      <c r="U2647" s="189" t="str">
        <f>IFERROR(IF(Tableau3[[#This Row],[Dettes]]=0,"",(Tableau3[[#This Row],[Dettes]]/Tableau3[[#This Row],[EBE]])),"")</f>
        <v/>
      </c>
      <c r="V2647" s="190" t="str">
        <f>IFERROR(Tableau3[[#This Row],[Fonds propres]]/Tableau3[[#This Row],[Total Bilan]],"")</f>
        <v/>
      </c>
      <c r="W2647" s="180"/>
      <c r="Y2647" s="180"/>
      <c r="Z2647" s="192" t="str">
        <f>IFERROR(Tableau3[[#This Row],[Chiffre d''affaires]]/Tableau3[[#This Row],[Salariés]],"")</f>
        <v/>
      </c>
      <c r="AA2647" s="177"/>
      <c r="AC2647" s="177" t="s">
        <v>4718</v>
      </c>
    </row>
    <row r="2648" spans="1:29" ht="20.25" customHeight="1">
      <c r="A2648" s="217"/>
      <c r="E2648" s="187">
        <v>15</v>
      </c>
      <c r="F2648" s="178">
        <v>2019</v>
      </c>
      <c r="G2648" s="188">
        <v>2281300000</v>
      </c>
      <c r="H2648" s="188">
        <v>245100000</v>
      </c>
      <c r="I2648" s="188">
        <v>87200000</v>
      </c>
      <c r="J2648" s="188">
        <v>37300000</v>
      </c>
      <c r="K2648" s="188">
        <v>861300000</v>
      </c>
      <c r="L2648" s="188">
        <v>1198200000</v>
      </c>
      <c r="M2648" s="194">
        <f>L2648/P2648</f>
        <v>14.550582631704692</v>
      </c>
      <c r="N2648" s="190">
        <f>J2648/L2650</f>
        <v>3.1498057760513426E-2</v>
      </c>
      <c r="O2648" s="190">
        <f>(I2648*0.81)/(K2650+L2650)</f>
        <v>3.6329595720604874E-2</v>
      </c>
      <c r="P2648" s="188">
        <v>82347218</v>
      </c>
      <c r="Q2648" s="188">
        <f>P2648*E2648</f>
        <v>1235208270</v>
      </c>
      <c r="R2648" s="195">
        <f>Q2648/L2648</f>
        <v>1.0308865548322483</v>
      </c>
      <c r="S2648" s="197">
        <f>(Q2648+K2648)/H2648</f>
        <v>8.5536853121175032</v>
      </c>
      <c r="T2648" s="180">
        <v>110000000</v>
      </c>
      <c r="U2648" s="189">
        <f>IFERROR(IF(Tableau3[[#This Row],[Dettes]]=0,"",(Tableau3[[#This Row],[Dettes]]/Tableau3[[#This Row],[EBE]])),"")</f>
        <v>3.514075887392901</v>
      </c>
      <c r="V2648" s="190">
        <f>IFERROR(Tableau3[[#This Row],[Fonds propres]]/Tableau3[[#This Row],[Total Bilan]],"")</f>
        <v>0.42946236559139783</v>
      </c>
      <c r="W2648" s="180">
        <v>2790000000</v>
      </c>
      <c r="X2648" s="191"/>
      <c r="Y2648" s="180"/>
      <c r="Z2648" s="192" t="str">
        <f>IFERROR(Tableau3[[#This Row],[Chiffre d''affaires]]/Tableau3[[#This Row],[Salariés]],"")</f>
        <v/>
      </c>
      <c r="AA2648" s="197"/>
      <c r="AB2648" s="197"/>
      <c r="AC2648" s="177" t="s">
        <v>1863</v>
      </c>
    </row>
    <row r="2649" spans="1:29" ht="20.25" customHeight="1">
      <c r="A2649" s="217"/>
      <c r="E2649" s="187"/>
      <c r="G2649" s="202">
        <f>(G2648/G2650)-1</f>
        <v>-4.7552569583806381E-3</v>
      </c>
      <c r="H2649" s="203">
        <f>(H2648/H2650)-1</f>
        <v>4.7435897435897489E-2</v>
      </c>
      <c r="I2649" s="203">
        <f>(I2648/I2650)-1</f>
        <v>-0.4293193717277487</v>
      </c>
      <c r="J2649" s="203">
        <f>(J2648/J2650)-1</f>
        <v>-0.61546391752577323</v>
      </c>
      <c r="K2649" s="188"/>
      <c r="L2649" s="188"/>
      <c r="M2649" s="188"/>
      <c r="N2649" s="178"/>
      <c r="O2649" s="178"/>
      <c r="P2649" s="178"/>
      <c r="Q2649" s="178"/>
      <c r="R2649" s="195"/>
      <c r="S2649" s="178"/>
      <c r="T2649" s="180"/>
      <c r="U2649" s="189" t="str">
        <f>IFERROR(IF(Tableau3[[#This Row],[Dettes]]=0,"",(Tableau3[[#This Row],[Dettes]]/Tableau3[[#This Row],[EBE]])),"")</f>
        <v/>
      </c>
      <c r="V2649" s="190" t="str">
        <f>IFERROR(Tableau3[[#This Row],[Fonds propres]]/Tableau3[[#This Row],[Total Bilan]],"")</f>
        <v/>
      </c>
      <c r="W2649" s="180"/>
      <c r="X2649" s="191"/>
      <c r="Y2649" s="180"/>
      <c r="Z2649" s="192" t="str">
        <f>IFERROR(Tableau3[[#This Row],[Chiffre d''affaires]]/Tableau3[[#This Row],[Salariés]],"")</f>
        <v/>
      </c>
      <c r="AA2649" s="197"/>
      <c r="AB2649" s="289"/>
      <c r="AC2649" s="290" t="s">
        <v>4572</v>
      </c>
    </row>
    <row r="2650" spans="1:29" ht="20.25" customHeight="1">
      <c r="A2650" s="217"/>
      <c r="E2650" s="187">
        <v>16</v>
      </c>
      <c r="F2650" s="178">
        <v>2018</v>
      </c>
      <c r="G2650" s="188">
        <v>2292200000</v>
      </c>
      <c r="H2650" s="188">
        <v>234000000</v>
      </c>
      <c r="I2650" s="188">
        <v>152800000</v>
      </c>
      <c r="J2650" s="188">
        <v>97000000</v>
      </c>
      <c r="K2650" s="188">
        <v>760000000</v>
      </c>
      <c r="L2650" s="188">
        <v>1184200000</v>
      </c>
      <c r="M2650" s="194">
        <f>L2650/P2650</f>
        <v>14.380570816612165</v>
      </c>
      <c r="N2650" s="190">
        <f>J2650/L2652</f>
        <v>8.234295415959253E-2</v>
      </c>
      <c r="O2650" s="190">
        <f>(I2650*0.81)/(K2652+L2652)</f>
        <v>6.4388721256893156E-2</v>
      </c>
      <c r="P2650" s="188">
        <v>82347218</v>
      </c>
      <c r="Q2650" s="188">
        <f>P2650*E2650</f>
        <v>1317555488</v>
      </c>
      <c r="R2650" s="195">
        <f>Q2650/L2650</f>
        <v>1.1126123019760175</v>
      </c>
      <c r="S2650" s="197">
        <f>(Q2650+K2650)/H2650</f>
        <v>8.8784422564102563</v>
      </c>
      <c r="T2650" s="180"/>
      <c r="U2650" s="189">
        <f>IFERROR(IF(Tableau3[[#This Row],[Dettes]]=0,"",(Tableau3[[#This Row],[Dettes]]/Tableau3[[#This Row],[EBE]])),"")</f>
        <v>3.2478632478632479</v>
      </c>
      <c r="V2650" s="190">
        <f>IFERROR(Tableau3[[#This Row],[Fonds propres]]/Tableau3[[#This Row],[Total Bilan]],"")</f>
        <v>0.43536764705882353</v>
      </c>
      <c r="W2650" s="180">
        <v>2720000000</v>
      </c>
      <c r="X2650" s="191"/>
      <c r="Y2650" s="180"/>
      <c r="Z2650" s="192" t="str">
        <f>IFERROR(Tableau3[[#This Row],[Chiffre d''affaires]]/Tableau3[[#This Row],[Salariés]],"")</f>
        <v/>
      </c>
      <c r="AA2650" s="197"/>
      <c r="AB2650" s="197"/>
      <c r="AC2650" s="177" t="s">
        <v>1864</v>
      </c>
    </row>
    <row r="2651" spans="1:29" ht="20.25" customHeight="1">
      <c r="A2651" s="277"/>
      <c r="E2651" s="187"/>
      <c r="G2651" s="202">
        <f>(G2650/G2652)-1</f>
        <v>-2.6831960601171767E-2</v>
      </c>
      <c r="H2651" s="203">
        <f>(H2650/H2652)-1</f>
        <v>-0.1216216216216216</v>
      </c>
      <c r="I2651" s="203">
        <f>(I2650/I2652)-1</f>
        <v>-0.26644263082093134</v>
      </c>
      <c r="J2651" s="203">
        <f>(J2650/J2652)-1</f>
        <v>-0.24454828660436134</v>
      </c>
      <c r="K2651" s="188"/>
      <c r="L2651" s="188"/>
      <c r="M2651" s="188"/>
      <c r="N2651" s="190"/>
      <c r="O2651" s="190"/>
      <c r="P2651" s="188"/>
      <c r="Q2651" s="188"/>
      <c r="R2651" s="195"/>
      <c r="S2651" s="197"/>
      <c r="T2651" s="180"/>
      <c r="U2651" s="189" t="str">
        <f>IFERROR(IF(Tableau3[[#This Row],[Dettes]]=0,"",(Tableau3[[#This Row],[Dettes]]/Tableau3[[#This Row],[EBE]])),"")</f>
        <v/>
      </c>
      <c r="V2651" s="190" t="str">
        <f>IFERROR(Tableau3[[#This Row],[Fonds propres]]/Tableau3[[#This Row],[Total Bilan]],"")</f>
        <v/>
      </c>
      <c r="W2651" s="180"/>
      <c r="X2651" s="191"/>
      <c r="Y2651" s="180"/>
      <c r="Z2651" s="192" t="str">
        <f>IFERROR(Tableau3[[#This Row],[Chiffre d''affaires]]/Tableau3[[#This Row],[Salariés]],"")</f>
        <v/>
      </c>
      <c r="AA2651" s="197"/>
      <c r="AB2651" s="197"/>
      <c r="AC2651" s="177" t="s">
        <v>1865</v>
      </c>
    </row>
    <row r="2652" spans="1:29" ht="20.25" customHeight="1">
      <c r="A2652" s="217"/>
      <c r="E2652" s="187">
        <v>28.64</v>
      </c>
      <c r="F2652" s="178">
        <v>2017</v>
      </c>
      <c r="G2652" s="188">
        <v>2355400000</v>
      </c>
      <c r="H2652" s="188">
        <v>266400000</v>
      </c>
      <c r="I2652" s="188">
        <v>208300000</v>
      </c>
      <c r="J2652" s="188">
        <v>128400000</v>
      </c>
      <c r="K2652" s="188">
        <v>744200000</v>
      </c>
      <c r="L2652" s="188">
        <v>1178000000</v>
      </c>
      <c r="M2652" s="194">
        <f>L2654/P2652</f>
        <v>12.1327717470674</v>
      </c>
      <c r="N2652" s="190">
        <f>J2652/L2654</f>
        <v>0.12851566409768791</v>
      </c>
      <c r="O2652" s="190">
        <f>(I2652*0.81)/(K2654+L2654)</f>
        <v>0.10139603365384615</v>
      </c>
      <c r="P2652" s="188">
        <v>82347218</v>
      </c>
      <c r="Q2652" s="188">
        <f>P2652*E2652</f>
        <v>2358424323.52</v>
      </c>
      <c r="R2652" s="195">
        <f>Q2652/L2652</f>
        <v>2.0020579995925298</v>
      </c>
      <c r="S2652" s="197">
        <f>(Q2652+K2652)/H2652</f>
        <v>11.6464877009009</v>
      </c>
      <c r="T2652" s="180"/>
      <c r="U2652" s="189">
        <f>IFERROR(IF(Tableau3[[#This Row],[Dettes]]=0,"",(Tableau3[[#This Row],[Dettes]]/Tableau3[[#This Row],[EBE]])),"")</f>
        <v>2.7935435435435436</v>
      </c>
      <c r="V2652" s="190" t="str">
        <f>IFERROR(Tableau3[[#This Row],[Fonds propres]]/Tableau3[[#This Row],[Total Bilan]],"")</f>
        <v/>
      </c>
      <c r="W2652" s="180"/>
      <c r="X2652" s="191"/>
      <c r="Y2652" s="180"/>
      <c r="Z2652" s="192" t="str">
        <f>IFERROR(Tableau3[[#This Row],[Chiffre d''affaires]]/Tableau3[[#This Row],[Salariés]],"")</f>
        <v/>
      </c>
      <c r="AA2652" s="197"/>
      <c r="AB2652" s="197"/>
      <c r="AC2652" s="177" t="s">
        <v>1866</v>
      </c>
    </row>
    <row r="2653" spans="1:29" ht="20.25" customHeight="1">
      <c r="A2653" s="217"/>
      <c r="E2653" s="187"/>
      <c r="G2653" s="202">
        <f>(G2652/G2654)-1</f>
        <v>0.18183642749623674</v>
      </c>
      <c r="H2653" s="203">
        <f>(H2652/H2654)-1</f>
        <v>7.1170084439083237E-2</v>
      </c>
      <c r="I2653" s="203">
        <f>(I2652/I2654)-1</f>
        <v>7.6485788113695108E-2</v>
      </c>
      <c r="J2653" s="203">
        <f>(J2652/J2654)-1</f>
        <v>7.268170426065157E-2</v>
      </c>
      <c r="K2653" s="188"/>
      <c r="L2653" s="188"/>
      <c r="M2653" s="188"/>
      <c r="N2653" s="190"/>
      <c r="O2653" s="190"/>
      <c r="P2653" s="188"/>
      <c r="Q2653" s="188"/>
      <c r="R2653" s="195"/>
      <c r="S2653" s="197"/>
      <c r="T2653" s="180"/>
      <c r="U2653" s="189" t="str">
        <f>IFERROR(IF(Tableau3[[#This Row],[Dettes]]=0,"",(Tableau3[[#This Row],[Dettes]]/Tableau3[[#This Row],[EBE]])),"")</f>
        <v/>
      </c>
      <c r="V2653" s="190" t="str">
        <f>IFERROR(Tableau3[[#This Row],[Fonds propres]]/Tableau3[[#This Row],[Total Bilan]],"")</f>
        <v/>
      </c>
      <c r="W2653" s="180"/>
      <c r="X2653" s="191"/>
      <c r="Y2653" s="180"/>
      <c r="Z2653" s="192" t="str">
        <f>IFERROR(Tableau3[[#This Row],[Chiffre d''affaires]]/Tableau3[[#This Row],[Salariés]],"")</f>
        <v/>
      </c>
      <c r="AA2653" s="197"/>
      <c r="AB2653" s="197"/>
      <c r="AC2653" s="177" t="s">
        <v>1867</v>
      </c>
    </row>
    <row r="2654" spans="1:29" ht="20.25" customHeight="1">
      <c r="A2654" s="217"/>
      <c r="E2654" s="187">
        <v>28.25</v>
      </c>
      <c r="F2654" s="178">
        <v>2016</v>
      </c>
      <c r="G2654" s="188">
        <v>1993000000</v>
      </c>
      <c r="H2654" s="188">
        <v>248700000</v>
      </c>
      <c r="I2654" s="188">
        <v>193500000</v>
      </c>
      <c r="J2654" s="188">
        <v>119700000</v>
      </c>
      <c r="K2654" s="188">
        <v>664900000</v>
      </c>
      <c r="L2654" s="188">
        <v>999100000</v>
      </c>
      <c r="M2654" s="194">
        <f>L2656/P2654</f>
        <v>11.383748153981371</v>
      </c>
      <c r="N2654" s="190">
        <f>J2654/L2656</f>
        <v>0.14045998591879841</v>
      </c>
      <c r="O2654" s="190">
        <f>(I2654*0.81)/(K2656+L2656)</f>
        <v>0.12462033871352469</v>
      </c>
      <c r="P2654" s="188">
        <v>74861108</v>
      </c>
      <c r="Q2654" s="188">
        <f>P2654*E2654</f>
        <v>2114826301</v>
      </c>
      <c r="R2654" s="195">
        <f>Q2654/L2654</f>
        <v>2.116731359223301</v>
      </c>
      <c r="S2654" s="197">
        <f>(Q2654+K2654)/H2654</f>
        <v>11.17702573783675</v>
      </c>
      <c r="T2654" s="180"/>
      <c r="U2654" s="189">
        <f>IFERROR(IF(Tableau3[[#This Row],[Dettes]]=0,"",(Tableau3[[#This Row],[Dettes]]/Tableau3[[#This Row],[EBE]])),"")</f>
        <v>2.6735022114997991</v>
      </c>
      <c r="V2654" s="190" t="str">
        <f>IFERROR(Tableau3[[#This Row],[Fonds propres]]/Tableau3[[#This Row],[Total Bilan]],"")</f>
        <v/>
      </c>
      <c r="W2654" s="180"/>
      <c r="X2654" s="191"/>
      <c r="Y2654" s="180"/>
      <c r="Z2654" s="192" t="str">
        <f>IFERROR(Tableau3[[#This Row],[Chiffre d''affaires]]/Tableau3[[#This Row],[Salariés]],"")</f>
        <v/>
      </c>
      <c r="AA2654" s="197"/>
      <c r="AB2654" s="197"/>
      <c r="AC2654" s="177" t="s">
        <v>1868</v>
      </c>
    </row>
    <row r="2655" spans="1:29" ht="20.25" customHeight="1">
      <c r="A2655" s="217"/>
      <c r="E2655" s="187"/>
      <c r="G2655" s="202">
        <f>(G2654/G2656)-1</f>
        <v>0.17977860652341215</v>
      </c>
      <c r="H2655" s="203">
        <f>(H2654/H2656)-1</f>
        <v>0.18938307030129131</v>
      </c>
      <c r="I2655" s="203">
        <f>(I2654/I2656)-1</f>
        <v>0.1449704142011834</v>
      </c>
      <c r="J2655" s="203">
        <f>(J2654/J2656)-1</f>
        <v>0.21399594320486814</v>
      </c>
      <c r="K2655" s="188"/>
      <c r="L2655" s="188"/>
      <c r="M2655" s="188"/>
      <c r="N2655" s="190"/>
      <c r="O2655" s="190"/>
      <c r="P2655" s="188"/>
      <c r="Q2655" s="188"/>
      <c r="R2655" s="195"/>
      <c r="S2655" s="197"/>
      <c r="T2655" s="180"/>
      <c r="U2655" s="189" t="str">
        <f>IFERROR(IF(Tableau3[[#This Row],[Dettes]]=0,"",(Tableau3[[#This Row],[Dettes]]/Tableau3[[#This Row],[EBE]])),"")</f>
        <v/>
      </c>
      <c r="V2655" s="190" t="str">
        <f>IFERROR(Tableau3[[#This Row],[Fonds propres]]/Tableau3[[#This Row],[Total Bilan]],"")</f>
        <v/>
      </c>
      <c r="W2655" s="180"/>
      <c r="X2655" s="192"/>
      <c r="Y2655" s="180"/>
      <c r="Z2655" s="192" t="str">
        <f>IFERROR(Tableau3[[#This Row],[Chiffre d''affaires]]/Tableau3[[#This Row],[Salariés]],"")</f>
        <v/>
      </c>
      <c r="AA2655" s="188"/>
      <c r="AB2655" s="188"/>
      <c r="AC2655" s="177" t="s">
        <v>1869</v>
      </c>
    </row>
    <row r="2656" spans="1:29" ht="20.25" customHeight="1">
      <c r="A2656" s="217"/>
      <c r="E2656" s="187">
        <v>32.76</v>
      </c>
      <c r="F2656" s="178">
        <v>2015</v>
      </c>
      <c r="G2656" s="188">
        <v>1689300000</v>
      </c>
      <c r="H2656" s="188">
        <v>209100000</v>
      </c>
      <c r="I2656" s="188">
        <v>169000000</v>
      </c>
      <c r="J2656" s="188">
        <v>98600000</v>
      </c>
      <c r="K2656" s="188">
        <v>405500000</v>
      </c>
      <c r="L2656" s="188">
        <v>852200000</v>
      </c>
      <c r="M2656" s="194">
        <f>L2656/P2656</f>
        <v>11.813323374395837</v>
      </c>
      <c r="N2656" s="190">
        <f>J2656/L2658</f>
        <v>0.14694485842026825</v>
      </c>
      <c r="O2656" s="190">
        <f>(I2656*0.81)/(K2658+L2658)</f>
        <v>0.1089801767375209</v>
      </c>
      <c r="P2656" s="188">
        <v>72138887</v>
      </c>
      <c r="Q2656" s="188">
        <f>P2656*E2656</f>
        <v>2363269938.1199999</v>
      </c>
      <c r="R2656" s="195">
        <f>Q2656/L2656</f>
        <v>2.773140035343816</v>
      </c>
      <c r="S2656" s="197">
        <f>(Q2656+K2656)/H2656</f>
        <v>13.241367470683883</v>
      </c>
      <c r="T2656" s="180"/>
      <c r="U2656" s="189">
        <f>IFERROR(IF(Tableau3[[#This Row],[Dettes]]=0,"",(Tableau3[[#This Row],[Dettes]]/Tableau3[[#This Row],[EBE]])),"")</f>
        <v>1.9392635102821616</v>
      </c>
      <c r="V2656" s="190" t="str">
        <f>IFERROR(Tableau3[[#This Row],[Fonds propres]]/Tableau3[[#This Row],[Total Bilan]],"")</f>
        <v/>
      </c>
      <c r="W2656" s="180"/>
      <c r="X2656" s="191"/>
      <c r="Y2656" s="180"/>
      <c r="Z2656" s="192" t="str">
        <f>IFERROR(Tableau3[[#This Row],[Chiffre d''affaires]]/Tableau3[[#This Row],[Salariés]],"")</f>
        <v/>
      </c>
      <c r="AA2656" s="197"/>
      <c r="AB2656" s="197"/>
      <c r="AC2656" s="177" t="s">
        <v>1870</v>
      </c>
    </row>
    <row r="2657" spans="1:29" ht="20.25" customHeight="1">
      <c r="A2657" s="217"/>
      <c r="E2657" s="187"/>
      <c r="G2657" s="202">
        <f>(G2656/G2658)-1</f>
        <v>4.5423602945726893E-2</v>
      </c>
      <c r="H2657" s="203">
        <f>(H2656/H2658)-1</f>
        <v>6.6292707802141804E-2</v>
      </c>
      <c r="I2657" s="203">
        <f>(I2656/I2658)-1</f>
        <v>0.57063197026022294</v>
      </c>
      <c r="J2657" s="203">
        <f>(J2656/J2658)-1</f>
        <v>10.465116279069768</v>
      </c>
      <c r="K2657" s="188"/>
      <c r="L2657" s="188"/>
      <c r="M2657" s="188"/>
      <c r="N2657" s="188"/>
      <c r="O2657" s="188"/>
      <c r="P2657" s="188"/>
      <c r="Q2657" s="188"/>
      <c r="R2657" s="195"/>
      <c r="S2657" s="188"/>
      <c r="T2657" s="180"/>
      <c r="U2657" s="189" t="str">
        <f>IFERROR(IF(Tableau3[[#This Row],[Dettes]]=0,"",(Tableau3[[#This Row],[Dettes]]/Tableau3[[#This Row],[EBE]])),"")</f>
        <v/>
      </c>
      <c r="V2657" s="190" t="str">
        <f>IFERROR(Tableau3[[#This Row],[Fonds propres]]/Tableau3[[#This Row],[Total Bilan]],"")</f>
        <v/>
      </c>
      <c r="W2657" s="180"/>
      <c r="Y2657" s="180"/>
      <c r="Z2657" s="192" t="str">
        <f>IFERROR(Tableau3[[#This Row],[Chiffre d''affaires]]/Tableau3[[#This Row],[Salariés]],"")</f>
        <v/>
      </c>
      <c r="AA2657" s="177"/>
      <c r="AC2657" s="177" t="s">
        <v>1871</v>
      </c>
    </row>
    <row r="2658" spans="1:29" ht="20.25" customHeight="1">
      <c r="A2658" s="217"/>
      <c r="E2658" s="187">
        <v>23</v>
      </c>
      <c r="F2658" s="178">
        <v>2014</v>
      </c>
      <c r="G2658" s="188">
        <v>1615900000</v>
      </c>
      <c r="H2658" s="188">
        <v>196100000</v>
      </c>
      <c r="I2658" s="188">
        <v>107600000</v>
      </c>
      <c r="J2658" s="188">
        <v>8600000</v>
      </c>
      <c r="K2658" s="188">
        <v>585100000</v>
      </c>
      <c r="L2658" s="188">
        <v>671000000</v>
      </c>
      <c r="M2658" s="194">
        <f>L2658/P2658</f>
        <v>9.8595919172211577</v>
      </c>
      <c r="N2658" s="190">
        <f>J2658/L2658</f>
        <v>1.2816691505216096E-2</v>
      </c>
      <c r="O2658" s="190">
        <f>(I2658*0.64)/(K2658+(M2658*P2658))</f>
        <v>5.4823660536581484E-2</v>
      </c>
      <c r="P2658" s="188">
        <v>68055555</v>
      </c>
      <c r="Q2658" s="188">
        <f>P2658*E2658</f>
        <v>1565277765</v>
      </c>
      <c r="R2658" s="195">
        <f>Q2658/L2658</f>
        <v>2.332753748137109</v>
      </c>
      <c r="S2658" s="197">
        <f>(Q2658+K2658)/H2658</f>
        <v>10.965720372259051</v>
      </c>
      <c r="T2658" s="180"/>
      <c r="U2658" s="189">
        <f>IFERROR(IF(Tableau3[[#This Row],[Dettes]]=0,"",(Tableau3[[#This Row],[Dettes]]/Tableau3[[#This Row],[EBE]])),"")</f>
        <v>2.9836817950025498</v>
      </c>
      <c r="V2658" s="190" t="str">
        <f>IFERROR(Tableau3[[#This Row],[Fonds propres]]/Tableau3[[#This Row],[Total Bilan]],"")</f>
        <v/>
      </c>
      <c r="W2658" s="180"/>
      <c r="Y2658" s="180"/>
      <c r="Z2658" s="192" t="str">
        <f>IFERROR(Tableau3[[#This Row],[Chiffre d''affaires]]/Tableau3[[#This Row],[Salariés]],"")</f>
        <v/>
      </c>
      <c r="AA2658" s="177"/>
      <c r="AC2658" s="177" t="s">
        <v>1872</v>
      </c>
    </row>
    <row r="2659" spans="1:29" ht="20.25" customHeight="1">
      <c r="A2659" s="217"/>
      <c r="G2659" s="188"/>
      <c r="H2659" s="178"/>
      <c r="I2659" s="178"/>
      <c r="J2659" s="178"/>
      <c r="K2659" s="178"/>
      <c r="L2659" s="178"/>
      <c r="M2659" s="178"/>
      <c r="N2659" s="178"/>
      <c r="O2659" s="178"/>
      <c r="P2659" s="178"/>
      <c r="Q2659" s="178"/>
      <c r="R2659" s="178"/>
      <c r="S2659" s="178"/>
      <c r="T2659" s="180"/>
      <c r="U2659" s="189" t="str">
        <f>IFERROR(IF(Tableau3[[#This Row],[Dettes]]=0,"",(Tableau3[[#This Row],[Dettes]]/Tableau3[[#This Row],[EBE]])),"")</f>
        <v/>
      </c>
      <c r="V2659" s="190" t="str">
        <f>IFERROR(Tableau3[[#This Row],[Fonds propres]]/Tableau3[[#This Row],[Total Bilan]],"")</f>
        <v/>
      </c>
      <c r="W2659" s="180"/>
      <c r="Y2659" s="180"/>
      <c r="Z2659" s="192" t="str">
        <f>IFERROR(Tableau3[[#This Row],[Chiffre d''affaires]]/Tableau3[[#This Row],[Salariés]],"")</f>
        <v/>
      </c>
      <c r="AA2659" s="177"/>
      <c r="AC2659" s="177" t="s">
        <v>1873</v>
      </c>
    </row>
    <row r="2660" spans="1:29" ht="20.25" customHeight="1">
      <c r="A2660" s="217"/>
      <c r="F2660" s="217" t="s">
        <v>1876</v>
      </c>
      <c r="G2660" s="188"/>
      <c r="H2660" s="188">
        <v>173000000</v>
      </c>
      <c r="I2660" s="188"/>
      <c r="J2660" s="188"/>
      <c r="K2660" s="188">
        <v>849200000</v>
      </c>
      <c r="L2660" s="178"/>
      <c r="M2660" s="178"/>
      <c r="N2660" s="178"/>
      <c r="O2660" s="178"/>
      <c r="P2660" s="178"/>
      <c r="Q2660" s="178"/>
      <c r="R2660" s="178"/>
      <c r="S2660" s="178"/>
      <c r="T2660" s="180"/>
      <c r="U2660" s="189">
        <f>IFERROR(IF(Tableau3[[#This Row],[Dettes]]=0,"",(Tableau3[[#This Row],[Dettes]]/Tableau3[[#This Row],[EBE]])),"")</f>
        <v>4.9086705202312135</v>
      </c>
      <c r="V2660" s="190" t="str">
        <f>IFERROR(Tableau3[[#This Row],[Fonds propres]]/Tableau3[[#This Row],[Total Bilan]],"")</f>
        <v/>
      </c>
      <c r="W2660" s="180"/>
      <c r="Y2660" s="180"/>
      <c r="Z2660" s="192" t="str">
        <f>IFERROR(Tableau3[[#This Row],[Chiffre d''affaires]]/Tableau3[[#This Row],[Salariés]],"")</f>
        <v/>
      </c>
      <c r="AA2660" s="177"/>
      <c r="AC2660" s="177" t="s">
        <v>1874</v>
      </c>
    </row>
    <row r="2661" spans="1:29" ht="20.25" customHeight="1">
      <c r="A2661" s="217"/>
      <c r="G2661" s="188"/>
      <c r="H2661" s="178"/>
      <c r="I2661" s="178"/>
      <c r="J2661" s="178"/>
      <c r="K2661" s="178"/>
      <c r="L2661" s="178"/>
      <c r="M2661" s="178"/>
      <c r="N2661" s="178"/>
      <c r="O2661" s="178"/>
      <c r="P2661" s="178"/>
      <c r="Q2661" s="178"/>
      <c r="R2661" s="178"/>
      <c r="S2661" s="178"/>
      <c r="T2661" s="180"/>
      <c r="U2661" s="189" t="str">
        <f>IFERROR(IF(Tableau3[[#This Row],[Dettes]]=0,"",(Tableau3[[#This Row],[Dettes]]/Tableau3[[#This Row],[EBE]])),"")</f>
        <v/>
      </c>
      <c r="V2661" s="190" t="str">
        <f>IFERROR(Tableau3[[#This Row],[Fonds propres]]/Tableau3[[#This Row],[Total Bilan]],"")</f>
        <v/>
      </c>
      <c r="W2661" s="180"/>
      <c r="Y2661" s="180"/>
      <c r="Z2661" s="192" t="str">
        <f>IFERROR(Tableau3[[#This Row],[Chiffre d''affaires]]/Tableau3[[#This Row],[Salariés]],"")</f>
        <v/>
      </c>
      <c r="AA2661" s="177"/>
      <c r="AC2661" s="177" t="s">
        <v>1875</v>
      </c>
    </row>
    <row r="2662" spans="1:29" ht="20.25" customHeight="1">
      <c r="A2662" s="217"/>
      <c r="F2662" s="178">
        <v>2009</v>
      </c>
      <c r="G2662" s="188">
        <v>1104000000</v>
      </c>
      <c r="H2662" s="188">
        <v>150300000</v>
      </c>
      <c r="I2662" s="178"/>
      <c r="J2662" s="178"/>
      <c r="K2662" s="178"/>
      <c r="L2662" s="178"/>
      <c r="M2662" s="178"/>
      <c r="N2662" s="178"/>
      <c r="O2662" s="178"/>
      <c r="P2662" s="178"/>
      <c r="Q2662" s="178"/>
      <c r="R2662" s="178"/>
      <c r="S2662" s="178"/>
      <c r="T2662" s="180"/>
      <c r="U2662" s="189" t="str">
        <f>IFERROR(IF(Tableau3[[#This Row],[Dettes]]=0,"",(Tableau3[[#This Row],[Dettes]]/Tableau3[[#This Row],[EBE]])),"")</f>
        <v/>
      </c>
      <c r="V2662" s="190" t="str">
        <f>IFERROR(Tableau3[[#This Row],[Fonds propres]]/Tableau3[[#This Row],[Total Bilan]],"")</f>
        <v/>
      </c>
      <c r="W2662" s="180"/>
      <c r="Y2662" s="180"/>
      <c r="Z2662" s="192" t="str">
        <f>IFERROR(Tableau3[[#This Row],[Chiffre d''affaires]]/Tableau3[[#This Row],[Salariés]],"")</f>
        <v/>
      </c>
      <c r="AA2662" s="177"/>
      <c r="AC2662" s="177" t="s">
        <v>1877</v>
      </c>
    </row>
    <row r="2663" spans="1:29" ht="20.25" customHeight="1">
      <c r="A2663" s="217"/>
      <c r="G2663" s="188"/>
      <c r="H2663" s="178"/>
      <c r="I2663" s="178"/>
      <c r="J2663" s="178"/>
      <c r="K2663" s="178"/>
      <c r="L2663" s="178"/>
      <c r="M2663" s="178"/>
      <c r="N2663" s="178"/>
      <c r="O2663" s="178"/>
      <c r="P2663" s="178"/>
      <c r="Q2663" s="178"/>
      <c r="R2663" s="178"/>
      <c r="S2663" s="178"/>
      <c r="T2663" s="180"/>
      <c r="U2663" s="189" t="str">
        <f>IFERROR(IF(Tableau3[[#This Row],[Dettes]]=0,"",(Tableau3[[#This Row],[Dettes]]/Tableau3[[#This Row],[EBE]])),"")</f>
        <v/>
      </c>
      <c r="V2663" s="190" t="str">
        <f>IFERROR(Tableau3[[#This Row],[Fonds propres]]/Tableau3[[#This Row],[Total Bilan]],"")</f>
        <v/>
      </c>
      <c r="W2663" s="180"/>
      <c r="Y2663" s="180"/>
      <c r="Z2663" s="192" t="str">
        <f>IFERROR(Tableau3[[#This Row],[Chiffre d''affaires]]/Tableau3[[#This Row],[Salariés]],"")</f>
        <v/>
      </c>
      <c r="AA2663" s="177"/>
      <c r="AC2663" s="177" t="s">
        <v>1878</v>
      </c>
    </row>
    <row r="2664" spans="1:29" ht="20.25" customHeight="1">
      <c r="A2664" s="217"/>
      <c r="G2664" s="188"/>
      <c r="H2664" s="178"/>
      <c r="I2664" s="178"/>
      <c r="J2664" s="178"/>
      <c r="K2664" s="178"/>
      <c r="L2664" s="178"/>
      <c r="M2664" s="178"/>
      <c r="N2664" s="178"/>
      <c r="O2664" s="178"/>
      <c r="P2664" s="178"/>
      <c r="Q2664" s="178"/>
      <c r="R2664" s="178"/>
      <c r="S2664" s="178"/>
      <c r="T2664" s="180"/>
      <c r="U2664" s="189" t="str">
        <f>IFERROR(IF(Tableau3[[#This Row],[Dettes]]=0,"",(Tableau3[[#This Row],[Dettes]]/Tableau3[[#This Row],[EBE]])),"")</f>
        <v/>
      </c>
      <c r="V2664" s="190" t="str">
        <f>IFERROR(Tableau3[[#This Row],[Fonds propres]]/Tableau3[[#This Row],[Total Bilan]],"")</f>
        <v/>
      </c>
      <c r="W2664" s="180"/>
      <c r="Y2664" s="180"/>
      <c r="Z2664" s="192" t="str">
        <f>IFERROR(Tableau3[[#This Row],[Chiffre d''affaires]]/Tableau3[[#This Row],[Salariés]],"")</f>
        <v/>
      </c>
      <c r="AA2664" s="177"/>
      <c r="AC2664" s="177" t="s">
        <v>1879</v>
      </c>
    </row>
    <row r="2665" spans="1:29" ht="20.25" customHeight="1">
      <c r="A2665" s="217"/>
      <c r="G2665" s="188"/>
      <c r="H2665" s="178"/>
      <c r="I2665" s="178"/>
      <c r="J2665" s="178"/>
      <c r="K2665" s="178"/>
      <c r="L2665" s="178"/>
      <c r="M2665" s="178"/>
      <c r="N2665" s="178"/>
      <c r="O2665" s="178"/>
      <c r="P2665" s="178"/>
      <c r="Q2665" s="178"/>
      <c r="R2665" s="178"/>
      <c r="S2665" s="178"/>
      <c r="T2665" s="180"/>
      <c r="U2665" s="189" t="str">
        <f>IFERROR(IF(Tableau3[[#This Row],[Dettes]]=0,"",(Tableau3[[#This Row],[Dettes]]/Tableau3[[#This Row],[EBE]])),"")</f>
        <v/>
      </c>
      <c r="V2665" s="190" t="str">
        <f>IFERROR(Tableau3[[#This Row],[Fonds propres]]/Tableau3[[#This Row],[Total Bilan]],"")</f>
        <v/>
      </c>
      <c r="W2665" s="180"/>
      <c r="Y2665" s="180"/>
      <c r="Z2665" s="192" t="str">
        <f>IFERROR(Tableau3[[#This Row],[Chiffre d''affaires]]/Tableau3[[#This Row],[Salariés]],"")</f>
        <v/>
      </c>
      <c r="AA2665" s="177"/>
      <c r="AC2665" s="177" t="s">
        <v>5230</v>
      </c>
    </row>
    <row r="2666" spans="1:29" ht="20.25" customHeight="1">
      <c r="A2666" s="217"/>
      <c r="G2666" s="188"/>
      <c r="H2666" s="178"/>
      <c r="I2666" s="178"/>
      <c r="J2666" s="178"/>
      <c r="K2666" s="178"/>
      <c r="L2666" s="178"/>
      <c r="M2666" s="178"/>
      <c r="N2666" s="178"/>
      <c r="O2666" s="178"/>
      <c r="P2666" s="178"/>
      <c r="Q2666" s="178"/>
      <c r="R2666" s="178"/>
      <c r="S2666" s="178"/>
      <c r="T2666" s="180"/>
      <c r="U2666" s="189" t="str">
        <f>IFERROR(IF(Tableau3[[#This Row],[Dettes]]=0,"",(Tableau3[[#This Row],[Dettes]]/Tableau3[[#This Row],[EBE]])),"")</f>
        <v/>
      </c>
      <c r="V2666" s="190" t="str">
        <f>IFERROR(Tableau3[[#This Row],[Fonds propres]]/Tableau3[[#This Row],[Total Bilan]],"")</f>
        <v/>
      </c>
      <c r="W2666" s="180"/>
      <c r="Y2666" s="180"/>
      <c r="Z2666" s="192" t="str">
        <f>IFERROR(Tableau3[[#This Row],[Chiffre d''affaires]]/Tableau3[[#This Row],[Salariés]],"")</f>
        <v/>
      </c>
      <c r="AA2666" s="177"/>
      <c r="AC2666" s="177" t="s">
        <v>1655</v>
      </c>
    </row>
    <row r="2667" spans="1:29" ht="20.25" customHeight="1">
      <c r="A2667" s="217"/>
      <c r="G2667" s="188"/>
      <c r="H2667" s="178"/>
      <c r="I2667" s="178"/>
      <c r="J2667" s="178"/>
      <c r="K2667" s="178"/>
      <c r="L2667" s="178"/>
      <c r="M2667" s="178"/>
      <c r="N2667" s="178"/>
      <c r="O2667" s="178"/>
      <c r="P2667" s="178"/>
      <c r="Q2667" s="178"/>
      <c r="R2667" s="178"/>
      <c r="S2667" s="178"/>
      <c r="T2667" s="180"/>
      <c r="U2667" s="189" t="str">
        <f>IFERROR(IF(Tableau3[[#This Row],[Dettes]]=0,"",(Tableau3[[#This Row],[Dettes]]/Tableau3[[#This Row],[EBE]])),"")</f>
        <v/>
      </c>
      <c r="V2667" s="190" t="str">
        <f>IFERROR(Tableau3[[#This Row],[Fonds propres]]/Tableau3[[#This Row],[Total Bilan]],"")</f>
        <v/>
      </c>
      <c r="W2667" s="180"/>
      <c r="Y2667" s="180"/>
      <c r="Z2667" s="192" t="str">
        <f>IFERROR(Tableau3[[#This Row],[Chiffre d''affaires]]/Tableau3[[#This Row],[Salariés]],"")</f>
        <v/>
      </c>
      <c r="AA2667" s="177"/>
      <c r="AC2667" s="177" t="s">
        <v>4828</v>
      </c>
    </row>
    <row r="2668" spans="1:29" ht="20.25" customHeight="1">
      <c r="A2668" s="217"/>
      <c r="G2668" s="188"/>
      <c r="H2668" s="178"/>
      <c r="I2668" s="178"/>
      <c r="J2668" s="178"/>
      <c r="K2668" s="178"/>
      <c r="L2668" s="178"/>
      <c r="M2668" s="178"/>
      <c r="N2668" s="178"/>
      <c r="O2668" s="178"/>
      <c r="P2668" s="178"/>
      <c r="Q2668" s="178"/>
      <c r="R2668" s="178"/>
      <c r="S2668" s="178"/>
      <c r="T2668" s="180"/>
      <c r="U2668" s="189" t="str">
        <f>IFERROR(IF(Tableau3[[#This Row],[Dettes]]=0,"",(Tableau3[[#This Row],[Dettes]]/Tableau3[[#This Row],[EBE]])),"")</f>
        <v/>
      </c>
      <c r="V2668" s="190" t="str">
        <f>IFERROR(Tableau3[[#This Row],[Fonds propres]]/Tableau3[[#This Row],[Total Bilan]],"")</f>
        <v/>
      </c>
      <c r="W2668" s="180"/>
      <c r="Y2668" s="180"/>
      <c r="Z2668" s="192" t="str">
        <f>IFERROR(Tableau3[[#This Row],[Chiffre d''affaires]]/Tableau3[[#This Row],[Salariés]],"")</f>
        <v/>
      </c>
      <c r="AA2668" s="177"/>
      <c r="AC2668" s="177" t="s">
        <v>81</v>
      </c>
    </row>
    <row r="2669" spans="1:29" ht="20.25" customHeight="1">
      <c r="A2669" s="217"/>
      <c r="G2669" s="188"/>
      <c r="H2669" s="178"/>
      <c r="I2669" s="178"/>
      <c r="J2669" s="178"/>
      <c r="K2669" s="178"/>
      <c r="L2669" s="178"/>
      <c r="M2669" s="178"/>
      <c r="N2669" s="178"/>
      <c r="O2669" s="178"/>
      <c r="P2669" s="178"/>
      <c r="Q2669" s="178"/>
      <c r="R2669" s="178"/>
      <c r="S2669" s="178"/>
      <c r="T2669" s="180"/>
      <c r="U2669" s="189" t="str">
        <f>IFERROR(IF(Tableau3[[#This Row],[Dettes]]=0,"",(Tableau3[[#This Row],[Dettes]]/Tableau3[[#This Row],[EBE]])),"")</f>
        <v/>
      </c>
      <c r="V2669" s="190" t="str">
        <f>IFERROR(Tableau3[[#This Row],[Fonds propres]]/Tableau3[[#This Row],[Total Bilan]],"")</f>
        <v/>
      </c>
      <c r="W2669" s="180"/>
      <c r="Y2669" s="180"/>
      <c r="Z2669" s="192" t="str">
        <f>IFERROR(Tableau3[[#This Row],[Chiffre d''affaires]]/Tableau3[[#This Row],[Salariés]],"")</f>
        <v/>
      </c>
      <c r="AA2669" s="177"/>
      <c r="AC2669" s="177" t="s">
        <v>1880</v>
      </c>
    </row>
    <row r="2670" spans="1:29" ht="20.25" customHeight="1">
      <c r="A2670" s="217"/>
      <c r="G2670" s="188"/>
      <c r="H2670" s="178"/>
      <c r="I2670" s="178"/>
      <c r="J2670" s="178"/>
      <c r="K2670" s="178"/>
      <c r="L2670" s="178"/>
      <c r="M2670" s="178"/>
      <c r="N2670" s="178"/>
      <c r="O2670" s="178"/>
      <c r="P2670" s="178"/>
      <c r="Q2670" s="178"/>
      <c r="R2670" s="178"/>
      <c r="S2670" s="178"/>
      <c r="T2670" s="180"/>
      <c r="U2670" s="189" t="str">
        <f>IFERROR(IF(Tableau3[[#This Row],[Dettes]]=0,"",(Tableau3[[#This Row],[Dettes]]/Tableau3[[#This Row],[EBE]])),"")</f>
        <v/>
      </c>
      <c r="V2670" s="190" t="str">
        <f>IFERROR(Tableau3[[#This Row],[Fonds propres]]/Tableau3[[#This Row],[Total Bilan]],"")</f>
        <v/>
      </c>
      <c r="W2670" s="180"/>
      <c r="Y2670" s="180"/>
      <c r="Z2670" s="192" t="str">
        <f>IFERROR(Tableau3[[#This Row],[Chiffre d''affaires]]/Tableau3[[#This Row],[Salariés]],"")</f>
        <v/>
      </c>
      <c r="AA2670" s="177"/>
    </row>
    <row r="2671" spans="1:29" ht="20.25" customHeight="1">
      <c r="A2671" s="217" t="s">
        <v>1899</v>
      </c>
      <c r="B2671" s="216" t="s">
        <v>1900</v>
      </c>
      <c r="C2671" s="178" t="s">
        <v>382</v>
      </c>
      <c r="D2671" s="178" t="s">
        <v>383</v>
      </c>
      <c r="E2671" s="187">
        <f>E2673</f>
        <v>423.7</v>
      </c>
      <c r="F2671" s="178">
        <v>2025</v>
      </c>
      <c r="G2671" s="188"/>
      <c r="H2671" s="188"/>
      <c r="I2671" s="188"/>
      <c r="J2671" s="188">
        <v>5000000000</v>
      </c>
      <c r="K2671" s="188"/>
      <c r="L2671" s="188"/>
      <c r="M2671" s="188"/>
      <c r="N2671" s="188"/>
      <c r="O2671" s="188"/>
      <c r="P2671" s="188">
        <v>265000000</v>
      </c>
      <c r="Q2671" s="188">
        <f>P2671*E2671</f>
        <v>112280500000</v>
      </c>
      <c r="R2671" s="188"/>
      <c r="S2671" s="178"/>
      <c r="T2671" s="180"/>
      <c r="U2671" s="189" t="str">
        <f>IFERROR(IF(Tableau3[[#This Row],[Dettes]]=0,"",(Tableau3[[#This Row],[Dettes]]/Tableau3[[#This Row],[EBE]])),"")</f>
        <v/>
      </c>
      <c r="V2671" s="190" t="str">
        <f>IFERROR(Tableau3[[#This Row],[Fonds propres]]/Tableau3[[#This Row],[Total Bilan]],"")</f>
        <v/>
      </c>
      <c r="W2671" s="180"/>
      <c r="X2671" s="192" t="s">
        <v>727</v>
      </c>
      <c r="Y2671" s="180"/>
      <c r="Z2671" s="192" t="str">
        <f>IFERROR(Tableau3[[#This Row],[Chiffre d''affaires]]/Tableau3[[#This Row],[Salariés]],"")</f>
        <v/>
      </c>
      <c r="AA2671" s="188"/>
      <c r="AB2671" s="188"/>
      <c r="AC2671" s="177" t="s">
        <v>1901</v>
      </c>
    </row>
    <row r="2672" spans="1:29" ht="20.25" customHeight="1">
      <c r="A2672" s="217"/>
      <c r="G2672" s="188"/>
      <c r="H2672" s="188"/>
      <c r="I2672" s="188"/>
      <c r="J2672" s="203">
        <f>(J2671/J2673)-1</f>
        <v>-0.29577464788732399</v>
      </c>
      <c r="K2672" s="188"/>
      <c r="L2672" s="188"/>
      <c r="M2672" s="188"/>
      <c r="N2672" s="188"/>
      <c r="O2672" s="188"/>
      <c r="P2672" s="188"/>
      <c r="Q2672" s="188"/>
      <c r="R2672" s="188"/>
      <c r="S2672" s="178"/>
      <c r="T2672" s="180"/>
      <c r="U2672" s="189" t="str">
        <f>IFERROR(IF(Tableau3[[#This Row],[Dettes]]=0,"",(Tableau3[[#This Row],[Dettes]]/Tableau3[[#This Row],[EBE]])),"")</f>
        <v/>
      </c>
      <c r="V2672" s="190" t="str">
        <f>IFERROR(Tableau3[[#This Row],[Fonds propres]]/Tableau3[[#This Row],[Total Bilan]],"")</f>
        <v/>
      </c>
      <c r="W2672" s="180"/>
      <c r="X2672" s="192"/>
      <c r="Y2672" s="180"/>
      <c r="Z2672" s="192" t="str">
        <f>IFERROR(Tableau3[[#This Row],[Chiffre d''affaires]]/Tableau3[[#This Row],[Salariés]],"")</f>
        <v/>
      </c>
      <c r="AA2672" s="188"/>
      <c r="AB2672" s="188"/>
      <c r="AC2672" s="177" t="s">
        <v>1903</v>
      </c>
    </row>
    <row r="2673" spans="1:29" ht="20.25" customHeight="1">
      <c r="A2673" s="217"/>
      <c r="E2673" s="187">
        <v>423.7</v>
      </c>
      <c r="F2673" s="178">
        <v>2024</v>
      </c>
      <c r="G2673" s="188">
        <v>51716000000</v>
      </c>
      <c r="H2673" s="188"/>
      <c r="I2673" s="188">
        <v>9039000000</v>
      </c>
      <c r="J2673" s="188">
        <v>7100000000</v>
      </c>
      <c r="K2673" s="188"/>
      <c r="L2673" s="188">
        <v>22836000000</v>
      </c>
      <c r="M2673" s="194">
        <f>L2673/P2673</f>
        <v>82.739130434782609</v>
      </c>
      <c r="N2673" s="190">
        <f>J2673/L2673</f>
        <v>0.31091259414958838</v>
      </c>
      <c r="O2673" s="190">
        <f>(I2673*0.64)/(K2673+(M2673*P2673))</f>
        <v>0.25332632685233841</v>
      </c>
      <c r="P2673" s="188">
        <v>276000000</v>
      </c>
      <c r="Q2673" s="188">
        <f>P2673*E2673</f>
        <v>116941200000</v>
      </c>
      <c r="R2673" s="195">
        <f>Q2673/L2673</f>
        <v>5.1209143457698367</v>
      </c>
      <c r="S2673" s="250">
        <f>Tableau3[[#This Row],[Capi]]/Tableau3[[#This Row],[Résultat d''exploitation]]</f>
        <v>12.937404580152672</v>
      </c>
      <c r="T2673" s="180"/>
      <c r="U2673" s="189" t="str">
        <f>IFERROR(IF(Tableau3[[#This Row],[Dettes]]=0,"",(Tableau3[[#This Row],[Dettes]]/Tableau3[[#This Row],[EBE]])),"")</f>
        <v/>
      </c>
      <c r="V2673" s="190">
        <f>IFERROR(Tableau3[[#This Row],[Fonds propres]]/Tableau3[[#This Row],[Total Bilan]],"")</f>
        <v>0.21278419679463287</v>
      </c>
      <c r="W2673" s="180">
        <v>107320000000</v>
      </c>
      <c r="Y2673" s="180">
        <v>75000</v>
      </c>
      <c r="Z2673" s="192">
        <f>IFERROR(Tableau3[[#This Row],[Chiffre d''affaires]]/Tableau3[[#This Row],[Salariés]],"")</f>
        <v>689546.66666666663</v>
      </c>
      <c r="AA2673" s="188"/>
      <c r="AB2673" s="188"/>
      <c r="AC2673" s="177" t="s">
        <v>1904</v>
      </c>
    </row>
    <row r="2674" spans="1:29" ht="20.25" customHeight="1">
      <c r="A2674" s="217"/>
      <c r="G2674" s="202">
        <f>(G2673/G2675)-1</f>
        <v>-0.15567092782158654</v>
      </c>
      <c r="H2674" s="188"/>
      <c r="I2674" s="203">
        <f>(I2673/I2675)-1</f>
        <v>-0.30243864793949682</v>
      </c>
      <c r="J2674" s="203">
        <f>(J2673/J2675)-1</f>
        <v>-0.30159354711784381</v>
      </c>
      <c r="K2674" s="188"/>
      <c r="L2674" s="188"/>
      <c r="M2674" s="188"/>
      <c r="N2674" s="188"/>
      <c r="O2674" s="188"/>
      <c r="P2674" s="188"/>
      <c r="Q2674" s="188"/>
      <c r="R2674" s="188"/>
      <c r="S2674" s="250"/>
      <c r="T2674" s="180"/>
      <c r="U2674" s="189" t="str">
        <f>IFERROR(IF(Tableau3[[#This Row],[Dettes]]=0,"",(Tableau3[[#This Row],[Dettes]]/Tableau3[[#This Row],[EBE]])),"")</f>
        <v/>
      </c>
      <c r="V2674" s="190" t="str">
        <f>IFERROR(Tableau3[[#This Row],[Fonds propres]]/Tableau3[[#This Row],[Total Bilan]],"")</f>
        <v/>
      </c>
      <c r="W2674" s="180"/>
      <c r="X2674" s="192"/>
      <c r="Y2674" s="180"/>
      <c r="Z2674" s="192" t="str">
        <f>IFERROR(Tableau3[[#This Row],[Chiffre d''affaires]]/Tableau3[[#This Row],[Salariés]],"")</f>
        <v/>
      </c>
      <c r="AA2674" s="188"/>
      <c r="AB2674" s="188"/>
      <c r="AC2674" s="177" t="s">
        <v>1905</v>
      </c>
    </row>
    <row r="2675" spans="1:29" ht="20.25" customHeight="1">
      <c r="A2675" s="217"/>
      <c r="E2675" s="187">
        <v>399</v>
      </c>
      <c r="F2675" s="178">
        <v>2023</v>
      </c>
      <c r="G2675" s="188">
        <v>61251000000</v>
      </c>
      <c r="H2675" s="188"/>
      <c r="I2675" s="188">
        <v>12958000000</v>
      </c>
      <c r="J2675" s="188">
        <v>10166000000</v>
      </c>
      <c r="K2675" s="188"/>
      <c r="L2675" s="188">
        <v>21785000000</v>
      </c>
      <c r="M2675" s="194">
        <f>L2675/P2675</f>
        <v>74.555099247091036</v>
      </c>
      <c r="N2675" s="190">
        <f>J2675/L2675</f>
        <v>0.46665136561854487</v>
      </c>
      <c r="O2675" s="190">
        <f>(I2675*0.64)/(K2675+(M2675*P2675))</f>
        <v>0.38068028459949504</v>
      </c>
      <c r="P2675" s="188">
        <v>292200000</v>
      </c>
      <c r="Q2675" s="188">
        <f>P2675*E2675</f>
        <v>116587800000</v>
      </c>
      <c r="R2675" s="195">
        <f>Q2675/L2675</f>
        <v>5.351746614643103</v>
      </c>
      <c r="S2675" s="250">
        <f>Tableau3[[#This Row],[Capi]]/Tableau3[[#This Row],[Résultat d''exploitation]]</f>
        <v>8.9973607038123173</v>
      </c>
      <c r="T2675" s="180"/>
      <c r="U2675" s="189" t="str">
        <f>IFERROR(IF(Tableau3[[#This Row],[Dettes]]=0,"",(Tableau3[[#This Row],[Dettes]]/Tableau3[[#This Row],[EBE]])),"")</f>
        <v/>
      </c>
      <c r="V2675" s="190">
        <f>IFERROR(Tableau3[[#This Row],[Fonds propres]]/Tableau3[[#This Row],[Total Bilan]],"")</f>
        <v>0.20929606963405611</v>
      </c>
      <c r="W2675" s="180">
        <v>104087000000</v>
      </c>
      <c r="X2675" s="192"/>
      <c r="Y2675" s="180">
        <v>75000</v>
      </c>
      <c r="Z2675" s="192">
        <f>IFERROR(Tableau3[[#This Row],[Chiffre d''affaires]]/Tableau3[[#This Row],[Salariés]],"")</f>
        <v>816680</v>
      </c>
      <c r="AA2675" s="188"/>
      <c r="AB2675" s="188"/>
      <c r="AC2675" s="177" t="s">
        <v>1906</v>
      </c>
    </row>
    <row r="2676" spans="1:29" ht="20.25" customHeight="1">
      <c r="A2676" s="217"/>
      <c r="G2676" s="202">
        <f>(G2675/G2677)-1</f>
        <v>0.16497708123323895</v>
      </c>
      <c r="H2676" s="188"/>
      <c r="I2676" s="203">
        <f>(I2675/I2677)-1</f>
        <v>0.36285233487589408</v>
      </c>
      <c r="J2676" s="203">
        <f>(J2675/J2677)-1</f>
        <v>0.4256065068012902</v>
      </c>
      <c r="K2676" s="188"/>
      <c r="L2676" s="188"/>
      <c r="M2676" s="188"/>
      <c r="N2676" s="188"/>
      <c r="O2676" s="188"/>
      <c r="P2676" s="188"/>
      <c r="Q2676" s="188"/>
      <c r="R2676" s="188"/>
      <c r="S2676" s="250"/>
      <c r="T2676" s="180"/>
      <c r="U2676" s="189" t="str">
        <f>IFERROR(IF(Tableau3[[#This Row],[Dettes]]=0,"",(Tableau3[[#This Row],[Dettes]]/Tableau3[[#This Row],[EBE]])),"")</f>
        <v/>
      </c>
      <c r="V2676" s="190" t="str">
        <f>IFERROR(Tableau3[[#This Row],[Fonds propres]]/Tableau3[[#This Row],[Total Bilan]],"")</f>
        <v/>
      </c>
      <c r="W2676" s="180"/>
      <c r="X2676" s="192"/>
      <c r="Y2676" s="180"/>
      <c r="Z2676" s="192" t="str">
        <f>IFERROR(Tableau3[[#This Row],[Chiffre d''affaires]]/Tableau3[[#This Row],[Salariés]],"")</f>
        <v/>
      </c>
      <c r="AA2676" s="188"/>
      <c r="AB2676" s="188"/>
      <c r="AC2676" s="177" t="s">
        <v>1907</v>
      </c>
    </row>
    <row r="2677" spans="1:29" ht="20.25" customHeight="1">
      <c r="A2677" s="217"/>
      <c r="E2677" s="187">
        <v>428.76</v>
      </c>
      <c r="F2677" s="178">
        <v>2022</v>
      </c>
      <c r="G2677" s="188">
        <v>52577000000</v>
      </c>
      <c r="H2677" s="188"/>
      <c r="I2677" s="188">
        <v>9508000000</v>
      </c>
      <c r="J2677" s="188">
        <v>7131000000</v>
      </c>
      <c r="K2677" s="188"/>
      <c r="L2677" s="188">
        <v>20262000000</v>
      </c>
      <c r="M2677" s="194">
        <f>L2677/P2677</f>
        <v>66.541871921182263</v>
      </c>
      <c r="N2677" s="190">
        <f>J2677/L2677</f>
        <v>0.35193959135327213</v>
      </c>
      <c r="O2677" s="190">
        <f>(I2677*0.64)/(K2677+(M2677*P2677))</f>
        <v>0.30032178462145886</v>
      </c>
      <c r="P2677" s="188">
        <v>304500000</v>
      </c>
      <c r="Q2677" s="188">
        <f>P2677*E2677</f>
        <v>130557420000</v>
      </c>
      <c r="R2677" s="195">
        <f>Q2677/L2677</f>
        <v>6.4434616523541601</v>
      </c>
      <c r="S2677" s="250">
        <f>Tableau3[[#This Row],[Capi]]/Tableau3[[#This Row],[Résultat d''exploitation]]</f>
        <v>13.731323096339924</v>
      </c>
      <c r="T2677" s="180">
        <v>911000000</v>
      </c>
      <c r="U2677" s="189" t="str">
        <f>IFERROR(IF(Tableau3[[#This Row],[Dettes]]=0,"",(Tableau3[[#This Row],[Dettes]]/Tableau3[[#This Row],[EBE]])),"")</f>
        <v/>
      </c>
      <c r="V2677" s="190">
        <f>IFERROR(Tableau3[[#This Row],[Fonds propres]]/Tableau3[[#This Row],[Total Bilan]],"")</f>
        <v>0.22505831389536821</v>
      </c>
      <c r="W2677" s="180">
        <v>90030000000</v>
      </c>
      <c r="X2677" s="191"/>
      <c r="Y2677" s="180">
        <v>75600</v>
      </c>
      <c r="Z2677" s="192">
        <f>IFERROR(Tableau3[[#This Row],[Chiffre d''affaires]]/Tableau3[[#This Row],[Salariés]],"")</f>
        <v>695462.96296296292</v>
      </c>
      <c r="AA2677" s="188"/>
      <c r="AB2677" s="188"/>
      <c r="AC2677" s="177" t="s">
        <v>1908</v>
      </c>
    </row>
    <row r="2678" spans="1:29" ht="20.25" customHeight="1">
      <c r="A2678" s="217"/>
      <c r="G2678" s="202">
        <f>(G2677/G2679)-1</f>
        <v>0.19428039251317464</v>
      </c>
      <c r="H2678" s="188"/>
      <c r="I2678" s="203">
        <f>(I2677/I2679)-1</f>
        <v>0.25072349381741654</v>
      </c>
      <c r="J2678" s="203">
        <f>(J2677/J2679)-1</f>
        <v>0.19587455978534285</v>
      </c>
      <c r="K2678" s="188"/>
      <c r="L2678" s="188"/>
      <c r="M2678" s="188"/>
      <c r="N2678" s="188"/>
      <c r="O2678" s="188"/>
      <c r="P2678" s="188"/>
      <c r="Q2678" s="188"/>
      <c r="R2678" s="188"/>
      <c r="S2678" s="250"/>
      <c r="T2678" s="180"/>
      <c r="U2678" s="189" t="str">
        <f>IFERROR(IF(Tableau3[[#This Row],[Dettes]]=0,"",(Tableau3[[#This Row],[Dettes]]/Tableau3[[#This Row],[EBE]])),"")</f>
        <v/>
      </c>
      <c r="V2678" s="190" t="str">
        <f>IFERROR(Tableau3[[#This Row],[Fonds propres]]/Tableau3[[#This Row],[Total Bilan]],"")</f>
        <v/>
      </c>
      <c r="W2678" s="180"/>
      <c r="X2678" s="192"/>
      <c r="Y2678" s="180"/>
      <c r="Z2678" s="192" t="str">
        <f>IFERROR(Tableau3[[#This Row],[Chiffre d''affaires]]/Tableau3[[#This Row],[Salariés]],"")</f>
        <v/>
      </c>
      <c r="AA2678" s="188"/>
      <c r="AB2678" s="188"/>
      <c r="AC2678" s="177" t="s">
        <v>1909</v>
      </c>
    </row>
    <row r="2679" spans="1:29" ht="20.25" customHeight="1">
      <c r="A2679" s="217"/>
      <c r="E2679" s="187">
        <v>342.89</v>
      </c>
      <c r="F2679" s="178">
        <v>2021</v>
      </c>
      <c r="G2679" s="188">
        <v>44024000000</v>
      </c>
      <c r="H2679" s="188"/>
      <c r="I2679" s="188">
        <v>7602000000</v>
      </c>
      <c r="J2679" s="188">
        <v>5963000000</v>
      </c>
      <c r="K2679" s="188"/>
      <c r="L2679" s="188">
        <v>18431000000</v>
      </c>
      <c r="M2679" s="194">
        <f>L2679/P2679</f>
        <v>59.149550706033374</v>
      </c>
      <c r="N2679" s="190">
        <f>J2679/L2679</f>
        <v>0.32353100754164182</v>
      </c>
      <c r="O2679" s="190">
        <f>(I2679*0.64)/(K2679+(M2679*P2679))</f>
        <v>0.26397265476642612</v>
      </c>
      <c r="P2679" s="188">
        <v>311600000</v>
      </c>
      <c r="Q2679" s="188">
        <f>P2679*E2679</f>
        <v>106844524000</v>
      </c>
      <c r="R2679" s="195">
        <f>Q2679/L2679</f>
        <v>5.7970009223590688</v>
      </c>
      <c r="S2679" s="250">
        <f>Tableau3[[#This Row],[Capi]]/Tableau3[[#This Row],[Résultat d''exploitation]]</f>
        <v>14.054791370691923</v>
      </c>
      <c r="T2679" s="180">
        <v>1980000000</v>
      </c>
      <c r="U2679" s="189" t="str">
        <f>IFERROR(IF(Tableau3[[#This Row],[Dettes]]=0,"",(Tableau3[[#This Row],[Dettes]]/Tableau3[[#This Row],[EBE]])),"")</f>
        <v/>
      </c>
      <c r="V2679" s="190" t="str">
        <f>IFERROR(Tableau3[[#This Row],[Fonds propres]]/Tableau3[[#This Row],[Total Bilan]],"")</f>
        <v/>
      </c>
      <c r="W2679" s="180"/>
      <c r="X2679" s="191"/>
      <c r="Y2679" s="180">
        <v>75000</v>
      </c>
      <c r="Z2679" s="192">
        <f>IFERROR(Tableau3[[#This Row],[Chiffre d''affaires]]/Tableau3[[#This Row],[Salariés]],"")</f>
        <v>586986.66666666663</v>
      </c>
      <c r="AA2679" s="197"/>
      <c r="AB2679" s="197"/>
      <c r="AC2679" s="177" t="s">
        <v>1910</v>
      </c>
    </row>
    <row r="2680" spans="1:29" ht="20.25" customHeight="1">
      <c r="A2680" s="217"/>
      <c r="G2680" s="202">
        <f>(G2679/G2681)-1</f>
        <v>0.23871693866066401</v>
      </c>
      <c r="H2680" s="188"/>
      <c r="I2680" s="203">
        <f>(I2679/I2681)-1</f>
        <v>0.95776461498841092</v>
      </c>
      <c r="J2680" s="203">
        <f>(J2679/J2681)-1</f>
        <v>1.1675754271174119</v>
      </c>
      <c r="K2680" s="188"/>
      <c r="L2680" s="188"/>
      <c r="M2680" s="188"/>
      <c r="N2680" s="188"/>
      <c r="O2680" s="188"/>
      <c r="P2680" s="188"/>
      <c r="Q2680" s="188"/>
      <c r="R2680" s="188"/>
      <c r="S2680" s="250"/>
      <c r="T2680" s="180"/>
      <c r="U2680" s="189" t="str">
        <f>IFERROR(IF(Tableau3[[#This Row],[Dettes]]=0,"",(Tableau3[[#This Row],[Dettes]]/Tableau3[[#This Row],[EBE]])),"")</f>
        <v/>
      </c>
      <c r="V2680" s="190" t="str">
        <f>IFERROR(Tableau3[[#This Row],[Fonds propres]]/Tableau3[[#This Row],[Total Bilan]],"")</f>
        <v/>
      </c>
      <c r="W2680" s="180"/>
      <c r="X2680" s="192"/>
      <c r="Y2680" s="180"/>
      <c r="Z2680" s="192" t="str">
        <f>IFERROR(Tableau3[[#This Row],[Chiffre d''affaires]]/Tableau3[[#This Row],[Salariés]],"")</f>
        <v/>
      </c>
      <c r="AA2680" s="188"/>
      <c r="AB2680" s="188"/>
      <c r="AC2680" s="177" t="s">
        <v>1911</v>
      </c>
    </row>
    <row r="2681" spans="1:29" ht="20.25" customHeight="1">
      <c r="A2681" s="217"/>
      <c r="E2681" s="187">
        <v>269.05</v>
      </c>
      <c r="F2681" s="178">
        <v>2020</v>
      </c>
      <c r="G2681" s="188">
        <v>35540000000</v>
      </c>
      <c r="H2681" s="188"/>
      <c r="I2681" s="188">
        <v>3883000000</v>
      </c>
      <c r="J2681" s="188">
        <v>2751000000</v>
      </c>
      <c r="K2681" s="188"/>
      <c r="L2681" s="188">
        <v>12937000000</v>
      </c>
      <c r="M2681" s="194">
        <f>L2681/P2681</f>
        <v>41.266347687400319</v>
      </c>
      <c r="N2681" s="190">
        <f>J2681/L2681</f>
        <v>0.21264589935842931</v>
      </c>
      <c r="O2681" s="190">
        <f>(I2681*0.64)/(K2681+(M2681*P2681))</f>
        <v>0.19209399397078147</v>
      </c>
      <c r="P2681" s="188">
        <v>313500000</v>
      </c>
      <c r="Q2681" s="188">
        <f>P2681*E2681</f>
        <v>84347175000</v>
      </c>
      <c r="R2681" s="195">
        <f>Q2681/L2681</f>
        <v>6.5198403803045526</v>
      </c>
      <c r="S2681" s="250">
        <f>Tableau3[[#This Row],[Capi]]/Tableau3[[#This Row],[Résultat d''exploitation]]</f>
        <v>21.7221671388102</v>
      </c>
      <c r="T2681" s="180">
        <v>4160000000</v>
      </c>
      <c r="U2681" s="189" t="str">
        <f>IFERROR(IF(Tableau3[[#This Row],[Dettes]]=0,"",(Tableau3[[#This Row],[Dettes]]/Tableau3[[#This Row],[EBE]])),"")</f>
        <v/>
      </c>
      <c r="V2681" s="190" t="str">
        <f>IFERROR(Tableau3[[#This Row],[Fonds propres]]/Tableau3[[#This Row],[Total Bilan]],"")</f>
        <v/>
      </c>
      <c r="W2681" s="180"/>
      <c r="X2681" s="191"/>
      <c r="Y2681" s="180">
        <v>60476</v>
      </c>
      <c r="Z2681" s="192">
        <f>IFERROR(Tableau3[[#This Row],[Chiffre d''affaires]]/Tableau3[[#This Row],[Salariés]],"")</f>
        <v>587671.14227131428</v>
      </c>
      <c r="AA2681" s="197"/>
      <c r="AB2681" s="197"/>
      <c r="AC2681" s="177" t="s">
        <v>1912</v>
      </c>
    </row>
    <row r="2682" spans="1:29" ht="20.25" customHeight="1">
      <c r="A2682" s="217"/>
      <c r="G2682" s="202">
        <f>(G2681/G2683)-1</f>
        <v>-9.47068113505527E-2</v>
      </c>
      <c r="H2682" s="188"/>
      <c r="I2682" s="203">
        <f>(I2681/I2683)-1</f>
        <v>-5.0146771037182014E-2</v>
      </c>
      <c r="J2682" s="203">
        <f>(J2681/J2683)-1</f>
        <v>-0.15431909007070399</v>
      </c>
      <c r="K2682" s="188"/>
      <c r="L2682" s="188"/>
      <c r="M2682" s="188"/>
      <c r="N2682" s="188"/>
      <c r="O2682" s="188"/>
      <c r="P2682" s="188"/>
      <c r="Q2682" s="188"/>
      <c r="R2682" s="188"/>
      <c r="S2682" s="250"/>
      <c r="T2682" s="180"/>
      <c r="U2682" s="189" t="str">
        <f>IFERROR(IF(Tableau3[[#This Row],[Dettes]]=0,"",(Tableau3[[#This Row],[Dettes]]/Tableau3[[#This Row],[EBE]])),"")</f>
        <v/>
      </c>
      <c r="V2682" s="190" t="str">
        <f>IFERROR(Tableau3[[#This Row],[Fonds propres]]/Tableau3[[#This Row],[Total Bilan]],"")</f>
        <v/>
      </c>
      <c r="W2682" s="180"/>
      <c r="X2682" s="192"/>
      <c r="Y2682" s="180"/>
      <c r="Z2682" s="192" t="str">
        <f>IFERROR(Tableau3[[#This Row],[Chiffre d''affaires]]/Tableau3[[#This Row],[Salariés]],"")</f>
        <v/>
      </c>
      <c r="AA2682" s="188"/>
      <c r="AB2682" s="188"/>
      <c r="AC2682" s="177" t="s">
        <v>1913</v>
      </c>
    </row>
    <row r="2683" spans="1:29" ht="20.25" customHeight="1">
      <c r="A2683" s="217"/>
      <c r="E2683" s="178">
        <v>175.6</v>
      </c>
      <c r="F2683" s="178">
        <v>2019</v>
      </c>
      <c r="G2683" s="188">
        <v>39258000000</v>
      </c>
      <c r="H2683" s="188"/>
      <c r="I2683" s="188">
        <v>4088000000</v>
      </c>
      <c r="J2683" s="188">
        <v>3253000000</v>
      </c>
      <c r="K2683" s="188"/>
      <c r="L2683" s="188">
        <v>11413000000</v>
      </c>
      <c r="M2683" s="194">
        <f>L2683/P2683</f>
        <v>36.060031595576618</v>
      </c>
      <c r="N2683" s="190">
        <f>J2683/L2683</f>
        <v>0.2850258477175151</v>
      </c>
      <c r="O2683" s="190">
        <f>(I2683*0.64)/(K2683+(M2683*P2683))</f>
        <v>0.22924033996319987</v>
      </c>
      <c r="P2683" s="188">
        <v>316500000</v>
      </c>
      <c r="Q2683" s="188">
        <f>P2683*E2683</f>
        <v>55577400000</v>
      </c>
      <c r="R2683" s="195">
        <f>Q2683/L2683</f>
        <v>4.8696574082186981</v>
      </c>
      <c r="S2683" s="250">
        <f>Tableau3[[#This Row],[Capi]]/Tableau3[[#This Row],[Résultat d''exploitation]]</f>
        <v>13.595254403131115</v>
      </c>
      <c r="T2683" s="180">
        <v>-510000000</v>
      </c>
      <c r="U2683" s="189" t="str">
        <f>IFERROR(IF(Tableau3[[#This Row],[Dettes]]=0,"",(Tableau3[[#This Row],[Dettes]]/Tableau3[[#This Row],[EBE]])),"")</f>
        <v/>
      </c>
      <c r="V2683" s="190" t="str">
        <f>IFERROR(Tableau3[[#This Row],[Fonds propres]]/Tableau3[[#This Row],[Total Bilan]],"")</f>
        <v/>
      </c>
      <c r="W2683" s="180"/>
      <c r="X2683" s="191"/>
      <c r="Y2683" s="180">
        <v>60476</v>
      </c>
      <c r="Z2683" s="192">
        <f>IFERROR(Tableau3[[#This Row],[Chiffre d''affaires]]/Tableau3[[#This Row],[Salariés]],"")</f>
        <v>649150.07606323168</v>
      </c>
      <c r="AA2683" s="197"/>
      <c r="AB2683" s="197"/>
      <c r="AC2683" s="177" t="s">
        <v>1914</v>
      </c>
    </row>
    <row r="2684" spans="1:29" ht="20.25" customHeight="1">
      <c r="A2684" s="217"/>
      <c r="G2684" s="202">
        <f>(G2683/G2685)-1</f>
        <v>5.0859253707371987E-2</v>
      </c>
      <c r="H2684" s="188"/>
      <c r="I2684" s="203">
        <f>(I2683/I2685)-1</f>
        <v>4.1758781626135555E-3</v>
      </c>
      <c r="J2684" s="203">
        <f>(J2683/J2685)-1</f>
        <v>5.8574682720468507E-2</v>
      </c>
      <c r="K2684" s="188"/>
      <c r="L2684" s="188"/>
      <c r="M2684" s="188"/>
      <c r="N2684" s="188"/>
      <c r="O2684" s="188"/>
      <c r="P2684" s="188"/>
      <c r="Q2684" s="188"/>
      <c r="R2684" s="188"/>
      <c r="S2684" s="250"/>
      <c r="T2684" s="180"/>
      <c r="U2684" s="189" t="str">
        <f>IFERROR(IF(Tableau3[[#This Row],[Dettes]]=0,"",(Tableau3[[#This Row],[Dettes]]/Tableau3[[#This Row],[EBE]])),"")</f>
        <v/>
      </c>
      <c r="V2684" s="190" t="str">
        <f>IFERROR(Tableau3[[#This Row],[Fonds propres]]/Tableau3[[#This Row],[Total Bilan]],"")</f>
        <v/>
      </c>
      <c r="W2684" s="180"/>
      <c r="X2684" s="192"/>
      <c r="Y2684" s="180"/>
      <c r="Z2684" s="192" t="str">
        <f>IFERROR(Tableau3[[#This Row],[Chiffre d''affaires]]/Tableau3[[#This Row],[Salariés]],"")</f>
        <v/>
      </c>
      <c r="AA2684" s="188"/>
      <c r="AB2684" s="188"/>
      <c r="AC2684" s="177" t="s">
        <v>1915</v>
      </c>
    </row>
    <row r="2685" spans="1:29" ht="20.25" customHeight="1">
      <c r="A2685" s="217"/>
      <c r="E2685" s="187">
        <v>146</v>
      </c>
      <c r="F2685" s="178">
        <v>2018</v>
      </c>
      <c r="G2685" s="188">
        <v>37358000000</v>
      </c>
      <c r="H2685" s="188"/>
      <c r="I2685" s="188">
        <v>4071000000</v>
      </c>
      <c r="J2685" s="188">
        <v>3073000000</v>
      </c>
      <c r="K2685" s="188"/>
      <c r="L2685" s="188">
        <v>11287800000</v>
      </c>
      <c r="M2685" s="194">
        <f>L2685/P2685</f>
        <v>34.990080595164287</v>
      </c>
      <c r="N2685" s="190">
        <f>J2685/L2685</f>
        <v>0.27224082637892238</v>
      </c>
      <c r="O2685" s="190">
        <f>(I2685*0.64)/(K2685+(M2685*P2685))</f>
        <v>0.23081911444214112</v>
      </c>
      <c r="P2685" s="188">
        <v>322600000</v>
      </c>
      <c r="Q2685" s="188">
        <f>P2685*E2685</f>
        <v>47099600000</v>
      </c>
      <c r="R2685" s="195">
        <f>Q2685/L2685</f>
        <v>4.1726111376884782</v>
      </c>
      <c r="S2685" s="250">
        <f>Tableau3[[#This Row],[Capi]]/Tableau3[[#This Row],[Résultat d''exploitation]]</f>
        <v>11.569540653402113</v>
      </c>
      <c r="T2685" s="180">
        <v>-1138000000</v>
      </c>
      <c r="U2685" s="189" t="str">
        <f>IFERROR(IF(Tableau3[[#This Row],[Dettes]]=0,"",(Tableau3[[#This Row],[Dettes]]/Tableau3[[#This Row],[EBE]])),"")</f>
        <v/>
      </c>
      <c r="V2685" s="190" t="str">
        <f>IFERROR(Tableau3[[#This Row],[Fonds propres]]/Tableau3[[#This Row],[Total Bilan]],"")</f>
        <v/>
      </c>
      <c r="W2685" s="180"/>
      <c r="Y2685" s="180"/>
      <c r="Z2685" s="192" t="str">
        <f>IFERROR(Tableau3[[#This Row],[Chiffre d''affaires]]/Tableau3[[#This Row],[Salariés]],"")</f>
        <v/>
      </c>
      <c r="AA2685" s="177"/>
      <c r="AC2685" s="177" t="s">
        <v>1916</v>
      </c>
    </row>
    <row r="2686" spans="1:29" ht="20.25" customHeight="1">
      <c r="A2686" s="217"/>
      <c r="E2686" s="187"/>
      <c r="G2686" s="202">
        <f>(G2685/G2687)-1</f>
        <v>0.25625048339313405</v>
      </c>
      <c r="H2686" s="203"/>
      <c r="I2686" s="203">
        <f>(I2685/I2687)-1</f>
        <v>0.29082376815270461</v>
      </c>
      <c r="J2686" s="203">
        <f>(J2685/J2687)-1</f>
        <v>0.42327821777592511</v>
      </c>
      <c r="K2686" s="188"/>
      <c r="L2686" s="188"/>
      <c r="M2686" s="188"/>
      <c r="N2686" s="188"/>
      <c r="O2686" s="188"/>
      <c r="P2686" s="188"/>
      <c r="Q2686" s="188"/>
      <c r="R2686" s="188"/>
      <c r="S2686" s="250"/>
      <c r="T2686" s="180"/>
      <c r="U2686" s="189" t="str">
        <f>IFERROR(IF(Tableau3[[#This Row],[Dettes]]=0,"",(Tableau3[[#This Row],[Dettes]]/Tableau3[[#This Row],[EBE]])),"")</f>
        <v/>
      </c>
      <c r="V2686" s="190" t="str">
        <f>IFERROR(Tableau3[[#This Row],[Fonds propres]]/Tableau3[[#This Row],[Total Bilan]],"")</f>
        <v/>
      </c>
      <c r="W2686" s="180"/>
      <c r="Y2686" s="180"/>
      <c r="Z2686" s="192" t="str">
        <f>IFERROR(Tableau3[[#This Row],[Chiffre d''affaires]]/Tableau3[[#This Row],[Salariés]],"")</f>
        <v/>
      </c>
      <c r="AA2686" s="177"/>
      <c r="AC2686" s="177" t="s">
        <v>1917</v>
      </c>
    </row>
    <row r="2687" spans="1:29" ht="20.25" customHeight="1">
      <c r="A2687" s="217"/>
      <c r="E2687" s="187">
        <v>156.5</v>
      </c>
      <c r="F2687" s="178">
        <v>2017</v>
      </c>
      <c r="G2687" s="188">
        <v>29737700000</v>
      </c>
      <c r="H2687" s="188"/>
      <c r="I2687" s="188">
        <v>3153800000</v>
      </c>
      <c r="J2687" s="188">
        <v>2159100000</v>
      </c>
      <c r="K2687" s="188"/>
      <c r="L2687" s="188">
        <v>9557300000</v>
      </c>
      <c r="M2687" s="194">
        <f>L2687/P2687</f>
        <v>29.913302034428796</v>
      </c>
      <c r="N2687" s="190">
        <f>J2687/L2687</f>
        <v>0.22591108367425947</v>
      </c>
      <c r="O2687" s="190">
        <f>(I2687*0.64)/(K2687+(M2687*P2687))</f>
        <v>0.2111927008673998</v>
      </c>
      <c r="P2687" s="188">
        <v>319500000</v>
      </c>
      <c r="Q2687" s="188">
        <f>P2687*E2687</f>
        <v>50001750000</v>
      </c>
      <c r="R2687" s="195">
        <f>Q2687/L2687</f>
        <v>5.2317861739194127</v>
      </c>
      <c r="S2687" s="250">
        <f>Tableau3[[#This Row],[Capi]]/Tableau3[[#This Row],[Résultat d''exploitation]]</f>
        <v>15.854445430908745</v>
      </c>
      <c r="T2687" s="180">
        <v>540000000</v>
      </c>
      <c r="U2687" s="189" t="str">
        <f>IFERROR(IF(Tableau3[[#This Row],[Dettes]]=0,"",(Tableau3[[#This Row],[Dettes]]/Tableau3[[#This Row],[EBE]])),"")</f>
        <v/>
      </c>
      <c r="V2687" s="190" t="str">
        <f>IFERROR(Tableau3[[#This Row],[Fonds propres]]/Tableau3[[#This Row],[Total Bilan]],"")</f>
        <v/>
      </c>
      <c r="W2687" s="180"/>
      <c r="X2687" s="191"/>
      <c r="Y2687" s="180"/>
      <c r="Z2687" s="192" t="str">
        <f>IFERROR(Tableau3[[#This Row],[Chiffre d''affaires]]/Tableau3[[#This Row],[Salariés]],"")</f>
        <v/>
      </c>
      <c r="AA2687" s="197"/>
      <c r="AB2687" s="197"/>
      <c r="AC2687" s="177" t="s">
        <v>1918</v>
      </c>
    </row>
    <row r="2688" spans="1:29" ht="20.25" customHeight="1">
      <c r="A2688" s="217"/>
      <c r="E2688" s="187"/>
      <c r="G2688" s="202">
        <f>(G2687/G2689)-1</f>
        <v>0.1161124455787419</v>
      </c>
      <c r="H2688" s="203"/>
      <c r="I2688" s="203">
        <f>(I2687/I2689)-1</f>
        <v>0.41807553956834531</v>
      </c>
      <c r="J2688" s="203">
        <f>(J2687/J2689)-1</f>
        <v>0.41682525100072176</v>
      </c>
      <c r="K2688" s="188"/>
      <c r="L2688" s="188"/>
      <c r="M2688" s="188"/>
      <c r="N2688" s="188"/>
      <c r="O2688" s="188"/>
      <c r="P2688" s="188"/>
      <c r="Q2688" s="188"/>
      <c r="R2688" s="188"/>
      <c r="S2688" s="250"/>
      <c r="T2688" s="180"/>
      <c r="U2688" s="189" t="str">
        <f>IFERROR(IF(Tableau3[[#This Row],[Dettes]]=0,"",(Tableau3[[#This Row],[Dettes]]/Tableau3[[#This Row],[EBE]])),"")</f>
        <v/>
      </c>
      <c r="V2688" s="190" t="str">
        <f>IFERROR(Tableau3[[#This Row],[Fonds propres]]/Tableau3[[#This Row],[Total Bilan]],"")</f>
        <v/>
      </c>
      <c r="W2688" s="180"/>
      <c r="X2688" s="192"/>
      <c r="Y2688" s="180"/>
      <c r="Z2688" s="192" t="str">
        <f>IFERROR(Tableau3[[#This Row],[Chiffre d''affaires]]/Tableau3[[#This Row],[Salariés]],"")</f>
        <v/>
      </c>
      <c r="AA2688" s="188"/>
      <c r="AB2688" s="188"/>
      <c r="AC2688" s="177" t="s">
        <v>1919</v>
      </c>
    </row>
    <row r="2689" spans="1:29" ht="20.25" customHeight="1">
      <c r="A2689" s="217"/>
      <c r="E2689" s="187">
        <v>106.49</v>
      </c>
      <c r="F2689" s="178">
        <v>2016</v>
      </c>
      <c r="G2689" s="188">
        <v>26644000000</v>
      </c>
      <c r="H2689" s="188"/>
      <c r="I2689" s="188">
        <v>2224000000</v>
      </c>
      <c r="J2689" s="188">
        <v>1523900000</v>
      </c>
      <c r="K2689" s="188"/>
      <c r="L2689" s="188">
        <v>6520000000</v>
      </c>
      <c r="M2689" s="194">
        <f>L2689/P2691</f>
        <v>19.544364508393286</v>
      </c>
      <c r="N2689" s="190">
        <f>J2689/L2689</f>
        <v>0.23372699386503068</v>
      </c>
      <c r="O2689" s="190">
        <f>(I2689*0.64)/(K2689+(M2689*P2691))</f>
        <v>0.21830674846625767</v>
      </c>
      <c r="P2689" s="188">
        <v>315200000</v>
      </c>
      <c r="Q2689" s="188">
        <f>P2689*E2689</f>
        <v>33565648000</v>
      </c>
      <c r="R2689" s="195">
        <f>Q2689/L2689</f>
        <v>5.1481055214723925</v>
      </c>
      <c r="S2689" s="250">
        <f>Tableau3[[#This Row],[Capi]]/Tableau3[[#This Row],[Résultat d''exploitation]]</f>
        <v>15.09246762589928</v>
      </c>
      <c r="T2689" s="180"/>
      <c r="U2689" s="189" t="str">
        <f>IFERROR(IF(Tableau3[[#This Row],[Dettes]]=0,"",(Tableau3[[#This Row],[Dettes]]/Tableau3[[#This Row],[EBE]])),"")</f>
        <v/>
      </c>
      <c r="V2689" s="190" t="str">
        <f>IFERROR(Tableau3[[#This Row],[Fonds propres]]/Tableau3[[#This Row],[Total Bilan]],"")</f>
        <v/>
      </c>
      <c r="W2689" s="180"/>
      <c r="X2689" s="191"/>
      <c r="Y2689" s="180"/>
      <c r="Z2689" s="192" t="str">
        <f>IFERROR(Tableau3[[#This Row],[Chiffre d''affaires]]/Tableau3[[#This Row],[Salariés]],"")</f>
        <v/>
      </c>
      <c r="AA2689" s="197"/>
      <c r="AB2689" s="197"/>
      <c r="AC2689" s="177" t="s">
        <v>4629</v>
      </c>
    </row>
    <row r="2690" spans="1:29" ht="20.25" customHeight="1">
      <c r="A2690" s="217"/>
      <c r="E2690" s="187"/>
      <c r="G2690" s="202">
        <f>(G2689/G2691)-1</f>
        <v>-7.6874038554818003E-2</v>
      </c>
      <c r="H2690" s="203"/>
      <c r="I2690" s="203">
        <f>(I2689/I2691)-1</f>
        <v>-0.20002877594331137</v>
      </c>
      <c r="J2690" s="203">
        <f>(J2689/J2691)-1</f>
        <v>-0.2144845360824742</v>
      </c>
      <c r="K2690" s="188"/>
      <c r="L2690" s="188"/>
      <c r="M2690" s="188"/>
      <c r="N2690" s="188"/>
      <c r="O2690" s="188"/>
      <c r="P2690" s="188"/>
      <c r="Q2690" s="188"/>
      <c r="R2690" s="188"/>
      <c r="S2690" s="250"/>
      <c r="T2690" s="180"/>
      <c r="U2690" s="189" t="str">
        <f>IFERROR(IF(Tableau3[[#This Row],[Dettes]]=0,"",(Tableau3[[#This Row],[Dettes]]/Tableau3[[#This Row],[EBE]])),"")</f>
        <v/>
      </c>
      <c r="V2690" s="190" t="str">
        <f>IFERROR(Tableau3[[#This Row],[Fonds propres]]/Tableau3[[#This Row],[Total Bilan]],"")</f>
        <v/>
      </c>
      <c r="W2690" s="180"/>
      <c r="X2690" s="192"/>
      <c r="Y2690" s="180"/>
      <c r="Z2690" s="192" t="str">
        <f>IFERROR(Tableau3[[#This Row],[Chiffre d''affaires]]/Tableau3[[#This Row],[Salariés]],"")</f>
        <v/>
      </c>
      <c r="AA2690" s="188"/>
      <c r="AB2690" s="188"/>
      <c r="AC2690" s="177" t="s">
        <v>1920</v>
      </c>
    </row>
    <row r="2691" spans="1:29" ht="20.25" customHeight="1">
      <c r="A2691" s="217"/>
      <c r="E2691" s="187">
        <v>76.27</v>
      </c>
      <c r="F2691" s="178">
        <v>2015</v>
      </c>
      <c r="G2691" s="188">
        <v>28862800000</v>
      </c>
      <c r="H2691" s="188"/>
      <c r="I2691" s="188">
        <v>2780100000</v>
      </c>
      <c r="J2691" s="188">
        <v>1940000000</v>
      </c>
      <c r="K2691" s="260"/>
      <c r="L2691" s="188">
        <v>6743000000</v>
      </c>
      <c r="M2691" s="194">
        <f>L2691/P2691</f>
        <v>20.212829736211031</v>
      </c>
      <c r="N2691" s="190">
        <f>J2691/L2691</f>
        <v>0.2877057689455732</v>
      </c>
      <c r="O2691" s="190">
        <f>(I2691*0.64)/(K2691+(M2691*P2691))</f>
        <v>0.26386830787483317</v>
      </c>
      <c r="P2691" s="188">
        <v>333600000</v>
      </c>
      <c r="Q2691" s="188">
        <f>P2691*E2691</f>
        <v>25443672000</v>
      </c>
      <c r="R2691" s="195">
        <f>Q2691/L2691</f>
        <v>3.7733459884324483</v>
      </c>
      <c r="S2691" s="250">
        <f>Tableau3[[#This Row],[Capi]]/Tableau3[[#This Row],[Résultat d''exploitation]]</f>
        <v>9.1520707888205468</v>
      </c>
      <c r="T2691" s="180"/>
      <c r="U2691" s="189" t="str">
        <f>IFERROR(IF(Tableau3[[#This Row],[Dettes]]=0,"",(Tableau3[[#This Row],[Dettes]]/Tableau3[[#This Row],[EBE]])),"")</f>
        <v/>
      </c>
      <c r="V2691" s="190" t="str">
        <f>IFERROR(Tableau3[[#This Row],[Fonds propres]]/Tableau3[[#This Row],[Total Bilan]],"")</f>
        <v/>
      </c>
      <c r="W2691" s="180"/>
      <c r="X2691" s="191"/>
      <c r="Y2691" s="180"/>
      <c r="Z2691" s="192" t="str">
        <f>IFERROR(Tableau3[[#This Row],[Chiffre d''affaires]]/Tableau3[[#This Row],[Salariés]],"")</f>
        <v/>
      </c>
      <c r="AA2691" s="197"/>
      <c r="AB2691" s="197"/>
      <c r="AC2691" s="177" t="s">
        <v>1921</v>
      </c>
    </row>
    <row r="2692" spans="1:29" ht="20.25" customHeight="1">
      <c r="A2692" s="217"/>
      <c r="E2692" s="187"/>
      <c r="G2692" s="202">
        <f>(G2691/G2693)-1</f>
        <v>-0.19974491917819615</v>
      </c>
      <c r="H2692" s="203"/>
      <c r="I2692" s="203">
        <f>(I2691/I2693)-1</f>
        <v>-0.42049860341018053</v>
      </c>
      <c r="J2692" s="203">
        <f>(J2691/J2693)-1</f>
        <v>-0.38646426312460469</v>
      </c>
      <c r="K2692" s="188"/>
      <c r="L2692" s="188"/>
      <c r="M2692" s="188"/>
      <c r="N2692" s="188"/>
      <c r="O2692" s="188"/>
      <c r="P2692" s="188"/>
      <c r="Q2692" s="188"/>
      <c r="R2692" s="188"/>
      <c r="S2692" s="250"/>
      <c r="T2692" s="180"/>
      <c r="U2692" s="189" t="str">
        <f>IFERROR(IF(Tableau3[[#This Row],[Dettes]]=0,"",(Tableau3[[#This Row],[Dettes]]/Tableau3[[#This Row],[EBE]])),"")</f>
        <v/>
      </c>
      <c r="V2692" s="190" t="str">
        <f>IFERROR(Tableau3[[#This Row],[Fonds propres]]/Tableau3[[#This Row],[Total Bilan]],"")</f>
        <v/>
      </c>
      <c r="W2692" s="180"/>
      <c r="X2692" s="192"/>
      <c r="Y2692" s="180"/>
      <c r="Z2692" s="192" t="str">
        <f>IFERROR(Tableau3[[#This Row],[Chiffre d''affaires]]/Tableau3[[#This Row],[Salariés]],"")</f>
        <v/>
      </c>
      <c r="AA2692" s="188"/>
      <c r="AB2692" s="188"/>
      <c r="AC2692" s="177" t="s">
        <v>1922</v>
      </c>
    </row>
    <row r="2693" spans="1:29" ht="20.25" customHeight="1">
      <c r="A2693" s="217"/>
      <c r="E2693" s="187">
        <v>90.24</v>
      </c>
      <c r="F2693" s="178">
        <v>2014</v>
      </c>
      <c r="G2693" s="188">
        <v>36067000000</v>
      </c>
      <c r="H2693" s="188"/>
      <c r="I2693" s="188">
        <v>4797400000</v>
      </c>
      <c r="J2693" s="188">
        <v>3162000000</v>
      </c>
      <c r="K2693" s="188"/>
      <c r="L2693" s="188">
        <v>9063000000</v>
      </c>
      <c r="M2693" s="194">
        <f>L2693/P2693</f>
        <v>24.966942148760332</v>
      </c>
      <c r="N2693" s="190">
        <f>J2693/L2693</f>
        <v>0.34889109566368753</v>
      </c>
      <c r="O2693" s="190">
        <f>(I2693*0.64)/(K2693+(M2693*P2693))</f>
        <v>0.33877700540659827</v>
      </c>
      <c r="P2693" s="188">
        <v>363000000</v>
      </c>
      <c r="Q2693" s="188">
        <f>P2693*E2693</f>
        <v>32757120000</v>
      </c>
      <c r="R2693" s="195">
        <f>Q2693/L2693</f>
        <v>3.6143793445878849</v>
      </c>
      <c r="S2693" s="250">
        <f>Tableau3[[#This Row],[Capi]]/Tableau3[[#This Row],[Résultat d''exploitation]]</f>
        <v>6.8280985533830822</v>
      </c>
      <c r="T2693" s="180"/>
      <c r="U2693" s="189" t="str">
        <f>IFERROR(IF(Tableau3[[#This Row],[Dettes]]=0,"",(Tableau3[[#This Row],[Dettes]]/Tableau3[[#This Row],[EBE]])),"")</f>
        <v/>
      </c>
      <c r="V2693" s="190" t="str">
        <f>IFERROR(Tableau3[[#This Row],[Fonds propres]]/Tableau3[[#This Row],[Total Bilan]],"")</f>
        <v/>
      </c>
      <c r="W2693" s="180"/>
      <c r="X2693" s="191"/>
      <c r="Y2693" s="180"/>
      <c r="Z2693" s="192" t="str">
        <f>IFERROR(Tableau3[[#This Row],[Chiffre d''affaires]]/Tableau3[[#This Row],[Salariés]],"")</f>
        <v/>
      </c>
      <c r="AA2693" s="197"/>
      <c r="AB2693" s="197"/>
      <c r="AC2693" s="177" t="s">
        <v>4576</v>
      </c>
    </row>
    <row r="2694" spans="1:29" ht="20.25" customHeight="1">
      <c r="A2694" s="217"/>
      <c r="E2694" s="187"/>
      <c r="G2694" s="202">
        <f>(G2693/G2695)-1</f>
        <v>-4.5720333377430866E-2</v>
      </c>
      <c r="H2694" s="203"/>
      <c r="I2694" s="203">
        <f>(I2693/I2695)-1</f>
        <v>-0.12510486194696724</v>
      </c>
      <c r="J2694" s="203">
        <f>(J2693/J2695)-1</f>
        <v>-0.10602205258693809</v>
      </c>
      <c r="K2694" s="188"/>
      <c r="L2694" s="188"/>
      <c r="M2694" s="188"/>
      <c r="N2694" s="188"/>
      <c r="O2694" s="188"/>
      <c r="P2694" s="178"/>
      <c r="Q2694" s="188"/>
      <c r="R2694" s="188"/>
      <c r="S2694" s="250"/>
      <c r="T2694" s="180"/>
      <c r="U2694" s="189" t="str">
        <f>IFERROR(IF(Tableau3[[#This Row],[Dettes]]=0,"",(Tableau3[[#This Row],[Dettes]]/Tableau3[[#This Row],[EBE]])),"")</f>
        <v/>
      </c>
      <c r="V2694" s="190" t="str">
        <f>IFERROR(Tableau3[[#This Row],[Fonds propres]]/Tableau3[[#This Row],[Total Bilan]],"")</f>
        <v/>
      </c>
      <c r="W2694" s="180"/>
      <c r="X2694" s="192"/>
      <c r="Y2694" s="180"/>
      <c r="Z2694" s="192" t="str">
        <f>IFERROR(Tableau3[[#This Row],[Chiffre d''affaires]]/Tableau3[[#This Row],[Salariés]],"")</f>
        <v/>
      </c>
      <c r="AA2694" s="188"/>
      <c r="AB2694" s="188"/>
      <c r="AC2694" s="177" t="s">
        <v>653</v>
      </c>
    </row>
    <row r="2695" spans="1:29" ht="20.25" customHeight="1">
      <c r="A2695" s="217"/>
      <c r="E2695" s="187">
        <v>90.66</v>
      </c>
      <c r="F2695" s="178">
        <v>2013</v>
      </c>
      <c r="G2695" s="188">
        <v>37795000000</v>
      </c>
      <c r="H2695" s="188"/>
      <c r="I2695" s="188">
        <v>5483400000</v>
      </c>
      <c r="J2695" s="188">
        <v>3537000000</v>
      </c>
      <c r="K2695" s="188"/>
      <c r="L2695" s="188">
        <v>10266000000</v>
      </c>
      <c r="M2695" s="194">
        <f>L2695/P2695</f>
        <v>26.64417337139891</v>
      </c>
      <c r="N2695" s="190">
        <f>J2695/L2695</f>
        <v>0.3445353594389246</v>
      </c>
      <c r="O2695" s="190">
        <f>(I2695*0.64)/(K2695+(M2695*P2695))</f>
        <v>0.34184453535943893</v>
      </c>
      <c r="P2695" s="188">
        <v>385300000</v>
      </c>
      <c r="Q2695" s="188">
        <f>P2695*E2695</f>
        <v>34931298000</v>
      </c>
      <c r="R2695" s="195">
        <f>Q2695/L2695</f>
        <v>3.4026201052016365</v>
      </c>
      <c r="S2695" s="250">
        <f>Tableau3[[#This Row],[Capi]]/Tableau3[[#This Row],[Résultat d''exploitation]]</f>
        <v>6.3703720319509793</v>
      </c>
      <c r="T2695" s="180"/>
      <c r="U2695" s="189" t="str">
        <f>IFERROR(IF(Tableau3[[#This Row],[Dettes]]=0,"",(Tableau3[[#This Row],[Dettes]]/Tableau3[[#This Row],[EBE]])),"")</f>
        <v/>
      </c>
      <c r="V2695" s="190" t="str">
        <f>IFERROR(Tableau3[[#This Row],[Fonds propres]]/Tableau3[[#This Row],[Total Bilan]],"")</f>
        <v/>
      </c>
      <c r="W2695" s="180"/>
      <c r="X2695" s="191"/>
      <c r="Y2695" s="180"/>
      <c r="Z2695" s="192" t="str">
        <f>IFERROR(Tableau3[[#This Row],[Chiffre d''affaires]]/Tableau3[[#This Row],[Salariés]],"")</f>
        <v/>
      </c>
      <c r="AA2695" s="197"/>
      <c r="AB2695" s="197"/>
      <c r="AC2695" s="177" t="s">
        <v>126</v>
      </c>
    </row>
    <row r="2696" spans="1:29" ht="20.25" customHeight="1">
      <c r="A2696" s="217"/>
      <c r="E2696" s="187"/>
      <c r="G2696" s="202">
        <f>(G2695/G2697)-1</f>
        <v>4.2419394875472305E-2</v>
      </c>
      <c r="H2696" s="203"/>
      <c r="I2696" s="203">
        <f>(I2695/I2697)-1</f>
        <v>0.15820378506252109</v>
      </c>
      <c r="J2696" s="203">
        <f>(J2695/J2697)-1</f>
        <v>0.15399673735725927</v>
      </c>
      <c r="K2696" s="188"/>
      <c r="L2696" s="188"/>
      <c r="M2696" s="194"/>
      <c r="N2696" s="190"/>
      <c r="O2696" s="190"/>
      <c r="P2696" s="188"/>
      <c r="Q2696" s="188"/>
      <c r="R2696" s="188"/>
      <c r="S2696" s="250"/>
      <c r="T2696" s="180"/>
      <c r="U2696" s="189" t="str">
        <f>IFERROR(IF(Tableau3[[#This Row],[Dettes]]=0,"",(Tableau3[[#This Row],[Dettes]]/Tableau3[[#This Row],[EBE]])),"")</f>
        <v/>
      </c>
      <c r="V2696" s="190" t="str">
        <f>IFERROR(Tableau3[[#This Row],[Fonds propres]]/Tableau3[[#This Row],[Total Bilan]],"")</f>
        <v/>
      </c>
      <c r="W2696" s="180"/>
      <c r="X2696" s="192"/>
      <c r="Y2696" s="180"/>
      <c r="Z2696" s="192" t="str">
        <f>IFERROR(Tableau3[[#This Row],[Chiffre d''affaires]]/Tableau3[[#This Row],[Salariés]],"")</f>
        <v/>
      </c>
      <c r="AA2696" s="188"/>
      <c r="AB2696" s="188"/>
      <c r="AC2696" s="177" t="s">
        <v>1923</v>
      </c>
    </row>
    <row r="2697" spans="1:29" ht="20.25" customHeight="1">
      <c r="A2697" s="217"/>
      <c r="E2697" s="187">
        <v>84.55</v>
      </c>
      <c r="F2697" s="178">
        <v>2012</v>
      </c>
      <c r="G2697" s="188">
        <v>36257000000</v>
      </c>
      <c r="H2697" s="188"/>
      <c r="I2697" s="188">
        <v>4734400000</v>
      </c>
      <c r="J2697" s="188">
        <v>3065000000</v>
      </c>
      <c r="K2697" s="188"/>
      <c r="L2697" s="188">
        <v>6842000000</v>
      </c>
      <c r="M2697" s="194">
        <f>L2697/P2697</f>
        <v>17.229916897506925</v>
      </c>
      <c r="N2697" s="190">
        <f>J2697/L2697</f>
        <v>0.44796843028354283</v>
      </c>
      <c r="O2697" s="190">
        <f>(I2697*0.64)/(K2697+(M2697*P2697))</f>
        <v>0.44285530546623797</v>
      </c>
      <c r="P2697" s="188">
        <v>397100000</v>
      </c>
      <c r="Q2697" s="188">
        <f>P2697*E2697</f>
        <v>33574805000</v>
      </c>
      <c r="R2697" s="195">
        <f>Q2697/L2697</f>
        <v>4.907162379421222</v>
      </c>
      <c r="S2697" s="250">
        <f>Tableau3[[#This Row],[Capi]]/Tableau3[[#This Row],[Résultat d''exploitation]]</f>
        <v>7.0916705390334576</v>
      </c>
      <c r="T2697" s="180"/>
      <c r="U2697" s="189" t="str">
        <f>IFERROR(IF(Tableau3[[#This Row],[Dettes]]=0,"",(Tableau3[[#This Row],[Dettes]]/Tableau3[[#This Row],[EBE]])),"")</f>
        <v/>
      </c>
      <c r="V2697" s="190" t="str">
        <f>IFERROR(Tableau3[[#This Row],[Fonds propres]]/Tableau3[[#This Row],[Total Bilan]],"")</f>
        <v/>
      </c>
      <c r="W2697" s="180"/>
      <c r="X2697" s="191"/>
      <c r="Y2697" s="180"/>
      <c r="Z2697" s="192" t="str">
        <f>IFERROR(Tableau3[[#This Row],[Chiffre d''affaires]]/Tableau3[[#This Row],[Salariés]],"")</f>
        <v/>
      </c>
      <c r="AA2697" s="197"/>
      <c r="AB2697" s="197"/>
      <c r="AC2697" s="177" t="s">
        <v>1924</v>
      </c>
    </row>
    <row r="2698" spans="1:29" ht="20.25" customHeight="1">
      <c r="A2698" s="217"/>
      <c r="E2698" s="187"/>
      <c r="G2698" s="202">
        <f>(G2697/G2699)-1</f>
        <v>0.13257114297316708</v>
      </c>
      <c r="H2698" s="203"/>
      <c r="I2698" s="203">
        <f>(I2697/I2699)-1</f>
        <v>0.12115184237946397</v>
      </c>
      <c r="J2698" s="203">
        <f>(J2697/J2699)-1</f>
        <v>9.4642857142857251E-2</v>
      </c>
      <c r="K2698" s="188"/>
      <c r="L2698" s="188"/>
      <c r="M2698" s="194"/>
      <c r="N2698" s="190"/>
      <c r="O2698" s="190"/>
      <c r="P2698" s="188"/>
      <c r="Q2698" s="188"/>
      <c r="R2698" s="188"/>
      <c r="S2698" s="250"/>
      <c r="T2698" s="180"/>
      <c r="U2698" s="189" t="str">
        <f>IFERROR(IF(Tableau3[[#This Row],[Dettes]]=0,"",(Tableau3[[#This Row],[Dettes]]/Tableau3[[#This Row],[EBE]])),"")</f>
        <v/>
      </c>
      <c r="V2698" s="190" t="str">
        <f>IFERROR(Tableau3[[#This Row],[Fonds propres]]/Tableau3[[#This Row],[Total Bilan]],"")</f>
        <v/>
      </c>
      <c r="W2698" s="180"/>
      <c r="X2698" s="192"/>
      <c r="Y2698" s="180"/>
      <c r="Z2698" s="192" t="str">
        <f>IFERROR(Tableau3[[#This Row],[Chiffre d''affaires]]/Tableau3[[#This Row],[Salariés]],"")</f>
        <v/>
      </c>
      <c r="AA2698" s="188"/>
      <c r="AB2698" s="188"/>
    </row>
    <row r="2699" spans="1:29" ht="20.25" customHeight="1">
      <c r="A2699" s="217"/>
      <c r="E2699" s="187">
        <v>82.3</v>
      </c>
      <c r="F2699" s="178">
        <v>2011</v>
      </c>
      <c r="G2699" s="188">
        <v>32013000000</v>
      </c>
      <c r="H2699" s="188"/>
      <c r="I2699" s="188">
        <v>4222800000</v>
      </c>
      <c r="J2699" s="188">
        <v>2800000000</v>
      </c>
      <c r="K2699" s="188"/>
      <c r="L2699" s="188">
        <v>6800000000</v>
      </c>
      <c r="M2699" s="194">
        <f>L2699/P2699</f>
        <v>16.291327264015333</v>
      </c>
      <c r="N2699" s="190">
        <f>J2699/L2699</f>
        <v>0.41176470588235292</v>
      </c>
      <c r="O2699" s="190">
        <f>(I2699*0.64)/(K2699+(M2699*P2699))</f>
        <v>0.39744000000000002</v>
      </c>
      <c r="P2699" s="188">
        <v>417400000</v>
      </c>
      <c r="Q2699" s="188">
        <f>P2699*E2699</f>
        <v>34352020000</v>
      </c>
      <c r="R2699" s="195">
        <f>Q2699/L2699</f>
        <v>5.0517676470588233</v>
      </c>
      <c r="S2699" s="250">
        <f>Tableau3[[#This Row],[Capi]]/Tableau3[[#This Row],[Résultat d''exploitation]]</f>
        <v>8.1348915411575256</v>
      </c>
      <c r="T2699" s="180"/>
      <c r="U2699" s="189" t="str">
        <f>IFERROR(IF(Tableau3[[#This Row],[Dettes]]=0,"",(Tableau3[[#This Row],[Dettes]]/Tableau3[[#This Row],[EBE]])),"")</f>
        <v/>
      </c>
      <c r="V2699" s="190" t="str">
        <f>IFERROR(Tableau3[[#This Row],[Fonds propres]]/Tableau3[[#This Row],[Total Bilan]],"")</f>
        <v/>
      </c>
      <c r="W2699" s="180"/>
      <c r="X2699" s="191"/>
      <c r="Y2699" s="180"/>
      <c r="Z2699" s="192" t="str">
        <f>IFERROR(Tableau3[[#This Row],[Chiffre d''affaires]]/Tableau3[[#This Row],[Salariés]],"")</f>
        <v/>
      </c>
      <c r="AA2699" s="197"/>
      <c r="AB2699" s="197"/>
    </row>
    <row r="2700" spans="1:29" ht="20.25" customHeight="1">
      <c r="A2700" s="217"/>
      <c r="E2700" s="187"/>
      <c r="G2700" s="202">
        <f>(G2699/G2701)-1</f>
        <v>0.23103249375120161</v>
      </c>
      <c r="H2700" s="203"/>
      <c r="I2700" s="203" t="e">
        <f>(I2699/I2701)-1</f>
        <v>#DIV/0!</v>
      </c>
      <c r="J2700" s="203">
        <f>(J2699/J2701)-1</f>
        <v>0.50134048257372643</v>
      </c>
      <c r="K2700" s="188"/>
      <c r="L2700" s="188"/>
      <c r="M2700" s="194"/>
      <c r="N2700" s="190"/>
      <c r="O2700" s="190"/>
      <c r="P2700" s="188"/>
      <c r="Q2700" s="188"/>
      <c r="R2700" s="188"/>
      <c r="S2700" s="188"/>
      <c r="T2700" s="180"/>
      <c r="U2700" s="189" t="str">
        <f>IFERROR(IF(Tableau3[[#This Row],[Dettes]]=0,"",(Tableau3[[#This Row],[Dettes]]/Tableau3[[#This Row],[EBE]])),"")</f>
        <v/>
      </c>
      <c r="V2700" s="190" t="str">
        <f>IFERROR(Tableau3[[#This Row],[Fonds propres]]/Tableau3[[#This Row],[Total Bilan]],"")</f>
        <v/>
      </c>
      <c r="W2700" s="180"/>
      <c r="X2700" s="192"/>
      <c r="Y2700" s="180"/>
      <c r="Z2700" s="192" t="str">
        <f>IFERROR(Tableau3[[#This Row],[Chiffre d''affaires]]/Tableau3[[#This Row],[Salariés]],"")</f>
        <v/>
      </c>
      <c r="AA2700" s="188"/>
      <c r="AB2700" s="188"/>
    </row>
    <row r="2701" spans="1:29" ht="20.25" customHeight="1">
      <c r="A2701" s="217"/>
      <c r="E2701" s="187">
        <v>83.58</v>
      </c>
      <c r="F2701" s="178">
        <v>2010</v>
      </c>
      <c r="G2701" s="188">
        <v>26005000000</v>
      </c>
      <c r="H2701" s="188"/>
      <c r="I2701" s="188"/>
      <c r="J2701" s="188">
        <v>1865000000</v>
      </c>
      <c r="K2701" s="188"/>
      <c r="L2701" s="188">
        <v>6290000000</v>
      </c>
      <c r="M2701" s="194">
        <f>L2701/P2701</f>
        <v>14.834905660377359</v>
      </c>
      <c r="N2701" s="190">
        <f>J2701/L2701</f>
        <v>0.29650238473767887</v>
      </c>
      <c r="O2701" s="190">
        <f>(I2701*0.64)/(K2701+(M2701*P2701))</f>
        <v>0</v>
      </c>
      <c r="P2701" s="188">
        <v>424000000</v>
      </c>
      <c r="Q2701" s="188">
        <f>P2701*E2701</f>
        <v>35437920000</v>
      </c>
      <c r="R2701" s="195">
        <f>Q2701/L2701</f>
        <v>5.634009538950715</v>
      </c>
      <c r="S2701" s="188"/>
      <c r="T2701" s="180"/>
      <c r="U2701" s="189" t="str">
        <f>IFERROR(IF(Tableau3[[#This Row],[Dettes]]=0,"",(Tableau3[[#This Row],[Dettes]]/Tableau3[[#This Row],[EBE]])),"")</f>
        <v/>
      </c>
      <c r="V2701" s="190" t="str">
        <f>IFERROR(Tableau3[[#This Row],[Fonds propres]]/Tableau3[[#This Row],[Total Bilan]],"")</f>
        <v/>
      </c>
      <c r="W2701" s="180"/>
      <c r="X2701" s="191"/>
      <c r="Y2701" s="180"/>
      <c r="Z2701" s="192" t="str">
        <f>IFERROR(Tableau3[[#This Row],[Chiffre d''affaires]]/Tableau3[[#This Row],[Salariés]],"")</f>
        <v/>
      </c>
      <c r="AA2701" s="197"/>
      <c r="AB2701" s="197"/>
    </row>
    <row r="2702" spans="1:29" ht="20.25" customHeight="1">
      <c r="A2702" s="217"/>
      <c r="E2702" s="187"/>
      <c r="G2702" s="202">
        <f>(G2701/G2703)-1</f>
        <v>0.12517307026652813</v>
      </c>
      <c r="H2702" s="203"/>
      <c r="I2702" s="203" t="e">
        <f>(I2701/I2703)-1</f>
        <v>#DIV/0!</v>
      </c>
      <c r="J2702" s="203">
        <f>(J2701/J2703)-1</f>
        <v>1.13631156930126</v>
      </c>
      <c r="K2702" s="188"/>
      <c r="L2702" s="188"/>
      <c r="M2702" s="194"/>
      <c r="N2702" s="190"/>
      <c r="O2702" s="190"/>
      <c r="P2702" s="188"/>
      <c r="Q2702" s="188"/>
      <c r="R2702" s="188"/>
      <c r="S2702" s="188"/>
      <c r="T2702" s="180"/>
      <c r="U2702" s="189" t="str">
        <f>IFERROR(IF(Tableau3[[#This Row],[Dettes]]=0,"",(Tableau3[[#This Row],[Dettes]]/Tableau3[[#This Row],[EBE]])),"")</f>
        <v/>
      </c>
      <c r="V2702" s="190" t="str">
        <f>IFERROR(Tableau3[[#This Row],[Fonds propres]]/Tableau3[[#This Row],[Total Bilan]],"")</f>
        <v/>
      </c>
      <c r="W2702" s="180"/>
      <c r="X2702" s="192"/>
      <c r="Y2702" s="180"/>
      <c r="Z2702" s="192" t="str">
        <f>IFERROR(Tableau3[[#This Row],[Chiffre d''affaires]]/Tableau3[[#This Row],[Salariés]],"")</f>
        <v/>
      </c>
      <c r="AA2702" s="188"/>
      <c r="AB2702" s="188"/>
    </row>
    <row r="2703" spans="1:29" ht="20.25" customHeight="1">
      <c r="A2703" s="217"/>
      <c r="E2703" s="187">
        <v>54.09</v>
      </c>
      <c r="F2703" s="178">
        <v>2009</v>
      </c>
      <c r="G2703" s="188">
        <v>23112000000</v>
      </c>
      <c r="H2703" s="188"/>
      <c r="I2703" s="188"/>
      <c r="J2703" s="188">
        <v>873000000</v>
      </c>
      <c r="K2703" s="188"/>
      <c r="L2703" s="188">
        <v>4819000000</v>
      </c>
      <c r="M2703" s="194">
        <f>L2703/P2703</f>
        <v>11.397824030274361</v>
      </c>
      <c r="N2703" s="190">
        <f>J2703/L2703</f>
        <v>0.18115791658020336</v>
      </c>
      <c r="O2703" s="190">
        <f>(I2703*0.64)/(K2703+(M2703*P2703))</f>
        <v>0</v>
      </c>
      <c r="P2703" s="188">
        <v>422800000</v>
      </c>
      <c r="Q2703" s="188">
        <f>P2703*E2703</f>
        <v>22869252000</v>
      </c>
      <c r="R2703" s="195">
        <f>Q2703/L2703</f>
        <v>4.7456426644532064</v>
      </c>
      <c r="S2703" s="188"/>
      <c r="T2703" s="180"/>
      <c r="U2703" s="189" t="str">
        <f>IFERROR(IF(Tableau3[[#This Row],[Dettes]]=0,"",(Tableau3[[#This Row],[Dettes]]/Tableau3[[#This Row],[EBE]])),"")</f>
        <v/>
      </c>
      <c r="V2703" s="190" t="str">
        <f>IFERROR(Tableau3[[#This Row],[Fonds propres]]/Tableau3[[#This Row],[Total Bilan]],"")</f>
        <v/>
      </c>
      <c r="W2703" s="180"/>
      <c r="X2703" s="191"/>
      <c r="Y2703" s="180"/>
      <c r="Z2703" s="192" t="str">
        <f>IFERROR(Tableau3[[#This Row],[Chiffre d''affaires]]/Tableau3[[#This Row],[Salariés]],"")</f>
        <v/>
      </c>
      <c r="AA2703" s="197"/>
      <c r="AB2703" s="197"/>
    </row>
    <row r="2704" spans="1:29" ht="20.25" customHeight="1">
      <c r="A2704" s="217"/>
      <c r="E2704" s="187"/>
      <c r="G2704" s="202">
        <f>(G2703/G2705)-1</f>
        <v>-0.18152843685813447</v>
      </c>
      <c r="H2704" s="203"/>
      <c r="I2704" s="203" t="e">
        <f>(I2703/I2705)-1</f>
        <v>#DIV/0!</v>
      </c>
      <c r="J2704" s="203">
        <f>(J2703/J2705)-1</f>
        <v>-0.57476863127131028</v>
      </c>
      <c r="K2704" s="188"/>
      <c r="L2704" s="188"/>
      <c r="M2704" s="194"/>
      <c r="N2704" s="190"/>
      <c r="O2704" s="190"/>
      <c r="P2704" s="188"/>
      <c r="Q2704" s="188"/>
      <c r="R2704" s="188"/>
      <c r="S2704" s="188"/>
      <c r="T2704" s="180"/>
      <c r="U2704" s="189" t="str">
        <f>IFERROR(IF(Tableau3[[#This Row],[Dettes]]=0,"",(Tableau3[[#This Row],[Dettes]]/Tableau3[[#This Row],[EBE]])),"")</f>
        <v/>
      </c>
      <c r="V2704" s="190" t="str">
        <f>IFERROR(Tableau3[[#This Row],[Fonds propres]]/Tableau3[[#This Row],[Total Bilan]],"")</f>
        <v/>
      </c>
      <c r="W2704" s="180"/>
      <c r="X2704" s="192"/>
      <c r="Y2704" s="180"/>
      <c r="Z2704" s="192" t="str">
        <f>IFERROR(Tableau3[[#This Row],[Chiffre d''affaires]]/Tableau3[[#This Row],[Salariés]],"")</f>
        <v/>
      </c>
      <c r="AA2704" s="188"/>
      <c r="AB2704" s="188"/>
    </row>
    <row r="2705" spans="1:29" ht="20.25" customHeight="1">
      <c r="A2705" s="217"/>
      <c r="E2705" s="187">
        <v>38.47</v>
      </c>
      <c r="F2705" s="178">
        <v>2008</v>
      </c>
      <c r="G2705" s="188">
        <v>28238000000</v>
      </c>
      <c r="H2705" s="188"/>
      <c r="I2705" s="188"/>
      <c r="J2705" s="188">
        <v>2053000000</v>
      </c>
      <c r="K2705" s="188"/>
      <c r="L2705" s="188">
        <v>6533000000</v>
      </c>
      <c r="M2705" s="194">
        <f>L2705/P2705</f>
        <v>15.154256553003943</v>
      </c>
      <c r="N2705" s="190">
        <f>J2705/L2705</f>
        <v>0.31425072707791213</v>
      </c>
      <c r="O2705" s="190">
        <f>(I2705*0.64)/(K2705+(M2705*P2705))</f>
        <v>0</v>
      </c>
      <c r="P2705" s="188">
        <v>431100000</v>
      </c>
      <c r="Q2705" s="188">
        <f>P2705*E2705</f>
        <v>16584417000</v>
      </c>
      <c r="R2705" s="195">
        <f>Q2705/L2705</f>
        <v>2.5385606918720343</v>
      </c>
      <c r="S2705" s="197"/>
      <c r="T2705" s="180"/>
      <c r="U2705" s="189" t="str">
        <f>IFERROR(IF(Tableau3[[#This Row],[Dettes]]=0,"",(Tableau3[[#This Row],[Dettes]]/Tableau3[[#This Row],[EBE]])),"")</f>
        <v/>
      </c>
      <c r="V2705" s="190" t="str">
        <f>IFERROR(Tableau3[[#This Row],[Fonds propres]]/Tableau3[[#This Row],[Total Bilan]],"")</f>
        <v/>
      </c>
      <c r="W2705" s="180"/>
      <c r="X2705" s="191"/>
      <c r="Y2705" s="180"/>
      <c r="Z2705" s="192" t="str">
        <f>IFERROR(Tableau3[[#This Row],[Chiffre d''affaires]]/Tableau3[[#This Row],[Salariés]],"")</f>
        <v/>
      </c>
      <c r="AA2705" s="197"/>
      <c r="AB2705" s="197"/>
    </row>
    <row r="2706" spans="1:29" ht="20.25" customHeight="1">
      <c r="A2706" s="217"/>
      <c r="E2706" s="187"/>
      <c r="G2706" s="188"/>
      <c r="H2706" s="188"/>
      <c r="I2706" s="188"/>
      <c r="J2706" s="188"/>
      <c r="K2706" s="188"/>
      <c r="L2706" s="188"/>
      <c r="M2706" s="194"/>
      <c r="N2706" s="190"/>
      <c r="O2706" s="190"/>
      <c r="P2706" s="188"/>
      <c r="Q2706" s="188"/>
      <c r="R2706" s="195"/>
      <c r="S2706" s="197"/>
      <c r="T2706" s="180"/>
      <c r="U2706" s="189" t="str">
        <f>IFERROR(IF(Tableau3[[#This Row],[Dettes]]=0,"",(Tableau3[[#This Row],[Dettes]]/Tableau3[[#This Row],[EBE]])),"")</f>
        <v/>
      </c>
      <c r="V2706" s="190" t="str">
        <f>IFERROR(Tableau3[[#This Row],[Fonds propres]]/Tableau3[[#This Row],[Total Bilan]],"")</f>
        <v/>
      </c>
      <c r="W2706" s="180"/>
      <c r="X2706" s="191"/>
      <c r="Y2706" s="180"/>
      <c r="Z2706" s="192" t="str">
        <f>IFERROR(Tableau3[[#This Row],[Chiffre d''affaires]]/Tableau3[[#This Row],[Salariés]],"")</f>
        <v/>
      </c>
      <c r="AA2706" s="197"/>
      <c r="AB2706" s="197"/>
    </row>
    <row r="2707" spans="1:29" ht="20.25" customHeight="1">
      <c r="A2707" s="217"/>
      <c r="E2707" s="187"/>
      <c r="G2707" s="188"/>
      <c r="H2707" s="188"/>
      <c r="I2707" s="188"/>
      <c r="J2707" s="188"/>
      <c r="K2707" s="188"/>
      <c r="L2707" s="188"/>
      <c r="M2707" s="194"/>
      <c r="N2707" s="190"/>
      <c r="O2707" s="190"/>
      <c r="P2707" s="188"/>
      <c r="Q2707" s="188"/>
      <c r="R2707" s="195"/>
      <c r="S2707" s="197"/>
      <c r="T2707" s="180"/>
      <c r="U2707" s="189" t="str">
        <f>IFERROR(IF(Tableau3[[#This Row],[Dettes]]=0,"",(Tableau3[[#This Row],[Dettes]]/Tableau3[[#This Row],[EBE]])),"")</f>
        <v/>
      </c>
      <c r="V2707" s="190" t="str">
        <f>IFERROR(Tableau3[[#This Row],[Fonds propres]]/Tableau3[[#This Row],[Total Bilan]],"")</f>
        <v/>
      </c>
      <c r="W2707" s="180"/>
      <c r="X2707" s="191"/>
      <c r="Y2707" s="180"/>
      <c r="Z2707" s="192" t="str">
        <f>IFERROR(Tableau3[[#This Row],[Chiffre d''affaires]]/Tableau3[[#This Row],[Salariés]],"")</f>
        <v/>
      </c>
      <c r="AA2707" s="197"/>
      <c r="AB2707" s="197"/>
    </row>
    <row r="2708" spans="1:29" ht="20.25" customHeight="1">
      <c r="A2708" s="217"/>
      <c r="G2708" s="188"/>
      <c r="H2708" s="188"/>
      <c r="I2708" s="188"/>
      <c r="J2708" s="188"/>
      <c r="K2708" s="188"/>
      <c r="L2708" s="188"/>
      <c r="M2708" s="188"/>
      <c r="N2708" s="188"/>
      <c r="O2708" s="188"/>
      <c r="P2708" s="188"/>
      <c r="Q2708" s="188"/>
      <c r="R2708" s="188"/>
      <c r="S2708" s="188"/>
      <c r="T2708" s="180"/>
      <c r="U2708" s="189" t="str">
        <f>IFERROR(IF(Tableau3[[#This Row],[Dettes]]=0,"",(Tableau3[[#This Row],[Dettes]]/Tableau3[[#This Row],[EBE]])),"")</f>
        <v/>
      </c>
      <c r="V2708" s="190" t="str">
        <f>IFERROR(Tableau3[[#This Row],[Fonds propres]]/Tableau3[[#This Row],[Total Bilan]],"")</f>
        <v/>
      </c>
      <c r="W2708" s="180"/>
      <c r="X2708" s="192"/>
      <c r="Y2708" s="180"/>
      <c r="Z2708" s="192" t="str">
        <f>IFERROR(Tableau3[[#This Row],[Chiffre d''affaires]]/Tableau3[[#This Row],[Salariés]],"")</f>
        <v/>
      </c>
      <c r="AA2708" s="188"/>
      <c r="AB2708" s="188"/>
    </row>
    <row r="2709" spans="1:29" ht="20.25" customHeight="1">
      <c r="A2709" s="217" t="s">
        <v>1925</v>
      </c>
      <c r="B2709" s="216" t="s">
        <v>1926</v>
      </c>
      <c r="C2709" s="178" t="s">
        <v>84</v>
      </c>
      <c r="D2709" s="178" t="s">
        <v>85</v>
      </c>
      <c r="F2709" s="178">
        <v>2025</v>
      </c>
      <c r="G2709" s="188"/>
      <c r="H2709" s="188"/>
      <c r="I2709" s="188"/>
      <c r="J2709" s="188"/>
      <c r="K2709" s="188"/>
      <c r="L2709" s="188"/>
      <c r="M2709" s="188"/>
      <c r="N2709" s="188"/>
      <c r="O2709" s="188"/>
      <c r="P2709" s="188"/>
      <c r="Q2709" s="188"/>
      <c r="R2709" s="188"/>
      <c r="S2709" s="188"/>
      <c r="T2709" s="180"/>
      <c r="U2709" s="189" t="str">
        <f>IFERROR(IF(Tableau3[[#This Row],[Dettes]]=0,"",(Tableau3[[#This Row],[Dettes]]/Tableau3[[#This Row],[EBE]])),"")</f>
        <v/>
      </c>
      <c r="V2709" s="190" t="str">
        <f>IFERROR(Tableau3[[#This Row],[Fonds propres]]/Tableau3[[#This Row],[Total Bilan]],"")</f>
        <v/>
      </c>
      <c r="W2709" s="180"/>
      <c r="X2709" s="192" t="s">
        <v>1181</v>
      </c>
      <c r="Y2709" s="180"/>
      <c r="Z2709" s="192" t="str">
        <f>IFERROR(Tableau3[[#This Row],[Chiffre d''affaires]]/Tableau3[[#This Row],[Salariés]],"")</f>
        <v/>
      </c>
      <c r="AA2709" s="188"/>
      <c r="AB2709" s="188"/>
      <c r="AC2709" s="177" t="s">
        <v>4956</v>
      </c>
    </row>
    <row r="2710" spans="1:29" ht="20.25" customHeight="1">
      <c r="A2710" s="217"/>
      <c r="G2710" s="188"/>
      <c r="H2710" s="188"/>
      <c r="I2710" s="188"/>
      <c r="J2710" s="188"/>
      <c r="K2710" s="188"/>
      <c r="L2710" s="188"/>
      <c r="M2710" s="188"/>
      <c r="N2710" s="188"/>
      <c r="O2710" s="188"/>
      <c r="P2710" s="188"/>
      <c r="Q2710" s="188"/>
      <c r="R2710" s="188"/>
      <c r="S2710" s="188"/>
      <c r="T2710" s="180"/>
      <c r="U2710" s="189" t="str">
        <f>IFERROR(IF(Tableau3[[#This Row],[Dettes]]=0,"",(Tableau3[[#This Row],[Dettes]]/Tableau3[[#This Row],[EBE]])),"")</f>
        <v/>
      </c>
      <c r="V2710" s="190" t="str">
        <f>IFERROR(Tableau3[[#This Row],[Fonds propres]]/Tableau3[[#This Row],[Total Bilan]],"")</f>
        <v/>
      </c>
      <c r="W2710" s="180"/>
      <c r="X2710" s="192"/>
      <c r="Y2710" s="180"/>
      <c r="Z2710" s="192" t="str">
        <f>IFERROR(Tableau3[[#This Row],[Chiffre d''affaires]]/Tableau3[[#This Row],[Salariés]],"")</f>
        <v/>
      </c>
      <c r="AA2710" s="188"/>
      <c r="AB2710" s="188"/>
      <c r="AC2710" s="177" t="s">
        <v>4961</v>
      </c>
    </row>
    <row r="2711" spans="1:29" ht="20.25" customHeight="1">
      <c r="A2711" s="217"/>
      <c r="E2711" s="187">
        <v>99.74</v>
      </c>
      <c r="F2711" s="178">
        <v>2024</v>
      </c>
      <c r="G2711" s="188">
        <v>71623000000</v>
      </c>
      <c r="H2711" s="188">
        <v>12689000000</v>
      </c>
      <c r="I2711" s="188">
        <v>8850000000</v>
      </c>
      <c r="J2711" s="188">
        <v>4863000000</v>
      </c>
      <c r="K2711" s="188">
        <v>20400000000</v>
      </c>
      <c r="L2711" s="188">
        <v>29947000000</v>
      </c>
      <c r="M2711" s="194">
        <f>L2711/P2711</f>
        <v>51.471525840873319</v>
      </c>
      <c r="N2711" s="190">
        <f>J2711/L2711</f>
        <v>0.16238688349417305</v>
      </c>
      <c r="O2711" s="190">
        <f>(I2711*0.64)/(K2711+(M2711*P2711))</f>
        <v>0.11249925516912626</v>
      </c>
      <c r="P2711" s="188">
        <v>581816830</v>
      </c>
      <c r="Q2711" s="188">
        <f>P2711*E2711</f>
        <v>58030410624.199997</v>
      </c>
      <c r="R2711" s="195">
        <f t="shared" ref="R2711" si="164">Q2711/L2711</f>
        <v>1.9377704152068653</v>
      </c>
      <c r="S2711" s="197">
        <f t="shared" ref="S2711" si="165">(Q2711+K2711)/H2711</f>
        <v>6.1809764854756084</v>
      </c>
      <c r="T2711" s="180"/>
      <c r="U2711" s="189">
        <f>IFERROR(IF(Tableau3[[#This Row],[Dettes]]=0,"",(Tableau3[[#This Row],[Dettes]]/Tableau3[[#This Row],[EBE]])),"")</f>
        <v>1.6076917014737173</v>
      </c>
      <c r="V2711" s="190">
        <f>IFERROR(Tableau3[[#This Row],[Fonds propres]]/Tableau3[[#This Row],[Total Bilan]],"")</f>
        <v>0.23126703786363531</v>
      </c>
      <c r="W2711" s="180">
        <v>129491000000</v>
      </c>
      <c r="X2711" s="192"/>
      <c r="Y2711" s="180">
        <v>285000</v>
      </c>
      <c r="Z2711" s="192">
        <f>IFERROR(Tableau3[[#This Row],[Chiffre d''affaires]]/Tableau3[[#This Row],[Salariés]],"")</f>
        <v>251308.77192982455</v>
      </c>
      <c r="AA2711" s="188"/>
      <c r="AB2711" s="188"/>
      <c r="AC2711" s="177" t="s">
        <v>4962</v>
      </c>
    </row>
    <row r="2712" spans="1:29" ht="20.25" customHeight="1">
      <c r="A2712" s="217"/>
      <c r="G2712" s="202">
        <f>(G2711/G2713)-1</f>
        <v>4.0457305557976664E-2</v>
      </c>
      <c r="H2712" s="203">
        <f>(H2711/H2713)-1</f>
        <v>6.0598462052825042E-2</v>
      </c>
      <c r="I2712" s="203">
        <f>(I2711/I2713)-1</f>
        <v>8.256880733944949E-2</v>
      </c>
      <c r="J2712" s="203">
        <f>(J2711/J2713)-1</f>
        <v>3.4240748617609507E-2</v>
      </c>
      <c r="K2712" s="188"/>
      <c r="L2712" s="188"/>
      <c r="M2712" s="178"/>
      <c r="N2712" s="178"/>
      <c r="O2712" s="178"/>
      <c r="P2712" s="188"/>
      <c r="Q2712" s="188"/>
      <c r="R2712" s="178"/>
      <c r="S2712" s="178"/>
      <c r="T2712" s="180"/>
      <c r="U2712" s="189" t="str">
        <f>IFERROR(IF(Tableau3[[#This Row],[Dettes]]=0,"",(Tableau3[[#This Row],[Dettes]]/Tableau3[[#This Row],[EBE]])),"")</f>
        <v/>
      </c>
      <c r="V2712" s="190" t="str">
        <f>IFERROR(Tableau3[[#This Row],[Fonds propres]]/Tableau3[[#This Row],[Total Bilan]],"")</f>
        <v/>
      </c>
      <c r="W2712" s="180"/>
      <c r="X2712" s="192"/>
      <c r="Y2712" s="180"/>
      <c r="Z2712" s="192" t="str">
        <f>IFERROR(Tableau3[[#This Row],[Chiffre d''affaires]]/Tableau3[[#This Row],[Salariés]],"")</f>
        <v/>
      </c>
      <c r="AA2712" s="188"/>
      <c r="AB2712" s="188"/>
      <c r="AC2712" s="177" t="s">
        <v>4958</v>
      </c>
    </row>
    <row r="2713" spans="1:29" ht="20.25" customHeight="1">
      <c r="A2713" s="217"/>
      <c r="E2713" s="178">
        <v>113.7</v>
      </c>
      <c r="F2713" s="178">
        <v>2023</v>
      </c>
      <c r="G2713" s="188">
        <v>68838000000</v>
      </c>
      <c r="H2713" s="188">
        <v>11964000000</v>
      </c>
      <c r="I2713" s="188">
        <v>8175000000</v>
      </c>
      <c r="J2713" s="188">
        <v>4702000000</v>
      </c>
      <c r="K2713" s="188">
        <v>16100000000</v>
      </c>
      <c r="L2713" s="188">
        <v>28113000000</v>
      </c>
      <c r="M2713" s="194">
        <f>L2713/P2713</f>
        <v>47.726109113701099</v>
      </c>
      <c r="N2713" s="190">
        <f>J2713/L2713</f>
        <v>0.16725358375128943</v>
      </c>
      <c r="O2713" s="190">
        <f>(I2713*0.64)/(K2713+(M2713*P2713))</f>
        <v>0.11833623594870286</v>
      </c>
      <c r="P2713" s="188">
        <v>589048647</v>
      </c>
      <c r="Q2713" s="188">
        <f>P2713*E2713</f>
        <v>66974831163.900002</v>
      </c>
      <c r="R2713" s="195">
        <f t="shared" ref="R2713" si="166">Q2713/L2713</f>
        <v>2.3823437969587022</v>
      </c>
      <c r="S2713" s="197">
        <f t="shared" ref="S2713" si="167">(Q2713+K2713)/H2713</f>
        <v>6.9437337983868268</v>
      </c>
      <c r="T2713" s="180"/>
      <c r="U2713" s="189">
        <f>IFERROR(IF(Tableau3[[#This Row],[Dettes]]=0,"",(Tableau3[[#This Row],[Dettes]]/Tableau3[[#This Row],[EBE]])),"")</f>
        <v>1.3457037780006686</v>
      </c>
      <c r="V2713" s="190">
        <f>IFERROR(Tableau3[[#This Row],[Fonds propres]]/Tableau3[[#This Row],[Total Bilan]],"")</f>
        <v>0.23712444541911976</v>
      </c>
      <c r="W2713" s="180">
        <v>118558000000</v>
      </c>
      <c r="X2713" s="192"/>
      <c r="Y2713" s="180">
        <v>280000</v>
      </c>
      <c r="Z2713" s="192">
        <f>IFERROR(Tableau3[[#This Row],[Chiffre d''affaires]]/Tableau3[[#This Row],[Salariés]],"")</f>
        <v>245850</v>
      </c>
      <c r="AA2713" s="188"/>
      <c r="AB2713" s="188"/>
      <c r="AC2713" s="177" t="s">
        <v>4957</v>
      </c>
    </row>
    <row r="2714" spans="1:29" ht="20.25" customHeight="1">
      <c r="A2714" s="217"/>
      <c r="G2714" s="202">
        <f>(G2713/G2715)-1</f>
        <v>0.11614106201864605</v>
      </c>
      <c r="H2714" s="203">
        <f>(H2713/H2715)-1</f>
        <v>0.1712187958883995</v>
      </c>
      <c r="I2714" s="203">
        <f>(I2713/I2715)-1</f>
        <v>0.26137941675667342</v>
      </c>
      <c r="J2714" s="203">
        <f>(J2713/J2715)-1</f>
        <v>0.10401502700164356</v>
      </c>
      <c r="K2714" s="188"/>
      <c r="L2714" s="188"/>
      <c r="M2714" s="178"/>
      <c r="N2714" s="178"/>
      <c r="O2714" s="178"/>
      <c r="P2714" s="188"/>
      <c r="Q2714" s="188"/>
      <c r="R2714" s="178"/>
      <c r="S2714" s="178"/>
      <c r="T2714" s="180"/>
      <c r="U2714" s="189" t="str">
        <f>IFERROR(IF(Tableau3[[#This Row],[Dettes]]=0,"",(Tableau3[[#This Row],[Dettes]]/Tableau3[[#This Row],[EBE]])),"")</f>
        <v/>
      </c>
      <c r="V2714" s="190" t="str">
        <f>IFERROR(Tableau3[[#This Row],[Fonds propres]]/Tableau3[[#This Row],[Total Bilan]],"")</f>
        <v/>
      </c>
      <c r="W2714" s="180"/>
      <c r="X2714" s="192"/>
      <c r="Y2714" s="180"/>
      <c r="Z2714" s="192" t="str">
        <f>IFERROR(Tableau3[[#This Row],[Chiffre d''affaires]]/Tableau3[[#This Row],[Salariés]],"")</f>
        <v/>
      </c>
      <c r="AA2714" s="188"/>
      <c r="AB2714" s="188"/>
      <c r="AC2714" s="177" t="s">
        <v>1927</v>
      </c>
    </row>
    <row r="2715" spans="1:29" ht="20.25" customHeight="1">
      <c r="A2715" s="217"/>
      <c r="E2715" s="187">
        <v>93.29</v>
      </c>
      <c r="F2715" s="178">
        <v>2022</v>
      </c>
      <c r="G2715" s="188">
        <v>61675000000</v>
      </c>
      <c r="H2715" s="188">
        <v>10215000000</v>
      </c>
      <c r="I2715" s="188">
        <v>6481000000</v>
      </c>
      <c r="J2715" s="188">
        <v>4259000000</v>
      </c>
      <c r="K2715" s="188">
        <v>18536000000</v>
      </c>
      <c r="L2715" s="188">
        <v>25939000000</v>
      </c>
      <c r="M2715" s="194">
        <f>L2715/P2715</f>
        <v>44.010107920032823</v>
      </c>
      <c r="N2715" s="190">
        <f>J2715/L2715</f>
        <v>0.16419291414472417</v>
      </c>
      <c r="O2715" s="190">
        <f>(I2715*0.64)/(K2715+(M2715*P2715))</f>
        <v>9.3262282181000564E-2</v>
      </c>
      <c r="P2715" s="188">
        <v>589387330</v>
      </c>
      <c r="Q2715" s="188">
        <f>P2715*E2715</f>
        <v>54983944015.700005</v>
      </c>
      <c r="R2715" s="195">
        <f t="shared" ref="R2715" si="168">Q2715/L2715</f>
        <v>2.1197403144184435</v>
      </c>
      <c r="S2715" s="197">
        <f t="shared" ref="S2715" si="169">(Q2715+K2715)/H2715</f>
        <v>7.1972534523445928</v>
      </c>
      <c r="T2715" s="180">
        <v>5433000000</v>
      </c>
      <c r="U2715" s="189">
        <f>IFERROR(IF(Tableau3[[#This Row],[Dettes]]=0,"",(Tableau3[[#This Row],[Dettes]]/Tableau3[[#This Row],[EBE]])),"")</f>
        <v>1.8145863925599608</v>
      </c>
      <c r="V2715" s="190">
        <f>IFERROR(Tableau3[[#This Row],[Fonds propres]]/Tableau3[[#This Row],[Total Bilan]],"")</f>
        <v>0.23161682635211758</v>
      </c>
      <c r="W2715" s="180">
        <v>111991000000</v>
      </c>
      <c r="X2715" s="192"/>
      <c r="Y2715" s="180">
        <v>271648</v>
      </c>
      <c r="Z2715" s="192">
        <f>IFERROR(Tableau3[[#This Row],[Chiffre d''affaires]]/Tableau3[[#This Row],[Salariés]],"")</f>
        <v>227040.14018141123</v>
      </c>
      <c r="AA2715" s="188"/>
      <c r="AB2715" s="188"/>
      <c r="AC2715" s="177" t="s">
        <v>1929</v>
      </c>
    </row>
    <row r="2716" spans="1:29" ht="20.25" customHeight="1">
      <c r="A2716" s="217"/>
      <c r="G2716" s="202">
        <f>(G2715/G2717)-1</f>
        <v>0.24858288120495597</v>
      </c>
      <c r="H2716" s="203">
        <f>(H2715/H2717)-1</f>
        <v>0.29566210045662111</v>
      </c>
      <c r="I2716" s="203">
        <f>(I2715/I2717)-1</f>
        <v>0.45183691756272393</v>
      </c>
      <c r="J2716" s="203">
        <f>(J2715/J2717)-1</f>
        <v>0.63996919522525997</v>
      </c>
      <c r="K2716" s="188"/>
      <c r="L2716" s="188"/>
      <c r="M2716" s="178"/>
      <c r="N2716" s="178"/>
      <c r="O2716" s="178"/>
      <c r="P2716" s="188"/>
      <c r="Q2716" s="188"/>
      <c r="R2716" s="178"/>
      <c r="S2716" s="178"/>
      <c r="T2716" s="180"/>
      <c r="U2716" s="189" t="str">
        <f>IFERROR(IF(Tableau3[[#This Row],[Dettes]]=0,"",(Tableau3[[#This Row],[Dettes]]/Tableau3[[#This Row],[EBE]])),"")</f>
        <v/>
      </c>
      <c r="V2716" s="190" t="str">
        <f>IFERROR(Tableau3[[#This Row],[Fonds propres]]/Tableau3[[#This Row],[Total Bilan]],"")</f>
        <v/>
      </c>
      <c r="W2716" s="180"/>
      <c r="X2716" s="192"/>
      <c r="Y2716" s="180"/>
      <c r="Z2716" s="192" t="str">
        <f>IFERROR(Tableau3[[#This Row],[Chiffre d''affaires]]/Tableau3[[#This Row],[Salariés]],"")</f>
        <v/>
      </c>
      <c r="AA2716" s="188"/>
      <c r="AB2716" s="188"/>
      <c r="AC2716" s="177" t="s">
        <v>1930</v>
      </c>
    </row>
    <row r="2717" spans="1:29" ht="20.25" customHeight="1">
      <c r="A2717" s="217"/>
      <c r="E2717" s="178">
        <v>92.9</v>
      </c>
      <c r="F2717" s="178">
        <v>2021</v>
      </c>
      <c r="G2717" s="188">
        <v>49396000000</v>
      </c>
      <c r="H2717" s="188">
        <v>7884000000</v>
      </c>
      <c r="I2717" s="188">
        <v>4464000000</v>
      </c>
      <c r="J2717" s="188">
        <v>2597000000</v>
      </c>
      <c r="K2717" s="188">
        <v>19500000000</v>
      </c>
      <c r="L2717" s="188">
        <v>24771000000</v>
      </c>
      <c r="M2717" s="194">
        <f>L2717/P2717</f>
        <v>41.817308126942891</v>
      </c>
      <c r="N2717" s="190">
        <f>J2717/L2717</f>
        <v>0.10484033749142142</v>
      </c>
      <c r="O2717" s="190">
        <f>(I2717*0.64)/(K2717+(M2717*P2717))</f>
        <v>6.4533441756454563E-2</v>
      </c>
      <c r="P2717" s="188">
        <v>592362376</v>
      </c>
      <c r="Q2717" s="188">
        <f>P2717*E2717</f>
        <v>55030464730.400002</v>
      </c>
      <c r="R2717" s="195">
        <f t="shared" ref="R2717" si="170">Q2717/L2717</f>
        <v>2.221568153502079</v>
      </c>
      <c r="S2717" s="197">
        <f t="shared" ref="S2717" si="171">(Q2717+K2717)/H2717</f>
        <v>9.4533821322171487</v>
      </c>
      <c r="T2717" s="180"/>
      <c r="U2717" s="189">
        <f>IFERROR(IF(Tableau3[[#This Row],[Dettes]]=0,"",(Tableau3[[#This Row],[Dettes]]/Tableau3[[#This Row],[EBE]])),"")</f>
        <v>2.4733637747336377</v>
      </c>
      <c r="V2717" s="190">
        <f>IFERROR(Tableau3[[#This Row],[Fonds propres]]/Tableau3[[#This Row],[Total Bilan]],"")</f>
        <v>0.2457050468179654</v>
      </c>
      <c r="W2717" s="180">
        <v>100816000000</v>
      </c>
      <c r="Y2717" s="180">
        <v>219300</v>
      </c>
      <c r="Z2717" s="192">
        <f>IFERROR(Tableau3[[#This Row],[Chiffre d''affaires]]/Tableau3[[#This Row],[Salariés]],"")</f>
        <v>225243.95804833563</v>
      </c>
      <c r="AA2717" s="177"/>
      <c r="AC2717" s="177" t="s">
        <v>4955</v>
      </c>
    </row>
    <row r="2718" spans="1:29" ht="20.25" customHeight="1">
      <c r="A2718" s="217"/>
      <c r="G2718" s="202">
        <f>(G2717/G2719)-1</f>
        <v>0.14252671508534953</v>
      </c>
      <c r="H2718" s="203">
        <f>(H2717/H2719)-1</f>
        <v>1.7576075550891921</v>
      </c>
      <c r="I2718" s="203">
        <f>(I2717/I2719)-1</f>
        <v>0.77777777777777768</v>
      </c>
      <c r="J2718" s="203">
        <f>(J2717/J2719)-1</f>
        <v>1.0909822866344605</v>
      </c>
      <c r="K2718" s="178"/>
      <c r="L2718" s="178"/>
      <c r="M2718" s="178"/>
      <c r="N2718" s="178"/>
      <c r="O2718" s="178"/>
      <c r="P2718" s="178"/>
      <c r="Q2718" s="178"/>
      <c r="R2718" s="178"/>
      <c r="S2718" s="178"/>
      <c r="T2718" s="180"/>
      <c r="U2718" s="189" t="str">
        <f>IFERROR(IF(Tableau3[[#This Row],[Dettes]]=0,"",(Tableau3[[#This Row],[Dettes]]/Tableau3[[#This Row],[EBE]])),"")</f>
        <v/>
      </c>
      <c r="V2718" s="190" t="str">
        <f>IFERROR(Tableau3[[#This Row],[Fonds propres]]/Tableau3[[#This Row],[Total Bilan]],"")</f>
        <v/>
      </c>
      <c r="W2718" s="180"/>
      <c r="Y2718" s="180"/>
      <c r="Z2718" s="192" t="str">
        <f>IFERROR(Tableau3[[#This Row],[Chiffre d''affaires]]/Tableau3[[#This Row],[Salariés]],"")</f>
        <v/>
      </c>
      <c r="AA2718" s="177"/>
      <c r="AC2718" s="216" t="s">
        <v>4952</v>
      </c>
    </row>
    <row r="2719" spans="1:29" ht="20.25" customHeight="1">
      <c r="A2719" s="217"/>
      <c r="E2719" s="187">
        <v>81.36</v>
      </c>
      <c r="F2719" s="178">
        <v>2020</v>
      </c>
      <c r="G2719" s="188">
        <v>43234000000</v>
      </c>
      <c r="H2719" s="211">
        <v>2859000000</v>
      </c>
      <c r="I2719" s="211">
        <v>2511000000</v>
      </c>
      <c r="J2719" s="211">
        <v>1242000000</v>
      </c>
      <c r="K2719" s="188">
        <v>17989000000</v>
      </c>
      <c r="L2719" s="188">
        <v>20863000000</v>
      </c>
      <c r="M2719" s="194">
        <f>L2719/P2719</f>
        <v>35.449989332378948</v>
      </c>
      <c r="N2719" s="190">
        <f>J2719/L2719</f>
        <v>5.9531227531994441E-2</v>
      </c>
      <c r="O2719" s="190">
        <f>(I2719*0.64)/(K2719+(M2719*P2719))</f>
        <v>4.1363121589622152E-2</v>
      </c>
      <c r="P2719" s="188">
        <v>588519218</v>
      </c>
      <c r="Q2719" s="188">
        <f>P2719*E2719</f>
        <v>47881923576.480003</v>
      </c>
      <c r="R2719" s="195">
        <f>Q2719/L2719</f>
        <v>2.2950641603067634</v>
      </c>
      <c r="S2719" s="197">
        <f>(Q2719+K2719)/H2719</f>
        <v>23.039847350989859</v>
      </c>
      <c r="T2719" s="180"/>
      <c r="U2719" s="189">
        <f>IFERROR(IF(Tableau3[[#This Row],[Dettes]]=0,"",(Tableau3[[#This Row],[Dettes]]/Tableau3[[#This Row],[EBE]])),"")</f>
        <v>6.2920601608954181</v>
      </c>
      <c r="V2719" s="190" t="str">
        <f>IFERROR(Tableau3[[#This Row],[Fonds propres]]/Tableau3[[#This Row],[Total Bilan]],"")</f>
        <v/>
      </c>
      <c r="W2719" s="180"/>
      <c r="Y2719" s="180">
        <v>194428</v>
      </c>
      <c r="Z2719" s="192">
        <f>IFERROR(Tableau3[[#This Row],[Chiffre d''affaires]]/Tableau3[[#This Row],[Salariés]],"")</f>
        <v>222365.09144773387</v>
      </c>
      <c r="AA2719" s="177"/>
      <c r="AC2719" s="216" t="s">
        <v>4953</v>
      </c>
    </row>
    <row r="2720" spans="1:29" ht="20.25" customHeight="1">
      <c r="A2720" s="217"/>
      <c r="G2720" s="202">
        <f>(G2719/G2721)-1</f>
        <v>-0.10028510186668882</v>
      </c>
      <c r="H2720" s="203">
        <f>(H2719/H2721)-1</f>
        <v>-0.66352830410733199</v>
      </c>
      <c r="I2720" s="203">
        <f>(I2719/I2721)-1</f>
        <v>-0.55978260869565211</v>
      </c>
      <c r="J2720" s="203">
        <f>(J2719/J2721)-1</f>
        <v>-0.61901840490797544</v>
      </c>
      <c r="K2720" s="188"/>
      <c r="L2720" s="188"/>
      <c r="M2720" s="178"/>
      <c r="N2720" s="178"/>
      <c r="O2720" s="178"/>
      <c r="P2720" s="178"/>
      <c r="Q2720" s="178"/>
      <c r="R2720" s="178"/>
      <c r="S2720" s="178"/>
      <c r="T2720" s="180"/>
      <c r="U2720" s="189" t="str">
        <f>IFERROR(IF(Tableau3[[#This Row],[Dettes]]=0,"",(Tableau3[[#This Row],[Dettes]]/Tableau3[[#This Row],[EBE]])),"")</f>
        <v/>
      </c>
      <c r="V2720" s="190" t="str">
        <f>IFERROR(Tableau3[[#This Row],[Fonds propres]]/Tableau3[[#This Row],[Total Bilan]],"")</f>
        <v/>
      </c>
      <c r="W2720" s="180"/>
      <c r="Y2720" s="180"/>
      <c r="Z2720" s="192" t="str">
        <f>IFERROR(Tableau3[[#This Row],[Chiffre d''affaires]]/Tableau3[[#This Row],[Salariés]],"")</f>
        <v/>
      </c>
      <c r="AA2720" s="177"/>
      <c r="AC2720" s="177" t="s">
        <v>4965</v>
      </c>
    </row>
    <row r="2721" spans="1:29" ht="20.25" customHeight="1">
      <c r="A2721" s="217"/>
      <c r="E2721" s="178">
        <v>96.1</v>
      </c>
      <c r="F2721" s="178">
        <v>2019</v>
      </c>
      <c r="G2721" s="188">
        <v>48053000000</v>
      </c>
      <c r="H2721" s="211">
        <v>8497000000</v>
      </c>
      <c r="I2721" s="211">
        <v>5704000000</v>
      </c>
      <c r="J2721" s="211">
        <v>3260000000</v>
      </c>
      <c r="K2721" s="188">
        <v>21654000000</v>
      </c>
      <c r="L2721" s="188">
        <v>20438000000</v>
      </c>
      <c r="M2721" s="194">
        <f>L2721/P2721</f>
        <v>33.768551383124461</v>
      </c>
      <c r="N2721" s="190">
        <f>J2721/L2721</f>
        <v>0.15950680105685489</v>
      </c>
      <c r="O2721" s="190">
        <f>(I2721*0.64)/(K2721+(M2721*P2721))</f>
        <v>8.6728119357597638E-2</v>
      </c>
      <c r="P2721" s="188">
        <v>605237689</v>
      </c>
      <c r="Q2721" s="188">
        <f>P2721*E2721</f>
        <v>58163341912.899994</v>
      </c>
      <c r="R2721" s="195">
        <f>Q2721/L2721</f>
        <v>2.845843131074469</v>
      </c>
      <c r="S2721" s="197">
        <f>(Q2721+K2721)/H2721</f>
        <v>9.393590904189713</v>
      </c>
      <c r="T2721" s="180"/>
      <c r="U2721" s="189">
        <f>IFERROR(IF(Tableau3[[#This Row],[Dettes]]=0,"",(Tableau3[[#This Row],[Dettes]]/Tableau3[[#This Row],[EBE]])),"")</f>
        <v>2.5484288572437332</v>
      </c>
      <c r="V2721" s="190" t="str">
        <f>IFERROR(Tableau3[[#This Row],[Fonds propres]]/Tableau3[[#This Row],[Total Bilan]],"")</f>
        <v/>
      </c>
      <c r="W2721" s="180"/>
      <c r="Y2721" s="180"/>
      <c r="Z2721" s="192" t="str">
        <f>IFERROR(Tableau3[[#This Row],[Chiffre d''affaires]]/Tableau3[[#This Row],[Salariés]],"")</f>
        <v/>
      </c>
      <c r="AA2721" s="177"/>
      <c r="AC2721" s="177" t="s">
        <v>4964</v>
      </c>
    </row>
    <row r="2722" spans="1:29" ht="20.25" customHeight="1">
      <c r="A2722" s="217"/>
      <c r="G2722" s="202">
        <f>(G2721/G2723)-1</f>
        <v>0.10446131303218831</v>
      </c>
      <c r="H2722" s="203">
        <f>(H2721/H2723)-1</f>
        <v>0.23180632067265883</v>
      </c>
      <c r="I2722" s="203">
        <f>(I2721/I2723)-1</f>
        <v>0.15840779853777409</v>
      </c>
      <c r="J2722" s="203">
        <f>(J2721/J2723)-1</f>
        <v>9.2859537378477963E-2</v>
      </c>
      <c r="K2722" s="178"/>
      <c r="L2722" s="178"/>
      <c r="M2722" s="178"/>
      <c r="N2722" s="178"/>
      <c r="O2722" s="178"/>
      <c r="P2722" s="178"/>
      <c r="Q2722" s="178"/>
      <c r="R2722" s="178"/>
      <c r="S2722" s="178"/>
      <c r="T2722" s="180"/>
      <c r="U2722" s="189" t="str">
        <f>IFERROR(IF(Tableau3[[#This Row],[Dettes]]=0,"",(Tableau3[[#This Row],[Dettes]]/Tableau3[[#This Row],[EBE]])),"")</f>
        <v/>
      </c>
      <c r="V2722" s="190" t="str">
        <f>IFERROR(Tableau3[[#This Row],[Fonds propres]]/Tableau3[[#This Row],[Total Bilan]],"")</f>
        <v/>
      </c>
      <c r="W2722" s="180"/>
      <c r="Y2722" s="180"/>
      <c r="Z2722" s="192" t="str">
        <f>IFERROR(Tableau3[[#This Row],[Chiffre d''affaires]]/Tableau3[[#This Row],[Salariés]],"")</f>
        <v/>
      </c>
      <c r="AA2722" s="177"/>
      <c r="AC2722" s="177" t="s">
        <v>4963</v>
      </c>
    </row>
    <row r="2723" spans="1:29" ht="20.25" customHeight="1">
      <c r="A2723" s="217"/>
      <c r="E2723" s="187">
        <v>81.36</v>
      </c>
      <c r="F2723" s="178">
        <v>2018</v>
      </c>
      <c r="G2723" s="188">
        <f>G2725*1.081</f>
        <v>43508088000</v>
      </c>
      <c r="H2723" s="211">
        <v>6898000000</v>
      </c>
      <c r="I2723" s="211">
        <v>4924000000</v>
      </c>
      <c r="J2723" s="211">
        <v>2983000000</v>
      </c>
      <c r="K2723" s="188">
        <v>15600000000</v>
      </c>
      <c r="L2723" s="188">
        <v>19800000000</v>
      </c>
      <c r="M2723" s="194">
        <f>L2723/P2723</f>
        <v>33.137188845478654</v>
      </c>
      <c r="N2723" s="190">
        <f>J2723/L2723</f>
        <v>0.15065656565656566</v>
      </c>
      <c r="O2723" s="190">
        <f>(I2723*0.64)/(K2723+(M2723*P2723))</f>
        <v>8.9021468926553673E-2</v>
      </c>
      <c r="P2723" s="188">
        <v>597515984</v>
      </c>
      <c r="Q2723" s="188">
        <f>P2723*E2723</f>
        <v>48613900458.239998</v>
      </c>
      <c r="R2723" s="195">
        <f>Q2723/L2723</f>
        <v>2.4552474978909089</v>
      </c>
      <c r="S2723" s="197">
        <f>(Q2723+K2723)/H2723</f>
        <v>9.3090606637054218</v>
      </c>
      <c r="T2723" s="180"/>
      <c r="U2723" s="189">
        <f>IFERROR(IF(Tableau3[[#This Row],[Dettes]]=0,"",(Tableau3[[#This Row],[Dettes]]/Tableau3[[#This Row],[EBE]])),"")</f>
        <v>2.2615250797332562</v>
      </c>
      <c r="V2723" s="190" t="str">
        <f>IFERROR(Tableau3[[#This Row],[Fonds propres]]/Tableau3[[#This Row],[Total Bilan]],"")</f>
        <v/>
      </c>
      <c r="W2723" s="180"/>
      <c r="X2723" s="191"/>
      <c r="Y2723" s="180"/>
      <c r="Z2723" s="192" t="str">
        <f>IFERROR(Tableau3[[#This Row],[Chiffre d''affaires]]/Tableau3[[#This Row],[Salariés]],"")</f>
        <v/>
      </c>
      <c r="AA2723" s="197"/>
      <c r="AB2723" s="197"/>
      <c r="AC2723" s="177" t="s">
        <v>4960</v>
      </c>
    </row>
    <row r="2724" spans="1:29" ht="20.25" customHeight="1">
      <c r="A2724" s="217"/>
      <c r="E2724" s="187"/>
      <c r="G2724" s="202">
        <f>(G2723/G2725)-1</f>
        <v>8.0999999999999961E-2</v>
      </c>
      <c r="H2724" s="203">
        <f>(H2723/H2725)-1</f>
        <v>6.12307692307692E-2</v>
      </c>
      <c r="I2724" s="203">
        <f>(I2723/I2725)-1</f>
        <v>6.8808335142174881E-2</v>
      </c>
      <c r="J2724" s="203">
        <f>(J2723/J2725)-1</f>
        <v>5.1462812830454618E-2</v>
      </c>
      <c r="K2724" s="178"/>
      <c r="L2724" s="178"/>
      <c r="M2724" s="178"/>
      <c r="N2724" s="178"/>
      <c r="O2724" s="178"/>
      <c r="P2724" s="178"/>
      <c r="Q2724" s="178"/>
      <c r="R2724" s="178"/>
      <c r="S2724" s="178"/>
      <c r="T2724" s="180"/>
      <c r="U2724" s="189" t="str">
        <f>IFERROR(IF(Tableau3[[#This Row],[Dettes]]=0,"",(Tableau3[[#This Row],[Dettes]]/Tableau3[[#This Row],[EBE]])),"")</f>
        <v/>
      </c>
      <c r="V2724" s="190" t="str">
        <f>IFERROR(Tableau3[[#This Row],[Fonds propres]]/Tableau3[[#This Row],[Total Bilan]],"")</f>
        <v/>
      </c>
      <c r="W2724" s="180"/>
      <c r="Y2724" s="180"/>
      <c r="Z2724" s="192" t="str">
        <f>IFERROR(Tableau3[[#This Row],[Chiffre d''affaires]]/Tableau3[[#This Row],[Salariés]],"")</f>
        <v/>
      </c>
      <c r="AA2724" s="177"/>
      <c r="AC2724" s="177" t="s">
        <v>4959</v>
      </c>
    </row>
    <row r="2725" spans="1:29" ht="20.25" customHeight="1">
      <c r="A2725" s="217"/>
      <c r="E2725" s="187">
        <v>88.24</v>
      </c>
      <c r="F2725" s="178">
        <v>2017</v>
      </c>
      <c r="G2725" s="188">
        <v>40248000000</v>
      </c>
      <c r="H2725" s="188">
        <v>6500000000</v>
      </c>
      <c r="I2725" s="188">
        <v>4607000000</v>
      </c>
      <c r="J2725" s="188">
        <v>2837000000</v>
      </c>
      <c r="K2725" s="188">
        <v>14001000000</v>
      </c>
      <c r="L2725" s="188">
        <v>18383000000</v>
      </c>
      <c r="M2725" s="194">
        <f>L2725/P2725</f>
        <v>31.093492942289604</v>
      </c>
      <c r="N2725" s="190">
        <f>J2725/L2725</f>
        <v>0.15432736767665778</v>
      </c>
      <c r="O2725" s="190">
        <f>(I2725*0.64)/(K2725+(M2725*P2725))</f>
        <v>9.1047430830039522E-2</v>
      </c>
      <c r="P2725" s="188">
        <v>591216948</v>
      </c>
      <c r="Q2725" s="188">
        <f>P2725*E2725</f>
        <v>52168983491.519997</v>
      </c>
      <c r="R2725" s="195">
        <f>Q2725/L2725</f>
        <v>2.8378928081118424</v>
      </c>
      <c r="S2725" s="197">
        <f>(Q2725+K2725)/H2725</f>
        <v>10.179997460233846</v>
      </c>
      <c r="T2725" s="180"/>
      <c r="U2725" s="189">
        <f>IFERROR(IF(Tableau3[[#This Row],[Dettes]]=0,"",(Tableau3[[#This Row],[Dettes]]/Tableau3[[#This Row],[EBE]])),"")</f>
        <v>2.1539999999999999</v>
      </c>
      <c r="V2725" s="190" t="str">
        <f>IFERROR(Tableau3[[#This Row],[Fonds propres]]/Tableau3[[#This Row],[Total Bilan]],"")</f>
        <v/>
      </c>
      <c r="W2725" s="180"/>
      <c r="X2725" s="191"/>
      <c r="Y2725" s="180"/>
      <c r="Z2725" s="192" t="str">
        <f>IFERROR(Tableau3[[#This Row],[Chiffre d''affaires]]/Tableau3[[#This Row],[Salariés]],"")</f>
        <v/>
      </c>
      <c r="AA2725" s="197"/>
      <c r="AB2725" s="197"/>
      <c r="AC2725" s="177" t="s">
        <v>4951</v>
      </c>
    </row>
    <row r="2726" spans="1:29" ht="20.25" customHeight="1">
      <c r="A2726" s="217"/>
      <c r="E2726" s="187"/>
      <c r="G2726" s="202">
        <f>(G2725/G2727)-1</f>
        <v>5.712709794342441E-2</v>
      </c>
      <c r="H2726" s="203">
        <f>(H2725/H2727)-1</f>
        <v>8.9507207509218922E-2</v>
      </c>
      <c r="I2726" s="203">
        <f>(I2725/I2727)-1</f>
        <v>0.10373742213703885</v>
      </c>
      <c r="J2726" s="203">
        <f>(J2725/J2727)-1</f>
        <v>0.11473477406679766</v>
      </c>
      <c r="K2726" s="188"/>
      <c r="L2726" s="188"/>
      <c r="M2726" s="178"/>
      <c r="N2726" s="178"/>
      <c r="O2726" s="178"/>
      <c r="P2726" s="188"/>
      <c r="Q2726" s="178"/>
      <c r="R2726" s="178"/>
      <c r="S2726" s="178"/>
      <c r="T2726" s="180"/>
      <c r="U2726" s="189" t="str">
        <f>IFERROR(IF(Tableau3[[#This Row],[Dettes]]=0,"",(Tableau3[[#This Row],[Dettes]]/Tableau3[[#This Row],[EBE]])),"")</f>
        <v/>
      </c>
      <c r="V2726" s="190" t="str">
        <f>IFERROR(Tableau3[[#This Row],[Fonds propres]]/Tableau3[[#This Row],[Total Bilan]],"")</f>
        <v/>
      </c>
      <c r="W2726" s="180"/>
      <c r="Y2726" s="180"/>
      <c r="Z2726" s="192" t="str">
        <f>IFERROR(Tableau3[[#This Row],[Chiffre d''affaires]]/Tableau3[[#This Row],[Salariés]],"")</f>
        <v/>
      </c>
      <c r="AA2726" s="177"/>
      <c r="AC2726" s="177" t="s">
        <v>4954</v>
      </c>
    </row>
    <row r="2727" spans="1:29" ht="20.25" customHeight="1">
      <c r="A2727" s="217"/>
      <c r="E2727" s="187">
        <v>64.7</v>
      </c>
      <c r="F2727" s="178">
        <v>2016</v>
      </c>
      <c r="G2727" s="188">
        <v>38073000000</v>
      </c>
      <c r="H2727" s="188">
        <v>5966000000</v>
      </c>
      <c r="I2727" s="188">
        <v>4174000000</v>
      </c>
      <c r="J2727" s="188">
        <v>2545000000</v>
      </c>
      <c r="K2727" s="188">
        <v>13938000000</v>
      </c>
      <c r="L2727" s="188">
        <v>17006000000</v>
      </c>
      <c r="M2727" s="194">
        <f>L2727/P2727</f>
        <v>28.857696768223043</v>
      </c>
      <c r="N2727" s="190">
        <f>J2727/L2727</f>
        <v>0.14965306362460309</v>
      </c>
      <c r="O2727" s="190">
        <f>(I2727*0.64)/(K2727+(M2727*P2727))</f>
        <v>8.6328852119958638E-2</v>
      </c>
      <c r="P2727" s="188">
        <v>589305520</v>
      </c>
      <c r="Q2727" s="188">
        <f>P2727*E2727</f>
        <v>38128067144</v>
      </c>
      <c r="R2727" s="195">
        <f>Q2727/L2727</f>
        <v>2.2420361721745268</v>
      </c>
      <c r="S2727" s="197">
        <f>(Q2727+K2727)/H2727</f>
        <v>8.7271316030841426</v>
      </c>
      <c r="T2727" s="180"/>
      <c r="U2727" s="189">
        <f>IFERROR(IF(Tableau3[[#This Row],[Dettes]]=0,"",(Tableau3[[#This Row],[Dettes]]/Tableau3[[#This Row],[EBE]])),"")</f>
        <v>2.3362386858866913</v>
      </c>
      <c r="V2727" s="190" t="str">
        <f>IFERROR(Tableau3[[#This Row],[Fonds propres]]/Tableau3[[#This Row],[Total Bilan]],"")</f>
        <v/>
      </c>
      <c r="W2727" s="180"/>
      <c r="X2727" s="191"/>
      <c r="Y2727" s="180"/>
      <c r="Z2727" s="192" t="str">
        <f>IFERROR(Tableau3[[#This Row],[Chiffre d''affaires]]/Tableau3[[#This Row],[Salariés]],"")</f>
        <v/>
      </c>
      <c r="AA2727" s="197"/>
      <c r="AB2727" s="197"/>
    </row>
    <row r="2728" spans="1:29" ht="20.25" customHeight="1">
      <c r="A2728" s="217"/>
      <c r="E2728" s="187"/>
      <c r="G2728" s="202">
        <f>(G2727/G2729)-1</f>
        <v>-1.1553040137078807E-2</v>
      </c>
      <c r="H2728" s="203">
        <f>(H2727/H2729)-1</f>
        <v>5.331920903954801E-2</v>
      </c>
      <c r="I2728" s="203">
        <f>(I2727/I2729)-1</f>
        <v>0.11069717935071854</v>
      </c>
      <c r="J2728" s="203">
        <f>(J2727/J2729)-1</f>
        <v>0.2241462241462242</v>
      </c>
      <c r="K2728" s="188"/>
      <c r="L2728" s="188"/>
      <c r="M2728" s="178"/>
      <c r="N2728" s="178"/>
      <c r="O2728" s="178"/>
      <c r="P2728" s="188"/>
      <c r="Q2728" s="178"/>
      <c r="R2728" s="178"/>
      <c r="S2728" s="178"/>
      <c r="T2728" s="180"/>
      <c r="U2728" s="189" t="str">
        <f>IFERROR(IF(Tableau3[[#This Row],[Dettes]]=0,"",(Tableau3[[#This Row],[Dettes]]/Tableau3[[#This Row],[EBE]])),"")</f>
        <v/>
      </c>
      <c r="V2728" s="190" t="str">
        <f>IFERROR(Tableau3[[#This Row],[Fonds propres]]/Tableau3[[#This Row],[Total Bilan]],"")</f>
        <v/>
      </c>
      <c r="W2728" s="180"/>
      <c r="Y2728" s="180"/>
      <c r="Z2728" s="192" t="str">
        <f>IFERROR(Tableau3[[#This Row],[Chiffre d''affaires]]/Tableau3[[#This Row],[Salariés]],"")</f>
        <v/>
      </c>
      <c r="AA2728" s="177"/>
    </row>
    <row r="2729" spans="1:29" ht="20.25" customHeight="1">
      <c r="A2729" s="217"/>
      <c r="E2729" s="187">
        <v>59.48</v>
      </c>
      <c r="F2729" s="178">
        <v>2015</v>
      </c>
      <c r="G2729" s="188">
        <v>38518000000</v>
      </c>
      <c r="H2729" s="188">
        <v>5664000000</v>
      </c>
      <c r="I2729" s="188">
        <v>3758000000</v>
      </c>
      <c r="J2729" s="188">
        <v>2079000000</v>
      </c>
      <c r="K2729" s="188">
        <v>12436000000</v>
      </c>
      <c r="L2729" s="188">
        <v>15256000000</v>
      </c>
      <c r="M2729" s="194">
        <f>L2729/P2729</f>
        <v>25.925601585265568</v>
      </c>
      <c r="N2729" s="190">
        <f>J2729/L2729</f>
        <v>0.13627425275301522</v>
      </c>
      <c r="O2729" s="190">
        <f>(I2729*0.64)/(K2729+(M2729*P2729))</f>
        <v>8.6852520583562035E-2</v>
      </c>
      <c r="P2729" s="188">
        <v>588453076</v>
      </c>
      <c r="Q2729" s="188">
        <f>P2729*E2729</f>
        <v>35001188960.479996</v>
      </c>
      <c r="R2729" s="195">
        <f>Q2729/L2729</f>
        <v>2.294257273235448</v>
      </c>
      <c r="S2729" s="197">
        <f>(Q2729+K2729)/H2729</f>
        <v>8.3752099153389832</v>
      </c>
      <c r="T2729" s="180"/>
      <c r="U2729" s="189">
        <f>IFERROR(IF(Tableau3[[#This Row],[Dettes]]=0,"",(Tableau3[[#This Row],[Dettes]]/Tableau3[[#This Row],[EBE]])),"")</f>
        <v>2.1956214689265536</v>
      </c>
      <c r="V2729" s="190" t="str">
        <f>IFERROR(Tableau3[[#This Row],[Fonds propres]]/Tableau3[[#This Row],[Total Bilan]],"")</f>
        <v/>
      </c>
      <c r="W2729" s="180"/>
      <c r="X2729" s="191"/>
      <c r="Y2729" s="180"/>
      <c r="Z2729" s="192" t="str">
        <f>IFERROR(Tableau3[[#This Row],[Chiffre d''affaires]]/Tableau3[[#This Row],[Salariés]],"")</f>
        <v/>
      </c>
      <c r="AA2729" s="197"/>
      <c r="AB2729" s="197"/>
    </row>
    <row r="2730" spans="1:29" ht="20.25" customHeight="1">
      <c r="A2730" s="217"/>
      <c r="E2730" s="187"/>
      <c r="G2730" s="202">
        <f>(G2729/G2731)-1</f>
        <v>-4.7799912151512691E-3</v>
      </c>
      <c r="H2730" s="203">
        <f>(H2729/H2731)-1</f>
        <v>1.8521848588383349E-2</v>
      </c>
      <c r="I2730" s="203">
        <f>(I2729/I2731)-1</f>
        <v>3.1850631521142203E-2</v>
      </c>
      <c r="J2730" s="203">
        <f>(J2729/J2731)-1</f>
        <v>-0.16371681415929207</v>
      </c>
      <c r="K2730" s="188"/>
      <c r="L2730" s="188"/>
      <c r="M2730" s="178"/>
      <c r="N2730" s="178"/>
      <c r="O2730" s="178"/>
      <c r="P2730" s="188"/>
      <c r="Q2730" s="178"/>
      <c r="R2730" s="178"/>
      <c r="S2730" s="178"/>
      <c r="T2730" s="180"/>
      <c r="U2730" s="189" t="str">
        <f>IFERROR(IF(Tableau3[[#This Row],[Dettes]]=0,"",(Tableau3[[#This Row],[Dettes]]/Tableau3[[#This Row],[EBE]])),"")</f>
        <v/>
      </c>
      <c r="V2730" s="190" t="str">
        <f>IFERROR(Tableau3[[#This Row],[Fonds propres]]/Tableau3[[#This Row],[Total Bilan]],"")</f>
        <v/>
      </c>
      <c r="W2730" s="180"/>
      <c r="Y2730" s="180"/>
      <c r="Z2730" s="192" t="str">
        <f>IFERROR(Tableau3[[#This Row],[Chiffre d''affaires]]/Tableau3[[#This Row],[Salariés]],"")</f>
        <v/>
      </c>
      <c r="AA2730" s="177"/>
    </row>
    <row r="2731" spans="1:29" ht="20.25" customHeight="1">
      <c r="A2731" s="217"/>
      <c r="E2731" s="187">
        <v>45.99</v>
      </c>
      <c r="F2731" s="178">
        <v>2014</v>
      </c>
      <c r="G2731" s="188">
        <v>38703000000</v>
      </c>
      <c r="H2731" s="188">
        <v>5561000000</v>
      </c>
      <c r="I2731" s="188">
        <v>3642000000</v>
      </c>
      <c r="J2731" s="188">
        <v>2486000000</v>
      </c>
      <c r="K2731" s="188">
        <v>13281000000</v>
      </c>
      <c r="L2731" s="188">
        <v>14868000000</v>
      </c>
      <c r="M2731" s="194">
        <f>L2731/P2731</f>
        <v>24.603760760291685</v>
      </c>
      <c r="N2731" s="190">
        <f>J2731/L2731</f>
        <v>0.16720473500134517</v>
      </c>
      <c r="O2731" s="190">
        <f>(I2731*0.64)/(K2731+(M2731*P2731))</f>
        <v>8.2805073004369609E-2</v>
      </c>
      <c r="P2731" s="188">
        <v>604297861</v>
      </c>
      <c r="Q2731" s="188">
        <f>P2731*E2731</f>
        <v>27791658627.389999</v>
      </c>
      <c r="R2731" s="195">
        <f>Q2731/L2731</f>
        <v>1.8692264344491525</v>
      </c>
      <c r="S2731" s="197">
        <f>(Q2731+K2731)/H2731</f>
        <v>7.3858404293094768</v>
      </c>
      <c r="T2731" s="180"/>
      <c r="U2731" s="189">
        <f>IFERROR(IF(Tableau3[[#This Row],[Dettes]]=0,"",(Tableau3[[#This Row],[Dettes]]/Tableau3[[#This Row],[EBE]])),"")</f>
        <v>2.3882395252652402</v>
      </c>
      <c r="V2731" s="190" t="str">
        <f>IFERROR(Tableau3[[#This Row],[Fonds propres]]/Tableau3[[#This Row],[Total Bilan]],"")</f>
        <v/>
      </c>
      <c r="W2731" s="180"/>
      <c r="X2731" s="191"/>
      <c r="Y2731" s="180"/>
      <c r="Z2731" s="192" t="str">
        <f>IFERROR(Tableau3[[#This Row],[Chiffre d''affaires]]/Tableau3[[#This Row],[Salariés]],"")</f>
        <v/>
      </c>
      <c r="AA2731" s="197"/>
      <c r="AB2731" s="197"/>
    </row>
    <row r="2732" spans="1:29" ht="20.25" customHeight="1">
      <c r="A2732" s="217"/>
      <c r="E2732" s="187"/>
      <c r="G2732" s="202">
        <f>(G2731/G2733)-1</f>
        <v>-4.0532500371857849E-2</v>
      </c>
      <c r="H2732" s="203">
        <f>(H2731/H2733)-1</f>
        <v>-6.2544674767691655E-3</v>
      </c>
      <c r="I2732" s="203">
        <f>(I2731/I2733)-1</f>
        <v>-7.629427792915533E-3</v>
      </c>
      <c r="J2732" s="203">
        <f>(J2731/J2733)-1</f>
        <v>0.21505376344086025</v>
      </c>
      <c r="K2732" s="188"/>
      <c r="L2732" s="188"/>
      <c r="M2732" s="178"/>
      <c r="N2732" s="178"/>
      <c r="O2732" s="178"/>
      <c r="P2732" s="188"/>
      <c r="Q2732" s="178"/>
      <c r="R2732" s="178"/>
      <c r="S2732" s="178"/>
      <c r="T2732" s="180"/>
      <c r="U2732" s="189" t="str">
        <f>IFERROR(IF(Tableau3[[#This Row],[Dettes]]=0,"",(Tableau3[[#This Row],[Dettes]]/Tableau3[[#This Row],[EBE]])),"")</f>
        <v/>
      </c>
      <c r="V2732" s="190" t="str">
        <f>IFERROR(Tableau3[[#This Row],[Fonds propres]]/Tableau3[[#This Row],[Total Bilan]],"")</f>
        <v/>
      </c>
      <c r="W2732" s="180"/>
      <c r="Y2732" s="180"/>
      <c r="Z2732" s="192" t="str">
        <f>IFERROR(Tableau3[[#This Row],[Chiffre d''affaires]]/Tableau3[[#This Row],[Salariés]],"")</f>
        <v/>
      </c>
      <c r="AA2732" s="177"/>
    </row>
    <row r="2733" spans="1:29" ht="20.25" customHeight="1">
      <c r="A2733" s="217"/>
      <c r="E2733" s="187">
        <v>47.67</v>
      </c>
      <c r="F2733" s="178">
        <v>2013</v>
      </c>
      <c r="G2733" s="188">
        <v>40338000000</v>
      </c>
      <c r="H2733" s="188">
        <v>5596000000</v>
      </c>
      <c r="I2733" s="188">
        <v>3670000000</v>
      </c>
      <c r="J2733" s="188">
        <v>2046000000</v>
      </c>
      <c r="K2733" s="188">
        <v>14104000000</v>
      </c>
      <c r="L2733" s="188">
        <v>14260000000</v>
      </c>
      <c r="M2733" s="194">
        <f>L2733/P2733</f>
        <v>24.08959959326755</v>
      </c>
      <c r="N2733" s="190">
        <f>J2733/L2733</f>
        <v>0.14347826086956522</v>
      </c>
      <c r="O2733" s="190">
        <f>(I2733*0.64)/(K2733+(M2733*P2733))</f>
        <v>8.2809194753913407E-2</v>
      </c>
      <c r="P2733" s="188">
        <v>591956705</v>
      </c>
      <c r="Q2733" s="188">
        <f>P2733*E2733</f>
        <v>28218576127.350002</v>
      </c>
      <c r="R2733" s="195">
        <f>Q2733/L2733</f>
        <v>1.9788622810203367</v>
      </c>
      <c r="S2733" s="197">
        <f>(Q2733+K2733)/H2733</f>
        <v>7.5630050263313091</v>
      </c>
      <c r="T2733" s="180"/>
      <c r="U2733" s="189">
        <f>IFERROR(IF(Tableau3[[#This Row],[Dettes]]=0,"",(Tableau3[[#This Row],[Dettes]]/Tableau3[[#This Row],[EBE]])),"")</f>
        <v>2.5203716940671907</v>
      </c>
      <c r="V2733" s="190" t="str">
        <f>IFERROR(Tableau3[[#This Row],[Fonds propres]]/Tableau3[[#This Row],[Total Bilan]],"")</f>
        <v/>
      </c>
      <c r="W2733" s="180"/>
      <c r="X2733" s="191"/>
      <c r="Y2733" s="180"/>
      <c r="Z2733" s="192" t="str">
        <f>IFERROR(Tableau3[[#This Row],[Chiffre d''affaires]]/Tableau3[[#This Row],[Salariés]],"")</f>
        <v/>
      </c>
      <c r="AA2733" s="197"/>
      <c r="AB2733" s="197"/>
    </row>
    <row r="2734" spans="1:29" ht="20.25" customHeight="1">
      <c r="A2734" s="217"/>
      <c r="E2734" s="187"/>
      <c r="G2734" s="202">
        <f>(G2733/G2735)-1</f>
        <v>4.4106227675104748E-2</v>
      </c>
      <c r="H2734" s="203">
        <f>(H2733/H2735)-1</f>
        <v>3.28534514581027E-2</v>
      </c>
      <c r="I2734" s="203">
        <f>(I2733/I2735)-1</f>
        <v>-2.4463169339494772E-3</v>
      </c>
      <c r="J2734" s="203">
        <f>(J2733/J2735)-1</f>
        <v>9.8716683119446369E-3</v>
      </c>
      <c r="K2734" s="188"/>
      <c r="L2734" s="178"/>
      <c r="M2734" s="178"/>
      <c r="N2734" s="178"/>
      <c r="O2734" s="178"/>
      <c r="P2734" s="178"/>
      <c r="Q2734" s="178"/>
      <c r="R2734" s="178"/>
      <c r="S2734" s="178"/>
      <c r="T2734" s="180"/>
      <c r="U2734" s="189" t="str">
        <f>IFERROR(IF(Tableau3[[#This Row],[Dettes]]=0,"",(Tableau3[[#This Row],[Dettes]]/Tableau3[[#This Row],[EBE]])),"")</f>
        <v/>
      </c>
      <c r="V2734" s="190" t="str">
        <f>IFERROR(Tableau3[[#This Row],[Fonds propres]]/Tableau3[[#This Row],[Total Bilan]],"")</f>
        <v/>
      </c>
      <c r="W2734" s="180"/>
      <c r="Y2734" s="180"/>
      <c r="Z2734" s="192" t="str">
        <f>IFERROR(Tableau3[[#This Row],[Chiffre d''affaires]]/Tableau3[[#This Row],[Salariés]],"")</f>
        <v/>
      </c>
      <c r="AA2734" s="177"/>
    </row>
    <row r="2735" spans="1:29" ht="20.25" customHeight="1">
      <c r="A2735" s="217"/>
      <c r="E2735" s="187">
        <v>36.020000000000003</v>
      </c>
      <c r="F2735" s="178">
        <v>2012</v>
      </c>
      <c r="G2735" s="188">
        <v>38634000000</v>
      </c>
      <c r="H2735" s="188">
        <v>5418000000</v>
      </c>
      <c r="I2735" s="188">
        <v>3679000000</v>
      </c>
      <c r="J2735" s="188">
        <v>2026000000</v>
      </c>
      <c r="K2735" s="188">
        <v>12527000000</v>
      </c>
      <c r="L2735" s="188">
        <v>13768000000</v>
      </c>
      <c r="M2735" s="194">
        <f>L2735/P2735</f>
        <v>23.846996010817417</v>
      </c>
      <c r="N2735" s="190">
        <f>J2735/L2735</f>
        <v>0.14715281812899478</v>
      </c>
      <c r="O2735" s="190">
        <f>(I2735*0.64)/(K2735+(M2735*P2735))</f>
        <v>8.9544019775622735E-2</v>
      </c>
      <c r="P2735" s="188">
        <v>577347352</v>
      </c>
      <c r="Q2735" s="188">
        <f>P2735*E2735</f>
        <v>20796051619.040001</v>
      </c>
      <c r="R2735" s="195">
        <f>Q2735/L2735</f>
        <v>1.5104627846484602</v>
      </c>
      <c r="S2735" s="197">
        <f>(Q2735+K2735)/H2735</f>
        <v>6.1504340382133629</v>
      </c>
      <c r="T2735" s="180"/>
      <c r="U2735" s="189">
        <f>IFERROR(IF(Tableau3[[#This Row],[Dettes]]=0,"",(Tableau3[[#This Row],[Dettes]]/Tableau3[[#This Row],[EBE]])),"")</f>
        <v>2.312107788851975</v>
      </c>
      <c r="V2735" s="190" t="str">
        <f>IFERROR(Tableau3[[#This Row],[Fonds propres]]/Tableau3[[#This Row],[Total Bilan]],"")</f>
        <v/>
      </c>
      <c r="W2735" s="180"/>
      <c r="X2735" s="191"/>
      <c r="Y2735" s="180"/>
      <c r="Z2735" s="192" t="str">
        <f>IFERROR(Tableau3[[#This Row],[Chiffre d''affaires]]/Tableau3[[#This Row],[Salariés]],"")</f>
        <v/>
      </c>
      <c r="AA2735" s="197"/>
      <c r="AB2735" s="197"/>
    </row>
    <row r="2736" spans="1:29" ht="20.25" customHeight="1">
      <c r="A2736" s="217"/>
      <c r="E2736" s="187"/>
      <c r="G2736" s="188"/>
      <c r="H2736" s="188"/>
      <c r="I2736" s="188"/>
      <c r="J2736" s="178"/>
      <c r="K2736" s="188"/>
      <c r="L2736" s="178"/>
      <c r="M2736" s="178"/>
      <c r="N2736" s="178"/>
      <c r="O2736" s="178"/>
      <c r="P2736" s="178"/>
      <c r="Q2736" s="178"/>
      <c r="R2736" s="178"/>
      <c r="S2736" s="178"/>
      <c r="T2736" s="180"/>
      <c r="U2736" s="189" t="str">
        <f>IFERROR(IF(Tableau3[[#This Row],[Dettes]]=0,"",(Tableau3[[#This Row],[Dettes]]/Tableau3[[#This Row],[EBE]])),"")</f>
        <v/>
      </c>
      <c r="V2736" s="190" t="str">
        <f>IFERROR(Tableau3[[#This Row],[Fonds propres]]/Tableau3[[#This Row],[Total Bilan]],"")</f>
        <v/>
      </c>
      <c r="W2736" s="180"/>
      <c r="Y2736" s="180"/>
      <c r="Z2736" s="192" t="str">
        <f>IFERROR(Tableau3[[#This Row],[Chiffre d''affaires]]/Tableau3[[#This Row],[Salariés]],"")</f>
        <v/>
      </c>
      <c r="AA2736" s="177"/>
    </row>
    <row r="2737" spans="1:29" ht="20.25" customHeight="1">
      <c r="A2737" s="217"/>
      <c r="E2737" s="187">
        <v>33.74</v>
      </c>
      <c r="F2737" s="178">
        <v>2011</v>
      </c>
      <c r="G2737" s="188"/>
      <c r="H2737" s="188"/>
      <c r="I2737" s="188"/>
      <c r="J2737" s="178"/>
      <c r="K2737" s="178"/>
      <c r="L2737" s="178"/>
      <c r="M2737" s="178"/>
      <c r="N2737" s="178"/>
      <c r="O2737" s="178"/>
      <c r="P2737" s="178"/>
      <c r="Q2737" s="178"/>
      <c r="R2737" s="178"/>
      <c r="S2737" s="178"/>
      <c r="T2737" s="180"/>
      <c r="U2737" s="189" t="str">
        <f>IFERROR(IF(Tableau3[[#This Row],[Dettes]]=0,"",(Tableau3[[#This Row],[Dettes]]/Tableau3[[#This Row],[EBE]])),"")</f>
        <v/>
      </c>
      <c r="V2737" s="190" t="str">
        <f>IFERROR(Tableau3[[#This Row],[Fonds propres]]/Tableau3[[#This Row],[Total Bilan]],"")</f>
        <v/>
      </c>
      <c r="W2737" s="180"/>
      <c r="Y2737" s="180"/>
      <c r="Z2737" s="192" t="str">
        <f>IFERROR(Tableau3[[#This Row],[Chiffre d''affaires]]/Tableau3[[#This Row],[Salariés]],"")</f>
        <v/>
      </c>
      <c r="AA2737" s="177"/>
    </row>
    <row r="2738" spans="1:29" ht="20.25" customHeight="1">
      <c r="A2738" s="217"/>
      <c r="E2738" s="187"/>
      <c r="G2738" s="188"/>
      <c r="H2738" s="188"/>
      <c r="I2738" s="188"/>
      <c r="J2738" s="178"/>
      <c r="K2738" s="178"/>
      <c r="L2738" s="178"/>
      <c r="M2738" s="178"/>
      <c r="N2738" s="178"/>
      <c r="O2738" s="178"/>
      <c r="P2738" s="178"/>
      <c r="Q2738" s="178"/>
      <c r="R2738" s="178"/>
      <c r="S2738" s="178"/>
      <c r="T2738" s="180"/>
      <c r="U2738" s="189" t="str">
        <f>IFERROR(IF(Tableau3[[#This Row],[Dettes]]=0,"",(Tableau3[[#This Row],[Dettes]]/Tableau3[[#This Row],[EBE]])),"")</f>
        <v/>
      </c>
      <c r="V2738" s="190" t="str">
        <f>IFERROR(Tableau3[[#This Row],[Fonds propres]]/Tableau3[[#This Row],[Total Bilan]],"")</f>
        <v/>
      </c>
      <c r="W2738" s="180"/>
      <c r="Y2738" s="180"/>
      <c r="Z2738" s="192" t="str">
        <f>IFERROR(Tableau3[[#This Row],[Chiffre d''affaires]]/Tableau3[[#This Row],[Salariés]],"")</f>
        <v/>
      </c>
      <c r="AA2738" s="177"/>
    </row>
    <row r="2739" spans="1:29" ht="20.25" customHeight="1">
      <c r="A2739" s="217"/>
      <c r="E2739" s="187">
        <v>39.99</v>
      </c>
      <c r="F2739" s="178">
        <v>2010</v>
      </c>
      <c r="G2739" s="188"/>
      <c r="H2739" s="188"/>
      <c r="I2739" s="178"/>
      <c r="J2739" s="178"/>
      <c r="K2739" s="178"/>
      <c r="L2739" s="178"/>
      <c r="M2739" s="178"/>
      <c r="N2739" s="178"/>
      <c r="O2739" s="178"/>
      <c r="P2739" s="178"/>
      <c r="Q2739" s="178"/>
      <c r="R2739" s="178"/>
      <c r="S2739" s="178"/>
      <c r="T2739" s="180"/>
      <c r="U2739" s="189" t="str">
        <f>IFERROR(IF(Tableau3[[#This Row],[Dettes]]=0,"",(Tableau3[[#This Row],[Dettes]]/Tableau3[[#This Row],[EBE]])),"")</f>
        <v/>
      </c>
      <c r="V2739" s="190" t="str">
        <f>IFERROR(Tableau3[[#This Row],[Fonds propres]]/Tableau3[[#This Row],[Total Bilan]],"")</f>
        <v/>
      </c>
      <c r="W2739" s="180"/>
      <c r="Y2739" s="180"/>
      <c r="Z2739" s="192" t="str">
        <f>IFERROR(Tableau3[[#This Row],[Chiffre d''affaires]]/Tableau3[[#This Row],[Salariés]],"")</f>
        <v/>
      </c>
      <c r="AA2739" s="177"/>
    </row>
    <row r="2740" spans="1:29" ht="20.25" customHeight="1">
      <c r="A2740" s="217"/>
      <c r="E2740" s="187"/>
      <c r="G2740" s="188"/>
      <c r="H2740" s="178"/>
      <c r="I2740" s="178"/>
      <c r="J2740" s="178"/>
      <c r="K2740" s="178"/>
      <c r="L2740" s="178"/>
      <c r="M2740" s="178"/>
      <c r="N2740" s="178"/>
      <c r="O2740" s="178"/>
      <c r="P2740" s="178"/>
      <c r="Q2740" s="178"/>
      <c r="R2740" s="178"/>
      <c r="S2740" s="178"/>
      <c r="T2740" s="180"/>
      <c r="U2740" s="189" t="str">
        <f>IFERROR(IF(Tableau3[[#This Row],[Dettes]]=0,"",(Tableau3[[#This Row],[Dettes]]/Tableau3[[#This Row],[EBE]])),"")</f>
        <v/>
      </c>
      <c r="V2740" s="190" t="str">
        <f>IFERROR(Tableau3[[#This Row],[Fonds propres]]/Tableau3[[#This Row],[Total Bilan]],"")</f>
        <v/>
      </c>
      <c r="W2740" s="180"/>
      <c r="Y2740" s="180"/>
      <c r="Z2740" s="192" t="str">
        <f>IFERROR(Tableau3[[#This Row],[Chiffre d''affaires]]/Tableau3[[#This Row],[Salariés]],"")</f>
        <v/>
      </c>
      <c r="AA2740" s="177"/>
    </row>
    <row r="2741" spans="1:29" ht="20.25" customHeight="1">
      <c r="A2741" s="217"/>
      <c r="E2741" s="187">
        <v>39.47</v>
      </c>
      <c r="F2741" s="178">
        <v>2009</v>
      </c>
      <c r="G2741" s="188"/>
      <c r="H2741" s="188"/>
      <c r="I2741" s="188"/>
      <c r="J2741" s="188"/>
      <c r="K2741" s="188"/>
      <c r="L2741" s="188"/>
      <c r="M2741" s="188"/>
      <c r="N2741" s="188"/>
      <c r="O2741" s="188"/>
      <c r="P2741" s="188"/>
      <c r="Q2741" s="188"/>
      <c r="R2741" s="188"/>
      <c r="S2741" s="188"/>
      <c r="T2741" s="180"/>
      <c r="U2741" s="189" t="str">
        <f>IFERROR(IF(Tableau3[[#This Row],[Dettes]]=0,"",(Tableau3[[#This Row],[Dettes]]/Tableau3[[#This Row],[EBE]])),"")</f>
        <v/>
      </c>
      <c r="V2741" s="190" t="str">
        <f>IFERROR(Tableau3[[#This Row],[Fonds propres]]/Tableau3[[#This Row],[Total Bilan]],"")</f>
        <v/>
      </c>
      <c r="W2741" s="180"/>
      <c r="X2741" s="192"/>
      <c r="Y2741" s="180"/>
      <c r="Z2741" s="192" t="str">
        <f>IFERROR(Tableau3[[#This Row],[Chiffre d''affaires]]/Tableau3[[#This Row],[Salariés]],"")</f>
        <v/>
      </c>
      <c r="AA2741" s="188"/>
      <c r="AB2741" s="188"/>
    </row>
    <row r="2742" spans="1:29" ht="20.25" customHeight="1">
      <c r="A2742" s="217"/>
      <c r="E2742" s="187"/>
      <c r="G2742" s="188"/>
      <c r="H2742" s="188"/>
      <c r="I2742" s="188"/>
      <c r="J2742" s="188"/>
      <c r="K2742" s="188"/>
      <c r="L2742" s="188"/>
      <c r="M2742" s="188"/>
      <c r="N2742" s="188"/>
      <c r="O2742" s="188"/>
      <c r="P2742" s="188"/>
      <c r="Q2742" s="188"/>
      <c r="R2742" s="188"/>
      <c r="S2742" s="188"/>
      <c r="T2742" s="180"/>
      <c r="U2742" s="189" t="str">
        <f>IFERROR(IF(Tableau3[[#This Row],[Dettes]]=0,"",(Tableau3[[#This Row],[Dettes]]/Tableau3[[#This Row],[EBE]])),"")</f>
        <v/>
      </c>
      <c r="V2742" s="190" t="str">
        <f>IFERROR(Tableau3[[#This Row],[Fonds propres]]/Tableau3[[#This Row],[Total Bilan]],"")</f>
        <v/>
      </c>
      <c r="W2742" s="180"/>
      <c r="X2742" s="192"/>
      <c r="Y2742" s="180"/>
      <c r="Z2742" s="192" t="str">
        <f>IFERROR(Tableau3[[#This Row],[Chiffre d''affaires]]/Tableau3[[#This Row],[Salariés]],"")</f>
        <v/>
      </c>
      <c r="AA2742" s="188"/>
      <c r="AB2742" s="188"/>
    </row>
    <row r="2743" spans="1:29" ht="20.25" customHeight="1">
      <c r="A2743" s="217"/>
      <c r="E2743" s="187">
        <v>30.92</v>
      </c>
      <c r="F2743" s="178">
        <v>2008</v>
      </c>
      <c r="G2743" s="188"/>
      <c r="H2743" s="188"/>
      <c r="I2743" s="188"/>
      <c r="J2743" s="188"/>
      <c r="K2743" s="188"/>
      <c r="L2743" s="188"/>
      <c r="M2743" s="188"/>
      <c r="N2743" s="188"/>
      <c r="O2743" s="188"/>
      <c r="P2743" s="188"/>
      <c r="Q2743" s="188"/>
      <c r="R2743" s="188"/>
      <c r="S2743" s="188"/>
      <c r="T2743" s="180"/>
      <c r="U2743" s="189" t="str">
        <f>IFERROR(IF(Tableau3[[#This Row],[Dettes]]=0,"",(Tableau3[[#This Row],[Dettes]]/Tableau3[[#This Row],[EBE]])),"")</f>
        <v/>
      </c>
      <c r="V2743" s="190" t="str">
        <f>IFERROR(Tableau3[[#This Row],[Fonds propres]]/Tableau3[[#This Row],[Total Bilan]],"")</f>
        <v/>
      </c>
      <c r="W2743" s="180"/>
      <c r="X2743" s="192"/>
      <c r="Y2743" s="180"/>
      <c r="Z2743" s="192" t="str">
        <f>IFERROR(Tableau3[[#This Row],[Chiffre d''affaires]]/Tableau3[[#This Row],[Salariés]],"")</f>
        <v/>
      </c>
      <c r="AA2743" s="188"/>
      <c r="AB2743" s="188"/>
    </row>
    <row r="2744" spans="1:29" ht="20.25" customHeight="1">
      <c r="A2744" s="217"/>
      <c r="G2744" s="188"/>
      <c r="H2744" s="188"/>
      <c r="I2744" s="188"/>
      <c r="J2744" s="188"/>
      <c r="K2744" s="188"/>
      <c r="L2744" s="188"/>
      <c r="M2744" s="188"/>
      <c r="N2744" s="188"/>
      <c r="O2744" s="188"/>
      <c r="P2744" s="188"/>
      <c r="Q2744" s="188"/>
      <c r="R2744" s="188"/>
      <c r="S2744" s="188"/>
      <c r="T2744" s="180"/>
      <c r="U2744" s="189" t="str">
        <f>IFERROR(IF(Tableau3[[#This Row],[Dettes]]=0,"",(Tableau3[[#This Row],[Dettes]]/Tableau3[[#This Row],[EBE]])),"")</f>
        <v/>
      </c>
      <c r="V2744" s="190" t="str">
        <f>IFERROR(Tableau3[[#This Row],[Fonds propres]]/Tableau3[[#This Row],[Total Bilan]],"")</f>
        <v/>
      </c>
      <c r="W2744" s="180"/>
      <c r="X2744" s="192"/>
      <c r="Y2744" s="180"/>
      <c r="Z2744" s="192" t="str">
        <f>IFERROR(Tableau3[[#This Row],[Chiffre d''affaires]]/Tableau3[[#This Row],[Salariés]],"")</f>
        <v/>
      </c>
      <c r="AA2744" s="188"/>
      <c r="AB2744" s="188"/>
    </row>
    <row r="2745" spans="1:29" ht="20.25" customHeight="1">
      <c r="A2745" s="217"/>
      <c r="G2745" s="188"/>
      <c r="H2745" s="188"/>
      <c r="I2745" s="188"/>
      <c r="J2745" s="188"/>
      <c r="K2745" s="188"/>
      <c r="L2745" s="188"/>
      <c r="M2745" s="188"/>
      <c r="N2745" s="188"/>
      <c r="O2745" s="188"/>
      <c r="P2745" s="188"/>
      <c r="Q2745" s="188"/>
      <c r="R2745" s="188"/>
      <c r="S2745" s="188"/>
      <c r="T2745" s="180"/>
      <c r="U2745" s="189" t="str">
        <f>IFERROR(IF(Tableau3[[#This Row],[Dettes]]=0,"",(Tableau3[[#This Row],[Dettes]]/Tableau3[[#This Row],[EBE]])),"")</f>
        <v/>
      </c>
      <c r="V2745" s="190" t="str">
        <f>IFERROR(Tableau3[[#This Row],[Fonds propres]]/Tableau3[[#This Row],[Total Bilan]],"")</f>
        <v/>
      </c>
      <c r="W2745" s="180"/>
      <c r="X2745" s="192"/>
      <c r="Y2745" s="180"/>
      <c r="Z2745" s="192" t="str">
        <f>IFERROR(Tableau3[[#This Row],[Chiffre d''affaires]]/Tableau3[[#This Row],[Salariés]],"")</f>
        <v/>
      </c>
      <c r="AA2745" s="188"/>
      <c r="AB2745" s="188"/>
    </row>
    <row r="2746" spans="1:29" ht="20.25" customHeight="1">
      <c r="A2746" s="217"/>
      <c r="G2746" s="188"/>
      <c r="H2746" s="188"/>
      <c r="I2746" s="188"/>
      <c r="J2746" s="188"/>
      <c r="K2746" s="188"/>
      <c r="L2746" s="188"/>
      <c r="M2746" s="188"/>
      <c r="N2746" s="188"/>
      <c r="O2746" s="188"/>
      <c r="P2746" s="188"/>
      <c r="Q2746" s="188"/>
      <c r="R2746" s="188"/>
      <c r="S2746" s="188"/>
      <c r="T2746" s="180"/>
      <c r="U2746" s="189" t="str">
        <f>IFERROR(IF(Tableau3[[#This Row],[Dettes]]=0,"",(Tableau3[[#This Row],[Dettes]]/Tableau3[[#This Row],[EBE]])),"")</f>
        <v/>
      </c>
      <c r="V2746" s="190" t="str">
        <f>IFERROR(Tableau3[[#This Row],[Fonds propres]]/Tableau3[[#This Row],[Total Bilan]],"")</f>
        <v/>
      </c>
      <c r="W2746" s="180"/>
      <c r="X2746" s="192"/>
      <c r="Y2746" s="180"/>
      <c r="Z2746" s="192" t="str">
        <f>IFERROR(Tableau3[[#This Row],[Chiffre d''affaires]]/Tableau3[[#This Row],[Salariés]],"")</f>
        <v/>
      </c>
      <c r="AA2746" s="188"/>
      <c r="AB2746" s="188"/>
    </row>
    <row r="2747" spans="1:29" ht="20.25" customHeight="1">
      <c r="A2747" s="217" t="s">
        <v>1931</v>
      </c>
      <c r="B2747" s="216" t="s">
        <v>1932</v>
      </c>
      <c r="C2747" s="178" t="s">
        <v>84</v>
      </c>
      <c r="D2747" s="178" t="s">
        <v>85</v>
      </c>
      <c r="F2747" s="178">
        <v>2025</v>
      </c>
      <c r="G2747" s="188"/>
      <c r="H2747" s="188"/>
      <c r="I2747" s="188"/>
      <c r="J2747" s="188"/>
      <c r="K2747" s="188"/>
      <c r="L2747" s="188"/>
      <c r="M2747" s="188"/>
      <c r="N2747" s="188"/>
      <c r="O2747" s="188"/>
      <c r="P2747" s="188"/>
      <c r="Q2747" s="188"/>
      <c r="R2747" s="188"/>
      <c r="S2747" s="188"/>
      <c r="T2747" s="180"/>
      <c r="U2747" s="189" t="str">
        <f>IFERROR(IF(Tableau3[[#This Row],[Dettes]]=0,"",(Tableau3[[#This Row],[Dettes]]/Tableau3[[#This Row],[EBE]])),"")</f>
        <v/>
      </c>
      <c r="V2747" s="190" t="str">
        <f>IFERROR(Tableau3[[#This Row],[Fonds propres]]/Tableau3[[#This Row],[Total Bilan]],"")</f>
        <v/>
      </c>
      <c r="W2747" s="180"/>
      <c r="X2747" s="192" t="s">
        <v>1933</v>
      </c>
      <c r="Y2747" s="180"/>
      <c r="Z2747" s="192" t="str">
        <f>IFERROR(Tableau3[[#This Row],[Chiffre d''affaires]]/Tableau3[[#This Row],[Salariés]],"")</f>
        <v/>
      </c>
      <c r="AA2747" s="188"/>
      <c r="AB2747" s="188"/>
      <c r="AC2747" s="177" t="s">
        <v>1934</v>
      </c>
    </row>
    <row r="2748" spans="1:29" ht="20.25" customHeight="1">
      <c r="A2748" s="217"/>
      <c r="G2748" s="188"/>
      <c r="H2748" s="188"/>
      <c r="I2748" s="188"/>
      <c r="J2748" s="188"/>
      <c r="K2748" s="188"/>
      <c r="L2748" s="188"/>
      <c r="M2748" s="188"/>
      <c r="N2748" s="188"/>
      <c r="O2748" s="188"/>
      <c r="P2748" s="188"/>
      <c r="Q2748" s="188"/>
      <c r="R2748" s="188"/>
      <c r="S2748" s="188"/>
      <c r="T2748" s="180"/>
      <c r="U2748" s="189" t="str">
        <f>IFERROR(IF(Tableau3[[#This Row],[Dettes]]=0,"",(Tableau3[[#This Row],[Dettes]]/Tableau3[[#This Row],[EBE]])),"")</f>
        <v/>
      </c>
      <c r="V2748" s="190" t="str">
        <f>IFERROR(Tableau3[[#This Row],[Fonds propres]]/Tableau3[[#This Row],[Total Bilan]],"")</f>
        <v/>
      </c>
      <c r="W2748" s="180"/>
      <c r="X2748" s="247">
        <v>44896</v>
      </c>
      <c r="Y2748" s="180"/>
      <c r="Z2748" s="192" t="str">
        <f>IFERROR(Tableau3[[#This Row],[Chiffre d''affaires]]/Tableau3[[#This Row],[Salariés]],"")</f>
        <v/>
      </c>
      <c r="AA2748" s="188"/>
      <c r="AB2748" s="188"/>
      <c r="AC2748" s="177" t="s">
        <v>5130</v>
      </c>
    </row>
    <row r="2749" spans="1:29" ht="20.25" customHeight="1">
      <c r="A2749" s="217"/>
      <c r="E2749" s="187">
        <v>28.54</v>
      </c>
      <c r="F2749" s="178">
        <v>2024</v>
      </c>
      <c r="G2749" s="188">
        <v>56752000000</v>
      </c>
      <c r="H2749" s="188">
        <v>4737000000</v>
      </c>
      <c r="I2749" s="188">
        <v>2242000000</v>
      </c>
      <c r="J2749" s="188">
        <v>1058000000</v>
      </c>
      <c r="K2749" s="188">
        <v>6066000000</v>
      </c>
      <c r="L2749" s="188">
        <v>12700000000</v>
      </c>
      <c r="M2749" s="194">
        <f>L2749/P2749</f>
        <v>33.512966616702172</v>
      </c>
      <c r="N2749" s="190">
        <f>J2749/L2751</f>
        <v>8.5267569310122499E-2</v>
      </c>
      <c r="O2749" s="190">
        <f>(I2749*0.7)/(K2751+L2751)</f>
        <v>8.4109544991693014E-2</v>
      </c>
      <c r="P2749" s="188">
        <v>378957797</v>
      </c>
      <c r="Q2749" s="188">
        <f>P2749*E2749</f>
        <v>10815455526.379999</v>
      </c>
      <c r="R2749" s="195">
        <f>Q2749/L2749</f>
        <v>0.85161067136850388</v>
      </c>
      <c r="S2749" s="197">
        <f>(Q2749+K2749)/H2749</f>
        <v>3.563744041878826</v>
      </c>
      <c r="T2749" s="180">
        <v>1268000000</v>
      </c>
      <c r="U2749" s="189">
        <f>IFERROR(IF(Tableau3[[#This Row],[Dettes]]=0,"",(Tableau3[[#This Row],[Dettes]]/Tableau3[[#This Row],[EBE]])),"")</f>
        <v>1.2805573147561748</v>
      </c>
      <c r="V2749" s="190">
        <f>IFERROR(Tableau3[[#This Row],[Fonds propres]]/Tableau3[[#This Row],[Total Bilan]],"")</f>
        <v>0.20131887641874327</v>
      </c>
      <c r="W2749" s="180">
        <v>63084000000</v>
      </c>
      <c r="Y2749" s="180"/>
      <c r="Z2749" s="192" t="str">
        <f>IFERROR(Tableau3[[#This Row],[Chiffre d''affaires]]/Tableau3[[#This Row],[Salariés]],"")</f>
        <v/>
      </c>
      <c r="AA2749" s="188"/>
      <c r="AB2749" s="188"/>
      <c r="AC2749" s="177" t="s">
        <v>5131</v>
      </c>
    </row>
    <row r="2750" spans="1:29" ht="20.25" customHeight="1">
      <c r="A2750" s="217"/>
      <c r="G2750" s="202">
        <f>(G2749/G2751)-1</f>
        <v>1.3121016834175325E-2</v>
      </c>
      <c r="H2750" s="202">
        <f>(H2749/H2751)-1</f>
        <v>4.2244224422442134E-2</v>
      </c>
      <c r="I2750" s="202">
        <f>(I2749/I2751)-1</f>
        <v>6.1050638902035104E-2</v>
      </c>
      <c r="J2750" s="202">
        <f>(J2749/J2751)-1</f>
        <v>1.7307692307692246E-2</v>
      </c>
      <c r="K2750" s="188"/>
      <c r="L2750" s="188"/>
      <c r="M2750" s="188"/>
      <c r="N2750" s="188"/>
      <c r="O2750" s="188"/>
      <c r="P2750" s="188"/>
      <c r="Q2750" s="188"/>
      <c r="R2750" s="188"/>
      <c r="S2750" s="188"/>
      <c r="T2750" s="180"/>
      <c r="U2750" s="189" t="str">
        <f>IFERROR(IF(Tableau3[[#This Row],[Dettes]]=0,"",(Tableau3[[#This Row],[Dettes]]/Tableau3[[#This Row],[EBE]])),"")</f>
        <v/>
      </c>
      <c r="V2750" s="190" t="str">
        <f>IFERROR(Tableau3[[#This Row],[Fonds propres]]/Tableau3[[#This Row],[Total Bilan]],"")</f>
        <v/>
      </c>
      <c r="W2750" s="180"/>
      <c r="Y2750" s="180"/>
      <c r="Z2750" s="192" t="str">
        <f>IFERROR(Tableau3[[#This Row],[Chiffre d''affaires]]/Tableau3[[#This Row],[Salariés]],"")</f>
        <v/>
      </c>
      <c r="AA2750" s="188"/>
      <c r="AB2750" s="188"/>
      <c r="AC2750" s="177" t="s">
        <v>5123</v>
      </c>
    </row>
    <row r="2751" spans="1:29" ht="20.25" customHeight="1">
      <c r="A2751" s="217"/>
      <c r="E2751" s="187">
        <v>34.119999999999997</v>
      </c>
      <c r="F2751" s="178">
        <v>2023</v>
      </c>
      <c r="G2751" s="188">
        <v>56017000000</v>
      </c>
      <c r="H2751" s="188">
        <v>4545000000</v>
      </c>
      <c r="I2751" s="188">
        <v>2113000000</v>
      </c>
      <c r="J2751" s="188">
        <v>1040000000</v>
      </c>
      <c r="K2751" s="188">
        <v>6251000000</v>
      </c>
      <c r="L2751" s="188">
        <v>12408000000</v>
      </c>
      <c r="M2751" s="194">
        <f>L2751/P2751</f>
        <v>33.133346120789732</v>
      </c>
      <c r="N2751" s="190">
        <f>J2751/L2753</f>
        <v>8.5162135604323619E-2</v>
      </c>
      <c r="O2751" s="190">
        <f>(I2751*0.7)/(K2753+L2753)</f>
        <v>7.5264604111540803E-2</v>
      </c>
      <c r="P2751" s="188">
        <v>374486777</v>
      </c>
      <c r="Q2751" s="188">
        <f>P2751*E2751</f>
        <v>12777488831.24</v>
      </c>
      <c r="R2751" s="195">
        <f>Q2751/L2751</f>
        <v>1.0297782746002579</v>
      </c>
      <c r="S2751" s="197">
        <f>(Q2751+K2751)/H2751</f>
        <v>4.1866862114939485</v>
      </c>
      <c r="T2751" s="180">
        <v>1179000000</v>
      </c>
      <c r="U2751" s="189">
        <f>IFERROR(IF(Tableau3[[#This Row],[Dettes]]=0,"",(Tableau3[[#This Row],[Dettes]]/Tableau3[[#This Row],[EBE]])),"")</f>
        <v>1.3753575357535754</v>
      </c>
      <c r="V2751" s="190">
        <f>IFERROR(Tableau3[[#This Row],[Fonds propres]]/Tableau3[[#This Row],[Total Bilan]],"")</f>
        <v>0.20426036282224344</v>
      </c>
      <c r="W2751" s="180">
        <v>60746000000</v>
      </c>
      <c r="Y2751" s="180">
        <v>196000</v>
      </c>
      <c r="Z2751" s="192">
        <f>IFERROR(Tableau3[[#This Row],[Chiffre d''affaires]]/Tableau3[[#This Row],[Salariés]],"")</f>
        <v>285801.02040816325</v>
      </c>
      <c r="AA2751" s="188"/>
      <c r="AB2751" s="188"/>
      <c r="AC2751" s="177" t="s">
        <v>5124</v>
      </c>
    </row>
    <row r="2752" spans="1:29" ht="20.25" customHeight="1">
      <c r="A2752" s="217"/>
      <c r="G2752" s="202">
        <f>(G2751/G2753)-1</f>
        <v>0.26386444655024599</v>
      </c>
      <c r="H2752" s="202">
        <f>(H2751/H2753)-1</f>
        <v>0.13938901674112181</v>
      </c>
      <c r="I2752" s="202">
        <f>(I2751/I2753)-1</f>
        <v>0.12873931623931623</v>
      </c>
      <c r="J2752" s="202">
        <f>(J2751/J2753)-1</f>
        <v>6.8859198355601281E-2</v>
      </c>
      <c r="K2752" s="188"/>
      <c r="L2752" s="188"/>
      <c r="M2752" s="188"/>
      <c r="N2752" s="188"/>
      <c r="O2752" s="188"/>
      <c r="P2752" s="188"/>
      <c r="Q2752" s="188"/>
      <c r="R2752" s="188"/>
      <c r="S2752" s="188"/>
      <c r="T2752" s="180"/>
      <c r="U2752" s="189" t="str">
        <f>IFERROR(IF(Tableau3[[#This Row],[Dettes]]=0,"",(Tableau3[[#This Row],[Dettes]]/Tableau3[[#This Row],[EBE]])),"")</f>
        <v/>
      </c>
      <c r="V2752" s="190" t="str">
        <f>IFERROR(Tableau3[[#This Row],[Fonds propres]]/Tableau3[[#This Row],[Total Bilan]],"")</f>
        <v/>
      </c>
      <c r="W2752" s="180"/>
      <c r="Y2752" s="180"/>
      <c r="Z2752" s="192" t="str">
        <f>IFERROR(Tableau3[[#This Row],[Chiffre d''affaires]]/Tableau3[[#This Row],[Salariés]],"")</f>
        <v/>
      </c>
      <c r="AA2752" s="188"/>
      <c r="AB2752" s="188"/>
      <c r="AC2752" s="177" t="s">
        <v>5127</v>
      </c>
    </row>
    <row r="2753" spans="1:29" ht="20.25" customHeight="1">
      <c r="A2753" s="217"/>
      <c r="E2753" s="187">
        <v>28</v>
      </c>
      <c r="F2753" s="178">
        <v>2022</v>
      </c>
      <c r="G2753" s="188">
        <v>44322000000</v>
      </c>
      <c r="H2753" s="188">
        <f>Tableau3[[#This Row],[Chiffre d''affaires]]*0.09</f>
        <v>3988980000</v>
      </c>
      <c r="I2753" s="188">
        <v>1872000000</v>
      </c>
      <c r="J2753" s="188">
        <v>973000000</v>
      </c>
      <c r="K2753" s="188">
        <v>7440000000</v>
      </c>
      <c r="L2753" s="188">
        <v>12212000000</v>
      </c>
      <c r="M2753" s="194">
        <f>L2753/P2753</f>
        <v>32.609963154987447</v>
      </c>
      <c r="N2753" s="190">
        <f>J2753/L2755</f>
        <v>8.7311557788944727E-2</v>
      </c>
      <c r="O2753" s="190">
        <f>(I2753*0.7)/(K2755+L2755)</f>
        <v>0.10843194042201075</v>
      </c>
      <c r="P2753" s="188">
        <v>374486777</v>
      </c>
      <c r="Q2753" s="188">
        <f>P2753*E2753</f>
        <v>10485629756</v>
      </c>
      <c r="R2753" s="195">
        <f>Q2753/L2753</f>
        <v>0.85863329151654111</v>
      </c>
      <c r="S2753" s="197">
        <f>(Q2753+K2753)/H2753</f>
        <v>4.4937878244563771</v>
      </c>
      <c r="T2753" s="180">
        <v>795000000</v>
      </c>
      <c r="U2753" s="189">
        <f>IFERROR(IF(Tableau3[[#This Row],[Dettes]]=0,"",(Tableau3[[#This Row],[Dettes]]/Tableau3[[#This Row],[EBE]])),"")</f>
        <v>1.8651384564475129</v>
      </c>
      <c r="V2753" s="190">
        <f>IFERROR(Tableau3[[#This Row],[Fonds propres]]/Tableau3[[#This Row],[Total Bilan]],"")</f>
        <v>0.20153478009736778</v>
      </c>
      <c r="W2753" s="180">
        <v>60595000000</v>
      </c>
      <c r="X2753" s="261"/>
      <c r="Y2753" s="180">
        <v>124651</v>
      </c>
      <c r="Z2753" s="192">
        <f>IFERROR(Tableau3[[#This Row],[Chiffre d''affaires]]/Tableau3[[#This Row],[Salariés]],"")</f>
        <v>355568.74794426037</v>
      </c>
      <c r="AA2753" s="188"/>
      <c r="AB2753" s="188"/>
      <c r="AC2753" s="216" t="s">
        <v>3155</v>
      </c>
    </row>
    <row r="2754" spans="1:29" ht="20.25" customHeight="1">
      <c r="A2754" s="217"/>
      <c r="G2754" s="202">
        <f>(G2753/G2755)-1</f>
        <v>0.17912155151773135</v>
      </c>
      <c r="H2754" s="202">
        <f>(H2753/H2755)-1</f>
        <v>8.7804745023179809E-2</v>
      </c>
      <c r="I2754" s="202">
        <f>(I2753/I2755)-1</f>
        <v>8.0207732256203146E-2</v>
      </c>
      <c r="J2754" s="202">
        <f>(J2753/J2755)-1</f>
        <v>-0.13511111111111107</v>
      </c>
      <c r="K2754" s="188"/>
      <c r="L2754" s="188"/>
      <c r="M2754" s="188"/>
      <c r="N2754" s="188"/>
      <c r="O2754" s="188"/>
      <c r="P2754" s="188"/>
      <c r="Q2754" s="188"/>
      <c r="R2754" s="188"/>
      <c r="S2754" s="188"/>
      <c r="T2754" s="180"/>
      <c r="U2754" s="189" t="str">
        <f>IFERROR(IF(Tableau3[[#This Row],[Dettes]]=0,"",(Tableau3[[#This Row],[Dettes]]/Tableau3[[#This Row],[EBE]])),"")</f>
        <v/>
      </c>
      <c r="V2754" s="190" t="str">
        <f>IFERROR(Tableau3[[#This Row],[Fonds propres]]/Tableau3[[#This Row],[Total Bilan]],"")</f>
        <v/>
      </c>
      <c r="W2754" s="180"/>
      <c r="Y2754" s="180"/>
      <c r="Z2754" s="192" t="str">
        <f>IFERROR(Tableau3[[#This Row],[Chiffre d''affaires]]/Tableau3[[#This Row],[Salariés]],"")</f>
        <v/>
      </c>
      <c r="AA2754" s="188"/>
      <c r="AB2754" s="188"/>
      <c r="AC2754" s="216" t="s">
        <v>5128</v>
      </c>
    </row>
    <row r="2755" spans="1:29" ht="20.25" customHeight="1">
      <c r="A2755" s="217"/>
      <c r="E2755" s="187">
        <v>31.49</v>
      </c>
      <c r="F2755" s="178">
        <v>2021</v>
      </c>
      <c r="G2755" s="188">
        <v>37589000000</v>
      </c>
      <c r="H2755" s="188">
        <v>3667000000</v>
      </c>
      <c r="I2755" s="188">
        <v>1733000000</v>
      </c>
      <c r="J2755" s="188">
        <v>1125000000</v>
      </c>
      <c r="K2755" s="188">
        <v>941000000</v>
      </c>
      <c r="L2755" s="188">
        <v>11144000000</v>
      </c>
      <c r="M2755" s="194">
        <f>L2755/P2755</f>
        <v>29.134275297124052</v>
      </c>
      <c r="N2755" s="190">
        <f>J2755/L2757</f>
        <v>0.10880077369439071</v>
      </c>
      <c r="O2755" s="190">
        <f>(I2755*0.7)/(K2757+L2757)</f>
        <v>9.845791737683629E-2</v>
      </c>
      <c r="P2755" s="188">
        <v>382504795</v>
      </c>
      <c r="Q2755" s="188">
        <f>P2755*E2755</f>
        <v>12045075994.549999</v>
      </c>
      <c r="R2755" s="195">
        <f>Q2755/L2755</f>
        <v>1.0808575013056352</v>
      </c>
      <c r="S2755" s="197">
        <f>(Q2755+K2755)/H2755</f>
        <v>3.5413351498636487</v>
      </c>
      <c r="T2755" s="180">
        <v>830000000</v>
      </c>
      <c r="U2755" s="189">
        <f>IFERROR(IF(Tableau3[[#This Row],[Dettes]]=0,"",(Tableau3[[#This Row],[Dettes]]/Tableau3[[#This Row],[EBE]])),"")</f>
        <v>0.25661303517862011</v>
      </c>
      <c r="V2755" s="190" t="str">
        <f>IFERROR(Tableau3[[#This Row],[Fonds propres]]/Tableau3[[#This Row],[Total Bilan]],"")</f>
        <v/>
      </c>
      <c r="W2755" s="180"/>
      <c r="Y2755" s="180"/>
      <c r="Z2755" s="192" t="str">
        <f>IFERROR(Tableau3[[#This Row],[Chiffre d''affaires]]/Tableau3[[#This Row],[Salariés]],"")</f>
        <v/>
      </c>
      <c r="AA2755" s="188"/>
      <c r="AB2755" s="188"/>
      <c r="AC2755" s="177" t="s">
        <v>1938</v>
      </c>
    </row>
    <row r="2756" spans="1:29" ht="20.25" customHeight="1">
      <c r="A2756" s="217"/>
      <c r="G2756" s="202">
        <f>(G2755/G2757)-1</f>
        <v>8.3443823139447648E-2</v>
      </c>
      <c r="H2756" s="202">
        <f>(H2755/H2757)-1</f>
        <v>0.1342406433652954</v>
      </c>
      <c r="I2756" s="202">
        <f>(I2755/I2757)-1</f>
        <v>0.54181494661921703</v>
      </c>
      <c r="J2756" s="202">
        <f>(J2755/J2757)-1</f>
        <v>0.61637931034482762</v>
      </c>
      <c r="K2756" s="188"/>
      <c r="L2756" s="188"/>
      <c r="M2756" s="188"/>
      <c r="N2756" s="188"/>
      <c r="O2756" s="188"/>
      <c r="P2756" s="188"/>
      <c r="Q2756" s="188"/>
      <c r="R2756" s="188"/>
      <c r="S2756" s="188"/>
      <c r="T2756" s="180"/>
      <c r="U2756" s="189" t="str">
        <f>IFERROR(IF(Tableau3[[#This Row],[Dettes]]=0,"",(Tableau3[[#This Row],[Dettes]]/Tableau3[[#This Row],[EBE]])),"")</f>
        <v/>
      </c>
      <c r="V2756" s="190" t="str">
        <f>IFERROR(Tableau3[[#This Row],[Fonds propres]]/Tableau3[[#This Row],[Total Bilan]],"")</f>
        <v/>
      </c>
      <c r="W2756" s="180"/>
      <c r="Y2756" s="180"/>
      <c r="Z2756" s="192" t="str">
        <f>IFERROR(Tableau3[[#This Row],[Chiffre d''affaires]]/Tableau3[[#This Row],[Salariés]],"")</f>
        <v/>
      </c>
      <c r="AA2756" s="262"/>
      <c r="AB2756" s="262"/>
      <c r="AC2756" s="177" t="s">
        <v>1936</v>
      </c>
    </row>
    <row r="2757" spans="1:29" ht="20.25" customHeight="1">
      <c r="A2757" s="217"/>
      <c r="E2757" s="187">
        <v>33.65</v>
      </c>
      <c r="F2757" s="178">
        <v>2020</v>
      </c>
      <c r="G2757" s="188">
        <v>34694000000</v>
      </c>
      <c r="H2757" s="188">
        <v>3233000000</v>
      </c>
      <c r="I2757" s="188">
        <v>1124000000</v>
      </c>
      <c r="J2757" s="188">
        <v>696000000</v>
      </c>
      <c r="K2757" s="188">
        <v>1981000000</v>
      </c>
      <c r="L2757" s="188">
        <v>10340000000</v>
      </c>
      <c r="M2757" s="194">
        <f>L2757/P2757</f>
        <v>27.164428280996621</v>
      </c>
      <c r="N2757" s="190">
        <f>J2757/L2759</f>
        <v>6.6890917827967328E-2</v>
      </c>
      <c r="O2757" s="190">
        <f>(I2757*0.7)/(K2759+L2759)</f>
        <v>6.2310921042211136E-2</v>
      </c>
      <c r="P2757" s="188">
        <v>380644860</v>
      </c>
      <c r="Q2757" s="188">
        <f>P2757*E2757</f>
        <v>12808699539</v>
      </c>
      <c r="R2757" s="195">
        <f>Q2757/L2757</f>
        <v>1.2387523732108316</v>
      </c>
      <c r="S2757" s="197">
        <f>(Q2757+K2757)/H2757</f>
        <v>4.5746054868543151</v>
      </c>
      <c r="T2757" s="180">
        <v>725000000</v>
      </c>
      <c r="U2757" s="189">
        <f>IFERROR(IF(Tableau3[[#This Row],[Dettes]]=0,"",(Tableau3[[#This Row],[Dettes]]/Tableau3[[#This Row],[EBE]])),"")</f>
        <v>0.61274358181255795</v>
      </c>
      <c r="V2757" s="190" t="str">
        <f>IFERROR(Tableau3[[#This Row],[Fonds propres]]/Tableau3[[#This Row],[Total Bilan]],"")</f>
        <v/>
      </c>
      <c r="W2757" s="180"/>
      <c r="X2757" s="192"/>
      <c r="Y2757" s="180"/>
      <c r="Z2757" s="192" t="str">
        <f>IFERROR(Tableau3[[#This Row],[Chiffre d''affaires]]/Tableau3[[#This Row],[Salariés]],"")</f>
        <v/>
      </c>
      <c r="AA2757" s="188"/>
      <c r="AB2757" s="188"/>
      <c r="AC2757" s="177" t="s">
        <v>1937</v>
      </c>
    </row>
    <row r="2758" spans="1:29" ht="20.25" customHeight="1">
      <c r="A2758" s="217"/>
      <c r="E2758" s="187"/>
      <c r="G2758" s="202">
        <f>(G2757/G2759)-1</f>
        <v>-8.5290938332146959E-2</v>
      </c>
      <c r="H2758" s="202">
        <f>(H2757/H2759)-1</f>
        <v>-8.8782412626832063E-2</v>
      </c>
      <c r="I2758" s="202">
        <f>(I2757/I2759)-1</f>
        <v>-0.33726415094339623</v>
      </c>
      <c r="J2758" s="202">
        <f>(J2757/J2759)-1</f>
        <v>-0.41216216216216217</v>
      </c>
      <c r="K2758" s="188"/>
      <c r="L2758" s="188"/>
      <c r="M2758" s="188"/>
      <c r="N2758" s="188"/>
      <c r="O2758" s="188"/>
      <c r="P2758" s="178"/>
      <c r="Q2758" s="188"/>
      <c r="R2758" s="188"/>
      <c r="S2758" s="188"/>
      <c r="T2758" s="180"/>
      <c r="U2758" s="189" t="str">
        <f>IFERROR(IF(Tableau3[[#This Row],[Dettes]]=0,"",(Tableau3[[#This Row],[Dettes]]/Tableau3[[#This Row],[EBE]])),"")</f>
        <v/>
      </c>
      <c r="V2758" s="190" t="str">
        <f>IFERROR(Tableau3[[#This Row],[Fonds propres]]/Tableau3[[#This Row],[Total Bilan]],"")</f>
        <v/>
      </c>
      <c r="W2758" s="180"/>
      <c r="Y2758" s="180"/>
      <c r="Z2758" s="192" t="str">
        <f>IFERROR(Tableau3[[#This Row],[Chiffre d''affaires]]/Tableau3[[#This Row],[Salariés]],"")</f>
        <v/>
      </c>
      <c r="AA2758" s="177"/>
      <c r="AC2758" s="177" t="s">
        <v>1939</v>
      </c>
    </row>
    <row r="2759" spans="1:29" ht="20.25" customHeight="1">
      <c r="A2759" s="217"/>
      <c r="E2759" s="187">
        <v>37.770000000000003</v>
      </c>
      <c r="F2759" s="178">
        <v>2019</v>
      </c>
      <c r="G2759" s="188">
        <v>37929000000</v>
      </c>
      <c r="H2759" s="188">
        <v>3548000000</v>
      </c>
      <c r="I2759" s="188">
        <v>1696000000</v>
      </c>
      <c r="J2759" s="188">
        <v>1184000000</v>
      </c>
      <c r="K2759" s="188">
        <v>2222000000</v>
      </c>
      <c r="L2759" s="188">
        <v>10405000000</v>
      </c>
      <c r="M2759" s="194">
        <f>L2759/P2759</f>
        <v>27.393969672387605</v>
      </c>
      <c r="N2759" s="190">
        <f>J2759/L2761</f>
        <v>0.12173555418465967</v>
      </c>
      <c r="O2759" s="190">
        <f>(I2759*0.7)/(K2761+L2761)</f>
        <v>8.8709556900545466E-2</v>
      </c>
      <c r="P2759" s="188">
        <v>379828120</v>
      </c>
      <c r="Q2759" s="188">
        <f>P2759*E2759</f>
        <v>14346108092.400002</v>
      </c>
      <c r="R2759" s="195">
        <f>Q2759/L2759</f>
        <v>1.3787705999423356</v>
      </c>
      <c r="S2759" s="197">
        <f>(Q2759+K2759)/H2759</f>
        <v>4.669703520969561</v>
      </c>
      <c r="T2759" s="180"/>
      <c r="U2759" s="189">
        <f>IFERROR(IF(Tableau3[[#This Row],[Dettes]]=0,"",(Tableau3[[#This Row],[Dettes]]/Tableau3[[#This Row],[EBE]])),"")</f>
        <v>0.62626832018038336</v>
      </c>
      <c r="V2759" s="190" t="str">
        <f>IFERROR(Tableau3[[#This Row],[Fonds propres]]/Tableau3[[#This Row],[Total Bilan]],"")</f>
        <v/>
      </c>
      <c r="W2759" s="180"/>
      <c r="Y2759" s="180"/>
      <c r="Z2759" s="192" t="str">
        <f>IFERROR(Tableau3[[#This Row],[Chiffre d''affaires]]/Tableau3[[#This Row],[Salariés]],"")</f>
        <v/>
      </c>
      <c r="AA2759" s="177"/>
      <c r="AC2759" s="177" t="s">
        <v>5172</v>
      </c>
    </row>
    <row r="2760" spans="1:29" ht="20.25" customHeight="1">
      <c r="A2760" s="217"/>
      <c r="E2760" s="187"/>
      <c r="G2760" s="202">
        <f>(G2759/G2761)-1</f>
        <v>6.6769793278020018E-2</v>
      </c>
      <c r="H2760" s="202">
        <f>(H2759/H2761)-1</f>
        <v>0.12849872773536886</v>
      </c>
      <c r="I2760" s="202">
        <f>(I2759/I2761)-1</f>
        <v>-4.5045045045045029E-2</v>
      </c>
      <c r="J2760" s="202">
        <f>(J2759/J2761)-1</f>
        <v>-9.687261632341726E-2</v>
      </c>
      <c r="K2760" s="188"/>
      <c r="L2760" s="188"/>
      <c r="M2760" s="178"/>
      <c r="N2760" s="178"/>
      <c r="O2760" s="178"/>
      <c r="P2760" s="188"/>
      <c r="Q2760" s="178"/>
      <c r="R2760" s="178"/>
      <c r="S2760" s="178"/>
      <c r="T2760" s="180"/>
      <c r="U2760" s="189" t="str">
        <f>IFERROR(IF(Tableau3[[#This Row],[Dettes]]=0,"",(Tableau3[[#This Row],[Dettes]]/Tableau3[[#This Row],[EBE]])),"")</f>
        <v/>
      </c>
      <c r="V2760" s="190" t="str">
        <f>IFERROR(Tableau3[[#This Row],[Fonds propres]]/Tableau3[[#This Row],[Total Bilan]],"")</f>
        <v/>
      </c>
      <c r="W2760" s="180"/>
      <c r="Y2760" s="180"/>
      <c r="Z2760" s="192" t="str">
        <f>IFERROR(Tableau3[[#This Row],[Chiffre d''affaires]]/Tableau3[[#This Row],[Salariés]],"")</f>
        <v/>
      </c>
      <c r="AA2760" s="177"/>
      <c r="AC2760" s="177" t="s">
        <v>1940</v>
      </c>
    </row>
    <row r="2761" spans="1:29" ht="20.25" customHeight="1">
      <c r="A2761" s="217"/>
      <c r="E2761" s="187">
        <v>30.99</v>
      </c>
      <c r="F2761" s="178">
        <v>2018</v>
      </c>
      <c r="G2761" s="188">
        <v>35555000000</v>
      </c>
      <c r="H2761" s="188">
        <v>3144000000</v>
      </c>
      <c r="I2761" s="188">
        <v>1776000000</v>
      </c>
      <c r="J2761" s="188">
        <v>1311000000</v>
      </c>
      <c r="K2761" s="188">
        <v>3657000000</v>
      </c>
      <c r="L2761" s="188">
        <v>9726000000</v>
      </c>
      <c r="M2761" s="194">
        <f>L2761/P2761</f>
        <v>26.118625679380003</v>
      </c>
      <c r="N2761" s="190">
        <f>J2761/L2763</f>
        <v>0.14811885662636989</v>
      </c>
      <c r="O2761" s="190">
        <f>(I2761*0.7)/(K2763+L2763)</f>
        <v>0.11548536925220622</v>
      </c>
      <c r="P2761" s="188">
        <v>372377939</v>
      </c>
      <c r="Q2761" s="188">
        <f>P2761*E2761</f>
        <v>11539992329.609999</v>
      </c>
      <c r="R2761" s="195">
        <f>Q2761/L2761</f>
        <v>1.1865095958883405</v>
      </c>
      <c r="S2761" s="197">
        <f>(Q2761+K2761)/H2761</f>
        <v>4.8336489597996177</v>
      </c>
      <c r="T2761" s="180"/>
      <c r="U2761" s="189">
        <f>IFERROR(IF(Tableau3[[#This Row],[Dettes]]=0,"",(Tableau3[[#This Row],[Dettes]]/Tableau3[[#This Row],[EBE]])),"")</f>
        <v>1.1631679389312977</v>
      </c>
      <c r="V2761" s="190" t="str">
        <f>IFERROR(Tableau3[[#This Row],[Fonds propres]]/Tableau3[[#This Row],[Total Bilan]],"")</f>
        <v/>
      </c>
      <c r="W2761" s="180"/>
      <c r="Y2761" s="180"/>
      <c r="Z2761" s="192" t="str">
        <f>IFERROR(Tableau3[[#This Row],[Chiffre d''affaires]]/Tableau3[[#This Row],[Salariés]],"")</f>
        <v/>
      </c>
      <c r="AA2761" s="177"/>
      <c r="AC2761" s="177" t="s">
        <v>1941</v>
      </c>
    </row>
    <row r="2762" spans="1:29" ht="20.25" customHeight="1">
      <c r="A2762" s="217"/>
      <c r="E2762" s="187"/>
      <c r="G2762" s="202">
        <f>(G2761/G2763)-1</f>
        <v>8.0567712132263658E-2</v>
      </c>
      <c r="H2762" s="202">
        <f>(H2761/H2763)-1</f>
        <v>5.9299191374662996E-2</v>
      </c>
      <c r="I2762" s="202">
        <f>(I2761/I2763)-1</f>
        <v>0.15851272015655571</v>
      </c>
      <c r="J2762" s="202">
        <f>(J2761/J2763)-1</f>
        <v>0.20829493087557593</v>
      </c>
      <c r="K2762" s="188"/>
      <c r="L2762" s="188"/>
      <c r="M2762" s="178"/>
      <c r="N2762" s="178"/>
      <c r="O2762" s="178"/>
      <c r="P2762" s="188"/>
      <c r="Q2762" s="178"/>
      <c r="R2762" s="178"/>
      <c r="S2762" s="178"/>
      <c r="T2762" s="180"/>
      <c r="U2762" s="189" t="str">
        <f>IFERROR(IF(Tableau3[[#This Row],[Dettes]]=0,"",(Tableau3[[#This Row],[Dettes]]/Tableau3[[#This Row],[EBE]])),"")</f>
        <v/>
      </c>
      <c r="V2762" s="190" t="str">
        <f>IFERROR(Tableau3[[#This Row],[Fonds propres]]/Tableau3[[#This Row],[Total Bilan]],"")</f>
        <v/>
      </c>
      <c r="W2762" s="180"/>
      <c r="Y2762" s="180"/>
      <c r="Z2762" s="192" t="str">
        <f>IFERROR(Tableau3[[#This Row],[Chiffre d''affaires]]/Tableau3[[#This Row],[Salariés]],"")</f>
        <v/>
      </c>
      <c r="AA2762" s="177"/>
      <c r="AC2762" s="177" t="s">
        <v>1942</v>
      </c>
    </row>
    <row r="2763" spans="1:29" ht="20.25" customHeight="1">
      <c r="A2763" s="217"/>
      <c r="E2763" s="187">
        <v>43.22</v>
      </c>
      <c r="F2763" s="178">
        <v>2017</v>
      </c>
      <c r="G2763" s="188">
        <v>32904000000</v>
      </c>
      <c r="H2763" s="188">
        <v>2968000000</v>
      </c>
      <c r="I2763" s="188">
        <v>1533000000</v>
      </c>
      <c r="J2763" s="188">
        <v>1085000000</v>
      </c>
      <c r="K2763" s="188">
        <v>1914000000</v>
      </c>
      <c r="L2763" s="188">
        <v>8851000000</v>
      </c>
      <c r="M2763" s="194">
        <f>L2763/P2763</f>
        <v>24.174784869064698</v>
      </c>
      <c r="N2763" s="190">
        <f>J2763/L2765</f>
        <v>0.1332923832923833</v>
      </c>
      <c r="O2763" s="190">
        <f>(I2763*0.7)/(K2765+L2765)</f>
        <v>0.10724565260843492</v>
      </c>
      <c r="P2763" s="188">
        <v>366125285</v>
      </c>
      <c r="Q2763" s="188">
        <f>P2763*E2763</f>
        <v>15823934817.699999</v>
      </c>
      <c r="R2763" s="195">
        <f>Q2763/L2763</f>
        <v>1.7878132208451021</v>
      </c>
      <c r="S2763" s="197">
        <f>(Q2763+K2763)/H2763</f>
        <v>5.9763931326482469</v>
      </c>
      <c r="T2763" s="180"/>
      <c r="U2763" s="189">
        <f>IFERROR(IF(Tableau3[[#This Row],[Dettes]]=0,"",(Tableau3[[#This Row],[Dettes]]/Tableau3[[#This Row],[EBE]])),"")</f>
        <v>0.64487870619946097</v>
      </c>
      <c r="V2763" s="190" t="str">
        <f>IFERROR(Tableau3[[#This Row],[Fonds propres]]/Tableau3[[#This Row],[Total Bilan]],"")</f>
        <v/>
      </c>
      <c r="W2763" s="180"/>
      <c r="Y2763" s="180"/>
      <c r="Z2763" s="192" t="str">
        <f>IFERROR(Tableau3[[#This Row],[Chiffre d''affaires]]/Tableau3[[#This Row],[Salariés]],"")</f>
        <v/>
      </c>
      <c r="AA2763" s="177"/>
      <c r="AC2763" s="177" t="s">
        <v>5125</v>
      </c>
    </row>
    <row r="2764" spans="1:29" ht="20.25" customHeight="1">
      <c r="A2764" s="217"/>
      <c r="E2764" s="187"/>
      <c r="G2764" s="202">
        <f>(G2763/G2765)-1</f>
        <v>3.5759254595819634E-2</v>
      </c>
      <c r="H2764" s="202">
        <f>(H2763/H2765)-1</f>
        <v>7.6532462821907954E-2</v>
      </c>
      <c r="I2764" s="202">
        <f>(I2763/I2765)-1</f>
        <v>0.61879619852164724</v>
      </c>
      <c r="J2764" s="202">
        <f>(J2763/J2765)-1</f>
        <v>0.48224043715846987</v>
      </c>
      <c r="K2764" s="188"/>
      <c r="L2764" s="188"/>
      <c r="M2764" s="178"/>
      <c r="N2764" s="178"/>
      <c r="O2764" s="178"/>
      <c r="P2764" s="188"/>
      <c r="Q2764" s="178"/>
      <c r="R2764" s="178"/>
      <c r="S2764" s="178"/>
      <c r="T2764" s="180"/>
      <c r="U2764" s="189" t="str">
        <f>IFERROR(IF(Tableau3[[#This Row],[Dettes]]=0,"",(Tableau3[[#This Row],[Dettes]]/Tableau3[[#This Row],[EBE]])),"")</f>
        <v/>
      </c>
      <c r="V2764" s="190" t="str">
        <f>IFERROR(Tableau3[[#This Row],[Fonds propres]]/Tableau3[[#This Row],[Total Bilan]],"")</f>
        <v/>
      </c>
      <c r="W2764" s="180"/>
      <c r="Y2764" s="180"/>
      <c r="Z2764" s="192" t="str">
        <f>IFERROR(Tableau3[[#This Row],[Chiffre d''affaires]]/Tableau3[[#This Row],[Salariés]],"")</f>
        <v/>
      </c>
      <c r="AA2764" s="177"/>
      <c r="AC2764" s="177" t="s">
        <v>5126</v>
      </c>
    </row>
    <row r="2765" spans="1:29" ht="20.25" customHeight="1">
      <c r="A2765" s="217"/>
      <c r="E2765" s="187">
        <v>34</v>
      </c>
      <c r="F2765" s="178">
        <v>2016</v>
      </c>
      <c r="G2765" s="188">
        <v>31768000000</v>
      </c>
      <c r="H2765" s="188">
        <v>2757000000</v>
      </c>
      <c r="I2765" s="188">
        <v>947000000</v>
      </c>
      <c r="J2765" s="188">
        <v>732000000</v>
      </c>
      <c r="K2765" s="188">
        <v>1866000000</v>
      </c>
      <c r="L2765" s="188">
        <v>8140000000</v>
      </c>
      <c r="M2765" s="194">
        <f>L2765/P2765</f>
        <v>22.935485969009363</v>
      </c>
      <c r="N2765" s="190">
        <f>J2765/L2767</f>
        <v>9.3070565797838525E-2</v>
      </c>
      <c r="O2765" s="190">
        <f>(I2765*0.7)/(K2767+L2767)</f>
        <v>6.358143103779014E-2</v>
      </c>
      <c r="P2765" s="188">
        <v>354908547</v>
      </c>
      <c r="Q2765" s="188">
        <f>P2765*E2765</f>
        <v>12066890598</v>
      </c>
      <c r="R2765" s="195">
        <f>Q2765/L2765</f>
        <v>1.4824189923832924</v>
      </c>
      <c r="S2765" s="197">
        <f>(Q2765+K2765)/H2765</f>
        <v>5.0536418563656147</v>
      </c>
      <c r="T2765" s="180"/>
      <c r="U2765" s="189">
        <f>IFERROR(IF(Tableau3[[#This Row],[Dettes]]=0,"",(Tableau3[[#This Row],[Dettes]]/Tableau3[[#This Row],[EBE]])),"")</f>
        <v>0.67682263329706205</v>
      </c>
      <c r="V2765" s="190" t="str">
        <f>IFERROR(Tableau3[[#This Row],[Fonds propres]]/Tableau3[[#This Row],[Total Bilan]],"")</f>
        <v/>
      </c>
      <c r="W2765" s="180"/>
      <c r="Y2765" s="180"/>
      <c r="Z2765" s="192" t="str">
        <f>IFERROR(Tableau3[[#This Row],[Chiffre d''affaires]]/Tableau3[[#This Row],[Salariés]],"")</f>
        <v/>
      </c>
      <c r="AA2765" s="177"/>
      <c r="AC2765" s="177" t="s">
        <v>1943</v>
      </c>
    </row>
    <row r="2766" spans="1:29" ht="20.25" customHeight="1">
      <c r="A2766" s="217"/>
      <c r="E2766" s="187"/>
      <c r="G2766" s="202">
        <f>(G2765/G2767)-1</f>
        <v>-2.0352781546811416E-2</v>
      </c>
      <c r="H2766" s="202">
        <f>(H2765/H2767)-1</f>
        <v>0.14350891746163419</v>
      </c>
      <c r="I2766" s="202">
        <f>(I2765/I2767)-1</f>
        <v>0.42021595680863832</v>
      </c>
      <c r="J2766" s="202">
        <f>(J2765/J2767)-1</f>
        <v>0.81637717121588094</v>
      </c>
      <c r="K2766" s="188"/>
      <c r="L2766" s="188"/>
      <c r="M2766" s="178"/>
      <c r="N2766" s="178"/>
      <c r="O2766" s="178"/>
      <c r="P2766" s="188"/>
      <c r="Q2766" s="178"/>
      <c r="R2766" s="178"/>
      <c r="S2766" s="178"/>
      <c r="T2766" s="180"/>
      <c r="U2766" s="189" t="str">
        <f>IFERROR(IF(Tableau3[[#This Row],[Dettes]]=0,"",(Tableau3[[#This Row],[Dettes]]/Tableau3[[#This Row],[EBE]])),"")</f>
        <v/>
      </c>
      <c r="V2766" s="190" t="str">
        <f>IFERROR(Tableau3[[#This Row],[Fonds propres]]/Tableau3[[#This Row],[Total Bilan]],"")</f>
        <v/>
      </c>
      <c r="W2766" s="180"/>
      <c r="Y2766" s="180"/>
      <c r="Z2766" s="192" t="str">
        <f>IFERROR(Tableau3[[#This Row],[Chiffre d''affaires]]/Tableau3[[#This Row],[Salariés]],"")</f>
        <v/>
      </c>
      <c r="AA2766" s="177"/>
      <c r="AC2766" s="177" t="s">
        <v>1944</v>
      </c>
    </row>
    <row r="2767" spans="1:29" ht="20.25" customHeight="1">
      <c r="A2767" s="217"/>
      <c r="E2767" s="187">
        <v>36.54</v>
      </c>
      <c r="F2767" s="178">
        <v>2015</v>
      </c>
      <c r="G2767" s="188">
        <v>32428000000</v>
      </c>
      <c r="H2767" s="188">
        <v>2411000000</v>
      </c>
      <c r="I2767" s="188">
        <v>666800000</v>
      </c>
      <c r="J2767" s="188">
        <v>403000000</v>
      </c>
      <c r="K2767" s="188">
        <v>2561000000</v>
      </c>
      <c r="L2767" s="188">
        <v>7865000000</v>
      </c>
      <c r="M2767" s="194">
        <f>L2767/P2767</f>
        <v>22.78816346919421</v>
      </c>
      <c r="N2767" s="190">
        <f>J2767/L2769</f>
        <v>5.1311433664374843E-2</v>
      </c>
      <c r="O2767" s="190">
        <f>(I2767*0.7)/(K2769+L2769)</f>
        <v>4.2164408310749774E-2</v>
      </c>
      <c r="P2767" s="188">
        <v>345135316</v>
      </c>
      <c r="Q2767" s="188">
        <f>P2767*E2767</f>
        <v>12611244446.639999</v>
      </c>
      <c r="R2767" s="195">
        <f>Q2767/L2767</f>
        <v>1.6034640110158931</v>
      </c>
      <c r="S2767" s="197">
        <f>(Q2767+K2767)/H2767</f>
        <v>6.2929259421982575</v>
      </c>
      <c r="T2767" s="180"/>
      <c r="U2767" s="189">
        <f>IFERROR(IF(Tableau3[[#This Row],[Dettes]]=0,"",(Tableau3[[#This Row],[Dettes]]/Tableau3[[#This Row],[EBE]])),"")</f>
        <v>1.0622148486105349</v>
      </c>
      <c r="V2767" s="190" t="str">
        <f>IFERROR(Tableau3[[#This Row],[Fonds propres]]/Tableau3[[#This Row],[Total Bilan]],"")</f>
        <v/>
      </c>
      <c r="W2767" s="180"/>
      <c r="Y2767" s="180"/>
      <c r="Z2767" s="192" t="str">
        <f>IFERROR(Tableau3[[#This Row],[Chiffre d''affaires]]/Tableau3[[#This Row],[Salariés]],"")</f>
        <v/>
      </c>
      <c r="AA2767" s="177"/>
      <c r="AC2767" s="177" t="s">
        <v>5129</v>
      </c>
    </row>
    <row r="2768" spans="1:29" ht="20.25" customHeight="1">
      <c r="A2768" s="217"/>
      <c r="E2768" s="187"/>
      <c r="G2768" s="202">
        <f>(G2767/G2769)-1</f>
        <v>-2.1425553744945369E-2</v>
      </c>
      <c r="H2768" s="202">
        <f>(H2767/H2769)-1</f>
        <v>-2.8949545078577055E-3</v>
      </c>
      <c r="I2768" s="202">
        <f>(I2767/I2769)-1</f>
        <v>-0.41147396293027361</v>
      </c>
      <c r="J2768" s="202">
        <f>(J2767/J2769)-1</f>
        <v>-0.50061957868649321</v>
      </c>
      <c r="K2768" s="188"/>
      <c r="L2768" s="188"/>
      <c r="M2768" s="178"/>
      <c r="N2768" s="178"/>
      <c r="O2768" s="178"/>
      <c r="P2768" s="188"/>
      <c r="Q2768" s="178"/>
      <c r="R2768" s="178"/>
      <c r="S2768" s="178"/>
      <c r="T2768" s="180"/>
      <c r="U2768" s="189" t="str">
        <f>IFERROR(IF(Tableau3[[#This Row],[Dettes]]=0,"",(Tableau3[[#This Row],[Dettes]]/Tableau3[[#This Row],[EBE]])),"")</f>
        <v/>
      </c>
      <c r="V2768" s="190" t="str">
        <f>IFERROR(Tableau3[[#This Row],[Fonds propres]]/Tableau3[[#This Row],[Total Bilan]],"")</f>
        <v/>
      </c>
      <c r="W2768" s="180"/>
      <c r="Y2768" s="180"/>
      <c r="Z2768" s="192" t="str">
        <f>IFERROR(Tableau3[[#This Row],[Chiffre d''affaires]]/Tableau3[[#This Row],[Salariés]],"")</f>
        <v/>
      </c>
      <c r="AA2768" s="177"/>
      <c r="AC2768" s="177" t="s">
        <v>1945</v>
      </c>
    </row>
    <row r="2769" spans="1:29" ht="20.25" customHeight="1">
      <c r="A2769" s="217"/>
      <c r="E2769" s="187">
        <v>30.17</v>
      </c>
      <c r="F2769" s="178">
        <v>2014</v>
      </c>
      <c r="G2769" s="188">
        <v>33138000000</v>
      </c>
      <c r="H2769" s="188">
        <v>2418000000</v>
      </c>
      <c r="I2769" s="188">
        <v>1133000000</v>
      </c>
      <c r="J2769" s="188">
        <v>807000000</v>
      </c>
      <c r="K2769" s="188">
        <v>3216000000</v>
      </c>
      <c r="L2769" s="188">
        <v>7854000000</v>
      </c>
      <c r="M2769" s="194">
        <f>L2769/P2769</f>
        <v>23.368986798033976</v>
      </c>
      <c r="N2769" s="190">
        <f>J2769/L2769</f>
        <v>0.1027501909854851</v>
      </c>
      <c r="O2769" s="190">
        <f>(I2769*0.7)/(K2769+L2769)</f>
        <v>7.1644083107497744E-2</v>
      </c>
      <c r="P2769" s="188">
        <v>336086458</v>
      </c>
      <c r="Q2769" s="188">
        <f>P2769*E2769</f>
        <v>10139728437.860001</v>
      </c>
      <c r="R2769" s="195">
        <f>Q2769/L2769</f>
        <v>1.2910273030124777</v>
      </c>
      <c r="S2769" s="197">
        <f>(Q2769+K2769)/H2769</f>
        <v>5.5234608924152191</v>
      </c>
      <c r="T2769" s="180"/>
      <c r="U2769" s="189">
        <f>IFERROR(IF(Tableau3[[#This Row],[Dettes]]=0,"",(Tableau3[[#This Row],[Dettes]]/Tableau3[[#This Row],[EBE]])),"")</f>
        <v>1.3300248138957815</v>
      </c>
      <c r="V2769" s="190" t="str">
        <f>IFERROR(Tableau3[[#This Row],[Fonds propres]]/Tableau3[[#This Row],[Total Bilan]],"")</f>
        <v/>
      </c>
      <c r="W2769" s="180"/>
      <c r="Y2769" s="180"/>
      <c r="Z2769" s="192" t="str">
        <f>IFERROR(Tableau3[[#This Row],[Chiffre d''affaires]]/Tableau3[[#This Row],[Salariés]],"")</f>
        <v/>
      </c>
      <c r="AA2769" s="177"/>
      <c r="AC2769" s="177" t="s">
        <v>1946</v>
      </c>
    </row>
    <row r="2770" spans="1:29" ht="20.25" customHeight="1">
      <c r="A2770" s="217"/>
      <c r="E2770" s="187"/>
      <c r="G2770" s="188"/>
      <c r="H2770" s="188"/>
      <c r="I2770" s="188"/>
      <c r="J2770" s="188"/>
      <c r="K2770" s="188"/>
      <c r="L2770" s="188"/>
      <c r="M2770" s="194"/>
      <c r="N2770" s="190"/>
      <c r="O2770" s="190"/>
      <c r="P2770" s="188"/>
      <c r="Q2770" s="188"/>
      <c r="R2770" s="195"/>
      <c r="S2770" s="197"/>
      <c r="T2770" s="180"/>
      <c r="U2770" s="189" t="str">
        <f>IFERROR(IF(Tableau3[[#This Row],[Dettes]]=0,"",(Tableau3[[#This Row],[Dettes]]/Tableau3[[#This Row],[EBE]])),"")</f>
        <v/>
      </c>
      <c r="V2770" s="190" t="str">
        <f>IFERROR(Tableau3[[#This Row],[Fonds propres]]/Tableau3[[#This Row],[Total Bilan]],"")</f>
        <v/>
      </c>
      <c r="W2770" s="180"/>
      <c r="Y2770" s="180"/>
      <c r="Z2770" s="192" t="str">
        <f>IFERROR(Tableau3[[#This Row],[Chiffre d''affaires]]/Tableau3[[#This Row],[Salariés]],"")</f>
        <v/>
      </c>
      <c r="AA2770" s="177"/>
    </row>
    <row r="2771" spans="1:29" ht="20.25" customHeight="1">
      <c r="A2771" s="217"/>
      <c r="E2771" s="187"/>
      <c r="G2771" s="188"/>
      <c r="H2771" s="188"/>
      <c r="I2771" s="188"/>
      <c r="J2771" s="188"/>
      <c r="K2771" s="188"/>
      <c r="L2771" s="188"/>
      <c r="M2771" s="194"/>
      <c r="N2771" s="190"/>
      <c r="O2771" s="190"/>
      <c r="P2771" s="188"/>
      <c r="Q2771" s="188"/>
      <c r="R2771" s="195"/>
      <c r="S2771" s="197"/>
      <c r="T2771" s="180"/>
      <c r="U2771" s="189" t="str">
        <f>IFERROR(IF(Tableau3[[#This Row],[Dettes]]=0,"",(Tableau3[[#This Row],[Dettes]]/Tableau3[[#This Row],[EBE]])),"")</f>
        <v/>
      </c>
      <c r="V2771" s="190" t="str">
        <f>IFERROR(Tableau3[[#This Row],[Fonds propres]]/Tableau3[[#This Row],[Total Bilan]],"")</f>
        <v/>
      </c>
      <c r="W2771" s="180"/>
      <c r="Y2771" s="180"/>
      <c r="Z2771" s="192" t="str">
        <f>IFERROR(Tableau3[[#This Row],[Chiffre d''affaires]]/Tableau3[[#This Row],[Salariés]],"")</f>
        <v/>
      </c>
      <c r="AA2771" s="177"/>
    </row>
    <row r="2772" spans="1:29" ht="20.25" customHeight="1">
      <c r="A2772" s="217"/>
      <c r="E2772" s="187"/>
      <c r="G2772" s="188"/>
      <c r="H2772" s="188"/>
      <c r="I2772" s="188"/>
      <c r="J2772" s="188"/>
      <c r="K2772" s="188"/>
      <c r="L2772" s="188"/>
      <c r="M2772" s="194"/>
      <c r="N2772" s="190"/>
      <c r="O2772" s="190"/>
      <c r="P2772" s="188"/>
      <c r="Q2772" s="188"/>
      <c r="R2772" s="195"/>
      <c r="S2772" s="197"/>
      <c r="T2772" s="180"/>
      <c r="U2772" s="189" t="str">
        <f>IFERROR(IF(Tableau3[[#This Row],[Dettes]]=0,"",(Tableau3[[#This Row],[Dettes]]/Tableau3[[#This Row],[EBE]])),"")</f>
        <v/>
      </c>
      <c r="V2772" s="190" t="str">
        <f>IFERROR(Tableau3[[#This Row],[Fonds propres]]/Tableau3[[#This Row],[Total Bilan]],"")</f>
        <v/>
      </c>
      <c r="W2772" s="180"/>
      <c r="Y2772" s="180"/>
      <c r="Z2772" s="192" t="str">
        <f>IFERROR(Tableau3[[#This Row],[Chiffre d''affaires]]/Tableau3[[#This Row],[Salariés]],"")</f>
        <v/>
      </c>
      <c r="AA2772" s="177"/>
    </row>
    <row r="2773" spans="1:29" ht="20.25" customHeight="1">
      <c r="A2773" s="217" t="s">
        <v>1947</v>
      </c>
      <c r="B2773" s="216" t="s">
        <v>1948</v>
      </c>
      <c r="C2773" s="178" t="s">
        <v>84</v>
      </c>
      <c r="D2773" s="178" t="s">
        <v>85</v>
      </c>
      <c r="E2773" s="187"/>
      <c r="F2773" s="178">
        <v>2025</v>
      </c>
      <c r="G2773" s="188"/>
      <c r="H2773" s="188"/>
      <c r="I2773" s="188"/>
      <c r="J2773" s="188"/>
      <c r="K2773" s="188"/>
      <c r="L2773" s="188"/>
      <c r="M2773" s="194"/>
      <c r="N2773" s="190"/>
      <c r="O2773" s="190"/>
      <c r="P2773" s="188"/>
      <c r="Q2773" s="188"/>
      <c r="R2773" s="195"/>
      <c r="S2773" s="197"/>
      <c r="T2773" s="180"/>
      <c r="U2773" s="189" t="str">
        <f>IFERROR(IF(Tableau3[[#This Row],[Dettes]]=0,"",(Tableau3[[#This Row],[Dettes]]/Tableau3[[#This Row],[EBE]])),"")</f>
        <v/>
      </c>
      <c r="V2773" s="190" t="str">
        <f>IFERROR(Tableau3[[#This Row],[Fonds propres]]/Tableau3[[#This Row],[Total Bilan]],"")</f>
        <v/>
      </c>
      <c r="W2773" s="180"/>
      <c r="X2773" s="182" t="s">
        <v>1949</v>
      </c>
      <c r="Y2773" s="180"/>
      <c r="Z2773" s="192" t="str">
        <f>IFERROR(Tableau3[[#This Row],[Chiffre d''affaires]]/Tableau3[[#This Row],[Salariés]],"")</f>
        <v/>
      </c>
      <c r="AA2773" s="177"/>
      <c r="AC2773" s="177" t="s">
        <v>4499</v>
      </c>
    </row>
    <row r="2774" spans="1:29" ht="20.25" customHeight="1">
      <c r="A2774" s="217"/>
      <c r="E2774" s="187"/>
      <c r="G2774" s="188"/>
      <c r="H2774" s="188"/>
      <c r="I2774" s="188"/>
      <c r="J2774" s="188"/>
      <c r="K2774" s="188"/>
      <c r="L2774" s="188"/>
      <c r="M2774" s="194"/>
      <c r="N2774" s="190"/>
      <c r="O2774" s="190"/>
      <c r="P2774" s="188"/>
      <c r="Q2774" s="188"/>
      <c r="R2774" s="195"/>
      <c r="S2774" s="197"/>
      <c r="T2774" s="180"/>
      <c r="U2774" s="189" t="str">
        <f>IFERROR(IF(Tableau3[[#This Row],[Dettes]]=0,"",(Tableau3[[#This Row],[Dettes]]/Tableau3[[#This Row],[EBE]])),"")</f>
        <v/>
      </c>
      <c r="V2774" s="190" t="str">
        <f>IFERROR(Tableau3[[#This Row],[Fonds propres]]/Tableau3[[#This Row],[Total Bilan]],"")</f>
        <v/>
      </c>
      <c r="W2774" s="180"/>
      <c r="Y2774" s="180"/>
      <c r="Z2774" s="192" t="str">
        <f>IFERROR(Tableau3[[#This Row],[Chiffre d''affaires]]/Tableau3[[#This Row],[Salariés]],"")</f>
        <v/>
      </c>
      <c r="AA2774" s="177"/>
      <c r="AC2774" s="177" t="s">
        <v>4500</v>
      </c>
    </row>
    <row r="2775" spans="1:29" ht="20.25" customHeight="1">
      <c r="A2775" s="217"/>
      <c r="E2775" s="187">
        <v>84.72</v>
      </c>
      <c r="F2775" s="178">
        <v>2024</v>
      </c>
      <c r="G2775" s="188">
        <v>24017000000</v>
      </c>
      <c r="H2775" s="188"/>
      <c r="I2775" s="188">
        <v>2419000000</v>
      </c>
      <c r="J2775" s="188">
        <v>1041000000</v>
      </c>
      <c r="K2775" s="188">
        <v>9414000000</v>
      </c>
      <c r="L2775" s="188">
        <v>6719000000</v>
      </c>
      <c r="M2775" s="194">
        <f t="shared" ref="M2775" si="172">L2775/P2775</f>
        <v>68.561224489795919</v>
      </c>
      <c r="N2775" s="190">
        <f t="shared" ref="N2775" si="173">J2775/L2777</f>
        <v>0.16127033307513555</v>
      </c>
      <c r="O2775" s="190">
        <f>(I2775*0.73)/(K2777+L2777)</f>
        <v>0.10786573819558977</v>
      </c>
      <c r="P2775" s="188">
        <v>98000000</v>
      </c>
      <c r="Q2775" s="188">
        <f>P2775*E2775</f>
        <v>8302560000</v>
      </c>
      <c r="R2775" s="195">
        <f>Q2775/L2775</f>
        <v>1.2356838815299895</v>
      </c>
      <c r="S2775" s="197"/>
      <c r="T2775" s="180">
        <v>2634000000</v>
      </c>
      <c r="U2775" s="189" t="str">
        <f>IFERROR(IF(Tableau3[[#This Row],[Dettes]]=0,"",(Tableau3[[#This Row],[Dettes]]/Tableau3[[#This Row],[EBE]])),"")</f>
        <v/>
      </c>
      <c r="V2775" s="190">
        <f>IFERROR(Tableau3[[#This Row],[Fonds propres]]/Tableau3[[#This Row],[Total Bilan]],"")</f>
        <v>0.16669561118416157</v>
      </c>
      <c r="W2775" s="180">
        <v>40307000000</v>
      </c>
      <c r="Y2775" s="180">
        <v>78200</v>
      </c>
      <c r="Z2775" s="192">
        <f>IFERROR(Tableau3[[#This Row],[Chiffre d''affaires]]/Tableau3[[#This Row],[Salariés]],"")</f>
        <v>307122.76214833761</v>
      </c>
      <c r="AA2775" s="177"/>
      <c r="AC2775" s="177" t="s">
        <v>1951</v>
      </c>
    </row>
    <row r="2776" spans="1:29" ht="20.25" customHeight="1">
      <c r="A2776" s="217"/>
      <c r="E2776" s="187"/>
      <c r="G2776" s="202">
        <f>(G2775/G2777)-1</f>
        <v>7.3673387277035207E-2</v>
      </c>
      <c r="H2776" s="202" t="e">
        <f>(H2775/H2777)-1</f>
        <v>#DIV/0!</v>
      </c>
      <c r="I2776" s="202">
        <f>(I2775/I2777)-1</f>
        <v>2.8486394557823091E-2</v>
      </c>
      <c r="J2776" s="202">
        <f>(J2775/J2777)-1</f>
        <v>2.7640671273445161E-2</v>
      </c>
      <c r="K2776" s="188"/>
      <c r="L2776" s="188"/>
      <c r="M2776" s="178"/>
      <c r="N2776" s="178"/>
      <c r="O2776" s="178"/>
      <c r="P2776" s="188"/>
      <c r="Q2776" s="188"/>
      <c r="R2776" s="195"/>
      <c r="S2776" s="197"/>
      <c r="T2776" s="180"/>
      <c r="U2776" s="189" t="str">
        <f>IFERROR(IF(Tableau3[[#This Row],[Dettes]]=0,"",(Tableau3[[#This Row],[Dettes]]/Tableau3[[#This Row],[EBE]])),"")</f>
        <v/>
      </c>
      <c r="V2776" s="190" t="str">
        <f>IFERROR(Tableau3[[#This Row],[Fonds propres]]/Tableau3[[#This Row],[Total Bilan]],"")</f>
        <v/>
      </c>
      <c r="W2776" s="180"/>
      <c r="Y2776" s="180"/>
      <c r="Z2776" s="192" t="str">
        <f>IFERROR(Tableau3[[#This Row],[Chiffre d''affaires]]/Tableau3[[#This Row],[Salariés]],"")</f>
        <v/>
      </c>
      <c r="AA2776" s="177"/>
      <c r="AC2776" s="177" t="s">
        <v>1952</v>
      </c>
    </row>
    <row r="2777" spans="1:29" ht="20.25" customHeight="1">
      <c r="A2777" s="217"/>
      <c r="E2777" s="187">
        <v>97.02</v>
      </c>
      <c r="F2777" s="178">
        <v>2023</v>
      </c>
      <c r="G2777" s="188">
        <v>22369000000</v>
      </c>
      <c r="H2777" s="188"/>
      <c r="I2777" s="188">
        <v>2352000000</v>
      </c>
      <c r="J2777" s="188">
        <v>1013000000</v>
      </c>
      <c r="K2777" s="188">
        <v>9916000000</v>
      </c>
      <c r="L2777" s="188">
        <v>6455000000</v>
      </c>
      <c r="M2777" s="194">
        <f t="shared" ref="M2777" si="174">L2777/P2777</f>
        <v>65.867346938775512</v>
      </c>
      <c r="N2777" s="190">
        <f t="shared" ref="N2777" si="175">J2777/L2779</f>
        <v>0.1640220207253886</v>
      </c>
      <c r="O2777" s="190">
        <f t="shared" ref="O2777" si="176">(I2777*0.73)/(K2779+L2779)</f>
        <v>0.27800518134715024</v>
      </c>
      <c r="P2777" s="188">
        <v>98000000</v>
      </c>
      <c r="Q2777" s="188">
        <f>P2777*E2777</f>
        <v>9507960000</v>
      </c>
      <c r="R2777" s="195">
        <f>Q2777/L2777</f>
        <v>1.4729604957397366</v>
      </c>
      <c r="S2777" s="197"/>
      <c r="T2777" s="180"/>
      <c r="U2777" s="189" t="str">
        <f>IFERROR(IF(Tableau3[[#This Row],[Dettes]]=0,"",(Tableau3[[#This Row],[Dettes]]/Tableau3[[#This Row],[EBE]])),"")</f>
        <v/>
      </c>
      <c r="V2777" s="190">
        <f>IFERROR(Tableau3[[#This Row],[Fonds propres]]/Tableau3[[#This Row],[Total Bilan]],"")</f>
        <v>0.17065432914738929</v>
      </c>
      <c r="W2777" s="180">
        <v>37825000000</v>
      </c>
      <c r="Y2777" s="180"/>
      <c r="Z2777" s="192" t="str">
        <f>IFERROR(Tableau3[[#This Row],[Chiffre d''affaires]]/Tableau3[[#This Row],[Salariés]],"")</f>
        <v/>
      </c>
      <c r="AA2777" s="177"/>
      <c r="AC2777" s="177" t="s">
        <v>5079</v>
      </c>
    </row>
    <row r="2778" spans="1:29" ht="20.25" customHeight="1">
      <c r="A2778" s="217"/>
      <c r="E2778" s="187"/>
      <c r="G2778" s="202">
        <f>(G2777/G2779)-1</f>
        <v>8.1307101077971566E-2</v>
      </c>
      <c r="H2778" s="202" t="e">
        <f>(H2777/H2779)-1</f>
        <v>#DIV/0!</v>
      </c>
      <c r="I2778" s="202">
        <f>(I2777/I2779)-1</f>
        <v>8.8888888888888795E-2</v>
      </c>
      <c r="J2778" s="202">
        <f>(J2777/J2779)-1</f>
        <v>0.13058035714285721</v>
      </c>
      <c r="K2778" s="188"/>
      <c r="L2778" s="188"/>
      <c r="M2778" s="178"/>
      <c r="N2778" s="178"/>
      <c r="O2778" s="178"/>
      <c r="P2778" s="188"/>
      <c r="Q2778" s="188"/>
      <c r="R2778" s="195"/>
      <c r="S2778" s="197"/>
      <c r="T2778" s="180"/>
      <c r="U2778" s="189" t="str">
        <f>IFERROR(IF(Tableau3[[#This Row],[Dettes]]=0,"",(Tableau3[[#This Row],[Dettes]]/Tableau3[[#This Row],[EBE]])),"")</f>
        <v/>
      </c>
      <c r="V2778" s="190" t="str">
        <f>IFERROR(Tableau3[[#This Row],[Fonds propres]]/Tableau3[[#This Row],[Total Bilan]],"")</f>
        <v/>
      </c>
      <c r="W2778" s="180"/>
      <c r="Y2778" s="180"/>
      <c r="Z2778" s="192" t="str">
        <f>IFERROR(Tableau3[[#This Row],[Chiffre d''affaires]]/Tableau3[[#This Row],[Salariés]],"")</f>
        <v/>
      </c>
      <c r="AA2778" s="177"/>
      <c r="AC2778" s="177" t="s">
        <v>5078</v>
      </c>
    </row>
    <row r="2779" spans="1:29" ht="20.25" customHeight="1">
      <c r="A2779" s="217"/>
      <c r="E2779" s="187">
        <v>91.92</v>
      </c>
      <c r="F2779" s="178">
        <v>2022</v>
      </c>
      <c r="G2779" s="188">
        <v>20687000000</v>
      </c>
      <c r="H2779" s="188"/>
      <c r="I2779" s="188">
        <v>2160000000</v>
      </c>
      <c r="J2779" s="188">
        <v>896000000</v>
      </c>
      <c r="K2779" s="188"/>
      <c r="L2779" s="188">
        <v>6176000000</v>
      </c>
      <c r="M2779" s="194">
        <f t="shared" ref="M2779" si="177">L2779/P2779</f>
        <v>63.020408163265309</v>
      </c>
      <c r="N2779" s="190">
        <f t="shared" ref="N2779" si="178">J2779/L2781</f>
        <v>0.16583379603923745</v>
      </c>
      <c r="O2779" s="190">
        <f t="shared" ref="O2779" si="179">(I2779*0.73)/(K2781+L2781)</f>
        <v>0.10105748894443377</v>
      </c>
      <c r="P2779" s="188">
        <v>98000000</v>
      </c>
      <c r="Q2779" s="188">
        <f>P2779*E2779</f>
        <v>9008160000</v>
      </c>
      <c r="R2779" s="195">
        <f>Q2779/L2779</f>
        <v>1.4585751295336788</v>
      </c>
      <c r="S2779" s="197"/>
      <c r="T2779" s="180"/>
      <c r="U2779" s="189" t="str">
        <f>IFERROR(IF(Tableau3[[#This Row],[Dettes]]=0,"",(Tableau3[[#This Row],[Dettes]]/Tableau3[[#This Row],[EBE]])),"")</f>
        <v/>
      </c>
      <c r="V2779" s="190">
        <f>IFERROR(Tableau3[[#This Row],[Fonds propres]]/Tableau3[[#This Row],[Total Bilan]],"")</f>
        <v>0.17062658857332302</v>
      </c>
      <c r="W2779" s="180">
        <v>36196000000</v>
      </c>
      <c r="Y2779" s="180"/>
      <c r="Z2779" s="192" t="str">
        <f>IFERROR(Tableau3[[#This Row],[Chiffre d''affaires]]/Tableau3[[#This Row],[Salariés]],"")</f>
        <v/>
      </c>
      <c r="AA2779" s="177"/>
      <c r="AC2779" s="177" t="s">
        <v>1954</v>
      </c>
    </row>
    <row r="2780" spans="1:29" ht="20.25" customHeight="1">
      <c r="A2780" s="217"/>
      <c r="E2780" s="187"/>
      <c r="G2780" s="202">
        <f>(G2779/G2781)-1</f>
        <v>0.18890804597701139</v>
      </c>
      <c r="H2780" s="202">
        <f>(H2779/H2781)-1</f>
        <v>-1</v>
      </c>
      <c r="I2780" s="202">
        <f>(I2779/I2781)-1</f>
        <v>0.43999999999999995</v>
      </c>
      <c r="J2780" s="202">
        <f>(J2779/J2781)-1</f>
        <v>0.72307692307692317</v>
      </c>
      <c r="K2780" s="188"/>
      <c r="L2780" s="188"/>
      <c r="M2780" s="178"/>
      <c r="N2780" s="178"/>
      <c r="O2780" s="178"/>
      <c r="P2780" s="188"/>
      <c r="Q2780" s="188"/>
      <c r="R2780" s="195"/>
      <c r="S2780" s="197"/>
      <c r="T2780" s="180"/>
      <c r="U2780" s="189" t="str">
        <f>IFERROR(IF(Tableau3[[#This Row],[Dettes]]=0,"",(Tableau3[[#This Row],[Dettes]]/Tableau3[[#This Row],[EBE]])),"")</f>
        <v/>
      </c>
      <c r="V2780" s="190" t="str">
        <f>IFERROR(Tableau3[[#This Row],[Fonds propres]]/Tableau3[[#This Row],[Total Bilan]],"")</f>
        <v/>
      </c>
      <c r="W2780" s="180"/>
      <c r="Y2780" s="180"/>
      <c r="Z2780" s="192" t="str">
        <f>IFERROR(Tableau3[[#This Row],[Chiffre d''affaires]]/Tableau3[[#This Row],[Salariés]],"")</f>
        <v/>
      </c>
      <c r="AA2780" s="177"/>
      <c r="AC2780" s="6" t="s">
        <v>2744</v>
      </c>
    </row>
    <row r="2781" spans="1:29" ht="20.25" customHeight="1">
      <c r="A2781" s="217"/>
      <c r="E2781" s="187">
        <v>90.5</v>
      </c>
      <c r="F2781" s="178">
        <v>2021</v>
      </c>
      <c r="G2781" s="188">
        <v>17400000000</v>
      </c>
      <c r="H2781" s="188">
        <v>2500000000</v>
      </c>
      <c r="I2781" s="188">
        <v>1500000000</v>
      </c>
      <c r="J2781" s="188">
        <v>520000000</v>
      </c>
      <c r="K2781" s="188">
        <v>10200000000</v>
      </c>
      <c r="L2781" s="188">
        <v>5403000000</v>
      </c>
      <c r="M2781" s="194">
        <f>L2781/P2781</f>
        <v>55.132653061224488</v>
      </c>
      <c r="N2781" s="190">
        <f t="shared" ref="N2781" si="180">J2781/L2783</f>
        <v>0.10097087378640776</v>
      </c>
      <c r="O2781" s="190">
        <f t="shared" ref="O2781" si="181">(I2781*0.73)/(K2783+L2783)</f>
        <v>6.822429906542056E-2</v>
      </c>
      <c r="P2781" s="188">
        <v>98000000</v>
      </c>
      <c r="Q2781" s="188">
        <f>P2781*E2781</f>
        <v>8869000000</v>
      </c>
      <c r="R2781" s="195">
        <f>Q2781/L2781</f>
        <v>1.6414954654821396</v>
      </c>
      <c r="S2781" s="197">
        <f>(Q2781+K2781)/H2781</f>
        <v>7.6276000000000002</v>
      </c>
      <c r="T2781" s="180"/>
      <c r="U2781" s="189">
        <f>IFERROR(IF(Tableau3[[#This Row],[Dettes]]=0,"",(Tableau3[[#This Row],[Dettes]]/Tableau3[[#This Row],[EBE]])),"")</f>
        <v>4.08</v>
      </c>
      <c r="V2781" s="190" t="str">
        <f>IFERROR(Tableau3[[#This Row],[Fonds propres]]/Tableau3[[#This Row],[Total Bilan]],"")</f>
        <v/>
      </c>
      <c r="W2781" s="180"/>
      <c r="Y2781" s="180"/>
      <c r="Z2781" s="192" t="str">
        <f>IFERROR(Tableau3[[#This Row],[Chiffre d''affaires]]/Tableau3[[#This Row],[Salariés]],"")</f>
        <v/>
      </c>
      <c r="AA2781" s="178"/>
      <c r="AC2781" s="177" t="s">
        <v>5077</v>
      </c>
    </row>
    <row r="2782" spans="1:29" ht="20.25" customHeight="1">
      <c r="A2782" s="217"/>
      <c r="G2782" s="202">
        <f>(G2781/G2783)-1</f>
        <v>0.10126582278481022</v>
      </c>
      <c r="H2782" s="202">
        <f>(H2781/H2783)-1</f>
        <v>0.25</v>
      </c>
      <c r="I2782" s="202">
        <f>(I2781/I2783)-1</f>
        <v>0.5</v>
      </c>
      <c r="J2782" s="202">
        <f>(J2781/J2783)-1</f>
        <v>0.73333333333333339</v>
      </c>
      <c r="K2782" s="188"/>
      <c r="L2782" s="188"/>
      <c r="M2782" s="178"/>
      <c r="N2782" s="178"/>
      <c r="O2782" s="178"/>
      <c r="P2782" s="188"/>
      <c r="Q2782" s="188"/>
      <c r="R2782" s="178"/>
      <c r="S2782" s="178"/>
      <c r="T2782" s="180"/>
      <c r="U2782" s="189" t="str">
        <f>IFERROR(IF(Tableau3[[#This Row],[Dettes]]=0,"",(Tableau3[[#This Row],[Dettes]]/Tableau3[[#This Row],[EBE]])),"")</f>
        <v/>
      </c>
      <c r="V2782" s="190" t="str">
        <f>IFERROR(Tableau3[[#This Row],[Fonds propres]]/Tableau3[[#This Row],[Total Bilan]],"")</f>
        <v/>
      </c>
      <c r="W2782" s="180"/>
      <c r="Y2782" s="180"/>
      <c r="Z2782" s="192" t="str">
        <f>IFERROR(Tableau3[[#This Row],[Chiffre d''affaires]]/Tableau3[[#This Row],[Salariés]],"")</f>
        <v/>
      </c>
      <c r="AA2782" s="177"/>
      <c r="AC2782" s="216" t="s">
        <v>5081</v>
      </c>
    </row>
    <row r="2783" spans="1:29" ht="20.25" customHeight="1">
      <c r="A2783" s="217"/>
      <c r="E2783" s="187">
        <v>79.040000000000006</v>
      </c>
      <c r="F2783" s="178">
        <v>2020</v>
      </c>
      <c r="G2783" s="188">
        <v>15800000000</v>
      </c>
      <c r="H2783" s="188">
        <v>2000000000</v>
      </c>
      <c r="I2783" s="188">
        <v>1000000000</v>
      </c>
      <c r="J2783" s="188">
        <v>300000000</v>
      </c>
      <c r="K2783" s="188">
        <v>10900000000</v>
      </c>
      <c r="L2783" s="188">
        <v>5150000000</v>
      </c>
      <c r="M2783" s="194">
        <f>L2783/P2783</f>
        <v>51.705849258835308</v>
      </c>
      <c r="N2783" s="190">
        <f t="shared" ref="N2783" si="182">J2783/L2785</f>
        <v>5.7164634146341466E-2</v>
      </c>
      <c r="O2783" s="190">
        <f t="shared" ref="O2783" si="183">(I2783*0.73)/(K2785+L2785)</f>
        <v>4.7255308130502327E-2</v>
      </c>
      <c r="P2783" s="188">
        <v>99601884</v>
      </c>
      <c r="Q2783" s="188">
        <f>P2783*E2783</f>
        <v>7872532911.3600006</v>
      </c>
      <c r="R2783" s="195">
        <f>Q2783/L2783</f>
        <v>1.5286471672543691</v>
      </c>
      <c r="S2783" s="197">
        <f>(Q2783+K2783)/H2783</f>
        <v>9.3862664556799995</v>
      </c>
      <c r="T2783" s="180"/>
      <c r="U2783" s="189">
        <f>IFERROR(IF(Tableau3[[#This Row],[Dettes]]=0,"",(Tableau3[[#This Row],[Dettes]]/Tableau3[[#This Row],[EBE]])),"")</f>
        <v>5.45</v>
      </c>
      <c r="V2783" s="190" t="str">
        <f>IFERROR(Tableau3[[#This Row],[Fonds propres]]/Tableau3[[#This Row],[Total Bilan]],"")</f>
        <v/>
      </c>
      <c r="W2783" s="180"/>
      <c r="X2783" s="191"/>
      <c r="Y2783" s="180"/>
      <c r="Z2783" s="192" t="str">
        <f>IFERROR(Tableau3[[#This Row],[Chiffre d''affaires]]/Tableau3[[#This Row],[Salariés]],"")</f>
        <v/>
      </c>
      <c r="AA2783" s="197"/>
      <c r="AB2783" s="197"/>
      <c r="AC2783" s="177" t="s">
        <v>1953</v>
      </c>
    </row>
    <row r="2784" spans="1:29" ht="20.25" customHeight="1">
      <c r="A2784" s="217"/>
      <c r="G2784" s="202">
        <f>(G2783/G2785)-1</f>
        <v>-0.12914071542743755</v>
      </c>
      <c r="H2784" s="202">
        <f>(H2783/H2785)-1</f>
        <v>-0.34340118187787261</v>
      </c>
      <c r="I2784" s="202">
        <f>(I2783/I2785)-1</f>
        <v>-0.48373773877129578</v>
      </c>
      <c r="J2784" s="202">
        <f>(J2783/J2785)-1</f>
        <v>-0.5862068965517242</v>
      </c>
      <c r="K2784" s="178"/>
      <c r="L2784" s="178"/>
      <c r="M2784" s="178"/>
      <c r="N2784" s="178"/>
      <c r="O2784" s="178"/>
      <c r="P2784" s="188"/>
      <c r="Q2784" s="188"/>
      <c r="R2784" s="178"/>
      <c r="S2784" s="178"/>
      <c r="T2784" s="180"/>
      <c r="U2784" s="189" t="str">
        <f>IFERROR(IF(Tableau3[[#This Row],[Dettes]]=0,"",(Tableau3[[#This Row],[Dettes]]/Tableau3[[#This Row],[EBE]])),"")</f>
        <v/>
      </c>
      <c r="V2784" s="190" t="str">
        <f>IFERROR(Tableau3[[#This Row],[Fonds propres]]/Tableau3[[#This Row],[Total Bilan]],"")</f>
        <v/>
      </c>
      <c r="W2784" s="180"/>
      <c r="Y2784" s="180"/>
      <c r="Z2784" s="192" t="str">
        <f>IFERROR(Tableau3[[#This Row],[Chiffre d''affaires]]/Tableau3[[#This Row],[Salariés]],"")</f>
        <v/>
      </c>
      <c r="AA2784" s="177"/>
      <c r="AC2784" s="177" t="s">
        <v>1956</v>
      </c>
    </row>
    <row r="2785" spans="1:29" ht="20.25" customHeight="1">
      <c r="A2785" s="217"/>
      <c r="E2785" s="178">
        <v>102</v>
      </c>
      <c r="F2785" s="178">
        <v>2019</v>
      </c>
      <c r="G2785" s="188">
        <v>18143000000</v>
      </c>
      <c r="H2785" s="188">
        <v>3046000000</v>
      </c>
      <c r="I2785" s="188">
        <v>1937000000</v>
      </c>
      <c r="J2785" s="188">
        <v>725000000</v>
      </c>
      <c r="K2785" s="188">
        <v>10200000000</v>
      </c>
      <c r="L2785" s="188">
        <v>5248000000</v>
      </c>
      <c r="M2785" s="194">
        <f>L2785/P2785</f>
        <v>53.551020408163268</v>
      </c>
      <c r="N2785" s="190">
        <f t="shared" ref="N2785" si="184">J2785/L2787</f>
        <v>0.1524390243902439</v>
      </c>
      <c r="O2785" s="190">
        <f t="shared" ref="O2785" si="185">(I2785*0.73)/(K2787+L2787)</f>
        <v>9.241895424836602E-2</v>
      </c>
      <c r="P2785" s="188">
        <v>98000000</v>
      </c>
      <c r="Q2785" s="188">
        <f>P2785*E2785</f>
        <v>9996000000</v>
      </c>
      <c r="R2785" s="195">
        <f>Q2785/L2785</f>
        <v>1.9047256097560976</v>
      </c>
      <c r="S2785" s="197">
        <f>(Q2785+K2785)/H2785</f>
        <v>6.6303348653972423</v>
      </c>
      <c r="T2785" s="180"/>
      <c r="U2785" s="189">
        <f>IFERROR(IF(Tableau3[[#This Row],[Dettes]]=0,"",(Tableau3[[#This Row],[Dettes]]/Tableau3[[#This Row],[EBE]])),"")</f>
        <v>3.3486539724228495</v>
      </c>
      <c r="V2785" s="190" t="str">
        <f>IFERROR(Tableau3[[#This Row],[Fonds propres]]/Tableau3[[#This Row],[Total Bilan]],"")</f>
        <v/>
      </c>
      <c r="W2785" s="180"/>
      <c r="X2785" s="191"/>
      <c r="Y2785" s="180"/>
      <c r="Z2785" s="192" t="str">
        <f>IFERROR(Tableau3[[#This Row],[Chiffre d''affaires]]/Tableau3[[#This Row],[Salariés]],"")</f>
        <v/>
      </c>
      <c r="AA2785" s="197"/>
      <c r="AB2785" s="197"/>
      <c r="AC2785" s="177" t="s">
        <v>1957</v>
      </c>
    </row>
    <row r="2786" spans="1:29" ht="20.25" customHeight="1">
      <c r="A2786" s="217"/>
      <c r="G2786" s="202">
        <f>(G2785/G2787)-1</f>
        <v>9.4468239126500597E-2</v>
      </c>
      <c r="H2786" s="202">
        <f>(H2785/H2787)-1</f>
        <v>0.11944138184491004</v>
      </c>
      <c r="I2786" s="202">
        <f>(I2785/I2787)-1</f>
        <v>7.2535991140642242E-2</v>
      </c>
      <c r="J2786" s="202">
        <f>(J2785/J2787)-1</f>
        <v>0.15262321144674096</v>
      </c>
      <c r="K2786" s="188"/>
      <c r="L2786" s="188"/>
      <c r="M2786" s="178"/>
      <c r="N2786" s="178"/>
      <c r="O2786" s="178"/>
      <c r="P2786" s="188"/>
      <c r="Q2786" s="188"/>
      <c r="R2786" s="178"/>
      <c r="S2786" s="178"/>
      <c r="T2786" s="180"/>
      <c r="U2786" s="189" t="str">
        <f>IFERROR(IF(Tableau3[[#This Row],[Dettes]]=0,"",(Tableau3[[#This Row],[Dettes]]/Tableau3[[#This Row],[EBE]])),"")</f>
        <v/>
      </c>
      <c r="V2786" s="190" t="str">
        <f>IFERROR(Tableau3[[#This Row],[Fonds propres]]/Tableau3[[#This Row],[Total Bilan]],"")</f>
        <v/>
      </c>
      <c r="W2786" s="180"/>
      <c r="Y2786" s="180"/>
      <c r="Z2786" s="192" t="str">
        <f>IFERROR(Tableau3[[#This Row],[Chiffre d''affaires]]/Tableau3[[#This Row],[Salariés]],"")</f>
        <v/>
      </c>
      <c r="AA2786" s="177"/>
      <c r="AC2786" s="177" t="s">
        <v>1959</v>
      </c>
    </row>
    <row r="2787" spans="1:29" ht="20.25" customHeight="1">
      <c r="A2787" s="217"/>
      <c r="E2787" s="178">
        <v>72.2</v>
      </c>
      <c r="F2787" s="178">
        <v>2018</v>
      </c>
      <c r="G2787" s="188">
        <v>16577000000</v>
      </c>
      <c r="H2787" s="188">
        <v>2721000000</v>
      </c>
      <c r="I2787" s="188">
        <v>1806000000</v>
      </c>
      <c r="J2787" s="188">
        <v>629000000</v>
      </c>
      <c r="K2787" s="188">
        <v>10544000000</v>
      </c>
      <c r="L2787" s="188">
        <v>4756000000</v>
      </c>
      <c r="M2787" s="194">
        <f>L2787/P2787</f>
        <v>48.530612244897959</v>
      </c>
      <c r="N2787" s="190">
        <f t="shared" ref="N2787" si="186">J2787/L2789</f>
        <v>0.14679113185530923</v>
      </c>
      <c r="O2787" s="190">
        <f t="shared" ref="O2787" si="187">(I2787*0.73)/(K2789+L2789)</f>
        <v>8.9936557746094548E-2</v>
      </c>
      <c r="P2787" s="188">
        <v>98000000</v>
      </c>
      <c r="Q2787" s="188">
        <f>P2787*E2787</f>
        <v>7075600000</v>
      </c>
      <c r="R2787" s="195">
        <f>Q2787/L2787</f>
        <v>1.4877207737594618</v>
      </c>
      <c r="S2787" s="197">
        <f>(Q2787+K2787)/H2787</f>
        <v>6.4754134509371557</v>
      </c>
      <c r="T2787" s="180"/>
      <c r="U2787" s="189">
        <f>IFERROR(IF(Tableau3[[#This Row],[Dettes]]=0,"",(Tableau3[[#This Row],[Dettes]]/Tableau3[[#This Row],[EBE]])),"")</f>
        <v>3.8750459389930172</v>
      </c>
      <c r="V2787" s="190" t="str">
        <f>IFERROR(Tableau3[[#This Row],[Fonds propres]]/Tableau3[[#This Row],[Total Bilan]],"")</f>
        <v/>
      </c>
      <c r="W2787" s="180"/>
      <c r="X2787" s="191"/>
      <c r="Y2787" s="180"/>
      <c r="Z2787" s="192" t="str">
        <f>IFERROR(Tableau3[[#This Row],[Chiffre d''affaires]]/Tableau3[[#This Row],[Salariés]],"")</f>
        <v/>
      </c>
      <c r="AA2787" s="197"/>
      <c r="AB2787" s="197"/>
      <c r="AC2787" s="177" t="s">
        <v>1960</v>
      </c>
    </row>
    <row r="2788" spans="1:29" ht="20.25" customHeight="1">
      <c r="A2788" s="217"/>
      <c r="G2788" s="202">
        <f>(G2787/G2789)-1</f>
        <v>0.10690438034188032</v>
      </c>
      <c r="H2788" s="202">
        <f>(H2787/H2789)-1</f>
        <v>5.9579439252336552E-2</v>
      </c>
      <c r="I2788" s="202">
        <f>(I2787/I2789)-1</f>
        <v>7.9497907949790836E-2</v>
      </c>
      <c r="J2788" s="202">
        <f>(J2787/J2789)-1</f>
        <v>0.15412844036697249</v>
      </c>
      <c r="K2788" s="188"/>
      <c r="L2788" s="188"/>
      <c r="M2788" s="178"/>
      <c r="N2788" s="178"/>
      <c r="O2788" s="178"/>
      <c r="P2788" s="188"/>
      <c r="Q2788" s="188"/>
      <c r="R2788" s="178"/>
      <c r="S2788" s="178"/>
      <c r="T2788" s="180"/>
      <c r="U2788" s="189" t="str">
        <f>IFERROR(IF(Tableau3[[#This Row],[Dettes]]=0,"",(Tableau3[[#This Row],[Dettes]]/Tableau3[[#This Row],[EBE]])),"")</f>
        <v/>
      </c>
      <c r="V2788" s="190" t="str">
        <f>IFERROR(Tableau3[[#This Row],[Fonds propres]]/Tableau3[[#This Row],[Total Bilan]],"")</f>
        <v/>
      </c>
      <c r="W2788" s="180"/>
      <c r="Y2788" s="180"/>
      <c r="Z2788" s="192" t="str">
        <f>IFERROR(Tableau3[[#This Row],[Chiffre d''affaires]]/Tableau3[[#This Row],[Salariés]],"")</f>
        <v/>
      </c>
      <c r="AA2788" s="177"/>
      <c r="AC2788" s="177" t="s">
        <v>5080</v>
      </c>
    </row>
    <row r="2789" spans="1:29" ht="20.25" customHeight="1">
      <c r="A2789" s="217"/>
      <c r="E2789" s="178">
        <v>91.4</v>
      </c>
      <c r="F2789" s="178">
        <v>2017</v>
      </c>
      <c r="G2789" s="188">
        <v>14976000000</v>
      </c>
      <c r="H2789" s="188">
        <v>2568000000</v>
      </c>
      <c r="I2789" s="188">
        <v>1673000000</v>
      </c>
      <c r="J2789" s="188">
        <v>545000000</v>
      </c>
      <c r="K2789" s="188">
        <v>10374000000</v>
      </c>
      <c r="L2789" s="188">
        <v>4285000000</v>
      </c>
      <c r="M2789" s="194">
        <f>L2789/P2789</f>
        <v>43.722809590806946</v>
      </c>
      <c r="N2789" s="190">
        <f t="shared" ref="N2789" si="188">J2789/L2791</f>
        <v>0.14964305326743549</v>
      </c>
      <c r="O2789" s="190">
        <f t="shared" ref="O2789" si="189">(I2789*0.73)/(K2791+L2791)</f>
        <v>8.2214069336923601E-2</v>
      </c>
      <c r="P2789" s="188">
        <v>98003766</v>
      </c>
      <c r="Q2789" s="188">
        <f>P2789*E2789</f>
        <v>8957544212.3999996</v>
      </c>
      <c r="R2789" s="195">
        <f>Q2789/L2789</f>
        <v>2.0904420565694282</v>
      </c>
      <c r="S2789" s="197">
        <f>(Q2789+K2789)/H2789</f>
        <v>7.5278598957943927</v>
      </c>
      <c r="T2789" s="180"/>
      <c r="U2789" s="189">
        <f>IFERROR(IF(Tableau3[[#This Row],[Dettes]]=0,"",(Tableau3[[#This Row],[Dettes]]/Tableau3[[#This Row],[EBE]])),"")</f>
        <v>4.0397196261682247</v>
      </c>
      <c r="V2789" s="190" t="str">
        <f>IFERROR(Tableau3[[#This Row],[Fonds propres]]/Tableau3[[#This Row],[Total Bilan]],"")</f>
        <v/>
      </c>
      <c r="W2789" s="180"/>
      <c r="X2789" s="191"/>
      <c r="Y2789" s="180"/>
      <c r="Z2789" s="192" t="str">
        <f>IFERROR(Tableau3[[#This Row],[Chiffre d''affaires]]/Tableau3[[#This Row],[Salariés]],"")</f>
        <v/>
      </c>
      <c r="AA2789" s="197"/>
      <c r="AB2789" s="197"/>
      <c r="AC2789" s="177" t="s">
        <v>1955</v>
      </c>
    </row>
    <row r="2790" spans="1:29" ht="20.25" customHeight="1">
      <c r="A2790" s="217"/>
      <c r="G2790" s="202">
        <f>(G2789/G2791)-1</f>
        <v>6.910336950314111E-2</v>
      </c>
      <c r="H2790" s="202">
        <f>(H2789/H2791)-1</f>
        <v>6.2474141497724345E-2</v>
      </c>
      <c r="I2790" s="202">
        <f>(I2789/I2791)-1</f>
        <v>9.6330275229357776E-2</v>
      </c>
      <c r="J2790" s="202">
        <f>(J2789/J2791)-1</f>
        <v>0.14736842105263159</v>
      </c>
      <c r="K2790" s="188"/>
      <c r="L2790" s="188"/>
      <c r="M2790" s="188"/>
      <c r="N2790" s="178"/>
      <c r="O2790" s="178"/>
      <c r="P2790" s="188"/>
      <c r="Q2790" s="188"/>
      <c r="R2790" s="188"/>
      <c r="S2790" s="188"/>
      <c r="T2790" s="180"/>
      <c r="U2790" s="189" t="str">
        <f>IFERROR(IF(Tableau3[[#This Row],[Dettes]]=0,"",(Tableau3[[#This Row],[Dettes]]/Tableau3[[#This Row],[EBE]])),"")</f>
        <v/>
      </c>
      <c r="V2790" s="190" t="str">
        <f>IFERROR(Tableau3[[#This Row],[Fonds propres]]/Tableau3[[#This Row],[Total Bilan]],"")</f>
        <v/>
      </c>
      <c r="W2790" s="180"/>
      <c r="X2790" s="192"/>
      <c r="Y2790" s="180"/>
      <c r="Z2790" s="192" t="str">
        <f>IFERROR(Tableau3[[#This Row],[Chiffre d''affaires]]/Tableau3[[#This Row],[Salariés]],"")</f>
        <v/>
      </c>
      <c r="AA2790" s="188"/>
      <c r="AB2790" s="188"/>
      <c r="AC2790" s="177" t="s">
        <v>1958</v>
      </c>
    </row>
    <row r="2791" spans="1:29" ht="20.25" customHeight="1">
      <c r="A2791" s="217"/>
      <c r="E2791" s="178">
        <v>66.3</v>
      </c>
      <c r="F2791" s="178">
        <v>2016</v>
      </c>
      <c r="G2791" s="188">
        <v>14008000000</v>
      </c>
      <c r="H2791" s="188">
        <v>2417000000</v>
      </c>
      <c r="I2791" s="188">
        <v>1526000000</v>
      </c>
      <c r="J2791" s="188">
        <v>475000000</v>
      </c>
      <c r="K2791" s="188">
        <v>11213000000</v>
      </c>
      <c r="L2791" s="188">
        <v>3642000000</v>
      </c>
      <c r="M2791" s="194">
        <f>L2791/P2791</f>
        <v>37.132095185607717</v>
      </c>
      <c r="N2791" s="190">
        <f t="shared" ref="N2791" si="190">J2791/L2793</f>
        <v>0.14857679074131999</v>
      </c>
      <c r="O2791" s="190">
        <f t="shared" ref="O2791" si="191">(I2791*0.73)/(K2793+L2793)</f>
        <v>7.5329997295104145E-2</v>
      </c>
      <c r="P2791" s="188">
        <v>98082265</v>
      </c>
      <c r="Q2791" s="188">
        <f>P2791*E2791</f>
        <v>6502854169.5</v>
      </c>
      <c r="R2791" s="195">
        <f>Q2791/L2791</f>
        <v>1.7855173447281714</v>
      </c>
      <c r="S2791" s="197">
        <f>(Q2791+K2791)/H2791</f>
        <v>7.3296872856847335</v>
      </c>
      <c r="T2791" s="180"/>
      <c r="U2791" s="189">
        <f>IFERROR(IF(Tableau3[[#This Row],[Dettes]]=0,"",(Tableau3[[#This Row],[Dettes]]/Tableau3[[#This Row],[EBE]])),"")</f>
        <v>4.6392221762515513</v>
      </c>
      <c r="V2791" s="190" t="str">
        <f>IFERROR(Tableau3[[#This Row],[Fonds propres]]/Tableau3[[#This Row],[Total Bilan]],"")</f>
        <v/>
      </c>
      <c r="W2791" s="180"/>
      <c r="X2791" s="191"/>
      <c r="Y2791" s="180"/>
      <c r="Z2791" s="192" t="str">
        <f>IFERROR(Tableau3[[#This Row],[Chiffre d''affaires]]/Tableau3[[#This Row],[Salariés]],"")</f>
        <v/>
      </c>
      <c r="AA2791" s="197"/>
      <c r="AB2791" s="197"/>
      <c r="AC2791" s="177" t="s">
        <v>1961</v>
      </c>
    </row>
    <row r="2792" spans="1:29" ht="20.25" customHeight="1">
      <c r="A2792" s="217"/>
      <c r="G2792" s="202">
        <f>(G2791/G2793)-1</f>
        <v>7.1176935796966045E-3</v>
      </c>
      <c r="H2792" s="202">
        <f>(H2791/H2793)-1</f>
        <v>6.7579505300353393E-2</v>
      </c>
      <c r="I2792" s="202">
        <f>(I2791/I2793)-1</f>
        <v>0.1413612565445026</v>
      </c>
      <c r="J2792" s="202">
        <f>(J2791/J2793)-1</f>
        <v>0.52243589743589736</v>
      </c>
      <c r="K2792" s="188"/>
      <c r="L2792" s="188"/>
      <c r="M2792" s="188"/>
      <c r="N2792" s="178"/>
      <c r="O2792" s="178"/>
      <c r="P2792" s="188"/>
      <c r="Q2792" s="188"/>
      <c r="R2792" s="188"/>
      <c r="S2792" s="188"/>
      <c r="T2792" s="180"/>
      <c r="U2792" s="189" t="str">
        <f>IFERROR(IF(Tableau3[[#This Row],[Dettes]]=0,"",(Tableau3[[#This Row],[Dettes]]/Tableau3[[#This Row],[EBE]])),"")</f>
        <v/>
      </c>
      <c r="V2792" s="190" t="str">
        <f>IFERROR(Tableau3[[#This Row],[Fonds propres]]/Tableau3[[#This Row],[Total Bilan]],"")</f>
        <v/>
      </c>
      <c r="W2792" s="180"/>
      <c r="X2792" s="192"/>
      <c r="Y2792" s="180"/>
      <c r="Z2792" s="192" t="str">
        <f>IFERROR(Tableau3[[#This Row],[Chiffre d''affaires]]/Tableau3[[#This Row],[Salariés]],"")</f>
        <v/>
      </c>
      <c r="AA2792" s="188"/>
      <c r="AB2792" s="188"/>
      <c r="AC2792" s="177" t="s">
        <v>216</v>
      </c>
    </row>
    <row r="2793" spans="1:29" ht="20.25" customHeight="1">
      <c r="A2793" s="217"/>
      <c r="E2793" s="178">
        <v>59.5</v>
      </c>
      <c r="F2793" s="178">
        <v>2015</v>
      </c>
      <c r="G2793" s="188">
        <v>13909000000</v>
      </c>
      <c r="H2793" s="188">
        <v>2264000000</v>
      </c>
      <c r="I2793" s="188">
        <v>1337000000</v>
      </c>
      <c r="J2793" s="188">
        <v>312000000</v>
      </c>
      <c r="K2793" s="188">
        <v>11591000000</v>
      </c>
      <c r="L2793" s="188">
        <v>3197000000</v>
      </c>
      <c r="M2793" s="194">
        <f>L2793/P2793</f>
        <v>33.499594499825541</v>
      </c>
      <c r="N2793" s="190">
        <f t="shared" ref="N2793" si="192">J2793/L2795</f>
        <v>0.10751206064782909</v>
      </c>
      <c r="O2793" s="190">
        <f t="shared" ref="O2793" si="193">(I2793*0.73)/(K2795+L2795)</f>
        <v>6.5433762402788948E-2</v>
      </c>
      <c r="P2793" s="188">
        <v>95433991</v>
      </c>
      <c r="Q2793" s="188">
        <f>P2793*E2793</f>
        <v>5678322464.5</v>
      </c>
      <c r="R2793" s="195">
        <f>Q2793/L2793</f>
        <v>1.7761409022521113</v>
      </c>
      <c r="S2793" s="197">
        <f>(Q2793+K2793)/H2793</f>
        <v>7.6277926079946994</v>
      </c>
      <c r="T2793" s="180"/>
      <c r="U2793" s="189">
        <f>IFERROR(IF(Tableau3[[#This Row],[Dettes]]=0,"",(Tableau3[[#This Row],[Dettes]]/Tableau3[[#This Row],[EBE]])),"")</f>
        <v>5.1196996466431095</v>
      </c>
      <c r="V2793" s="190" t="str">
        <f>IFERROR(Tableau3[[#This Row],[Fonds propres]]/Tableau3[[#This Row],[Total Bilan]],"")</f>
        <v/>
      </c>
      <c r="W2793" s="180"/>
      <c r="X2793" s="191"/>
      <c r="Y2793" s="180"/>
      <c r="Z2793" s="192" t="str">
        <f>IFERROR(Tableau3[[#This Row],[Chiffre d''affaires]]/Tableau3[[#This Row],[Salariés]],"")</f>
        <v/>
      </c>
      <c r="AA2793" s="197"/>
      <c r="AB2793" s="197"/>
      <c r="AC2793" s="177" t="s">
        <v>1962</v>
      </c>
    </row>
    <row r="2794" spans="1:29" ht="20.25" customHeight="1">
      <c r="A2794" s="217"/>
      <c r="G2794" s="202">
        <f>(G2793/G2795)-1</f>
        <v>-5.576606849217125E-3</v>
      </c>
      <c r="H2794" s="202">
        <f>(H2793/H2795)-1</f>
        <v>2.6757369614512472E-2</v>
      </c>
      <c r="I2794" s="202">
        <f>(I2793/I2795)-1</f>
        <v>4.4531249999999911E-2</v>
      </c>
      <c r="J2794" s="202">
        <f>(J2793/J2795)-1</f>
        <v>0.13454545454545452</v>
      </c>
      <c r="K2794" s="188"/>
      <c r="L2794" s="188"/>
      <c r="M2794" s="188"/>
      <c r="N2794" s="178"/>
      <c r="O2794" s="178"/>
      <c r="P2794" s="188"/>
      <c r="Q2794" s="188"/>
      <c r="R2794" s="188"/>
      <c r="S2794" s="188"/>
      <c r="T2794" s="180"/>
      <c r="U2794" s="189" t="str">
        <f>IFERROR(IF(Tableau3[[#This Row],[Dettes]]=0,"",(Tableau3[[#This Row],[Dettes]]/Tableau3[[#This Row],[EBE]])),"")</f>
        <v/>
      </c>
      <c r="V2794" s="190" t="str">
        <f>IFERROR(Tableau3[[#This Row],[Fonds propres]]/Tableau3[[#This Row],[Total Bilan]],"")</f>
        <v/>
      </c>
      <c r="W2794" s="180"/>
      <c r="X2794" s="192"/>
      <c r="Y2794" s="180"/>
      <c r="Z2794" s="192" t="str">
        <f>IFERROR(Tableau3[[#This Row],[Chiffre d''affaires]]/Tableau3[[#This Row],[Salariés]],"")</f>
        <v/>
      </c>
      <c r="AA2794" s="188"/>
      <c r="AB2794" s="188"/>
      <c r="AC2794" s="177" t="s">
        <v>1963</v>
      </c>
    </row>
    <row r="2795" spans="1:29" ht="20.25" customHeight="1">
      <c r="A2795" s="217"/>
      <c r="E2795" s="178">
        <v>42.1</v>
      </c>
      <c r="F2795" s="178">
        <v>2014</v>
      </c>
      <c r="G2795" s="188">
        <v>13987000000</v>
      </c>
      <c r="H2795" s="188">
        <v>2205000000</v>
      </c>
      <c r="I2795" s="188">
        <v>1280000000</v>
      </c>
      <c r="J2795" s="188">
        <v>275000000</v>
      </c>
      <c r="K2795" s="188">
        <v>12014000000</v>
      </c>
      <c r="L2795" s="188">
        <v>2902000000</v>
      </c>
      <c r="M2795" s="194">
        <f>L2795/P2795</f>
        <v>31.450676203627239</v>
      </c>
      <c r="N2795" s="190">
        <f t="shared" ref="N2795" si="194">J2795/L2797</f>
        <v>0.10170118343195267</v>
      </c>
      <c r="O2795" s="190">
        <f t="shared" ref="O2795" si="195">(I2795*0.73)/(K2797+L2797)</f>
        <v>6.113982856768959E-2</v>
      </c>
      <c r="P2795" s="188">
        <v>92271466</v>
      </c>
      <c r="Q2795" s="188">
        <f>P2795*E2795</f>
        <v>3884628718.5999999</v>
      </c>
      <c r="R2795" s="195">
        <f>Q2795/L2795</f>
        <v>1.3386039691936595</v>
      </c>
      <c r="S2795" s="197">
        <f>(Q2795+K2795)/H2795</f>
        <v>7.2102624574149665</v>
      </c>
      <c r="T2795" s="180"/>
      <c r="U2795" s="189">
        <f>IFERROR(IF(Tableau3[[#This Row],[Dettes]]=0,"",(Tableau3[[#This Row],[Dettes]]/Tableau3[[#This Row],[EBE]])),"")</f>
        <v>5.4485260770975055</v>
      </c>
      <c r="V2795" s="190" t="str">
        <f>IFERROR(Tableau3[[#This Row],[Fonds propres]]/Tableau3[[#This Row],[Total Bilan]],"")</f>
        <v/>
      </c>
      <c r="W2795" s="180"/>
      <c r="X2795" s="191"/>
      <c r="Y2795" s="180"/>
      <c r="Z2795" s="192" t="str">
        <f>IFERROR(Tableau3[[#This Row],[Chiffre d''affaires]]/Tableau3[[#This Row],[Salariés]],"")</f>
        <v/>
      </c>
      <c r="AA2795" s="197"/>
      <c r="AB2795" s="197"/>
    </row>
    <row r="2796" spans="1:29" ht="20.25" customHeight="1">
      <c r="A2796" s="217"/>
      <c r="G2796" s="202">
        <f>(G2795/G2797)-1</f>
        <v>-1.941951766685357E-2</v>
      </c>
      <c r="H2796" s="202">
        <f>(H2795/H2797)-1</f>
        <v>1.9417475728155331E-2</v>
      </c>
      <c r="I2796" s="202">
        <f>(I2795/I2797)-1</f>
        <v>1.4263074484944571E-2</v>
      </c>
      <c r="J2796" s="202">
        <f>(J2795/J2797)-1</f>
        <v>7.0038910505836549E-2</v>
      </c>
      <c r="K2796" s="188"/>
      <c r="L2796" s="188"/>
      <c r="M2796" s="188"/>
      <c r="N2796" s="178"/>
      <c r="O2796" s="178"/>
      <c r="P2796" s="188"/>
      <c r="Q2796" s="188"/>
      <c r="R2796" s="188"/>
      <c r="S2796" s="188"/>
      <c r="T2796" s="180"/>
      <c r="U2796" s="189" t="str">
        <f>IFERROR(IF(Tableau3[[#This Row],[Dettes]]=0,"",(Tableau3[[#This Row],[Dettes]]/Tableau3[[#This Row],[EBE]])),"")</f>
        <v/>
      </c>
      <c r="V2796" s="190" t="str">
        <f>IFERROR(Tableau3[[#This Row],[Fonds propres]]/Tableau3[[#This Row],[Total Bilan]],"")</f>
        <v/>
      </c>
      <c r="W2796" s="180"/>
      <c r="X2796" s="192"/>
      <c r="Y2796" s="180"/>
      <c r="Z2796" s="192" t="str">
        <f>IFERROR(Tableau3[[#This Row],[Chiffre d''affaires]]/Tableau3[[#This Row],[Salariés]],"")</f>
        <v/>
      </c>
      <c r="AA2796" s="188"/>
      <c r="AB2796" s="188"/>
    </row>
    <row r="2797" spans="1:29" ht="20.25" customHeight="1">
      <c r="A2797" s="217"/>
      <c r="E2797" s="178">
        <v>41.7</v>
      </c>
      <c r="F2797" s="178">
        <v>2013</v>
      </c>
      <c r="G2797" s="188">
        <v>14264000000</v>
      </c>
      <c r="H2797" s="188">
        <v>2163000000</v>
      </c>
      <c r="I2797" s="188">
        <v>1262000000</v>
      </c>
      <c r="J2797" s="188">
        <v>257000000</v>
      </c>
      <c r="K2797" s="188">
        <v>12579000000</v>
      </c>
      <c r="L2797" s="188">
        <v>2704000000</v>
      </c>
      <c r="M2797" s="194">
        <f>L2797/P2797</f>
        <v>30.233021234784118</v>
      </c>
      <c r="N2797" s="190">
        <f>J2797/L2797</f>
        <v>9.5044378698224852E-2</v>
      </c>
      <c r="O2797" s="190">
        <f>(I2797*0.7)/(K2797+L2797)</f>
        <v>5.7802787410848655E-2</v>
      </c>
      <c r="P2797" s="188">
        <v>89438630</v>
      </c>
      <c r="Q2797" s="188">
        <f>P2797*E2797</f>
        <v>3729590871.0000005</v>
      </c>
      <c r="R2797" s="195">
        <f>Q2797/L2797</f>
        <v>1.3792865647189352</v>
      </c>
      <c r="S2797" s="197">
        <f>(Q2797+K2797)/H2797</f>
        <v>7.5398016047156728</v>
      </c>
      <c r="T2797" s="180"/>
      <c r="U2797" s="189">
        <f>IFERROR(IF(Tableau3[[#This Row],[Dettes]]=0,"",(Tableau3[[#This Row],[Dettes]]/Tableau3[[#This Row],[EBE]])),"")</f>
        <v>5.8155339805825239</v>
      </c>
      <c r="V2797" s="190" t="str">
        <f>IFERROR(Tableau3[[#This Row],[Fonds propres]]/Tableau3[[#This Row],[Total Bilan]],"")</f>
        <v/>
      </c>
      <c r="W2797" s="180"/>
      <c r="X2797" s="191"/>
      <c r="Y2797" s="180"/>
      <c r="Z2797" s="192" t="str">
        <f>IFERROR(Tableau3[[#This Row],[Chiffre d''affaires]]/Tableau3[[#This Row],[Salariés]],"")</f>
        <v/>
      </c>
      <c r="AA2797" s="197"/>
      <c r="AB2797" s="197"/>
    </row>
    <row r="2798" spans="1:29" ht="20.25" customHeight="1">
      <c r="A2798" s="217"/>
      <c r="G2798" s="188"/>
      <c r="H2798" s="188"/>
      <c r="I2798" s="188"/>
      <c r="J2798" s="188"/>
      <c r="K2798" s="188"/>
      <c r="L2798" s="188"/>
      <c r="M2798" s="188"/>
      <c r="N2798" s="178"/>
      <c r="O2798" s="178"/>
      <c r="P2798" s="188"/>
      <c r="Q2798" s="188"/>
      <c r="R2798" s="188"/>
      <c r="S2798" s="188"/>
      <c r="T2798" s="180"/>
      <c r="U2798" s="189" t="str">
        <f>IFERROR(IF(Tableau3[[#This Row],[Dettes]]=0,"",(Tableau3[[#This Row],[Dettes]]/Tableau3[[#This Row],[EBE]])),"")</f>
        <v/>
      </c>
      <c r="V2798" s="190" t="str">
        <f>IFERROR(Tableau3[[#This Row],[Fonds propres]]/Tableau3[[#This Row],[Total Bilan]],"")</f>
        <v/>
      </c>
      <c r="W2798" s="180"/>
      <c r="X2798" s="192"/>
      <c r="Y2798" s="180"/>
      <c r="Z2798" s="192" t="str">
        <f>IFERROR(Tableau3[[#This Row],[Chiffre d''affaires]]/Tableau3[[#This Row],[Salariés]],"")</f>
        <v/>
      </c>
      <c r="AA2798" s="188"/>
      <c r="AB2798" s="188"/>
    </row>
    <row r="2799" spans="1:29" ht="20.25" customHeight="1">
      <c r="A2799" s="217"/>
      <c r="G2799" s="188"/>
      <c r="H2799" s="188"/>
      <c r="I2799" s="188"/>
      <c r="J2799" s="188"/>
      <c r="K2799" s="188"/>
      <c r="L2799" s="188"/>
      <c r="M2799" s="188"/>
      <c r="N2799" s="188"/>
      <c r="O2799" s="188"/>
      <c r="P2799" s="188"/>
      <c r="Q2799" s="188"/>
      <c r="R2799" s="188"/>
      <c r="S2799" s="188"/>
      <c r="T2799" s="180"/>
      <c r="U2799" s="189" t="str">
        <f>IFERROR(IF(Tableau3[[#This Row],[Dettes]]=0,"",(Tableau3[[#This Row],[Dettes]]/Tableau3[[#This Row],[EBE]])),"")</f>
        <v/>
      </c>
      <c r="V2799" s="190" t="str">
        <f>IFERROR(Tableau3[[#This Row],[Fonds propres]]/Tableau3[[#This Row],[Total Bilan]],"")</f>
        <v/>
      </c>
      <c r="W2799" s="180"/>
      <c r="X2799" s="192"/>
      <c r="Y2799" s="180"/>
      <c r="Z2799" s="192" t="str">
        <f>IFERROR(Tableau3[[#This Row],[Chiffre d''affaires]]/Tableau3[[#This Row],[Salariés]],"")</f>
        <v/>
      </c>
      <c r="AA2799" s="188"/>
      <c r="AB2799" s="188"/>
    </row>
    <row r="2800" spans="1:29" ht="20.25" customHeight="1">
      <c r="A2800" s="217"/>
      <c r="G2800" s="188"/>
      <c r="H2800" s="188"/>
      <c r="I2800" s="188"/>
      <c r="J2800" s="188"/>
      <c r="K2800" s="188"/>
      <c r="L2800" s="188"/>
      <c r="M2800" s="188"/>
      <c r="N2800" s="188"/>
      <c r="O2800" s="188"/>
      <c r="P2800" s="188"/>
      <c r="Q2800" s="188"/>
      <c r="R2800" s="188"/>
      <c r="S2800" s="188"/>
      <c r="T2800" s="180"/>
      <c r="U2800" s="189" t="str">
        <f>IFERROR(IF(Tableau3[[#This Row],[Dettes]]=0,"",(Tableau3[[#This Row],[Dettes]]/Tableau3[[#This Row],[EBE]])),"")</f>
        <v/>
      </c>
      <c r="V2800" s="190" t="str">
        <f>IFERROR(Tableau3[[#This Row],[Fonds propres]]/Tableau3[[#This Row],[Total Bilan]],"")</f>
        <v/>
      </c>
      <c r="W2800" s="180"/>
      <c r="X2800" s="192"/>
      <c r="Y2800" s="180"/>
      <c r="Z2800" s="192" t="str">
        <f>IFERROR(Tableau3[[#This Row],[Chiffre d''affaires]]/Tableau3[[#This Row],[Salariés]],"")</f>
        <v/>
      </c>
      <c r="AA2800" s="188"/>
      <c r="AB2800" s="188"/>
    </row>
    <row r="2801" spans="1:29" ht="20.25" customHeight="1">
      <c r="A2801" s="217" t="s">
        <v>1964</v>
      </c>
      <c r="B2801" s="216" t="s">
        <v>1965</v>
      </c>
      <c r="C2801" s="178" t="s">
        <v>84</v>
      </c>
      <c r="D2801" s="178" t="s">
        <v>85</v>
      </c>
      <c r="E2801" s="187">
        <v>0.17</v>
      </c>
      <c r="F2801" s="178">
        <v>2019</v>
      </c>
      <c r="G2801" s="188">
        <v>600000000</v>
      </c>
      <c r="H2801" s="188">
        <v>30000000</v>
      </c>
      <c r="I2801" s="188">
        <v>0</v>
      </c>
      <c r="J2801" s="188">
        <v>-20000000</v>
      </c>
      <c r="K2801" s="188">
        <f>K2803-22500000</f>
        <v>168517000</v>
      </c>
      <c r="L2801" s="188">
        <v>100000000</v>
      </c>
      <c r="M2801" s="194">
        <f>L2801/P2801</f>
        <v>2.4671407688844207</v>
      </c>
      <c r="N2801" s="190">
        <f>J2801/L2801</f>
        <v>-0.2</v>
      </c>
      <c r="O2801" s="190">
        <f>(I2801*0.64)/(K2801+(M2801*P2801))</f>
        <v>0</v>
      </c>
      <c r="P2801" s="188">
        <f>21994640+P2803</f>
        <v>40532750</v>
      </c>
      <c r="Q2801" s="188">
        <f>P2801*E2801</f>
        <v>6890567.5000000009</v>
      </c>
      <c r="R2801" s="195">
        <f>Q2801/L2801</f>
        <v>6.8905675000000013E-2</v>
      </c>
      <c r="S2801" s="197">
        <f>(Q2801+K2801)/H2801</f>
        <v>5.8469189166666666</v>
      </c>
      <c r="T2801" s="180"/>
      <c r="U2801" s="189">
        <f>IFERROR(IF(Tableau3[[#This Row],[Dettes]]=0,"",(Tableau3[[#This Row],[Dettes]]/Tableau3[[#This Row],[EBE]])),"")</f>
        <v>5.6172333333333331</v>
      </c>
      <c r="V2801" s="190" t="str">
        <f>IFERROR(Tableau3[[#This Row],[Fonds propres]]/Tableau3[[#This Row],[Total Bilan]],"")</f>
        <v/>
      </c>
      <c r="W2801" s="180"/>
      <c r="X2801" s="191"/>
      <c r="Y2801" s="180"/>
      <c r="Z2801" s="192" t="str">
        <f>IFERROR(Tableau3[[#This Row],[Chiffre d''affaires]]/Tableau3[[#This Row],[Salariés]],"")</f>
        <v/>
      </c>
      <c r="AA2801" s="197"/>
      <c r="AB2801" s="197"/>
      <c r="AC2801" s="177" t="s">
        <v>1966</v>
      </c>
    </row>
    <row r="2802" spans="1:29" ht="20.25" customHeight="1">
      <c r="A2802" s="217"/>
      <c r="E2802" s="187"/>
      <c r="G2802" s="202">
        <f>(G2801/G2803)-1</f>
        <v>-2.0759890325107722E-2</v>
      </c>
      <c r="H2802" s="203">
        <f>(H2801/H2803)-1</f>
        <v>-0.21433060967944684</v>
      </c>
      <c r="I2802" s="203">
        <f>(I2801/I2803)-1</f>
        <v>-1</v>
      </c>
      <c r="J2802" s="203">
        <f>(J2801/J2803)-1</f>
        <v>-1.9873130275953992</v>
      </c>
      <c r="K2802" s="188"/>
      <c r="L2802" s="188"/>
      <c r="M2802" s="188"/>
      <c r="N2802" s="188"/>
      <c r="O2802" s="188"/>
      <c r="P2802" s="188"/>
      <c r="Q2802" s="188"/>
      <c r="R2802" s="188"/>
      <c r="S2802" s="188"/>
      <c r="T2802" s="180"/>
      <c r="U2802" s="189" t="str">
        <f>IFERROR(IF(Tableau3[[#This Row],[Dettes]]=0,"",(Tableau3[[#This Row],[Dettes]]/Tableau3[[#This Row],[EBE]])),"")</f>
        <v/>
      </c>
      <c r="V2802" s="190" t="str">
        <f>IFERROR(Tableau3[[#This Row],[Fonds propres]]/Tableau3[[#This Row],[Total Bilan]],"")</f>
        <v/>
      </c>
      <c r="W2802" s="180"/>
      <c r="X2802" s="192"/>
      <c r="Y2802" s="180"/>
      <c r="Z2802" s="192" t="str">
        <f>IFERROR(Tableau3[[#This Row],[Chiffre d''affaires]]/Tableau3[[#This Row],[Salariés]],"")</f>
        <v/>
      </c>
      <c r="AA2802" s="188"/>
      <c r="AB2802" s="188"/>
      <c r="AC2802" s="177" t="s">
        <v>1967</v>
      </c>
    </row>
    <row r="2803" spans="1:29" ht="20.25" customHeight="1">
      <c r="A2803" s="217"/>
      <c r="E2803" s="187">
        <v>3.24</v>
      </c>
      <c r="F2803" s="178">
        <v>2018</v>
      </c>
      <c r="G2803" s="188">
        <v>612720000</v>
      </c>
      <c r="H2803" s="188">
        <v>38184000</v>
      </c>
      <c r="I2803" s="188">
        <v>15623000</v>
      </c>
      <c r="J2803" s="188">
        <v>20257000</v>
      </c>
      <c r="K2803" s="188">
        <v>191017000</v>
      </c>
      <c r="L2803" s="188">
        <v>98605000</v>
      </c>
      <c r="M2803" s="194">
        <f>L2803/P2803</f>
        <v>5.3190427718899072</v>
      </c>
      <c r="N2803" s="190">
        <f>J2803/L2803</f>
        <v>0.20543582982607372</v>
      </c>
      <c r="O2803" s="190">
        <f>(I2803*0.64)/(K2803+(M2803*P2803))</f>
        <v>3.452334422108818E-2</v>
      </c>
      <c r="P2803" s="188">
        <v>18538110</v>
      </c>
      <c r="Q2803" s="188">
        <f>P2803*E2803</f>
        <v>60063476.400000006</v>
      </c>
      <c r="R2803" s="195">
        <f>Q2803/L2803</f>
        <v>0.60913215759849915</v>
      </c>
      <c r="S2803" s="197">
        <f>(Q2803+K2803)/H2803</f>
        <v>6.5755414938194008</v>
      </c>
      <c r="T2803" s="180"/>
      <c r="U2803" s="189">
        <f>IFERROR(IF(Tableau3[[#This Row],[Dettes]]=0,"",(Tableau3[[#This Row],[Dettes]]/Tableau3[[#This Row],[EBE]])),"")</f>
        <v>5.0025403310287029</v>
      </c>
      <c r="V2803" s="190" t="str">
        <f>IFERROR(Tableau3[[#This Row],[Fonds propres]]/Tableau3[[#This Row],[Total Bilan]],"")</f>
        <v/>
      </c>
      <c r="W2803" s="180"/>
      <c r="X2803" s="191"/>
      <c r="Y2803" s="180"/>
      <c r="Z2803" s="192" t="str">
        <f>IFERROR(Tableau3[[#This Row],[Chiffre d''affaires]]/Tableau3[[#This Row],[Salariés]],"")</f>
        <v/>
      </c>
      <c r="AA2803" s="197"/>
      <c r="AB2803" s="197"/>
      <c r="AC2803" s="177" t="s">
        <v>1968</v>
      </c>
    </row>
    <row r="2804" spans="1:29" ht="20.25" customHeight="1">
      <c r="A2804" s="217"/>
      <c r="E2804" s="187"/>
      <c r="G2804" s="202">
        <f>(G2803/G2805)-1</f>
        <v>7.1916428999991844E-3</v>
      </c>
      <c r="H2804" s="203">
        <f>(H2803/H2805)-1</f>
        <v>1.9735612231272626E-2</v>
      </c>
      <c r="I2804" s="203">
        <f>(I2803/I2805)-1</f>
        <v>-0.28697914289626214</v>
      </c>
      <c r="J2804" s="203">
        <f>(J2803/J2805)-1</f>
        <v>-0.39259370314842579</v>
      </c>
      <c r="K2804" s="188"/>
      <c r="L2804" s="188"/>
      <c r="M2804" s="188"/>
      <c r="N2804" s="188"/>
      <c r="O2804" s="188"/>
      <c r="P2804" s="188"/>
      <c r="Q2804" s="188"/>
      <c r="R2804" s="188"/>
      <c r="S2804" s="188"/>
      <c r="T2804" s="180"/>
      <c r="U2804" s="189" t="str">
        <f>IFERROR(IF(Tableau3[[#This Row],[Dettes]]=0,"",(Tableau3[[#This Row],[Dettes]]/Tableau3[[#This Row],[EBE]])),"")</f>
        <v/>
      </c>
      <c r="V2804" s="190" t="str">
        <f>IFERROR(Tableau3[[#This Row],[Fonds propres]]/Tableau3[[#This Row],[Total Bilan]],"")</f>
        <v/>
      </c>
      <c r="W2804" s="180"/>
      <c r="X2804" s="192"/>
      <c r="Y2804" s="180"/>
      <c r="Z2804" s="192" t="str">
        <f>IFERROR(Tableau3[[#This Row],[Chiffre d''affaires]]/Tableau3[[#This Row],[Salariés]],"")</f>
        <v/>
      </c>
      <c r="AA2804" s="188"/>
      <c r="AB2804" s="188"/>
      <c r="AC2804" s="177" t="s">
        <v>1969</v>
      </c>
    </row>
    <row r="2805" spans="1:29" ht="20.25" customHeight="1">
      <c r="A2805" s="217"/>
      <c r="E2805" s="187">
        <v>10.75</v>
      </c>
      <c r="F2805" s="178">
        <v>2017</v>
      </c>
      <c r="G2805" s="188">
        <v>608345000</v>
      </c>
      <c r="H2805" s="188">
        <v>37445000</v>
      </c>
      <c r="I2805" s="188">
        <v>21911000</v>
      </c>
      <c r="J2805" s="188">
        <v>33350000</v>
      </c>
      <c r="K2805" s="188">
        <v>125486000</v>
      </c>
      <c r="L2805" s="188">
        <v>135846000</v>
      </c>
      <c r="M2805" s="194">
        <f>L2805/P2805</f>
        <v>7.3279314881614148</v>
      </c>
      <c r="N2805" s="190">
        <f>J2805/L2805</f>
        <v>0.2454985792735892</v>
      </c>
      <c r="O2805" s="190">
        <f>(I2807*0.64)/(K2805+(M2805*P2805))</f>
        <v>8.122082255521712E-2</v>
      </c>
      <c r="P2805" s="188">
        <v>18538110</v>
      </c>
      <c r="Q2805" s="188">
        <f>P2805*E2805</f>
        <v>199284682.5</v>
      </c>
      <c r="R2805" s="195">
        <f>Q2805/L2805</f>
        <v>1.4669896978932027</v>
      </c>
      <c r="S2805" s="197">
        <f>(Q2805+K2805)/H2805</f>
        <v>8.6732723327547063</v>
      </c>
      <c r="T2805" s="180"/>
      <c r="U2805" s="189">
        <f>IFERROR(IF(Tableau3[[#This Row],[Dettes]]=0,"",(Tableau3[[#This Row],[Dettes]]/Tableau3[[#This Row],[EBE]])),"")</f>
        <v>3.3512084390439312</v>
      </c>
      <c r="V2805" s="190" t="str">
        <f>IFERROR(Tableau3[[#This Row],[Fonds propres]]/Tableau3[[#This Row],[Total Bilan]],"")</f>
        <v/>
      </c>
      <c r="W2805" s="180"/>
      <c r="X2805" s="191"/>
      <c r="Y2805" s="180"/>
      <c r="Z2805" s="192" t="str">
        <f>IFERROR(Tableau3[[#This Row],[Chiffre d''affaires]]/Tableau3[[#This Row],[Salariés]],"")</f>
        <v/>
      </c>
      <c r="AA2805" s="197"/>
      <c r="AB2805" s="197"/>
      <c r="AC2805" s="177" t="s">
        <v>1970</v>
      </c>
    </row>
    <row r="2806" spans="1:29" ht="20.25" customHeight="1">
      <c r="A2806" s="217"/>
      <c r="E2806" s="187"/>
      <c r="G2806" s="202">
        <f>(G2805/G2807)-1</f>
        <v>8.7184573593537706E-2</v>
      </c>
      <c r="H2806" s="203">
        <f>(H2805/H2807)-1</f>
        <v>-0.26043333135825875</v>
      </c>
      <c r="I2806" s="203">
        <f>(I2805/I2807)-1</f>
        <v>-0.33933363485602297</v>
      </c>
      <c r="J2806" s="203">
        <f>(J2805/J2807)-1</f>
        <v>0.43725219789691439</v>
      </c>
      <c r="K2806" s="188"/>
      <c r="L2806" s="188"/>
      <c r="M2806" s="188"/>
      <c r="N2806" s="188"/>
      <c r="O2806" s="188"/>
      <c r="P2806" s="188"/>
      <c r="Q2806" s="188"/>
      <c r="R2806" s="188"/>
      <c r="S2806" s="188"/>
      <c r="T2806" s="180"/>
      <c r="U2806" s="189" t="str">
        <f>IFERROR(IF(Tableau3[[#This Row],[Dettes]]=0,"",(Tableau3[[#This Row],[Dettes]]/Tableau3[[#This Row],[EBE]])),"")</f>
        <v/>
      </c>
      <c r="V2806" s="190" t="str">
        <f>IFERROR(Tableau3[[#This Row],[Fonds propres]]/Tableau3[[#This Row],[Total Bilan]],"")</f>
        <v/>
      </c>
      <c r="W2806" s="180"/>
      <c r="X2806" s="192"/>
      <c r="Y2806" s="180"/>
      <c r="Z2806" s="192" t="str">
        <f>IFERROR(Tableau3[[#This Row],[Chiffre d''affaires]]/Tableau3[[#This Row],[Salariés]],"")</f>
        <v/>
      </c>
      <c r="AA2806" s="188"/>
      <c r="AB2806" s="188"/>
      <c r="AC2806" s="177" t="s">
        <v>1971</v>
      </c>
    </row>
    <row r="2807" spans="1:29" ht="20.25" customHeight="1">
      <c r="A2807" s="217"/>
      <c r="E2807" s="187">
        <v>19.07</v>
      </c>
      <c r="F2807" s="178">
        <v>2016</v>
      </c>
      <c r="G2807" s="188">
        <v>559560000</v>
      </c>
      <c r="H2807" s="188">
        <v>50631000</v>
      </c>
      <c r="I2807" s="188">
        <v>33165000</v>
      </c>
      <c r="J2807" s="188">
        <v>23204000</v>
      </c>
      <c r="K2807" s="188">
        <v>144759000</v>
      </c>
      <c r="L2807" s="188">
        <v>111676000</v>
      </c>
      <c r="M2807" s="194">
        <f>L2807/P2807</f>
        <v>34.892284023616874</v>
      </c>
      <c r="N2807" s="190">
        <f>J2807/L2807</f>
        <v>0.20777964826820444</v>
      </c>
      <c r="O2807" s="190">
        <f>(I2807*0.64)/(K2807+(M2807*P2807))</f>
        <v>8.2771852516232189E-2</v>
      </c>
      <c r="P2807" s="188">
        <v>3200593</v>
      </c>
      <c r="Q2807" s="188">
        <f>P2807*E2807</f>
        <v>61035308.509999998</v>
      </c>
      <c r="R2807" s="195">
        <f>Q2807/L2807</f>
        <v>0.54653917144238684</v>
      </c>
      <c r="S2807" s="197">
        <f>(Q2807+K2807)/H2807</f>
        <v>4.0645910313839346</v>
      </c>
      <c r="T2807" s="180"/>
      <c r="U2807" s="189">
        <f>IFERROR(IF(Tableau3[[#This Row],[Dettes]]=0,"",(Tableau3[[#This Row],[Dettes]]/Tableau3[[#This Row],[EBE]])),"")</f>
        <v>2.8590981809563312</v>
      </c>
      <c r="V2807" s="190" t="str">
        <f>IFERROR(Tableau3[[#This Row],[Fonds propres]]/Tableau3[[#This Row],[Total Bilan]],"")</f>
        <v/>
      </c>
      <c r="W2807" s="180"/>
      <c r="X2807" s="191"/>
      <c r="Y2807" s="180"/>
      <c r="Z2807" s="192" t="str">
        <f>IFERROR(Tableau3[[#This Row],[Chiffre d''affaires]]/Tableau3[[#This Row],[Salariés]],"")</f>
        <v/>
      </c>
      <c r="AA2807" s="197"/>
      <c r="AB2807" s="197"/>
      <c r="AC2807" s="177" t="s">
        <v>1972</v>
      </c>
    </row>
    <row r="2808" spans="1:29" ht="20.25" customHeight="1">
      <c r="A2808" s="217"/>
      <c r="E2808" s="187"/>
      <c r="G2808" s="202">
        <f>(G2807/G2809)-1</f>
        <v>0.17046355427168169</v>
      </c>
      <c r="H2808" s="203">
        <f>(H2807/H2809)-1</f>
        <v>3.9714972174877294E-2</v>
      </c>
      <c r="I2808" s="203">
        <f>(I2807/I2809)-1</f>
        <v>-0.22649034424853065</v>
      </c>
      <c r="J2808" s="203">
        <f>(J2807/J2809)-1</f>
        <v>3.4369009940712347E-2</v>
      </c>
      <c r="K2808" s="188"/>
      <c r="L2808" s="188"/>
      <c r="M2808" s="188"/>
      <c r="N2808" s="188"/>
      <c r="O2808" s="188"/>
      <c r="P2808" s="188"/>
      <c r="Q2808" s="188"/>
      <c r="R2808" s="188"/>
      <c r="S2808" s="188"/>
      <c r="T2808" s="180"/>
      <c r="U2808" s="189" t="str">
        <f>IFERROR(IF(Tableau3[[#This Row],[Dettes]]=0,"",(Tableau3[[#This Row],[Dettes]]/Tableau3[[#This Row],[EBE]])),"")</f>
        <v/>
      </c>
      <c r="V2808" s="190" t="str">
        <f>IFERROR(Tableau3[[#This Row],[Fonds propres]]/Tableau3[[#This Row],[Total Bilan]],"")</f>
        <v/>
      </c>
      <c r="W2808" s="180"/>
      <c r="X2808" s="192"/>
      <c r="Y2808" s="180"/>
      <c r="Z2808" s="192" t="str">
        <f>IFERROR(Tableau3[[#This Row],[Chiffre d''affaires]]/Tableau3[[#This Row],[Salariés]],"")</f>
        <v/>
      </c>
      <c r="AA2808" s="188"/>
      <c r="AB2808" s="188"/>
      <c r="AC2808" s="177" t="s">
        <v>1973</v>
      </c>
    </row>
    <row r="2809" spans="1:29" ht="20.25" customHeight="1">
      <c r="A2809" s="217"/>
      <c r="E2809" s="187">
        <v>10.41</v>
      </c>
      <c r="F2809" s="178">
        <v>2015</v>
      </c>
      <c r="G2809" s="188">
        <v>478067000</v>
      </c>
      <c r="H2809" s="188">
        <v>48697000</v>
      </c>
      <c r="I2809" s="188">
        <v>42876000</v>
      </c>
      <c r="J2809" s="188">
        <v>22433000</v>
      </c>
      <c r="K2809" s="188">
        <v>124445000</v>
      </c>
      <c r="L2809" s="188">
        <v>112225000</v>
      </c>
      <c r="M2809" s="194">
        <f>L2809/P2809</f>
        <v>35.063814736831581</v>
      </c>
      <c r="N2809" s="190">
        <f>J2809/L2809</f>
        <v>0.19989307195366451</v>
      </c>
      <c r="O2809" s="190">
        <f>(I2809*0.64)/(K2809+(M2809*P2809))</f>
        <v>0.11594473317277222</v>
      </c>
      <c r="P2809" s="188">
        <v>3200593</v>
      </c>
      <c r="Q2809" s="188">
        <f>P2809*E2809</f>
        <v>33318173.129999999</v>
      </c>
      <c r="R2809" s="195">
        <f>Q2809/L2809</f>
        <v>0.29688726335486743</v>
      </c>
      <c r="S2809" s="197">
        <f>(Q2809+K2809)/H2809</f>
        <v>3.2396897782204244</v>
      </c>
      <c r="T2809" s="180"/>
      <c r="U2809" s="189">
        <f>IFERROR(IF(Tableau3[[#This Row],[Dettes]]=0,"",(Tableau3[[#This Row],[Dettes]]/Tableau3[[#This Row],[EBE]])),"")</f>
        <v>2.5554962318007268</v>
      </c>
      <c r="V2809" s="190" t="str">
        <f>IFERROR(Tableau3[[#This Row],[Fonds propres]]/Tableau3[[#This Row],[Total Bilan]],"")</f>
        <v/>
      </c>
      <c r="W2809" s="180"/>
      <c r="X2809" s="191"/>
      <c r="Y2809" s="180"/>
      <c r="Z2809" s="192" t="str">
        <f>IFERROR(Tableau3[[#This Row],[Chiffre d''affaires]]/Tableau3[[#This Row],[Salariés]],"")</f>
        <v/>
      </c>
      <c r="AA2809" s="197"/>
      <c r="AB2809" s="197"/>
    </row>
    <row r="2810" spans="1:29" ht="20.25" customHeight="1">
      <c r="A2810" s="217"/>
      <c r="E2810" s="187"/>
      <c r="G2810" s="202">
        <f>(G2809/G2811)-1</f>
        <v>-6.8640171439703912E-2</v>
      </c>
      <c r="H2810" s="203">
        <f>(H2809/H2811)-1</f>
        <v>-0.20946428571428577</v>
      </c>
      <c r="I2810" s="203">
        <f>(I2809/I2811)-1</f>
        <v>-0.19857943925233645</v>
      </c>
      <c r="J2810" s="203">
        <f>(J2809/J2811)-1</f>
        <v>-0.44196517412935321</v>
      </c>
      <c r="K2810" s="188"/>
      <c r="L2810" s="188"/>
      <c r="M2810" s="188"/>
      <c r="N2810" s="188"/>
      <c r="O2810" s="188"/>
      <c r="P2810" s="188"/>
      <c r="Q2810" s="188"/>
      <c r="R2810" s="188"/>
      <c r="S2810" s="188"/>
      <c r="T2810" s="180"/>
      <c r="U2810" s="189" t="str">
        <f>IFERROR(IF(Tableau3[[#This Row],[Dettes]]=0,"",(Tableau3[[#This Row],[Dettes]]/Tableau3[[#This Row],[EBE]])),"")</f>
        <v/>
      </c>
      <c r="V2810" s="190" t="str">
        <f>IFERROR(Tableau3[[#This Row],[Fonds propres]]/Tableau3[[#This Row],[Total Bilan]],"")</f>
        <v/>
      </c>
      <c r="W2810" s="180"/>
      <c r="X2810" s="192"/>
      <c r="Y2810" s="180"/>
      <c r="Z2810" s="192" t="str">
        <f>IFERROR(Tableau3[[#This Row],[Chiffre d''affaires]]/Tableau3[[#This Row],[Salariés]],"")</f>
        <v/>
      </c>
      <c r="AA2810" s="188"/>
      <c r="AB2810" s="188"/>
    </row>
    <row r="2811" spans="1:29" ht="20.25" customHeight="1">
      <c r="A2811" s="217"/>
      <c r="E2811" s="187">
        <v>7.56</v>
      </c>
      <c r="F2811" s="178">
        <v>2014</v>
      </c>
      <c r="G2811" s="188">
        <v>513300000</v>
      </c>
      <c r="H2811" s="188">
        <v>61600000</v>
      </c>
      <c r="I2811" s="188">
        <v>53500000</v>
      </c>
      <c r="J2811" s="188">
        <v>40200000</v>
      </c>
      <c r="K2811" s="188">
        <v>128200000</v>
      </c>
      <c r="L2811" s="188">
        <v>74674000</v>
      </c>
      <c r="M2811" s="194">
        <f>L2811/P2811</f>
        <v>19.098116914521388</v>
      </c>
      <c r="N2811" s="190">
        <f>J2811/L2811</f>
        <v>0.53833998446581144</v>
      </c>
      <c r="O2811" s="190">
        <f>(I2811*0.64)/(K2811+(M2811*P2811))</f>
        <v>0.16877470745388765</v>
      </c>
      <c r="P2811" s="188">
        <v>3910019</v>
      </c>
      <c r="Q2811" s="188">
        <f>P2811*E2811</f>
        <v>29559743.639999997</v>
      </c>
      <c r="R2811" s="195">
        <f>Q2811/L2811</f>
        <v>0.39585054557141708</v>
      </c>
      <c r="S2811" s="197">
        <f>(Q2811+K2811)/H2811</f>
        <v>2.561034799350649</v>
      </c>
      <c r="T2811" s="180"/>
      <c r="U2811" s="189">
        <f>IFERROR(IF(Tableau3[[#This Row],[Dettes]]=0,"",(Tableau3[[#This Row],[Dettes]]/Tableau3[[#This Row],[EBE]])),"")</f>
        <v>2.081168831168831</v>
      </c>
      <c r="V2811" s="190" t="str">
        <f>IFERROR(Tableau3[[#This Row],[Fonds propres]]/Tableau3[[#This Row],[Total Bilan]],"")</f>
        <v/>
      </c>
      <c r="W2811" s="180"/>
      <c r="X2811" s="191"/>
      <c r="Y2811" s="180"/>
      <c r="Z2811" s="192" t="str">
        <f>IFERROR(Tableau3[[#This Row],[Chiffre d''affaires]]/Tableau3[[#This Row],[Salariés]],"")</f>
        <v/>
      </c>
      <c r="AA2811" s="197"/>
      <c r="AB2811" s="197"/>
    </row>
    <row r="2812" spans="1:29" ht="20.25" customHeight="1">
      <c r="A2812" s="217"/>
      <c r="E2812" s="187"/>
      <c r="G2812" s="202">
        <f>(G2811/G2813)-1</f>
        <v>0.11830065359477127</v>
      </c>
      <c r="H2812" s="203">
        <f>(H2811/H2813)-1</f>
        <v>0.33622559652928419</v>
      </c>
      <c r="I2812" s="203">
        <f>(I2811/I2813)-1</f>
        <v>1.3672566371681416</v>
      </c>
      <c r="J2812" s="203">
        <f>(J2811/J2813)-1</f>
        <v>1.9325941056317477</v>
      </c>
      <c r="K2812" s="188"/>
      <c r="L2812" s="188"/>
      <c r="M2812" s="188"/>
      <c r="N2812" s="188"/>
      <c r="O2812" s="188"/>
      <c r="P2812" s="188"/>
      <c r="Q2812" s="188"/>
      <c r="R2812" s="188"/>
      <c r="S2812" s="188"/>
      <c r="T2812" s="180"/>
      <c r="U2812" s="189" t="str">
        <f>IFERROR(IF(Tableau3[[#This Row],[Dettes]]=0,"",(Tableau3[[#This Row],[Dettes]]/Tableau3[[#This Row],[EBE]])),"")</f>
        <v/>
      </c>
      <c r="V2812" s="190" t="str">
        <f>IFERROR(Tableau3[[#This Row],[Fonds propres]]/Tableau3[[#This Row],[Total Bilan]],"")</f>
        <v/>
      </c>
      <c r="W2812" s="180"/>
      <c r="X2812" s="192"/>
      <c r="Y2812" s="180"/>
      <c r="Z2812" s="192" t="str">
        <f>IFERROR(Tableau3[[#This Row],[Chiffre d''affaires]]/Tableau3[[#This Row],[Salariés]],"")</f>
        <v/>
      </c>
      <c r="AA2812" s="188"/>
      <c r="AB2812" s="188"/>
    </row>
    <row r="2813" spans="1:29" ht="20.25" customHeight="1">
      <c r="A2813" s="217"/>
      <c r="E2813" s="187">
        <v>2.77</v>
      </c>
      <c r="F2813" s="178">
        <v>2013</v>
      </c>
      <c r="G2813" s="188">
        <v>459000000</v>
      </c>
      <c r="H2813" s="188">
        <v>46100000</v>
      </c>
      <c r="I2813" s="188">
        <v>22600000</v>
      </c>
      <c r="J2813" s="188">
        <v>13708000</v>
      </c>
      <c r="K2813" s="188">
        <v>61100000</v>
      </c>
      <c r="L2813" s="188">
        <v>79421000</v>
      </c>
      <c r="M2813" s="194">
        <f>L2813/P2813</f>
        <v>20.312177511157874</v>
      </c>
      <c r="N2813" s="190">
        <f>J2813/L2813</f>
        <v>0.17259918661311241</v>
      </c>
      <c r="O2813" s="190">
        <f>(I2813*0.64)/(K2813+(M2813*P2813))</f>
        <v>0.10293123447740907</v>
      </c>
      <c r="P2813" s="188">
        <v>3910019</v>
      </c>
      <c r="Q2813" s="188">
        <f>P2813*E2813</f>
        <v>10830752.630000001</v>
      </c>
      <c r="R2813" s="195">
        <f>Q2813/L2813</f>
        <v>0.13637139585248234</v>
      </c>
      <c r="S2813" s="197">
        <f>(Q2813+K2813)/H2813</f>
        <v>1.5603200136659434</v>
      </c>
      <c r="T2813" s="180"/>
      <c r="U2813" s="189">
        <f>IFERROR(IF(Tableau3[[#This Row],[Dettes]]=0,"",(Tableau3[[#This Row],[Dettes]]/Tableau3[[#This Row],[EBE]])),"")</f>
        <v>1.3253796095444685</v>
      </c>
      <c r="V2813" s="190" t="str">
        <f>IFERROR(Tableau3[[#This Row],[Fonds propres]]/Tableau3[[#This Row],[Total Bilan]],"")</f>
        <v/>
      </c>
      <c r="W2813" s="180"/>
      <c r="X2813" s="191"/>
      <c r="Y2813" s="180"/>
      <c r="Z2813" s="192" t="str">
        <f>IFERROR(Tableau3[[#This Row],[Chiffre d''affaires]]/Tableau3[[#This Row],[Salariés]],"")</f>
        <v/>
      </c>
      <c r="AA2813" s="197"/>
      <c r="AB2813" s="197"/>
    </row>
    <row r="2814" spans="1:29" ht="20.25" customHeight="1">
      <c r="A2814" s="217"/>
      <c r="G2814" s="188"/>
      <c r="H2814" s="188"/>
      <c r="I2814" s="188"/>
      <c r="J2814" s="188"/>
      <c r="K2814" s="188"/>
      <c r="L2814" s="188"/>
      <c r="M2814" s="194"/>
      <c r="N2814" s="190"/>
      <c r="O2814" s="190"/>
      <c r="P2814" s="188"/>
      <c r="Q2814" s="188"/>
      <c r="R2814" s="195"/>
      <c r="S2814" s="197"/>
      <c r="T2814" s="180"/>
      <c r="U2814" s="189" t="str">
        <f>IFERROR(IF(Tableau3[[#This Row],[Dettes]]=0,"",(Tableau3[[#This Row],[Dettes]]/Tableau3[[#This Row],[EBE]])),"")</f>
        <v/>
      </c>
      <c r="V2814" s="190" t="str">
        <f>IFERROR(Tableau3[[#This Row],[Fonds propres]]/Tableau3[[#This Row],[Total Bilan]],"")</f>
        <v/>
      </c>
      <c r="W2814" s="180"/>
      <c r="X2814" s="191"/>
      <c r="Y2814" s="180"/>
      <c r="Z2814" s="192" t="str">
        <f>IFERROR(Tableau3[[#This Row],[Chiffre d''affaires]]/Tableau3[[#This Row],[Salariés]],"")</f>
        <v/>
      </c>
      <c r="AA2814" s="197"/>
      <c r="AB2814" s="197"/>
    </row>
    <row r="2815" spans="1:29" ht="20.25" customHeight="1">
      <c r="A2815" s="217"/>
      <c r="G2815" s="188"/>
      <c r="H2815" s="188"/>
      <c r="I2815" s="188"/>
      <c r="J2815" s="188"/>
      <c r="K2815" s="188"/>
      <c r="L2815" s="188"/>
      <c r="M2815" s="194"/>
      <c r="N2815" s="190"/>
      <c r="O2815" s="190"/>
      <c r="P2815" s="188"/>
      <c r="Q2815" s="188"/>
      <c r="R2815" s="195"/>
      <c r="S2815" s="197"/>
      <c r="T2815" s="180"/>
      <c r="U2815" s="189" t="str">
        <f>IFERROR(IF(Tableau3[[#This Row],[Dettes]]=0,"",(Tableau3[[#This Row],[Dettes]]/Tableau3[[#This Row],[EBE]])),"")</f>
        <v/>
      </c>
      <c r="V2815" s="190" t="str">
        <f>IFERROR(Tableau3[[#This Row],[Fonds propres]]/Tableau3[[#This Row],[Total Bilan]],"")</f>
        <v/>
      </c>
      <c r="W2815" s="180"/>
      <c r="X2815" s="191"/>
      <c r="Y2815" s="180"/>
      <c r="Z2815" s="192" t="str">
        <f>IFERROR(Tableau3[[#This Row],[Chiffre d''affaires]]/Tableau3[[#This Row],[Salariés]],"")</f>
        <v/>
      </c>
      <c r="AA2815" s="197"/>
      <c r="AB2815" s="197"/>
    </row>
    <row r="2816" spans="1:29" ht="20.25" customHeight="1">
      <c r="A2816" s="217"/>
      <c r="G2816" s="188"/>
      <c r="H2816" s="188"/>
      <c r="I2816" s="188"/>
      <c r="J2816" s="188"/>
      <c r="K2816" s="188"/>
      <c r="L2816" s="188"/>
      <c r="M2816" s="194"/>
      <c r="N2816" s="190"/>
      <c r="O2816" s="190"/>
      <c r="P2816" s="188"/>
      <c r="Q2816" s="188"/>
      <c r="R2816" s="195"/>
      <c r="S2816" s="197"/>
      <c r="T2816" s="180"/>
      <c r="U2816" s="189" t="str">
        <f>IFERROR(IF(Tableau3[[#This Row],[Dettes]]=0,"",(Tableau3[[#This Row],[Dettes]]/Tableau3[[#This Row],[EBE]])),"")</f>
        <v/>
      </c>
      <c r="V2816" s="190" t="str">
        <f>IFERROR(Tableau3[[#This Row],[Fonds propres]]/Tableau3[[#This Row],[Total Bilan]],"")</f>
        <v/>
      </c>
      <c r="W2816" s="180"/>
      <c r="X2816" s="191"/>
      <c r="Y2816" s="180"/>
      <c r="Z2816" s="192" t="str">
        <f>IFERROR(Tableau3[[#This Row],[Chiffre d''affaires]]/Tableau3[[#This Row],[Salariés]],"")</f>
        <v/>
      </c>
      <c r="AA2816" s="197"/>
      <c r="AB2816" s="197"/>
    </row>
    <row r="2817" spans="1:29" ht="20.25" customHeight="1">
      <c r="A2817" s="217" t="s">
        <v>1974</v>
      </c>
      <c r="B2817" s="216" t="s">
        <v>1975</v>
      </c>
      <c r="C2817" s="178" t="s">
        <v>84</v>
      </c>
      <c r="D2817" s="178" t="s">
        <v>85</v>
      </c>
      <c r="E2817" s="187">
        <v>70</v>
      </c>
      <c r="F2817" s="178">
        <v>2025</v>
      </c>
      <c r="G2817" s="188">
        <f>G2819*1.05</f>
        <v>51272550000</v>
      </c>
      <c r="H2817" s="188"/>
      <c r="I2817" s="188"/>
      <c r="J2817" s="188"/>
      <c r="K2817" s="188"/>
      <c r="L2817" s="188"/>
      <c r="M2817" s="194"/>
      <c r="N2817" s="190"/>
      <c r="O2817" s="190"/>
      <c r="P2817" s="188">
        <v>1131000000</v>
      </c>
      <c r="Q2817" s="188">
        <f>P2817*E2817</f>
        <v>79170000000</v>
      </c>
      <c r="R2817" s="195"/>
      <c r="S2817" s="197"/>
      <c r="T2817" s="180"/>
      <c r="U2817" s="189" t="str">
        <f>IFERROR(IF(Tableau3[[#This Row],[Dettes]]=0,"",(Tableau3[[#This Row],[Dettes]]/Tableau3[[#This Row],[EBE]])),"")</f>
        <v/>
      </c>
      <c r="V2817" s="190" t="str">
        <f>IFERROR(Tableau3[[#This Row],[Fonds propres]]/Tableau3[[#This Row],[Total Bilan]],"")</f>
        <v/>
      </c>
      <c r="W2817" s="180"/>
      <c r="X2817" s="192" t="s">
        <v>1046</v>
      </c>
      <c r="Y2817" s="180"/>
      <c r="Z2817" s="192" t="str">
        <f>IFERROR(Tableau3[[#This Row],[Chiffre d''affaires]]/Tableau3[[#This Row],[Salariés]],"")</f>
        <v/>
      </c>
      <c r="AA2817" s="197" t="s">
        <v>1253</v>
      </c>
      <c r="AB2817" s="197"/>
      <c r="AC2817" s="177" t="s">
        <v>1976</v>
      </c>
    </row>
    <row r="2818" spans="1:29" ht="20.25" customHeight="1">
      <c r="A2818" s="217"/>
      <c r="G2818" s="202">
        <f>(G2817/G2819)-1</f>
        <v>5.0000000000000044E-2</v>
      </c>
      <c r="H2818" s="188"/>
      <c r="I2818" s="188"/>
      <c r="J2818" s="188"/>
      <c r="K2818" s="188"/>
      <c r="L2818" s="188"/>
      <c r="M2818" s="194"/>
      <c r="N2818" s="190"/>
      <c r="O2818" s="190"/>
      <c r="P2818" s="188"/>
      <c r="Q2818" s="188"/>
      <c r="R2818" s="195"/>
      <c r="S2818" s="197"/>
      <c r="T2818" s="180"/>
      <c r="U2818" s="189" t="str">
        <f>IFERROR(IF(Tableau3[[#This Row],[Dettes]]=0,"",(Tableau3[[#This Row],[Dettes]]/Tableau3[[#This Row],[EBE]])),"")</f>
        <v/>
      </c>
      <c r="V2818" s="190" t="str">
        <f>IFERROR(Tableau3[[#This Row],[Fonds propres]]/Tableau3[[#This Row],[Total Bilan]],"")</f>
        <v/>
      </c>
      <c r="W2818" s="180"/>
      <c r="X2818" s="263">
        <v>44652</v>
      </c>
      <c r="Y2818" s="180"/>
      <c r="Z2818" s="192" t="str">
        <f>IFERROR(Tableau3[[#This Row],[Chiffre d''affaires]]/Tableau3[[#This Row],[Salariés]],"")</f>
        <v/>
      </c>
      <c r="AA2818" s="197" t="s">
        <v>168</v>
      </c>
      <c r="AB2818" s="197"/>
      <c r="AC2818" s="177" t="s">
        <v>1978</v>
      </c>
    </row>
    <row r="2819" spans="1:29" ht="20.25" customHeight="1">
      <c r="A2819" s="217"/>
      <c r="E2819" s="187">
        <v>59.22</v>
      </c>
      <c r="F2819" s="178">
        <v>2024</v>
      </c>
      <c r="G2819" s="188">
        <v>48831000000</v>
      </c>
      <c r="H2819" s="188">
        <v>18638000000</v>
      </c>
      <c r="I2819" s="188">
        <v>15437000000</v>
      </c>
      <c r="J2819" s="188">
        <v>11688000000</v>
      </c>
      <c r="K2819" s="188" t="s">
        <v>131</v>
      </c>
      <c r="L2819" s="188">
        <v>128137000000</v>
      </c>
      <c r="M2819" s="194">
        <f>Tableau3[[#This Row],[Fonds propres]]/Tableau3[[#This Row],[Titres]]</f>
        <v>113.29531388152078</v>
      </c>
      <c r="N2819" s="190">
        <f>Tableau3[[#This Row],[Résultat Net (PdG)]]/L2821</f>
        <v>9.4454591003862873E-2</v>
      </c>
      <c r="O2819" s="190"/>
      <c r="P2819" s="188">
        <v>1131000000</v>
      </c>
      <c r="Q2819" s="188">
        <f>P2819*E2819</f>
        <v>66977820000</v>
      </c>
      <c r="R2819" s="195"/>
      <c r="S2819" s="197"/>
      <c r="T2819" s="180"/>
      <c r="U2819" s="189" t="str">
        <f>IFERROR(IF(Tableau3[[#This Row],[Dettes]]=0,"",(Tableau3[[#This Row],[Dettes]]/Tableau3[[#This Row],[EBE]])),"")</f>
        <v/>
      </c>
      <c r="V2819" s="190">
        <f>IFERROR(Tableau3[[#This Row],[Fonds propres]]/Tableau3[[#This Row],[Total Bilan]],"")</f>
        <v>4.7372036313249842E-2</v>
      </c>
      <c r="W2819" s="180">
        <v>2704908000000</v>
      </c>
      <c r="Y2819" s="180">
        <v>183000</v>
      </c>
      <c r="Z2819" s="192">
        <f>IFERROR(Tableau3[[#This Row],[Chiffre d''affaires]]/Tableau3[[#This Row],[Salariés]],"")</f>
        <v>266836.06557377049</v>
      </c>
      <c r="AA2819" s="188" t="s">
        <v>107</v>
      </c>
      <c r="AB2819" s="197"/>
      <c r="AC2819" s="177" t="s">
        <v>4760</v>
      </c>
    </row>
    <row r="2820" spans="1:29" ht="20.25" customHeight="1">
      <c r="A2820" s="217"/>
      <c r="G2820" s="202">
        <f>(G2819/G2821)-1</f>
        <v>6.4459170772114938E-2</v>
      </c>
      <c r="H2820" s="203">
        <f>(H2819/H2821)-1</f>
        <v>0.24936318541359426</v>
      </c>
      <c r="I2820" s="203">
        <f>(I2819/I2821)-1</f>
        <v>0.37388750444998231</v>
      </c>
      <c r="J2820" s="203">
        <f>(J2819/J2821)-1</f>
        <v>6.4965831435079835E-2</v>
      </c>
      <c r="K2820" s="188"/>
      <c r="L2820" s="188"/>
      <c r="M2820" s="194"/>
      <c r="N2820" s="190"/>
      <c r="O2820" s="190"/>
      <c r="P2820" s="188"/>
      <c r="Q2820" s="188"/>
      <c r="R2820" s="195"/>
      <c r="S2820" s="197"/>
      <c r="T2820" s="180"/>
      <c r="U2820" s="189" t="str">
        <f>IFERROR(IF(Tableau3[[#This Row],[Dettes]]=0,"",(Tableau3[[#This Row],[Dettes]]/Tableau3[[#This Row],[EBE]])),"")</f>
        <v/>
      </c>
      <c r="V2820" s="190" t="str">
        <f>IFERROR(Tableau3[[#This Row],[Fonds propres]]/Tableau3[[#This Row],[Total Bilan]],"")</f>
        <v/>
      </c>
      <c r="W2820" s="180"/>
      <c r="Y2820" s="180"/>
      <c r="Z2820" s="192" t="str">
        <f>IFERROR(Tableau3[[#This Row],[Chiffre d''affaires]]/Tableau3[[#This Row],[Salariés]],"")</f>
        <v/>
      </c>
      <c r="AB2820" s="197"/>
      <c r="AC2820" s="177" t="s">
        <v>1979</v>
      </c>
    </row>
    <row r="2821" spans="1:29" ht="20.25" customHeight="1">
      <c r="A2821" s="217"/>
      <c r="E2821" s="187">
        <v>62.59</v>
      </c>
      <c r="F2821" s="178">
        <v>2023</v>
      </c>
      <c r="G2821" s="188">
        <v>45874000000</v>
      </c>
      <c r="H2821" s="188">
        <v>14918000000</v>
      </c>
      <c r="I2821" s="188">
        <v>11236000000</v>
      </c>
      <c r="J2821" s="188">
        <v>10975000000</v>
      </c>
      <c r="K2821" s="188" t="s">
        <v>131</v>
      </c>
      <c r="L2821" s="188">
        <v>123742000000</v>
      </c>
      <c r="M2821" s="194">
        <f>Tableau3[[#This Row],[Fonds propres]]/Tableau3[[#This Row],[Titres]]</f>
        <v>107.83828860547092</v>
      </c>
      <c r="N2821" s="190">
        <f>Tableau3[[#This Row],[Résultat Net (PdG)]]/L2823</f>
        <v>9.0525169708917247E-2</v>
      </c>
      <c r="O2821" s="190" t="s">
        <v>131</v>
      </c>
      <c r="P2821" s="188">
        <v>1147477409</v>
      </c>
      <c r="Q2821" s="188">
        <f>P2821*E2821</f>
        <v>71820611029.309998</v>
      </c>
      <c r="R2821" s="195">
        <f>Tableau3[[#This Row],[Cours]]/Tableau3[[#This Row],[Actif net/action]]</f>
        <v>0.58040609517633468</v>
      </c>
      <c r="S2821" s="197" t="s">
        <v>131</v>
      </c>
      <c r="T2821" s="194"/>
      <c r="U2821" s="189" t="str">
        <f>IFERROR(IF(Tableau3[[#This Row],[Dettes]]=0,"",(Tableau3[[#This Row],[Dettes]]/Tableau3[[#This Row],[EBE]])),"")</f>
        <v/>
      </c>
      <c r="V2821" s="190">
        <f>IFERROR(Tableau3[[#This Row],[Fonds propres]]/Tableau3[[#This Row],[Total Bilan]],"")</f>
        <v>4.7749198436889226E-2</v>
      </c>
      <c r="W2821" s="188">
        <v>2591499000000</v>
      </c>
      <c r="Y2821" s="180">
        <v>182656</v>
      </c>
      <c r="Z2821" s="192">
        <f>IFERROR(Tableau3[[#This Row],[Chiffre d''affaires]]/Tableau3[[#This Row],[Salariés]],"")</f>
        <v>251149.70217238963</v>
      </c>
      <c r="AB2821" s="197"/>
      <c r="AC2821" s="177" t="s">
        <v>1980</v>
      </c>
    </row>
    <row r="2822" spans="1:29" ht="20.25" customHeight="1">
      <c r="A2822" s="217"/>
      <c r="G2822" s="202">
        <f>(G2821/G2823)-1</f>
        <v>-9.0144588349630128E-2</v>
      </c>
      <c r="H2822" s="203">
        <f>(H2821/H2823)-1</f>
        <v>-0.10761500269187052</v>
      </c>
      <c r="I2822" s="203">
        <f>(I2821/I2823)-1</f>
        <v>-0.18295520651541597</v>
      </c>
      <c r="J2822" s="203">
        <f>(J2821/J2823)-1</f>
        <v>7.6402510788544431E-2</v>
      </c>
      <c r="K2822" s="188"/>
      <c r="L2822" s="188"/>
      <c r="M2822" s="194"/>
      <c r="N2822" s="190"/>
      <c r="O2822" s="190"/>
      <c r="P2822" s="188"/>
      <c r="Q2822" s="188"/>
      <c r="R2822" s="195"/>
      <c r="S2822" s="197"/>
      <c r="T2822" s="194"/>
      <c r="U2822" s="189" t="str">
        <f>IFERROR(IF(Tableau3[[#This Row],[Dettes]]=0,"",(Tableau3[[#This Row],[Dettes]]/Tableau3[[#This Row],[EBE]])),"")</f>
        <v/>
      </c>
      <c r="V2822" s="190" t="str">
        <f>IFERROR(Tableau3[[#This Row],[Fonds propres]]/Tableau3[[#This Row],[Total Bilan]],"")</f>
        <v/>
      </c>
      <c r="W2822" s="194"/>
      <c r="Y2822" s="180"/>
      <c r="Z2822" s="192" t="str">
        <f>IFERROR(Tableau3[[#This Row],[Chiffre d''affaires]]/Tableau3[[#This Row],[Salariés]],"")</f>
        <v/>
      </c>
      <c r="AB2822" s="197"/>
      <c r="AC2822" s="177" t="s">
        <v>1981</v>
      </c>
    </row>
    <row r="2823" spans="1:29" ht="20.25" customHeight="1">
      <c r="A2823" s="217"/>
      <c r="E2823" s="187">
        <v>53.25</v>
      </c>
      <c r="F2823" s="178">
        <v>2022</v>
      </c>
      <c r="G2823" s="188">
        <v>50419000000</v>
      </c>
      <c r="H2823" s="188">
        <v>16717000000</v>
      </c>
      <c r="I2823" s="188">
        <v>13752000000</v>
      </c>
      <c r="J2823" s="188">
        <v>10196000000</v>
      </c>
      <c r="K2823" s="188" t="s">
        <v>131</v>
      </c>
      <c r="L2823" s="188">
        <v>121237000000</v>
      </c>
      <c r="M2823" s="194">
        <f>Tableau3[[#This Row],[Fonds propres]]/Tableau3[[#This Row],[Titres]]</f>
        <v>98.220897166884058</v>
      </c>
      <c r="N2823" s="190">
        <f>Tableau3[[#This Row],[Résultat Net (PdG)]]/L2825</f>
        <v>8.6490338123271629E-2</v>
      </c>
      <c r="O2823" s="188" t="s">
        <v>131</v>
      </c>
      <c r="P2823" s="188">
        <v>1234330000</v>
      </c>
      <c r="Q2823" s="188">
        <f>P2823*E2823</f>
        <v>65728072500</v>
      </c>
      <c r="R2823" s="195">
        <f>Tableau3[[#This Row],[Cours]]/Tableau3[[#This Row],[Actif net/action]]</f>
        <v>0.54214532279749583</v>
      </c>
      <c r="S2823" s="188" t="s">
        <v>131</v>
      </c>
      <c r="T2823" s="194"/>
      <c r="U2823" s="189" t="str">
        <f>IFERROR(IF(Tableau3[[#This Row],[Dettes]]=0,"",(Tableau3[[#This Row],[Dettes]]/Tableau3[[#This Row],[EBE]])),"")</f>
        <v/>
      </c>
      <c r="V2823" s="190">
        <f>IFERROR(Tableau3[[#This Row],[Fonds propres]]/Tableau3[[#This Row],[Total Bilan]],"")</f>
        <v>4.6040544327842305E-2</v>
      </c>
      <c r="W2823" s="188">
        <v>2633266000000</v>
      </c>
      <c r="Y2823" s="180">
        <v>193122</v>
      </c>
      <c r="Z2823" s="192">
        <f>IFERROR(Tableau3[[#This Row],[Chiffre d''affaires]]/Tableau3[[#This Row],[Salariés]],"")</f>
        <v>261073.31117117676</v>
      </c>
      <c r="AB2823" s="188"/>
      <c r="AC2823" s="177" t="s">
        <v>1982</v>
      </c>
    </row>
    <row r="2824" spans="1:29" ht="20.25" customHeight="1">
      <c r="A2824" s="217"/>
      <c r="G2824" s="202">
        <f>(G2823/G2825)-1</f>
        <v>7.4310431160307999E-2</v>
      </c>
      <c r="H2824" s="203">
        <f>(H2823/H2825)-1</f>
        <v>7.851612903225802E-2</v>
      </c>
      <c r="I2824" s="203">
        <f>(I2823/I2825)-1</f>
        <v>0.10016000000000003</v>
      </c>
      <c r="J2824" s="203">
        <f>(J2823/J2825)-1</f>
        <v>7.3263157894736919E-2</v>
      </c>
      <c r="K2824" s="188"/>
      <c r="L2824" s="188"/>
      <c r="M2824" s="194"/>
      <c r="N2824" s="190"/>
      <c r="O2824" s="190"/>
      <c r="P2824" s="188"/>
      <c r="Q2824" s="188"/>
      <c r="R2824" s="195"/>
      <c r="S2824" s="197"/>
      <c r="T2824" s="194"/>
      <c r="U2824" s="189" t="str">
        <f>IFERROR(IF(Tableau3[[#This Row],[Dettes]]=0,"",(Tableau3[[#This Row],[Dettes]]/Tableau3[[#This Row],[EBE]])),"")</f>
        <v/>
      </c>
      <c r="V2824" s="190" t="str">
        <f>IFERROR(Tableau3[[#This Row],[Fonds propres]]/Tableau3[[#This Row],[Total Bilan]],"")</f>
        <v/>
      </c>
      <c r="W2824" s="194"/>
      <c r="X2824" s="191"/>
      <c r="Y2824" s="180"/>
      <c r="Z2824" s="192" t="str">
        <f>IFERROR(Tableau3[[#This Row],[Chiffre d''affaires]]/Tableau3[[#This Row],[Salariés]],"")</f>
        <v/>
      </c>
      <c r="AA2824" s="262"/>
      <c r="AB2824" s="262"/>
      <c r="AC2824" s="177" t="s">
        <v>1983</v>
      </c>
    </row>
    <row r="2825" spans="1:29" ht="20.25" customHeight="1">
      <c r="A2825" s="217"/>
      <c r="E2825" s="187">
        <v>60.77</v>
      </c>
      <c r="F2825" s="178">
        <v>2021</v>
      </c>
      <c r="G2825" s="188">
        <f>G2827*1.06</f>
        <v>46931500000</v>
      </c>
      <c r="H2825" s="188">
        <v>15500000000</v>
      </c>
      <c r="I2825" s="188">
        <v>12500000000</v>
      </c>
      <c r="J2825" s="188">
        <v>9500000000</v>
      </c>
      <c r="K2825" s="188" t="s">
        <v>131</v>
      </c>
      <c r="L2825" s="188">
        <v>117886000000</v>
      </c>
      <c r="M2825" s="194">
        <f>Tableau3[[#This Row],[Fonds propres]]/Tableau3[[#This Row],[Titres]]</f>
        <v>95.506064018536378</v>
      </c>
      <c r="N2825" s="190">
        <f>Tableau3[[#This Row],[Résultat Net (PdG)]]/L2827</f>
        <v>8.3851891080806748E-2</v>
      </c>
      <c r="O2825" s="188" t="s">
        <v>131</v>
      </c>
      <c r="P2825" s="188">
        <v>1234330000</v>
      </c>
      <c r="Q2825" s="188">
        <f>P2825*E2825</f>
        <v>75010234100</v>
      </c>
      <c r="R2825" s="195">
        <f>Tableau3[[#This Row],[Cours]]/Tableau3[[#This Row],[Actif net/action]]</f>
        <v>0.63629467536433504</v>
      </c>
      <c r="S2825" s="188" t="s">
        <v>131</v>
      </c>
      <c r="T2825" s="194"/>
      <c r="U2825" s="189" t="str">
        <f>IFERROR(IF(Tableau3[[#This Row],[Dettes]]=0,"",(Tableau3[[#This Row],[Dettes]]/Tableau3[[#This Row],[EBE]])),"")</f>
        <v/>
      </c>
      <c r="V2825" s="190" t="str">
        <f>IFERROR(Tableau3[[#This Row],[Fonds propres]]/Tableau3[[#This Row],[Total Bilan]],"")</f>
        <v/>
      </c>
      <c r="W2825" s="194"/>
      <c r="X2825" s="192"/>
      <c r="Y2825" s="180">
        <v>193319</v>
      </c>
      <c r="Z2825" s="192">
        <f>IFERROR(Tableau3[[#This Row],[Chiffre d''affaires]]/Tableau3[[#This Row],[Salariés]],"")</f>
        <v>242767.13618423435</v>
      </c>
      <c r="AA2825" s="188"/>
      <c r="AB2825" s="188"/>
      <c r="AC2825" s="177" t="s">
        <v>1984</v>
      </c>
    </row>
    <row r="2826" spans="1:29" ht="20.25" customHeight="1">
      <c r="A2826" s="217"/>
      <c r="G2826" s="202">
        <f>(G2825/G2827)-1</f>
        <v>6.0000000000000053E-2</v>
      </c>
      <c r="H2826" s="203">
        <f>(H2825/H2827)-1</f>
        <v>0.10077409274909455</v>
      </c>
      <c r="I2826" s="203">
        <f>(I2825/I2827)-1</f>
        <v>0.49450023912003815</v>
      </c>
      <c r="J2826" s="203">
        <f>(J2825/J2827)-1</f>
        <v>0.34427621338616099</v>
      </c>
      <c r="K2826" s="188"/>
      <c r="L2826" s="188"/>
      <c r="M2826" s="194"/>
      <c r="N2826" s="190"/>
      <c r="O2826" s="190"/>
      <c r="P2826" s="188"/>
      <c r="Q2826" s="188"/>
      <c r="R2826" s="195"/>
      <c r="S2826" s="197"/>
      <c r="T2826" s="194"/>
      <c r="U2826" s="189" t="str">
        <f>IFERROR(IF(Tableau3[[#This Row],[Dettes]]=0,"",(Tableau3[[#This Row],[Dettes]]/Tableau3[[#This Row],[EBE]])),"")</f>
        <v/>
      </c>
      <c r="V2826" s="190" t="str">
        <f>IFERROR(Tableau3[[#This Row],[Fonds propres]]/Tableau3[[#This Row],[Total Bilan]],"")</f>
        <v/>
      </c>
      <c r="W2826" s="194"/>
      <c r="X2826" s="261"/>
      <c r="Y2826" s="180"/>
      <c r="Z2826" s="192" t="str">
        <f>IFERROR(Tableau3[[#This Row],[Chiffre d''affaires]]/Tableau3[[#This Row],[Salariés]],"")</f>
        <v/>
      </c>
      <c r="AA2826" s="177"/>
      <c r="AC2826" s="177" t="s">
        <v>1985</v>
      </c>
    </row>
    <row r="2827" spans="1:29" ht="20.25" customHeight="1">
      <c r="A2827" s="217"/>
      <c r="E2827" s="187">
        <v>43.104999999999997</v>
      </c>
      <c r="F2827" s="178">
        <v>2020</v>
      </c>
      <c r="G2827" s="188">
        <v>44275000000</v>
      </c>
      <c r="H2827" s="188">
        <v>14081000000</v>
      </c>
      <c r="I2827" s="188">
        <v>8364000000</v>
      </c>
      <c r="J2827" s="188">
        <v>7067000000</v>
      </c>
      <c r="K2827" s="188" t="s">
        <v>131</v>
      </c>
      <c r="L2827" s="188">
        <v>113295000000</v>
      </c>
      <c r="M2827" s="194">
        <f>Tableau3[[#This Row],[Fonds propres]]/Tableau3[[#This Row],[Titres]]</f>
        <v>90.650608454333153</v>
      </c>
      <c r="N2827" s="190">
        <f>Tableau3[[#This Row],[Résultat Net (PdG)]]/L2829</f>
        <v>6.5949961271778795E-2</v>
      </c>
      <c r="O2827" s="188" t="s">
        <v>131</v>
      </c>
      <c r="P2827" s="188">
        <v>1249798561</v>
      </c>
      <c r="Q2827" s="188">
        <f>P2827*E2827</f>
        <v>53872566971.904999</v>
      </c>
      <c r="R2827" s="195">
        <f>Tableau3[[#This Row],[Cours]]/Tableau3[[#This Row],[Actif net/action]]</f>
        <v>0.47550701241806781</v>
      </c>
      <c r="S2827" s="188" t="s">
        <v>131</v>
      </c>
      <c r="T2827" s="194"/>
      <c r="U2827" s="189" t="str">
        <f>IFERROR(IF(Tableau3[[#This Row],[Dettes]]=0,"",(Tableau3[[#This Row],[Dettes]]/Tableau3[[#This Row],[EBE]])),"")</f>
        <v/>
      </c>
      <c r="V2827" s="190" t="str">
        <f>IFERROR(Tableau3[[#This Row],[Fonds propres]]/Tableau3[[#This Row],[Total Bilan]],"")</f>
        <v/>
      </c>
      <c r="W2827" s="194"/>
      <c r="X2827" s="192"/>
      <c r="Y2827" s="180"/>
      <c r="Z2827" s="192"/>
      <c r="AA2827" s="188"/>
      <c r="AB2827" s="188"/>
      <c r="AC2827" s="177" t="s">
        <v>4802</v>
      </c>
    </row>
    <row r="2828" spans="1:29" ht="20.25" customHeight="1">
      <c r="A2828" s="217"/>
      <c r="E2828" s="187"/>
      <c r="G2828" s="202">
        <f>(G2827/G2829)-1</f>
        <v>-7.2202166064981865E-3</v>
      </c>
      <c r="H2828" s="203">
        <f>(H2827/H2829)-1</f>
        <v>6.1915535444947212E-2</v>
      </c>
      <c r="I2828" s="203">
        <f>(I2827/I2829)-1</f>
        <v>-0.16834045938152531</v>
      </c>
      <c r="J2828" s="203">
        <f>(J2827/J2829)-1</f>
        <v>-0.13532362657530894</v>
      </c>
      <c r="K2828" s="188"/>
      <c r="L2828" s="188"/>
      <c r="M2828" s="188"/>
      <c r="N2828" s="188"/>
      <c r="O2828" s="188"/>
      <c r="P2828" s="188"/>
      <c r="Q2828" s="188"/>
      <c r="R2828" s="188"/>
      <c r="S2828" s="188"/>
      <c r="T2828" s="194"/>
      <c r="U2828" s="189" t="str">
        <f>IFERROR(IF(Tableau3[[#This Row],[Dettes]]=0,"",(Tableau3[[#This Row],[Dettes]]/Tableau3[[#This Row],[EBE]])),"")</f>
        <v/>
      </c>
      <c r="V2828" s="190" t="str">
        <f>IFERROR(Tableau3[[#This Row],[Fonds propres]]/Tableau3[[#This Row],[Total Bilan]],"")</f>
        <v/>
      </c>
      <c r="W2828" s="194"/>
      <c r="Y2828" s="180"/>
      <c r="Z2828" s="192" t="str">
        <f>IFERROR(Tableau3[[#This Row],[Chiffre d''affaires]]/Tableau3[[#This Row],[Salariés]],"")</f>
        <v/>
      </c>
      <c r="AA2828" s="188"/>
      <c r="AB2828" s="188"/>
      <c r="AC2828" s="177" t="s">
        <v>1986</v>
      </c>
    </row>
    <row r="2829" spans="1:29" ht="20.25" customHeight="1">
      <c r="A2829" s="217"/>
      <c r="E2829" s="187">
        <v>51.5</v>
      </c>
      <c r="F2829" s="178">
        <v>2019</v>
      </c>
      <c r="G2829" s="188">
        <v>44597000000</v>
      </c>
      <c r="H2829" s="188">
        <v>13260000000</v>
      </c>
      <c r="I2829" s="188">
        <v>10057000000</v>
      </c>
      <c r="J2829" s="188">
        <v>8173000000</v>
      </c>
      <c r="K2829" s="188" t="s">
        <v>131</v>
      </c>
      <c r="L2829" s="188">
        <v>107157000000</v>
      </c>
      <c r="M2829" s="194">
        <f>Tableau3[[#This Row],[Fonds propres]]/Tableau3[[#This Row],[Titres]]</f>
        <v>85.73941700993845</v>
      </c>
      <c r="N2829" s="190">
        <f>Tableau3[[#This Row],[Résultat Net (PdG)]]/L2831</f>
        <v>7.6234271376470264E-2</v>
      </c>
      <c r="O2829" s="188" t="s">
        <v>131</v>
      </c>
      <c r="P2829" s="188">
        <v>1249798561</v>
      </c>
      <c r="Q2829" s="188">
        <f>P2829*E2829</f>
        <v>64364625891.5</v>
      </c>
      <c r="R2829" s="195">
        <f>Tableau3[[#This Row],[Cours]]/Tableau3[[#This Row],[Actif net/action]]</f>
        <v>0.60065722156741974</v>
      </c>
      <c r="S2829" s="188" t="s">
        <v>131</v>
      </c>
      <c r="T2829" s="194"/>
      <c r="U2829" s="189" t="str">
        <f>IFERROR(IF(Tableau3[[#This Row],[Dettes]]=0,"",(Tableau3[[#This Row],[Dettes]]/Tableau3[[#This Row],[EBE]])),"")</f>
        <v/>
      </c>
      <c r="V2829" s="190" t="str">
        <f>IFERROR(Tableau3[[#This Row],[Fonds propres]]/Tableau3[[#This Row],[Total Bilan]],"")</f>
        <v/>
      </c>
      <c r="W2829" s="194"/>
      <c r="X2829" s="192"/>
      <c r="Y2829" s="180"/>
      <c r="Z2829" s="192" t="str">
        <f>IFERROR(Tableau3[[#This Row],[Chiffre d''affaires]]/Tableau3[[#This Row],[Salariés]],"")</f>
        <v/>
      </c>
      <c r="AA2829" s="188"/>
      <c r="AB2829" s="188"/>
      <c r="AC2829" s="177" t="s">
        <v>1987</v>
      </c>
    </row>
    <row r="2830" spans="1:29" ht="20.25" customHeight="1">
      <c r="A2830" s="217"/>
      <c r="E2830" s="187"/>
      <c r="G2830" s="202">
        <f>(G2829/G2831)-1</f>
        <v>3.3270776858738138E-2</v>
      </c>
      <c r="H2830" s="203">
        <f>(H2829/H2831)-1</f>
        <v>3.2533857910266306E-3</v>
      </c>
      <c r="I2830" s="203">
        <f>(I2829/I2831)-1</f>
        <v>-2.4539282250242489E-2</v>
      </c>
      <c r="J2830" s="203">
        <f>(J2829/J2831)-1</f>
        <v>-4.1428049226269748E-3</v>
      </c>
      <c r="K2830" s="188"/>
      <c r="L2830" s="188"/>
      <c r="M2830" s="188"/>
      <c r="N2830" s="188"/>
      <c r="O2830" s="188"/>
      <c r="P2830" s="188"/>
      <c r="Q2830" s="188"/>
      <c r="R2830" s="188"/>
      <c r="S2830" s="188"/>
      <c r="T2830" s="194"/>
      <c r="U2830" s="189" t="str">
        <f>IFERROR(IF(Tableau3[[#This Row],[Dettes]]=0,"",(Tableau3[[#This Row],[Dettes]]/Tableau3[[#This Row],[EBE]])),"")</f>
        <v/>
      </c>
      <c r="V2830" s="190" t="str">
        <f>IFERROR(Tableau3[[#This Row],[Fonds propres]]/Tableau3[[#This Row],[Total Bilan]],"")</f>
        <v/>
      </c>
      <c r="W2830" s="194"/>
      <c r="X2830" s="192"/>
      <c r="Y2830" s="180"/>
      <c r="Z2830" s="192" t="str">
        <f>IFERROR(Tableau3[[#This Row],[Chiffre d''affaires]]/Tableau3[[#This Row],[Salariés]],"")</f>
        <v/>
      </c>
      <c r="AA2830" s="188"/>
      <c r="AB2830" s="188"/>
      <c r="AC2830" s="177" t="s">
        <v>1988</v>
      </c>
    </row>
    <row r="2831" spans="1:29" ht="20.25" customHeight="1">
      <c r="A2831" s="217"/>
      <c r="E2831" s="187">
        <v>45</v>
      </c>
      <c r="F2831" s="178">
        <v>2018</v>
      </c>
      <c r="G2831" s="188">
        <f>G2833</f>
        <v>43161000000</v>
      </c>
      <c r="H2831" s="188">
        <f>H2833</f>
        <v>13217000000</v>
      </c>
      <c r="I2831" s="188">
        <f>I2833</f>
        <v>10310000000</v>
      </c>
      <c r="J2831" s="188">
        <f>J2833</f>
        <v>8207000000</v>
      </c>
      <c r="K2831" s="188" t="s">
        <v>131</v>
      </c>
      <c r="L2831" s="188">
        <f>L2833</f>
        <v>107209000000</v>
      </c>
      <c r="M2831" s="194">
        <f>Tableau3[[#This Row],[Fonds propres]]/Tableau3[[#This Row],[Titres]]</f>
        <v>85.845533293689797</v>
      </c>
      <c r="N2831" s="190">
        <f>Tableau3[[#This Row],[Résultat Net (PdG)]]/L2833</f>
        <v>7.6551408930220416E-2</v>
      </c>
      <c r="O2831" s="188" t="s">
        <v>131</v>
      </c>
      <c r="P2831" s="188">
        <v>1248859386</v>
      </c>
      <c r="Q2831" s="188">
        <f>P2831*E2831</f>
        <v>56198672370</v>
      </c>
      <c r="R2831" s="195">
        <f>Tableau3[[#This Row],[Cours]]/Tableau3[[#This Row],[Actif net/action]]</f>
        <v>0.52419733763023624</v>
      </c>
      <c r="S2831" s="188" t="s">
        <v>131</v>
      </c>
      <c r="T2831" s="194"/>
      <c r="U2831" s="189" t="str">
        <f>IFERROR(IF(Tableau3[[#This Row],[Dettes]]=0,"",(Tableau3[[#This Row],[Dettes]]/Tableau3[[#This Row],[EBE]])),"")</f>
        <v/>
      </c>
      <c r="V2831" s="190" t="str">
        <f>IFERROR(Tableau3[[#This Row],[Fonds propres]]/Tableau3[[#This Row],[Total Bilan]],"")</f>
        <v/>
      </c>
      <c r="W2831" s="194"/>
      <c r="X2831" s="192"/>
      <c r="Y2831" s="180"/>
      <c r="Z2831" s="192" t="str">
        <f>IFERROR(Tableau3[[#This Row],[Chiffre d''affaires]]/Tableau3[[#This Row],[Salariés]],"")</f>
        <v/>
      </c>
      <c r="AA2831" s="188"/>
      <c r="AB2831" s="188"/>
      <c r="AC2831" s="177" t="s">
        <v>1989</v>
      </c>
    </row>
    <row r="2832" spans="1:29" ht="20.25" customHeight="1">
      <c r="A2832" s="217"/>
      <c r="E2832" s="187"/>
      <c r="G2832" s="202">
        <f>(G2831/G2833)-1</f>
        <v>0</v>
      </c>
      <c r="H2832" s="203">
        <f>(H2831/H2833)-1</f>
        <v>0</v>
      </c>
      <c r="I2832" s="203">
        <f>(I2831/I2833)-1</f>
        <v>0</v>
      </c>
      <c r="J2832" s="203">
        <f>(J2831/J2833)-1</f>
        <v>0</v>
      </c>
      <c r="K2832" s="188"/>
      <c r="L2832" s="188"/>
      <c r="M2832" s="188"/>
      <c r="N2832" s="188"/>
      <c r="O2832" s="188"/>
      <c r="P2832" s="188"/>
      <c r="Q2832" s="188"/>
      <c r="R2832" s="188"/>
      <c r="S2832" s="188"/>
      <c r="T2832" s="194"/>
      <c r="U2832" s="189" t="str">
        <f>IFERROR(IF(Tableau3[[#This Row],[Dettes]]=0,"",(Tableau3[[#This Row],[Dettes]]/Tableau3[[#This Row],[EBE]])),"")</f>
        <v/>
      </c>
      <c r="V2832" s="190" t="str">
        <f>IFERROR(Tableau3[[#This Row],[Fonds propres]]/Tableau3[[#This Row],[Total Bilan]],"")</f>
        <v/>
      </c>
      <c r="W2832" s="194"/>
      <c r="X2832" s="192"/>
      <c r="Y2832" s="180"/>
      <c r="Z2832" s="192" t="str">
        <f>IFERROR(Tableau3[[#This Row],[Chiffre d''affaires]]/Tableau3[[#This Row],[Salariés]],"")</f>
        <v/>
      </c>
      <c r="AA2832" s="188"/>
      <c r="AB2832" s="188"/>
      <c r="AC2832" s="177" t="s">
        <v>1990</v>
      </c>
    </row>
    <row r="2833" spans="1:29" ht="20.25" customHeight="1">
      <c r="A2833" s="217"/>
      <c r="E2833" s="187">
        <v>62.25</v>
      </c>
      <c r="F2833" s="178">
        <v>2017</v>
      </c>
      <c r="G2833" s="188">
        <v>43161000000</v>
      </c>
      <c r="H2833" s="188">
        <v>13217000000</v>
      </c>
      <c r="I2833" s="188">
        <v>10310000000</v>
      </c>
      <c r="J2833" s="188">
        <v>8207000000</v>
      </c>
      <c r="K2833" s="188" t="s">
        <v>131</v>
      </c>
      <c r="L2833" s="188">
        <v>107209000000</v>
      </c>
      <c r="M2833" s="194">
        <f>Tableau3[[#This Row],[Fonds propres]]/Tableau3[[#This Row],[Titres]]</f>
        <v>85.845533293689797</v>
      </c>
      <c r="N2833" s="190">
        <f>Tableau3[[#This Row],[Résultat Net (PdG)]]/L2835</f>
        <v>7.7998479376544388E-2</v>
      </c>
      <c r="O2833" s="188" t="s">
        <v>131</v>
      </c>
      <c r="P2833" s="188">
        <v>1248859386</v>
      </c>
      <c r="Q2833" s="188">
        <f>P2833*E2833</f>
        <v>77741496778.5</v>
      </c>
      <c r="R2833" s="195">
        <f>Tableau3[[#This Row],[Cours]]/Tableau3[[#This Row],[Actif net/action]]</f>
        <v>0.72513965038849348</v>
      </c>
      <c r="S2833" s="188" t="s">
        <v>131</v>
      </c>
      <c r="T2833" s="194"/>
      <c r="U2833" s="189" t="str">
        <f>IFERROR(IF(Tableau3[[#This Row],[Dettes]]=0,"",(Tableau3[[#This Row],[Dettes]]/Tableau3[[#This Row],[EBE]])),"")</f>
        <v/>
      </c>
      <c r="V2833" s="190" t="str">
        <f>IFERROR(Tableau3[[#This Row],[Fonds propres]]/Tableau3[[#This Row],[Total Bilan]],"")</f>
        <v/>
      </c>
      <c r="W2833" s="194"/>
      <c r="X2833" s="192"/>
      <c r="Y2833" s="180"/>
      <c r="Z2833" s="192" t="str">
        <f>IFERROR(Tableau3[[#This Row],[Chiffre d''affaires]]/Tableau3[[#This Row],[Salariés]],"")</f>
        <v/>
      </c>
      <c r="AA2833" s="188"/>
      <c r="AB2833" s="188"/>
      <c r="AC2833" s="177" t="s">
        <v>1991</v>
      </c>
    </row>
    <row r="2834" spans="1:29" ht="20.25" customHeight="1">
      <c r="A2834" s="217"/>
      <c r="E2834" s="187"/>
      <c r="G2834" s="202">
        <f>(G2833/G2835)-1</f>
        <v>-5.7589090322729408E-3</v>
      </c>
      <c r="H2834" s="203">
        <f>(H2833/H2835)-1</f>
        <v>-5.8148649611629688E-2</v>
      </c>
      <c r="I2834" s="203">
        <f>(I2833/I2835)-1</f>
        <v>-4.2800111410268293E-2</v>
      </c>
      <c r="J2834" s="203">
        <f>(J2833/J2835)-1</f>
        <v>1.1337030191004294E-2</v>
      </c>
      <c r="K2834" s="188"/>
      <c r="L2834" s="188"/>
      <c r="M2834" s="188"/>
      <c r="N2834" s="188"/>
      <c r="O2834" s="188"/>
      <c r="P2834" s="188"/>
      <c r="Q2834" s="188"/>
      <c r="R2834" s="188"/>
      <c r="S2834" s="188"/>
      <c r="T2834" s="194"/>
      <c r="U2834" s="189" t="str">
        <f>IFERROR(IF(Tableau3[[#This Row],[Dettes]]=0,"",(Tableau3[[#This Row],[Dettes]]/Tableau3[[#This Row],[EBE]])),"")</f>
        <v/>
      </c>
      <c r="V2834" s="190" t="str">
        <f>IFERROR(Tableau3[[#This Row],[Fonds propres]]/Tableau3[[#This Row],[Total Bilan]],"")</f>
        <v/>
      </c>
      <c r="W2834" s="194"/>
      <c r="X2834" s="192"/>
      <c r="Y2834" s="180"/>
      <c r="Z2834" s="192" t="str">
        <f>IFERROR(Tableau3[[#This Row],[Chiffre d''affaires]]/Tableau3[[#This Row],[Salariés]],"")</f>
        <v/>
      </c>
      <c r="AA2834" s="188"/>
      <c r="AB2834" s="188"/>
      <c r="AC2834" s="177" t="s">
        <v>1992</v>
      </c>
    </row>
    <row r="2835" spans="1:29" ht="20.25" customHeight="1">
      <c r="A2835" s="217"/>
      <c r="E2835" s="187">
        <v>61.17</v>
      </c>
      <c r="F2835" s="178">
        <v>2016</v>
      </c>
      <c r="G2835" s="188">
        <v>43411000000</v>
      </c>
      <c r="H2835" s="188">
        <v>14033000000</v>
      </c>
      <c r="I2835" s="188">
        <v>10771000000</v>
      </c>
      <c r="J2835" s="188">
        <v>8115000000</v>
      </c>
      <c r="K2835" s="188" t="s">
        <v>131</v>
      </c>
      <c r="L2835" s="188">
        <v>105220000000</v>
      </c>
      <c r="M2835" s="194">
        <f>Tableau3[[#This Row],[Fonds propres]]/Tableau3[[#This Row],[Titres]]</f>
        <v>84.42013269071731</v>
      </c>
      <c r="N2835" s="190">
        <f>Tableau3[[#This Row],[Résultat Net (PdG)]]/L2837</f>
        <v>8.1087562576815847E-2</v>
      </c>
      <c r="O2835" s="188" t="s">
        <v>131</v>
      </c>
      <c r="P2835" s="188">
        <v>1246385153</v>
      </c>
      <c r="Q2835" s="188">
        <f>P2835*E2835</f>
        <v>76241379809.009995</v>
      </c>
      <c r="R2835" s="195">
        <f>Tableau3[[#This Row],[Cours]]/Tableau3[[#This Row],[Actif net/action]]</f>
        <v>0.72459019016356208</v>
      </c>
      <c r="S2835" s="188" t="s">
        <v>131</v>
      </c>
      <c r="T2835" s="194"/>
      <c r="U2835" s="189" t="str">
        <f>IFERROR(IF(Tableau3[[#This Row],[Dettes]]=0,"",(Tableau3[[#This Row],[Dettes]]/Tableau3[[#This Row],[EBE]])),"")</f>
        <v/>
      </c>
      <c r="V2835" s="190" t="str">
        <f>IFERROR(Tableau3[[#This Row],[Fonds propres]]/Tableau3[[#This Row],[Total Bilan]],"")</f>
        <v/>
      </c>
      <c r="W2835" s="194"/>
      <c r="X2835" s="192"/>
      <c r="Y2835" s="180"/>
      <c r="Z2835" s="192" t="str">
        <f>IFERROR(Tableau3[[#This Row],[Chiffre d''affaires]]/Tableau3[[#This Row],[Salariés]],"")</f>
        <v/>
      </c>
      <c r="AA2835" s="188"/>
      <c r="AB2835" s="188"/>
      <c r="AC2835" s="177" t="s">
        <v>1993</v>
      </c>
    </row>
    <row r="2836" spans="1:29" ht="20.25" customHeight="1">
      <c r="A2836" s="217"/>
      <c r="E2836" s="187"/>
      <c r="G2836" s="202">
        <f>(G2835/G2837)-1</f>
        <v>1.1015883366714885E-2</v>
      </c>
      <c r="H2836" s="203">
        <f>(H2835/H2837)-1</f>
        <v>2.5504238526746548E-2</v>
      </c>
      <c r="I2836" s="203">
        <f>(I2835/I2837)-1</f>
        <v>-0.20702348523890157</v>
      </c>
      <c r="J2836" s="203">
        <f>(J2835/J2837)-1</f>
        <v>0.15204429301533229</v>
      </c>
      <c r="K2836" s="188"/>
      <c r="L2836" s="188"/>
      <c r="M2836" s="188"/>
      <c r="N2836" s="188"/>
      <c r="O2836" s="188"/>
      <c r="P2836" s="188"/>
      <c r="Q2836" s="188"/>
      <c r="R2836" s="188"/>
      <c r="S2836" s="188"/>
      <c r="T2836" s="194"/>
      <c r="U2836" s="189" t="str">
        <f>IFERROR(IF(Tableau3[[#This Row],[Dettes]]=0,"",(Tableau3[[#This Row],[Dettes]]/Tableau3[[#This Row],[EBE]])),"")</f>
        <v/>
      </c>
      <c r="V2836" s="190" t="str">
        <f>IFERROR(Tableau3[[#This Row],[Fonds propres]]/Tableau3[[#This Row],[Total Bilan]],"")</f>
        <v/>
      </c>
      <c r="W2836" s="194"/>
      <c r="X2836" s="192"/>
      <c r="Y2836" s="180"/>
      <c r="Z2836" s="192" t="str">
        <f>IFERROR(Tableau3[[#This Row],[Chiffre d''affaires]]/Tableau3[[#This Row],[Salariés]],"")</f>
        <v/>
      </c>
      <c r="AA2836" s="188"/>
      <c r="AB2836" s="188"/>
      <c r="AC2836" s="264" t="s">
        <v>1994</v>
      </c>
    </row>
    <row r="2837" spans="1:29" ht="20.25" customHeight="1">
      <c r="A2837" s="217"/>
      <c r="E2837" s="187">
        <v>53.3</v>
      </c>
      <c r="F2837" s="178">
        <v>2015</v>
      </c>
      <c r="G2837" s="188">
        <v>42938000000</v>
      </c>
      <c r="H2837" s="188">
        <v>13684000000</v>
      </c>
      <c r="I2837" s="188">
        <v>13583000000</v>
      </c>
      <c r="J2837" s="188">
        <v>7044000000</v>
      </c>
      <c r="K2837" s="188" t="s">
        <v>131</v>
      </c>
      <c r="L2837" s="188">
        <v>100077000000</v>
      </c>
      <c r="M2837" s="194">
        <f>Tableau3[[#This Row],[Fonds propres]]/Tableau3[[#This Row],[Titres]]</f>
        <v>80.305247921029959</v>
      </c>
      <c r="N2837" s="190">
        <f>Tableau3[[#This Row],[Résultat Net (PdG)]]/L2839</f>
        <v>7.5184920321489185E-2</v>
      </c>
      <c r="O2837" s="188" t="s">
        <v>131</v>
      </c>
      <c r="P2837" s="188">
        <v>1246207472</v>
      </c>
      <c r="Q2837" s="188">
        <f>P2837*E2837</f>
        <v>66422858257.599998</v>
      </c>
      <c r="R2837" s="195">
        <f>Tableau3[[#This Row],[Cours]]/Tableau3[[#This Row],[Actif net/action]]</f>
        <v>0.66371752008553409</v>
      </c>
      <c r="S2837" s="188" t="s">
        <v>131</v>
      </c>
      <c r="T2837" s="194"/>
      <c r="U2837" s="189" t="str">
        <f>IFERROR(IF(Tableau3[[#This Row],[Dettes]]=0,"",(Tableau3[[#This Row],[Dettes]]/Tableau3[[#This Row],[EBE]])),"")</f>
        <v/>
      </c>
      <c r="V2837" s="190" t="str">
        <f>IFERROR(Tableau3[[#This Row],[Fonds propres]]/Tableau3[[#This Row],[Total Bilan]],"")</f>
        <v/>
      </c>
      <c r="W2837" s="194"/>
      <c r="X2837" s="192"/>
      <c r="Y2837" s="180"/>
      <c r="Z2837" s="192" t="str">
        <f>IFERROR(Tableau3[[#This Row],[Chiffre d''affaires]]/Tableau3[[#This Row],[Salariés]],"")</f>
        <v/>
      </c>
      <c r="AA2837" s="188"/>
      <c r="AB2837" s="188"/>
      <c r="AC2837" s="177" t="s">
        <v>1995</v>
      </c>
    </row>
    <row r="2838" spans="1:29" ht="20.25" customHeight="1">
      <c r="A2838" s="217"/>
      <c r="E2838" s="187"/>
      <c r="G2838" s="202">
        <f>(G2837/G2839)-1</f>
        <v>9.625204248366015E-2</v>
      </c>
      <c r="H2838" s="203">
        <f>(H2837/H2839)-1</f>
        <v>8.2252451755773448E-2</v>
      </c>
      <c r="I2838" s="203">
        <f>(I2837/I2839)-1</f>
        <v>8.7771282133418671E-2</v>
      </c>
      <c r="J2838" s="203">
        <f>(J2837/J2839)-1</f>
        <v>12.893491124260356</v>
      </c>
      <c r="K2838" s="188"/>
      <c r="L2838" s="188"/>
      <c r="M2838" s="194"/>
      <c r="N2838" s="190"/>
      <c r="O2838" s="188"/>
      <c r="P2838" s="188"/>
      <c r="Q2838" s="188"/>
      <c r="R2838" s="188"/>
      <c r="S2838" s="188"/>
      <c r="T2838" s="194"/>
      <c r="U2838" s="189" t="str">
        <f>IFERROR(IF(Tableau3[[#This Row],[Dettes]]=0,"",(Tableau3[[#This Row],[Dettes]]/Tableau3[[#This Row],[EBE]])),"")</f>
        <v/>
      </c>
      <c r="V2838" s="190" t="str">
        <f>IFERROR(Tableau3[[#This Row],[Fonds propres]]/Tableau3[[#This Row],[Total Bilan]],"")</f>
        <v/>
      </c>
      <c r="W2838" s="194"/>
      <c r="X2838" s="192"/>
      <c r="Y2838" s="180"/>
      <c r="Z2838" s="192" t="str">
        <f>IFERROR(Tableau3[[#This Row],[Chiffre d''affaires]]/Tableau3[[#This Row],[Salariés]],"")</f>
        <v/>
      </c>
      <c r="AA2838" s="188"/>
      <c r="AB2838" s="188"/>
      <c r="AC2838" s="177" t="s">
        <v>1996</v>
      </c>
    </row>
    <row r="2839" spans="1:29" ht="20.25" customHeight="1">
      <c r="A2839" s="217"/>
      <c r="E2839" s="187">
        <v>49.43</v>
      </c>
      <c r="F2839" s="178">
        <v>2014</v>
      </c>
      <c r="G2839" s="188">
        <v>39168000000</v>
      </c>
      <c r="H2839" s="188">
        <v>12644000000</v>
      </c>
      <c r="I2839" s="188">
        <v>12487000000</v>
      </c>
      <c r="J2839" s="188">
        <v>507000000</v>
      </c>
      <c r="K2839" s="188" t="s">
        <v>131</v>
      </c>
      <c r="L2839" s="188">
        <v>93689000000</v>
      </c>
      <c r="M2839" s="194">
        <f>Tableau3[[#This Row],[Fonds propres]]/Tableau3[[#This Row],[Titres]]</f>
        <v>75.179295667070107</v>
      </c>
      <c r="N2839" s="190">
        <f>Tableau3[[#This Row],[Résultat Net (PdG)]]/L2841</f>
        <v>5.5615278295781138E-3</v>
      </c>
      <c r="O2839" s="188" t="s">
        <v>131</v>
      </c>
      <c r="P2839" s="188">
        <v>1246207472</v>
      </c>
      <c r="Q2839" s="188">
        <f>P2839*E2839</f>
        <v>61600035340.959999</v>
      </c>
      <c r="R2839" s="195">
        <f>Tableau3[[#This Row],[Cours]]/Tableau3[[#This Row],[Actif net/action]]</f>
        <v>0.65749485362166327</v>
      </c>
      <c r="S2839" s="188" t="s">
        <v>131</v>
      </c>
      <c r="T2839" s="194"/>
      <c r="U2839" s="189" t="str">
        <f>IFERROR(IF(Tableau3[[#This Row],[Dettes]]=0,"",(Tableau3[[#This Row],[Dettes]]/Tableau3[[#This Row],[EBE]])),"")</f>
        <v/>
      </c>
      <c r="V2839" s="190" t="str">
        <f>IFERROR(Tableau3[[#This Row],[Fonds propres]]/Tableau3[[#This Row],[Total Bilan]],"")</f>
        <v/>
      </c>
      <c r="W2839" s="194"/>
      <c r="X2839" s="192"/>
      <c r="Y2839" s="180"/>
      <c r="Z2839" s="192" t="str">
        <f>IFERROR(Tableau3[[#This Row],[Chiffre d''affaires]]/Tableau3[[#This Row],[Salariés]],"")</f>
        <v/>
      </c>
      <c r="AA2839" s="188"/>
      <c r="AB2839" s="188"/>
      <c r="AC2839" s="177" t="s">
        <v>1997</v>
      </c>
    </row>
    <row r="2840" spans="1:29" ht="20.25" customHeight="1">
      <c r="A2840" s="217"/>
      <c r="E2840" s="187"/>
      <c r="G2840" s="202">
        <f>(G2839/G2841)-1</f>
        <v>8.9124723095153069E-3</v>
      </c>
      <c r="H2840" s="203">
        <f>(H2839/H2841)-1</f>
        <v>-3.1535793125196943E-3</v>
      </c>
      <c r="I2840" s="203">
        <f>(I2839/I2841)-1</f>
        <v>-4.0715986786509895E-2</v>
      </c>
      <c r="J2840" s="203">
        <f>(J2839/J2841)-1</f>
        <v>-0.90678433535576397</v>
      </c>
      <c r="K2840" s="188"/>
      <c r="L2840" s="188"/>
      <c r="M2840" s="194"/>
      <c r="N2840" s="190"/>
      <c r="O2840" s="188"/>
      <c r="P2840" s="188"/>
      <c r="Q2840" s="188"/>
      <c r="R2840" s="188"/>
      <c r="S2840" s="188"/>
      <c r="T2840" s="194"/>
      <c r="U2840" s="189" t="str">
        <f>IFERROR(IF(Tableau3[[#This Row],[Dettes]]=0,"",(Tableau3[[#This Row],[Dettes]]/Tableau3[[#This Row],[EBE]])),"")</f>
        <v/>
      </c>
      <c r="V2840" s="190" t="str">
        <f>IFERROR(Tableau3[[#This Row],[Fonds propres]]/Tableau3[[#This Row],[Total Bilan]],"")</f>
        <v/>
      </c>
      <c r="W2840" s="194"/>
      <c r="X2840" s="192"/>
      <c r="Y2840" s="180"/>
      <c r="Z2840" s="192" t="str">
        <f>IFERROR(Tableau3[[#This Row],[Chiffre d''affaires]]/Tableau3[[#This Row],[Salariés]],"")</f>
        <v/>
      </c>
      <c r="AA2840" s="188"/>
      <c r="AB2840" s="188"/>
      <c r="AC2840" s="177" t="s">
        <v>1998</v>
      </c>
    </row>
    <row r="2841" spans="1:29" ht="20.25" customHeight="1">
      <c r="A2841" s="217"/>
      <c r="E2841" s="187">
        <v>55.68</v>
      </c>
      <c r="F2841" s="178">
        <v>2013</v>
      </c>
      <c r="G2841" s="188">
        <v>38822000000</v>
      </c>
      <c r="H2841" s="188">
        <v>12684000000</v>
      </c>
      <c r="I2841" s="188">
        <v>13017000000</v>
      </c>
      <c r="J2841" s="188">
        <v>5439000000</v>
      </c>
      <c r="K2841" s="188" t="s">
        <v>131</v>
      </c>
      <c r="L2841" s="188">
        <v>91162000000</v>
      </c>
      <c r="M2841" s="194">
        <f>Tableau3[[#This Row],[Fonds propres]]/Tableau3[[#This Row],[Titres]]</f>
        <v>73.254098720986349</v>
      </c>
      <c r="N2841" s="190">
        <f>Tableau3[[#This Row],[Résultat Net (PdG)]]/L2843</f>
        <v>5.760310097223105E-2</v>
      </c>
      <c r="O2841" s="188" t="s">
        <v>131</v>
      </c>
      <c r="P2841" s="188">
        <v>1244462789</v>
      </c>
      <c r="Q2841" s="188">
        <f>P2841*E2841</f>
        <v>69291688091.520004</v>
      </c>
      <c r="R2841" s="195">
        <f>Tableau3[[#This Row],[Cours]]/Tableau3[[#This Row],[Actif net/action]]</f>
        <v>0.76009398753340207</v>
      </c>
      <c r="S2841" s="188" t="s">
        <v>131</v>
      </c>
      <c r="T2841" s="194"/>
      <c r="U2841" s="189" t="str">
        <f>IFERROR(IF(Tableau3[[#This Row],[Dettes]]=0,"",(Tableau3[[#This Row],[Dettes]]/Tableau3[[#This Row],[EBE]])),"")</f>
        <v/>
      </c>
      <c r="V2841" s="190" t="str">
        <f>IFERROR(Tableau3[[#This Row],[Fonds propres]]/Tableau3[[#This Row],[Total Bilan]],"")</f>
        <v/>
      </c>
      <c r="W2841" s="194"/>
      <c r="X2841" s="192"/>
      <c r="Y2841" s="180"/>
      <c r="Z2841" s="192" t="str">
        <f>IFERROR(Tableau3[[#This Row],[Chiffre d''affaires]]/Tableau3[[#This Row],[Salariés]],"")</f>
        <v/>
      </c>
      <c r="AA2841" s="188"/>
      <c r="AB2841" s="188"/>
      <c r="AC2841" s="177" t="s">
        <v>1999</v>
      </c>
    </row>
    <row r="2842" spans="1:29" ht="20.25" customHeight="1">
      <c r="A2842" s="217"/>
      <c r="E2842" s="187"/>
      <c r="G2842" s="202">
        <f>(G2841/G2843)-1</f>
        <v>-6.3984438984439063E-3</v>
      </c>
      <c r="H2842" s="203">
        <f>(H2841/H2843)-1</f>
        <v>1.2937230474365125E-2</v>
      </c>
      <c r="I2842" s="203">
        <f>(I2841/I2843)-1</f>
        <v>0.30170000000000008</v>
      </c>
      <c r="J2842" s="203">
        <f>(J2841/J2843)-1</f>
        <v>-0.25625598249692327</v>
      </c>
      <c r="K2842" s="188"/>
      <c r="L2842" s="188"/>
      <c r="M2842" s="188"/>
      <c r="N2842" s="188"/>
      <c r="O2842" s="188"/>
      <c r="P2842" s="188"/>
      <c r="Q2842" s="188"/>
      <c r="R2842" s="188"/>
      <c r="S2842" s="188"/>
      <c r="T2842" s="194"/>
      <c r="U2842" s="189" t="str">
        <f>IFERROR(IF(Tableau3[[#This Row],[Dettes]]=0,"",(Tableau3[[#This Row],[Dettes]]/Tableau3[[#This Row],[EBE]])),"")</f>
        <v/>
      </c>
      <c r="V2842" s="190" t="str">
        <f>IFERROR(Tableau3[[#This Row],[Fonds propres]]/Tableau3[[#This Row],[Total Bilan]],"")</f>
        <v/>
      </c>
      <c r="W2842" s="194"/>
      <c r="X2842" s="192"/>
      <c r="Y2842" s="180"/>
      <c r="Z2842" s="192" t="str">
        <f>IFERROR(Tableau3[[#This Row],[Chiffre d''affaires]]/Tableau3[[#This Row],[Salariés]],"")</f>
        <v/>
      </c>
      <c r="AA2842" s="188"/>
      <c r="AB2842" s="188"/>
      <c r="AC2842" s="177" t="s">
        <v>4697</v>
      </c>
    </row>
    <row r="2843" spans="1:29" ht="20.25" customHeight="1">
      <c r="A2843" s="217"/>
      <c r="E2843" s="187">
        <v>42.33</v>
      </c>
      <c r="F2843" s="178">
        <v>2012</v>
      </c>
      <c r="G2843" s="188">
        <v>39072000000</v>
      </c>
      <c r="H2843" s="188">
        <v>12522000000</v>
      </c>
      <c r="I2843" s="188">
        <v>10000000000</v>
      </c>
      <c r="J2843" s="188">
        <v>7313000000</v>
      </c>
      <c r="K2843" s="188" t="s">
        <v>131</v>
      </c>
      <c r="L2843" s="188">
        <v>94422000000</v>
      </c>
      <c r="M2843" s="194">
        <f>Tableau3[[#This Row],[Fonds propres]]/Tableau3[[#This Row],[Titres]]</f>
        <v>75.313166763046127</v>
      </c>
      <c r="N2843" s="190">
        <f>Tableau3[[#This Row],[Résultat Net (PdG)]]/L2845</f>
        <v>8.5406301824212272E-2</v>
      </c>
      <c r="O2843" s="188" t="s">
        <v>131</v>
      </c>
      <c r="P2843" s="188">
        <v>1253725000</v>
      </c>
      <c r="Q2843" s="188">
        <f>P2843*E2843</f>
        <v>53070179250</v>
      </c>
      <c r="R2843" s="195">
        <f>Tableau3[[#This Row],[Cours]]/Tableau3[[#This Row],[Actif net/action]]</f>
        <v>0.56205311526974644</v>
      </c>
      <c r="S2843" s="188" t="s">
        <v>131</v>
      </c>
      <c r="T2843" s="194"/>
      <c r="U2843" s="189" t="str">
        <f>IFERROR(IF(Tableau3[[#This Row],[Dettes]]=0,"",(Tableau3[[#This Row],[Dettes]]/Tableau3[[#This Row],[EBE]])),"")</f>
        <v/>
      </c>
      <c r="V2843" s="190" t="str">
        <f>IFERROR(Tableau3[[#This Row],[Fonds propres]]/Tableau3[[#This Row],[Total Bilan]],"")</f>
        <v/>
      </c>
      <c r="W2843" s="194"/>
      <c r="X2843" s="192"/>
      <c r="Y2843" s="180"/>
      <c r="Z2843" s="192" t="str">
        <f>IFERROR(Tableau3[[#This Row],[Chiffre d''affaires]]/Tableau3[[#This Row],[Salariés]],"")</f>
        <v/>
      </c>
      <c r="AA2843" s="188"/>
      <c r="AB2843" s="188"/>
      <c r="AC2843" s="177" t="s">
        <v>2000</v>
      </c>
    </row>
    <row r="2844" spans="1:29" ht="20.25" customHeight="1">
      <c r="A2844" s="217"/>
      <c r="E2844" s="187"/>
      <c r="G2844" s="202">
        <f>(G2843/G2845)-1</f>
        <v>-7.8142695356738345E-2</v>
      </c>
      <c r="H2844" s="203">
        <f>(H2843/H2845)-1</f>
        <v>-0.23026801081878534</v>
      </c>
      <c r="I2844" s="203">
        <f>(I2843/I2845)-1</f>
        <v>5.5854714391299742E-2</v>
      </c>
      <c r="J2844" s="203">
        <f>(J2843/J2845)-1</f>
        <v>6.0777487670438113E-2</v>
      </c>
      <c r="K2844" s="188"/>
      <c r="L2844" s="188"/>
      <c r="M2844" s="188"/>
      <c r="N2844" s="188"/>
      <c r="O2844" s="188"/>
      <c r="P2844" s="188"/>
      <c r="Q2844" s="188"/>
      <c r="R2844" s="188"/>
      <c r="S2844" s="188"/>
      <c r="T2844" s="194"/>
      <c r="U2844" s="189" t="str">
        <f>IFERROR(IF(Tableau3[[#This Row],[Dettes]]=0,"",(Tableau3[[#This Row],[Dettes]]/Tableau3[[#This Row],[EBE]])),"")</f>
        <v/>
      </c>
      <c r="V2844" s="190" t="str">
        <f>IFERROR(Tableau3[[#This Row],[Fonds propres]]/Tableau3[[#This Row],[Total Bilan]],"")</f>
        <v/>
      </c>
      <c r="W2844" s="194"/>
      <c r="X2844" s="192"/>
      <c r="Y2844" s="180"/>
      <c r="Z2844" s="192" t="str">
        <f>IFERROR(Tableau3[[#This Row],[Chiffre d''affaires]]/Tableau3[[#This Row],[Salariés]],"")</f>
        <v/>
      </c>
      <c r="AA2844" s="188"/>
      <c r="AB2844" s="188"/>
      <c r="AC2844" s="177" t="s">
        <v>4895</v>
      </c>
    </row>
    <row r="2845" spans="1:29" ht="20.25" customHeight="1">
      <c r="A2845" s="217"/>
      <c r="E2845" s="187">
        <v>30.35</v>
      </c>
      <c r="F2845" s="178">
        <v>2011</v>
      </c>
      <c r="G2845" s="188">
        <v>42384000000</v>
      </c>
      <c r="H2845" s="188">
        <v>16268000000</v>
      </c>
      <c r="I2845" s="188">
        <v>9471000000</v>
      </c>
      <c r="J2845" s="188">
        <v>6894000000</v>
      </c>
      <c r="K2845" s="188" t="s">
        <v>131</v>
      </c>
      <c r="L2845" s="188">
        <v>85626000000</v>
      </c>
      <c r="M2845" s="194">
        <f>Tableau3[[#This Row],[Fonds propres]]/Tableau3[[#This Row],[Titres]]</f>
        <v>68.297274123113127</v>
      </c>
      <c r="N2845" s="190">
        <f>Tableau3[[#This Row],[Résultat Net (PdG)]]/L2847</f>
        <v>8.0510107557019234E-2</v>
      </c>
      <c r="O2845" s="188" t="s">
        <v>131</v>
      </c>
      <c r="P2845" s="188">
        <v>1253725000</v>
      </c>
      <c r="Q2845" s="188">
        <f>P2845*E2845</f>
        <v>38050553750</v>
      </c>
      <c r="R2845" s="195">
        <f>Tableau3[[#This Row],[Cours]]/Tableau3[[#This Row],[Actif net/action]]</f>
        <v>0.4443808393478616</v>
      </c>
      <c r="S2845" s="188" t="s">
        <v>131</v>
      </c>
      <c r="T2845" s="194"/>
      <c r="U2845" s="189" t="str">
        <f>IFERROR(IF(Tableau3[[#This Row],[Dettes]]=0,"",(Tableau3[[#This Row],[Dettes]]/Tableau3[[#This Row],[EBE]])),"")</f>
        <v/>
      </c>
      <c r="V2845" s="190" t="str">
        <f>IFERROR(Tableau3[[#This Row],[Fonds propres]]/Tableau3[[#This Row],[Total Bilan]],"")</f>
        <v/>
      </c>
      <c r="W2845" s="194"/>
      <c r="X2845" s="192"/>
      <c r="Y2845" s="180"/>
      <c r="Z2845" s="192" t="str">
        <f>IFERROR(Tableau3[[#This Row],[Chiffre d''affaires]]/Tableau3[[#This Row],[Salariés]],"")</f>
        <v/>
      </c>
      <c r="AA2845" s="188"/>
      <c r="AB2845" s="188"/>
      <c r="AC2845" s="177" t="s">
        <v>4698</v>
      </c>
    </row>
    <row r="2846" spans="1:29" ht="20.25" customHeight="1">
      <c r="A2846" s="217"/>
      <c r="E2846" s="187"/>
      <c r="G2846" s="202">
        <f>(G2845/G2847)-1</f>
        <v>-3.4092980856882393E-2</v>
      </c>
      <c r="H2846" s="203">
        <f>(H2845/H2847)-1</f>
        <v>-6.306513851292983E-2</v>
      </c>
      <c r="I2846" s="203">
        <f>(I2845/I2847)-1</f>
        <v>-0.24599952233102462</v>
      </c>
      <c r="J2846" s="203">
        <f>(J2845/J2847)-1</f>
        <v>-0.24770842426887818</v>
      </c>
      <c r="K2846" s="188"/>
      <c r="L2846" s="188"/>
      <c r="M2846" s="188"/>
      <c r="N2846" s="188"/>
      <c r="O2846" s="188"/>
      <c r="P2846" s="188"/>
      <c r="Q2846" s="188"/>
      <c r="R2846" s="188"/>
      <c r="S2846" s="188"/>
      <c r="T2846" s="194"/>
      <c r="U2846" s="189" t="str">
        <f>IFERROR(IF(Tableau3[[#This Row],[Dettes]]=0,"",(Tableau3[[#This Row],[Dettes]]/Tableau3[[#This Row],[EBE]])),"")</f>
        <v/>
      </c>
      <c r="V2846" s="190" t="str">
        <f>IFERROR(Tableau3[[#This Row],[Fonds propres]]/Tableau3[[#This Row],[Total Bilan]],"")</f>
        <v/>
      </c>
      <c r="W2846" s="194"/>
      <c r="X2846" s="192"/>
      <c r="Y2846" s="180"/>
      <c r="Z2846" s="192" t="str">
        <f>IFERROR(Tableau3[[#This Row],[Chiffre d''affaires]]/Tableau3[[#This Row],[Salariés]],"")</f>
        <v/>
      </c>
      <c r="AA2846" s="188"/>
      <c r="AB2846" s="188"/>
      <c r="AC2846" s="177" t="s">
        <v>2001</v>
      </c>
    </row>
    <row r="2847" spans="1:29" ht="20.25" customHeight="1">
      <c r="A2847" s="217"/>
      <c r="E2847" s="187">
        <v>47.61</v>
      </c>
      <c r="F2847" s="178">
        <v>2010</v>
      </c>
      <c r="G2847" s="188">
        <v>43880000000</v>
      </c>
      <c r="H2847" s="188">
        <v>17363000000</v>
      </c>
      <c r="I2847" s="188">
        <v>12561000000</v>
      </c>
      <c r="J2847" s="188">
        <v>9164000000</v>
      </c>
      <c r="K2847" s="188" t="s">
        <v>131</v>
      </c>
      <c r="L2847" s="188">
        <v>85629000000</v>
      </c>
      <c r="M2847" s="194">
        <f>Tableau3[[#This Row],[Fonds propres]]/Tableau3[[#This Row],[Titres]]</f>
        <v>68.299666992362759</v>
      </c>
      <c r="N2847" s="190">
        <f>Tableau3[[#This Row],[Résultat Net (PdG)]]/L2849</f>
        <v>0.11405954396096783</v>
      </c>
      <c r="O2847" s="188" t="s">
        <v>131</v>
      </c>
      <c r="P2847" s="188">
        <v>1253725000</v>
      </c>
      <c r="Q2847" s="188">
        <f>P2847*E2847</f>
        <v>59689847250</v>
      </c>
      <c r="R2847" s="195">
        <f>Tableau3[[#This Row],[Cours]]/Tableau3[[#This Row],[Actif net/action]]</f>
        <v>0.69707514101531021</v>
      </c>
      <c r="S2847" s="188" t="s">
        <v>131</v>
      </c>
      <c r="T2847" s="194"/>
      <c r="U2847" s="189" t="str">
        <f>IFERROR(IF(Tableau3[[#This Row],[Dettes]]=0,"",(Tableau3[[#This Row],[Dettes]]/Tableau3[[#This Row],[EBE]])),"")</f>
        <v/>
      </c>
      <c r="V2847" s="190" t="str">
        <f>IFERROR(Tableau3[[#This Row],[Fonds propres]]/Tableau3[[#This Row],[Total Bilan]],"")</f>
        <v/>
      </c>
      <c r="W2847" s="194"/>
      <c r="X2847" s="192"/>
      <c r="Y2847" s="180"/>
      <c r="Z2847" s="192" t="str">
        <f>IFERROR(Tableau3[[#This Row],[Chiffre d''affaires]]/Tableau3[[#This Row],[Salariés]],"")</f>
        <v/>
      </c>
      <c r="AA2847" s="188"/>
      <c r="AB2847" s="188"/>
      <c r="AC2847" s="177" t="s">
        <v>4699</v>
      </c>
    </row>
    <row r="2848" spans="1:29" ht="20.25" customHeight="1">
      <c r="A2848" s="217"/>
      <c r="E2848" s="187"/>
      <c r="G2848" s="202">
        <f>(G2847/G2849)-1</f>
        <v>9.1786718419546665E-2</v>
      </c>
      <c r="H2848" s="203">
        <f>(H2847/H2849)-1</f>
        <v>3.0383953474571346E-2</v>
      </c>
      <c r="I2848" s="203">
        <f>(I2847/I2849)-1</f>
        <v>0.48090073095967933</v>
      </c>
      <c r="J2848" s="203">
        <f>(J2847/J2849)-1</f>
        <v>0.41550818659252386</v>
      </c>
      <c r="K2848" s="188"/>
      <c r="L2848" s="188"/>
      <c r="M2848" s="188"/>
      <c r="N2848" s="188"/>
      <c r="O2848" s="188"/>
      <c r="P2848" s="188"/>
      <c r="Q2848" s="188"/>
      <c r="R2848" s="188"/>
      <c r="S2848" s="188"/>
      <c r="T2848" s="194"/>
      <c r="U2848" s="189" t="str">
        <f>IFERROR(IF(Tableau3[[#This Row],[Dettes]]=0,"",(Tableau3[[#This Row],[Dettes]]/Tableau3[[#This Row],[EBE]])),"")</f>
        <v/>
      </c>
      <c r="V2848" s="190" t="str">
        <f>IFERROR(Tableau3[[#This Row],[Fonds propres]]/Tableau3[[#This Row],[Total Bilan]],"")</f>
        <v/>
      </c>
      <c r="W2848" s="194"/>
      <c r="X2848" s="192"/>
      <c r="Y2848" s="180"/>
      <c r="Z2848" s="192" t="str">
        <f>IFERROR(Tableau3[[#This Row],[Chiffre d''affaires]]/Tableau3[[#This Row],[Salariés]],"")</f>
        <v/>
      </c>
      <c r="AC2848" s="177" t="s">
        <v>2002</v>
      </c>
    </row>
    <row r="2849" spans="1:29" ht="20.25" customHeight="1">
      <c r="A2849" s="217"/>
      <c r="E2849" s="187">
        <v>55.55</v>
      </c>
      <c r="F2849" s="178">
        <v>2009</v>
      </c>
      <c r="G2849" s="188">
        <v>40191000000</v>
      </c>
      <c r="H2849" s="188">
        <v>16851000000</v>
      </c>
      <c r="I2849" s="188">
        <v>8482000000</v>
      </c>
      <c r="J2849" s="188">
        <v>6474000000</v>
      </c>
      <c r="K2849" s="188" t="s">
        <v>131</v>
      </c>
      <c r="L2849" s="188">
        <v>80344000000</v>
      </c>
      <c r="M2849" s="194">
        <f>Tableau3[[#This Row],[Fonds propres]]/Tableau3[[#This Row],[Titres]]</f>
        <v>64.084228997587189</v>
      </c>
      <c r="N2849" s="190">
        <f>J2849/L2849</f>
        <v>8.057851239669421E-2</v>
      </c>
      <c r="O2849" s="188" t="s">
        <v>131</v>
      </c>
      <c r="P2849" s="188">
        <v>1253725000</v>
      </c>
      <c r="Q2849" s="188">
        <f>P2849*E2849</f>
        <v>69644423750</v>
      </c>
      <c r="R2849" s="195">
        <f>Tableau3[[#This Row],[Cours]]/Tableau3[[#This Row],[Actif net/action]]</f>
        <v>0.86682793674698788</v>
      </c>
      <c r="S2849" s="188" t="s">
        <v>131</v>
      </c>
      <c r="T2849" s="194"/>
      <c r="U2849" s="189" t="str">
        <f>IFERROR(IF(Tableau3[[#This Row],[Dettes]]=0,"",(Tableau3[[#This Row],[Dettes]]/Tableau3[[#This Row],[EBE]])),"")</f>
        <v/>
      </c>
      <c r="V2849" s="190" t="str">
        <f>IFERROR(Tableau3[[#This Row],[Fonds propres]]/Tableau3[[#This Row],[Total Bilan]],"")</f>
        <v/>
      </c>
      <c r="W2849" s="194"/>
      <c r="X2849" s="192"/>
      <c r="Y2849" s="180"/>
      <c r="Z2849" s="192" t="str">
        <f>IFERROR(Tableau3[[#This Row],[Chiffre d''affaires]]/Tableau3[[#This Row],[Salariés]],"")</f>
        <v/>
      </c>
      <c r="AC2849" s="177" t="s">
        <v>286</v>
      </c>
    </row>
    <row r="2850" spans="1:29" ht="20.25" customHeight="1">
      <c r="A2850" s="217"/>
      <c r="E2850" s="187"/>
      <c r="G2850" s="188"/>
      <c r="H2850" s="188"/>
      <c r="I2850" s="188"/>
      <c r="J2850" s="188"/>
      <c r="K2850" s="188"/>
      <c r="L2850" s="188"/>
      <c r="M2850" s="188"/>
      <c r="N2850" s="188"/>
      <c r="O2850" s="188"/>
      <c r="P2850" s="188"/>
      <c r="Q2850" s="188"/>
      <c r="R2850" s="188"/>
      <c r="S2850" s="188"/>
      <c r="T2850" s="180"/>
      <c r="U2850" s="189" t="str">
        <f>IFERROR(IF(Tableau3[[#This Row],[Dettes]]=0,"",(Tableau3[[#This Row],[Dettes]]/Tableau3[[#This Row],[EBE]])),"")</f>
        <v/>
      </c>
      <c r="V2850" s="190" t="str">
        <f>IFERROR(Tableau3[[#This Row],[Fonds propres]]/Tableau3[[#This Row],[Total Bilan]],"")</f>
        <v/>
      </c>
      <c r="W2850" s="180"/>
      <c r="X2850" s="192"/>
      <c r="Y2850" s="180"/>
      <c r="Z2850" s="192" t="str">
        <f>IFERROR(Tableau3[[#This Row],[Chiffre d''affaires]]/Tableau3[[#This Row],[Salariés]],"")</f>
        <v/>
      </c>
      <c r="AA2850" s="188"/>
      <c r="AB2850" s="188"/>
      <c r="AC2850" s="177" t="s">
        <v>531</v>
      </c>
    </row>
    <row r="2851" spans="1:29" ht="20.25" customHeight="1">
      <c r="A2851" s="217"/>
      <c r="E2851" s="187">
        <v>29.5</v>
      </c>
      <c r="F2851" s="178">
        <v>2008</v>
      </c>
      <c r="G2851" s="188"/>
      <c r="H2851" s="188"/>
      <c r="I2851" s="188"/>
      <c r="J2851" s="188"/>
      <c r="K2851" s="188"/>
      <c r="L2851" s="188"/>
      <c r="M2851" s="188"/>
      <c r="N2851" s="188"/>
      <c r="O2851" s="188"/>
      <c r="P2851" s="188"/>
      <c r="Q2851" s="188"/>
      <c r="R2851" s="188"/>
      <c r="S2851" s="188"/>
      <c r="T2851" s="180"/>
      <c r="U2851" s="189" t="str">
        <f>IFERROR(IF(Tableau3[[#This Row],[Dettes]]=0,"",(Tableau3[[#This Row],[Dettes]]/Tableau3[[#This Row],[EBE]])),"")</f>
        <v/>
      </c>
      <c r="V2851" s="190" t="str">
        <f>IFERROR(Tableau3[[#This Row],[Fonds propres]]/Tableau3[[#This Row],[Total Bilan]],"")</f>
        <v/>
      </c>
      <c r="W2851" s="180"/>
      <c r="X2851" s="192"/>
      <c r="Y2851" s="180"/>
      <c r="Z2851" s="192" t="str">
        <f>IFERROR(Tableau3[[#This Row],[Chiffre d''affaires]]/Tableau3[[#This Row],[Salariés]],"")</f>
        <v/>
      </c>
      <c r="AA2851" s="188"/>
      <c r="AB2851" s="188"/>
      <c r="AC2851" s="177" t="s">
        <v>2003</v>
      </c>
    </row>
    <row r="2852" spans="1:29" ht="20.25" customHeight="1">
      <c r="A2852" s="217"/>
      <c r="E2852" s="197"/>
      <c r="G2852" s="188"/>
      <c r="H2852" s="188"/>
      <c r="I2852" s="188"/>
      <c r="J2852" s="188"/>
      <c r="K2852" s="188"/>
      <c r="L2852" s="188"/>
      <c r="M2852" s="188"/>
      <c r="N2852" s="188"/>
      <c r="O2852" s="188"/>
      <c r="P2852" s="188"/>
      <c r="Q2852" s="188"/>
      <c r="R2852" s="188"/>
      <c r="S2852" s="188"/>
      <c r="T2852" s="180"/>
      <c r="U2852" s="189" t="str">
        <f>IFERROR(IF(Tableau3[[#This Row],[Dettes]]=0,"",(Tableau3[[#This Row],[Dettes]]/Tableau3[[#This Row],[EBE]])),"")</f>
        <v/>
      </c>
      <c r="V2852" s="190" t="str">
        <f>IFERROR(Tableau3[[#This Row],[Fonds propres]]/Tableau3[[#This Row],[Total Bilan]],"")</f>
        <v/>
      </c>
      <c r="W2852" s="180"/>
      <c r="X2852" s="192"/>
      <c r="Y2852" s="180"/>
      <c r="Z2852" s="192" t="str">
        <f>IFERROR(Tableau3[[#This Row],[Chiffre d''affaires]]/Tableau3[[#This Row],[Salariés]],"")</f>
        <v/>
      </c>
      <c r="AA2852" s="188"/>
      <c r="AB2852" s="188"/>
    </row>
    <row r="2853" spans="1:29" ht="20.25" customHeight="1">
      <c r="A2853" s="217"/>
      <c r="F2853" s="265" t="s">
        <v>2004</v>
      </c>
      <c r="G2853" s="188"/>
      <c r="H2853" s="188"/>
      <c r="I2853" s="188"/>
      <c r="J2853" s="188"/>
      <c r="K2853" s="188"/>
      <c r="L2853" s="188"/>
      <c r="M2853" s="188"/>
      <c r="N2853" s="188"/>
      <c r="O2853" s="188"/>
      <c r="P2853" s="188"/>
      <c r="Q2853" s="188"/>
      <c r="R2853" s="188"/>
      <c r="S2853" s="188"/>
      <c r="T2853" s="180"/>
      <c r="U2853" s="189" t="str">
        <f>IFERROR(IF(Tableau3[[#This Row],[Dettes]]=0,"",(Tableau3[[#This Row],[Dettes]]/Tableau3[[#This Row],[EBE]])),"")</f>
        <v/>
      </c>
      <c r="V2853" s="190" t="str">
        <f>IFERROR(Tableau3[[#This Row],[Fonds propres]]/Tableau3[[#This Row],[Total Bilan]],"")</f>
        <v/>
      </c>
      <c r="W2853" s="180"/>
      <c r="X2853" s="192"/>
      <c r="Y2853" s="180"/>
      <c r="Z2853" s="192" t="str">
        <f>IFERROR(Tableau3[[#This Row],[Chiffre d''affaires]]/Tableau3[[#This Row],[Salariés]],"")</f>
        <v/>
      </c>
      <c r="AA2853" s="188"/>
      <c r="AB2853" s="188"/>
    </row>
    <row r="2854" spans="1:29" ht="20.25" customHeight="1">
      <c r="A2854" s="217"/>
      <c r="F2854" s="221"/>
      <c r="G2854" s="188"/>
      <c r="H2854" s="188"/>
      <c r="I2854" s="188"/>
      <c r="J2854" s="188"/>
      <c r="K2854" s="188"/>
      <c r="L2854" s="188"/>
      <c r="M2854" s="188"/>
      <c r="N2854" s="188"/>
      <c r="O2854" s="188"/>
      <c r="P2854" s="188"/>
      <c r="Q2854" s="188"/>
      <c r="R2854" s="188"/>
      <c r="S2854" s="188"/>
      <c r="T2854" s="180"/>
      <c r="U2854" s="189" t="str">
        <f>IFERROR(IF(Tableau3[[#This Row],[Dettes]]=0,"",(Tableau3[[#This Row],[Dettes]]/Tableau3[[#This Row],[EBE]])),"")</f>
        <v/>
      </c>
      <c r="V2854" s="190" t="str">
        <f>IFERROR(Tableau3[[#This Row],[Fonds propres]]/Tableau3[[#This Row],[Total Bilan]],"")</f>
        <v/>
      </c>
      <c r="W2854" s="180"/>
      <c r="X2854" s="192"/>
      <c r="Y2854" s="180"/>
      <c r="Z2854" s="192" t="str">
        <f>IFERROR(Tableau3[[#This Row],[Chiffre d''affaires]]/Tableau3[[#This Row],[Salariés]],"")</f>
        <v/>
      </c>
      <c r="AA2854" s="188"/>
      <c r="AB2854" s="188"/>
    </row>
    <row r="2855" spans="1:29" ht="20.25" customHeight="1">
      <c r="A2855" s="217"/>
      <c r="F2855" s="221"/>
      <c r="G2855" s="188"/>
      <c r="H2855" s="188"/>
      <c r="I2855" s="188"/>
      <c r="J2855" s="188"/>
      <c r="K2855" s="188"/>
      <c r="L2855" s="188"/>
      <c r="M2855" s="188"/>
      <c r="N2855" s="188"/>
      <c r="O2855" s="188"/>
      <c r="P2855" s="188"/>
      <c r="Q2855" s="188"/>
      <c r="R2855" s="188"/>
      <c r="S2855" s="188"/>
      <c r="T2855" s="180"/>
      <c r="U2855" s="189" t="str">
        <f>IFERROR(IF(Tableau3[[#This Row],[Dettes]]=0,"",(Tableau3[[#This Row],[Dettes]]/Tableau3[[#This Row],[EBE]])),"")</f>
        <v/>
      </c>
      <c r="V2855" s="190" t="str">
        <f>IFERROR(Tableau3[[#This Row],[Fonds propres]]/Tableau3[[#This Row],[Total Bilan]],"")</f>
        <v/>
      </c>
      <c r="W2855" s="180"/>
      <c r="X2855" s="192"/>
      <c r="Y2855" s="180"/>
      <c r="Z2855" s="192" t="str">
        <f>IFERROR(Tableau3[[#This Row],[Chiffre d''affaires]]/Tableau3[[#This Row],[Salariés]],"")</f>
        <v/>
      </c>
      <c r="AA2855" s="188"/>
      <c r="AB2855" s="188"/>
    </row>
    <row r="2856" spans="1:29" ht="20.25" customHeight="1">
      <c r="A2856" s="217"/>
      <c r="F2856" s="221"/>
      <c r="G2856" s="188"/>
      <c r="H2856" s="188"/>
      <c r="I2856" s="188"/>
      <c r="J2856" s="188"/>
      <c r="K2856" s="188"/>
      <c r="L2856" s="188"/>
      <c r="M2856" s="188"/>
      <c r="N2856" s="188"/>
      <c r="O2856" s="188"/>
      <c r="P2856" s="188"/>
      <c r="Q2856" s="188"/>
      <c r="R2856" s="188"/>
      <c r="S2856" s="188"/>
      <c r="T2856" s="180"/>
      <c r="U2856" s="189" t="str">
        <f>IFERROR(IF(Tableau3[[#This Row],[Dettes]]=0,"",(Tableau3[[#This Row],[Dettes]]/Tableau3[[#This Row],[EBE]])),"")</f>
        <v/>
      </c>
      <c r="V2856" s="190" t="str">
        <f>IFERROR(Tableau3[[#This Row],[Fonds propres]]/Tableau3[[#This Row],[Total Bilan]],"")</f>
        <v/>
      </c>
      <c r="W2856" s="180"/>
      <c r="X2856" s="192"/>
      <c r="Y2856" s="180"/>
      <c r="Z2856" s="192" t="str">
        <f>IFERROR(Tableau3[[#This Row],[Chiffre d''affaires]]/Tableau3[[#This Row],[Salariés]],"")</f>
        <v/>
      </c>
      <c r="AA2856" s="188"/>
      <c r="AB2856" s="188"/>
    </row>
    <row r="2857" spans="1:29" ht="20.25" customHeight="1">
      <c r="A2857" s="217" t="s">
        <v>1881</v>
      </c>
      <c r="B2857" s="216" t="s">
        <v>1882</v>
      </c>
      <c r="C2857" s="178" t="s">
        <v>382</v>
      </c>
      <c r="D2857" s="178" t="s">
        <v>383</v>
      </c>
      <c r="E2857" s="187">
        <v>382.55</v>
      </c>
      <c r="F2857" s="178">
        <v>2021</v>
      </c>
      <c r="G2857" s="188"/>
      <c r="H2857" s="178"/>
      <c r="I2857" s="178"/>
      <c r="J2857" s="178"/>
      <c r="K2857" s="178"/>
      <c r="L2857" s="178"/>
      <c r="M2857" s="178"/>
      <c r="N2857" s="178"/>
      <c r="O2857" s="178"/>
      <c r="P2857" s="178"/>
      <c r="Q2857" s="178"/>
      <c r="R2857" s="178"/>
      <c r="S2857" s="178"/>
      <c r="T2857" s="180"/>
      <c r="U2857" s="189" t="str">
        <f>IFERROR(IF(Tableau3[[#This Row],[Dettes]]=0,"",(Tableau3[[#This Row],[Dettes]]/Tableau3[[#This Row],[EBE]])),"")</f>
        <v/>
      </c>
      <c r="V2857" s="190" t="str">
        <f>IFERROR(Tableau3[[#This Row],[Fonds propres]]/Tableau3[[#This Row],[Total Bilan]],"")</f>
        <v/>
      </c>
      <c r="W2857" s="180"/>
      <c r="Y2857" s="180">
        <v>49500</v>
      </c>
      <c r="Z2857" s="192">
        <f>IFERROR(Tableau3[[#This Row],[Chiffre d''affaires]]/Tableau3[[#This Row],[Salariés]],"")</f>
        <v>0</v>
      </c>
      <c r="AA2857" s="177"/>
      <c r="AC2857" s="177" t="s">
        <v>4634</v>
      </c>
    </row>
    <row r="2858" spans="1:29" ht="20.25" customHeight="1">
      <c r="A2858" s="217"/>
      <c r="G2858" s="188"/>
      <c r="H2858" s="178"/>
      <c r="I2858" s="178"/>
      <c r="J2858" s="178"/>
      <c r="K2858" s="178"/>
      <c r="L2858" s="178"/>
      <c r="M2858" s="178"/>
      <c r="N2858" s="178"/>
      <c r="O2858" s="178"/>
      <c r="P2858" s="178"/>
      <c r="Q2858" s="178"/>
      <c r="R2858" s="178"/>
      <c r="S2858" s="178"/>
      <c r="T2858" s="180"/>
      <c r="U2858" s="189" t="str">
        <f>IFERROR(IF(Tableau3[[#This Row],[Dettes]]=0,"",(Tableau3[[#This Row],[Dettes]]/Tableau3[[#This Row],[EBE]])),"")</f>
        <v/>
      </c>
      <c r="V2858" s="190" t="str">
        <f>IFERROR(Tableau3[[#This Row],[Fonds propres]]/Tableau3[[#This Row],[Total Bilan]],"")</f>
        <v/>
      </c>
      <c r="W2858" s="180"/>
      <c r="Y2858" s="180"/>
      <c r="Z2858" s="192" t="str">
        <f>IFERROR(Tableau3[[#This Row],[Chiffre d''affaires]]/Tableau3[[#This Row],[Salariés]],"")</f>
        <v/>
      </c>
      <c r="AA2858" s="177"/>
      <c r="AC2858" s="177" t="s">
        <v>1884</v>
      </c>
    </row>
    <row r="2859" spans="1:29" ht="20.25" customHeight="1">
      <c r="A2859" s="217"/>
      <c r="E2859" s="187">
        <v>263.70999999999998</v>
      </c>
      <c r="F2859" s="178">
        <v>2018</v>
      </c>
      <c r="G2859" s="188"/>
      <c r="H2859" s="178"/>
      <c r="I2859" s="178"/>
      <c r="J2859" s="178"/>
      <c r="K2859" s="178"/>
      <c r="L2859" s="178"/>
      <c r="M2859" s="178"/>
      <c r="N2859" s="178"/>
      <c r="O2859" s="178"/>
      <c r="P2859" s="178"/>
      <c r="Q2859" s="178"/>
      <c r="R2859" s="178"/>
      <c r="S2859" s="178"/>
      <c r="T2859" s="180"/>
      <c r="U2859" s="189" t="str">
        <f>IFERROR(IF(Tableau3[[#This Row],[Dettes]]=0,"",(Tableau3[[#This Row],[Dettes]]/Tableau3[[#This Row],[EBE]])),"")</f>
        <v/>
      </c>
      <c r="V2859" s="190" t="str">
        <f>IFERROR(Tableau3[[#This Row],[Fonds propres]]/Tableau3[[#This Row],[Total Bilan]],"")</f>
        <v/>
      </c>
      <c r="W2859" s="180"/>
      <c r="Y2859" s="180"/>
      <c r="Z2859" s="192" t="str">
        <f>IFERROR(Tableau3[[#This Row],[Chiffre d''affaires]]/Tableau3[[#This Row],[Salariés]],"")</f>
        <v/>
      </c>
      <c r="AA2859" s="177"/>
      <c r="AC2859" s="177" t="s">
        <v>1885</v>
      </c>
    </row>
    <row r="2860" spans="1:29" ht="20.25" customHeight="1">
      <c r="A2860" s="217"/>
      <c r="E2860" s="187"/>
      <c r="G2860" s="188"/>
      <c r="H2860" s="178"/>
      <c r="I2860" s="178"/>
      <c r="J2860" s="178"/>
      <c r="K2860" s="178"/>
      <c r="L2860" s="178"/>
      <c r="M2860" s="178"/>
      <c r="N2860" s="178"/>
      <c r="O2860" s="178"/>
      <c r="P2860" s="178"/>
      <c r="Q2860" s="178"/>
      <c r="R2860" s="178"/>
      <c r="S2860" s="178"/>
      <c r="T2860" s="180"/>
      <c r="U2860" s="189" t="str">
        <f>IFERROR(IF(Tableau3[[#This Row],[Dettes]]=0,"",(Tableau3[[#This Row],[Dettes]]/Tableau3[[#This Row],[EBE]])),"")</f>
        <v/>
      </c>
      <c r="V2860" s="190" t="str">
        <f>IFERROR(Tableau3[[#This Row],[Fonds propres]]/Tableau3[[#This Row],[Total Bilan]],"")</f>
        <v/>
      </c>
      <c r="W2860" s="180"/>
      <c r="Y2860" s="180"/>
      <c r="Z2860" s="192" t="str">
        <f>IFERROR(Tableau3[[#This Row],[Chiffre d''affaires]]/Tableau3[[#This Row],[Salariés]],"")</f>
        <v/>
      </c>
      <c r="AA2860" s="177"/>
      <c r="AC2860" s="177" t="s">
        <v>1886</v>
      </c>
    </row>
    <row r="2861" spans="1:29" ht="20.25" customHeight="1">
      <c r="A2861" s="217"/>
      <c r="E2861" s="187"/>
      <c r="G2861" s="188"/>
      <c r="H2861" s="178"/>
      <c r="I2861" s="178"/>
      <c r="J2861" s="178"/>
      <c r="K2861" s="178"/>
      <c r="L2861" s="178"/>
      <c r="M2861" s="178"/>
      <c r="N2861" s="178"/>
      <c r="O2861" s="178"/>
      <c r="P2861" s="178"/>
      <c r="Q2861" s="178"/>
      <c r="R2861" s="178"/>
      <c r="S2861" s="178"/>
      <c r="T2861" s="180"/>
      <c r="U2861" s="189" t="str">
        <f>IFERROR(IF(Tableau3[[#This Row],[Dettes]]=0,"",(Tableau3[[#This Row],[Dettes]]/Tableau3[[#This Row],[EBE]])),"")</f>
        <v/>
      </c>
      <c r="V2861" s="190" t="str">
        <f>IFERROR(Tableau3[[#This Row],[Fonds propres]]/Tableau3[[#This Row],[Total Bilan]],"")</f>
        <v/>
      </c>
      <c r="W2861" s="180"/>
      <c r="Y2861" s="180"/>
      <c r="Z2861" s="192" t="str">
        <f>IFERROR(Tableau3[[#This Row],[Chiffre d''affaires]]/Tableau3[[#This Row],[Salariés]],"")</f>
        <v/>
      </c>
      <c r="AA2861" s="177"/>
      <c r="AC2861" s="177" t="s">
        <v>5248</v>
      </c>
    </row>
    <row r="2862" spans="1:29" ht="20.25" customHeight="1">
      <c r="A2862" s="217"/>
      <c r="E2862" s="187"/>
      <c r="G2862" s="188"/>
      <c r="H2862" s="178"/>
      <c r="I2862" s="178"/>
      <c r="J2862" s="178"/>
      <c r="K2862" s="178"/>
      <c r="L2862" s="178"/>
      <c r="M2862" s="178"/>
      <c r="N2862" s="178"/>
      <c r="O2862" s="178"/>
      <c r="P2862" s="178"/>
      <c r="Q2862" s="178"/>
      <c r="R2862" s="178"/>
      <c r="S2862" s="178"/>
      <c r="T2862" s="180"/>
      <c r="U2862" s="189" t="str">
        <f>IFERROR(IF(Tableau3[[#This Row],[Dettes]]=0,"",(Tableau3[[#This Row],[Dettes]]/Tableau3[[#This Row],[EBE]])),"")</f>
        <v/>
      </c>
      <c r="V2862" s="190" t="str">
        <f>IFERROR(Tableau3[[#This Row],[Fonds propres]]/Tableau3[[#This Row],[Total Bilan]],"")</f>
        <v/>
      </c>
      <c r="W2862" s="180"/>
      <c r="Y2862" s="180"/>
      <c r="Z2862" s="192" t="str">
        <f>IFERROR(Tableau3[[#This Row],[Chiffre d''affaires]]/Tableau3[[#This Row],[Salariés]],"")</f>
        <v/>
      </c>
      <c r="AA2862" s="177"/>
      <c r="AC2862" s="177" t="s">
        <v>4635</v>
      </c>
    </row>
    <row r="2863" spans="1:29" ht="20.25" customHeight="1">
      <c r="A2863" s="217"/>
      <c r="E2863" s="187"/>
      <c r="G2863" s="188"/>
      <c r="H2863" s="178"/>
      <c r="I2863" s="178"/>
      <c r="J2863" s="178"/>
      <c r="K2863" s="178"/>
      <c r="L2863" s="178"/>
      <c r="M2863" s="178"/>
      <c r="N2863" s="178"/>
      <c r="O2863" s="178"/>
      <c r="P2863" s="178"/>
      <c r="Q2863" s="178"/>
      <c r="R2863" s="178"/>
      <c r="S2863" s="178"/>
      <c r="T2863" s="180"/>
      <c r="U2863" s="189" t="str">
        <f>IFERROR(IF(Tableau3[[#This Row],[Dettes]]=0,"",(Tableau3[[#This Row],[Dettes]]/Tableau3[[#This Row],[EBE]])),"")</f>
        <v/>
      </c>
      <c r="V2863" s="190" t="str">
        <f>IFERROR(Tableau3[[#This Row],[Fonds propres]]/Tableau3[[#This Row],[Total Bilan]],"")</f>
        <v/>
      </c>
      <c r="W2863" s="180"/>
      <c r="Y2863" s="180"/>
      <c r="Z2863" s="192" t="str">
        <f>IFERROR(Tableau3[[#This Row],[Chiffre d''affaires]]/Tableau3[[#This Row],[Salariés]],"")</f>
        <v/>
      </c>
      <c r="AA2863" s="177"/>
      <c r="AC2863" s="177" t="s">
        <v>4574</v>
      </c>
    </row>
    <row r="2864" spans="1:29" ht="20.25" customHeight="1">
      <c r="A2864" s="217"/>
      <c r="E2864" s="187"/>
      <c r="G2864" s="188"/>
      <c r="H2864" s="178"/>
      <c r="I2864" s="178"/>
      <c r="J2864" s="178"/>
      <c r="K2864" s="178"/>
      <c r="L2864" s="178"/>
      <c r="M2864" s="178"/>
      <c r="N2864" s="178"/>
      <c r="O2864" s="178"/>
      <c r="P2864" s="178"/>
      <c r="Q2864" s="178"/>
      <c r="R2864" s="178"/>
      <c r="S2864" s="178"/>
      <c r="T2864" s="180"/>
      <c r="U2864" s="189" t="str">
        <f>IFERROR(IF(Tableau3[[#This Row],[Dettes]]=0,"",(Tableau3[[#This Row],[Dettes]]/Tableau3[[#This Row],[EBE]])),"")</f>
        <v/>
      </c>
      <c r="V2864" s="190" t="str">
        <f>IFERROR(Tableau3[[#This Row],[Fonds propres]]/Tableau3[[#This Row],[Total Bilan]],"")</f>
        <v/>
      </c>
      <c r="W2864" s="180"/>
      <c r="Y2864" s="180"/>
      <c r="Z2864" s="192" t="str">
        <f>IFERROR(Tableau3[[#This Row],[Chiffre d''affaires]]/Tableau3[[#This Row],[Salariés]],"")</f>
        <v/>
      </c>
      <c r="AA2864" s="177"/>
    </row>
    <row r="2865" spans="1:29" ht="20.25" customHeight="1">
      <c r="A2865" s="217"/>
      <c r="E2865" s="187"/>
      <c r="G2865" s="188"/>
      <c r="H2865" s="178"/>
      <c r="I2865" s="178"/>
      <c r="J2865" s="178"/>
      <c r="K2865" s="178"/>
      <c r="L2865" s="178"/>
      <c r="M2865" s="178"/>
      <c r="N2865" s="178"/>
      <c r="O2865" s="178"/>
      <c r="P2865" s="178"/>
      <c r="Q2865" s="178"/>
      <c r="R2865" s="178"/>
      <c r="S2865" s="178"/>
      <c r="T2865" s="180"/>
      <c r="U2865" s="189" t="str">
        <f>IFERROR(IF(Tableau3[[#This Row],[Dettes]]=0,"",(Tableau3[[#This Row],[Dettes]]/Tableau3[[#This Row],[EBE]])),"")</f>
        <v/>
      </c>
      <c r="V2865" s="190" t="str">
        <f>IFERROR(Tableau3[[#This Row],[Fonds propres]]/Tableau3[[#This Row],[Total Bilan]],"")</f>
        <v/>
      </c>
      <c r="W2865" s="180"/>
      <c r="Y2865" s="180"/>
      <c r="Z2865" s="192" t="str">
        <f>IFERROR(Tableau3[[#This Row],[Chiffre d''affaires]]/Tableau3[[#This Row],[Salariés]],"")</f>
        <v/>
      </c>
      <c r="AA2865" s="177"/>
    </row>
    <row r="2866" spans="1:29" ht="20.25" customHeight="1">
      <c r="A2866" s="217"/>
      <c r="E2866" s="221"/>
      <c r="G2866" s="188"/>
      <c r="H2866" s="188"/>
      <c r="I2866" s="188"/>
      <c r="J2866" s="188"/>
      <c r="K2866" s="188"/>
      <c r="L2866" s="188"/>
      <c r="M2866" s="188"/>
      <c r="N2866" s="188"/>
      <c r="O2866" s="188"/>
      <c r="P2866" s="188"/>
      <c r="Q2866" s="188"/>
      <c r="R2866" s="188"/>
      <c r="S2866" s="188"/>
      <c r="T2866" s="180"/>
      <c r="U2866" s="189" t="str">
        <f>IFERROR(IF(Tableau3[[#This Row],[Dettes]]=0,"",(Tableau3[[#This Row],[Dettes]]/Tableau3[[#This Row],[EBE]])),"")</f>
        <v/>
      </c>
      <c r="V2866" s="190" t="str">
        <f>IFERROR(Tableau3[[#This Row],[Fonds propres]]/Tableau3[[#This Row],[Total Bilan]],"")</f>
        <v/>
      </c>
      <c r="W2866" s="180"/>
      <c r="X2866" s="192"/>
      <c r="Y2866" s="180"/>
      <c r="Z2866" s="192" t="str">
        <f>IFERROR(Tableau3[[#This Row],[Chiffre d''affaires]]/Tableau3[[#This Row],[Salariés]],"")</f>
        <v/>
      </c>
      <c r="AA2866" s="188"/>
      <c r="AB2866" s="188"/>
    </row>
    <row r="2867" spans="1:29" ht="20.25" customHeight="1">
      <c r="A2867" s="217"/>
      <c r="G2867" s="188"/>
      <c r="H2867" s="188"/>
      <c r="I2867" s="188"/>
      <c r="J2867" s="188"/>
      <c r="K2867" s="188"/>
      <c r="L2867" s="188"/>
      <c r="M2867" s="188"/>
      <c r="N2867" s="188"/>
      <c r="O2867" s="188"/>
      <c r="P2867" s="188"/>
      <c r="Q2867" s="188"/>
      <c r="R2867" s="188"/>
      <c r="S2867" s="188"/>
      <c r="T2867" s="180"/>
      <c r="U2867" s="189" t="str">
        <f>IFERROR(IF(Tableau3[[#This Row],[Dettes]]=0,"",(Tableau3[[#This Row],[Dettes]]/Tableau3[[#This Row],[EBE]])),"")</f>
        <v/>
      </c>
      <c r="V2867" s="190" t="str">
        <f>IFERROR(Tableau3[[#This Row],[Fonds propres]]/Tableau3[[#This Row],[Total Bilan]],"")</f>
        <v/>
      </c>
      <c r="W2867" s="180"/>
      <c r="X2867" s="192"/>
      <c r="Y2867" s="180"/>
      <c r="Z2867" s="192" t="str">
        <f>IFERROR(Tableau3[[#This Row],[Chiffre d''affaires]]/Tableau3[[#This Row],[Salariés]],"")</f>
        <v/>
      </c>
      <c r="AA2867" s="188"/>
      <c r="AB2867" s="188"/>
    </row>
    <row r="2868" spans="1:29" ht="20.25" customHeight="1">
      <c r="A2868" s="217"/>
      <c r="G2868" s="188"/>
      <c r="H2868" s="188"/>
      <c r="I2868" s="188"/>
      <c r="J2868" s="188"/>
      <c r="K2868" s="188"/>
      <c r="L2868" s="188"/>
      <c r="M2868" s="188"/>
      <c r="N2868" s="188"/>
      <c r="O2868" s="188"/>
      <c r="P2868" s="188"/>
      <c r="Q2868" s="188"/>
      <c r="R2868" s="188"/>
      <c r="S2868" s="188"/>
      <c r="T2868" s="180"/>
      <c r="U2868" s="189" t="str">
        <f>IFERROR(IF(Tableau3[[#This Row],[Dettes]]=0,"",(Tableau3[[#This Row],[Dettes]]/Tableau3[[#This Row],[EBE]])),"")</f>
        <v/>
      </c>
      <c r="V2868" s="190" t="str">
        <f>IFERROR(Tableau3[[#This Row],[Fonds propres]]/Tableau3[[#This Row],[Total Bilan]],"")</f>
        <v/>
      </c>
      <c r="W2868" s="180"/>
      <c r="X2868" s="192"/>
      <c r="Y2868" s="180"/>
      <c r="Z2868" s="192" t="str">
        <f>IFERROR(Tableau3[[#This Row],[Chiffre d''affaires]]/Tableau3[[#This Row],[Salariés]],"")</f>
        <v/>
      </c>
      <c r="AA2868" s="188"/>
      <c r="AB2868" s="188"/>
    </row>
    <row r="2869" spans="1:29" ht="20.25" customHeight="1">
      <c r="A2869" s="217" t="s">
        <v>2005</v>
      </c>
      <c r="B2869" s="216" t="s">
        <v>1395</v>
      </c>
      <c r="C2869" s="178" t="s">
        <v>564</v>
      </c>
      <c r="D2869" s="178" t="s">
        <v>85</v>
      </c>
      <c r="E2869" s="187">
        <v>179.35</v>
      </c>
      <c r="F2869" s="178">
        <v>2021</v>
      </c>
      <c r="G2869" s="188"/>
      <c r="H2869" s="188"/>
      <c r="I2869" s="188"/>
      <c r="J2869" s="188"/>
      <c r="K2869" s="188"/>
      <c r="L2869" s="188"/>
      <c r="M2869" s="188"/>
      <c r="N2869" s="188"/>
      <c r="O2869" s="188"/>
      <c r="P2869" s="188"/>
      <c r="Q2869" s="188"/>
      <c r="R2869" s="188"/>
      <c r="S2869" s="188"/>
      <c r="T2869" s="180"/>
      <c r="U2869" s="189" t="str">
        <f>IFERROR(IF(Tableau3[[#This Row],[Dettes]]=0,"",(Tableau3[[#This Row],[Dettes]]/Tableau3[[#This Row],[EBE]])),"")</f>
        <v/>
      </c>
      <c r="V2869" s="190" t="str">
        <f>IFERROR(Tableau3[[#This Row],[Fonds propres]]/Tableau3[[#This Row],[Total Bilan]],"")</f>
        <v/>
      </c>
      <c r="W2869" s="180"/>
      <c r="X2869" s="192"/>
      <c r="Y2869" s="180"/>
      <c r="Z2869" s="192" t="str">
        <f>IFERROR(Tableau3[[#This Row],[Chiffre d''affaires]]/Tableau3[[#This Row],[Salariés]],"")</f>
        <v/>
      </c>
      <c r="AA2869" s="188"/>
      <c r="AB2869" s="188"/>
    </row>
    <row r="2870" spans="1:29" ht="20.25" customHeight="1">
      <c r="A2870" s="217"/>
      <c r="G2870" s="188"/>
      <c r="H2870" s="188"/>
      <c r="I2870" s="188"/>
      <c r="J2870" s="188"/>
      <c r="K2870" s="188"/>
      <c r="L2870" s="188"/>
      <c r="M2870" s="188"/>
      <c r="N2870" s="188"/>
      <c r="O2870" s="188"/>
      <c r="P2870" s="188"/>
      <c r="Q2870" s="188"/>
      <c r="R2870" s="188"/>
      <c r="S2870" s="188"/>
      <c r="T2870" s="180"/>
      <c r="U2870" s="189" t="str">
        <f>IFERROR(IF(Tableau3[[#This Row],[Dettes]]=0,"",(Tableau3[[#This Row],[Dettes]]/Tableau3[[#This Row],[EBE]])),"")</f>
        <v/>
      </c>
      <c r="V2870" s="190" t="str">
        <f>IFERROR(Tableau3[[#This Row],[Fonds propres]]/Tableau3[[#This Row],[Total Bilan]],"")</f>
        <v/>
      </c>
      <c r="W2870" s="180"/>
      <c r="X2870" s="192"/>
      <c r="Y2870" s="180"/>
      <c r="Z2870" s="192" t="str">
        <f>IFERROR(Tableau3[[#This Row],[Chiffre d''affaires]]/Tableau3[[#This Row],[Salariés]],"")</f>
        <v/>
      </c>
      <c r="AA2870" s="188"/>
      <c r="AB2870" s="188"/>
    </row>
    <row r="2871" spans="1:29" ht="20.25" customHeight="1">
      <c r="A2871" s="217"/>
      <c r="F2871" s="178">
        <v>2018</v>
      </c>
      <c r="G2871" s="188"/>
      <c r="H2871" s="188"/>
      <c r="I2871" s="188"/>
      <c r="J2871" s="188"/>
      <c r="K2871" s="188"/>
      <c r="L2871" s="188"/>
      <c r="M2871" s="188"/>
      <c r="N2871" s="188"/>
      <c r="O2871" s="188"/>
      <c r="P2871" s="188"/>
      <c r="Q2871" s="188"/>
      <c r="R2871" s="188"/>
      <c r="S2871" s="188"/>
      <c r="T2871" s="180"/>
      <c r="U2871" s="189" t="str">
        <f>IFERROR(IF(Tableau3[[#This Row],[Dettes]]=0,"",(Tableau3[[#This Row],[Dettes]]/Tableau3[[#This Row],[EBE]])),"")</f>
        <v/>
      </c>
      <c r="V2871" s="190" t="str">
        <f>IFERROR(Tableau3[[#This Row],[Fonds propres]]/Tableau3[[#This Row],[Total Bilan]],"")</f>
        <v/>
      </c>
      <c r="W2871" s="180"/>
      <c r="X2871" s="192"/>
      <c r="Y2871" s="180"/>
      <c r="Z2871" s="192" t="str">
        <f>IFERROR(Tableau3[[#This Row],[Chiffre d''affaires]]/Tableau3[[#This Row],[Salariés]],"")</f>
        <v/>
      </c>
      <c r="AA2871" s="188"/>
      <c r="AB2871" s="188"/>
    </row>
    <row r="2872" spans="1:29" ht="20.25" customHeight="1">
      <c r="A2872" s="217"/>
      <c r="G2872" s="188"/>
      <c r="H2872" s="188"/>
      <c r="I2872" s="188"/>
      <c r="J2872" s="188"/>
      <c r="K2872" s="188"/>
      <c r="L2872" s="188"/>
      <c r="M2872" s="188"/>
      <c r="N2872" s="188"/>
      <c r="O2872" s="188"/>
      <c r="P2872" s="188"/>
      <c r="Q2872" s="188"/>
      <c r="R2872" s="188"/>
      <c r="S2872" s="188"/>
      <c r="T2872" s="180"/>
      <c r="U2872" s="189" t="str">
        <f>IFERROR(IF(Tableau3[[#This Row],[Dettes]]=0,"",(Tableau3[[#This Row],[Dettes]]/Tableau3[[#This Row],[EBE]])),"")</f>
        <v/>
      </c>
      <c r="V2872" s="190" t="str">
        <f>IFERROR(Tableau3[[#This Row],[Fonds propres]]/Tableau3[[#This Row],[Total Bilan]],"")</f>
        <v/>
      </c>
      <c r="W2872" s="180"/>
      <c r="X2872" s="192"/>
      <c r="Y2872" s="180"/>
      <c r="Z2872" s="192" t="str">
        <f>IFERROR(Tableau3[[#This Row],[Chiffre d''affaires]]/Tableau3[[#This Row],[Salariés]],"")</f>
        <v/>
      </c>
      <c r="AA2872" s="188"/>
      <c r="AB2872" s="188"/>
    </row>
    <row r="2873" spans="1:29" ht="20.25" customHeight="1">
      <c r="A2873" s="217"/>
      <c r="F2873" s="178">
        <v>2017</v>
      </c>
      <c r="G2873" s="188"/>
      <c r="H2873" s="188"/>
      <c r="I2873" s="188"/>
      <c r="J2873" s="188"/>
      <c r="K2873" s="188"/>
      <c r="L2873" s="188"/>
      <c r="M2873" s="188"/>
      <c r="N2873" s="188"/>
      <c r="O2873" s="188"/>
      <c r="P2873" s="188"/>
      <c r="Q2873" s="188"/>
      <c r="R2873" s="188"/>
      <c r="S2873" s="188"/>
      <c r="T2873" s="180"/>
      <c r="U2873" s="189" t="str">
        <f>IFERROR(IF(Tableau3[[#This Row],[Dettes]]=0,"",(Tableau3[[#This Row],[Dettes]]/Tableau3[[#This Row],[EBE]])),"")</f>
        <v/>
      </c>
      <c r="V2873" s="190" t="str">
        <f>IFERROR(Tableau3[[#This Row],[Fonds propres]]/Tableau3[[#This Row],[Total Bilan]],"")</f>
        <v/>
      </c>
      <c r="W2873" s="180"/>
      <c r="X2873" s="192"/>
      <c r="Y2873" s="180"/>
      <c r="Z2873" s="192" t="str">
        <f>IFERROR(Tableau3[[#This Row],[Chiffre d''affaires]]/Tableau3[[#This Row],[Salariés]],"")</f>
        <v/>
      </c>
      <c r="AA2873" s="188"/>
      <c r="AB2873" s="188"/>
    </row>
    <row r="2874" spans="1:29" ht="20.25" customHeight="1">
      <c r="A2874" s="217"/>
      <c r="G2874" s="188"/>
      <c r="H2874" s="188"/>
      <c r="I2874" s="188"/>
      <c r="J2874" s="188"/>
      <c r="K2874" s="188"/>
      <c r="L2874" s="188"/>
      <c r="M2874" s="188"/>
      <c r="N2874" s="188"/>
      <c r="O2874" s="188"/>
      <c r="P2874" s="188"/>
      <c r="Q2874" s="188"/>
      <c r="R2874" s="188"/>
      <c r="S2874" s="188"/>
      <c r="T2874" s="180"/>
      <c r="U2874" s="189" t="str">
        <f>IFERROR(IF(Tableau3[[#This Row],[Dettes]]=0,"",(Tableau3[[#This Row],[Dettes]]/Tableau3[[#This Row],[EBE]])),"")</f>
        <v/>
      </c>
      <c r="V2874" s="190" t="str">
        <f>IFERROR(Tableau3[[#This Row],[Fonds propres]]/Tableau3[[#This Row],[Total Bilan]],"")</f>
        <v/>
      </c>
      <c r="W2874" s="180"/>
      <c r="X2874" s="192"/>
      <c r="Y2874" s="180"/>
      <c r="Z2874" s="192" t="str">
        <f>IFERROR(Tableau3[[#This Row],[Chiffre d''affaires]]/Tableau3[[#This Row],[Salariés]],"")</f>
        <v/>
      </c>
      <c r="AA2874" s="188"/>
      <c r="AB2874" s="188"/>
    </row>
    <row r="2875" spans="1:29" ht="20.25" customHeight="1">
      <c r="A2875" s="217"/>
      <c r="F2875" s="178">
        <v>2016</v>
      </c>
      <c r="G2875" s="188"/>
      <c r="H2875" s="188"/>
      <c r="I2875" s="188"/>
      <c r="J2875" s="188"/>
      <c r="K2875" s="188"/>
      <c r="L2875" s="188"/>
      <c r="M2875" s="188"/>
      <c r="N2875" s="188"/>
      <c r="O2875" s="188"/>
      <c r="P2875" s="188"/>
      <c r="Q2875" s="188"/>
      <c r="R2875" s="188"/>
      <c r="S2875" s="188"/>
      <c r="T2875" s="180"/>
      <c r="U2875" s="189" t="str">
        <f>IFERROR(IF(Tableau3[[#This Row],[Dettes]]=0,"",(Tableau3[[#This Row],[Dettes]]/Tableau3[[#This Row],[EBE]])),"")</f>
        <v/>
      </c>
      <c r="V2875" s="190" t="str">
        <f>IFERROR(Tableau3[[#This Row],[Fonds propres]]/Tableau3[[#This Row],[Total Bilan]],"")</f>
        <v/>
      </c>
      <c r="W2875" s="180"/>
      <c r="X2875" s="192"/>
      <c r="Y2875" s="180"/>
      <c r="Z2875" s="192" t="str">
        <f>IFERROR(Tableau3[[#This Row],[Chiffre d''affaires]]/Tableau3[[#This Row],[Salariés]],"")</f>
        <v/>
      </c>
      <c r="AA2875" s="188"/>
      <c r="AB2875" s="188"/>
    </row>
    <row r="2876" spans="1:29" ht="20.25" customHeight="1">
      <c r="A2876" s="217"/>
      <c r="G2876" s="188"/>
      <c r="H2876" s="188"/>
      <c r="I2876" s="188"/>
      <c r="J2876" s="188"/>
      <c r="K2876" s="188"/>
      <c r="L2876" s="188"/>
      <c r="M2876" s="188"/>
      <c r="N2876" s="188"/>
      <c r="O2876" s="188"/>
      <c r="P2876" s="188"/>
      <c r="Q2876" s="188"/>
      <c r="R2876" s="188"/>
      <c r="S2876" s="188"/>
      <c r="T2876" s="180"/>
      <c r="U2876" s="189" t="str">
        <f>IFERROR(IF(Tableau3[[#This Row],[Dettes]]=0,"",(Tableau3[[#This Row],[Dettes]]/Tableau3[[#This Row],[EBE]])),"")</f>
        <v/>
      </c>
      <c r="V2876" s="190" t="str">
        <f>IFERROR(Tableau3[[#This Row],[Fonds propres]]/Tableau3[[#This Row],[Total Bilan]],"")</f>
        <v/>
      </c>
      <c r="W2876" s="180"/>
      <c r="X2876" s="192"/>
      <c r="Y2876" s="180"/>
      <c r="Z2876" s="192" t="str">
        <f>IFERROR(Tableau3[[#This Row],[Chiffre d''affaires]]/Tableau3[[#This Row],[Salariés]],"")</f>
        <v/>
      </c>
      <c r="AA2876" s="188"/>
      <c r="AB2876" s="188"/>
    </row>
    <row r="2877" spans="1:29" ht="20.25" customHeight="1">
      <c r="A2877" s="217"/>
      <c r="G2877" s="188"/>
      <c r="H2877" s="188"/>
      <c r="I2877" s="188"/>
      <c r="J2877" s="188"/>
      <c r="K2877" s="188"/>
      <c r="L2877" s="188"/>
      <c r="M2877" s="188"/>
      <c r="N2877" s="188"/>
      <c r="O2877" s="188"/>
      <c r="P2877" s="188"/>
      <c r="Q2877" s="188"/>
      <c r="R2877" s="188"/>
      <c r="S2877" s="188"/>
      <c r="T2877" s="180"/>
      <c r="U2877" s="189" t="str">
        <f>IFERROR(IF(Tableau3[[#This Row],[Dettes]]=0,"",(Tableau3[[#This Row],[Dettes]]/Tableau3[[#This Row],[EBE]])),"")</f>
        <v/>
      </c>
      <c r="V2877" s="190" t="str">
        <f>IFERROR(Tableau3[[#This Row],[Fonds propres]]/Tableau3[[#This Row],[Total Bilan]],"")</f>
        <v/>
      </c>
      <c r="W2877" s="180"/>
      <c r="X2877" s="192"/>
      <c r="Y2877" s="180"/>
      <c r="Z2877" s="192" t="str">
        <f>IFERROR(Tableau3[[#This Row],[Chiffre d''affaires]]/Tableau3[[#This Row],[Salariés]],"")</f>
        <v/>
      </c>
      <c r="AA2877" s="188"/>
      <c r="AB2877" s="188"/>
    </row>
    <row r="2878" spans="1:29" ht="20.25" customHeight="1">
      <c r="A2878" s="217"/>
      <c r="G2878" s="188"/>
      <c r="H2878" s="188"/>
      <c r="I2878" s="188"/>
      <c r="J2878" s="188"/>
      <c r="K2878" s="188"/>
      <c r="L2878" s="188"/>
      <c r="M2878" s="188"/>
      <c r="N2878" s="188"/>
      <c r="O2878" s="188"/>
      <c r="P2878" s="188"/>
      <c r="Q2878" s="188"/>
      <c r="R2878" s="188"/>
      <c r="S2878" s="188"/>
      <c r="T2878" s="180"/>
      <c r="U2878" s="189" t="str">
        <f>IFERROR(IF(Tableau3[[#This Row],[Dettes]]=0,"",(Tableau3[[#This Row],[Dettes]]/Tableau3[[#This Row],[EBE]])),"")</f>
        <v/>
      </c>
      <c r="V2878" s="190" t="str">
        <f>IFERROR(Tableau3[[#This Row],[Fonds propres]]/Tableau3[[#This Row],[Total Bilan]],"")</f>
        <v/>
      </c>
      <c r="W2878" s="180"/>
      <c r="X2878" s="192"/>
      <c r="Y2878" s="180"/>
      <c r="Z2878" s="192" t="str">
        <f>IFERROR(Tableau3[[#This Row],[Chiffre d''affaires]]/Tableau3[[#This Row],[Salariés]],"")</f>
        <v/>
      </c>
      <c r="AA2878" s="188"/>
      <c r="AB2878" s="188"/>
    </row>
    <row r="2879" spans="1:29" ht="20.25" customHeight="1">
      <c r="A2879" s="217" t="s">
        <v>2007</v>
      </c>
      <c r="B2879" s="216" t="s">
        <v>2008</v>
      </c>
      <c r="C2879" s="178" t="s">
        <v>84</v>
      </c>
      <c r="D2879" s="178" t="s">
        <v>85</v>
      </c>
      <c r="E2879" s="178">
        <v>29.6</v>
      </c>
      <c r="F2879" s="178">
        <v>2015</v>
      </c>
      <c r="G2879" s="188"/>
      <c r="H2879" s="188"/>
      <c r="I2879" s="188"/>
      <c r="J2879" s="188"/>
      <c r="K2879" s="188"/>
      <c r="L2879" s="178"/>
      <c r="M2879" s="188"/>
      <c r="N2879" s="188"/>
      <c r="O2879" s="188"/>
      <c r="P2879" s="188">
        <v>234387000</v>
      </c>
      <c r="Q2879" s="188"/>
      <c r="R2879" s="188"/>
      <c r="S2879" s="188"/>
      <c r="T2879" s="180"/>
      <c r="U2879" s="189" t="str">
        <f>IFERROR(IF(Tableau3[[#This Row],[Dettes]]=0,"",(Tableau3[[#This Row],[Dettes]]/Tableau3[[#This Row],[EBE]])),"")</f>
        <v/>
      </c>
      <c r="V2879" s="190" t="str">
        <f>IFERROR(Tableau3[[#This Row],[Fonds propres]]/Tableau3[[#This Row],[Total Bilan]],"")</f>
        <v/>
      </c>
      <c r="W2879" s="180"/>
      <c r="X2879" s="192"/>
      <c r="Y2879" s="180"/>
      <c r="Z2879" s="192" t="str">
        <f>IFERROR(Tableau3[[#This Row],[Chiffre d''affaires]]/Tableau3[[#This Row],[Salariés]],"")</f>
        <v/>
      </c>
      <c r="AA2879" s="188"/>
      <c r="AB2879" s="188"/>
      <c r="AC2879" s="177" t="s">
        <v>2009</v>
      </c>
    </row>
    <row r="2880" spans="1:29" ht="20.25" customHeight="1">
      <c r="A2880" s="217"/>
      <c r="G2880" s="188"/>
      <c r="H2880" s="188"/>
      <c r="I2880" s="188"/>
      <c r="J2880" s="188"/>
      <c r="K2880" s="188"/>
      <c r="L2880" s="178"/>
      <c r="M2880" s="188"/>
      <c r="N2880" s="188"/>
      <c r="O2880" s="188"/>
      <c r="P2880" s="188"/>
      <c r="Q2880" s="188"/>
      <c r="R2880" s="188"/>
      <c r="S2880" s="188"/>
      <c r="T2880" s="180"/>
      <c r="U2880" s="189" t="str">
        <f>IFERROR(IF(Tableau3[[#This Row],[Dettes]]=0,"",(Tableau3[[#This Row],[Dettes]]/Tableau3[[#This Row],[EBE]])),"")</f>
        <v/>
      </c>
      <c r="V2880" s="190" t="str">
        <f>IFERROR(Tableau3[[#This Row],[Fonds propres]]/Tableau3[[#This Row],[Total Bilan]],"")</f>
        <v/>
      </c>
      <c r="W2880" s="180"/>
      <c r="X2880" s="192"/>
      <c r="Y2880" s="180"/>
      <c r="Z2880" s="192" t="str">
        <f>IFERROR(Tableau3[[#This Row],[Chiffre d''affaires]]/Tableau3[[#This Row],[Salariés]],"")</f>
        <v/>
      </c>
      <c r="AA2880" s="188"/>
      <c r="AB2880" s="188"/>
      <c r="AC2880" s="177" t="s">
        <v>2011</v>
      </c>
    </row>
    <row r="2881" spans="1:29" ht="20.25" customHeight="1">
      <c r="A2881" s="217"/>
      <c r="E2881" s="187">
        <v>40</v>
      </c>
      <c r="F2881" s="178">
        <v>2014</v>
      </c>
      <c r="G2881" s="188">
        <v>7000000000</v>
      </c>
      <c r="H2881" s="188"/>
      <c r="I2881" s="188">
        <v>574000000</v>
      </c>
      <c r="J2881" s="188"/>
      <c r="K2881" s="188"/>
      <c r="L2881" s="178"/>
      <c r="M2881" s="188"/>
      <c r="N2881" s="188"/>
      <c r="O2881" s="188"/>
      <c r="P2881" s="188">
        <v>230158771</v>
      </c>
      <c r="Q2881" s="188">
        <f>Tableau3[[#This Row],[Titres]]*Tableau3[[#This Row],[Cours]]</f>
        <v>9206350840</v>
      </c>
      <c r="R2881" s="188"/>
      <c r="S2881" s="188"/>
      <c r="T2881" s="180"/>
      <c r="U2881" s="189" t="str">
        <f>IFERROR(IF(Tableau3[[#This Row],[Dettes]]=0,"",(Tableau3[[#This Row],[Dettes]]/Tableau3[[#This Row],[EBE]])),"")</f>
        <v/>
      </c>
      <c r="V2881" s="190" t="str">
        <f>IFERROR(Tableau3[[#This Row],[Fonds propres]]/Tableau3[[#This Row],[Total Bilan]],"")</f>
        <v/>
      </c>
      <c r="W2881" s="180"/>
      <c r="X2881" s="192"/>
      <c r="Y2881" s="180"/>
      <c r="Z2881" s="192" t="str">
        <f>IFERROR(Tableau3[[#This Row],[Chiffre d''affaires]]/Tableau3[[#This Row],[Salariés]],"")</f>
        <v/>
      </c>
      <c r="AA2881" s="188"/>
      <c r="AB2881" s="188"/>
      <c r="AC2881" s="177" t="s">
        <v>2012</v>
      </c>
    </row>
    <row r="2882" spans="1:29" ht="20.25" customHeight="1">
      <c r="A2882" s="217"/>
      <c r="G2882" s="188"/>
      <c r="H2882" s="188"/>
      <c r="I2882" s="188"/>
      <c r="J2882" s="188"/>
      <c r="K2882" s="188"/>
      <c r="L2882" s="178"/>
      <c r="M2882" s="188"/>
      <c r="N2882" s="188"/>
      <c r="O2882" s="188"/>
      <c r="P2882" s="188"/>
      <c r="Q2882" s="188"/>
      <c r="R2882" s="188"/>
      <c r="S2882" s="188"/>
      <c r="T2882" s="180"/>
      <c r="U2882" s="189" t="str">
        <f>IFERROR(IF(Tableau3[[#This Row],[Dettes]]=0,"",(Tableau3[[#This Row],[Dettes]]/Tableau3[[#This Row],[EBE]])),"")</f>
        <v/>
      </c>
      <c r="V2882" s="190" t="str">
        <f>IFERROR(Tableau3[[#This Row],[Fonds propres]]/Tableau3[[#This Row],[Total Bilan]],"")</f>
        <v/>
      </c>
      <c r="W2882" s="180"/>
      <c r="X2882" s="192"/>
      <c r="Y2882" s="180"/>
      <c r="Z2882" s="192" t="str">
        <f>IFERROR(Tableau3[[#This Row],[Chiffre d''affaires]]/Tableau3[[#This Row],[Salariés]],"")</f>
        <v/>
      </c>
      <c r="AA2882" s="188"/>
      <c r="AB2882" s="188"/>
      <c r="AC2882" s="177" t="s">
        <v>2013</v>
      </c>
    </row>
    <row r="2883" spans="1:29" ht="20.25" customHeight="1">
      <c r="A2883" s="217"/>
      <c r="F2883" s="178">
        <v>2013</v>
      </c>
      <c r="G2883" s="188">
        <v>6600000000</v>
      </c>
      <c r="H2883" s="188"/>
      <c r="I2883" s="188">
        <v>540000000</v>
      </c>
      <c r="J2883" s="188"/>
      <c r="K2883" s="188">
        <v>-500000000</v>
      </c>
      <c r="L2883" s="178"/>
      <c r="M2883" s="188"/>
      <c r="N2883" s="188"/>
      <c r="O2883" s="188"/>
      <c r="P2883" s="188">
        <v>227480960</v>
      </c>
      <c r="Q2883" s="188"/>
      <c r="R2883" s="188"/>
      <c r="S2883" s="188"/>
      <c r="T2883" s="180"/>
      <c r="U2883" s="189" t="str">
        <f>IFERROR(IF(Tableau3[[#This Row],[Dettes]]=0,"",(Tableau3[[#This Row],[Dettes]]/Tableau3[[#This Row],[EBE]])),"")</f>
        <v/>
      </c>
      <c r="V2883" s="190" t="str">
        <f>IFERROR(Tableau3[[#This Row],[Fonds propres]]/Tableau3[[#This Row],[Total Bilan]],"")</f>
        <v/>
      </c>
      <c r="W2883" s="180"/>
      <c r="X2883" s="192"/>
      <c r="Y2883" s="180"/>
      <c r="Z2883" s="192" t="str">
        <f>IFERROR(Tableau3[[#This Row],[Chiffre d''affaires]]/Tableau3[[#This Row],[Salariés]],"")</f>
        <v/>
      </c>
      <c r="AA2883" s="188"/>
      <c r="AB2883" s="188"/>
      <c r="AC2883" s="177" t="s">
        <v>2014</v>
      </c>
    </row>
    <row r="2884" spans="1:29" ht="20.25" customHeight="1">
      <c r="A2884" s="217"/>
      <c r="G2884" s="188"/>
      <c r="H2884" s="188"/>
      <c r="I2884" s="188"/>
      <c r="J2884" s="188"/>
      <c r="K2884" s="188"/>
      <c r="L2884" s="178"/>
      <c r="M2884" s="188"/>
      <c r="N2884" s="188"/>
      <c r="O2884" s="188"/>
      <c r="P2884" s="188"/>
      <c r="Q2884" s="188"/>
      <c r="R2884" s="188"/>
      <c r="S2884" s="188"/>
      <c r="T2884" s="180"/>
      <c r="U2884" s="189" t="str">
        <f>IFERROR(IF(Tableau3[[#This Row],[Dettes]]=0,"",(Tableau3[[#This Row],[Dettes]]/Tableau3[[#This Row],[EBE]])),"")</f>
        <v/>
      </c>
      <c r="V2884" s="190" t="str">
        <f>IFERROR(Tableau3[[#This Row],[Fonds propres]]/Tableau3[[#This Row],[Total Bilan]],"")</f>
        <v/>
      </c>
      <c r="W2884" s="180"/>
      <c r="X2884" s="192"/>
      <c r="Y2884" s="180"/>
      <c r="Z2884" s="192" t="str">
        <f>IFERROR(Tableau3[[#This Row],[Chiffre d''affaires]]/Tableau3[[#This Row],[Salariés]],"")</f>
        <v/>
      </c>
      <c r="AA2884" s="188"/>
      <c r="AB2884" s="188"/>
      <c r="AC2884" s="177" t="s">
        <v>2015</v>
      </c>
    </row>
    <row r="2885" spans="1:29" ht="20.25" customHeight="1">
      <c r="A2885" s="217"/>
      <c r="F2885" s="178">
        <v>2012</v>
      </c>
      <c r="G2885" s="188">
        <v>6300000000</v>
      </c>
      <c r="H2885" s="188"/>
      <c r="I2885" s="188">
        <v>560000000</v>
      </c>
      <c r="J2885" s="188"/>
      <c r="K2885" s="188">
        <v>-320000000</v>
      </c>
      <c r="L2885" s="178"/>
      <c r="M2885" s="188"/>
      <c r="N2885" s="188"/>
      <c r="O2885" s="188"/>
      <c r="P2885" s="188">
        <v>227251446</v>
      </c>
      <c r="Q2885" s="188"/>
      <c r="R2885" s="188"/>
      <c r="S2885" s="188"/>
      <c r="T2885" s="180"/>
      <c r="U2885" s="189" t="str">
        <f>IFERROR(IF(Tableau3[[#This Row],[Dettes]]=0,"",(Tableau3[[#This Row],[Dettes]]/Tableau3[[#This Row],[EBE]])),"")</f>
        <v/>
      </c>
      <c r="V2885" s="190" t="str">
        <f>IFERROR(Tableau3[[#This Row],[Fonds propres]]/Tableau3[[#This Row],[Total Bilan]],"")</f>
        <v/>
      </c>
      <c r="W2885" s="180"/>
      <c r="X2885" s="192"/>
      <c r="Y2885" s="180"/>
      <c r="Z2885" s="192" t="str">
        <f>IFERROR(Tableau3[[#This Row],[Chiffre d''affaires]]/Tableau3[[#This Row],[Salariés]],"")</f>
        <v/>
      </c>
      <c r="AA2885" s="188"/>
      <c r="AB2885" s="188"/>
      <c r="AC2885" s="177" t="s">
        <v>2016</v>
      </c>
    </row>
    <row r="2886" spans="1:29" ht="20.25" customHeight="1">
      <c r="A2886" s="217"/>
      <c r="G2886" s="188"/>
      <c r="H2886" s="188"/>
      <c r="I2886" s="188"/>
      <c r="J2886" s="188"/>
      <c r="K2886" s="188"/>
      <c r="L2886" s="178"/>
      <c r="M2886" s="188"/>
      <c r="N2886" s="188"/>
      <c r="O2886" s="188"/>
      <c r="P2886" s="188"/>
      <c r="Q2886" s="188"/>
      <c r="R2886" s="188"/>
      <c r="S2886" s="188"/>
      <c r="T2886" s="180"/>
      <c r="U2886" s="189" t="str">
        <f>IFERROR(IF(Tableau3[[#This Row],[Dettes]]=0,"",(Tableau3[[#This Row],[Dettes]]/Tableau3[[#This Row],[EBE]])),"")</f>
        <v/>
      </c>
      <c r="V2886" s="190" t="str">
        <f>IFERROR(Tableau3[[#This Row],[Fonds propres]]/Tableau3[[#This Row],[Total Bilan]],"")</f>
        <v/>
      </c>
      <c r="W2886" s="180"/>
      <c r="X2886" s="192"/>
      <c r="Y2886" s="180"/>
      <c r="Z2886" s="192" t="str">
        <f>IFERROR(Tableau3[[#This Row],[Chiffre d''affaires]]/Tableau3[[#This Row],[Salariés]],"")</f>
        <v/>
      </c>
      <c r="AA2886" s="188"/>
      <c r="AB2886" s="188"/>
    </row>
    <row r="2887" spans="1:29" ht="20.25" customHeight="1">
      <c r="A2887" s="217"/>
      <c r="F2887" s="178">
        <v>2011</v>
      </c>
      <c r="G2887" s="188">
        <v>6100000000</v>
      </c>
      <c r="H2887" s="188"/>
      <c r="I2887" s="188">
        <v>530000000</v>
      </c>
      <c r="J2887" s="188"/>
      <c r="K2887" s="188">
        <v>-80000000</v>
      </c>
      <c r="L2887" s="178"/>
      <c r="M2887" s="188"/>
      <c r="N2887" s="188"/>
      <c r="O2887" s="188"/>
      <c r="P2887" s="188">
        <v>227251446</v>
      </c>
      <c r="Q2887" s="188"/>
      <c r="R2887" s="188"/>
      <c r="S2887" s="188"/>
      <c r="T2887" s="180"/>
      <c r="U2887" s="189" t="str">
        <f>IFERROR(IF(Tableau3[[#This Row],[Dettes]]=0,"",(Tableau3[[#This Row],[Dettes]]/Tableau3[[#This Row],[EBE]])),"")</f>
        <v/>
      </c>
      <c r="V2887" s="190" t="str">
        <f>IFERROR(Tableau3[[#This Row],[Fonds propres]]/Tableau3[[#This Row],[Total Bilan]],"")</f>
        <v/>
      </c>
      <c r="W2887" s="180"/>
      <c r="X2887" s="192"/>
      <c r="Y2887" s="180"/>
      <c r="Z2887" s="192" t="str">
        <f>IFERROR(Tableau3[[#This Row],[Chiffre d''affaires]]/Tableau3[[#This Row],[Salariés]],"")</f>
        <v/>
      </c>
      <c r="AA2887" s="188"/>
      <c r="AB2887" s="188"/>
    </row>
    <row r="2888" spans="1:29" ht="20.25" customHeight="1">
      <c r="A2888" s="217"/>
      <c r="G2888" s="188"/>
      <c r="H2888" s="188"/>
      <c r="I2888" s="188"/>
      <c r="J2888" s="188"/>
      <c r="K2888" s="188"/>
      <c r="L2888" s="178"/>
      <c r="M2888" s="188"/>
      <c r="N2888" s="188"/>
      <c r="O2888" s="188"/>
      <c r="P2888" s="188"/>
      <c r="Q2888" s="188"/>
      <c r="R2888" s="188"/>
      <c r="S2888" s="188"/>
      <c r="T2888" s="180"/>
      <c r="U2888" s="189" t="str">
        <f>IFERROR(IF(Tableau3[[#This Row],[Dettes]]=0,"",(Tableau3[[#This Row],[Dettes]]/Tableau3[[#This Row],[EBE]])),"")</f>
        <v/>
      </c>
      <c r="V2888" s="190" t="str">
        <f>IFERROR(Tableau3[[#This Row],[Fonds propres]]/Tableau3[[#This Row],[Total Bilan]],"")</f>
        <v/>
      </c>
      <c r="W2888" s="180"/>
      <c r="X2888" s="192"/>
      <c r="Y2888" s="180"/>
      <c r="Z2888" s="192" t="str">
        <f>IFERROR(Tableau3[[#This Row],[Chiffre d''affaires]]/Tableau3[[#This Row],[Salariés]],"")</f>
        <v/>
      </c>
      <c r="AA2888" s="188"/>
      <c r="AB2888" s="188"/>
    </row>
    <row r="2889" spans="1:29" ht="20.25" customHeight="1">
      <c r="A2889" s="217"/>
      <c r="F2889" s="178">
        <v>2010</v>
      </c>
      <c r="G2889" s="188">
        <v>6050000000</v>
      </c>
      <c r="H2889" s="188"/>
      <c r="I2889" s="188"/>
      <c r="J2889" s="188"/>
      <c r="K2889" s="188">
        <v>226000000</v>
      </c>
      <c r="L2889" s="178"/>
      <c r="M2889" s="188"/>
      <c r="N2889" s="188"/>
      <c r="O2889" s="188"/>
      <c r="P2889" s="188">
        <v>227251446</v>
      </c>
      <c r="Q2889" s="188"/>
      <c r="R2889" s="188"/>
      <c r="S2889" s="188"/>
      <c r="T2889" s="180"/>
      <c r="U2889" s="189" t="str">
        <f>IFERROR(IF(Tableau3[[#This Row],[Dettes]]=0,"",(Tableau3[[#This Row],[Dettes]]/Tableau3[[#This Row],[EBE]])),"")</f>
        <v/>
      </c>
      <c r="V2889" s="190" t="str">
        <f>IFERROR(Tableau3[[#This Row],[Fonds propres]]/Tableau3[[#This Row],[Total Bilan]],"")</f>
        <v/>
      </c>
      <c r="W2889" s="180"/>
      <c r="X2889" s="192"/>
      <c r="Y2889" s="180"/>
      <c r="Z2889" s="192" t="str">
        <f>IFERROR(Tableau3[[#This Row],[Chiffre d''affaires]]/Tableau3[[#This Row],[Salariés]],"")</f>
        <v/>
      </c>
      <c r="AA2889" s="188"/>
      <c r="AB2889" s="188"/>
    </row>
    <row r="2890" spans="1:29" ht="20.25" customHeight="1">
      <c r="A2890" s="217"/>
      <c r="G2890" s="188"/>
      <c r="H2890" s="188"/>
      <c r="I2890" s="188"/>
      <c r="J2890" s="188"/>
      <c r="K2890" s="188"/>
      <c r="L2890" s="188"/>
      <c r="M2890" s="188"/>
      <c r="N2890" s="188"/>
      <c r="O2890" s="188"/>
      <c r="P2890" s="188"/>
      <c r="Q2890" s="188"/>
      <c r="R2890" s="188"/>
      <c r="S2890" s="188"/>
      <c r="T2890" s="180"/>
      <c r="U2890" s="189" t="str">
        <f>IFERROR(IF(Tableau3[[#This Row],[Dettes]]=0,"",(Tableau3[[#This Row],[Dettes]]/Tableau3[[#This Row],[EBE]])),"")</f>
        <v/>
      </c>
      <c r="V2890" s="190" t="str">
        <f>IFERROR(Tableau3[[#This Row],[Fonds propres]]/Tableau3[[#This Row],[Total Bilan]],"")</f>
        <v/>
      </c>
      <c r="W2890" s="180"/>
      <c r="X2890" s="192"/>
      <c r="Y2890" s="180"/>
      <c r="Z2890" s="192" t="str">
        <f>IFERROR(Tableau3[[#This Row],[Chiffre d''affaires]]/Tableau3[[#This Row],[Salariés]],"")</f>
        <v/>
      </c>
      <c r="AA2890" s="188"/>
      <c r="AB2890" s="188"/>
    </row>
    <row r="2891" spans="1:29" ht="20.25" customHeight="1">
      <c r="A2891" s="217"/>
      <c r="G2891" s="188"/>
      <c r="H2891" s="188"/>
      <c r="I2891" s="188"/>
      <c r="J2891" s="188"/>
      <c r="K2891" s="188"/>
      <c r="L2891" s="188"/>
      <c r="M2891" s="188"/>
      <c r="N2891" s="188"/>
      <c r="O2891" s="188"/>
      <c r="P2891" s="188"/>
      <c r="Q2891" s="188"/>
      <c r="R2891" s="188"/>
      <c r="S2891" s="188"/>
      <c r="T2891" s="180"/>
      <c r="U2891" s="189" t="str">
        <f>IFERROR(IF(Tableau3[[#This Row],[Dettes]]=0,"",(Tableau3[[#This Row],[Dettes]]/Tableau3[[#This Row],[EBE]])),"")</f>
        <v/>
      </c>
      <c r="V2891" s="190" t="str">
        <f>IFERROR(Tableau3[[#This Row],[Fonds propres]]/Tableau3[[#This Row],[Total Bilan]],"")</f>
        <v/>
      </c>
      <c r="W2891" s="180"/>
      <c r="X2891" s="192"/>
      <c r="Y2891" s="180"/>
      <c r="Z2891" s="192" t="str">
        <f>IFERROR(Tableau3[[#This Row],[Chiffre d''affaires]]/Tableau3[[#This Row],[Salariés]],"")</f>
        <v/>
      </c>
      <c r="AA2891" s="188"/>
      <c r="AB2891" s="188"/>
    </row>
    <row r="2892" spans="1:29" ht="20.25" customHeight="1">
      <c r="A2892" s="217"/>
      <c r="G2892" s="188"/>
      <c r="H2892" s="188"/>
      <c r="I2892" s="188"/>
      <c r="J2892" s="188"/>
      <c r="K2892" s="188"/>
      <c r="L2892" s="188"/>
      <c r="M2892" s="188"/>
      <c r="N2892" s="188"/>
      <c r="O2892" s="188"/>
      <c r="P2892" s="188"/>
      <c r="Q2892" s="188"/>
      <c r="R2892" s="188"/>
      <c r="S2892" s="188"/>
      <c r="T2892" s="180"/>
      <c r="U2892" s="189" t="str">
        <f>IFERROR(IF(Tableau3[[#This Row],[Dettes]]=0,"",(Tableau3[[#This Row],[Dettes]]/Tableau3[[#This Row],[EBE]])),"")</f>
        <v/>
      </c>
      <c r="V2892" s="190" t="str">
        <f>IFERROR(Tableau3[[#This Row],[Fonds propres]]/Tableau3[[#This Row],[Total Bilan]],"")</f>
        <v/>
      </c>
      <c r="W2892" s="180"/>
      <c r="X2892" s="192"/>
      <c r="Y2892" s="180"/>
      <c r="Z2892" s="192" t="str">
        <f>IFERROR(Tableau3[[#This Row],[Chiffre d''affaires]]/Tableau3[[#This Row],[Salariés]],"")</f>
        <v/>
      </c>
      <c r="AA2892" s="188"/>
      <c r="AB2892" s="188"/>
    </row>
    <row r="2893" spans="1:29" ht="20.25" customHeight="1">
      <c r="A2893" s="217" t="s">
        <v>2017</v>
      </c>
      <c r="B2893" s="216" t="s">
        <v>2018</v>
      </c>
      <c r="C2893" s="178" t="s">
        <v>84</v>
      </c>
      <c r="D2893" s="178" t="s">
        <v>85</v>
      </c>
      <c r="E2893" s="187">
        <v>24.38</v>
      </c>
      <c r="F2893" s="178">
        <v>2021</v>
      </c>
      <c r="G2893" s="188"/>
      <c r="H2893" s="188"/>
      <c r="I2893" s="188"/>
      <c r="J2893" s="188"/>
      <c r="K2893" s="188"/>
      <c r="L2893" s="188"/>
      <c r="M2893" s="188"/>
      <c r="N2893" s="188"/>
      <c r="O2893" s="188"/>
      <c r="P2893" s="188">
        <v>131133286</v>
      </c>
      <c r="Q2893" s="188">
        <f>P2893*E2893</f>
        <v>3197029512.6799998</v>
      </c>
      <c r="R2893" s="188"/>
      <c r="S2893" s="188"/>
      <c r="T2893" s="180"/>
      <c r="U2893" s="189" t="str">
        <f>IFERROR(IF(Tableau3[[#This Row],[Dettes]]=0,"",(Tableau3[[#This Row],[Dettes]]/Tableau3[[#This Row],[EBE]])),"")</f>
        <v/>
      </c>
      <c r="V2893" s="190" t="str">
        <f>IFERROR(Tableau3[[#This Row],[Fonds propres]]/Tableau3[[#This Row],[Total Bilan]],"")</f>
        <v/>
      </c>
      <c r="W2893" s="180"/>
      <c r="X2893" s="192"/>
      <c r="Y2893" s="180"/>
      <c r="Z2893" s="192" t="str">
        <f>IFERROR(Tableau3[[#This Row],[Chiffre d''affaires]]/Tableau3[[#This Row],[Salariés]],"")</f>
        <v/>
      </c>
      <c r="AA2893" s="188"/>
      <c r="AB2893" s="188"/>
      <c r="AC2893" s="177" t="s">
        <v>2019</v>
      </c>
    </row>
    <row r="2894" spans="1:29" ht="20.25" customHeight="1">
      <c r="A2894" s="217"/>
      <c r="E2894" s="187"/>
      <c r="G2894" s="188"/>
      <c r="H2894" s="188"/>
      <c r="I2894" s="188"/>
      <c r="J2894" s="188"/>
      <c r="K2894" s="188"/>
      <c r="L2894" s="188"/>
      <c r="M2894" s="188"/>
      <c r="N2894" s="188"/>
      <c r="O2894" s="188"/>
      <c r="P2894" s="188"/>
      <c r="Q2894" s="188"/>
      <c r="R2894" s="188"/>
      <c r="S2894" s="188"/>
      <c r="T2894" s="180"/>
      <c r="U2894" s="189" t="str">
        <f>IFERROR(IF(Tableau3[[#This Row],[Dettes]]=0,"",(Tableau3[[#This Row],[Dettes]]/Tableau3[[#This Row],[EBE]])),"")</f>
        <v/>
      </c>
      <c r="V2894" s="190" t="str">
        <f>IFERROR(Tableau3[[#This Row],[Fonds propres]]/Tableau3[[#This Row],[Total Bilan]],"")</f>
        <v/>
      </c>
      <c r="W2894" s="180"/>
      <c r="X2894" s="192"/>
      <c r="Y2894" s="180"/>
      <c r="Z2894" s="192" t="str">
        <f>IFERROR(Tableau3[[#This Row],[Chiffre d''affaires]]/Tableau3[[#This Row],[Salariés]],"")</f>
        <v/>
      </c>
      <c r="AA2894" s="188"/>
      <c r="AB2894" s="188"/>
      <c r="AC2894" s="177" t="s">
        <v>2021</v>
      </c>
    </row>
    <row r="2895" spans="1:29" ht="20.25" customHeight="1">
      <c r="A2895" s="217"/>
      <c r="E2895" s="187">
        <v>20.5</v>
      </c>
      <c r="F2895" s="178">
        <v>2020</v>
      </c>
      <c r="G2895" s="188">
        <v>6400000000</v>
      </c>
      <c r="H2895" s="188"/>
      <c r="I2895" s="188">
        <v>375000000</v>
      </c>
      <c r="J2895" s="188">
        <v>200000000</v>
      </c>
      <c r="K2895" s="188">
        <v>1500000000</v>
      </c>
      <c r="L2895" s="188">
        <v>1700000000</v>
      </c>
      <c r="M2895" s="194">
        <f>L2895/P2895</f>
        <v>12.963909102376951</v>
      </c>
      <c r="N2895" s="190">
        <f>J2895/L2895</f>
        <v>0.11764705882352941</v>
      </c>
      <c r="O2895" s="190">
        <f>(I2895*0.64)/(K2895+(M2895*P2895))</f>
        <v>7.4999999999999997E-2</v>
      </c>
      <c r="P2895" s="188">
        <v>131133286</v>
      </c>
      <c r="Q2895" s="188">
        <f>P2895*E2895</f>
        <v>2688232363</v>
      </c>
      <c r="R2895" s="195">
        <f>Q2895/L2895</f>
        <v>1.5813131547058823</v>
      </c>
      <c r="S2895" s="197">
        <f>(Q2895+K2895)/I2895</f>
        <v>11.168619634666667</v>
      </c>
      <c r="T2895" s="180"/>
      <c r="U2895" s="189" t="str">
        <f>IFERROR(IF(Tableau3[[#This Row],[Dettes]]=0,"",(Tableau3[[#This Row],[Dettes]]/Tableau3[[#This Row],[EBE]])),"")</f>
        <v/>
      </c>
      <c r="V2895" s="190" t="str">
        <f>IFERROR(Tableau3[[#This Row],[Fonds propres]]/Tableau3[[#This Row],[Total Bilan]],"")</f>
        <v/>
      </c>
      <c r="W2895" s="180"/>
      <c r="X2895" s="191"/>
      <c r="Y2895" s="180"/>
      <c r="Z2895" s="192" t="str">
        <f>IFERROR(Tableau3[[#This Row],[Chiffre d''affaires]]/Tableau3[[#This Row],[Salariés]],"")</f>
        <v/>
      </c>
      <c r="AA2895" s="197"/>
      <c r="AB2895" s="197"/>
      <c r="AC2895" s="177" t="s">
        <v>2022</v>
      </c>
    </row>
    <row r="2896" spans="1:29" ht="20.25" customHeight="1">
      <c r="A2896" s="217"/>
      <c r="E2896" s="187"/>
      <c r="G2896" s="188"/>
      <c r="H2896" s="188"/>
      <c r="I2896" s="188"/>
      <c r="J2896" s="188"/>
      <c r="K2896" s="188"/>
      <c r="L2896" s="188"/>
      <c r="M2896" s="188"/>
      <c r="N2896" s="188"/>
      <c r="O2896" s="188"/>
      <c r="P2896" s="188"/>
      <c r="Q2896" s="188"/>
      <c r="R2896" s="188"/>
      <c r="S2896" s="188"/>
      <c r="T2896" s="180"/>
      <c r="U2896" s="189" t="str">
        <f>IFERROR(IF(Tableau3[[#This Row],[Dettes]]=0,"",(Tableau3[[#This Row],[Dettes]]/Tableau3[[#This Row],[EBE]])),"")</f>
        <v/>
      </c>
      <c r="V2896" s="190" t="str">
        <f>IFERROR(Tableau3[[#This Row],[Fonds propres]]/Tableau3[[#This Row],[Total Bilan]],"")</f>
        <v/>
      </c>
      <c r="W2896" s="180"/>
      <c r="X2896" s="192"/>
      <c r="Y2896" s="180"/>
      <c r="Z2896" s="192" t="str">
        <f>IFERROR(Tableau3[[#This Row],[Chiffre d''affaires]]/Tableau3[[#This Row],[Salariés]],"")</f>
        <v/>
      </c>
      <c r="AA2896" s="188"/>
      <c r="AB2896" s="188"/>
      <c r="AC2896" s="177" t="s">
        <v>2023</v>
      </c>
    </row>
    <row r="2897" spans="1:29" ht="20.25" customHeight="1">
      <c r="A2897" s="217"/>
      <c r="E2897" s="187">
        <v>22</v>
      </c>
      <c r="F2897" s="178">
        <v>2019</v>
      </c>
      <c r="G2897" s="188">
        <v>7211000000</v>
      </c>
      <c r="H2897" s="188"/>
      <c r="I2897" s="188">
        <v>378000000</v>
      </c>
      <c r="J2897" s="188">
        <v>-15000000</v>
      </c>
      <c r="K2897" s="188">
        <v>1461000000</v>
      </c>
      <c r="L2897" s="188">
        <v>1700000000</v>
      </c>
      <c r="M2897" s="194">
        <f>L2897/P2897</f>
        <v>12.963909102376951</v>
      </c>
      <c r="N2897" s="190">
        <f>J2897/L2897</f>
        <v>-8.8235294117647058E-3</v>
      </c>
      <c r="O2897" s="190">
        <f>(I2897*0.64)/(K2897+(M2897*P2897))</f>
        <v>7.6532742802910475E-2</v>
      </c>
      <c r="P2897" s="188">
        <v>131133286</v>
      </c>
      <c r="Q2897" s="188">
        <f>P2897*E2897</f>
        <v>2884932292</v>
      </c>
      <c r="R2897" s="195">
        <f>Q2897/L2897</f>
        <v>1.6970189952941177</v>
      </c>
      <c r="S2897" s="197">
        <f>(Q2897+K2897)/I2897</f>
        <v>11.497175375661376</v>
      </c>
      <c r="T2897" s="180"/>
      <c r="U2897" s="189" t="str">
        <f>IFERROR(IF(Tableau3[[#This Row],[Dettes]]=0,"",(Tableau3[[#This Row],[Dettes]]/Tableau3[[#This Row],[EBE]])),"")</f>
        <v/>
      </c>
      <c r="V2897" s="190" t="str">
        <f>IFERROR(Tableau3[[#This Row],[Fonds propres]]/Tableau3[[#This Row],[Total Bilan]],"")</f>
        <v/>
      </c>
      <c r="W2897" s="180"/>
      <c r="X2897" s="191"/>
      <c r="Y2897" s="180"/>
      <c r="Z2897" s="192" t="str">
        <f>IFERROR(Tableau3[[#This Row],[Chiffre d''affaires]]/Tableau3[[#This Row],[Salariés]],"")</f>
        <v/>
      </c>
      <c r="AA2897" s="197"/>
      <c r="AB2897" s="197"/>
      <c r="AC2897" s="177" t="s">
        <v>2024</v>
      </c>
    </row>
    <row r="2898" spans="1:29" ht="20.25" customHeight="1">
      <c r="A2898" s="217"/>
      <c r="E2898" s="187"/>
      <c r="G2898" s="202">
        <f>(G2897/G2899)-1</f>
        <v>-6.4756131165610853E-3</v>
      </c>
      <c r="H2898" s="203"/>
      <c r="I2898" s="203">
        <f>(I2897/I2899)-1</f>
        <v>-7.5794621026894826E-2</v>
      </c>
      <c r="J2898" s="203">
        <f>(J2897/J2899)-1</f>
        <v>-1.0773195876288659</v>
      </c>
      <c r="K2898" s="188"/>
      <c r="L2898" s="188"/>
      <c r="M2898" s="188"/>
      <c r="N2898" s="188"/>
      <c r="O2898" s="188"/>
      <c r="P2898" s="188"/>
      <c r="Q2898" s="188"/>
      <c r="R2898" s="188"/>
      <c r="S2898" s="188"/>
      <c r="T2898" s="180"/>
      <c r="U2898" s="189" t="str">
        <f>IFERROR(IF(Tableau3[[#This Row],[Dettes]]=0,"",(Tableau3[[#This Row],[Dettes]]/Tableau3[[#This Row],[EBE]])),"")</f>
        <v/>
      </c>
      <c r="V2898" s="190" t="str">
        <f>IFERROR(Tableau3[[#This Row],[Fonds propres]]/Tableau3[[#This Row],[Total Bilan]],"")</f>
        <v/>
      </c>
      <c r="W2898" s="180"/>
      <c r="X2898" s="192"/>
      <c r="Y2898" s="180"/>
      <c r="Z2898" s="192" t="str">
        <f>IFERROR(Tableau3[[#This Row],[Chiffre d''affaires]]/Tableau3[[#This Row],[Salariés]],"")</f>
        <v/>
      </c>
      <c r="AA2898" s="188"/>
      <c r="AB2898" s="188"/>
      <c r="AC2898" s="177" t="s">
        <v>2025</v>
      </c>
    </row>
    <row r="2899" spans="1:29" ht="20.25" customHeight="1">
      <c r="A2899" s="217"/>
      <c r="E2899" s="187">
        <v>22</v>
      </c>
      <c r="F2899" s="178">
        <v>2018</v>
      </c>
      <c r="G2899" s="188">
        <v>7258000000</v>
      </c>
      <c r="H2899" s="188"/>
      <c r="I2899" s="188">
        <v>409000000</v>
      </c>
      <c r="J2899" s="188">
        <v>194000000</v>
      </c>
      <c r="K2899" s="188">
        <v>1367000000</v>
      </c>
      <c r="L2899" s="188">
        <f>1845000000-156000000</f>
        <v>1689000000</v>
      </c>
      <c r="M2899" s="194">
        <f>L2899/P2899</f>
        <v>12.880024984655689</v>
      </c>
      <c r="N2899" s="190">
        <f>J2899/L2899</f>
        <v>0.11486086441681469</v>
      </c>
      <c r="O2899" s="190">
        <f>(I2899*0.64)/(K2899+(M2899*P2899))</f>
        <v>8.5654450261780105E-2</v>
      </c>
      <c r="P2899" s="188">
        <f>P2897</f>
        <v>131133286</v>
      </c>
      <c r="Q2899" s="188">
        <f>P2899*E2899</f>
        <v>2884932292</v>
      </c>
      <c r="R2899" s="195">
        <f>Q2899/L2899</f>
        <v>1.7080712208407343</v>
      </c>
      <c r="S2899" s="197">
        <f>(Q2899+K2899)/I2899</f>
        <v>10.395922474327628</v>
      </c>
      <c r="T2899" s="180"/>
      <c r="U2899" s="189" t="str">
        <f>IFERROR(IF(Tableau3[[#This Row],[Dettes]]=0,"",(Tableau3[[#This Row],[Dettes]]/Tableau3[[#This Row],[EBE]])),"")</f>
        <v/>
      </c>
      <c r="V2899" s="190" t="str">
        <f>IFERROR(Tableau3[[#This Row],[Fonds propres]]/Tableau3[[#This Row],[Total Bilan]],"")</f>
        <v/>
      </c>
      <c r="W2899" s="180"/>
      <c r="X2899" s="191"/>
      <c r="Y2899" s="180"/>
      <c r="Z2899" s="192" t="str">
        <f>IFERROR(Tableau3[[#This Row],[Chiffre d''affaires]]/Tableau3[[#This Row],[Salariés]],"")</f>
        <v/>
      </c>
      <c r="AA2899" s="197"/>
      <c r="AB2899" s="197"/>
      <c r="AC2899" s="177" t="s">
        <v>2026</v>
      </c>
    </row>
    <row r="2900" spans="1:29" ht="20.25" customHeight="1">
      <c r="A2900" s="217"/>
      <c r="E2900" s="187"/>
      <c r="G2900" s="202">
        <f>(G2899/G2901)-1</f>
        <v>2.4562394127611409E-2</v>
      </c>
      <c r="H2900" s="203"/>
      <c r="I2900" s="203">
        <f>(I2899/I2901)-1</f>
        <v>0.4872727272727273</v>
      </c>
      <c r="J2900" s="203">
        <f>(J2899/J2901)-1</f>
        <v>0.10227272727272729</v>
      </c>
      <c r="K2900" s="188"/>
      <c r="L2900" s="188"/>
      <c r="M2900" s="188"/>
      <c r="N2900" s="188"/>
      <c r="O2900" s="188"/>
      <c r="P2900" s="188"/>
      <c r="Q2900" s="188"/>
      <c r="R2900" s="188"/>
      <c r="S2900" s="188"/>
      <c r="T2900" s="180"/>
      <c r="U2900" s="189" t="str">
        <f>IFERROR(IF(Tableau3[[#This Row],[Dettes]]=0,"",(Tableau3[[#This Row],[Dettes]]/Tableau3[[#This Row],[EBE]])),"")</f>
        <v/>
      </c>
      <c r="V2900" s="190" t="str">
        <f>IFERROR(Tableau3[[#This Row],[Fonds propres]]/Tableau3[[#This Row],[Total Bilan]],"")</f>
        <v/>
      </c>
      <c r="W2900" s="180"/>
      <c r="X2900" s="192"/>
      <c r="Y2900" s="180"/>
      <c r="Z2900" s="192" t="str">
        <f>IFERROR(Tableau3[[#This Row],[Chiffre d''affaires]]/Tableau3[[#This Row],[Salariés]],"")</f>
        <v/>
      </c>
      <c r="AA2900" s="188"/>
      <c r="AB2900" s="188"/>
      <c r="AC2900" s="177" t="s">
        <v>2027</v>
      </c>
    </row>
    <row r="2901" spans="1:29" ht="20.25" customHeight="1">
      <c r="A2901" s="217"/>
      <c r="E2901" s="187">
        <v>26.7</v>
      </c>
      <c r="F2901" s="178">
        <v>2017</v>
      </c>
      <c r="G2901" s="188">
        <v>7084000000</v>
      </c>
      <c r="H2901" s="188"/>
      <c r="I2901" s="188">
        <v>275000000</v>
      </c>
      <c r="J2901" s="188">
        <v>176000000</v>
      </c>
      <c r="K2901" s="188">
        <v>1368000000</v>
      </c>
      <c r="L2901" s="188">
        <f>1785000000-139000000</f>
        <v>1646000000</v>
      </c>
      <c r="M2901" s="194">
        <f>L2901/P2901</f>
        <v>12.55211434265439</v>
      </c>
      <c r="N2901" s="190">
        <f>J2901/L2901</f>
        <v>0.10692588092345079</v>
      </c>
      <c r="O2901" s="190">
        <f>(I2901*0.64)/(K2901+(M2901*P2901))</f>
        <v>5.8394160583941604E-2</v>
      </c>
      <c r="P2901" s="188">
        <f>P2899</f>
        <v>131133286</v>
      </c>
      <c r="Q2901" s="188">
        <f>P2901*E2901</f>
        <v>3501258736.1999998</v>
      </c>
      <c r="R2901" s="195">
        <f>Q2901/L2901</f>
        <v>2.1271316744835964</v>
      </c>
      <c r="S2901" s="197">
        <f>(Q2901+K2901)/I2901</f>
        <v>17.706395404363636</v>
      </c>
      <c r="T2901" s="180"/>
      <c r="U2901" s="189" t="str">
        <f>IFERROR(IF(Tableau3[[#This Row],[Dettes]]=0,"",(Tableau3[[#This Row],[Dettes]]/Tableau3[[#This Row],[EBE]])),"")</f>
        <v/>
      </c>
      <c r="V2901" s="190" t="str">
        <f>IFERROR(Tableau3[[#This Row],[Fonds propres]]/Tableau3[[#This Row],[Total Bilan]],"")</f>
        <v/>
      </c>
      <c r="W2901" s="180"/>
      <c r="X2901" s="191"/>
      <c r="Y2901" s="180"/>
      <c r="Z2901" s="192" t="str">
        <f>IFERROR(Tableau3[[#This Row],[Chiffre d''affaires]]/Tableau3[[#This Row],[Salariés]],"")</f>
        <v/>
      </c>
      <c r="AA2901" s="197"/>
      <c r="AB2901" s="197"/>
      <c r="AC2901" s="177" t="s">
        <v>2028</v>
      </c>
    </row>
    <row r="2902" spans="1:29" ht="20.25" customHeight="1">
      <c r="A2902" s="217"/>
      <c r="E2902" s="187"/>
      <c r="G2902" s="202">
        <f>(G2901/G2903)-1</f>
        <v>-4.1537004464889726E-2</v>
      </c>
      <c r="H2902" s="203"/>
      <c r="I2902" s="203">
        <f>(I2901/I2903)-1</f>
        <v>-0.30379746835443033</v>
      </c>
      <c r="J2902" s="203">
        <f>(J2901/J2903)-1</f>
        <v>-0.26050420168067223</v>
      </c>
      <c r="K2902" s="188"/>
      <c r="L2902" s="188"/>
      <c r="M2902" s="188"/>
      <c r="N2902" s="188"/>
      <c r="O2902" s="188"/>
      <c r="P2902" s="188"/>
      <c r="Q2902" s="188"/>
      <c r="R2902" s="188"/>
      <c r="S2902" s="188"/>
      <c r="T2902" s="180"/>
      <c r="U2902" s="189" t="str">
        <f>IFERROR(IF(Tableau3[[#This Row],[Dettes]]=0,"",(Tableau3[[#This Row],[Dettes]]/Tableau3[[#This Row],[EBE]])),"")</f>
        <v/>
      </c>
      <c r="V2902" s="190" t="str">
        <f>IFERROR(Tableau3[[#This Row],[Fonds propres]]/Tableau3[[#This Row],[Total Bilan]],"")</f>
        <v/>
      </c>
      <c r="W2902" s="180"/>
      <c r="X2902" s="192"/>
      <c r="Y2902" s="180"/>
      <c r="Z2902" s="192" t="str">
        <f>IFERROR(Tableau3[[#This Row],[Chiffre d''affaires]]/Tableau3[[#This Row],[Salariés]],"")</f>
        <v/>
      </c>
      <c r="AA2902" s="188"/>
      <c r="AB2902" s="188"/>
      <c r="AC2902" s="177" t="s">
        <v>2029</v>
      </c>
    </row>
    <row r="2903" spans="1:29" ht="20.25" customHeight="1">
      <c r="A2903" s="217"/>
      <c r="E2903" s="187">
        <v>26.4</v>
      </c>
      <c r="F2903" s="178">
        <v>2016</v>
      </c>
      <c r="G2903" s="188">
        <v>7391000000</v>
      </c>
      <c r="H2903" s="188"/>
      <c r="I2903" s="188">
        <v>395000000</v>
      </c>
      <c r="J2903" s="188">
        <v>238000000</v>
      </c>
      <c r="K2903" s="188">
        <v>1389000000</v>
      </c>
      <c r="L2903" s="188">
        <f>2031000000-166000000</f>
        <v>1865000000</v>
      </c>
      <c r="M2903" s="194">
        <f>L2903/P2903</f>
        <v>14.22217086819589</v>
      </c>
      <c r="N2903" s="190">
        <f>J2903/L2903</f>
        <v>0.12761394101876675</v>
      </c>
      <c r="O2903" s="190">
        <f>(I2903*0.64)/(K2903+(M2903*P2903))</f>
        <v>7.7688998156115546E-2</v>
      </c>
      <c r="P2903" s="188">
        <f>P2901</f>
        <v>131133286</v>
      </c>
      <c r="Q2903" s="188">
        <f>P2903*E2903</f>
        <v>3461918750.3999996</v>
      </c>
      <c r="R2903" s="195">
        <f>Q2903/L2903</f>
        <v>1.8562567026273455</v>
      </c>
      <c r="S2903" s="197">
        <f>(Q2903+K2903)/I2903</f>
        <v>12.280806963037973</v>
      </c>
      <c r="T2903" s="180"/>
      <c r="U2903" s="189" t="str">
        <f>IFERROR(IF(Tableau3[[#This Row],[Dettes]]=0,"",(Tableau3[[#This Row],[Dettes]]/Tableau3[[#This Row],[EBE]])),"")</f>
        <v/>
      </c>
      <c r="V2903" s="190" t="str">
        <f>IFERROR(Tableau3[[#This Row],[Fonds propres]]/Tableau3[[#This Row],[Total Bilan]],"")</f>
        <v/>
      </c>
      <c r="W2903" s="180"/>
      <c r="X2903" s="191"/>
      <c r="Y2903" s="180"/>
      <c r="Z2903" s="192" t="str">
        <f>IFERROR(Tableau3[[#This Row],[Chiffre d''affaires]]/Tableau3[[#This Row],[Salariés]],"")</f>
        <v/>
      </c>
      <c r="AA2903" s="197"/>
      <c r="AB2903" s="197"/>
      <c r="AC2903" s="177" t="s">
        <v>2030</v>
      </c>
    </row>
    <row r="2904" spans="1:29" ht="20.25" customHeight="1">
      <c r="A2904" s="217"/>
      <c r="E2904" s="187"/>
      <c r="G2904" s="202">
        <f>(G2903/G2905)-1</f>
        <v>2.7526762129848503E-2</v>
      </c>
      <c r="H2904" s="203"/>
      <c r="I2904" s="203">
        <f>(I2903/I2905)-1</f>
        <v>1.2701149425287355</v>
      </c>
      <c r="J2904" s="203">
        <f>(J2903/J2905)-1</f>
        <v>2.2162162162162162</v>
      </c>
      <c r="K2904" s="188"/>
      <c r="L2904" s="188"/>
      <c r="M2904" s="188"/>
      <c r="N2904" s="188"/>
      <c r="O2904" s="188"/>
      <c r="P2904" s="188"/>
      <c r="Q2904" s="188"/>
      <c r="R2904" s="188"/>
      <c r="S2904" s="188"/>
      <c r="T2904" s="180"/>
      <c r="U2904" s="189" t="str">
        <f>IFERROR(IF(Tableau3[[#This Row],[Dettes]]=0,"",(Tableau3[[#This Row],[Dettes]]/Tableau3[[#This Row],[EBE]])),"")</f>
        <v/>
      </c>
      <c r="V2904" s="190" t="str">
        <f>IFERROR(Tableau3[[#This Row],[Fonds propres]]/Tableau3[[#This Row],[Total Bilan]],"")</f>
        <v/>
      </c>
      <c r="W2904" s="180"/>
      <c r="X2904" s="192"/>
      <c r="Y2904" s="180"/>
      <c r="Z2904" s="192" t="str">
        <f>IFERROR(Tableau3[[#This Row],[Chiffre d''affaires]]/Tableau3[[#This Row],[Salariés]],"")</f>
        <v/>
      </c>
      <c r="AA2904" s="188"/>
      <c r="AB2904" s="188"/>
      <c r="AC2904" s="177" t="s">
        <v>2031</v>
      </c>
    </row>
    <row r="2905" spans="1:29" ht="20.25" customHeight="1">
      <c r="A2905" s="217"/>
      <c r="E2905" s="187">
        <v>27.5</v>
      </c>
      <c r="F2905" s="178">
        <v>2015</v>
      </c>
      <c r="G2905" s="188">
        <v>7193000000</v>
      </c>
      <c r="H2905" s="188"/>
      <c r="I2905" s="188">
        <v>174000000</v>
      </c>
      <c r="J2905" s="188">
        <v>74000000</v>
      </c>
      <c r="K2905" s="188">
        <v>1551000000</v>
      </c>
      <c r="L2905" s="188">
        <v>2135000000</v>
      </c>
      <c r="M2905" s="194">
        <f>L2905/P2905</f>
        <v>16.2811446668087</v>
      </c>
      <c r="N2905" s="190">
        <f>J2905/L2905</f>
        <v>3.4660421545667446E-2</v>
      </c>
      <c r="O2905" s="190">
        <f>(L2905*0.64)/(K2905+(M2905*P2905))</f>
        <v>0.37069994574064025</v>
      </c>
      <c r="P2905" s="188">
        <f>P2903</f>
        <v>131133286</v>
      </c>
      <c r="Q2905" s="188">
        <f>P2905*E2905</f>
        <v>3606165365</v>
      </c>
      <c r="R2905" s="195">
        <f>Q2905/L2905</f>
        <v>1.6890704285714286</v>
      </c>
      <c r="S2905" s="197">
        <f>(Q2905+K2905)/I2905</f>
        <v>29.638881408045975</v>
      </c>
      <c r="T2905" s="180"/>
      <c r="U2905" s="189" t="str">
        <f>IFERROR(IF(Tableau3[[#This Row],[Dettes]]=0,"",(Tableau3[[#This Row],[Dettes]]/Tableau3[[#This Row],[EBE]])),"")</f>
        <v/>
      </c>
      <c r="V2905" s="190" t="str">
        <f>IFERROR(Tableau3[[#This Row],[Fonds propres]]/Tableau3[[#This Row],[Total Bilan]],"")</f>
        <v/>
      </c>
      <c r="W2905" s="180"/>
      <c r="X2905" s="191"/>
      <c r="Y2905" s="180"/>
      <c r="Z2905" s="192" t="str">
        <f>IFERROR(Tableau3[[#This Row],[Chiffre d''affaires]]/Tableau3[[#This Row],[Salariés]],"")</f>
        <v/>
      </c>
      <c r="AA2905" s="197"/>
      <c r="AB2905" s="197"/>
      <c r="AC2905" s="177" t="s">
        <v>2032</v>
      </c>
    </row>
    <row r="2906" spans="1:29" ht="20.25" customHeight="1">
      <c r="A2906" s="217"/>
      <c r="E2906" s="187"/>
      <c r="G2906" s="188"/>
      <c r="H2906" s="188"/>
      <c r="I2906" s="188"/>
      <c r="J2906" s="188"/>
      <c r="K2906" s="188"/>
      <c r="L2906" s="188"/>
      <c r="M2906" s="188"/>
      <c r="N2906" s="188"/>
      <c r="O2906" s="188"/>
      <c r="P2906" s="188"/>
      <c r="Q2906" s="188"/>
      <c r="R2906" s="188"/>
      <c r="S2906" s="188"/>
      <c r="T2906" s="180"/>
      <c r="U2906" s="189" t="str">
        <f>IFERROR(IF(Tableau3[[#This Row],[Dettes]]=0,"",(Tableau3[[#This Row],[Dettes]]/Tableau3[[#This Row],[EBE]])),"")</f>
        <v/>
      </c>
      <c r="V2906" s="190" t="str">
        <f>IFERROR(Tableau3[[#This Row],[Fonds propres]]/Tableau3[[#This Row],[Total Bilan]],"")</f>
        <v/>
      </c>
      <c r="W2906" s="180"/>
      <c r="X2906" s="192"/>
      <c r="Y2906" s="180"/>
      <c r="Z2906" s="192" t="str">
        <f>IFERROR(Tableau3[[#This Row],[Chiffre d''affaires]]/Tableau3[[#This Row],[Salariés]],"")</f>
        <v/>
      </c>
      <c r="AA2906" s="188"/>
      <c r="AB2906" s="188"/>
      <c r="AC2906" s="177" t="s">
        <v>2033</v>
      </c>
    </row>
    <row r="2907" spans="1:29" ht="20.25" customHeight="1">
      <c r="A2907" s="217"/>
      <c r="E2907" s="187">
        <v>47.36</v>
      </c>
      <c r="F2907" s="178">
        <v>2007</v>
      </c>
      <c r="G2907" s="188">
        <v>8582000000</v>
      </c>
      <c r="H2907" s="188"/>
      <c r="I2907" s="188">
        <v>867000000</v>
      </c>
      <c r="J2907" s="188">
        <v>534000000</v>
      </c>
      <c r="K2907" s="188">
        <v>2570000000</v>
      </c>
      <c r="L2907" s="188">
        <v>4659000000</v>
      </c>
      <c r="M2907" s="194">
        <f>L2907/P2907</f>
        <v>35.528736769396595</v>
      </c>
      <c r="N2907" s="190">
        <f>J2907/L2907</f>
        <v>0.11461687057308435</v>
      </c>
      <c r="O2907" s="190">
        <f>(I2907*0.64)/(K2907+(M2907*P2907))</f>
        <v>7.6757504495780879E-2</v>
      </c>
      <c r="P2907" s="188">
        <f>P2905</f>
        <v>131133286</v>
      </c>
      <c r="Q2907" s="188">
        <f>P2907*E2907</f>
        <v>6210472424.96</v>
      </c>
      <c r="R2907" s="195">
        <f>Q2907/L2907</f>
        <v>1.3330054571710668</v>
      </c>
      <c r="S2907" s="197">
        <f>(Q2907+K2907)/I2907</f>
        <v>10.127419175271049</v>
      </c>
      <c r="T2907" s="180"/>
      <c r="U2907" s="189" t="str">
        <f>IFERROR(IF(Tableau3[[#This Row],[Dettes]]=0,"",(Tableau3[[#This Row],[Dettes]]/Tableau3[[#This Row],[EBE]])),"")</f>
        <v/>
      </c>
      <c r="V2907" s="190" t="str">
        <f>IFERROR(Tableau3[[#This Row],[Fonds propres]]/Tableau3[[#This Row],[Total Bilan]],"")</f>
        <v/>
      </c>
      <c r="W2907" s="180"/>
      <c r="X2907" s="191"/>
      <c r="Y2907" s="180"/>
      <c r="Z2907" s="192" t="str">
        <f>IFERROR(Tableau3[[#This Row],[Chiffre d''affaires]]/Tableau3[[#This Row],[Salariés]],"")</f>
        <v/>
      </c>
      <c r="AA2907" s="197"/>
      <c r="AB2907" s="197"/>
      <c r="AC2907" s="177" t="s">
        <v>2034</v>
      </c>
    </row>
    <row r="2908" spans="1:29" ht="20.25" customHeight="1">
      <c r="A2908" s="217"/>
      <c r="E2908" s="187"/>
      <c r="G2908" s="188"/>
      <c r="H2908" s="188"/>
      <c r="I2908" s="188"/>
      <c r="J2908" s="188"/>
      <c r="K2908" s="188"/>
      <c r="L2908" s="188"/>
      <c r="M2908" s="188"/>
      <c r="N2908" s="188"/>
      <c r="O2908" s="188"/>
      <c r="P2908" s="188"/>
      <c r="Q2908" s="188"/>
      <c r="R2908" s="188"/>
      <c r="S2908" s="188"/>
      <c r="T2908" s="180"/>
      <c r="U2908" s="189" t="str">
        <f>IFERROR(IF(Tableau3[[#This Row],[Dettes]]=0,"",(Tableau3[[#This Row],[Dettes]]/Tableau3[[#This Row],[EBE]])),"")</f>
        <v/>
      </c>
      <c r="V2908" s="190" t="str">
        <f>IFERROR(Tableau3[[#This Row],[Fonds propres]]/Tableau3[[#This Row],[Total Bilan]],"")</f>
        <v/>
      </c>
      <c r="W2908" s="180"/>
      <c r="X2908" s="192"/>
      <c r="Y2908" s="180"/>
      <c r="Z2908" s="192" t="str">
        <f>IFERROR(Tableau3[[#This Row],[Chiffre d''affaires]]/Tableau3[[#This Row],[Salariés]],"")</f>
        <v/>
      </c>
      <c r="AA2908" s="188"/>
      <c r="AB2908" s="188"/>
    </row>
    <row r="2909" spans="1:29" ht="20.25" customHeight="1">
      <c r="A2909" s="217"/>
      <c r="E2909" s="187"/>
      <c r="G2909" s="188"/>
      <c r="H2909" s="188"/>
      <c r="I2909" s="188"/>
      <c r="J2909" s="188"/>
      <c r="K2909" s="188"/>
      <c r="L2909" s="188"/>
      <c r="M2909" s="188"/>
      <c r="N2909" s="188"/>
      <c r="O2909" s="188"/>
      <c r="P2909" s="188"/>
      <c r="Q2909" s="188"/>
      <c r="R2909" s="188"/>
      <c r="S2909" s="188"/>
      <c r="T2909" s="180"/>
      <c r="U2909" s="189" t="str">
        <f>IFERROR(IF(Tableau3[[#This Row],[Dettes]]=0,"",(Tableau3[[#This Row],[Dettes]]/Tableau3[[#This Row],[EBE]])),"")</f>
        <v/>
      </c>
      <c r="V2909" s="190" t="str">
        <f>IFERROR(Tableau3[[#This Row],[Fonds propres]]/Tableau3[[#This Row],[Total Bilan]],"")</f>
        <v/>
      </c>
      <c r="W2909" s="180"/>
      <c r="X2909" s="192"/>
      <c r="Y2909" s="180"/>
      <c r="Z2909" s="192" t="str">
        <f>IFERROR(Tableau3[[#This Row],[Chiffre d''affaires]]/Tableau3[[#This Row],[Salariés]],"")</f>
        <v/>
      </c>
      <c r="AA2909" s="188"/>
      <c r="AB2909" s="188"/>
    </row>
    <row r="2910" spans="1:29" ht="20.25" customHeight="1">
      <c r="A2910" s="217"/>
      <c r="E2910" s="187"/>
      <c r="G2910" s="188"/>
      <c r="H2910" s="188"/>
      <c r="I2910" s="188"/>
      <c r="J2910" s="188"/>
      <c r="K2910" s="188"/>
      <c r="L2910" s="188"/>
      <c r="M2910" s="188"/>
      <c r="N2910" s="188"/>
      <c r="O2910" s="188"/>
      <c r="P2910" s="188"/>
      <c r="Q2910" s="188"/>
      <c r="R2910" s="188"/>
      <c r="S2910" s="188"/>
      <c r="T2910" s="180"/>
      <c r="U2910" s="189" t="str">
        <f>IFERROR(IF(Tableau3[[#This Row],[Dettes]]=0,"",(Tableau3[[#This Row],[Dettes]]/Tableau3[[#This Row],[EBE]])),"")</f>
        <v/>
      </c>
      <c r="V2910" s="190" t="str">
        <f>IFERROR(Tableau3[[#This Row],[Fonds propres]]/Tableau3[[#This Row],[Total Bilan]],"")</f>
        <v/>
      </c>
      <c r="W2910" s="180"/>
      <c r="X2910" s="192"/>
      <c r="Y2910" s="180"/>
      <c r="Z2910" s="192" t="str">
        <f>IFERROR(Tableau3[[#This Row],[Chiffre d''affaires]]/Tableau3[[#This Row],[Salariés]],"")</f>
        <v/>
      </c>
      <c r="AA2910" s="188"/>
      <c r="AB2910" s="188"/>
    </row>
    <row r="2911" spans="1:29" ht="20.25" customHeight="1">
      <c r="A2911" s="217" t="s">
        <v>2035</v>
      </c>
      <c r="B2911" s="216" t="s">
        <v>2036</v>
      </c>
      <c r="C2911" s="178" t="s">
        <v>84</v>
      </c>
      <c r="D2911" s="178" t="s">
        <v>85</v>
      </c>
      <c r="E2911" s="187">
        <v>33</v>
      </c>
      <c r="F2911" s="178">
        <v>2025</v>
      </c>
      <c r="G2911" s="188">
        <v>3500000000</v>
      </c>
      <c r="H2911" s="188">
        <v>700000000</v>
      </c>
      <c r="I2911" s="188">
        <v>420000000</v>
      </c>
      <c r="J2911" s="188">
        <v>300000000</v>
      </c>
      <c r="K2911" s="188">
        <v>1080000000</v>
      </c>
      <c r="L2911" s="188">
        <v>3450000000</v>
      </c>
      <c r="M2911" s="194">
        <f>L2911/P2911</f>
        <v>40.616449391227121</v>
      </c>
      <c r="N2911" s="190">
        <f>J2911/L2913</f>
        <v>9.1441111923921001E-2</v>
      </c>
      <c r="O2911" s="190">
        <f>(I2911*0.73)/(K2913+L2913)</f>
        <v>6.7298827867772942E-2</v>
      </c>
      <c r="P2911" s="188">
        <v>84940955</v>
      </c>
      <c r="Q2911" s="188">
        <f>P2911*E2911</f>
        <v>2803051515</v>
      </c>
      <c r="R2911" s="195">
        <f>Q2911/L2911</f>
        <v>0.8124787</v>
      </c>
      <c r="S2911" s="197">
        <f>(Q2911+K2911)/H2911</f>
        <v>5.5472164499999996</v>
      </c>
      <c r="T2911" s="180">
        <v>200000000</v>
      </c>
      <c r="U2911" s="189">
        <f>IFERROR(IF(Tableau3[[#This Row],[Dettes]]=0,"",(Tableau3[[#This Row],[Dettes]]/Tableau3[[#This Row],[EBE]])),"")</f>
        <v>1.5428571428571429</v>
      </c>
      <c r="V2911" s="190" t="str">
        <f>IFERROR(Tableau3[[#This Row],[Fonds propres]]/Tableau3[[#This Row],[Total Bilan]],"")</f>
        <v/>
      </c>
      <c r="W2911" s="180"/>
      <c r="X2911" s="191" t="s">
        <v>2037</v>
      </c>
      <c r="Y2911" s="180"/>
      <c r="Z2911" s="192" t="str">
        <f>IFERROR(Tableau3[[#This Row],[Chiffre d''affaires]]/Tableau3[[#This Row],[Salariés]],"")</f>
        <v/>
      </c>
      <c r="AA2911" s="188" t="s">
        <v>50</v>
      </c>
      <c r="AB2911" s="188"/>
      <c r="AC2911" s="177" t="s">
        <v>2038</v>
      </c>
    </row>
    <row r="2912" spans="1:29" ht="20.25" customHeight="1">
      <c r="A2912" s="217"/>
      <c r="E2912" s="187"/>
      <c r="G2912" s="202">
        <f>(G2911/G2913)-1</f>
        <v>-2.9126213592232997E-2</v>
      </c>
      <c r="H2912" s="203">
        <f>(H2911/H2913)-1</f>
        <v>3.7037037037036979E-2</v>
      </c>
      <c r="I2912" s="203">
        <f>(I2911/I2913)-1</f>
        <v>6.6531234128999417E-2</v>
      </c>
      <c r="J2912" s="203"/>
      <c r="K2912" s="188"/>
      <c r="L2912" s="188"/>
      <c r="M2912" s="188"/>
      <c r="N2912" s="188"/>
      <c r="O2912" s="188"/>
      <c r="P2912" s="188"/>
      <c r="Q2912" s="188"/>
      <c r="R2912" s="188"/>
      <c r="S2912" s="188"/>
      <c r="T2912" s="180"/>
      <c r="U2912" s="189" t="str">
        <f>IFERROR(IF(Tableau3[[#This Row],[Dettes]]=0,"",(Tableau3[[#This Row],[Dettes]]/Tableau3[[#This Row],[EBE]])),"")</f>
        <v/>
      </c>
      <c r="V2912" s="190" t="str">
        <f>IFERROR(Tableau3[[#This Row],[Fonds propres]]/Tableau3[[#This Row],[Total Bilan]],"")</f>
        <v/>
      </c>
      <c r="W2912" s="180"/>
      <c r="X2912" s="192"/>
      <c r="Y2912" s="180"/>
      <c r="Z2912" s="192" t="str">
        <f>IFERROR(Tableau3[[#This Row],[Chiffre d''affaires]]/Tableau3[[#This Row],[Salariés]],"")</f>
        <v/>
      </c>
      <c r="AA2912" s="178" t="s">
        <v>53</v>
      </c>
      <c r="AB2912" s="188"/>
      <c r="AC2912" s="177" t="s">
        <v>2040</v>
      </c>
    </row>
    <row r="2913" spans="1:29" ht="20.25" customHeight="1">
      <c r="A2913" s="217"/>
      <c r="E2913" s="187">
        <v>28.2</v>
      </c>
      <c r="F2913" s="178">
        <v>2024</v>
      </c>
      <c r="G2913" s="188">
        <v>3605000000</v>
      </c>
      <c r="H2913" s="188">
        <v>675000000</v>
      </c>
      <c r="I2913" s="188">
        <v>393800000</v>
      </c>
      <c r="J2913" s="188">
        <v>-95000000</v>
      </c>
      <c r="K2913" s="188">
        <v>1275000000</v>
      </c>
      <c r="L2913" s="188">
        <v>3280800000</v>
      </c>
      <c r="M2913" s="194">
        <f>L2913/P2913</f>
        <v>38.624477438474763</v>
      </c>
      <c r="N2913" s="190">
        <f>J2913/L2915</f>
        <v>-3.0409731113956465E-2</v>
      </c>
      <c r="O2913" s="190">
        <f>(I2913*0.73)/(K2915+L2915)</f>
        <v>6.7768505421970771E-2</v>
      </c>
      <c r="P2913" s="188">
        <v>84940955</v>
      </c>
      <c r="Q2913" s="188">
        <f>P2913*E2913</f>
        <v>2395334931</v>
      </c>
      <c r="R2913" s="195">
        <f>Q2913/L2913</f>
        <v>0.73010696506949524</v>
      </c>
      <c r="S2913" s="197">
        <f>(Q2913+K2913)/H2913</f>
        <v>5.4375332311111109</v>
      </c>
      <c r="T2913" s="180">
        <v>136000000</v>
      </c>
      <c r="U2913" s="189">
        <f>IFERROR(IF(Tableau3[[#This Row],[Dettes]]=0,"",(Tableau3[[#This Row],[Dettes]]/Tableau3[[#This Row],[EBE]])),"")</f>
        <v>1.8888888888888888</v>
      </c>
      <c r="V2913" s="190">
        <f>IFERROR(Tableau3[[#This Row],[Fonds propres]]/Tableau3[[#This Row],[Total Bilan]],"")</f>
        <v>0.49091725273080949</v>
      </c>
      <c r="W2913" s="180">
        <v>6683000000</v>
      </c>
      <c r="Y2913" s="180">
        <v>12400</v>
      </c>
      <c r="Z2913" s="192">
        <f>IFERROR(Tableau3[[#This Row],[Chiffre d''affaires]]/Tableau3[[#This Row],[Salariés]],"")</f>
        <v>290725.80645161291</v>
      </c>
      <c r="AA2913" s="197" t="s">
        <v>2041</v>
      </c>
      <c r="AB2913" s="188"/>
      <c r="AC2913" s="177" t="s">
        <v>2042</v>
      </c>
    </row>
    <row r="2914" spans="1:29" ht="20.25" customHeight="1">
      <c r="A2914" s="217"/>
      <c r="E2914" s="187"/>
      <c r="G2914" s="202">
        <f>(G2913/G2915)-1</f>
        <v>-4.9815498154981541E-2</v>
      </c>
      <c r="H2914" s="203">
        <f>(H2913/H2915)-1</f>
        <v>6.6350710900473953E-2</v>
      </c>
      <c r="I2914" s="203">
        <f>(I2913/I2915)-1</f>
        <v>7.8904109589041038E-2</v>
      </c>
      <c r="J2914" s="203">
        <f>(J2913/J2915)-1</f>
        <v>-2.8627450980392157</v>
      </c>
      <c r="K2914" s="188"/>
      <c r="L2914" s="188"/>
      <c r="M2914" s="188"/>
      <c r="N2914" s="188"/>
      <c r="O2914" s="188"/>
      <c r="P2914" s="188"/>
      <c r="Q2914" s="188"/>
      <c r="R2914" s="188"/>
      <c r="S2914" s="188"/>
      <c r="T2914" s="180"/>
      <c r="U2914" s="189" t="str">
        <f>IFERROR(IF(Tableau3[[#This Row],[Dettes]]=0,"",(Tableau3[[#This Row],[Dettes]]/Tableau3[[#This Row],[EBE]])),"")</f>
        <v/>
      </c>
      <c r="V2914" s="190" t="str">
        <f>IFERROR(Tableau3[[#This Row],[Fonds propres]]/Tableau3[[#This Row],[Total Bilan]],"")</f>
        <v/>
      </c>
      <c r="W2914" s="180"/>
      <c r="X2914" s="192"/>
      <c r="Y2914" s="180"/>
      <c r="Z2914" s="192" t="str">
        <f>IFERROR(Tableau3[[#This Row],[Chiffre d''affaires]]/Tableau3[[#This Row],[Salariés]],"")</f>
        <v/>
      </c>
      <c r="AB2914" s="188"/>
      <c r="AC2914" s="177" t="s">
        <v>4873</v>
      </c>
    </row>
    <row r="2915" spans="1:29" ht="20.25" customHeight="1">
      <c r="A2915" s="217"/>
      <c r="E2915" s="187">
        <v>28.48</v>
      </c>
      <c r="F2915" s="178">
        <v>2023</v>
      </c>
      <c r="G2915" s="188">
        <f>3794000000*1</f>
        <v>3794000000</v>
      </c>
      <c r="H2915" s="188">
        <v>633000000</v>
      </c>
      <c r="I2915" s="188">
        <v>365000000</v>
      </c>
      <c r="J2915" s="188">
        <v>51000000</v>
      </c>
      <c r="K2915" s="188">
        <v>1118000000</v>
      </c>
      <c r="L2915" s="188">
        <v>3124000000</v>
      </c>
      <c r="M2915" s="194">
        <f>L2915/P2915</f>
        <v>36.778489245853194</v>
      </c>
      <c r="N2915" s="190">
        <f>J2915/L2917</f>
        <v>1.5064689549240859E-2</v>
      </c>
      <c r="O2915" s="190">
        <f>(I2915*0.73)/(K2917+L2917)</f>
        <v>5.274775309815101E-2</v>
      </c>
      <c r="P2915" s="188">
        <v>84940955</v>
      </c>
      <c r="Q2915" s="188">
        <f>P2915*E2915</f>
        <v>2419118398.4000001</v>
      </c>
      <c r="R2915" s="195">
        <f>Q2915/L2915</f>
        <v>0.77436568450704224</v>
      </c>
      <c r="S2915" s="197">
        <f>(Q2915+K2915)/H2915</f>
        <v>5.5878647684044234</v>
      </c>
      <c r="T2915" s="180">
        <v>191000000</v>
      </c>
      <c r="U2915" s="189">
        <f>IFERROR(IF(Tableau3[[#This Row],[Dettes]]=0,"",(Tableau3[[#This Row],[Dettes]]/Tableau3[[#This Row],[EBE]])),"")</f>
        <v>1.7661927330173777</v>
      </c>
      <c r="V2915" s="190">
        <f>IFERROR(Tableau3[[#This Row],[Fonds propres]]/Tableau3[[#This Row],[Total Bilan]],"")</f>
        <v>0.43680700233504383</v>
      </c>
      <c r="W2915" s="180">
        <v>7151900000</v>
      </c>
      <c r="Y2915" s="180">
        <v>13698</v>
      </c>
      <c r="Z2915" s="192">
        <f>IFERROR(Tableau3[[#This Row],[Chiffre d''affaires]]/Tableau3[[#This Row],[Salariés]],"")</f>
        <v>276974.74083807855</v>
      </c>
      <c r="AB2915" s="188"/>
      <c r="AC2915" s="177" t="s">
        <v>2043</v>
      </c>
    </row>
    <row r="2916" spans="1:29" ht="20.25" customHeight="1">
      <c r="A2916" s="217"/>
      <c r="E2916" s="187"/>
      <c r="G2916" s="202">
        <f>(G2915/G2917)-1</f>
        <v>-0.11396543671181691</v>
      </c>
      <c r="H2916" s="203">
        <f>(H2915/H2917)-1</f>
        <v>-0.12083333333333335</v>
      </c>
      <c r="I2916" s="203">
        <f>(I2915/I2917)-1</f>
        <v>0.14779874213836486</v>
      </c>
      <c r="J2916" s="203">
        <f>(J2915/J2917)-1</f>
        <v>-0.78481012658227844</v>
      </c>
      <c r="K2916" s="188"/>
      <c r="L2916" s="188"/>
      <c r="M2916" s="188"/>
      <c r="N2916" s="188"/>
      <c r="O2916" s="188"/>
      <c r="P2916" s="188"/>
      <c r="Q2916" s="188"/>
      <c r="R2916" s="188"/>
      <c r="S2916" s="188"/>
      <c r="T2916" s="180"/>
      <c r="U2916" s="189" t="str">
        <f>IFERROR(IF(Tableau3[[#This Row],[Dettes]]=0,"",(Tableau3[[#This Row],[Dettes]]/Tableau3[[#This Row],[EBE]])),"")</f>
        <v/>
      </c>
      <c r="V2916" s="190" t="str">
        <f>IFERROR(Tableau3[[#This Row],[Fonds propres]]/Tableau3[[#This Row],[Total Bilan]],"")</f>
        <v/>
      </c>
      <c r="W2916" s="180"/>
      <c r="X2916" s="192"/>
      <c r="Y2916" s="180"/>
      <c r="Z2916" s="192" t="str">
        <f>IFERROR(Tableau3[[#This Row],[Chiffre d''affaires]]/Tableau3[[#This Row],[Salariés]],"")</f>
        <v/>
      </c>
      <c r="AA2916" s="177"/>
      <c r="AC2916" s="177" t="s">
        <v>4875</v>
      </c>
    </row>
    <row r="2917" spans="1:29" ht="20.25" customHeight="1">
      <c r="A2917" s="217"/>
      <c r="E2917" s="187">
        <v>36.340000000000003</v>
      </c>
      <c r="F2917" s="178">
        <v>2022</v>
      </c>
      <c r="G2917" s="188">
        <v>4282000000</v>
      </c>
      <c r="H2917" s="188">
        <v>720000000</v>
      </c>
      <c r="I2917" s="188">
        <v>318000000</v>
      </c>
      <c r="J2917" s="188">
        <v>237000000</v>
      </c>
      <c r="K2917" s="188">
        <v>1666000000</v>
      </c>
      <c r="L2917" s="188">
        <v>3385400000</v>
      </c>
      <c r="M2917" s="194">
        <f>L2917/P2917</f>
        <v>39.855921092481239</v>
      </c>
      <c r="N2917" s="190">
        <f>J2917/L2919</f>
        <v>7.4215569612325422E-2</v>
      </c>
      <c r="O2917" s="190">
        <f>(I2917*0.73)/(K2919+L2919)</f>
        <v>4.9982774954784259E-2</v>
      </c>
      <c r="P2917" s="188">
        <v>84940955</v>
      </c>
      <c r="Q2917" s="188">
        <f>P2917*E2917</f>
        <v>3086754304.7000003</v>
      </c>
      <c r="R2917" s="195">
        <f>Q2917/L2917</f>
        <v>0.91178422186447694</v>
      </c>
      <c r="S2917" s="197">
        <f>(Q2917+K2917)/H2917</f>
        <v>6.601047645416668</v>
      </c>
      <c r="T2917" s="180">
        <v>20000000</v>
      </c>
      <c r="U2917" s="189">
        <f>IFERROR(IF(Tableau3[[#This Row],[Dettes]]=0,"",(Tableau3[[#This Row],[Dettes]]/Tableau3[[#This Row],[EBE]])),"")</f>
        <v>2.3138888888888891</v>
      </c>
      <c r="V2917" s="190">
        <f>IFERROR(Tableau3[[#This Row],[Fonds propres]]/Tableau3[[#This Row],[Total Bilan]],"")</f>
        <v>0.43016518424396444</v>
      </c>
      <c r="W2917" s="180">
        <v>7870000000</v>
      </c>
      <c r="Y2917" s="180">
        <v>17000</v>
      </c>
      <c r="Z2917" s="192">
        <f>IFERROR(Tableau3[[#This Row],[Chiffre d''affaires]]/Tableau3[[#This Row],[Salariés]],"")</f>
        <v>251882.35294117648</v>
      </c>
      <c r="AA2917" s="177"/>
      <c r="AB2917" s="197"/>
      <c r="AC2917" s="177" t="s">
        <v>2044</v>
      </c>
    </row>
    <row r="2918" spans="1:29" ht="20.25" customHeight="1">
      <c r="A2918" s="217"/>
      <c r="E2918" s="187"/>
      <c r="G2918" s="202">
        <f>(G2917/G2919)-1</f>
        <v>-2.304357745836183E-2</v>
      </c>
      <c r="H2918" s="203">
        <f>(H2917/H2919)-1</f>
        <v>-5.3876478318002574E-2</v>
      </c>
      <c r="I2918" s="203">
        <f>(I2917/I2919)-1</f>
        <v>-0.17402597402597397</v>
      </c>
      <c r="J2918" s="203">
        <f>(J2917/J2919)-1</f>
        <v>-1.2499999999999956E-2</v>
      </c>
      <c r="K2918" s="188"/>
      <c r="L2918" s="188"/>
      <c r="M2918" s="188"/>
      <c r="N2918" s="188"/>
      <c r="O2918" s="188"/>
      <c r="P2918" s="188"/>
      <c r="Q2918" s="188"/>
      <c r="R2918" s="188"/>
      <c r="S2918" s="188"/>
      <c r="T2918" s="180"/>
      <c r="U2918" s="189" t="str">
        <f>IFERROR(IF(Tableau3[[#This Row],[Dettes]]=0,"",(Tableau3[[#This Row],[Dettes]]/Tableau3[[#This Row],[EBE]])),"")</f>
        <v/>
      </c>
      <c r="V2918" s="190" t="str">
        <f>IFERROR(Tableau3[[#This Row],[Fonds propres]]/Tableau3[[#This Row],[Total Bilan]],"")</f>
        <v/>
      </c>
      <c r="W2918" s="180"/>
      <c r="Y2918" s="180"/>
      <c r="Z2918" s="192" t="str">
        <f>IFERROR(Tableau3[[#This Row],[Chiffre d''affaires]]/Tableau3[[#This Row],[Salariés]],"")</f>
        <v/>
      </c>
      <c r="AA2918" s="197"/>
      <c r="AB2918" s="197"/>
      <c r="AC2918" s="177" t="s">
        <v>4872</v>
      </c>
    </row>
    <row r="2919" spans="1:29" ht="20.25" customHeight="1">
      <c r="A2919" s="217"/>
      <c r="E2919" s="187">
        <v>36.54</v>
      </c>
      <c r="F2919" s="178">
        <v>2021</v>
      </c>
      <c r="G2919" s="188">
        <v>4383000000</v>
      </c>
      <c r="H2919" s="188">
        <v>761000000</v>
      </c>
      <c r="I2919" s="188">
        <v>385000000</v>
      </c>
      <c r="J2919" s="188">
        <v>240000000</v>
      </c>
      <c r="K2919" s="188">
        <v>1451000000</v>
      </c>
      <c r="L2919" s="188">
        <v>3193400000</v>
      </c>
      <c r="M2919" s="194">
        <f>L2919/P2919</f>
        <v>37.595527387230341</v>
      </c>
      <c r="N2919" s="190">
        <f>J2919/L2921</f>
        <v>8.2715836636222645E-2</v>
      </c>
      <c r="O2919" s="190">
        <f>(I2919*0.73)/(K2921+L2921)</f>
        <v>6.3737385191064741E-2</v>
      </c>
      <c r="P2919" s="188">
        <v>84940955</v>
      </c>
      <c r="Q2919" s="188">
        <f>P2919*E2919</f>
        <v>3103742495.6999998</v>
      </c>
      <c r="R2919" s="195">
        <f>Q2919/L2919</f>
        <v>0.97192412341078471</v>
      </c>
      <c r="S2919" s="197">
        <f>(Q2919+K2919)/H2919</f>
        <v>5.9852069588699077</v>
      </c>
      <c r="T2919" s="180">
        <v>255000000</v>
      </c>
      <c r="U2919" s="189">
        <f>IFERROR(IF(Tableau3[[#This Row],[Dettes]]=0,"",(Tableau3[[#This Row],[Dettes]]/Tableau3[[#This Row],[EBE]])),"")</f>
        <v>1.9067017082785809</v>
      </c>
      <c r="V2919" s="190">
        <f>IFERROR(Tableau3[[#This Row],[Fonds propres]]/Tableau3[[#This Row],[Total Bilan]],"")</f>
        <v>0.43037735849056602</v>
      </c>
      <c r="W2919" s="180">
        <v>7420000000</v>
      </c>
      <c r="X2919" s="191"/>
      <c r="Y2919" s="180">
        <v>17000</v>
      </c>
      <c r="Z2919" s="192">
        <f>IFERROR(Tableau3[[#This Row],[Chiffre d''affaires]]/Tableau3[[#This Row],[Salariés]],"")</f>
        <v>257823.5294117647</v>
      </c>
      <c r="AA2919" s="197"/>
      <c r="AB2919" s="197"/>
      <c r="AC2919" s="177" t="s">
        <v>4868</v>
      </c>
    </row>
    <row r="2920" spans="1:29" ht="20.25" customHeight="1">
      <c r="A2920" s="217"/>
      <c r="E2920" s="187"/>
      <c r="G2920" s="202">
        <f>(G2919/G2921)-1</f>
        <v>0.15372466438536447</v>
      </c>
      <c r="H2920" s="203">
        <f>(H2919/H2921)-1</f>
        <v>0.20602218700475428</v>
      </c>
      <c r="I2920" s="203">
        <f>(I2919/I2921)-1</f>
        <v>0.2876254180602007</v>
      </c>
      <c r="J2920" s="203">
        <f>(J2919/J2921)-1</f>
        <v>7</v>
      </c>
      <c r="K2920" s="188"/>
      <c r="L2920" s="188"/>
      <c r="M2920" s="188"/>
      <c r="N2920" s="188"/>
      <c r="O2920" s="188"/>
      <c r="P2920" s="188"/>
      <c r="Q2920" s="188"/>
      <c r="R2920" s="188"/>
      <c r="S2920" s="188"/>
      <c r="T2920" s="180"/>
      <c r="U2920" s="189" t="str">
        <f>IFERROR(IF(Tableau3[[#This Row],[Dettes]]=0,"",(Tableau3[[#This Row],[Dettes]]/Tableau3[[#This Row],[EBE]])),"")</f>
        <v/>
      </c>
      <c r="V2920" s="190" t="str">
        <f>IFERROR(Tableau3[[#This Row],[Fonds propres]]/Tableau3[[#This Row],[Total Bilan]],"")</f>
        <v/>
      </c>
      <c r="W2920" s="180"/>
      <c r="X2920" s="191"/>
      <c r="Y2920" s="180"/>
      <c r="Z2920" s="192" t="str">
        <f>IFERROR(Tableau3[[#This Row],[Chiffre d''affaires]]/Tableau3[[#This Row],[Salariés]],"")</f>
        <v/>
      </c>
      <c r="AA2920" s="197"/>
      <c r="AB2920" s="197"/>
      <c r="AC2920" s="177" t="s">
        <v>4870</v>
      </c>
    </row>
    <row r="2921" spans="1:29" ht="20.25" customHeight="1">
      <c r="A2921" s="217"/>
      <c r="E2921" s="187">
        <v>38.659999999999997</v>
      </c>
      <c r="F2921" s="178">
        <v>2020</v>
      </c>
      <c r="G2921" s="188">
        <v>3799000000</v>
      </c>
      <c r="H2921" s="188">
        <v>631000000</v>
      </c>
      <c r="I2921" s="188">
        <v>299000000</v>
      </c>
      <c r="J2921" s="188">
        <v>30000000</v>
      </c>
      <c r="K2921" s="188">
        <v>1508000000</v>
      </c>
      <c r="L2921" s="188">
        <v>2901500000</v>
      </c>
      <c r="M2921" s="194">
        <f>L2921/P2921</f>
        <v>34.159022582216082</v>
      </c>
      <c r="N2921" s="190">
        <f>J2921/L2923</f>
        <v>9.6348395799209941E-3</v>
      </c>
      <c r="O2921" s="190">
        <f>(I2921*0.73)/(K2923+L2923)</f>
        <v>4.5485235584637504E-2</v>
      </c>
      <c r="P2921" s="188">
        <v>84940955</v>
      </c>
      <c r="Q2921" s="188">
        <f>P2921*E2921</f>
        <v>3283817320.2999997</v>
      </c>
      <c r="R2921" s="195">
        <f>Q2921/L2921</f>
        <v>1.1317654042047216</v>
      </c>
      <c r="S2921" s="197">
        <f>(Q2921+K2921)/H2921</f>
        <v>7.5940052619651333</v>
      </c>
      <c r="T2921" s="180">
        <v>373000000</v>
      </c>
      <c r="U2921" s="189">
        <f>IFERROR(IF(Tableau3[[#This Row],[Dettes]]=0,"",(Tableau3[[#This Row],[Dettes]]/Tableau3[[#This Row],[EBE]])),"")</f>
        <v>2.3898573692551506</v>
      </c>
      <c r="V2921" s="190">
        <f>IFERROR(Tableau3[[#This Row],[Fonds propres]]/Tableau3[[#This Row],[Total Bilan]],"")</f>
        <v>0.41509298998569383</v>
      </c>
      <c r="W2921" s="180">
        <v>6990000000</v>
      </c>
      <c r="X2921" s="191"/>
      <c r="Y2921" s="180">
        <v>16400</v>
      </c>
      <c r="Z2921" s="192">
        <f>IFERROR(Tableau3[[#This Row],[Chiffre d''affaires]]/Tableau3[[#This Row],[Salariés]],"")</f>
        <v>231646.34146341463</v>
      </c>
      <c r="AA2921" s="197"/>
      <c r="AB2921" s="197"/>
      <c r="AC2921" s="177" t="s">
        <v>2045</v>
      </c>
    </row>
    <row r="2922" spans="1:29" ht="20.25" customHeight="1">
      <c r="A2922" s="217"/>
      <c r="E2922" s="187"/>
      <c r="G2922" s="202">
        <f>(G2921/G2923)-1</f>
        <v>-0.12746899402847955</v>
      </c>
      <c r="H2922" s="203">
        <f>(H2921/H2923)-1</f>
        <v>-0.17473188595343969</v>
      </c>
      <c r="I2922" s="203">
        <f>(I2921/I2923)-1</f>
        <v>-0.31859617137648133</v>
      </c>
      <c r="J2922" s="203">
        <f>(J2921/J2923)-1</f>
        <v>-0.75247524752475248</v>
      </c>
      <c r="K2922" s="188"/>
      <c r="L2922" s="188"/>
      <c r="M2922" s="188"/>
      <c r="N2922" s="188"/>
      <c r="O2922" s="188"/>
      <c r="P2922" s="188"/>
      <c r="Q2922" s="188"/>
      <c r="R2922" s="188"/>
      <c r="S2922" s="188"/>
      <c r="T2922" s="180"/>
      <c r="U2922" s="189" t="str">
        <f>IFERROR(IF(Tableau3[[#This Row],[Dettes]]=0,"",(Tableau3[[#This Row],[Dettes]]/Tableau3[[#This Row],[EBE]])),"")</f>
        <v/>
      </c>
      <c r="V2922" s="190" t="str">
        <f>IFERROR(Tableau3[[#This Row],[Fonds propres]]/Tableau3[[#This Row],[Total Bilan]],"")</f>
        <v/>
      </c>
      <c r="W2922" s="180"/>
      <c r="X2922" s="191"/>
      <c r="Y2922" s="180"/>
      <c r="Z2922" s="192" t="str">
        <f>IFERROR(Tableau3[[#This Row],[Chiffre d''affaires]]/Tableau3[[#This Row],[Salariés]],"")</f>
        <v/>
      </c>
      <c r="AA2922" s="197"/>
      <c r="AB2922" s="197"/>
      <c r="AC2922" s="177" t="s">
        <v>2046</v>
      </c>
    </row>
    <row r="2923" spans="1:29" ht="20.25" customHeight="1">
      <c r="A2923" s="217"/>
      <c r="E2923" s="187">
        <v>37.64</v>
      </c>
      <c r="F2923" s="178">
        <v>2019</v>
      </c>
      <c r="G2923" s="188">
        <v>4354000000</v>
      </c>
      <c r="H2923" s="188">
        <v>764600000</v>
      </c>
      <c r="I2923" s="188">
        <v>438800000</v>
      </c>
      <c r="J2923" s="188">
        <v>121200000</v>
      </c>
      <c r="K2923" s="188">
        <v>1685000000</v>
      </c>
      <c r="L2923" s="188">
        <v>3113700000</v>
      </c>
      <c r="M2923" s="194">
        <f>L2923/P2923</f>
        <v>39.165812594008109</v>
      </c>
      <c r="N2923" s="190">
        <f>J2923/L2925</f>
        <v>3.8139593429416578E-2</v>
      </c>
      <c r="O2923" s="190">
        <f>(I2923*0.73)/(K2925+L2925)</f>
        <v>7.157758312477655E-2</v>
      </c>
      <c r="P2923" s="188">
        <v>79500457</v>
      </c>
      <c r="Q2923" s="188">
        <f>P2923*E2923</f>
        <v>2992397201.48</v>
      </c>
      <c r="R2923" s="195">
        <f>Q2923/L2923</f>
        <v>0.96104223318881077</v>
      </c>
      <c r="S2923" s="197">
        <f>(Q2923+K2923)/H2923</f>
        <v>6.1174433710175249</v>
      </c>
      <c r="T2923" s="180">
        <v>348000000</v>
      </c>
      <c r="U2923" s="189">
        <f>IFERROR(IF(Tableau3[[#This Row],[Dettes]]=0,"",(Tableau3[[#This Row],[Dettes]]/Tableau3[[#This Row],[EBE]])),"")</f>
        <v>2.2037666753858227</v>
      </c>
      <c r="V2923" s="190">
        <f>IFERROR(Tableau3[[#This Row],[Fonds propres]]/Tableau3[[#This Row],[Total Bilan]],"")</f>
        <v>0.41682730923694777</v>
      </c>
      <c r="W2923" s="180">
        <v>7470000000</v>
      </c>
      <c r="X2923" s="191"/>
      <c r="Y2923" s="180">
        <v>16300</v>
      </c>
      <c r="Z2923" s="192">
        <f>IFERROR(Tableau3[[#This Row],[Chiffre d''affaires]]/Tableau3[[#This Row],[Salariés]],"")</f>
        <v>267116.56441717793</v>
      </c>
      <c r="AA2923" s="197"/>
      <c r="AB2923" s="197"/>
      <c r="AC2923" s="177" t="s">
        <v>2047</v>
      </c>
    </row>
    <row r="2924" spans="1:29" ht="20.25" customHeight="1">
      <c r="A2924" s="217"/>
      <c r="E2924" s="187"/>
      <c r="G2924" s="202">
        <f>(G2923/G2925)-1</f>
        <v>-5.1416122004357301E-2</v>
      </c>
      <c r="H2924" s="203">
        <f>(H2923/H2925)-1</f>
        <v>-3.6056480080685849E-2</v>
      </c>
      <c r="I2924" s="203">
        <f>(I2923/I2925)-1</f>
        <v>-0.21935598647927412</v>
      </c>
      <c r="J2924" s="203">
        <f>(J2923/J2925)-1</f>
        <v>-0.77939570440480521</v>
      </c>
      <c r="K2924" s="188"/>
      <c r="L2924" s="188"/>
      <c r="M2924" s="188"/>
      <c r="N2924" s="188"/>
      <c r="O2924" s="188"/>
      <c r="P2924" s="188"/>
      <c r="Q2924" s="188"/>
      <c r="R2924" s="188"/>
      <c r="S2924" s="188"/>
      <c r="T2924" s="180"/>
      <c r="U2924" s="189" t="str">
        <f>IFERROR(IF(Tableau3[[#This Row],[Dettes]]=0,"",(Tableau3[[#This Row],[Dettes]]/Tableau3[[#This Row],[EBE]])),"")</f>
        <v/>
      </c>
      <c r="V2924" s="190" t="str">
        <f>IFERROR(Tableau3[[#This Row],[Fonds propres]]/Tableau3[[#This Row],[Total Bilan]],"")</f>
        <v/>
      </c>
      <c r="W2924" s="180"/>
      <c r="X2924" s="191"/>
      <c r="Y2924" s="180"/>
      <c r="Z2924" s="192" t="str">
        <f>IFERROR(Tableau3[[#This Row],[Chiffre d''affaires]]/Tableau3[[#This Row],[Salariés]],"")</f>
        <v/>
      </c>
      <c r="AA2924" s="197"/>
      <c r="AB2924" s="197"/>
      <c r="AC2924" s="177" t="s">
        <v>2048</v>
      </c>
    </row>
    <row r="2925" spans="1:29" ht="20.25" customHeight="1">
      <c r="A2925" s="217"/>
      <c r="E2925" s="187">
        <v>42</v>
      </c>
      <c r="F2925" s="178">
        <v>2018</v>
      </c>
      <c r="G2925" s="188">
        <v>4590000000</v>
      </c>
      <c r="H2925" s="188">
        <v>793200000</v>
      </c>
      <c r="I2925" s="188">
        <v>562100000</v>
      </c>
      <c r="J2925" s="188">
        <v>549400000</v>
      </c>
      <c r="K2925" s="188">
        <v>1297400000</v>
      </c>
      <c r="L2925" s="188">
        <v>3177800000</v>
      </c>
      <c r="M2925" s="194">
        <f>L2925/P2925</f>
        <v>39.979521346319252</v>
      </c>
      <c r="N2925" s="190" t="s">
        <v>131</v>
      </c>
      <c r="O2925" s="190">
        <f>(I2925*0.73)/(K2927+L2927)</f>
        <v>8.0068100218545116E-2</v>
      </c>
      <c r="P2925" s="188">
        <v>79485694</v>
      </c>
      <c r="Q2925" s="188">
        <f>P2925*E2925</f>
        <v>3338399148</v>
      </c>
      <c r="R2925" s="195">
        <f>Q2925/L2925</f>
        <v>1.0505378400151049</v>
      </c>
      <c r="S2925" s="197">
        <f>(Q2925+K2925)/H2925</f>
        <v>5.8444265607665153</v>
      </c>
      <c r="T2925" s="180">
        <v>286000000</v>
      </c>
      <c r="U2925" s="189">
        <f>IFERROR(IF(Tableau3[[#This Row],[Dettes]]=0,"",(Tableau3[[#This Row],[Dettes]]/Tableau3[[#This Row],[EBE]])),"")</f>
        <v>1.6356530509329299</v>
      </c>
      <c r="V2925" s="190">
        <f>IFERROR(Tableau3[[#This Row],[Fonds propres]]/Tableau3[[#This Row],[Total Bilan]],"")</f>
        <v>0.41868247694334648</v>
      </c>
      <c r="W2925" s="180">
        <v>7590000000</v>
      </c>
      <c r="X2925" s="191"/>
      <c r="Y2925" s="180">
        <v>17769</v>
      </c>
      <c r="Z2925" s="192">
        <f>IFERROR(Tableau3[[#This Row],[Chiffre d''affaires]]/Tableau3[[#This Row],[Salariés]],"")</f>
        <v>258315.04305250719</v>
      </c>
      <c r="AA2925" s="197"/>
      <c r="AB2925" s="197"/>
      <c r="AC2925" s="177" t="s">
        <v>2049</v>
      </c>
    </row>
    <row r="2926" spans="1:29" ht="20.25" customHeight="1">
      <c r="A2926" s="217"/>
      <c r="E2926" s="187"/>
      <c r="G2926" s="202">
        <f>(G2925/G2927)-1</f>
        <v>6.7690160502442476E-2</v>
      </c>
      <c r="H2926" s="203">
        <f>(H2925/H2927)-1</f>
        <v>2.0849420849420763E-2</v>
      </c>
      <c r="I2926" s="203">
        <f>(I2925/I2927)-1</f>
        <v>1.9775036284470193E-2</v>
      </c>
      <c r="J2926" s="203">
        <f>(J2925/J2927)-1</f>
        <v>0.49212384573601309</v>
      </c>
      <c r="K2926" s="188"/>
      <c r="L2926" s="188"/>
      <c r="M2926" s="188"/>
      <c r="N2926" s="188"/>
      <c r="O2926" s="188"/>
      <c r="P2926" s="188"/>
      <c r="Q2926" s="188"/>
      <c r="R2926" s="188"/>
      <c r="S2926" s="188"/>
      <c r="T2926" s="180"/>
      <c r="U2926" s="189" t="str">
        <f>IFERROR(IF(Tableau3[[#This Row],[Dettes]]=0,"",(Tableau3[[#This Row],[Dettes]]/Tableau3[[#This Row],[EBE]])),"")</f>
        <v/>
      </c>
      <c r="V2926" s="190" t="str">
        <f>IFERROR(Tableau3[[#This Row],[Fonds propres]]/Tableau3[[#This Row],[Total Bilan]],"")</f>
        <v/>
      </c>
      <c r="W2926" s="180"/>
      <c r="X2926" s="191"/>
      <c r="Y2926" s="180"/>
      <c r="Z2926" s="192" t="str">
        <f>IFERROR(Tableau3[[#This Row],[Chiffre d''affaires]]/Tableau3[[#This Row],[Salariés]],"")</f>
        <v/>
      </c>
      <c r="AA2926" s="197"/>
      <c r="AB2926" s="197"/>
      <c r="AC2926" s="177" t="s">
        <v>2050</v>
      </c>
    </row>
    <row r="2927" spans="1:29" ht="20.25" customHeight="1">
      <c r="A2927" s="217"/>
      <c r="E2927" s="187">
        <v>78.5</v>
      </c>
      <c r="F2927" s="178">
        <v>2017</v>
      </c>
      <c r="G2927" s="188">
        <v>4299000000</v>
      </c>
      <c r="H2927" s="188">
        <v>777000000</v>
      </c>
      <c r="I2927" s="188">
        <v>551200000</v>
      </c>
      <c r="J2927" s="188">
        <v>368200000</v>
      </c>
      <c r="K2927" s="188">
        <v>2246600000</v>
      </c>
      <c r="L2927" s="188">
        <v>2878200000</v>
      </c>
      <c r="M2927" s="194">
        <f>L2927/P2927</f>
        <v>36.156345101271874</v>
      </c>
      <c r="N2927" s="190">
        <f>J2927/L2929</f>
        <v>0.12867377249694217</v>
      </c>
      <c r="O2927" s="190">
        <f>(I2927*0.73)/(K2929+L2929)</f>
        <v>9.5158093886721057E-2</v>
      </c>
      <c r="P2927" s="188">
        <v>79604285</v>
      </c>
      <c r="Q2927" s="188">
        <f>P2927*E2927</f>
        <v>6248936372.5</v>
      </c>
      <c r="R2927" s="195">
        <f>Q2927/L2927</f>
        <v>2.1711265278646374</v>
      </c>
      <c r="S2927" s="197">
        <f>(Q2927+K2927)/H2927</f>
        <v>10.933766245173745</v>
      </c>
      <c r="T2927" s="180">
        <v>294000000</v>
      </c>
      <c r="U2927" s="189">
        <f>IFERROR(IF(Tableau3[[#This Row],[Dettes]]=0,"",(Tableau3[[#This Row],[Dettes]]/Tableau3[[#This Row],[EBE]])),"")</f>
        <v>2.8913770913770915</v>
      </c>
      <c r="V2927" s="190">
        <f>IFERROR(Tableau3[[#This Row],[Fonds propres]]/Tableau3[[#This Row],[Total Bilan]],"")</f>
        <v>0.3853012048192771</v>
      </c>
      <c r="W2927" s="180">
        <v>7470000000</v>
      </c>
      <c r="X2927" s="191"/>
      <c r="Y2927" s="180"/>
      <c r="Z2927" s="192" t="str">
        <f>IFERROR(Tableau3[[#This Row],[Chiffre d''affaires]]/Tableau3[[#This Row],[Salariés]],"")</f>
        <v/>
      </c>
      <c r="AA2927" s="197"/>
      <c r="AB2927" s="197"/>
      <c r="AC2927" s="177" t="s">
        <v>2051</v>
      </c>
    </row>
    <row r="2928" spans="1:29" ht="20.25" customHeight="1">
      <c r="A2928" s="217"/>
      <c r="E2928" s="187"/>
      <c r="G2928" s="202">
        <f>(G2927/G2929)-1</f>
        <v>3.2123307404206214E-2</v>
      </c>
      <c r="H2928" s="203">
        <f>(H2927/H2929)-1</f>
        <v>-5.1166198559042586E-2</v>
      </c>
      <c r="I2928" s="203">
        <f>(I2927/I2929)-1</f>
        <v>-5.2920962199312749E-2</v>
      </c>
      <c r="J2928" s="203">
        <f>(J2927/J2929)-1</f>
        <v>0.25751366120218577</v>
      </c>
      <c r="K2928" s="188"/>
      <c r="L2928" s="188"/>
      <c r="M2928" s="188"/>
      <c r="N2928" s="188"/>
      <c r="O2928" s="188"/>
      <c r="P2928" s="188"/>
      <c r="Q2928" s="188"/>
      <c r="R2928" s="188"/>
      <c r="S2928" s="188"/>
      <c r="T2928" s="180"/>
      <c r="U2928" s="189" t="str">
        <f>IFERROR(IF(Tableau3[[#This Row],[Dettes]]=0,"",(Tableau3[[#This Row],[Dettes]]/Tableau3[[#This Row],[EBE]])),"")</f>
        <v/>
      </c>
      <c r="V2928" s="190" t="str">
        <f>IFERROR(Tableau3[[#This Row],[Fonds propres]]/Tableau3[[#This Row],[Total Bilan]],"")</f>
        <v/>
      </c>
      <c r="W2928" s="180"/>
      <c r="X2928" s="191"/>
      <c r="Y2928" s="180"/>
      <c r="Z2928" s="192" t="str">
        <f>IFERROR(Tableau3[[#This Row],[Chiffre d''affaires]]/Tableau3[[#This Row],[Salariés]],"")</f>
        <v/>
      </c>
      <c r="AA2928" s="197"/>
      <c r="AB2928" s="197"/>
      <c r="AC2928" s="177" t="s">
        <v>2052</v>
      </c>
    </row>
    <row r="2929" spans="1:29" ht="20.25" customHeight="1">
      <c r="A2929" s="217"/>
      <c r="E2929" s="187">
        <v>72.099999999999994</v>
      </c>
      <c r="F2929" s="178">
        <v>2016</v>
      </c>
      <c r="G2929" s="188">
        <v>4165200000</v>
      </c>
      <c r="H2929" s="188">
        <v>818900000</v>
      </c>
      <c r="I2929" s="188">
        <v>582000000</v>
      </c>
      <c r="J2929" s="188">
        <v>292800000</v>
      </c>
      <c r="K2929" s="188">
        <v>1367000000</v>
      </c>
      <c r="L2929" s="188">
        <v>2861500000</v>
      </c>
      <c r="M2929" s="194">
        <f>L2929/P2929</f>
        <v>35.963006878881799</v>
      </c>
      <c r="N2929" s="190">
        <f>J2929/L2931</f>
        <v>0.11073711281721568</v>
      </c>
      <c r="O2929" s="190">
        <f>(I2929*0.73)/(K2931+L2931)</f>
        <v>0.10300884955752213</v>
      </c>
      <c r="P2929" s="188">
        <v>79567874</v>
      </c>
      <c r="Q2929" s="188">
        <f>P2929*E2929</f>
        <v>5736843715.3999996</v>
      </c>
      <c r="R2929" s="195">
        <f>Q2929/L2929</f>
        <v>2.0048379225580986</v>
      </c>
      <c r="S2929" s="197">
        <f>(Q2929+K2929)/H2929</f>
        <v>8.6748610518988887</v>
      </c>
      <c r="T2929" s="180"/>
      <c r="U2929" s="189">
        <f>IFERROR(IF(Tableau3[[#This Row],[Dettes]]=0,"",(Tableau3[[#This Row],[Dettes]]/Tableau3[[#This Row],[EBE]])),"")</f>
        <v>1.6693124923678104</v>
      </c>
      <c r="V2929" s="190" t="str">
        <f>IFERROR(Tableau3[[#This Row],[Fonds propres]]/Tableau3[[#This Row],[Total Bilan]],"")</f>
        <v/>
      </c>
      <c r="W2929" s="180"/>
      <c r="X2929" s="191"/>
      <c r="Y2929" s="180"/>
      <c r="Z2929" s="192" t="str">
        <f>IFERROR(Tableau3[[#This Row],[Chiffre d''affaires]]/Tableau3[[#This Row],[Salariés]],"")</f>
        <v/>
      </c>
      <c r="AA2929" s="197"/>
      <c r="AB2929" s="197"/>
      <c r="AC2929" s="177" t="s">
        <v>2053</v>
      </c>
    </row>
    <row r="2930" spans="1:29" ht="20.25" customHeight="1">
      <c r="A2930" s="217"/>
      <c r="E2930" s="187"/>
      <c r="G2930" s="202">
        <f>(G2929/G2931)-1</f>
        <v>1.9208652457973319E-2</v>
      </c>
      <c r="H2930" s="203">
        <f>(H2929/H2931)-1</f>
        <v>9.8604775959216573E-2</v>
      </c>
      <c r="I2930" s="203">
        <f>(I2929/I2931)-1</f>
        <v>8.1784386617100413E-2</v>
      </c>
      <c r="J2930" s="203">
        <f>(J2929/J2931)-1</f>
        <v>3.2807017543859649</v>
      </c>
      <c r="K2930" s="188"/>
      <c r="L2930" s="188"/>
      <c r="M2930" s="188"/>
      <c r="N2930" s="188"/>
      <c r="O2930" s="188"/>
      <c r="P2930" s="188"/>
      <c r="Q2930" s="188"/>
      <c r="R2930" s="188"/>
      <c r="S2930" s="188"/>
      <c r="T2930" s="180"/>
      <c r="U2930" s="189" t="str">
        <f>IFERROR(IF(Tableau3[[#This Row],[Dettes]]=0,"",(Tableau3[[#This Row],[Dettes]]/Tableau3[[#This Row],[EBE]])),"")</f>
        <v/>
      </c>
      <c r="V2930" s="190" t="str">
        <f>IFERROR(Tableau3[[#This Row],[Fonds propres]]/Tableau3[[#This Row],[Total Bilan]],"")</f>
        <v/>
      </c>
      <c r="W2930" s="180"/>
      <c r="X2930" s="191"/>
      <c r="Y2930" s="180"/>
      <c r="Z2930" s="192" t="str">
        <f>IFERROR(Tableau3[[#This Row],[Chiffre d''affaires]]/Tableau3[[#This Row],[Salariés]],"")</f>
        <v/>
      </c>
      <c r="AA2930" s="197"/>
      <c r="AB2930" s="197"/>
      <c r="AC2930" s="177" t="s">
        <v>2054</v>
      </c>
    </row>
    <row r="2931" spans="1:29" ht="20.25" customHeight="1">
      <c r="A2931" s="217"/>
      <c r="E2931" s="187">
        <v>62.4</v>
      </c>
      <c r="F2931" s="178">
        <v>2015</v>
      </c>
      <c r="G2931" s="188">
        <v>4086700000</v>
      </c>
      <c r="H2931" s="188">
        <v>745400000</v>
      </c>
      <c r="I2931" s="188">
        <v>538000000</v>
      </c>
      <c r="J2931" s="188">
        <v>68400000</v>
      </c>
      <c r="K2931" s="188">
        <v>1480400000</v>
      </c>
      <c r="L2931" s="188">
        <v>2644100000</v>
      </c>
      <c r="M2931" s="194">
        <f>L2931/P2931</f>
        <v>33.35316030559926</v>
      </c>
      <c r="N2931" s="190">
        <f>J2931/L2933</f>
        <v>2.7982326951399118E-2</v>
      </c>
      <c r="O2931" s="190">
        <f>(I2931*0.73)/(K2933+L2933)</f>
        <v>0.11849862716108982</v>
      </c>
      <c r="P2931" s="188">
        <v>79275846</v>
      </c>
      <c r="Q2931" s="188">
        <f>P2931*E2931</f>
        <v>4946812790.3999996</v>
      </c>
      <c r="R2931" s="195">
        <f>Q2931/L2931</f>
        <v>1.870887179153587</v>
      </c>
      <c r="S2931" s="197">
        <f>(Q2931+K2931)/H2931</f>
        <v>8.6225017311510594</v>
      </c>
      <c r="T2931" s="180"/>
      <c r="U2931" s="189">
        <f>IFERROR(IF(Tableau3[[#This Row],[Dettes]]=0,"",(Tableau3[[#This Row],[Dettes]]/Tableau3[[#This Row],[EBE]])),"")</f>
        <v>1.9860477595921653</v>
      </c>
      <c r="V2931" s="190" t="str">
        <f>IFERROR(Tableau3[[#This Row],[Fonds propres]]/Tableau3[[#This Row],[Total Bilan]],"")</f>
        <v/>
      </c>
      <c r="W2931" s="180"/>
      <c r="X2931" s="191"/>
      <c r="Y2931" s="180"/>
      <c r="Z2931" s="192" t="str">
        <f>IFERROR(Tableau3[[#This Row],[Chiffre d''affaires]]/Tableau3[[#This Row],[Salariés]],"")</f>
        <v/>
      </c>
      <c r="AA2931" s="197"/>
      <c r="AB2931" s="197"/>
      <c r="AC2931" s="177" t="s">
        <v>2055</v>
      </c>
    </row>
    <row r="2932" spans="1:29" ht="20.25" customHeight="1">
      <c r="A2932" s="217"/>
      <c r="E2932" s="187"/>
      <c r="G2932" s="202">
        <f>(G2931/G2933)-1</f>
        <v>0.10804728593894031</v>
      </c>
      <c r="H2932" s="203">
        <f>(H2931/H2933)-1</f>
        <v>0.10626298604927276</v>
      </c>
      <c r="I2932" s="203">
        <f>(I2931/I2933)-1</f>
        <v>8.7747674888799088E-2</v>
      </c>
      <c r="J2932" s="203">
        <f>(J2931/J2933)-1</f>
        <v>-0.74972557628979142</v>
      </c>
      <c r="K2932" s="188"/>
      <c r="L2932" s="188"/>
      <c r="M2932" s="188"/>
      <c r="N2932" s="188"/>
      <c r="O2932" s="188"/>
      <c r="P2932" s="188"/>
      <c r="Q2932" s="188"/>
      <c r="R2932" s="188"/>
      <c r="S2932" s="188"/>
      <c r="T2932" s="180"/>
      <c r="U2932" s="189" t="str">
        <f>IFERROR(IF(Tableau3[[#This Row],[Dettes]]=0,"",(Tableau3[[#This Row],[Dettes]]/Tableau3[[#This Row],[EBE]])),"")</f>
        <v/>
      </c>
      <c r="V2932" s="190" t="str">
        <f>IFERROR(Tableau3[[#This Row],[Fonds propres]]/Tableau3[[#This Row],[Total Bilan]],"")</f>
        <v/>
      </c>
      <c r="W2932" s="180"/>
      <c r="X2932" s="191"/>
      <c r="Y2932" s="180"/>
      <c r="Z2932" s="192" t="str">
        <f>IFERROR(Tableau3[[#This Row],[Chiffre d''affaires]]/Tableau3[[#This Row],[Salariés]],"")</f>
        <v/>
      </c>
      <c r="AA2932" s="197"/>
      <c r="AB2932" s="197"/>
      <c r="AC2932" s="177" t="s">
        <v>2056</v>
      </c>
    </row>
    <row r="2933" spans="1:29" ht="20.25" customHeight="1">
      <c r="A2933" s="217"/>
      <c r="E2933" s="187">
        <v>68.349999999999994</v>
      </c>
      <c r="F2933" s="178">
        <v>2014</v>
      </c>
      <c r="G2933" s="188">
        <v>3688200000</v>
      </c>
      <c r="H2933" s="188">
        <v>673800000</v>
      </c>
      <c r="I2933" s="188">
        <v>494600000</v>
      </c>
      <c r="J2933" s="188">
        <v>273300000</v>
      </c>
      <c r="K2933" s="188">
        <v>869900000</v>
      </c>
      <c r="L2933" s="188">
        <v>2444400000</v>
      </c>
      <c r="M2933" s="194">
        <f>L2933/P2933</f>
        <v>32.106167757169565</v>
      </c>
      <c r="N2933" s="190">
        <f>J2933/L2935</f>
        <v>0.14726802457161331</v>
      </c>
      <c r="O2933" s="190">
        <f>(I2933*0.73)/(K2935+L2935)</f>
        <v>0.12803021169462075</v>
      </c>
      <c r="P2933" s="188">
        <v>76134904</v>
      </c>
      <c r="Q2933" s="188">
        <f>P2933*E2933</f>
        <v>5203820688.3999996</v>
      </c>
      <c r="R2933" s="195">
        <f>Q2933/L2933</f>
        <v>2.1288744429716902</v>
      </c>
      <c r="S2933" s="197">
        <f>(Q2933+K2933)/H2933</f>
        <v>9.0141298432769368</v>
      </c>
      <c r="T2933" s="180"/>
      <c r="U2933" s="189">
        <f>IFERROR(IF(Tableau3[[#This Row],[Dettes]]=0,"",(Tableau3[[#This Row],[Dettes]]/Tableau3[[#This Row],[EBE]])),"")</f>
        <v>1.2910359157019886</v>
      </c>
      <c r="V2933" s="190" t="str">
        <f>IFERROR(Tableau3[[#This Row],[Fonds propres]]/Tableau3[[#This Row],[Total Bilan]],"")</f>
        <v/>
      </c>
      <c r="W2933" s="180"/>
      <c r="X2933" s="191"/>
      <c r="Y2933" s="180"/>
      <c r="Z2933" s="192" t="str">
        <f>IFERROR(Tableau3[[#This Row],[Chiffre d''affaires]]/Tableau3[[#This Row],[Salariés]],"")</f>
        <v/>
      </c>
      <c r="AA2933" s="197"/>
      <c r="AB2933" s="197"/>
      <c r="AC2933" s="177" t="s">
        <v>2057</v>
      </c>
    </row>
    <row r="2934" spans="1:29" ht="20.25" customHeight="1">
      <c r="A2934" s="217"/>
      <c r="E2934" s="187"/>
      <c r="G2934" s="202"/>
      <c r="H2934" s="203"/>
      <c r="I2934" s="203"/>
      <c r="J2934" s="203"/>
      <c r="K2934" s="188"/>
      <c r="L2934" s="188"/>
      <c r="M2934" s="188"/>
      <c r="N2934" s="188"/>
      <c r="O2934" s="188"/>
      <c r="P2934" s="188"/>
      <c r="Q2934" s="188"/>
      <c r="R2934" s="188"/>
      <c r="S2934" s="188"/>
      <c r="T2934" s="180"/>
      <c r="U2934" s="189" t="str">
        <f>IFERROR(IF(Tableau3[[#This Row],[Dettes]]=0,"",(Tableau3[[#This Row],[Dettes]]/Tableau3[[#This Row],[EBE]])),"")</f>
        <v/>
      </c>
      <c r="V2934" s="190" t="str">
        <f>IFERROR(Tableau3[[#This Row],[Fonds propres]]/Tableau3[[#This Row],[Total Bilan]],"")</f>
        <v/>
      </c>
      <c r="W2934" s="180"/>
      <c r="X2934" s="191"/>
      <c r="Y2934" s="180"/>
      <c r="Z2934" s="192" t="str">
        <f>IFERROR(Tableau3[[#This Row],[Chiffre d''affaires]]/Tableau3[[#This Row],[Salariés]],"")</f>
        <v/>
      </c>
      <c r="AA2934" s="197"/>
      <c r="AB2934" s="197"/>
      <c r="AC2934" s="177" t="s">
        <v>2058</v>
      </c>
    </row>
    <row r="2935" spans="1:29" ht="20.25" customHeight="1">
      <c r="A2935" s="217"/>
      <c r="E2935" s="187">
        <v>45.6</v>
      </c>
      <c r="F2935" s="178">
        <v>2009</v>
      </c>
      <c r="G2935" s="188">
        <v>2773700000</v>
      </c>
      <c r="H2935" s="188">
        <v>416600000</v>
      </c>
      <c r="I2935" s="188">
        <v>248900000</v>
      </c>
      <c r="J2935" s="188">
        <v>41300000</v>
      </c>
      <c r="K2935" s="188">
        <v>964300000</v>
      </c>
      <c r="L2935" s="188">
        <v>1855800000</v>
      </c>
      <c r="M2935" s="194">
        <f>L2935/P2935</f>
        <v>25.755683237571819</v>
      </c>
      <c r="N2935" s="190">
        <f>J2935/L2937</f>
        <v>2.6708918062471707E-2</v>
      </c>
      <c r="O2935" s="190">
        <f>(I2935*0.73)/(K2937+L2937)</f>
        <v>5.8372795322388926E-2</v>
      </c>
      <c r="P2935" s="188">
        <v>72054000</v>
      </c>
      <c r="Q2935" s="188">
        <f>P2935*E2935</f>
        <v>3285662400</v>
      </c>
      <c r="R2935" s="195">
        <f>Q2935/L2935</f>
        <v>1.7704830261881668</v>
      </c>
      <c r="S2935" s="197">
        <f>(Q2935+K2935)/H2935</f>
        <v>10.201542006721075</v>
      </c>
      <c r="T2935" s="180"/>
      <c r="U2935" s="189">
        <f>IFERROR(IF(Tableau3[[#This Row],[Dettes]]=0,"",(Tableau3[[#This Row],[Dettes]]/Tableau3[[#This Row],[EBE]])),"")</f>
        <v>2.3146903504560732</v>
      </c>
      <c r="V2935" s="190" t="str">
        <f>IFERROR(Tableau3[[#This Row],[Fonds propres]]/Tableau3[[#This Row],[Total Bilan]],"")</f>
        <v/>
      </c>
      <c r="W2935" s="180"/>
      <c r="X2935" s="191"/>
      <c r="Y2935" s="180"/>
      <c r="Z2935" s="192" t="str">
        <f>IFERROR(Tableau3[[#This Row],[Chiffre d''affaires]]/Tableau3[[#This Row],[Salariés]],"")</f>
        <v/>
      </c>
      <c r="AA2935" s="197"/>
      <c r="AB2935" s="197"/>
      <c r="AC2935" s="177" t="s">
        <v>2059</v>
      </c>
    </row>
    <row r="2936" spans="1:29" ht="20.25" customHeight="1">
      <c r="A2936" s="217"/>
      <c r="E2936" s="187"/>
      <c r="G2936" s="202">
        <f>(G2935/G2937)-1</f>
        <v>-0.1958425142061927</v>
      </c>
      <c r="H2936" s="203">
        <f>(H2935/H2937)-1</f>
        <v>-0.27345657481688179</v>
      </c>
      <c r="I2936" s="203">
        <f>(I2935/I2937)-1</f>
        <v>-0.38299454635597419</v>
      </c>
      <c r="J2936" s="203">
        <f>(J2935/J2937)-1</f>
        <v>-0.74395536267823936</v>
      </c>
      <c r="K2936" s="188"/>
      <c r="L2936" s="188"/>
      <c r="M2936" s="188"/>
      <c r="N2936" s="188"/>
      <c r="O2936" s="188"/>
      <c r="P2936" s="188"/>
      <c r="Q2936" s="188"/>
      <c r="R2936" s="188"/>
      <c r="S2936" s="188"/>
      <c r="T2936" s="180"/>
      <c r="U2936" s="189" t="str">
        <f>IFERROR(IF(Tableau3[[#This Row],[Dettes]]=0,"",(Tableau3[[#This Row],[Dettes]]/Tableau3[[#This Row],[EBE]])),"")</f>
        <v/>
      </c>
      <c r="V2936" s="190" t="str">
        <f>IFERROR(Tableau3[[#This Row],[Fonds propres]]/Tableau3[[#This Row],[Total Bilan]],"")</f>
        <v/>
      </c>
      <c r="W2936" s="180"/>
      <c r="X2936" s="191"/>
      <c r="Y2936" s="180"/>
      <c r="Z2936" s="192" t="str">
        <f>IFERROR(Tableau3[[#This Row],[Chiffre d''affaires]]/Tableau3[[#This Row],[Salariés]],"")</f>
        <v/>
      </c>
      <c r="AA2936" s="197"/>
      <c r="AB2936" s="197"/>
      <c r="AC2936" s="177" t="s">
        <v>2060</v>
      </c>
    </row>
    <row r="2937" spans="1:29" ht="20.25" customHeight="1">
      <c r="A2937" s="217"/>
      <c r="E2937" s="187">
        <v>25.4</v>
      </c>
      <c r="F2937" s="178">
        <v>2008</v>
      </c>
      <c r="G2937" s="188">
        <v>3449200000</v>
      </c>
      <c r="H2937" s="188">
        <v>573400000</v>
      </c>
      <c r="I2937" s="188">
        <v>403400000</v>
      </c>
      <c r="J2937" s="188">
        <v>161300000</v>
      </c>
      <c r="K2937" s="188">
        <v>1566400000</v>
      </c>
      <c r="L2937" s="188">
        <v>1546300000</v>
      </c>
      <c r="M2937" s="194">
        <f>L2937/P2937</f>
        <v>24.622219391410965</v>
      </c>
      <c r="N2937" s="190">
        <f>J2937/L2939</f>
        <v>9.837165335122279E-2</v>
      </c>
      <c r="O2937" s="190">
        <f>(I2937*0.73)/(K2939+L2939)</f>
        <v>9.8730009722734435E-2</v>
      </c>
      <c r="P2937" s="188">
        <v>62801000</v>
      </c>
      <c r="Q2937" s="188">
        <f>P2937*E2937</f>
        <v>1595145400</v>
      </c>
      <c r="R2937" s="195">
        <f>Q2937/L2937</f>
        <v>1.0315885662549311</v>
      </c>
      <c r="S2937" s="197">
        <f>(Q2937+K2937)/H2937</f>
        <v>5.5136822462504362</v>
      </c>
      <c r="T2937" s="180"/>
      <c r="U2937" s="189">
        <f>IFERROR(IF(Tableau3[[#This Row],[Dettes]]=0,"",(Tableau3[[#This Row],[Dettes]]/Tableau3[[#This Row],[EBE]])),"")</f>
        <v>2.7317753749564004</v>
      </c>
      <c r="V2937" s="190" t="str">
        <f>IFERROR(Tableau3[[#This Row],[Fonds propres]]/Tableau3[[#This Row],[Total Bilan]],"")</f>
        <v/>
      </c>
      <c r="W2937" s="180"/>
      <c r="X2937" s="191"/>
      <c r="Y2937" s="180"/>
      <c r="Z2937" s="192" t="str">
        <f>IFERROR(Tableau3[[#This Row],[Chiffre d''affaires]]/Tableau3[[#This Row],[Salariés]],"")</f>
        <v/>
      </c>
      <c r="AA2937" s="197"/>
      <c r="AB2937" s="197"/>
      <c r="AC2937" s="177" t="s">
        <v>2061</v>
      </c>
    </row>
    <row r="2938" spans="1:29" ht="20.25" customHeight="1">
      <c r="A2938" s="217"/>
      <c r="E2938" s="187"/>
      <c r="G2938" s="202">
        <f>(G2937/G2939)-1</f>
        <v>1.3903994826420574E-2</v>
      </c>
      <c r="H2938" s="203">
        <f>(H2937/H2939)-1</f>
        <v>-0.11730295566502458</v>
      </c>
      <c r="I2938" s="203">
        <f>(I2937/I2939)-1</f>
        <v>-0.15659627848630564</v>
      </c>
      <c r="J2938" s="203">
        <f>(J2937/J2939)-1</f>
        <v>-0.432441942294159</v>
      </c>
      <c r="K2938" s="188"/>
      <c r="L2938" s="188"/>
      <c r="M2938" s="188"/>
      <c r="N2938" s="188"/>
      <c r="O2938" s="188"/>
      <c r="P2938" s="188"/>
      <c r="Q2938" s="188"/>
      <c r="R2938" s="188"/>
      <c r="S2938" s="188"/>
      <c r="T2938" s="180"/>
      <c r="U2938" s="189" t="str">
        <f>IFERROR(IF(Tableau3[[#This Row],[Dettes]]=0,"",(Tableau3[[#This Row],[Dettes]]/Tableau3[[#This Row],[EBE]])),"")</f>
        <v/>
      </c>
      <c r="V2938" s="190" t="str">
        <f>IFERROR(Tableau3[[#This Row],[Fonds propres]]/Tableau3[[#This Row],[Total Bilan]],"")</f>
        <v/>
      </c>
      <c r="W2938" s="180"/>
      <c r="X2938" s="191"/>
      <c r="Y2938" s="180"/>
      <c r="Z2938" s="192" t="str">
        <f>IFERROR(Tableau3[[#This Row],[Chiffre d''affaires]]/Tableau3[[#This Row],[Salariés]],"")</f>
        <v/>
      </c>
      <c r="AA2938" s="177"/>
      <c r="AC2938" s="177" t="s">
        <v>4867</v>
      </c>
    </row>
    <row r="2939" spans="1:29" ht="20.25" customHeight="1">
      <c r="A2939" s="217"/>
      <c r="E2939" s="187">
        <v>53.6</v>
      </c>
      <c r="F2939" s="178">
        <v>2007</v>
      </c>
      <c r="G2939" s="188">
        <v>3401900000</v>
      </c>
      <c r="H2939" s="188">
        <v>649600000</v>
      </c>
      <c r="I2939" s="188">
        <v>478300000</v>
      </c>
      <c r="J2939" s="188">
        <v>284200000</v>
      </c>
      <c r="K2939" s="188">
        <v>1343000000</v>
      </c>
      <c r="L2939" s="188">
        <v>1639700000</v>
      </c>
      <c r="M2939" s="194">
        <f>L2939/P2939</f>
        <v>25.974681837473419</v>
      </c>
      <c r="N2939" s="190">
        <f>J2939/L2939</f>
        <v>0.17332438860767213</v>
      </c>
      <c r="O2939" s="190">
        <f>(I2939*0.73)/(K2939+(M2939*P2939))</f>
        <v>0.1170613873336239</v>
      </c>
      <c r="P2939" s="188">
        <v>63126856</v>
      </c>
      <c r="Q2939" s="188">
        <f>P2939*E2939</f>
        <v>3383599481.5999999</v>
      </c>
      <c r="R2939" s="195">
        <f>Q2939/L2939</f>
        <v>2.0635478938830274</v>
      </c>
      <c r="S2939" s="197">
        <f>(Q2939+K2939)/H2939</f>
        <v>7.2761691527093602</v>
      </c>
      <c r="T2939" s="180"/>
      <c r="U2939" s="189">
        <f>IFERROR(IF(Tableau3[[#This Row],[Dettes]]=0,"",(Tableau3[[#This Row],[Dettes]]/Tableau3[[#This Row],[EBE]])),"")</f>
        <v>2.0674261083743843</v>
      </c>
      <c r="V2939" s="190" t="str">
        <f>IFERROR(Tableau3[[#This Row],[Fonds propres]]/Tableau3[[#This Row],[Total Bilan]],"")</f>
        <v/>
      </c>
      <c r="W2939" s="180"/>
      <c r="X2939" s="191"/>
      <c r="Y2939" s="180"/>
      <c r="Z2939" s="192" t="str">
        <f>IFERROR(Tableau3[[#This Row],[Chiffre d''affaires]]/Tableau3[[#This Row],[Salariés]],"")</f>
        <v/>
      </c>
      <c r="AA2939" s="177"/>
      <c r="AC2939" s="177" t="s">
        <v>4874</v>
      </c>
    </row>
    <row r="2940" spans="1:29" ht="20.25" customHeight="1">
      <c r="A2940" s="217"/>
      <c r="E2940" s="187"/>
      <c r="G2940" s="188"/>
      <c r="H2940" s="188"/>
      <c r="I2940" s="188"/>
      <c r="J2940" s="188"/>
      <c r="K2940" s="188"/>
      <c r="L2940" s="188"/>
      <c r="M2940" s="188"/>
      <c r="N2940" s="188"/>
      <c r="O2940" s="188"/>
      <c r="P2940" s="188"/>
      <c r="Q2940" s="188"/>
      <c r="R2940" s="188"/>
      <c r="S2940" s="188"/>
      <c r="T2940" s="180"/>
      <c r="U2940" s="189" t="str">
        <f>IFERROR(IF(Tableau3[[#This Row],[Dettes]]=0,"",(Tableau3[[#This Row],[Dettes]]/Tableau3[[#This Row],[EBE]])),"")</f>
        <v/>
      </c>
      <c r="V2940" s="190" t="str">
        <f>IFERROR(Tableau3[[#This Row],[Fonds propres]]/Tableau3[[#This Row],[Total Bilan]],"")</f>
        <v/>
      </c>
      <c r="W2940" s="180"/>
      <c r="X2940" s="191"/>
      <c r="Y2940" s="180"/>
      <c r="Z2940" s="192" t="str">
        <f>IFERROR(Tableau3[[#This Row],[Chiffre d''affaires]]/Tableau3[[#This Row],[Salariés]],"")</f>
        <v/>
      </c>
      <c r="AA2940" s="188"/>
      <c r="AB2940" s="188"/>
      <c r="AC2940" s="177" t="s">
        <v>2062</v>
      </c>
    </row>
    <row r="2941" spans="1:29" ht="20.25" customHeight="1">
      <c r="A2941" s="217"/>
      <c r="E2941" s="187">
        <v>29.4</v>
      </c>
      <c r="F2941" s="178">
        <v>1999</v>
      </c>
      <c r="G2941" s="188"/>
      <c r="H2941" s="188"/>
      <c r="I2941" s="188"/>
      <c r="J2941" s="188"/>
      <c r="K2941" s="188"/>
      <c r="L2941" s="188"/>
      <c r="M2941" s="188"/>
      <c r="N2941" s="188"/>
      <c r="O2941" s="188"/>
      <c r="P2941" s="188"/>
      <c r="Q2941" s="188"/>
      <c r="R2941" s="188"/>
      <c r="S2941" s="188"/>
      <c r="T2941" s="180"/>
      <c r="U2941" s="189" t="str">
        <f>IFERROR(IF(Tableau3[[#This Row],[Dettes]]=0,"",(Tableau3[[#This Row],[Dettes]]/Tableau3[[#This Row],[EBE]])),"")</f>
        <v/>
      </c>
      <c r="V2941" s="190" t="str">
        <f>IFERROR(Tableau3[[#This Row],[Fonds propres]]/Tableau3[[#This Row],[Total Bilan]],"")</f>
        <v/>
      </c>
      <c r="W2941" s="180"/>
      <c r="X2941" s="191"/>
      <c r="Y2941" s="180"/>
      <c r="Z2941" s="192" t="str">
        <f>IFERROR(Tableau3[[#This Row],[Chiffre d''affaires]]/Tableau3[[#This Row],[Salariés]],"")</f>
        <v/>
      </c>
      <c r="AA2941" s="188"/>
      <c r="AB2941" s="188"/>
      <c r="AC2941" s="177" t="s">
        <v>378</v>
      </c>
    </row>
    <row r="2942" spans="1:29" ht="20.25" customHeight="1">
      <c r="A2942" s="217"/>
      <c r="E2942" s="187"/>
      <c r="G2942" s="188"/>
      <c r="H2942" s="188"/>
      <c r="I2942" s="188"/>
      <c r="J2942" s="188"/>
      <c r="K2942" s="188"/>
      <c r="L2942" s="188"/>
      <c r="M2942" s="188"/>
      <c r="N2942" s="188"/>
      <c r="O2942" s="188"/>
      <c r="P2942" s="188"/>
      <c r="Q2942" s="188"/>
      <c r="R2942" s="188"/>
      <c r="S2942" s="188"/>
      <c r="T2942" s="180"/>
      <c r="U2942" s="189" t="str">
        <f>IFERROR(IF(Tableau3[[#This Row],[Dettes]]=0,"",(Tableau3[[#This Row],[Dettes]]/Tableau3[[#This Row],[EBE]])),"")</f>
        <v/>
      </c>
      <c r="V2942" s="190" t="str">
        <f>IFERROR(Tableau3[[#This Row],[Fonds propres]]/Tableau3[[#This Row],[Total Bilan]],"")</f>
        <v/>
      </c>
      <c r="W2942" s="180"/>
      <c r="X2942" s="192"/>
      <c r="Y2942" s="180"/>
      <c r="Z2942" s="192" t="str">
        <f>IFERROR(Tableau3[[#This Row],[Chiffre d''affaires]]/Tableau3[[#This Row],[Salariés]],"")</f>
        <v/>
      </c>
      <c r="AA2942" s="188"/>
      <c r="AB2942" s="188"/>
      <c r="AC2942" s="177" t="s">
        <v>286</v>
      </c>
    </row>
    <row r="2943" spans="1:29" ht="20.25" customHeight="1">
      <c r="A2943" s="217"/>
      <c r="E2943" s="187"/>
      <c r="G2943" s="188"/>
      <c r="H2943" s="188"/>
      <c r="I2943" s="188"/>
      <c r="J2943" s="188"/>
      <c r="K2943" s="188"/>
      <c r="L2943" s="188"/>
      <c r="M2943" s="188"/>
      <c r="N2943" s="188"/>
      <c r="O2943" s="188"/>
      <c r="P2943" s="188"/>
      <c r="Q2943" s="188"/>
      <c r="R2943" s="188"/>
      <c r="S2943" s="188"/>
      <c r="T2943" s="180"/>
      <c r="U2943" s="189" t="str">
        <f>IFERROR(IF(Tableau3[[#This Row],[Dettes]]=0,"",(Tableau3[[#This Row],[Dettes]]/Tableau3[[#This Row],[EBE]])),"")</f>
        <v/>
      </c>
      <c r="V2943" s="190" t="str">
        <f>IFERROR(Tableau3[[#This Row],[Fonds propres]]/Tableau3[[#This Row],[Total Bilan]],"")</f>
        <v/>
      </c>
      <c r="W2943" s="180"/>
      <c r="X2943" s="192"/>
      <c r="Y2943" s="180"/>
      <c r="Z2943" s="192" t="str">
        <f>IFERROR(Tableau3[[#This Row],[Chiffre d''affaires]]/Tableau3[[#This Row],[Salariés]],"")</f>
        <v/>
      </c>
      <c r="AA2943" s="188"/>
      <c r="AB2943" s="188"/>
      <c r="AC2943" s="177" t="s">
        <v>4869</v>
      </c>
    </row>
    <row r="2944" spans="1:29" ht="20.25" customHeight="1">
      <c r="A2944" s="217"/>
      <c r="E2944" s="187"/>
      <c r="G2944" s="188"/>
      <c r="H2944" s="188"/>
      <c r="I2944" s="188"/>
      <c r="J2944" s="188"/>
      <c r="K2944" s="188"/>
      <c r="L2944" s="188"/>
      <c r="M2944" s="188"/>
      <c r="N2944" s="188"/>
      <c r="O2944" s="188"/>
      <c r="P2944" s="188"/>
      <c r="Q2944" s="188"/>
      <c r="R2944" s="188"/>
      <c r="S2944" s="188"/>
      <c r="T2944" s="180"/>
      <c r="U2944" s="189" t="str">
        <f>IFERROR(IF(Tableau3[[#This Row],[Dettes]]=0,"",(Tableau3[[#This Row],[Dettes]]/Tableau3[[#This Row],[EBE]])),"")</f>
        <v/>
      </c>
      <c r="V2944" s="190" t="str">
        <f>IFERROR(Tableau3[[#This Row],[Fonds propres]]/Tableau3[[#This Row],[Total Bilan]],"")</f>
        <v/>
      </c>
      <c r="W2944" s="180"/>
      <c r="X2944" s="192"/>
      <c r="Y2944" s="180"/>
      <c r="Z2944" s="192" t="str">
        <f>IFERROR(Tableau3[[#This Row],[Chiffre d''affaires]]/Tableau3[[#This Row],[Salariés]],"")</f>
        <v/>
      </c>
      <c r="AC2944" s="177" t="s">
        <v>4871</v>
      </c>
    </row>
    <row r="2945" spans="1:29" ht="20.25" customHeight="1">
      <c r="A2945" s="217"/>
      <c r="E2945" s="187"/>
      <c r="G2945" s="188"/>
      <c r="H2945" s="188"/>
      <c r="I2945" s="188"/>
      <c r="J2945" s="188"/>
      <c r="K2945" s="188"/>
      <c r="L2945" s="188"/>
      <c r="M2945" s="188"/>
      <c r="N2945" s="188"/>
      <c r="O2945" s="188"/>
      <c r="P2945" s="188"/>
      <c r="Q2945" s="188"/>
      <c r="R2945" s="188"/>
      <c r="S2945" s="188"/>
      <c r="T2945" s="180"/>
      <c r="U2945" s="189" t="str">
        <f>IFERROR(IF(Tableau3[[#This Row],[Dettes]]=0,"",(Tableau3[[#This Row],[Dettes]]/Tableau3[[#This Row],[EBE]])),"")</f>
        <v/>
      </c>
      <c r="V2945" s="190" t="str">
        <f>IFERROR(Tableau3[[#This Row],[Fonds propres]]/Tableau3[[#This Row],[Total Bilan]],"")</f>
        <v/>
      </c>
      <c r="W2945" s="180"/>
      <c r="X2945" s="192"/>
      <c r="Y2945" s="180"/>
      <c r="Z2945" s="192" t="str">
        <f>IFERROR(Tableau3[[#This Row],[Chiffre d''affaires]]/Tableau3[[#This Row],[Salariés]],"")</f>
        <v/>
      </c>
    </row>
    <row r="2946" spans="1:29" ht="20.25" customHeight="1">
      <c r="A2946" s="217"/>
      <c r="G2946" s="188"/>
      <c r="H2946" s="188"/>
      <c r="I2946" s="188"/>
      <c r="J2946" s="188"/>
      <c r="K2946" s="188"/>
      <c r="L2946" s="188"/>
      <c r="M2946" s="188"/>
      <c r="N2946" s="188"/>
      <c r="O2946" s="188"/>
      <c r="P2946" s="188"/>
      <c r="Q2946" s="188"/>
      <c r="R2946" s="188"/>
      <c r="S2946" s="188"/>
      <c r="T2946" s="180"/>
      <c r="U2946" s="189" t="str">
        <f>IFERROR(IF(Tableau3[[#This Row],[Dettes]]=0,"",(Tableau3[[#This Row],[Dettes]]/Tableau3[[#This Row],[EBE]])),"")</f>
        <v/>
      </c>
      <c r="V2946" s="190" t="str">
        <f>IFERROR(Tableau3[[#This Row],[Fonds propres]]/Tableau3[[#This Row],[Total Bilan]],"")</f>
        <v/>
      </c>
      <c r="W2946" s="180"/>
      <c r="X2946" s="192"/>
      <c r="Y2946" s="180"/>
      <c r="Z2946" s="192" t="str">
        <f>IFERROR(Tableau3[[#This Row],[Chiffre d''affaires]]/Tableau3[[#This Row],[Salariés]],"")</f>
        <v/>
      </c>
      <c r="AA2946" s="188"/>
      <c r="AB2946" s="188"/>
    </row>
    <row r="2947" spans="1:29" ht="20.25" customHeight="1">
      <c r="A2947" s="217" t="s">
        <v>2064</v>
      </c>
      <c r="B2947" s="216" t="s">
        <v>2065</v>
      </c>
      <c r="C2947" s="178" t="s">
        <v>84</v>
      </c>
      <c r="D2947" s="178" t="s">
        <v>85</v>
      </c>
      <c r="E2947" s="187"/>
      <c r="F2947" s="224" t="s">
        <v>2066</v>
      </c>
      <c r="G2947" s="188"/>
      <c r="H2947" s="188"/>
      <c r="I2947" s="188"/>
      <c r="J2947" s="188"/>
      <c r="K2947" s="188"/>
      <c r="L2947" s="188"/>
      <c r="M2947" s="188"/>
      <c r="N2947" s="188"/>
      <c r="O2947" s="188"/>
      <c r="P2947" s="188"/>
      <c r="Q2947" s="188"/>
      <c r="R2947" s="188"/>
      <c r="S2947" s="188"/>
      <c r="T2947" s="180"/>
      <c r="U2947" s="189" t="str">
        <f>IFERROR(IF(Tableau3[[#This Row],[Dettes]]=0,"",(Tableau3[[#This Row],[Dettes]]/Tableau3[[#This Row],[EBE]])),"")</f>
        <v/>
      </c>
      <c r="V2947" s="190" t="str">
        <f>IFERROR(Tableau3[[#This Row],[Fonds propres]]/Tableau3[[#This Row],[Total Bilan]],"")</f>
        <v/>
      </c>
      <c r="W2947" s="180"/>
      <c r="X2947" s="192"/>
      <c r="Y2947" s="180"/>
      <c r="Z2947" s="192" t="str">
        <f>IFERROR(Tableau3[[#This Row],[Chiffre d''affaires]]/Tableau3[[#This Row],[Salariés]],"")</f>
        <v/>
      </c>
      <c r="AA2947" s="188"/>
      <c r="AB2947" s="188"/>
      <c r="AC2947" s="177" t="s">
        <v>2067</v>
      </c>
    </row>
    <row r="2948" spans="1:29" ht="20.25" customHeight="1">
      <c r="A2948" s="217"/>
      <c r="E2948" s="187"/>
      <c r="G2948" s="188"/>
      <c r="H2948" s="188"/>
      <c r="I2948" s="188"/>
      <c r="J2948" s="188"/>
      <c r="K2948" s="188"/>
      <c r="L2948" s="188"/>
      <c r="M2948" s="188"/>
      <c r="N2948" s="188"/>
      <c r="O2948" s="188"/>
      <c r="P2948" s="188"/>
      <c r="Q2948" s="188"/>
      <c r="R2948" s="188"/>
      <c r="S2948" s="188"/>
      <c r="T2948" s="180"/>
      <c r="U2948" s="189" t="str">
        <f>IFERROR(IF(Tableau3[[#This Row],[Dettes]]=0,"",(Tableau3[[#This Row],[Dettes]]/Tableau3[[#This Row],[EBE]])),"")</f>
        <v/>
      </c>
      <c r="V2948" s="190" t="str">
        <f>IFERROR(Tableau3[[#This Row],[Fonds propres]]/Tableau3[[#This Row],[Total Bilan]],"")</f>
        <v/>
      </c>
      <c r="W2948" s="180"/>
      <c r="X2948" s="192"/>
      <c r="Y2948" s="180"/>
      <c r="Z2948" s="192" t="str">
        <f>IFERROR(Tableau3[[#This Row],[Chiffre d''affaires]]/Tableau3[[#This Row],[Salariés]],"")</f>
        <v/>
      </c>
      <c r="AA2948" s="188"/>
      <c r="AB2948" s="188"/>
      <c r="AC2948" s="177" t="s">
        <v>2068</v>
      </c>
    </row>
    <row r="2949" spans="1:29" ht="20.25" customHeight="1">
      <c r="A2949" s="217"/>
      <c r="E2949" s="187">
        <v>47</v>
      </c>
      <c r="F2949" s="178">
        <v>2023</v>
      </c>
      <c r="G2949" s="188"/>
      <c r="H2949" s="188"/>
      <c r="I2949" s="188"/>
      <c r="J2949" s="188"/>
      <c r="K2949" s="188"/>
      <c r="L2949" s="188"/>
      <c r="M2949" s="188"/>
      <c r="N2949" s="188"/>
      <c r="O2949" s="188"/>
      <c r="P2949" s="188">
        <v>77567512</v>
      </c>
      <c r="Q2949" s="188">
        <f>P2949*E2949</f>
        <v>3645673064</v>
      </c>
      <c r="R2949" s="188"/>
      <c r="S2949" s="188"/>
      <c r="T2949" s="180"/>
      <c r="U2949" s="189" t="str">
        <f>IFERROR(IF(Tableau3[[#This Row],[Dettes]]=0,"",(Tableau3[[#This Row],[Dettes]]/Tableau3[[#This Row],[EBE]])),"")</f>
        <v/>
      </c>
      <c r="V2949" s="190" t="str">
        <f>IFERROR(Tableau3[[#This Row],[Fonds propres]]/Tableau3[[#This Row],[Total Bilan]],"")</f>
        <v/>
      </c>
      <c r="W2949" s="180"/>
      <c r="X2949" s="192"/>
      <c r="Y2949" s="180"/>
      <c r="Z2949" s="192" t="str">
        <f>IFERROR(Tableau3[[#This Row],[Chiffre d''affaires]]/Tableau3[[#This Row],[Salariés]],"")</f>
        <v/>
      </c>
      <c r="AA2949" s="188"/>
      <c r="AB2949" s="188"/>
      <c r="AC2949" s="177" t="s">
        <v>2069</v>
      </c>
    </row>
    <row r="2950" spans="1:29" ht="20.25" customHeight="1">
      <c r="A2950" s="217"/>
      <c r="E2950" s="187"/>
      <c r="G2950" s="188"/>
      <c r="H2950" s="188"/>
      <c r="I2950" s="188"/>
      <c r="J2950" s="188"/>
      <c r="K2950" s="188"/>
      <c r="L2950" s="188"/>
      <c r="M2950" s="188"/>
      <c r="N2950" s="188"/>
      <c r="O2950" s="188"/>
      <c r="P2950" s="188"/>
      <c r="Q2950" s="188"/>
      <c r="R2950" s="188"/>
      <c r="S2950" s="188"/>
      <c r="T2950" s="180"/>
      <c r="U2950" s="189" t="str">
        <f>IFERROR(IF(Tableau3[[#This Row],[Dettes]]=0,"",(Tableau3[[#This Row],[Dettes]]/Tableau3[[#This Row],[EBE]])),"")</f>
        <v/>
      </c>
      <c r="V2950" s="190" t="str">
        <f>IFERROR(Tableau3[[#This Row],[Fonds propres]]/Tableau3[[#This Row],[Total Bilan]],"")</f>
        <v/>
      </c>
      <c r="W2950" s="180"/>
      <c r="X2950" s="192"/>
      <c r="Y2950" s="180"/>
      <c r="Z2950" s="192" t="str">
        <f>IFERROR(Tableau3[[#This Row],[Chiffre d''affaires]]/Tableau3[[#This Row],[Salariés]],"")</f>
        <v/>
      </c>
      <c r="AA2950" s="188"/>
      <c r="AB2950" s="188"/>
    </row>
    <row r="2951" spans="1:29" ht="20.25" customHeight="1">
      <c r="A2951" s="217"/>
      <c r="E2951" s="187">
        <v>37.35</v>
      </c>
      <c r="F2951" s="178">
        <v>2022</v>
      </c>
      <c r="G2951" s="188"/>
      <c r="H2951" s="188"/>
      <c r="I2951" s="188"/>
      <c r="J2951" s="188"/>
      <c r="K2951" s="188"/>
      <c r="L2951" s="188"/>
      <c r="M2951" s="188"/>
      <c r="N2951" s="188"/>
      <c r="O2951" s="188"/>
      <c r="P2951" s="188">
        <v>77567512</v>
      </c>
      <c r="Q2951" s="188">
        <f>P2951*E2951</f>
        <v>2897146573.2000003</v>
      </c>
      <c r="R2951" s="188"/>
      <c r="S2951" s="188"/>
      <c r="T2951" s="180"/>
      <c r="U2951" s="189" t="str">
        <f>IFERROR(IF(Tableau3[[#This Row],[Dettes]]=0,"",(Tableau3[[#This Row],[Dettes]]/Tableau3[[#This Row],[EBE]])),"")</f>
        <v/>
      </c>
      <c r="V2951" s="190" t="str">
        <f>IFERROR(Tableau3[[#This Row],[Fonds propres]]/Tableau3[[#This Row],[Total Bilan]],"")</f>
        <v/>
      </c>
      <c r="W2951" s="180"/>
      <c r="X2951" s="192"/>
      <c r="Y2951" s="180"/>
      <c r="Z2951" s="192" t="str">
        <f>IFERROR(Tableau3[[#This Row],[Chiffre d''affaires]]/Tableau3[[#This Row],[Salariés]],"")</f>
        <v/>
      </c>
      <c r="AA2951" s="188"/>
      <c r="AB2951" s="188"/>
    </row>
    <row r="2952" spans="1:29" ht="20.25" customHeight="1">
      <c r="A2952" s="217"/>
      <c r="E2952" s="187"/>
      <c r="G2952" s="188"/>
      <c r="H2952" s="188"/>
      <c r="I2952" s="188"/>
      <c r="J2952" s="188"/>
      <c r="K2952" s="188"/>
      <c r="L2952" s="188"/>
      <c r="M2952" s="188"/>
      <c r="N2952" s="188"/>
      <c r="O2952" s="188"/>
      <c r="P2952" s="188"/>
      <c r="Q2952" s="188"/>
      <c r="R2952" s="188"/>
      <c r="S2952" s="188"/>
      <c r="T2952" s="180"/>
      <c r="U2952" s="189" t="str">
        <f>IFERROR(IF(Tableau3[[#This Row],[Dettes]]=0,"",(Tableau3[[#This Row],[Dettes]]/Tableau3[[#This Row],[EBE]])),"")</f>
        <v/>
      </c>
      <c r="V2952" s="190" t="str">
        <f>IFERROR(Tableau3[[#This Row],[Fonds propres]]/Tableau3[[#This Row],[Total Bilan]],"")</f>
        <v/>
      </c>
      <c r="W2952" s="180"/>
      <c r="X2952" s="192"/>
      <c r="Y2952" s="180"/>
      <c r="Z2952" s="192" t="str">
        <f>IFERROR(Tableau3[[#This Row],[Chiffre d''affaires]]/Tableau3[[#This Row],[Salariés]],"")</f>
        <v/>
      </c>
      <c r="AA2952" s="188"/>
      <c r="AB2952" s="188"/>
    </row>
    <row r="2953" spans="1:29" ht="20.25" customHeight="1">
      <c r="A2953" s="217"/>
      <c r="E2953" s="187">
        <v>40.4</v>
      </c>
      <c r="F2953" s="178">
        <v>2021</v>
      </c>
      <c r="G2953" s="188"/>
      <c r="H2953" s="188"/>
      <c r="I2953" s="188"/>
      <c r="J2953" s="188"/>
      <c r="K2953" s="188"/>
      <c r="L2953" s="188"/>
      <c r="M2953" s="188"/>
      <c r="N2953" s="188"/>
      <c r="O2953" s="188"/>
      <c r="P2953" s="188">
        <v>77567512</v>
      </c>
      <c r="Q2953" s="188">
        <f>P2953*E2953</f>
        <v>3133727484.7999997</v>
      </c>
      <c r="R2953" s="188"/>
      <c r="S2953" s="188"/>
      <c r="T2953" s="180"/>
      <c r="U2953" s="189" t="str">
        <f>IFERROR(IF(Tableau3[[#This Row],[Dettes]]=0,"",(Tableau3[[#This Row],[Dettes]]/Tableau3[[#This Row],[EBE]])),"")</f>
        <v/>
      </c>
      <c r="V2953" s="190" t="str">
        <f>IFERROR(Tableau3[[#This Row],[Fonds propres]]/Tableau3[[#This Row],[Total Bilan]],"")</f>
        <v/>
      </c>
      <c r="W2953" s="180"/>
      <c r="X2953" s="192"/>
      <c r="Y2953" s="180"/>
      <c r="Z2953" s="192" t="str">
        <f>IFERROR(Tableau3[[#This Row],[Chiffre d''affaires]]/Tableau3[[#This Row],[Salariés]],"")</f>
        <v/>
      </c>
      <c r="AA2953" s="188"/>
      <c r="AB2953" s="188"/>
    </row>
    <row r="2954" spans="1:29" ht="20.25" customHeight="1">
      <c r="A2954" s="217"/>
      <c r="E2954" s="187"/>
      <c r="G2954" s="188"/>
      <c r="H2954" s="188"/>
      <c r="I2954" s="188"/>
      <c r="J2954" s="188"/>
      <c r="K2954" s="188"/>
      <c r="L2954" s="188"/>
      <c r="M2954" s="188"/>
      <c r="N2954" s="188"/>
      <c r="O2954" s="188"/>
      <c r="P2954" s="188"/>
      <c r="Q2954" s="188"/>
      <c r="R2954" s="188"/>
      <c r="S2954" s="188"/>
      <c r="T2954" s="180"/>
      <c r="U2954" s="189" t="str">
        <f>IFERROR(IF(Tableau3[[#This Row],[Dettes]]=0,"",(Tableau3[[#This Row],[Dettes]]/Tableau3[[#This Row],[EBE]])),"")</f>
        <v/>
      </c>
      <c r="V2954" s="190" t="str">
        <f>IFERROR(Tableau3[[#This Row],[Fonds propres]]/Tableau3[[#This Row],[Total Bilan]],"")</f>
        <v/>
      </c>
      <c r="W2954" s="180"/>
      <c r="X2954" s="192"/>
      <c r="Y2954" s="180"/>
      <c r="Z2954" s="192" t="str">
        <f>IFERROR(Tableau3[[#This Row],[Chiffre d''affaires]]/Tableau3[[#This Row],[Salariés]],"")</f>
        <v/>
      </c>
      <c r="AA2954" s="188"/>
      <c r="AB2954" s="188"/>
    </row>
    <row r="2955" spans="1:29" ht="20.25" customHeight="1">
      <c r="A2955" s="217"/>
      <c r="E2955" s="187">
        <v>25.9</v>
      </c>
      <c r="F2955" s="178">
        <v>2019</v>
      </c>
      <c r="G2955" s="188">
        <v>1872000000</v>
      </c>
      <c r="H2955" s="188"/>
      <c r="I2955" s="188">
        <v>446000000</v>
      </c>
      <c r="J2955" s="188">
        <v>243000000</v>
      </c>
      <c r="K2955" s="188"/>
      <c r="L2955" s="188">
        <v>2200000000</v>
      </c>
      <c r="M2955" s="194">
        <f>L2955/P2955</f>
        <v>28.362389656123042</v>
      </c>
      <c r="N2955" s="190">
        <f>J2955/L2955</f>
        <v>0.11045454545454546</v>
      </c>
      <c r="O2955" s="190"/>
      <c r="P2955" s="188">
        <v>77567512</v>
      </c>
      <c r="Q2955" s="188">
        <f>P2955*E2955</f>
        <v>2008998560.8</v>
      </c>
      <c r="R2955" s="195">
        <f>Q2955/L2955</f>
        <v>0.91318116399999993</v>
      </c>
      <c r="S2955" s="188" t="s">
        <v>131</v>
      </c>
      <c r="T2955" s="180"/>
      <c r="U2955" s="189" t="str">
        <f>IFERROR(IF(Tableau3[[#This Row],[Dettes]]=0,"",(Tableau3[[#This Row],[Dettes]]/Tableau3[[#This Row],[EBE]])),"")</f>
        <v/>
      </c>
      <c r="V2955" s="190" t="str">
        <f>IFERROR(Tableau3[[#This Row],[Fonds propres]]/Tableau3[[#This Row],[Total Bilan]],"")</f>
        <v/>
      </c>
      <c r="W2955" s="180"/>
      <c r="X2955" s="192"/>
      <c r="Y2955" s="180"/>
      <c r="Z2955" s="192" t="str">
        <f>IFERROR(Tableau3[[#This Row],[Chiffre d''affaires]]/Tableau3[[#This Row],[Salariés]],"")</f>
        <v/>
      </c>
      <c r="AA2955" s="188"/>
      <c r="AB2955" s="188"/>
    </row>
    <row r="2956" spans="1:29" ht="20.25" customHeight="1">
      <c r="A2956" s="217"/>
      <c r="E2956" s="187"/>
      <c r="G2956" s="188"/>
      <c r="H2956" s="188"/>
      <c r="I2956" s="188"/>
      <c r="J2956" s="188"/>
      <c r="K2956" s="188"/>
      <c r="L2956" s="188"/>
      <c r="M2956" s="188"/>
      <c r="N2956" s="188"/>
      <c r="O2956" s="188"/>
      <c r="P2956" s="188"/>
      <c r="Q2956" s="188"/>
      <c r="R2956" s="188"/>
      <c r="S2956" s="188"/>
      <c r="T2956" s="180"/>
      <c r="U2956" s="189" t="str">
        <f>IFERROR(IF(Tableau3[[#This Row],[Dettes]]=0,"",(Tableau3[[#This Row],[Dettes]]/Tableau3[[#This Row],[EBE]])),"")</f>
        <v/>
      </c>
      <c r="V2956" s="190" t="str">
        <f>IFERROR(Tableau3[[#This Row],[Fonds propres]]/Tableau3[[#This Row],[Total Bilan]],"")</f>
        <v/>
      </c>
      <c r="W2956" s="180"/>
      <c r="X2956" s="192"/>
      <c r="Y2956" s="180"/>
      <c r="Z2956" s="192" t="str">
        <f>IFERROR(Tableau3[[#This Row],[Chiffre d''affaires]]/Tableau3[[#This Row],[Salariés]],"")</f>
        <v/>
      </c>
      <c r="AA2956" s="188"/>
      <c r="AB2956" s="188"/>
    </row>
    <row r="2957" spans="1:29" ht="20.25" customHeight="1">
      <c r="A2957" s="217"/>
      <c r="E2957" s="187"/>
      <c r="F2957" s="178">
        <v>2018</v>
      </c>
      <c r="G2957" s="188">
        <v>1976000000</v>
      </c>
      <c r="H2957" s="188"/>
      <c r="I2957" s="188">
        <v>535000000</v>
      </c>
      <c r="J2957" s="188">
        <v>286000000</v>
      </c>
      <c r="K2957" s="188"/>
      <c r="L2957" s="188">
        <v>2000000000</v>
      </c>
      <c r="M2957" s="194">
        <f>L2957/P2957</f>
        <v>25.783990596475494</v>
      </c>
      <c r="N2957" s="190">
        <f>J2957/L2957</f>
        <v>0.14299999999999999</v>
      </c>
      <c r="O2957" s="190"/>
      <c r="P2957" s="188">
        <v>77567512</v>
      </c>
      <c r="Q2957" s="188">
        <f>P2957*E2957</f>
        <v>0</v>
      </c>
      <c r="R2957" s="195">
        <f>Q2957/L2957</f>
        <v>0</v>
      </c>
      <c r="S2957" s="188"/>
      <c r="T2957" s="180"/>
      <c r="U2957" s="189" t="str">
        <f>IFERROR(IF(Tableau3[[#This Row],[Dettes]]=0,"",(Tableau3[[#This Row],[Dettes]]/Tableau3[[#This Row],[EBE]])),"")</f>
        <v/>
      </c>
      <c r="V2957" s="190" t="str">
        <f>IFERROR(Tableau3[[#This Row],[Fonds propres]]/Tableau3[[#This Row],[Total Bilan]],"")</f>
        <v/>
      </c>
      <c r="W2957" s="180"/>
      <c r="X2957" s="192"/>
      <c r="Y2957" s="180"/>
      <c r="Z2957" s="192" t="str">
        <f>IFERROR(Tableau3[[#This Row],[Chiffre d''affaires]]/Tableau3[[#This Row],[Salariés]],"")</f>
        <v/>
      </c>
      <c r="AA2957" s="188"/>
      <c r="AB2957" s="188"/>
    </row>
    <row r="2958" spans="1:29" ht="20.25" customHeight="1">
      <c r="A2958" s="217"/>
      <c r="E2958" s="187"/>
      <c r="G2958" s="188"/>
      <c r="H2958" s="188"/>
      <c r="I2958" s="188"/>
      <c r="J2958" s="188"/>
      <c r="K2958" s="188"/>
      <c r="L2958" s="178"/>
      <c r="M2958" s="188"/>
      <c r="N2958" s="188"/>
      <c r="O2958" s="188"/>
      <c r="P2958" s="188"/>
      <c r="Q2958" s="188"/>
      <c r="R2958" s="188"/>
      <c r="S2958" s="188"/>
      <c r="T2958" s="180"/>
      <c r="U2958" s="189" t="str">
        <f>IFERROR(IF(Tableau3[[#This Row],[Dettes]]=0,"",(Tableau3[[#This Row],[Dettes]]/Tableau3[[#This Row],[EBE]])),"")</f>
        <v/>
      </c>
      <c r="V2958" s="190" t="str">
        <f>IFERROR(Tableau3[[#This Row],[Fonds propres]]/Tableau3[[#This Row],[Total Bilan]],"")</f>
        <v/>
      </c>
      <c r="W2958" s="180"/>
      <c r="X2958" s="192"/>
      <c r="Y2958" s="180"/>
      <c r="Z2958" s="192" t="str">
        <f>IFERROR(Tableau3[[#This Row],[Chiffre d''affaires]]/Tableau3[[#This Row],[Salariés]],"")</f>
        <v/>
      </c>
      <c r="AA2958" s="188"/>
      <c r="AB2958" s="188"/>
    </row>
    <row r="2959" spans="1:29" ht="20.25" customHeight="1">
      <c r="A2959" s="217"/>
      <c r="E2959" s="187"/>
      <c r="G2959" s="188"/>
      <c r="H2959" s="188"/>
      <c r="I2959" s="188"/>
      <c r="J2959" s="188"/>
      <c r="K2959" s="188"/>
      <c r="L2959" s="178"/>
      <c r="M2959" s="188"/>
      <c r="N2959" s="188"/>
      <c r="O2959" s="188"/>
      <c r="P2959" s="188"/>
      <c r="Q2959" s="188"/>
      <c r="R2959" s="188"/>
      <c r="S2959" s="188"/>
      <c r="T2959" s="180"/>
      <c r="U2959" s="189" t="str">
        <f>IFERROR(IF(Tableau3[[#This Row],[Dettes]]=0,"",(Tableau3[[#This Row],[Dettes]]/Tableau3[[#This Row],[EBE]])),"")</f>
        <v/>
      </c>
      <c r="V2959" s="190" t="str">
        <f>IFERROR(Tableau3[[#This Row],[Fonds propres]]/Tableau3[[#This Row],[Total Bilan]],"")</f>
        <v/>
      </c>
      <c r="W2959" s="180"/>
      <c r="X2959" s="192"/>
      <c r="Y2959" s="180"/>
      <c r="Z2959" s="192" t="str">
        <f>IFERROR(Tableau3[[#This Row],[Chiffre d''affaires]]/Tableau3[[#This Row],[Salariés]],"")</f>
        <v/>
      </c>
      <c r="AA2959" s="188"/>
      <c r="AB2959" s="188"/>
    </row>
    <row r="2960" spans="1:29" ht="20.25" customHeight="1">
      <c r="A2960" s="217"/>
      <c r="E2960" s="187"/>
      <c r="G2960" s="188"/>
      <c r="H2960" s="188"/>
      <c r="I2960" s="188"/>
      <c r="J2960" s="188"/>
      <c r="K2960" s="188"/>
      <c r="L2960" s="178"/>
      <c r="M2960" s="188"/>
      <c r="N2960" s="188"/>
      <c r="O2960" s="188"/>
      <c r="P2960" s="188"/>
      <c r="Q2960" s="188"/>
      <c r="R2960" s="188"/>
      <c r="S2960" s="188"/>
      <c r="T2960" s="180"/>
      <c r="U2960" s="189" t="str">
        <f>IFERROR(IF(Tableau3[[#This Row],[Dettes]]=0,"",(Tableau3[[#This Row],[Dettes]]/Tableau3[[#This Row],[EBE]])),"")</f>
        <v/>
      </c>
      <c r="V2960" s="190" t="str">
        <f>IFERROR(Tableau3[[#This Row],[Fonds propres]]/Tableau3[[#This Row],[Total Bilan]],"")</f>
        <v/>
      </c>
      <c r="W2960" s="180"/>
      <c r="X2960" s="192"/>
      <c r="Y2960" s="180"/>
      <c r="Z2960" s="192" t="str">
        <f>IFERROR(Tableau3[[#This Row],[Chiffre d''affaires]]/Tableau3[[#This Row],[Salariés]],"")</f>
        <v/>
      </c>
      <c r="AA2960" s="188"/>
      <c r="AB2960" s="188"/>
    </row>
    <row r="2961" spans="1:29" ht="20.25" customHeight="1">
      <c r="A2961" s="217" t="s">
        <v>2070</v>
      </c>
      <c r="B2961" s="216" t="s">
        <v>2071</v>
      </c>
      <c r="C2961" s="178" t="s">
        <v>84</v>
      </c>
      <c r="D2961" s="178" t="s">
        <v>85</v>
      </c>
      <c r="E2961" s="187">
        <v>38.9</v>
      </c>
      <c r="F2961" s="178">
        <v>2021</v>
      </c>
      <c r="G2961" s="188"/>
      <c r="H2961" s="188"/>
      <c r="I2961" s="188"/>
      <c r="J2961" s="188"/>
      <c r="K2961" s="188"/>
      <c r="L2961" s="188"/>
      <c r="M2961" s="188"/>
      <c r="N2961" s="188"/>
      <c r="O2961" s="188"/>
      <c r="P2961" s="188">
        <f>99320000/0.52</f>
        <v>191000000</v>
      </c>
      <c r="Q2961" s="188">
        <f>P2961*E2961</f>
        <v>7429900000</v>
      </c>
      <c r="R2961" s="188"/>
      <c r="S2961" s="188"/>
      <c r="T2961" s="180"/>
      <c r="U2961" s="189" t="str">
        <f>IFERROR(IF(Tableau3[[#This Row],[Dettes]]=0,"",(Tableau3[[#This Row],[Dettes]]/Tableau3[[#This Row],[EBE]])),"")</f>
        <v/>
      </c>
      <c r="V2961" s="190" t="str">
        <f>IFERROR(Tableau3[[#This Row],[Fonds propres]]/Tableau3[[#This Row],[Total Bilan]],"")</f>
        <v/>
      </c>
      <c r="W2961" s="180"/>
      <c r="X2961" s="192"/>
      <c r="Y2961" s="180"/>
      <c r="Z2961" s="192" t="str">
        <f>IFERROR(Tableau3[[#This Row],[Chiffre d''affaires]]/Tableau3[[#This Row],[Salariés]],"")</f>
        <v/>
      </c>
      <c r="AA2961" s="188"/>
      <c r="AB2961" s="188"/>
      <c r="AC2961" s="177" t="s">
        <v>2072</v>
      </c>
    </row>
    <row r="2962" spans="1:29" ht="20.25" customHeight="1">
      <c r="A2962" s="217"/>
      <c r="E2962" s="187"/>
      <c r="G2962" s="188"/>
      <c r="H2962" s="188"/>
      <c r="I2962" s="188"/>
      <c r="J2962" s="188"/>
      <c r="K2962" s="188"/>
      <c r="L2962" s="188"/>
      <c r="M2962" s="188"/>
      <c r="N2962" s="188"/>
      <c r="O2962" s="188"/>
      <c r="P2962" s="188"/>
      <c r="Q2962" s="188"/>
      <c r="R2962" s="188"/>
      <c r="S2962" s="188"/>
      <c r="T2962" s="180"/>
      <c r="U2962" s="189" t="str">
        <f>IFERROR(IF(Tableau3[[#This Row],[Dettes]]=0,"",(Tableau3[[#This Row],[Dettes]]/Tableau3[[#This Row],[EBE]])),"")</f>
        <v/>
      </c>
      <c r="V2962" s="190" t="str">
        <f>IFERROR(Tableau3[[#This Row],[Fonds propres]]/Tableau3[[#This Row],[Total Bilan]],"")</f>
        <v/>
      </c>
      <c r="W2962" s="180"/>
      <c r="X2962" s="192"/>
      <c r="Y2962" s="180"/>
      <c r="Z2962" s="192" t="str">
        <f>IFERROR(Tableau3[[#This Row],[Chiffre d''affaires]]/Tableau3[[#This Row],[Salariés]],"")</f>
        <v/>
      </c>
      <c r="AA2962" s="188"/>
      <c r="AB2962" s="188"/>
      <c r="AC2962" s="177" t="s">
        <v>2074</v>
      </c>
    </row>
    <row r="2963" spans="1:29" ht="20.25" customHeight="1">
      <c r="A2963" s="217"/>
      <c r="E2963" s="187">
        <v>37.409999999999997</v>
      </c>
      <c r="F2963" s="178">
        <v>2019</v>
      </c>
      <c r="G2963" s="188">
        <f>G2965*1.015</f>
        <v>1829638999.9999998</v>
      </c>
      <c r="H2963" s="188"/>
      <c r="I2963" s="188">
        <f>I2965</f>
        <v>256700000</v>
      </c>
      <c r="J2963" s="188">
        <f>J2965</f>
        <v>170400000</v>
      </c>
      <c r="K2963" s="188">
        <f>K2965</f>
        <v>0</v>
      </c>
      <c r="L2963" s="188">
        <v>580000000</v>
      </c>
      <c r="M2963" s="194">
        <f>L2963/P2963</f>
        <v>3.0366492146596857</v>
      </c>
      <c r="N2963" s="190">
        <f>J2963/L2963</f>
        <v>0.29379310344827586</v>
      </c>
      <c r="O2963" s="190">
        <f>(I2963*0.71)/(K2963+L2963)</f>
        <v>0.31423620689655174</v>
      </c>
      <c r="P2963" s="188">
        <f>99320000/0.52</f>
        <v>191000000</v>
      </c>
      <c r="Q2963" s="188">
        <f>P2963*E2963</f>
        <v>7145309999.999999</v>
      </c>
      <c r="R2963" s="195">
        <f>Q2963/L2963</f>
        <v>12.319499999999998</v>
      </c>
      <c r="S2963" s="197" t="e">
        <f>(Q2963+K2963)/H2963</f>
        <v>#DIV/0!</v>
      </c>
      <c r="T2963" s="180"/>
      <c r="U2963" s="189" t="str">
        <f>IFERROR(IF(Tableau3[[#This Row],[Dettes]]=0,"",(Tableau3[[#This Row],[Dettes]]/Tableau3[[#This Row],[EBE]])),"")</f>
        <v/>
      </c>
      <c r="V2963" s="190" t="str">
        <f>IFERROR(Tableau3[[#This Row],[Fonds propres]]/Tableau3[[#This Row],[Total Bilan]],"")</f>
        <v/>
      </c>
      <c r="W2963" s="180"/>
      <c r="X2963" s="191"/>
      <c r="Y2963" s="180">
        <v>2100</v>
      </c>
      <c r="Z2963" s="192">
        <f>IFERROR(Tableau3[[#This Row],[Chiffre d''affaires]]/Tableau3[[#This Row],[Salariés]],"")</f>
        <v>871256.66666666651</v>
      </c>
      <c r="AA2963" s="197"/>
      <c r="AB2963" s="197"/>
      <c r="AC2963" s="177" t="s">
        <v>2075</v>
      </c>
    </row>
    <row r="2964" spans="1:29" ht="20.25" customHeight="1">
      <c r="A2964" s="217"/>
      <c r="E2964" s="187"/>
      <c r="G2964" s="188"/>
      <c r="H2964" s="188"/>
      <c r="I2964" s="188"/>
      <c r="J2964" s="188"/>
      <c r="K2964" s="188"/>
      <c r="L2964" s="188"/>
      <c r="M2964" s="188"/>
      <c r="N2964" s="188"/>
      <c r="O2964" s="188"/>
      <c r="P2964" s="188"/>
      <c r="Q2964" s="188"/>
      <c r="R2964" s="188"/>
      <c r="S2964" s="188"/>
      <c r="T2964" s="180"/>
      <c r="U2964" s="189" t="str">
        <f>IFERROR(IF(Tableau3[[#This Row],[Dettes]]=0,"",(Tableau3[[#This Row],[Dettes]]/Tableau3[[#This Row],[EBE]])),"")</f>
        <v/>
      </c>
      <c r="V2964" s="190" t="str">
        <f>IFERROR(Tableau3[[#This Row],[Fonds propres]]/Tableau3[[#This Row],[Total Bilan]],"")</f>
        <v/>
      </c>
      <c r="W2964" s="180"/>
      <c r="X2964" s="192"/>
      <c r="Y2964" s="180"/>
      <c r="Z2964" s="192" t="str">
        <f>IFERROR(Tableau3[[#This Row],[Chiffre d''affaires]]/Tableau3[[#This Row],[Salariés]],"")</f>
        <v/>
      </c>
      <c r="AA2964" s="188"/>
      <c r="AB2964" s="188"/>
      <c r="AC2964" s="177" t="s">
        <v>2076</v>
      </c>
    </row>
    <row r="2965" spans="1:29" ht="20.25" customHeight="1">
      <c r="A2965" s="217"/>
      <c r="E2965" s="187"/>
      <c r="F2965" s="178">
        <v>2018</v>
      </c>
      <c r="G2965" s="188">
        <v>1802600000</v>
      </c>
      <c r="H2965" s="188"/>
      <c r="I2965" s="188">
        <v>256700000</v>
      </c>
      <c r="J2965" s="188">
        <v>170400000</v>
      </c>
      <c r="K2965" s="188">
        <v>0</v>
      </c>
      <c r="L2965" s="188">
        <v>563900000</v>
      </c>
      <c r="M2965" s="188"/>
      <c r="N2965" s="190">
        <f>J2965/L2965</f>
        <v>0.30218123780812201</v>
      </c>
      <c r="O2965" s="190">
        <f>(I2965*0.71)/(K2965+L2965)</f>
        <v>0.3232080156056038</v>
      </c>
      <c r="P2965" s="188"/>
      <c r="Q2965" s="188"/>
      <c r="R2965" s="188"/>
      <c r="S2965" s="188"/>
      <c r="T2965" s="180"/>
      <c r="U2965" s="189" t="str">
        <f>IFERROR(IF(Tableau3[[#This Row],[Dettes]]=0,"",(Tableau3[[#This Row],[Dettes]]/Tableau3[[#This Row],[EBE]])),"")</f>
        <v/>
      </c>
      <c r="V2965" s="190" t="str">
        <f>IFERROR(Tableau3[[#This Row],[Fonds propres]]/Tableau3[[#This Row],[Total Bilan]],"")</f>
        <v/>
      </c>
      <c r="W2965" s="180"/>
      <c r="X2965" s="192"/>
      <c r="Y2965" s="180"/>
      <c r="Z2965" s="192" t="str">
        <f>IFERROR(Tableau3[[#This Row],[Chiffre d''affaires]]/Tableau3[[#This Row],[Salariés]],"")</f>
        <v/>
      </c>
      <c r="AA2965" s="188"/>
      <c r="AB2965" s="188"/>
      <c r="AC2965" s="177" t="s">
        <v>2077</v>
      </c>
    </row>
    <row r="2966" spans="1:29" ht="20.25" customHeight="1">
      <c r="A2966" s="217"/>
      <c r="E2966" s="187"/>
      <c r="G2966" s="202">
        <f>(G2965/G2967)-1</f>
        <v>2.3041997729852381E-2</v>
      </c>
      <c r="H2966" s="203"/>
      <c r="I2966" s="203">
        <f>(I2965/I2967)-1</f>
        <v>-5.0387596899225118E-3</v>
      </c>
      <c r="J2966" s="203">
        <f>(J2965/J2967)-1</f>
        <v>-5.7000553403431131E-2</v>
      </c>
      <c r="K2966" s="188"/>
      <c r="L2966" s="188"/>
      <c r="M2966" s="188"/>
      <c r="N2966" s="188"/>
      <c r="O2966" s="188"/>
      <c r="P2966" s="188"/>
      <c r="Q2966" s="188"/>
      <c r="R2966" s="188"/>
      <c r="S2966" s="188"/>
      <c r="T2966" s="180"/>
      <c r="U2966" s="189" t="str">
        <f>IFERROR(IF(Tableau3[[#This Row],[Dettes]]=0,"",(Tableau3[[#This Row],[Dettes]]/Tableau3[[#This Row],[EBE]])),"")</f>
        <v/>
      </c>
      <c r="V2966" s="190" t="str">
        <f>IFERROR(Tableau3[[#This Row],[Fonds propres]]/Tableau3[[#This Row],[Total Bilan]],"")</f>
        <v/>
      </c>
      <c r="W2966" s="180"/>
      <c r="X2966" s="192"/>
      <c r="Y2966" s="180"/>
      <c r="Z2966" s="192" t="str">
        <f>IFERROR(Tableau3[[#This Row],[Chiffre d''affaires]]/Tableau3[[#This Row],[Salariés]],"")</f>
        <v/>
      </c>
      <c r="AA2966" s="188"/>
      <c r="AB2966" s="188"/>
      <c r="AC2966" s="177" t="s">
        <v>2078</v>
      </c>
    </row>
    <row r="2967" spans="1:29" ht="20.25" customHeight="1">
      <c r="A2967" s="217"/>
      <c r="E2967" s="187"/>
      <c r="F2967" s="178">
        <v>2017</v>
      </c>
      <c r="G2967" s="188">
        <v>1762000000</v>
      </c>
      <c r="H2967" s="188"/>
      <c r="I2967" s="188">
        <v>258000000</v>
      </c>
      <c r="J2967" s="188">
        <v>180700000</v>
      </c>
      <c r="K2967" s="188">
        <v>0</v>
      </c>
      <c r="L2967" s="188">
        <v>519800000</v>
      </c>
      <c r="M2967" s="188"/>
      <c r="N2967" s="190">
        <f>J2967/L2967</f>
        <v>0.3476337052712582</v>
      </c>
      <c r="O2967" s="190">
        <f>(I2967*0.71)/(K2967+L2967)</f>
        <v>0.35240477106579454</v>
      </c>
      <c r="P2967" s="188"/>
      <c r="Q2967" s="188"/>
      <c r="R2967" s="188"/>
      <c r="S2967" s="188"/>
      <c r="T2967" s="180"/>
      <c r="U2967" s="189" t="str">
        <f>IFERROR(IF(Tableau3[[#This Row],[Dettes]]=0,"",(Tableau3[[#This Row],[Dettes]]/Tableau3[[#This Row],[EBE]])),"")</f>
        <v/>
      </c>
      <c r="V2967" s="190" t="str">
        <f>IFERROR(Tableau3[[#This Row],[Fonds propres]]/Tableau3[[#This Row],[Total Bilan]],"")</f>
        <v/>
      </c>
      <c r="W2967" s="180"/>
      <c r="X2967" s="192"/>
      <c r="Y2967" s="180"/>
      <c r="Z2967" s="192" t="str">
        <f>IFERROR(Tableau3[[#This Row],[Chiffre d''affaires]]/Tableau3[[#This Row],[Salariés]],"")</f>
        <v/>
      </c>
      <c r="AA2967" s="188"/>
      <c r="AB2967" s="188"/>
      <c r="AC2967" s="177" t="s">
        <v>2079</v>
      </c>
    </row>
    <row r="2968" spans="1:29" ht="20.25" customHeight="1">
      <c r="A2968" s="217"/>
      <c r="E2968" s="187"/>
      <c r="G2968" s="202">
        <f>(G2967/G2969)-1</f>
        <v>3.9037622361127511E-2</v>
      </c>
      <c r="H2968" s="203"/>
      <c r="I2968" s="203">
        <f>(I2967/I2969)-1</f>
        <v>6.2602965403624422E-2</v>
      </c>
      <c r="J2968" s="203">
        <f>(J2967/J2969)-1</f>
        <v>2.670454545454537E-2</v>
      </c>
      <c r="K2968" s="188"/>
      <c r="L2968" s="188"/>
      <c r="M2968" s="188"/>
      <c r="N2968" s="188"/>
      <c r="O2968" s="188"/>
      <c r="P2968" s="188"/>
      <c r="Q2968" s="188"/>
      <c r="R2968" s="188"/>
      <c r="S2968" s="188"/>
      <c r="T2968" s="180"/>
      <c r="U2968" s="189" t="str">
        <f>IFERROR(IF(Tableau3[[#This Row],[Dettes]]=0,"",(Tableau3[[#This Row],[Dettes]]/Tableau3[[#This Row],[EBE]])),"")</f>
        <v/>
      </c>
      <c r="V2968" s="190" t="str">
        <f>IFERROR(Tableau3[[#This Row],[Fonds propres]]/Tableau3[[#This Row],[Total Bilan]],"")</f>
        <v/>
      </c>
      <c r="W2968" s="180"/>
      <c r="X2968" s="192"/>
      <c r="Y2968" s="180"/>
      <c r="Z2968" s="192" t="str">
        <f>IFERROR(Tableau3[[#This Row],[Chiffre d''affaires]]/Tableau3[[#This Row],[Salariés]],"")</f>
        <v/>
      </c>
      <c r="AA2968" s="188"/>
      <c r="AB2968" s="188"/>
    </row>
    <row r="2969" spans="1:29" ht="20.25" customHeight="1">
      <c r="A2969" s="217"/>
      <c r="E2969" s="187"/>
      <c r="F2969" s="178">
        <v>2016</v>
      </c>
      <c r="G2969" s="188">
        <v>1695800000</v>
      </c>
      <c r="H2969" s="188"/>
      <c r="I2969" s="188">
        <v>242800000</v>
      </c>
      <c r="J2969" s="188">
        <v>176000000</v>
      </c>
      <c r="K2969" s="188">
        <v>0</v>
      </c>
      <c r="L2969" s="188">
        <v>461700000</v>
      </c>
      <c r="M2969" s="188"/>
      <c r="N2969" s="190">
        <f>J2969/L2969</f>
        <v>0.38119991336365605</v>
      </c>
      <c r="O2969" s="190">
        <f>(I2969*0.71)/(K2969+L2969)</f>
        <v>0.37337665150530647</v>
      </c>
      <c r="P2969" s="188"/>
      <c r="Q2969" s="188"/>
      <c r="R2969" s="188"/>
      <c r="S2969" s="188"/>
      <c r="T2969" s="180"/>
      <c r="U2969" s="189" t="str">
        <f>IFERROR(IF(Tableau3[[#This Row],[Dettes]]=0,"",(Tableau3[[#This Row],[Dettes]]/Tableau3[[#This Row],[EBE]])),"")</f>
        <v/>
      </c>
      <c r="V2969" s="190" t="str">
        <f>IFERROR(Tableau3[[#This Row],[Fonds propres]]/Tableau3[[#This Row],[Total Bilan]],"")</f>
        <v/>
      </c>
      <c r="W2969" s="180"/>
      <c r="X2969" s="192"/>
      <c r="Y2969" s="180"/>
      <c r="Z2969" s="192" t="str">
        <f>IFERROR(Tableau3[[#This Row],[Chiffre d''affaires]]/Tableau3[[#This Row],[Salariés]],"")</f>
        <v/>
      </c>
      <c r="AA2969" s="188"/>
      <c r="AB2969" s="188"/>
    </row>
    <row r="2970" spans="1:29" ht="20.25" customHeight="1">
      <c r="A2970" s="217"/>
      <c r="E2970" s="187"/>
      <c r="G2970" s="188"/>
      <c r="H2970" s="188"/>
      <c r="I2970" s="188"/>
      <c r="J2970" s="188"/>
      <c r="K2970" s="188"/>
      <c r="L2970" s="188"/>
      <c r="M2970" s="188"/>
      <c r="N2970" s="188"/>
      <c r="O2970" s="188"/>
      <c r="P2970" s="188"/>
      <c r="Q2970" s="188"/>
      <c r="R2970" s="188"/>
      <c r="S2970" s="188"/>
      <c r="T2970" s="180"/>
      <c r="U2970" s="189" t="str">
        <f>IFERROR(IF(Tableau3[[#This Row],[Dettes]]=0,"",(Tableau3[[#This Row],[Dettes]]/Tableau3[[#This Row],[EBE]])),"")</f>
        <v/>
      </c>
      <c r="V2970" s="190" t="str">
        <f>IFERROR(Tableau3[[#This Row],[Fonds propres]]/Tableau3[[#This Row],[Total Bilan]],"")</f>
        <v/>
      </c>
      <c r="W2970" s="180"/>
      <c r="X2970" s="192"/>
      <c r="Y2970" s="180"/>
      <c r="Z2970" s="192" t="str">
        <f>IFERROR(Tableau3[[#This Row],[Chiffre d''affaires]]/Tableau3[[#This Row],[Salariés]],"")</f>
        <v/>
      </c>
      <c r="AA2970" s="188"/>
      <c r="AB2970" s="188"/>
    </row>
    <row r="2971" spans="1:29" ht="20.25" customHeight="1">
      <c r="A2971" s="217"/>
      <c r="F2971" s="217" t="s">
        <v>2080</v>
      </c>
      <c r="G2971" s="188"/>
      <c r="H2971" s="188"/>
      <c r="I2971" s="188"/>
      <c r="J2971" s="188"/>
      <c r="K2971" s="188"/>
      <c r="L2971" s="188"/>
      <c r="M2971" s="188"/>
      <c r="N2971" s="188"/>
      <c r="O2971" s="188"/>
      <c r="P2971" s="188"/>
      <c r="Q2971" s="188"/>
      <c r="R2971" s="188"/>
      <c r="S2971" s="188"/>
      <c r="T2971" s="180"/>
      <c r="U2971" s="189" t="str">
        <f>IFERROR(IF(Tableau3[[#This Row],[Dettes]]=0,"",(Tableau3[[#This Row],[Dettes]]/Tableau3[[#This Row],[EBE]])),"")</f>
        <v/>
      </c>
      <c r="V2971" s="190" t="str">
        <f>IFERROR(Tableau3[[#This Row],[Fonds propres]]/Tableau3[[#This Row],[Total Bilan]],"")</f>
        <v/>
      </c>
      <c r="W2971" s="180"/>
      <c r="X2971" s="192"/>
      <c r="Y2971" s="180"/>
      <c r="Z2971" s="192" t="str">
        <f>IFERROR(Tableau3[[#This Row],[Chiffre d''affaires]]/Tableau3[[#This Row],[Salariés]],"")</f>
        <v/>
      </c>
      <c r="AA2971" s="188"/>
      <c r="AB2971" s="188"/>
    </row>
    <row r="2972" spans="1:29" ht="20.25" customHeight="1">
      <c r="A2972" s="217"/>
      <c r="E2972" s="187"/>
      <c r="G2972" s="188"/>
      <c r="H2972" s="188"/>
      <c r="I2972" s="188"/>
      <c r="J2972" s="188"/>
      <c r="K2972" s="188"/>
      <c r="L2972" s="188"/>
      <c r="M2972" s="188"/>
      <c r="N2972" s="188"/>
      <c r="O2972" s="188"/>
      <c r="P2972" s="188"/>
      <c r="Q2972" s="188"/>
      <c r="R2972" s="188"/>
      <c r="S2972" s="188"/>
      <c r="T2972" s="180"/>
      <c r="U2972" s="189" t="str">
        <f>IFERROR(IF(Tableau3[[#This Row],[Dettes]]=0,"",(Tableau3[[#This Row],[Dettes]]/Tableau3[[#This Row],[EBE]])),"")</f>
        <v/>
      </c>
      <c r="V2972" s="190" t="str">
        <f>IFERROR(Tableau3[[#This Row],[Fonds propres]]/Tableau3[[#This Row],[Total Bilan]],"")</f>
        <v/>
      </c>
      <c r="W2972" s="180"/>
      <c r="X2972" s="192"/>
      <c r="Y2972" s="180"/>
      <c r="Z2972" s="192" t="str">
        <f>IFERROR(Tableau3[[#This Row],[Chiffre d''affaires]]/Tableau3[[#This Row],[Salariés]],"")</f>
        <v/>
      </c>
      <c r="AA2972" s="188"/>
      <c r="AB2972" s="188"/>
    </row>
    <row r="2973" spans="1:29" ht="20.25" customHeight="1">
      <c r="A2973" s="217"/>
      <c r="E2973" s="187"/>
      <c r="G2973" s="188"/>
      <c r="H2973" s="188"/>
      <c r="I2973" s="188"/>
      <c r="J2973" s="188"/>
      <c r="K2973" s="188"/>
      <c r="L2973" s="188"/>
      <c r="M2973" s="188"/>
      <c r="N2973" s="188"/>
      <c r="O2973" s="188"/>
      <c r="P2973" s="188"/>
      <c r="Q2973" s="188"/>
      <c r="R2973" s="188"/>
      <c r="S2973" s="259" t="s">
        <v>2081</v>
      </c>
      <c r="T2973" s="180"/>
      <c r="U2973" s="189" t="str">
        <f>IFERROR(IF(Tableau3[[#This Row],[Dettes]]=0,"",(Tableau3[[#This Row],[Dettes]]/Tableau3[[#This Row],[EBE]])),"")</f>
        <v/>
      </c>
      <c r="V2973" s="190" t="str">
        <f>IFERROR(Tableau3[[#This Row],[Fonds propres]]/Tableau3[[#This Row],[Total Bilan]],"")</f>
        <v/>
      </c>
      <c r="W2973" s="180"/>
      <c r="X2973" s="192"/>
      <c r="Y2973" s="180"/>
      <c r="Z2973" s="192" t="str">
        <f>IFERROR(Tableau3[[#This Row],[Chiffre d''affaires]]/Tableau3[[#This Row],[Salariés]],"")</f>
        <v/>
      </c>
      <c r="AA2973" s="188"/>
      <c r="AB2973" s="188"/>
    </row>
    <row r="2974" spans="1:29" ht="20.25" customHeight="1">
      <c r="A2974" s="217"/>
      <c r="E2974" s="187"/>
      <c r="G2974" s="188"/>
      <c r="H2974" s="188"/>
      <c r="I2974" s="188"/>
      <c r="J2974" s="188"/>
      <c r="K2974" s="188"/>
      <c r="L2974" s="188"/>
      <c r="M2974" s="188"/>
      <c r="N2974" s="188"/>
      <c r="O2974" s="188"/>
      <c r="P2974" s="188"/>
      <c r="Q2974" s="188"/>
      <c r="R2974" s="188"/>
      <c r="S2974" s="178"/>
      <c r="T2974" s="180"/>
      <c r="U2974" s="189" t="str">
        <f>IFERROR(IF(Tableau3[[#This Row],[Dettes]]=0,"",(Tableau3[[#This Row],[Dettes]]/Tableau3[[#This Row],[EBE]])),"")</f>
        <v/>
      </c>
      <c r="V2974" s="190" t="str">
        <f>IFERROR(Tableau3[[#This Row],[Fonds propres]]/Tableau3[[#This Row],[Total Bilan]],"")</f>
        <v/>
      </c>
      <c r="W2974" s="180"/>
      <c r="X2974" s="192"/>
      <c r="Y2974" s="180"/>
      <c r="Z2974" s="192" t="str">
        <f>IFERROR(Tableau3[[#This Row],[Chiffre d''affaires]]/Tableau3[[#This Row],[Salariés]],"")</f>
        <v/>
      </c>
      <c r="AA2974" s="188"/>
      <c r="AB2974" s="188"/>
    </row>
    <row r="2975" spans="1:29" ht="20.25" customHeight="1">
      <c r="A2975" s="217" t="s">
        <v>2082</v>
      </c>
      <c r="B2975" s="216" t="s">
        <v>2083</v>
      </c>
      <c r="C2975" s="178" t="s">
        <v>196</v>
      </c>
      <c r="D2975" s="178" t="s">
        <v>85</v>
      </c>
      <c r="E2975" s="187">
        <v>80</v>
      </c>
      <c r="F2975" s="178">
        <v>2025</v>
      </c>
      <c r="G2975" s="188">
        <v>2500000000</v>
      </c>
      <c r="H2975" s="188">
        <v>2430000000</v>
      </c>
      <c r="I2975" s="188">
        <v>1400000000</v>
      </c>
      <c r="J2975" s="188">
        <v>600000000</v>
      </c>
      <c r="K2975" s="188">
        <v>19000000000</v>
      </c>
      <c r="L2975" s="188">
        <v>16459000000</v>
      </c>
      <c r="M2975" s="194">
        <f>L2975/P2975</f>
        <v>117.9879281123404</v>
      </c>
      <c r="N2975" s="190">
        <f>J2975/L2977</f>
        <v>3.7855606099799995E-2</v>
      </c>
      <c r="O2975" s="190">
        <f>(I2975*0.71)/(K2977+L2977)</f>
        <v>2.7726870796687279E-2</v>
      </c>
      <c r="P2975" s="188">
        <v>139497322</v>
      </c>
      <c r="Q2975" s="242">
        <f>P2975*E2975</f>
        <v>11159785760</v>
      </c>
      <c r="R2975" s="195">
        <f>Q2975/L2975</f>
        <v>0.67803546752536603</v>
      </c>
      <c r="S2975" s="197">
        <f>(Tableau3[[#This Row],[Capi]]+Tableau3[[#This Row],[Dettes]])/Tableau3[[#This Row],[Chiffre d''affaires]]</f>
        <v>12.063914304000001</v>
      </c>
      <c r="T2975" s="180"/>
      <c r="U2975" s="189">
        <f>IFERROR(IF(Tableau3[[#This Row],[Dettes]]=0,"",(Tableau3[[#This Row],[Dettes]]/Tableau3[[#This Row],[EBE]])),"")</f>
        <v>7.8189300411522638</v>
      </c>
      <c r="V2975" s="190" t="str">
        <f>IFERROR(Tableau3[[#This Row],[Fonds propres]]/Tableau3[[#This Row],[Total Bilan]],"")</f>
        <v/>
      </c>
      <c r="W2975" s="180"/>
      <c r="X2975" s="192" t="s">
        <v>2085</v>
      </c>
      <c r="Y2975" s="180"/>
      <c r="Z2975" s="192" t="str">
        <f>IFERROR(Tableau3[[#This Row],[Chiffre d''affaires]]/Tableau3[[#This Row],[Salariés]],"")</f>
        <v/>
      </c>
      <c r="AA2975" s="188"/>
      <c r="AB2975" s="188"/>
      <c r="AC2975" s="177" t="s">
        <v>4630</v>
      </c>
    </row>
    <row r="2976" spans="1:29" ht="20.25" customHeight="1">
      <c r="A2976" s="217"/>
      <c r="E2976" s="187"/>
      <c r="G2976" s="202">
        <f>(G2975/G2977)-1</f>
        <v>3.0120730149573616E-2</v>
      </c>
      <c r="H2976" s="203">
        <f>(H2975/H2977)-1</f>
        <v>3.3163265306122458E-2</v>
      </c>
      <c r="I2976" s="203">
        <f>(I2975/I2977)-1</f>
        <v>0.77035912999494194</v>
      </c>
      <c r="J2976" s="203">
        <f>(J2975/J2977)-1</f>
        <v>3.1039671682626535</v>
      </c>
      <c r="K2976" s="188"/>
      <c r="L2976" s="188"/>
      <c r="M2976" s="188"/>
      <c r="N2976" s="188"/>
      <c r="O2976" s="188"/>
      <c r="P2976" s="188"/>
      <c r="Q2976" s="188"/>
      <c r="R2976" s="188"/>
      <c r="S2976" s="178"/>
      <c r="T2976" s="180"/>
      <c r="U2976" s="189" t="str">
        <f>IFERROR(IF(Tableau3[[#This Row],[Dettes]]=0,"",(Tableau3[[#This Row],[Dettes]]/Tableau3[[#This Row],[EBE]])),"")</f>
        <v/>
      </c>
      <c r="V2976" s="190" t="str">
        <f>IFERROR(Tableau3[[#This Row],[Fonds propres]]/Tableau3[[#This Row],[Total Bilan]],"")</f>
        <v/>
      </c>
      <c r="W2976" s="180"/>
      <c r="X2976" s="266">
        <v>45558</v>
      </c>
      <c r="Y2976" s="180"/>
      <c r="Z2976" s="192" t="str">
        <f>IFERROR(Tableau3[[#This Row],[Chiffre d''affaires]]/Tableau3[[#This Row],[Salariés]],"")</f>
        <v/>
      </c>
      <c r="AA2976" s="188"/>
      <c r="AB2976" s="188"/>
      <c r="AC2976" s="177" t="s">
        <v>4752</v>
      </c>
    </row>
    <row r="2977" spans="1:29" ht="20.25" customHeight="1">
      <c r="A2977" s="217"/>
      <c r="E2977" s="187">
        <v>72.72</v>
      </c>
      <c r="F2977" s="178">
        <v>2024</v>
      </c>
      <c r="G2977" s="188">
        <v>2426900000</v>
      </c>
      <c r="H2977" s="188">
        <v>2352000000</v>
      </c>
      <c r="I2977" s="188">
        <v>790800000</v>
      </c>
      <c r="J2977" s="188">
        <v>146200000</v>
      </c>
      <c r="K2977" s="188">
        <v>20000000000</v>
      </c>
      <c r="L2977" s="188">
        <v>15849700000</v>
      </c>
      <c r="M2977" s="194">
        <f>L2977/P2977</f>
        <v>113.99267431091796</v>
      </c>
      <c r="N2977" s="190">
        <f>J2977/L2979</f>
        <v>9.5023300857289567E-3</v>
      </c>
      <c r="O2977" s="190">
        <f>(I2977*0.71)/(K2979+L2979)</f>
        <v>1.6328531918791824E-2</v>
      </c>
      <c r="P2977" s="188">
        <v>139041391</v>
      </c>
      <c r="Q2977" s="242">
        <f>P2977*E2977</f>
        <v>10111089953.52</v>
      </c>
      <c r="R2977" s="195">
        <f>Q2977/L2977</f>
        <v>0.63793573086683031</v>
      </c>
      <c r="S2977" s="197">
        <f>(Tableau3[[#This Row],[Capi]]+Tableau3[[#This Row],[Dettes]])/Tableau3[[#This Row],[Chiffre d''affaires]]</f>
        <v>12.407223187407805</v>
      </c>
      <c r="T2977" s="180">
        <v>1652900000</v>
      </c>
      <c r="U2977" s="189">
        <f>IFERROR(IF(Tableau3[[#This Row],[Dettes]]=0,"",(Tableau3[[#This Row],[Dettes]]/Tableau3[[#This Row],[EBE]])),"")</f>
        <v>8.5034013605442169</v>
      </c>
      <c r="V2977" s="190">
        <f>IFERROR(Tableau3[[#This Row],[Fonds propres]]/Tableau3[[#This Row],[Total Bilan]],"")</f>
        <v>0.29600377995577604</v>
      </c>
      <c r="W2977" s="180">
        <v>53545600000</v>
      </c>
      <c r="Y2977" s="180"/>
      <c r="Z2977" s="192" t="str">
        <f>IFERROR(Tableau3[[#This Row],[Chiffre d''affaires]]/Tableau3[[#This Row],[Salariés]],"")</f>
        <v/>
      </c>
      <c r="AA2977" s="188"/>
      <c r="AB2977" s="188"/>
      <c r="AC2977" s="177" t="s">
        <v>2086</v>
      </c>
    </row>
    <row r="2978" spans="1:29" ht="20.25" customHeight="1">
      <c r="A2978" s="217"/>
      <c r="E2978" s="187"/>
      <c r="G2978" s="202">
        <f>(G2977/G2979)-1</f>
        <v>4.5131561948236421E-2</v>
      </c>
      <c r="H2978" s="203">
        <f>(H2977/H2979)-1</f>
        <v>6.9577080491132426E-2</v>
      </c>
      <c r="I2978" s="203">
        <f>(I2977/I2979)-1</f>
        <v>-1.8161833006502219</v>
      </c>
      <c r="J2978" s="203"/>
      <c r="K2978" s="188"/>
      <c r="L2978" s="188"/>
      <c r="M2978" s="188"/>
      <c r="N2978" s="188"/>
      <c r="O2978" s="188"/>
      <c r="P2978" s="188"/>
      <c r="Q2978" s="188"/>
      <c r="R2978" s="188"/>
      <c r="S2978" s="178"/>
      <c r="T2978" s="180"/>
      <c r="U2978" s="189" t="str">
        <f>IFERROR(IF(Tableau3[[#This Row],[Dettes]]=0,"",(Tableau3[[#This Row],[Dettes]]/Tableau3[[#This Row],[EBE]])),"")</f>
        <v/>
      </c>
      <c r="V2978" s="190" t="str">
        <f>IFERROR(Tableau3[[#This Row],[Fonds propres]]/Tableau3[[#This Row],[Total Bilan]],"")</f>
        <v/>
      </c>
      <c r="W2978" s="180"/>
      <c r="Y2978" s="180"/>
      <c r="Z2978" s="192" t="str">
        <f>IFERROR(Tableau3[[#This Row],[Chiffre d''affaires]]/Tableau3[[#This Row],[Salariés]],"")</f>
        <v/>
      </c>
      <c r="AA2978" s="188"/>
      <c r="AB2978" s="188"/>
      <c r="AC2978" s="177" t="s">
        <v>2087</v>
      </c>
    </row>
    <row r="2979" spans="1:29" ht="20.25" customHeight="1">
      <c r="A2979" s="217"/>
      <c r="E2979" s="187">
        <v>66.92</v>
      </c>
      <c r="F2979" s="178">
        <v>2023</v>
      </c>
      <c r="G2979" s="188">
        <v>2322100000</v>
      </c>
      <c r="H2979" s="188">
        <v>2199000000</v>
      </c>
      <c r="I2979" s="188">
        <v>-968900000</v>
      </c>
      <c r="J2979" s="188">
        <v>-1629100000</v>
      </c>
      <c r="K2979" s="188">
        <v>19000000000</v>
      </c>
      <c r="L2979" s="188">
        <v>15385700000</v>
      </c>
      <c r="M2979" s="194">
        <f>L2979/P2979</f>
        <v>110.65553853672249</v>
      </c>
      <c r="N2979" s="190">
        <f>J2979/L2981</f>
        <v>-9.2369887790799868E-2</v>
      </c>
      <c r="O2979" s="190">
        <f>(I2979*0.71)/(K2981+L2981)</f>
        <v>-1.79441370801347E-2</v>
      </c>
      <c r="P2979" s="188">
        <v>139041391</v>
      </c>
      <c r="Q2979" s="242">
        <f>P2979*E2979</f>
        <v>9304649885.7199993</v>
      </c>
      <c r="R2979" s="195">
        <f>Q2979/L2979</f>
        <v>0.60475960701950504</v>
      </c>
      <c r="S2979" s="197">
        <f>(Tableau3[[#This Row],[Capi]]+Tableau3[[#This Row],[Dettes]])/Tableau3[[#This Row],[Chiffre d''affaires]]</f>
        <v>12.189246753249215</v>
      </c>
      <c r="T2979" s="180">
        <v>1265100000</v>
      </c>
      <c r="U2979" s="189">
        <f>IFERROR(IF(Tableau3[[#This Row],[Dettes]]=0,"",(Tableau3[[#This Row],[Dettes]]/Tableau3[[#This Row],[EBE]])),"")</f>
        <v>8.6402910413824472</v>
      </c>
      <c r="V2979" s="190">
        <f>IFERROR(Tableau3[[#This Row],[Fonds propres]]/Tableau3[[#This Row],[Total Bilan]],"")</f>
        <v>0.287163971846706</v>
      </c>
      <c r="W2979" s="180">
        <v>53578100000</v>
      </c>
      <c r="Y2979" s="180">
        <v>2900</v>
      </c>
      <c r="Z2979" s="192">
        <f>IFERROR(Tableau3[[#This Row],[Chiffre d''affaires]]/Tableau3[[#This Row],[Salariés]],"")</f>
        <v>800724.13793103443</v>
      </c>
      <c r="AA2979" s="188"/>
      <c r="AB2979" s="188"/>
      <c r="AC2979" s="177" t="s">
        <v>4751</v>
      </c>
    </row>
    <row r="2980" spans="1:29" ht="20.25" customHeight="1">
      <c r="A2980" s="217"/>
      <c r="E2980" s="187"/>
      <c r="G2980" s="202">
        <f>(G2979/G2981)-1</f>
        <v>4.0693765966028694E-2</v>
      </c>
      <c r="H2980" s="203">
        <f>(H2979/H2981)-1</f>
        <v>0.34085365853658534</v>
      </c>
      <c r="I2980" s="203">
        <f>(I2979/I2981)-1</f>
        <v>-2.7777981651376145</v>
      </c>
      <c r="J2980" s="203">
        <f>(J2979/J2981)-1</f>
        <v>-10.141975308641975</v>
      </c>
      <c r="K2980" s="188"/>
      <c r="L2980" s="188"/>
      <c r="M2980" s="188"/>
      <c r="N2980" s="188"/>
      <c r="O2980" s="188"/>
      <c r="P2980" s="188"/>
      <c r="Q2980" s="188"/>
      <c r="R2980" s="188"/>
      <c r="S2980" s="188"/>
      <c r="T2980" s="180"/>
      <c r="U2980" s="189" t="str">
        <f>IFERROR(IF(Tableau3[[#This Row],[Dettes]]=0,"",(Tableau3[[#This Row],[Dettes]]/Tableau3[[#This Row],[EBE]])),"")</f>
        <v/>
      </c>
      <c r="V2980" s="190" t="str">
        <f>IFERROR(Tableau3[[#This Row],[Fonds propres]]/Tableau3[[#This Row],[Total Bilan]],"")</f>
        <v/>
      </c>
      <c r="W2980" s="180"/>
      <c r="Y2980" s="180"/>
      <c r="Z2980" s="192" t="str">
        <f>IFERROR(Tableau3[[#This Row],[Chiffre d''affaires]]/Tableau3[[#This Row],[Salariés]],"")</f>
        <v/>
      </c>
      <c r="AA2980" s="188"/>
      <c r="AB2980" s="188"/>
      <c r="AC2980" s="177" t="s">
        <v>4750</v>
      </c>
    </row>
    <row r="2981" spans="1:29" ht="20.25" customHeight="1">
      <c r="A2981" s="217"/>
      <c r="E2981" s="187">
        <v>48.63</v>
      </c>
      <c r="F2981" s="178">
        <v>2022</v>
      </c>
      <c r="G2981" s="188">
        <v>2231300000</v>
      </c>
      <c r="H2981" s="188">
        <v>1640000000</v>
      </c>
      <c r="I2981" s="188">
        <v>545000000</v>
      </c>
      <c r="J2981" s="188">
        <v>178200000</v>
      </c>
      <c r="K2981" s="188">
        <v>20700000000</v>
      </c>
      <c r="L2981" s="188">
        <v>17636700000</v>
      </c>
      <c r="M2981" s="194">
        <f>L2981/P2981</f>
        <v>127.09569865730698</v>
      </c>
      <c r="N2981" s="190">
        <f>J2981/L2983</f>
        <v>1.0288327194208052E-2</v>
      </c>
      <c r="O2981" s="190">
        <f>(I2981*0.71)/(K2983+L2983)</f>
        <v>9.6929905863138328E-3</v>
      </c>
      <c r="P2981" s="188">
        <v>138767088</v>
      </c>
      <c r="Q2981" s="242">
        <f>P2981*E2981</f>
        <v>6748243489.4400005</v>
      </c>
      <c r="R2981" s="195">
        <f>Q2981/L2981</f>
        <v>0.38262506531493989</v>
      </c>
      <c r="S2981" s="197">
        <f>(Tableau3[[#This Row],[Capi]]+Tableau3[[#This Row],[Dettes]])/Tableau3[[#This Row],[Chiffre d''affaires]]</f>
        <v>12.301458113852911</v>
      </c>
      <c r="T2981" s="180">
        <v>2440000000</v>
      </c>
      <c r="U2981" s="189">
        <f>IFERROR(IF(Tableau3[[#This Row],[Dettes]]=0,"",(Tableau3[[#This Row],[Dettes]]/Tableau3[[#This Row],[EBE]])),"")</f>
        <v>12.621951219512194</v>
      </c>
      <c r="V2981" s="190">
        <f>IFERROR(Tableau3[[#This Row],[Fonds propres]]/Tableau3[[#This Row],[Total Bilan]],"")</f>
        <v>0.31115278625590576</v>
      </c>
      <c r="W2981" s="180">
        <v>56681800000</v>
      </c>
      <c r="Y2981" s="180">
        <v>2900</v>
      </c>
      <c r="Z2981" s="192">
        <f>IFERROR(Tableau3[[#This Row],[Chiffre d''affaires]]/Tableau3[[#This Row],[Salariés]],"")</f>
        <v>769413.79310344823</v>
      </c>
      <c r="AA2981" s="188"/>
      <c r="AB2981" s="188"/>
      <c r="AC2981" s="177" t="s">
        <v>4749</v>
      </c>
    </row>
    <row r="2982" spans="1:29" ht="20.25" customHeight="1">
      <c r="A2982" s="217"/>
      <c r="E2982" s="187"/>
      <c r="G2982" s="202">
        <f>(G2981/G2983)-1</f>
        <v>0.2170284716919384</v>
      </c>
      <c r="H2982" s="203">
        <f>(H2981/H2983)-1</f>
        <v>1.2530567385629894</v>
      </c>
      <c r="I2982" s="203">
        <f>(I2981/I2983)-1</f>
        <v>-2.1702812969722998</v>
      </c>
      <c r="J2982" s="203">
        <f>(J2981/J2983)-1</f>
        <v>-1.183314473819566</v>
      </c>
      <c r="K2982" s="188"/>
      <c r="L2982" s="188"/>
      <c r="M2982" s="194"/>
      <c r="N2982" s="188"/>
      <c r="O2982" s="188"/>
      <c r="P2982" s="188"/>
      <c r="Q2982" s="188"/>
      <c r="R2982" s="188"/>
      <c r="S2982" s="178"/>
      <c r="T2982" s="180"/>
      <c r="U2982" s="189" t="str">
        <f>IFERROR(IF(Tableau3[[#This Row],[Dettes]]=0,"",(Tableau3[[#This Row],[Dettes]]/Tableau3[[#This Row],[EBE]])),"")</f>
        <v/>
      </c>
      <c r="V2982" s="190" t="str">
        <f>IFERROR(Tableau3[[#This Row],[Fonds propres]]/Tableau3[[#This Row],[Total Bilan]],"")</f>
        <v/>
      </c>
      <c r="W2982" s="180"/>
      <c r="Y2982" s="180"/>
      <c r="Z2982" s="192" t="str">
        <f>IFERROR(Tableau3[[#This Row],[Chiffre d''affaires]]/Tableau3[[#This Row],[Salariés]],"")</f>
        <v/>
      </c>
      <c r="AA2982" s="188"/>
      <c r="AB2982" s="188"/>
      <c r="AC2982" s="177" t="s">
        <v>2088</v>
      </c>
    </row>
    <row r="2983" spans="1:29" ht="20.25" customHeight="1">
      <c r="A2983" s="217"/>
      <c r="E2983" s="187">
        <v>61.6</v>
      </c>
      <c r="F2983" s="178">
        <v>2021</v>
      </c>
      <c r="G2983" s="188">
        <v>1833400000</v>
      </c>
      <c r="H2983" s="188">
        <v>727900000</v>
      </c>
      <c r="I2983" s="188">
        <v>-465700000</v>
      </c>
      <c r="J2983" s="188">
        <v>-972100000</v>
      </c>
      <c r="K2983" s="188">
        <v>22600000000</v>
      </c>
      <c r="L2983" s="188">
        <v>17320600000</v>
      </c>
      <c r="M2983" s="194">
        <f>L2983/P2983</f>
        <v>124.97328896713992</v>
      </c>
      <c r="N2983" s="190">
        <f>J2983/L2985</f>
        <v>-5.5947235443416801E-2</v>
      </c>
      <c r="O2983" s="190">
        <f>(I2983*0.71)/(K2985+L2985)</f>
        <v>-7.9437959027756095E-3</v>
      </c>
      <c r="P2983" s="188">
        <v>138594416</v>
      </c>
      <c r="Q2983" s="242">
        <f>P2983*E2983</f>
        <v>8537416025.6000004</v>
      </c>
      <c r="R2983" s="195">
        <f>Q2983/L2983</f>
        <v>0.49290532808332277</v>
      </c>
      <c r="S2983" s="197">
        <f>(Tableau3[[#This Row],[Capi]]+Tableau3[[#This Row],[Dettes]])/Tableau3[[#This Row],[Chiffre d''affaires]]</f>
        <v>16.983427525689976</v>
      </c>
      <c r="T2983" s="180">
        <v>1720000000</v>
      </c>
      <c r="U2983" s="189">
        <f>IFERROR(IF(Tableau3[[#This Row],[Dettes]]=0,"",(Tableau3[[#This Row],[Dettes]]/Tableau3[[#This Row],[EBE]])),"")</f>
        <v>31.048220909465584</v>
      </c>
      <c r="V2983" s="190">
        <f>IFERROR(Tableau3[[#This Row],[Fonds propres]]/Tableau3[[#This Row],[Total Bilan]],"")</f>
        <v>0.31537873270211214</v>
      </c>
      <c r="W2983" s="180">
        <v>54920000000</v>
      </c>
      <c r="Y2983" s="180">
        <v>2800</v>
      </c>
      <c r="Z2983" s="192">
        <f>IFERROR(Tableau3[[#This Row],[Chiffre d''affaires]]/Tableau3[[#This Row],[Salariés]],"")</f>
        <v>654785.71428571432</v>
      </c>
      <c r="AA2983" s="188"/>
      <c r="AB2983" s="188"/>
      <c r="AC2983" s="177" t="s">
        <v>2089</v>
      </c>
    </row>
    <row r="2984" spans="1:29" ht="20.25" customHeight="1">
      <c r="A2984" s="217"/>
      <c r="E2984" s="187"/>
      <c r="G2984" s="202">
        <f>(G2983/G2985)-1</f>
        <v>-3.3883121673604855E-2</v>
      </c>
      <c r="H2984" s="203">
        <f>(H2983/H2985)-1</f>
        <v>-3.7867534456355285</v>
      </c>
      <c r="I2984" s="203">
        <f>(I2983/I2985)-1</f>
        <v>-0.93305445345293547</v>
      </c>
      <c r="J2984" s="203">
        <f>(J2983/J2985)-1</f>
        <v>-0.86522197265895795</v>
      </c>
      <c r="K2984" s="188"/>
      <c r="L2984" s="188"/>
      <c r="M2984" s="194"/>
      <c r="N2984" s="188"/>
      <c r="O2984" s="188"/>
      <c r="P2984" s="188"/>
      <c r="Q2984" s="188"/>
      <c r="R2984" s="188"/>
      <c r="S2984" s="178"/>
      <c r="T2984" s="180"/>
      <c r="U2984" s="189" t="str">
        <f>IFERROR(IF(Tableau3[[#This Row],[Dettes]]=0,"",(Tableau3[[#This Row],[Dettes]]/Tableau3[[#This Row],[EBE]])),"")</f>
        <v/>
      </c>
      <c r="V2984" s="190" t="str">
        <f>IFERROR(Tableau3[[#This Row],[Fonds propres]]/Tableau3[[#This Row],[Total Bilan]],"")</f>
        <v/>
      </c>
      <c r="W2984" s="180"/>
      <c r="Y2984" s="180"/>
      <c r="Z2984" s="192" t="str">
        <f>IFERROR(Tableau3[[#This Row],[Chiffre d''affaires]]/Tableau3[[#This Row],[Salariés]],"")</f>
        <v/>
      </c>
      <c r="AA2984" s="188"/>
      <c r="AB2984" s="188"/>
      <c r="AC2984" s="177" t="s">
        <v>2090</v>
      </c>
    </row>
    <row r="2985" spans="1:29" ht="20.25" customHeight="1">
      <c r="A2985" s="217"/>
      <c r="E2985" s="187">
        <v>64.58</v>
      </c>
      <c r="F2985" s="178">
        <v>2020</v>
      </c>
      <c r="G2985" s="188">
        <v>1897700000</v>
      </c>
      <c r="H2985" s="188">
        <v>-261200000</v>
      </c>
      <c r="I2985" s="188">
        <v>-6956400000</v>
      </c>
      <c r="J2985" s="188">
        <v>-7212600000</v>
      </c>
      <c r="K2985" s="188">
        <v>24248000000</v>
      </c>
      <c r="L2985" s="188">
        <v>17375300000</v>
      </c>
      <c r="M2985" s="194">
        <f>L2985/P2985</f>
        <v>125.51027261631863</v>
      </c>
      <c r="N2985" s="190">
        <f>J2985/L2987</f>
        <v>-0.29639522651061873</v>
      </c>
      <c r="O2985" s="190">
        <f>(I2985*0.71)/(K2987+L2987)</f>
        <v>-9.6327232727953571E-2</v>
      </c>
      <c r="P2985" s="188">
        <v>138437274</v>
      </c>
      <c r="Q2985" s="242">
        <f>P2985*E2985</f>
        <v>8940279154.9200001</v>
      </c>
      <c r="R2985" s="195">
        <f>Q2985/L2985</f>
        <v>0.51453955643470906</v>
      </c>
      <c r="S2985" s="197">
        <f>(Tableau3[[#This Row],[Capi]]+Tableau3[[#This Row],[Dettes]])/Tableau3[[#This Row],[Chiffre d''affaires]]</f>
        <v>17.488685859155819</v>
      </c>
      <c r="T2985" s="180">
        <v>1420000000</v>
      </c>
      <c r="U2985" s="189">
        <f>IFERROR(IF(Tableau3[[#This Row],[Dettes]]=0,"",(Tableau3[[#This Row],[Dettes]]/Tableau3[[#This Row],[EBE]])),"")</f>
        <v>-92.833078101071976</v>
      </c>
      <c r="V2985" s="190">
        <f>IFERROR(Tableau3[[#This Row],[Fonds propres]]/Tableau3[[#This Row],[Total Bilan]],"")</f>
        <v>0.30333973463687153</v>
      </c>
      <c r="W2985" s="180">
        <v>57280000000</v>
      </c>
      <c r="Y2985" s="180"/>
      <c r="Z2985" s="192" t="str">
        <f>IFERROR(Tableau3[[#This Row],[Chiffre d''affaires]]/Tableau3[[#This Row],[Salariés]],"")</f>
        <v/>
      </c>
      <c r="AA2985" s="177"/>
      <c r="AC2985" s="177" t="s">
        <v>2091</v>
      </c>
    </row>
    <row r="2986" spans="1:29" ht="20.25" customHeight="1">
      <c r="A2986" s="217"/>
      <c r="E2986" s="187"/>
      <c r="G2986" s="202">
        <f>(G2985/G2987)-1</f>
        <v>-0.21504798146922566</v>
      </c>
      <c r="H2986" s="203">
        <f>(H2985/H2987)-1</f>
        <v>-1.1306</v>
      </c>
      <c r="I2986" s="188"/>
      <c r="J2986" s="188"/>
      <c r="K2986" s="188"/>
      <c r="L2986" s="188"/>
      <c r="M2986" s="194"/>
      <c r="N2986" s="188"/>
      <c r="O2986" s="188"/>
      <c r="P2986" s="188"/>
      <c r="Q2986" s="188"/>
      <c r="R2986" s="188"/>
      <c r="S2986" s="178"/>
      <c r="T2986" s="180"/>
      <c r="U2986" s="189" t="str">
        <f>IFERROR(IF(Tableau3[[#This Row],[Dettes]]=0,"",(Tableau3[[#This Row],[Dettes]]/Tableau3[[#This Row],[EBE]])),"")</f>
        <v/>
      </c>
      <c r="V2986" s="190" t="str">
        <f>IFERROR(Tableau3[[#This Row],[Fonds propres]]/Tableau3[[#This Row],[Total Bilan]],"")</f>
        <v/>
      </c>
      <c r="W2986" s="180"/>
      <c r="Y2986" s="180"/>
      <c r="Z2986" s="192" t="str">
        <f>IFERROR(Tableau3[[#This Row],[Chiffre d''affaires]]/Tableau3[[#This Row],[Salariés]],"")</f>
        <v/>
      </c>
      <c r="AA2986" s="177"/>
      <c r="AC2986" s="177" t="s">
        <v>2092</v>
      </c>
    </row>
    <row r="2987" spans="1:29" ht="20.25" customHeight="1">
      <c r="A2987" s="217"/>
      <c r="E2987" s="187">
        <v>132</v>
      </c>
      <c r="F2987" s="178">
        <v>2019</v>
      </c>
      <c r="G2987" s="188">
        <v>2417600000</v>
      </c>
      <c r="H2987" s="188">
        <v>2000000000</v>
      </c>
      <c r="I2987" s="188">
        <v>781800000</v>
      </c>
      <c r="J2987" s="188">
        <v>1103300000</v>
      </c>
      <c r="K2987" s="188">
        <v>26939200000</v>
      </c>
      <c r="L2987" s="188">
        <v>24334400000</v>
      </c>
      <c r="M2987" s="194">
        <f>L2987/P2987</f>
        <v>175.88920437290642</v>
      </c>
      <c r="N2987" s="190">
        <f>J2987/L2987</f>
        <v>4.5339108422644485E-2</v>
      </c>
      <c r="O2987" s="190">
        <f>(I2987*0.71)/(K2989+L2989)</f>
        <v>1.1106180170951116E-2</v>
      </c>
      <c r="P2987" s="188">
        <v>138350731</v>
      </c>
      <c r="Q2987" s="242">
        <f>P2987*E2987</f>
        <v>18262296492</v>
      </c>
      <c r="R2987" s="195">
        <f>Q2987/L2987</f>
        <v>0.75047243786573736</v>
      </c>
      <c r="S2987" s="197">
        <f>(Tableau3[[#This Row],[Capi]]+Tableau3[[#This Row],[Dettes]])/Tableau3[[#This Row],[Chiffre d''affaires]]</f>
        <v>18.696846662806088</v>
      </c>
      <c r="T2987" s="180">
        <v>1890000000</v>
      </c>
      <c r="U2987" s="189">
        <f>IFERROR(IF(Tableau3[[#This Row],[Dettes]]=0,"",(Tableau3[[#This Row],[Dettes]]/Tableau3[[#This Row],[EBE]])),"")</f>
        <v>13.4696</v>
      </c>
      <c r="V2987" s="190">
        <f>IFERROR(Tableau3[[#This Row],[Fonds propres]]/Tableau3[[#This Row],[Total Bilan]],"")</f>
        <v>0.37437538461538461</v>
      </c>
      <c r="W2987" s="180">
        <v>65000000000</v>
      </c>
      <c r="X2987" s="192"/>
      <c r="Y2987" s="180"/>
      <c r="Z2987" s="192" t="str">
        <f>IFERROR(Tableau3[[#This Row],[Chiffre d''affaires]]/Tableau3[[#This Row],[Salariés]],"")</f>
        <v/>
      </c>
      <c r="AA2987" s="188"/>
      <c r="AB2987" s="188"/>
      <c r="AC2987" s="177" t="s">
        <v>2093</v>
      </c>
    </row>
    <row r="2988" spans="1:29" ht="20.25" customHeight="1">
      <c r="A2988" s="217"/>
      <c r="E2988" s="187"/>
      <c r="G2988" s="202">
        <f>(G2987/G2989)-1</f>
        <v>9.3293537737982213E-2</v>
      </c>
      <c r="H2988" s="203">
        <f>(H2987/H2989)-1</f>
        <v>-4.7619047619047672E-2</v>
      </c>
      <c r="I2988" s="203">
        <f>(I2987/I2989)-1</f>
        <v>-0.60471230660329667</v>
      </c>
      <c r="J2988" s="203">
        <f>(J2987/J2989)-1</f>
        <v>-0.11224654007080781</v>
      </c>
      <c r="K2988" s="188"/>
      <c r="L2988" s="188"/>
      <c r="M2988" s="194"/>
      <c r="N2988" s="188"/>
      <c r="O2988" s="188"/>
      <c r="P2988" s="188"/>
      <c r="Q2988" s="188"/>
      <c r="R2988" s="188"/>
      <c r="S2988" s="188"/>
      <c r="T2988" s="180"/>
      <c r="U2988" s="189" t="str">
        <f>IFERROR(IF(Tableau3[[#This Row],[Dettes]]=0,"",(Tableau3[[#This Row],[Dettes]]/Tableau3[[#This Row],[EBE]])),"")</f>
        <v/>
      </c>
      <c r="V2988" s="190" t="str">
        <f>IFERROR(Tableau3[[#This Row],[Fonds propres]]/Tableau3[[#This Row],[Total Bilan]],"")</f>
        <v/>
      </c>
      <c r="W2988" s="180"/>
      <c r="X2988" s="192"/>
      <c r="Y2988" s="180"/>
      <c r="Z2988" s="192" t="str">
        <f>IFERROR(Tableau3[[#This Row],[Chiffre d''affaires]]/Tableau3[[#This Row],[Salariés]],"")</f>
        <v/>
      </c>
      <c r="AA2988" s="188"/>
      <c r="AB2988" s="188"/>
      <c r="AC2988" s="177" t="s">
        <v>4753</v>
      </c>
    </row>
    <row r="2989" spans="1:29" ht="20.25" customHeight="1">
      <c r="A2989" s="217"/>
      <c r="E2989" s="187">
        <v>143</v>
      </c>
      <c r="F2989" s="178">
        <v>2018</v>
      </c>
      <c r="G2989" s="188">
        <v>2211300000</v>
      </c>
      <c r="H2989" s="188">
        <v>2100000000</v>
      </c>
      <c r="I2989" s="188">
        <v>1977800000</v>
      </c>
      <c r="J2989" s="188">
        <v>1242800000</v>
      </c>
      <c r="K2989" s="188">
        <v>25384400000</v>
      </c>
      <c r="L2989" s="188">
        <v>24594800000</v>
      </c>
      <c r="M2989" s="194">
        <f>L2989/P2989</f>
        <v>200.92944450804018</v>
      </c>
      <c r="N2989" s="190">
        <f>J2989/L2989</f>
        <v>5.0531006554230977E-2</v>
      </c>
      <c r="O2989" s="190">
        <f>(I2989*0.71)/(K2991+L2991)</f>
        <v>3.9574505261615288E-2</v>
      </c>
      <c r="P2989" s="188">
        <v>122405156</v>
      </c>
      <c r="Q2989" s="242">
        <f>P2989*E2989</f>
        <v>17503937308</v>
      </c>
      <c r="R2989" s="195">
        <f>Q2989/L2989</f>
        <v>0.71169260607933382</v>
      </c>
      <c r="S2989" s="197">
        <f>(Tableau3[[#This Row],[Capi]]+Tableau3[[#This Row],[Dettes]])/Tableau3[[#This Row],[Chiffre d''affaires]]</f>
        <v>19.395078599918598</v>
      </c>
      <c r="T2989" s="180">
        <v>1790000000</v>
      </c>
      <c r="U2989" s="189">
        <f>IFERROR(IF(Tableau3[[#This Row],[Dettes]]=0,"",(Tableau3[[#This Row],[Dettes]]/Tableau3[[#This Row],[EBE]])),"")</f>
        <v>12.087809523809524</v>
      </c>
      <c r="V2989" s="190">
        <f>IFERROR(Tableau3[[#This Row],[Fonds propres]]/Tableau3[[#This Row],[Total Bilan]],"")</f>
        <v>0.38113745544707889</v>
      </c>
      <c r="W2989" s="180">
        <v>64530000000</v>
      </c>
      <c r="X2989" s="192"/>
      <c r="Y2989" s="180"/>
      <c r="Z2989" s="192" t="str">
        <f>IFERROR(Tableau3[[#This Row],[Chiffre d''affaires]]/Tableau3[[#This Row],[Salariés]],"")</f>
        <v/>
      </c>
      <c r="AA2989" s="188"/>
      <c r="AB2989" s="188"/>
      <c r="AC2989" s="177" t="s">
        <v>2094</v>
      </c>
    </row>
    <row r="2990" spans="1:29" ht="20.25" customHeight="1">
      <c r="A2990" s="217"/>
      <c r="E2990" s="187"/>
      <c r="G2990" s="202">
        <f>(G2989/G2991)-1</f>
        <v>0.21346649838116671</v>
      </c>
      <c r="H2990" s="203">
        <f>(H2989/H2991)-1</f>
        <v>0.3125</v>
      </c>
      <c r="I2990" s="203">
        <f>(I2989/I2991)-1</f>
        <v>-0.34609535145143155</v>
      </c>
      <c r="J2990" s="203">
        <f>(J2989/J2991)-1</f>
        <v>-0.49055134248821475</v>
      </c>
      <c r="K2990" s="188"/>
      <c r="L2990" s="188"/>
      <c r="M2990" s="194"/>
      <c r="N2990" s="188"/>
      <c r="O2990" s="188"/>
      <c r="P2990" s="188"/>
      <c r="Q2990" s="188"/>
      <c r="R2990" s="188"/>
      <c r="S2990" s="188"/>
      <c r="T2990" s="180"/>
      <c r="U2990" s="189" t="str">
        <f>IFERROR(IF(Tableau3[[#This Row],[Dettes]]=0,"",(Tableau3[[#This Row],[Dettes]]/Tableau3[[#This Row],[EBE]])),"")</f>
        <v/>
      </c>
      <c r="V2990" s="190" t="str">
        <f>IFERROR(Tableau3[[#This Row],[Fonds propres]]/Tableau3[[#This Row],[Total Bilan]],"")</f>
        <v/>
      </c>
      <c r="W2990" s="180"/>
      <c r="X2990" s="192"/>
      <c r="Y2990" s="180"/>
      <c r="Z2990" s="192" t="str">
        <f>IFERROR(Tableau3[[#This Row],[Chiffre d''affaires]]/Tableau3[[#This Row],[Salariés]],"")</f>
        <v/>
      </c>
      <c r="AA2990" s="188"/>
      <c r="AB2990" s="188"/>
      <c r="AC2990" s="177" t="s">
        <v>4761</v>
      </c>
    </row>
    <row r="2991" spans="1:29" ht="20.25" customHeight="1">
      <c r="A2991" s="217"/>
      <c r="E2991" s="187">
        <v>205</v>
      </c>
      <c r="F2991" s="178">
        <v>2017</v>
      </c>
      <c r="G2991" s="188">
        <v>1822300000</v>
      </c>
      <c r="H2991" s="188">
        <v>1600000000</v>
      </c>
      <c r="I2991" s="188">
        <v>3024600000</v>
      </c>
      <c r="J2991" s="188">
        <v>2439500000</v>
      </c>
      <c r="K2991" s="188">
        <v>16567200000</v>
      </c>
      <c r="L2991" s="188">
        <v>18916200000</v>
      </c>
      <c r="M2991" s="194">
        <f>L2991/P2991</f>
        <v>189.43350367480687</v>
      </c>
      <c r="N2991" s="190">
        <f>J2991/L2991</f>
        <v>0.12896353390215795</v>
      </c>
      <c r="O2991" s="190">
        <f>(I2991*0.71)/(K2993+L2993)</f>
        <v>6.4867152385094967E-2</v>
      </c>
      <c r="P2991" s="188">
        <v>99856676</v>
      </c>
      <c r="Q2991" s="242">
        <f>P2991*E2991</f>
        <v>20470618580</v>
      </c>
      <c r="R2991" s="195">
        <f>Q2991/L2991</f>
        <v>1.0821739345111598</v>
      </c>
      <c r="S2991" s="197">
        <f>(Tableau3[[#This Row],[Capi]]+Tableau3[[#This Row],[Dettes]])/Tableau3[[#This Row],[Chiffre d''affaires]]</f>
        <v>20.324764627119574</v>
      </c>
      <c r="T2991" s="180">
        <v>1490000000</v>
      </c>
      <c r="U2991" s="189">
        <f>IFERROR(IF(Tableau3[[#This Row],[Dettes]]=0,"",(Tableau3[[#This Row],[Dettes]]/Tableau3[[#This Row],[EBE]])),"")</f>
        <v>10.3545</v>
      </c>
      <c r="V2991" s="190">
        <f>IFERROR(Tableau3[[#This Row],[Fonds propres]]/Tableau3[[#This Row],[Total Bilan]],"")</f>
        <v>0.43746993524514338</v>
      </c>
      <c r="W2991" s="180">
        <v>43240000000</v>
      </c>
      <c r="X2991" s="192"/>
      <c r="Y2991" s="180"/>
      <c r="Z2991" s="192" t="str">
        <f>IFERROR(Tableau3[[#This Row],[Chiffre d''affaires]]/Tableau3[[#This Row],[Salariés]],"")</f>
        <v/>
      </c>
      <c r="AA2991" s="188"/>
      <c r="AB2991" s="188"/>
      <c r="AC2991" s="177" t="s">
        <v>2095</v>
      </c>
    </row>
    <row r="2992" spans="1:29" ht="20.25" customHeight="1">
      <c r="A2992" s="217"/>
      <c r="E2992" s="187"/>
      <c r="G2992" s="202">
        <f>(G2991/G2993)-1</f>
        <v>2.9373552505224998E-2</v>
      </c>
      <c r="H2992" s="203"/>
      <c r="I2992" s="203">
        <f>(I2991/I2993)-1</f>
        <v>-0.1576103606740008</v>
      </c>
      <c r="J2992" s="203">
        <f>(J2991/J2993)-1</f>
        <v>-0.10394857667584945</v>
      </c>
      <c r="K2992" s="188"/>
      <c r="L2992" s="188"/>
      <c r="M2992" s="194"/>
      <c r="N2992" s="188"/>
      <c r="O2992" s="188"/>
      <c r="P2992" s="188"/>
      <c r="Q2992" s="188"/>
      <c r="R2992" s="188"/>
      <c r="S2992" s="188"/>
      <c r="T2992" s="180"/>
      <c r="U2992" s="189" t="str">
        <f>IFERROR(IF(Tableau3[[#This Row],[Dettes]]=0,"",(Tableau3[[#This Row],[Dettes]]/Tableau3[[#This Row],[EBE]])),"")</f>
        <v/>
      </c>
      <c r="V2992" s="190" t="str">
        <f>IFERROR(Tableau3[[#This Row],[Fonds propres]]/Tableau3[[#This Row],[Total Bilan]],"")</f>
        <v/>
      </c>
      <c r="W2992" s="180"/>
      <c r="X2992" s="192"/>
      <c r="Y2992" s="180"/>
      <c r="Z2992" s="192" t="str">
        <f>IFERROR(Tableau3[[#This Row],[Chiffre d''affaires]]/Tableau3[[#This Row],[Salariés]],"")</f>
        <v/>
      </c>
      <c r="AA2992" s="188"/>
      <c r="AB2992" s="188"/>
      <c r="AC2992" s="177" t="s">
        <v>2096</v>
      </c>
    </row>
    <row r="2993" spans="1:29" ht="20.25" customHeight="1">
      <c r="A2993" s="217"/>
      <c r="E2993" s="187">
        <v>221</v>
      </c>
      <c r="F2993" s="178">
        <v>2016</v>
      </c>
      <c r="G2993" s="188">
        <v>1770300000</v>
      </c>
      <c r="H2993" s="188"/>
      <c r="I2993" s="188">
        <v>3590500000</v>
      </c>
      <c r="J2993" s="188">
        <v>2722500000</v>
      </c>
      <c r="K2993" s="188">
        <v>15640300000</v>
      </c>
      <c r="L2993" s="188">
        <v>17465300000</v>
      </c>
      <c r="M2993" s="194">
        <f>L2993/P2993</f>
        <v>175.71823026962903</v>
      </c>
      <c r="N2993" s="190">
        <f>J2993/L2993</f>
        <v>0.15588051736872541</v>
      </c>
      <c r="O2993" s="190">
        <f>(I2993*0.71)/(K2995+L2995)</f>
        <v>0.10367436605338846</v>
      </c>
      <c r="P2993" s="188">
        <v>99393785</v>
      </c>
      <c r="Q2993" s="242">
        <f>P2993*E2993</f>
        <v>21966026485</v>
      </c>
      <c r="R2993" s="195">
        <f>Q2993/L2993</f>
        <v>1.2576953436242149</v>
      </c>
      <c r="S2993" s="197">
        <f>(Tableau3[[#This Row],[Capi]]+Tableau3[[#This Row],[Dettes]])/Tableau3[[#This Row],[Chiffre d''affaires]]</f>
        <v>21.242911644918941</v>
      </c>
      <c r="T2993" s="180"/>
      <c r="U2993" s="189" t="str">
        <f>IFERROR(IF(Tableau3[[#This Row],[Dettes]]=0,"",(Tableau3[[#This Row],[Dettes]]/Tableau3[[#This Row],[EBE]])),"")</f>
        <v/>
      </c>
      <c r="V2993" s="190" t="str">
        <f>IFERROR(Tableau3[[#This Row],[Fonds propres]]/Tableau3[[#This Row],[Total Bilan]],"")</f>
        <v/>
      </c>
      <c r="W2993" s="180"/>
      <c r="X2993" s="192"/>
      <c r="Y2993" s="180"/>
      <c r="Z2993" s="192" t="str">
        <f>IFERROR(Tableau3[[#This Row],[Chiffre d''affaires]]/Tableau3[[#This Row],[Salariés]],"")</f>
        <v/>
      </c>
      <c r="AA2993" s="188"/>
      <c r="AB2993" s="188"/>
      <c r="AC2993" s="177" t="s">
        <v>2097</v>
      </c>
    </row>
    <row r="2994" spans="1:29" ht="20.25" customHeight="1">
      <c r="A2994" s="217"/>
      <c r="E2994" s="187"/>
      <c r="G2994" s="202">
        <f>(G2993/G2995)-1</f>
        <v>5.0623145400593428E-2</v>
      </c>
      <c r="H2994" s="203"/>
      <c r="I2994" s="203">
        <f>(I2993/I2995)-1</f>
        <v>0.10538144202943167</v>
      </c>
      <c r="J2994" s="203">
        <f>(J2993/J2995)-1</f>
        <v>-3.3683538013771552E-2</v>
      </c>
      <c r="K2994" s="188"/>
      <c r="L2994" s="188"/>
      <c r="M2994" s="194"/>
      <c r="N2994" s="188"/>
      <c r="O2994" s="188"/>
      <c r="P2994" s="188"/>
      <c r="Q2994" s="188"/>
      <c r="R2994" s="188"/>
      <c r="S2994" s="188"/>
      <c r="T2994" s="180"/>
      <c r="U2994" s="189" t="str">
        <f>IFERROR(IF(Tableau3[[#This Row],[Dettes]]=0,"",(Tableau3[[#This Row],[Dettes]]/Tableau3[[#This Row],[EBE]])),"")</f>
        <v/>
      </c>
      <c r="V2994" s="190" t="str">
        <f>IFERROR(Tableau3[[#This Row],[Fonds propres]]/Tableau3[[#This Row],[Total Bilan]],"")</f>
        <v/>
      </c>
      <c r="W2994" s="180"/>
      <c r="X2994" s="192"/>
      <c r="Y2994" s="180"/>
      <c r="Z2994" s="192" t="str">
        <f>IFERROR(Tableau3[[#This Row],[Chiffre d''affaires]]/Tableau3[[#This Row],[Salariés]],"")</f>
        <v/>
      </c>
      <c r="AA2994" s="188"/>
      <c r="AB2994" s="188"/>
      <c r="AC2994" s="177" t="s">
        <v>2098</v>
      </c>
    </row>
    <row r="2995" spans="1:29" ht="20.25" customHeight="1">
      <c r="A2995" s="217"/>
      <c r="E2995" s="187">
        <v>223</v>
      </c>
      <c r="F2995" s="178">
        <v>2015</v>
      </c>
      <c r="G2995" s="188">
        <v>1685000000</v>
      </c>
      <c r="H2995" s="188"/>
      <c r="I2995" s="188">
        <v>3248200000</v>
      </c>
      <c r="J2995" s="188">
        <v>2817400000</v>
      </c>
      <c r="K2995" s="188">
        <v>15425700000</v>
      </c>
      <c r="L2995" s="188">
        <v>9163358000</v>
      </c>
      <c r="M2995" s="194">
        <f>L2995/P2995</f>
        <v>92.8501566049286</v>
      </c>
      <c r="N2995" s="190">
        <f>J2995/L2995</f>
        <v>0.30746370489944841</v>
      </c>
      <c r="O2995" s="190">
        <f>(I2995*0.71)/(K2997+L2997)</f>
        <v>9.6323832774867599E-2</v>
      </c>
      <c r="P2995" s="188">
        <v>98689742</v>
      </c>
      <c r="Q2995" s="242">
        <f>P2995*E2995</f>
        <v>22007812466</v>
      </c>
      <c r="R2995" s="195">
        <f>Q2995/L2995</f>
        <v>2.4017191586315847</v>
      </c>
      <c r="S2995" s="197">
        <f>(Tableau3[[#This Row],[Capi]]+Tableau3[[#This Row],[Dettes]])/Tableau3[[#This Row],[Chiffre d''affaires]]</f>
        <v>22.215734401186943</v>
      </c>
      <c r="T2995" s="180"/>
      <c r="U2995" s="189" t="str">
        <f>IFERROR(IF(Tableau3[[#This Row],[Dettes]]=0,"",(Tableau3[[#This Row],[Dettes]]/Tableau3[[#This Row],[EBE]])),"")</f>
        <v/>
      </c>
      <c r="V2995" s="190" t="str">
        <f>IFERROR(Tableau3[[#This Row],[Fonds propres]]/Tableau3[[#This Row],[Total Bilan]],"")</f>
        <v/>
      </c>
      <c r="W2995" s="180"/>
      <c r="X2995" s="192"/>
      <c r="Y2995" s="180"/>
      <c r="Z2995" s="192" t="str">
        <f>IFERROR(Tableau3[[#This Row],[Chiffre d''affaires]]/Tableau3[[#This Row],[Salariés]],"")</f>
        <v/>
      </c>
      <c r="AA2995" s="188"/>
      <c r="AB2995" s="188"/>
      <c r="AC2995" s="177" t="s">
        <v>4754</v>
      </c>
    </row>
    <row r="2996" spans="1:29" ht="20.25" customHeight="1">
      <c r="A2996" s="217"/>
      <c r="E2996" s="187"/>
      <c r="G2996" s="202">
        <f>(G2995/G2997)-1</f>
        <v>-9.9882491186839006E-3</v>
      </c>
      <c r="H2996" s="203"/>
      <c r="I2996" s="203">
        <f>(I2995/I2997)-1</f>
        <v>0.13860067302299495</v>
      </c>
      <c r="J2996" s="203">
        <f>(J2995/J2997)-1</f>
        <v>6.9912277370599574E-2</v>
      </c>
      <c r="K2996" s="188"/>
      <c r="L2996" s="188"/>
      <c r="M2996" s="194"/>
      <c r="N2996" s="188"/>
      <c r="O2996" s="188"/>
      <c r="P2996" s="188"/>
      <c r="Q2996" s="188"/>
      <c r="R2996" s="188"/>
      <c r="S2996" s="188"/>
      <c r="T2996" s="180"/>
      <c r="U2996" s="189" t="str">
        <f>IFERROR(IF(Tableau3[[#This Row],[Dettes]]=0,"",(Tableau3[[#This Row],[Dettes]]/Tableau3[[#This Row],[EBE]])),"")</f>
        <v/>
      </c>
      <c r="V2996" s="190" t="str">
        <f>IFERROR(Tableau3[[#This Row],[Fonds propres]]/Tableau3[[#This Row],[Total Bilan]],"")</f>
        <v/>
      </c>
      <c r="W2996" s="180"/>
      <c r="X2996" s="192"/>
      <c r="Y2996" s="180"/>
      <c r="Z2996" s="192" t="str">
        <f>IFERROR(Tableau3[[#This Row],[Chiffre d''affaires]]/Tableau3[[#This Row],[Salariés]],"")</f>
        <v/>
      </c>
      <c r="AA2996" s="188"/>
      <c r="AB2996" s="188"/>
      <c r="AC2996" s="177" t="s">
        <v>2099</v>
      </c>
    </row>
    <row r="2997" spans="1:29" ht="20.25" customHeight="1">
      <c r="A2997" s="217"/>
      <c r="E2997" s="187">
        <v>211.55</v>
      </c>
      <c r="F2997" s="178">
        <v>2014</v>
      </c>
      <c r="G2997" s="188">
        <v>1702000000</v>
      </c>
      <c r="H2997" s="188"/>
      <c r="I2997" s="188">
        <v>2852800000</v>
      </c>
      <c r="J2997" s="188">
        <v>2633300000</v>
      </c>
      <c r="K2997" s="188">
        <v>15075500000</v>
      </c>
      <c r="L2997" s="188">
        <v>8866882000</v>
      </c>
      <c r="M2997" s="194">
        <f>L2997/P2997</f>
        <v>90.42455100737115</v>
      </c>
      <c r="N2997" s="190">
        <f>J2997/L2997</f>
        <v>0.29698150939642592</v>
      </c>
      <c r="O2997" s="190">
        <f>(I2997*0.71)/(K2997+L2997)</f>
        <v>8.4598433021409486E-2</v>
      </c>
      <c r="P2997" s="188">
        <v>98058347</v>
      </c>
      <c r="Q2997" s="242">
        <f>P2997*E2997</f>
        <v>20744243307.850002</v>
      </c>
      <c r="R2997" s="195">
        <f>Q2997/L2997</f>
        <v>2.3395194960133678</v>
      </c>
      <c r="S2997" s="197">
        <f>(Tableau3[[#This Row],[Capi]]+Tableau3[[#This Row],[Dettes]])/Tableau3[[#This Row],[Chiffre d''affaires]]</f>
        <v>21.045677619183316</v>
      </c>
      <c r="T2997" s="180"/>
      <c r="U2997" s="189" t="str">
        <f>IFERROR(IF(Tableau3[[#This Row],[Dettes]]=0,"",(Tableau3[[#This Row],[Dettes]]/Tableau3[[#This Row],[EBE]])),"")</f>
        <v/>
      </c>
      <c r="V2997" s="190" t="str">
        <f>IFERROR(Tableau3[[#This Row],[Fonds propres]]/Tableau3[[#This Row],[Total Bilan]],"")</f>
        <v/>
      </c>
      <c r="W2997" s="180"/>
      <c r="X2997" s="192"/>
      <c r="Y2997" s="180"/>
      <c r="Z2997" s="192" t="str">
        <f>IFERROR(Tableau3[[#This Row],[Chiffre d''affaires]]/Tableau3[[#This Row],[Salariés]],"")</f>
        <v/>
      </c>
      <c r="AA2997" s="188"/>
      <c r="AB2997" s="188"/>
      <c r="AC2997" s="177" t="s">
        <v>2100</v>
      </c>
    </row>
    <row r="2998" spans="1:29" ht="20.25" customHeight="1">
      <c r="A2998" s="217"/>
      <c r="E2998" s="187"/>
      <c r="G2998" s="188"/>
      <c r="H2998" s="188"/>
      <c r="I2998" s="188"/>
      <c r="J2998" s="188"/>
      <c r="K2998" s="188"/>
      <c r="L2998" s="188"/>
      <c r="M2998" s="188"/>
      <c r="N2998" s="188"/>
      <c r="O2998" s="188"/>
      <c r="P2998" s="188"/>
      <c r="Q2998" s="188"/>
      <c r="R2998" s="188"/>
      <c r="S2998" s="188"/>
      <c r="T2998" s="180"/>
      <c r="U2998" s="189" t="str">
        <f>IFERROR(IF(Tableau3[[#This Row],[Dettes]]=0,"",(Tableau3[[#This Row],[Dettes]]/Tableau3[[#This Row],[EBE]])),"")</f>
        <v/>
      </c>
      <c r="V2998" s="190" t="str">
        <f>IFERROR(Tableau3[[#This Row],[Fonds propres]]/Tableau3[[#This Row],[Total Bilan]],"")</f>
        <v/>
      </c>
      <c r="W2998" s="180"/>
      <c r="X2998" s="192"/>
      <c r="Y2998" s="180"/>
      <c r="Z2998" s="192" t="str">
        <f>IFERROR(Tableau3[[#This Row],[Chiffre d''affaires]]/Tableau3[[#This Row],[Salariés]],"")</f>
        <v/>
      </c>
      <c r="AA2998" s="188"/>
      <c r="AB2998" s="188"/>
      <c r="AC2998" s="177" t="s">
        <v>2101</v>
      </c>
    </row>
    <row r="2999" spans="1:29" ht="20.25" customHeight="1">
      <c r="A2999" s="217"/>
      <c r="E2999" s="187">
        <v>186</v>
      </c>
      <c r="F2999" s="178">
        <v>2013</v>
      </c>
      <c r="G2999" s="188"/>
      <c r="H2999" s="188"/>
      <c r="I2999" s="188"/>
      <c r="J2999" s="188"/>
      <c r="K2999" s="188"/>
      <c r="L2999" s="188"/>
      <c r="M2999" s="188">
        <f>L2999/P2999</f>
        <v>0</v>
      </c>
      <c r="N2999" s="190"/>
      <c r="O2999" s="190"/>
      <c r="P2999" s="188">
        <v>97268576</v>
      </c>
      <c r="Q2999" s="242">
        <f>P2999*E2999</f>
        <v>18091955136</v>
      </c>
      <c r="R2999" s="195"/>
      <c r="S2999" s="188"/>
      <c r="T2999" s="180"/>
      <c r="U2999" s="189" t="str">
        <f>IFERROR(IF(Tableau3[[#This Row],[Dettes]]=0,"",(Tableau3[[#This Row],[Dettes]]/Tableau3[[#This Row],[EBE]])),"")</f>
        <v/>
      </c>
      <c r="V2999" s="190" t="str">
        <f>IFERROR(Tableau3[[#This Row],[Fonds propres]]/Tableau3[[#This Row],[Total Bilan]],"")</f>
        <v/>
      </c>
      <c r="W2999" s="180"/>
      <c r="X2999" s="192"/>
      <c r="Y2999" s="180"/>
      <c r="Z2999" s="192" t="str">
        <f>IFERROR(Tableau3[[#This Row],[Chiffre d''affaires]]/Tableau3[[#This Row],[Salariés]],"")</f>
        <v/>
      </c>
      <c r="AA2999" s="188"/>
      <c r="AB2999" s="188"/>
      <c r="AC2999" s="177" t="s">
        <v>2102</v>
      </c>
    </row>
    <row r="3000" spans="1:29" ht="20.25" customHeight="1">
      <c r="A3000" s="217"/>
      <c r="E3000" s="187"/>
      <c r="G3000" s="188"/>
      <c r="H3000" s="188"/>
      <c r="I3000" s="188"/>
      <c r="J3000" s="188"/>
      <c r="K3000" s="188"/>
      <c r="L3000" s="188"/>
      <c r="M3000" s="188"/>
      <c r="N3000" s="188"/>
      <c r="O3000" s="188"/>
      <c r="P3000" s="188"/>
      <c r="Q3000" s="188"/>
      <c r="R3000" s="188"/>
      <c r="S3000" s="188"/>
      <c r="T3000" s="180"/>
      <c r="U3000" s="189" t="str">
        <f>IFERROR(IF(Tableau3[[#This Row],[Dettes]]=0,"",(Tableau3[[#This Row],[Dettes]]/Tableau3[[#This Row],[EBE]])),"")</f>
        <v/>
      </c>
      <c r="V3000" s="190" t="str">
        <f>IFERROR(Tableau3[[#This Row],[Fonds propres]]/Tableau3[[#This Row],[Total Bilan]],"")</f>
        <v/>
      </c>
      <c r="W3000" s="180"/>
      <c r="X3000" s="192"/>
      <c r="Y3000" s="180"/>
      <c r="Z3000" s="192" t="str">
        <f>IFERROR(Tableau3[[#This Row],[Chiffre d''affaires]]/Tableau3[[#This Row],[Salariés]],"")</f>
        <v/>
      </c>
      <c r="AA3000" s="188"/>
      <c r="AB3000" s="188"/>
      <c r="AC3000" s="177" t="s">
        <v>2103</v>
      </c>
    </row>
    <row r="3001" spans="1:29" ht="20.25" customHeight="1">
      <c r="A3001" s="217"/>
      <c r="E3001" s="187">
        <v>175</v>
      </c>
      <c r="F3001" s="178">
        <v>2012</v>
      </c>
      <c r="G3001" s="188"/>
      <c r="H3001" s="188"/>
      <c r="I3001" s="188"/>
      <c r="J3001" s="188"/>
      <c r="K3001" s="188"/>
      <c r="L3001" s="188"/>
      <c r="M3001" s="188">
        <f>L3001/P3001</f>
        <v>0</v>
      </c>
      <c r="N3001" s="190"/>
      <c r="O3001" s="190"/>
      <c r="P3001" s="188">
        <v>93905148</v>
      </c>
      <c r="Q3001" s="242">
        <f>P3001*E3001</f>
        <v>16433400900</v>
      </c>
      <c r="R3001" s="188"/>
      <c r="S3001" s="188"/>
      <c r="T3001" s="180"/>
      <c r="U3001" s="189" t="str">
        <f>IFERROR(IF(Tableau3[[#This Row],[Dettes]]=0,"",(Tableau3[[#This Row],[Dettes]]/Tableau3[[#This Row],[EBE]])),"")</f>
        <v/>
      </c>
      <c r="V3001" s="190" t="str">
        <f>IFERROR(Tableau3[[#This Row],[Fonds propres]]/Tableau3[[#This Row],[Total Bilan]],"")</f>
        <v/>
      </c>
      <c r="W3001" s="180"/>
      <c r="X3001" s="192"/>
      <c r="Y3001" s="180"/>
      <c r="Z3001" s="192" t="str">
        <f>IFERROR(Tableau3[[#This Row],[Chiffre d''affaires]]/Tableau3[[#This Row],[Salariés]],"")</f>
        <v/>
      </c>
      <c r="AA3001" s="188"/>
      <c r="AB3001" s="188"/>
      <c r="AC3001" s="177" t="s">
        <v>2104</v>
      </c>
    </row>
    <row r="3002" spans="1:29" ht="20.25" customHeight="1">
      <c r="A3002" s="217"/>
      <c r="E3002" s="187"/>
      <c r="G3002" s="188"/>
      <c r="H3002" s="188"/>
      <c r="I3002" s="188"/>
      <c r="J3002" s="188"/>
      <c r="K3002" s="188"/>
      <c r="L3002" s="188"/>
      <c r="M3002" s="188"/>
      <c r="N3002" s="188"/>
      <c r="O3002" s="188"/>
      <c r="P3002" s="188"/>
      <c r="Q3002" s="188"/>
      <c r="R3002" s="188"/>
      <c r="S3002" s="188"/>
      <c r="T3002" s="180"/>
      <c r="U3002" s="189" t="str">
        <f>IFERROR(IF(Tableau3[[#This Row],[Dettes]]=0,"",(Tableau3[[#This Row],[Dettes]]/Tableau3[[#This Row],[EBE]])),"")</f>
        <v/>
      </c>
      <c r="V3002" s="190" t="str">
        <f>IFERROR(Tableau3[[#This Row],[Fonds propres]]/Tableau3[[#This Row],[Total Bilan]],"")</f>
        <v/>
      </c>
      <c r="W3002" s="180"/>
      <c r="X3002" s="192"/>
      <c r="Y3002" s="180"/>
      <c r="Z3002" s="192" t="str">
        <f>IFERROR(Tableau3[[#This Row],[Chiffre d''affaires]]/Tableau3[[#This Row],[Salariés]],"")</f>
        <v/>
      </c>
      <c r="AA3002" s="188"/>
      <c r="AB3002" s="188"/>
      <c r="AC3002" s="177" t="s">
        <v>4762</v>
      </c>
    </row>
    <row r="3003" spans="1:29" ht="20.25" customHeight="1">
      <c r="A3003" s="217"/>
      <c r="E3003" s="187">
        <v>132.6</v>
      </c>
      <c r="F3003" s="178">
        <v>2011</v>
      </c>
      <c r="G3003" s="188"/>
      <c r="H3003" s="188"/>
      <c r="I3003" s="188"/>
      <c r="J3003" s="188"/>
      <c r="K3003" s="188"/>
      <c r="L3003" s="188"/>
      <c r="M3003" s="188">
        <f>L3003/P3003</f>
        <v>0</v>
      </c>
      <c r="N3003" s="190"/>
      <c r="O3003" s="190"/>
      <c r="P3003" s="188">
        <v>91806889</v>
      </c>
      <c r="Q3003" s="242">
        <f>P3003*E3003</f>
        <v>12173593481.4</v>
      </c>
      <c r="R3003" s="188"/>
      <c r="S3003" s="188"/>
      <c r="T3003" s="180"/>
      <c r="U3003" s="189" t="str">
        <f>IFERROR(IF(Tableau3[[#This Row],[Dettes]]=0,"",(Tableau3[[#This Row],[Dettes]]/Tableau3[[#This Row],[EBE]])),"")</f>
        <v/>
      </c>
      <c r="V3003" s="190" t="str">
        <f>IFERROR(Tableau3[[#This Row],[Fonds propres]]/Tableau3[[#This Row],[Total Bilan]],"")</f>
        <v/>
      </c>
      <c r="W3003" s="180"/>
      <c r="X3003" s="192"/>
      <c r="Y3003" s="180"/>
      <c r="Z3003" s="192" t="str">
        <f>IFERROR(Tableau3[[#This Row],[Chiffre d''affaires]]/Tableau3[[#This Row],[Salariés]],"")</f>
        <v/>
      </c>
      <c r="AA3003" s="188"/>
      <c r="AB3003" s="188"/>
      <c r="AC3003" s="177" t="s">
        <v>4755</v>
      </c>
    </row>
    <row r="3004" spans="1:29" ht="20.25" customHeight="1">
      <c r="A3004" s="217"/>
      <c r="E3004" s="187"/>
      <c r="G3004" s="188"/>
      <c r="H3004" s="188"/>
      <c r="I3004" s="188"/>
      <c r="J3004" s="188"/>
      <c r="K3004" s="188"/>
      <c r="L3004" s="188"/>
      <c r="M3004" s="188"/>
      <c r="N3004" s="188"/>
      <c r="O3004" s="188"/>
      <c r="P3004" s="188"/>
      <c r="Q3004" s="188"/>
      <c r="R3004" s="188"/>
      <c r="S3004" s="188"/>
      <c r="T3004" s="180"/>
      <c r="U3004" s="189" t="str">
        <f>IFERROR(IF(Tableau3[[#This Row],[Dettes]]=0,"",(Tableau3[[#This Row],[Dettes]]/Tableau3[[#This Row],[EBE]])),"")</f>
        <v/>
      </c>
      <c r="V3004" s="190" t="str">
        <f>IFERROR(Tableau3[[#This Row],[Fonds propres]]/Tableau3[[#This Row],[Total Bilan]],"")</f>
        <v/>
      </c>
      <c r="W3004" s="180"/>
      <c r="X3004" s="192"/>
      <c r="Y3004" s="180"/>
      <c r="Z3004" s="192" t="str">
        <f>IFERROR(Tableau3[[#This Row],[Chiffre d''affaires]]/Tableau3[[#This Row],[Salariés]],"")</f>
        <v/>
      </c>
      <c r="AA3004" s="188"/>
      <c r="AB3004" s="188"/>
      <c r="AC3004" s="216" t="s">
        <v>4756</v>
      </c>
    </row>
    <row r="3005" spans="1:29" ht="20.25" customHeight="1">
      <c r="A3005" s="217"/>
      <c r="E3005" s="187">
        <v>149</v>
      </c>
      <c r="F3005" s="178">
        <v>2010</v>
      </c>
      <c r="G3005" s="188"/>
      <c r="H3005" s="188"/>
      <c r="I3005" s="188"/>
      <c r="J3005" s="188"/>
      <c r="K3005" s="188"/>
      <c r="L3005" s="188"/>
      <c r="M3005" s="188">
        <f>L3005/P3005</f>
        <v>0</v>
      </c>
      <c r="N3005" s="190"/>
      <c r="O3005" s="190"/>
      <c r="P3005" s="188">
        <v>91745924</v>
      </c>
      <c r="Q3005" s="242">
        <f>P3005*E3005</f>
        <v>13670142676</v>
      </c>
      <c r="R3005" s="188"/>
      <c r="S3005" s="188"/>
      <c r="T3005" s="180"/>
      <c r="U3005" s="189" t="str">
        <f>IFERROR(IF(Tableau3[[#This Row],[Dettes]]=0,"",(Tableau3[[#This Row],[Dettes]]/Tableau3[[#This Row],[EBE]])),"")</f>
        <v/>
      </c>
      <c r="V3005" s="190" t="str">
        <f>IFERROR(Tableau3[[#This Row],[Fonds propres]]/Tableau3[[#This Row],[Total Bilan]],"")</f>
        <v/>
      </c>
      <c r="W3005" s="180"/>
      <c r="X3005" s="192"/>
      <c r="Y3005" s="180"/>
      <c r="Z3005" s="192" t="str">
        <f>IFERROR(Tableau3[[#This Row],[Chiffre d''affaires]]/Tableau3[[#This Row],[Salariés]],"")</f>
        <v/>
      </c>
      <c r="AA3005" s="188"/>
      <c r="AB3005" s="188"/>
      <c r="AC3005" s="177" t="s">
        <v>2105</v>
      </c>
    </row>
    <row r="3006" spans="1:29" ht="20.25" customHeight="1">
      <c r="A3006" s="217"/>
      <c r="E3006" s="187"/>
      <c r="G3006" s="188"/>
      <c r="H3006" s="188"/>
      <c r="I3006" s="188"/>
      <c r="J3006" s="188"/>
      <c r="K3006" s="188"/>
      <c r="L3006" s="188"/>
      <c r="M3006" s="188"/>
      <c r="N3006" s="188"/>
      <c r="O3006" s="188"/>
      <c r="P3006" s="188"/>
      <c r="Q3006" s="188"/>
      <c r="R3006" s="188"/>
      <c r="S3006" s="188"/>
      <c r="T3006" s="180"/>
      <c r="U3006" s="189" t="str">
        <f>IFERROR(IF(Tableau3[[#This Row],[Dettes]]=0,"",(Tableau3[[#This Row],[Dettes]]/Tableau3[[#This Row],[EBE]])),"")</f>
        <v/>
      </c>
      <c r="V3006" s="190" t="str">
        <f>IFERROR(Tableau3[[#This Row],[Fonds propres]]/Tableau3[[#This Row],[Total Bilan]],"")</f>
        <v/>
      </c>
      <c r="W3006" s="180"/>
      <c r="X3006" s="192"/>
      <c r="Y3006" s="180"/>
      <c r="Z3006" s="192" t="str">
        <f>IFERROR(Tableau3[[#This Row],[Chiffre d''affaires]]/Tableau3[[#This Row],[Salariés]],"")</f>
        <v/>
      </c>
      <c r="AA3006" s="188"/>
      <c r="AB3006" s="188"/>
      <c r="AC3006" s="177" t="s">
        <v>1246</v>
      </c>
    </row>
    <row r="3007" spans="1:29" ht="20.25" customHeight="1">
      <c r="A3007" s="217"/>
      <c r="E3007" s="187"/>
      <c r="G3007" s="188"/>
      <c r="H3007" s="188"/>
      <c r="I3007" s="188"/>
      <c r="J3007" s="188"/>
      <c r="K3007" s="188"/>
      <c r="L3007" s="188"/>
      <c r="M3007" s="188"/>
      <c r="N3007" s="188"/>
      <c r="O3007" s="188"/>
      <c r="P3007" s="188"/>
      <c r="Q3007" s="188"/>
      <c r="R3007" s="188"/>
      <c r="S3007" s="188"/>
      <c r="T3007" s="180"/>
      <c r="U3007" s="189" t="str">
        <f>IFERROR(IF(Tableau3[[#This Row],[Dettes]]=0,"",(Tableau3[[#This Row],[Dettes]]/Tableau3[[#This Row],[EBE]])),"")</f>
        <v/>
      </c>
      <c r="V3007" s="190" t="str">
        <f>IFERROR(Tableau3[[#This Row],[Fonds propres]]/Tableau3[[#This Row],[Total Bilan]],"")</f>
        <v/>
      </c>
      <c r="W3007" s="180"/>
      <c r="X3007" s="192"/>
      <c r="Y3007" s="180"/>
      <c r="Z3007" s="192" t="str">
        <f>IFERROR(Tableau3[[#This Row],[Chiffre d''affaires]]/Tableau3[[#This Row],[Salariés]],"")</f>
        <v/>
      </c>
      <c r="AA3007" s="188"/>
      <c r="AB3007" s="188"/>
      <c r="AC3007" s="177" t="s">
        <v>4757</v>
      </c>
    </row>
    <row r="3008" spans="1:29" ht="20.25" customHeight="1">
      <c r="A3008" s="217"/>
      <c r="E3008" s="187"/>
      <c r="G3008" s="188"/>
      <c r="H3008" s="188"/>
      <c r="I3008" s="188"/>
      <c r="J3008" s="188"/>
      <c r="K3008" s="188"/>
      <c r="L3008" s="188"/>
      <c r="M3008" s="188"/>
      <c r="N3008" s="188"/>
      <c r="O3008" s="188"/>
      <c r="P3008" s="188"/>
      <c r="Q3008" s="188"/>
      <c r="R3008" s="188"/>
      <c r="S3008" s="188"/>
      <c r="T3008" s="180"/>
      <c r="U3008" s="189" t="str">
        <f>IFERROR(IF(Tableau3[[#This Row],[Dettes]]=0,"",(Tableau3[[#This Row],[Dettes]]/Tableau3[[#This Row],[EBE]])),"")</f>
        <v/>
      </c>
      <c r="V3008" s="190" t="str">
        <f>IFERROR(Tableau3[[#This Row],[Fonds propres]]/Tableau3[[#This Row],[Total Bilan]],"")</f>
        <v/>
      </c>
      <c r="W3008" s="180"/>
      <c r="X3008" s="192"/>
      <c r="Y3008" s="180"/>
      <c r="Z3008" s="192" t="str">
        <f>IFERROR(Tableau3[[#This Row],[Chiffre d''affaires]]/Tableau3[[#This Row],[Salariés]],"")</f>
        <v/>
      </c>
      <c r="AA3008" s="188"/>
      <c r="AB3008" s="188"/>
      <c r="AC3008" s="177" t="s">
        <v>4758</v>
      </c>
    </row>
    <row r="3009" spans="1:29" ht="20.25" customHeight="1">
      <c r="A3009" s="217"/>
      <c r="E3009" s="187"/>
      <c r="G3009" s="188"/>
      <c r="H3009" s="188"/>
      <c r="I3009" s="188"/>
      <c r="J3009" s="188"/>
      <c r="K3009" s="188"/>
      <c r="L3009" s="188"/>
      <c r="M3009" s="188"/>
      <c r="N3009" s="188"/>
      <c r="O3009" s="188"/>
      <c r="P3009" s="188"/>
      <c r="Q3009" s="188"/>
      <c r="R3009" s="188"/>
      <c r="S3009" s="188"/>
      <c r="T3009" s="180"/>
      <c r="U3009" s="189" t="str">
        <f>IFERROR(IF(Tableau3[[#This Row],[Dettes]]=0,"",(Tableau3[[#This Row],[Dettes]]/Tableau3[[#This Row],[EBE]])),"")</f>
        <v/>
      </c>
      <c r="V3009" s="190" t="str">
        <f>IFERROR(Tableau3[[#This Row],[Fonds propres]]/Tableau3[[#This Row],[Total Bilan]],"")</f>
        <v/>
      </c>
      <c r="W3009" s="180"/>
      <c r="X3009" s="192"/>
      <c r="Y3009" s="180"/>
      <c r="Z3009" s="192" t="str">
        <f>IFERROR(Tableau3[[#This Row],[Chiffre d''affaires]]/Tableau3[[#This Row],[Salariés]],"")</f>
        <v/>
      </c>
      <c r="AA3009" s="188"/>
      <c r="AB3009" s="188"/>
    </row>
    <row r="3010" spans="1:29" ht="20.25" customHeight="1">
      <c r="A3010" s="217"/>
      <c r="E3010" s="187"/>
      <c r="G3010" s="188"/>
      <c r="H3010" s="188"/>
      <c r="I3010" s="188"/>
      <c r="J3010" s="188"/>
      <c r="K3010" s="188"/>
      <c r="L3010" s="188"/>
      <c r="M3010" s="188"/>
      <c r="N3010" s="188"/>
      <c r="O3010" s="188"/>
      <c r="P3010" s="188"/>
      <c r="Q3010" s="188"/>
      <c r="R3010" s="188"/>
      <c r="S3010" s="188"/>
      <c r="T3010" s="180"/>
      <c r="U3010" s="189" t="str">
        <f>IFERROR(IF(Tableau3[[#This Row],[Dettes]]=0,"",(Tableau3[[#This Row],[Dettes]]/Tableau3[[#This Row],[EBE]])),"")</f>
        <v/>
      </c>
      <c r="V3010" s="190" t="str">
        <f>IFERROR(Tableau3[[#This Row],[Fonds propres]]/Tableau3[[#This Row],[Total Bilan]],"")</f>
        <v/>
      </c>
      <c r="W3010" s="180"/>
      <c r="X3010" s="192"/>
      <c r="Y3010" s="180"/>
      <c r="Z3010" s="192" t="str">
        <f>IFERROR(Tableau3[[#This Row],[Chiffre d''affaires]]/Tableau3[[#This Row],[Salariés]],"")</f>
        <v/>
      </c>
      <c r="AA3010" s="188"/>
      <c r="AB3010" s="188"/>
    </row>
    <row r="3011" spans="1:29" ht="20.25" customHeight="1">
      <c r="A3011" s="217"/>
      <c r="E3011" s="187"/>
      <c r="F3011" s="224" t="s">
        <v>2106</v>
      </c>
      <c r="G3011" s="188"/>
      <c r="H3011" s="188"/>
      <c r="I3011" s="188"/>
      <c r="J3011" s="188"/>
      <c r="K3011" s="188"/>
      <c r="L3011" s="188"/>
      <c r="M3011" s="188"/>
      <c r="N3011" s="188"/>
      <c r="O3011" s="188"/>
      <c r="P3011" s="188"/>
      <c r="Q3011" s="188"/>
      <c r="R3011" s="188"/>
      <c r="S3011" s="188"/>
      <c r="T3011" s="180"/>
      <c r="U3011" s="189" t="str">
        <f>IFERROR(IF(Tableau3[[#This Row],[Dettes]]=0,"",(Tableau3[[#This Row],[Dettes]]/Tableau3[[#This Row],[EBE]])),"")</f>
        <v/>
      </c>
      <c r="V3011" s="190" t="str">
        <f>IFERROR(Tableau3[[#This Row],[Fonds propres]]/Tableau3[[#This Row],[Total Bilan]],"")</f>
        <v/>
      </c>
      <c r="W3011" s="180"/>
      <c r="X3011" s="192"/>
      <c r="Y3011" s="180"/>
      <c r="Z3011" s="192" t="str">
        <f>IFERROR(Tableau3[[#This Row],[Chiffre d''affaires]]/Tableau3[[#This Row],[Salariés]],"")</f>
        <v/>
      </c>
      <c r="AA3011" s="188"/>
      <c r="AB3011" s="188"/>
    </row>
    <row r="3012" spans="1:29" ht="20.25" customHeight="1">
      <c r="A3012" s="217"/>
      <c r="G3012" s="188"/>
      <c r="H3012" s="188"/>
      <c r="I3012" s="188"/>
      <c r="J3012" s="188"/>
      <c r="K3012" s="188"/>
      <c r="L3012" s="188"/>
      <c r="M3012" s="188"/>
      <c r="N3012" s="188"/>
      <c r="O3012" s="188"/>
      <c r="P3012" s="188"/>
      <c r="Q3012" s="188"/>
      <c r="R3012" s="188"/>
      <c r="S3012" s="188"/>
      <c r="T3012" s="180"/>
      <c r="U3012" s="189" t="str">
        <f>IFERROR(IF(Tableau3[[#This Row],[Dettes]]=0,"",(Tableau3[[#This Row],[Dettes]]/Tableau3[[#This Row],[EBE]])),"")</f>
        <v/>
      </c>
      <c r="V3012" s="190" t="str">
        <f>IFERROR(Tableau3[[#This Row],[Fonds propres]]/Tableau3[[#This Row],[Total Bilan]],"")</f>
        <v/>
      </c>
      <c r="W3012" s="180"/>
      <c r="X3012" s="192"/>
      <c r="Y3012" s="180"/>
      <c r="Z3012" s="192" t="str">
        <f>IFERROR(Tableau3[[#This Row],[Chiffre d''affaires]]/Tableau3[[#This Row],[Salariés]],"")</f>
        <v/>
      </c>
      <c r="AA3012" s="188"/>
      <c r="AB3012" s="188"/>
    </row>
    <row r="3013" spans="1:29" ht="20.25" customHeight="1">
      <c r="A3013" s="217" t="s">
        <v>2108</v>
      </c>
      <c r="B3013" s="216" t="s">
        <v>2109</v>
      </c>
      <c r="C3013" s="178" t="s">
        <v>84</v>
      </c>
      <c r="D3013" s="178" t="s">
        <v>85</v>
      </c>
      <c r="E3013" s="187">
        <v>0.5</v>
      </c>
      <c r="F3013" s="178">
        <v>2021</v>
      </c>
      <c r="G3013" s="188">
        <f>G3015*1.15</f>
        <v>2025034999.9999998</v>
      </c>
      <c r="H3013" s="188">
        <v>100000000</v>
      </c>
      <c r="I3013" s="188">
        <v>0</v>
      </c>
      <c r="J3013" s="188">
        <v>-100000000</v>
      </c>
      <c r="K3013" s="188">
        <v>300000000</v>
      </c>
      <c r="L3013" s="188">
        <v>1550000000</v>
      </c>
      <c r="M3013" s="194">
        <f>L3013/P3013</f>
        <v>0.34722847031229981</v>
      </c>
      <c r="N3013" s="190">
        <f>J3013/L3013</f>
        <v>-6.4516129032258063E-2</v>
      </c>
      <c r="O3013" s="190">
        <f>(I3013*0.71)/(K3013+L3013)</f>
        <v>0</v>
      </c>
      <c r="P3013" s="188">
        <v>4463919674</v>
      </c>
      <c r="Q3013" s="188">
        <f>P3013*E3013</f>
        <v>2231959837</v>
      </c>
      <c r="R3013" s="195">
        <f>Q3013/L3013</f>
        <v>1.4399740883870968</v>
      </c>
      <c r="S3013" s="197" t="s">
        <v>131</v>
      </c>
      <c r="T3013" s="180"/>
      <c r="U3013" s="189">
        <f>IFERROR(IF(Tableau3[[#This Row],[Dettes]]=0,"",(Tableau3[[#This Row],[Dettes]]/Tableau3[[#This Row],[EBE]])),"")</f>
        <v>3</v>
      </c>
      <c r="V3013" s="190" t="str">
        <f>IFERROR(Tableau3[[#This Row],[Fonds propres]]/Tableau3[[#This Row],[Total Bilan]],"")</f>
        <v/>
      </c>
      <c r="W3013" s="180"/>
      <c r="X3013" s="191" t="s">
        <v>2110</v>
      </c>
      <c r="Y3013" s="180"/>
      <c r="Z3013" s="192" t="str">
        <f>IFERROR(Tableau3[[#This Row],[Chiffre d''affaires]]/Tableau3[[#This Row],[Salariés]],"")</f>
        <v/>
      </c>
      <c r="AA3013" s="197"/>
      <c r="AB3013" s="197"/>
      <c r="AC3013" s="177" t="s">
        <v>2111</v>
      </c>
    </row>
    <row r="3014" spans="1:29" ht="20.25" customHeight="1">
      <c r="A3014" s="217"/>
      <c r="E3014" s="187"/>
      <c r="G3014" s="202">
        <f>(G3013/G3015)-1</f>
        <v>0.14999999999999991</v>
      </c>
      <c r="H3014" s="203">
        <f>(H3013/H3015)-1</f>
        <v>-1.5813953488372094</v>
      </c>
      <c r="I3014" s="203">
        <f>(I3013/I3015)-1</f>
        <v>-1</v>
      </c>
      <c r="J3014" s="203">
        <f>(J3013/J3015)-1</f>
        <v>-0.8449131513647643</v>
      </c>
      <c r="K3014" s="188"/>
      <c r="L3014" s="188"/>
      <c r="M3014" s="188"/>
      <c r="N3014" s="188"/>
      <c r="O3014" s="188"/>
      <c r="P3014" s="188"/>
      <c r="Q3014" s="188"/>
      <c r="R3014" s="188"/>
      <c r="S3014" s="188"/>
      <c r="T3014" s="180"/>
      <c r="U3014" s="189" t="str">
        <f>IFERROR(IF(Tableau3[[#This Row],[Dettes]]=0,"",(Tableau3[[#This Row],[Dettes]]/Tableau3[[#This Row],[EBE]])),"")</f>
        <v/>
      </c>
      <c r="V3014" s="190" t="str">
        <f>IFERROR(Tableau3[[#This Row],[Fonds propres]]/Tableau3[[#This Row],[Total Bilan]],"")</f>
        <v/>
      </c>
      <c r="W3014" s="180"/>
      <c r="X3014" s="192" t="s">
        <v>2112</v>
      </c>
      <c r="Y3014" s="180"/>
      <c r="Z3014" s="192" t="str">
        <f>IFERROR(Tableau3[[#This Row],[Chiffre d''affaires]]/Tableau3[[#This Row],[Salariés]],"")</f>
        <v/>
      </c>
      <c r="AA3014" s="188"/>
      <c r="AB3014" s="188"/>
      <c r="AC3014" s="177" t="s">
        <v>2113</v>
      </c>
    </row>
    <row r="3015" spans="1:29" ht="20.25" customHeight="1">
      <c r="A3015" s="217"/>
      <c r="E3015" s="187">
        <v>0.7</v>
      </c>
      <c r="F3015" s="178">
        <v>2020</v>
      </c>
      <c r="G3015" s="188">
        <v>1760900000</v>
      </c>
      <c r="H3015" s="188">
        <v>-172000000</v>
      </c>
      <c r="I3015" s="188">
        <v>-500400000</v>
      </c>
      <c r="J3015" s="188">
        <v>-644800000</v>
      </c>
      <c r="K3015" s="188">
        <v>1426200000</v>
      </c>
      <c r="L3015" s="188">
        <v>189745000</v>
      </c>
      <c r="M3015" s="194">
        <f>L3015/P3015</f>
        <v>1.1577986754775831</v>
      </c>
      <c r="N3015" s="190">
        <f>J3015/L3015</f>
        <v>-3.3982450130438218</v>
      </c>
      <c r="O3015" s="190">
        <f>(I3015*0.71)/(K3015+L3015)</f>
        <v>-0.21986144330407284</v>
      </c>
      <c r="P3015" s="188">
        <v>163884278</v>
      </c>
      <c r="Q3015" s="188">
        <f>P3015*E3015</f>
        <v>114718994.59999999</v>
      </c>
      <c r="R3015" s="195">
        <f>Q3015/L3015</f>
        <v>0.60459561305963261</v>
      </c>
      <c r="S3015" s="197">
        <f>(Q3015+K3015)/H3015</f>
        <v>-8.9588313639534878</v>
      </c>
      <c r="T3015" s="180"/>
      <c r="U3015" s="189">
        <f>IFERROR(IF(Tableau3[[#This Row],[Dettes]]=0,"",(Tableau3[[#This Row],[Dettes]]/Tableau3[[#This Row],[EBE]])),"")</f>
        <v>-8.2918604651162795</v>
      </c>
      <c r="V3015" s="190" t="str">
        <f>IFERROR(Tableau3[[#This Row],[Fonds propres]]/Tableau3[[#This Row],[Total Bilan]],"")</f>
        <v/>
      </c>
      <c r="W3015" s="180"/>
      <c r="X3015" s="191"/>
      <c r="Y3015" s="180"/>
      <c r="Z3015" s="192" t="str">
        <f>IFERROR(Tableau3[[#This Row],[Chiffre d''affaires]]/Tableau3[[#This Row],[Salariés]],"")</f>
        <v/>
      </c>
      <c r="AA3015" s="197"/>
      <c r="AB3015" s="197"/>
      <c r="AC3015" s="177" t="s">
        <v>2114</v>
      </c>
    </row>
    <row r="3016" spans="1:29" ht="20.25" customHeight="1">
      <c r="A3016" s="217"/>
      <c r="E3016" s="187"/>
      <c r="G3016" s="202">
        <f>(G3015/G3017)-1</f>
        <v>-0.41738353626257274</v>
      </c>
      <c r="H3016" s="203">
        <f>(H3015/H3017)-1</f>
        <v>-1.442159383033419</v>
      </c>
      <c r="I3016" s="203">
        <f>(I3015/I3017)-1</f>
        <v>-3.0096385542168673</v>
      </c>
      <c r="J3016" s="203">
        <f>(J3015/J3017)-1</f>
        <v>-17.96842105263158</v>
      </c>
      <c r="K3016" s="188"/>
      <c r="L3016" s="188"/>
      <c r="M3016" s="188"/>
      <c r="N3016" s="188"/>
      <c r="O3016" s="188"/>
      <c r="P3016" s="188"/>
      <c r="Q3016" s="188"/>
      <c r="R3016" s="188"/>
      <c r="S3016" s="188"/>
      <c r="T3016" s="180"/>
      <c r="U3016" s="189" t="str">
        <f>IFERROR(IF(Tableau3[[#This Row],[Dettes]]=0,"",(Tableau3[[#This Row],[Dettes]]/Tableau3[[#This Row],[EBE]])),"")</f>
        <v/>
      </c>
      <c r="V3016" s="190" t="str">
        <f>IFERROR(Tableau3[[#This Row],[Fonds propres]]/Tableau3[[#This Row],[Total Bilan]],"")</f>
        <v/>
      </c>
      <c r="W3016" s="180"/>
      <c r="X3016" s="192"/>
      <c r="Y3016" s="180"/>
      <c r="Z3016" s="192" t="str">
        <f>IFERROR(Tableau3[[#This Row],[Chiffre d''affaires]]/Tableau3[[#This Row],[Salariés]],"")</f>
        <v/>
      </c>
      <c r="AA3016" s="188"/>
      <c r="AB3016" s="188"/>
      <c r="AC3016" s="177" t="s">
        <v>2115</v>
      </c>
    </row>
    <row r="3017" spans="1:29" ht="20.25" customHeight="1">
      <c r="A3017" s="217"/>
      <c r="E3017" s="187">
        <v>3.7</v>
      </c>
      <c r="F3017" s="178">
        <v>2019</v>
      </c>
      <c r="G3017" s="188">
        <v>3022400000</v>
      </c>
      <c r="H3017" s="188">
        <v>389000000</v>
      </c>
      <c r="I3017" s="188">
        <v>249000000</v>
      </c>
      <c r="J3017" s="188">
        <v>38000000</v>
      </c>
      <c r="K3017" s="188">
        <v>880000000</v>
      </c>
      <c r="L3017" s="188">
        <v>837181000</v>
      </c>
      <c r="M3017" s="194">
        <f>L3017/P3017</f>
        <v>5.1083667708503437</v>
      </c>
      <c r="N3017" s="190">
        <f>J3017/L3017</f>
        <v>4.539042333736671E-2</v>
      </c>
      <c r="O3017" s="190">
        <f>(I3017*0.71)/(K3017+L3017)</f>
        <v>0.10295361991543116</v>
      </c>
      <c r="P3017" s="188">
        <v>163884278</v>
      </c>
      <c r="Q3017" s="188">
        <f>P3017*E3017</f>
        <v>606371828.60000002</v>
      </c>
      <c r="R3017" s="195">
        <f>Q3017/L3017</f>
        <v>0.72430194736860964</v>
      </c>
      <c r="S3017" s="197">
        <f>(Q3017+K3017)/H3017</f>
        <v>3.8210072714652954</v>
      </c>
      <c r="T3017" s="180"/>
      <c r="U3017" s="189">
        <f>IFERROR(IF(Tableau3[[#This Row],[Dettes]]=0,"",(Tableau3[[#This Row],[Dettes]]/Tableau3[[#This Row],[EBE]])),"")</f>
        <v>2.2622107969151672</v>
      </c>
      <c r="V3017" s="190" t="str">
        <f>IFERROR(Tableau3[[#This Row],[Fonds propres]]/Tableau3[[#This Row],[Total Bilan]],"")</f>
        <v/>
      </c>
      <c r="W3017" s="180"/>
      <c r="X3017" s="191"/>
      <c r="Y3017" s="180"/>
      <c r="Z3017" s="192" t="str">
        <f>IFERROR(Tableau3[[#This Row],[Chiffre d''affaires]]/Tableau3[[#This Row],[Salariés]],"")</f>
        <v/>
      </c>
      <c r="AA3017" s="197"/>
      <c r="AB3017" s="197"/>
      <c r="AC3017" s="177" t="s">
        <v>2116</v>
      </c>
    </row>
    <row r="3018" spans="1:29" ht="20.25" customHeight="1">
      <c r="A3018" s="217"/>
      <c r="E3018" s="187"/>
      <c r="G3018" s="202">
        <f>(G3017/G3019)-1</f>
        <v>3.1786211602883752E-2</v>
      </c>
      <c r="H3018" s="203">
        <f>(H3017/H3019)-1</f>
        <v>0.11555932825548321</v>
      </c>
      <c r="I3018" s="203">
        <f>(I3017/I3019)-1</f>
        <v>-0.32520325203252032</v>
      </c>
      <c r="J3018" s="203">
        <f>(J3017/J3019)-1</f>
        <v>-0.72759270808691223</v>
      </c>
      <c r="K3018" s="188"/>
      <c r="L3018" s="188"/>
      <c r="M3018" s="188"/>
      <c r="N3018" s="188"/>
      <c r="O3018" s="188"/>
      <c r="P3018" s="188"/>
      <c r="Q3018" s="188"/>
      <c r="R3018" s="188"/>
      <c r="S3018" s="188"/>
      <c r="T3018" s="180"/>
      <c r="U3018" s="189" t="str">
        <f>IFERROR(IF(Tableau3[[#This Row],[Dettes]]=0,"",(Tableau3[[#This Row],[Dettes]]/Tableau3[[#This Row],[EBE]])),"")</f>
        <v/>
      </c>
      <c r="V3018" s="190" t="str">
        <f>IFERROR(Tableau3[[#This Row],[Fonds propres]]/Tableau3[[#This Row],[Total Bilan]],"")</f>
        <v/>
      </c>
      <c r="W3018" s="180"/>
      <c r="X3018" s="192"/>
      <c r="Y3018" s="180"/>
      <c r="Z3018" s="192" t="str">
        <f>IFERROR(Tableau3[[#This Row],[Chiffre d''affaires]]/Tableau3[[#This Row],[Salariés]],"")</f>
        <v/>
      </c>
      <c r="AA3018" s="188"/>
      <c r="AB3018" s="188"/>
      <c r="AC3018" s="177" t="s">
        <v>1727</v>
      </c>
    </row>
    <row r="3019" spans="1:29" ht="20.25" customHeight="1">
      <c r="A3019" s="217"/>
      <c r="E3019" s="187">
        <v>7.57</v>
      </c>
      <c r="F3019" s="178">
        <v>2018</v>
      </c>
      <c r="G3019" s="188">
        <v>2929289000</v>
      </c>
      <c r="H3019" s="188">
        <v>348704000</v>
      </c>
      <c r="I3019" s="188">
        <v>369000000</v>
      </c>
      <c r="J3019" s="188">
        <v>139497000</v>
      </c>
      <c r="K3019" s="188">
        <v>795000000</v>
      </c>
      <c r="L3019" s="188">
        <v>889216000</v>
      </c>
      <c r="M3019" s="194">
        <f>L3019/P3019</f>
        <v>5.5220215118611753</v>
      </c>
      <c r="N3019" s="190">
        <f>J3019/L3019</f>
        <v>0.15687639448682886</v>
      </c>
      <c r="O3019" s="190">
        <f>(I3019*0.71)/(K3019+L3019)</f>
        <v>0.15555605694281494</v>
      </c>
      <c r="P3019" s="188">
        <v>161030883</v>
      </c>
      <c r="Q3019" s="188">
        <f>P3019*E3019</f>
        <v>1219003784.3099999</v>
      </c>
      <c r="R3019" s="195">
        <f>Q3019/L3019</f>
        <v>1.3708747754313912</v>
      </c>
      <c r="S3019" s="197">
        <f>(Q3019+K3019)/H3019</f>
        <v>5.7756830558582637</v>
      </c>
      <c r="T3019" s="180"/>
      <c r="U3019" s="189">
        <f>IFERROR(IF(Tableau3[[#This Row],[Dettes]]=0,"",(Tableau3[[#This Row],[Dettes]]/Tableau3[[#This Row],[EBE]])),"")</f>
        <v>2.2798706065889696</v>
      </c>
      <c r="V3019" s="190" t="str">
        <f>IFERROR(Tableau3[[#This Row],[Fonds propres]]/Tableau3[[#This Row],[Total Bilan]],"")</f>
        <v/>
      </c>
      <c r="W3019" s="180"/>
      <c r="X3019" s="191"/>
      <c r="Y3019" s="180"/>
      <c r="Z3019" s="192" t="str">
        <f>IFERROR(Tableau3[[#This Row],[Chiffre d''affaires]]/Tableau3[[#This Row],[Salariés]],"")</f>
        <v/>
      </c>
      <c r="AA3019" s="197"/>
      <c r="AB3019" s="197"/>
      <c r="AC3019" s="177" t="s">
        <v>2117</v>
      </c>
    </row>
    <row r="3020" spans="1:29" ht="20.25" customHeight="1">
      <c r="A3020" s="217"/>
      <c r="E3020" s="187"/>
      <c r="G3020" s="202">
        <f>(G3019/G3021)-1</f>
        <v>0.21463547322778775</v>
      </c>
      <c r="H3020" s="203">
        <f>(H3019/H3021)-1</f>
        <v>0.18643122044163185</v>
      </c>
      <c r="I3020" s="203">
        <f>(I3019/I3021)-1</f>
        <v>0.65470852017937209</v>
      </c>
      <c r="J3020" s="203">
        <f>(J3019/J3021)-1</f>
        <v>1.283055923798301</v>
      </c>
      <c r="K3020" s="188"/>
      <c r="L3020" s="188"/>
      <c r="M3020" s="188"/>
      <c r="N3020" s="188"/>
      <c r="O3020" s="188"/>
      <c r="P3020" s="188"/>
      <c r="Q3020" s="188"/>
      <c r="R3020" s="188"/>
      <c r="S3020" s="188"/>
      <c r="T3020" s="180"/>
      <c r="U3020" s="189" t="str">
        <f>IFERROR(IF(Tableau3[[#This Row],[Dettes]]=0,"",(Tableau3[[#This Row],[Dettes]]/Tableau3[[#This Row],[EBE]])),"")</f>
        <v/>
      </c>
      <c r="V3020" s="190" t="str">
        <f>IFERROR(Tableau3[[#This Row],[Fonds propres]]/Tableau3[[#This Row],[Total Bilan]],"")</f>
        <v/>
      </c>
      <c r="W3020" s="180"/>
      <c r="X3020" s="192"/>
      <c r="Y3020" s="180"/>
      <c r="Z3020" s="192" t="str">
        <f>IFERROR(Tableau3[[#This Row],[Chiffre d''affaires]]/Tableau3[[#This Row],[Salariés]],"")</f>
        <v/>
      </c>
      <c r="AA3020" s="188"/>
      <c r="AB3020" s="188"/>
      <c r="AC3020" s="177" t="s">
        <v>2118</v>
      </c>
    </row>
    <row r="3021" spans="1:29" ht="20.25" customHeight="1">
      <c r="A3021" s="217"/>
      <c r="E3021" s="187">
        <v>10.25</v>
      </c>
      <c r="F3021" s="178">
        <v>2017</v>
      </c>
      <c r="G3021" s="188">
        <v>2411661000</v>
      </c>
      <c r="H3021" s="188">
        <v>293910000</v>
      </c>
      <c r="I3021" s="188">
        <v>223000000</v>
      </c>
      <c r="J3021" s="188">
        <v>61101000</v>
      </c>
      <c r="K3021" s="188">
        <v>827000000</v>
      </c>
      <c r="L3021" s="188">
        <v>836534000</v>
      </c>
      <c r="M3021" s="194">
        <f>L3021/P3021</f>
        <v>5.1948668753185689</v>
      </c>
      <c r="N3021" s="190">
        <f>J3021/L3021</f>
        <v>7.3040665412284503E-2</v>
      </c>
      <c r="O3021" s="190">
        <f>(I3021*0.71)/(K3021+L3021)</f>
        <v>9.5176894490885067E-2</v>
      </c>
      <c r="P3021" s="188">
        <v>161030883</v>
      </c>
      <c r="Q3021" s="188">
        <f>P3021*E3021</f>
        <v>1650566550.75</v>
      </c>
      <c r="R3021" s="195">
        <f>Q3021/L3021</f>
        <v>1.9731015723807999</v>
      </c>
      <c r="S3021" s="197">
        <f>(Q3021+K3021)/H3021</f>
        <v>8.4296776249532162</v>
      </c>
      <c r="T3021" s="180"/>
      <c r="U3021" s="189">
        <f>IFERROR(IF(Tableau3[[#This Row],[Dettes]]=0,"",(Tableau3[[#This Row],[Dettes]]/Tableau3[[#This Row],[EBE]])),"")</f>
        <v>2.8137865332925047</v>
      </c>
      <c r="V3021" s="190" t="str">
        <f>IFERROR(Tableau3[[#This Row],[Fonds propres]]/Tableau3[[#This Row],[Total Bilan]],"")</f>
        <v/>
      </c>
      <c r="W3021" s="180"/>
      <c r="X3021" s="191"/>
      <c r="Y3021" s="180"/>
      <c r="Z3021" s="192" t="str">
        <f>IFERROR(Tableau3[[#This Row],[Chiffre d''affaires]]/Tableau3[[#This Row],[Salariés]],"")</f>
        <v/>
      </c>
      <c r="AA3021" s="197"/>
      <c r="AB3021" s="197"/>
      <c r="AC3021" s="177" t="s">
        <v>2119</v>
      </c>
    </row>
    <row r="3022" spans="1:29" ht="20.25" customHeight="1">
      <c r="A3022" s="217"/>
      <c r="E3022" s="187"/>
      <c r="G3022" s="202">
        <f>(G3021/G3023)-1</f>
        <v>0.12118131101813101</v>
      </c>
      <c r="H3022" s="203">
        <f>(H3021/H3023)-1</f>
        <v>0.15712598425196855</v>
      </c>
      <c r="I3022" s="203">
        <f>(I3021/I3023)-1</f>
        <v>-0.15209125475285168</v>
      </c>
      <c r="J3022" s="203">
        <f>(J3021/J3023)-1</f>
        <v>-0.48654621848739499</v>
      </c>
      <c r="K3022" s="188"/>
      <c r="L3022" s="188"/>
      <c r="M3022" s="188"/>
      <c r="N3022" s="188"/>
      <c r="O3022" s="188"/>
      <c r="P3022" s="188"/>
      <c r="Q3022" s="188"/>
      <c r="R3022" s="188"/>
      <c r="S3022" s="188"/>
      <c r="T3022" s="180"/>
      <c r="U3022" s="189" t="str">
        <f>IFERROR(IF(Tableau3[[#This Row],[Dettes]]=0,"",(Tableau3[[#This Row],[Dettes]]/Tableau3[[#This Row],[EBE]])),"")</f>
        <v/>
      </c>
      <c r="V3022" s="190" t="str">
        <f>IFERROR(Tableau3[[#This Row],[Fonds propres]]/Tableau3[[#This Row],[Total Bilan]],"")</f>
        <v/>
      </c>
      <c r="W3022" s="180"/>
      <c r="X3022" s="192"/>
      <c r="Y3022" s="180"/>
      <c r="Z3022" s="192" t="str">
        <f>IFERROR(Tableau3[[#This Row],[Chiffre d''affaires]]/Tableau3[[#This Row],[Salariés]],"")</f>
        <v/>
      </c>
      <c r="AA3022" s="188"/>
      <c r="AB3022" s="188"/>
      <c r="AC3022" s="177" t="s">
        <v>2120</v>
      </c>
    </row>
    <row r="3023" spans="1:29" ht="20.25" customHeight="1">
      <c r="A3023" s="217"/>
      <c r="E3023" s="187">
        <v>9.4499999999999993</v>
      </c>
      <c r="F3023" s="178">
        <v>2016</v>
      </c>
      <c r="G3023" s="188">
        <v>2151000000</v>
      </c>
      <c r="H3023" s="188">
        <v>254000000</v>
      </c>
      <c r="I3023" s="188">
        <v>263000000</v>
      </c>
      <c r="J3023" s="188">
        <v>119000000</v>
      </c>
      <c r="K3023" s="188">
        <v>220000000</v>
      </c>
      <c r="L3023" s="188">
        <f>631266000-730000</f>
        <v>630536000</v>
      </c>
      <c r="M3023" s="194">
        <f>L3023/P3023</f>
        <v>3.9156215767630114</v>
      </c>
      <c r="N3023" s="190">
        <f>J3023/L3023</f>
        <v>0.1887283200324803</v>
      </c>
      <c r="O3023" s="190">
        <f>(I3023*0.71)/(K3023+L3023)</f>
        <v>0.2195439111336851</v>
      </c>
      <c r="P3023" s="188">
        <v>161030883</v>
      </c>
      <c r="Q3023" s="188">
        <f>P3023*E3023</f>
        <v>1521741844.3499999</v>
      </c>
      <c r="R3023" s="195">
        <f>Q3023/L3023</f>
        <v>2.413409931153812</v>
      </c>
      <c r="S3023" s="197">
        <f>(Q3023+K3023)/H3023</f>
        <v>6.8572513557086614</v>
      </c>
      <c r="T3023" s="180"/>
      <c r="U3023" s="189">
        <f>IFERROR(IF(Tableau3[[#This Row],[Dettes]]=0,"",(Tableau3[[#This Row],[Dettes]]/Tableau3[[#This Row],[EBE]])),"")</f>
        <v>0.86614173228346458</v>
      </c>
      <c r="V3023" s="190" t="str">
        <f>IFERROR(Tableau3[[#This Row],[Fonds propres]]/Tableau3[[#This Row],[Total Bilan]],"")</f>
        <v/>
      </c>
      <c r="W3023" s="180"/>
      <c r="X3023" s="191"/>
      <c r="Y3023" s="180"/>
      <c r="Z3023" s="192" t="str">
        <f>IFERROR(Tableau3[[#This Row],[Chiffre d''affaires]]/Tableau3[[#This Row],[Salariés]],"")</f>
        <v/>
      </c>
      <c r="AA3023" s="197"/>
      <c r="AB3023" s="197"/>
      <c r="AC3023" s="177" t="s">
        <v>2121</v>
      </c>
    </row>
    <row r="3024" spans="1:29" ht="20.25" customHeight="1">
      <c r="A3024" s="217"/>
      <c r="E3024" s="187"/>
      <c r="G3024" s="202">
        <f>(G3023/G3025)-1</f>
        <v>4.2016806722688926E-3</v>
      </c>
      <c r="H3024" s="203">
        <f>(H3023/H3025)-1</f>
        <v>1.3567438148443633E-2</v>
      </c>
      <c r="I3024" s="203">
        <f>(I3023/I3025)-1</f>
        <v>0.1873589164785554</v>
      </c>
      <c r="J3024" s="203">
        <f>(J3023/J3025)-1</f>
        <v>-3.1326164874551972</v>
      </c>
      <c r="K3024" s="188"/>
      <c r="L3024" s="188"/>
      <c r="M3024" s="188"/>
      <c r="N3024" s="188"/>
      <c r="O3024" s="188"/>
      <c r="P3024" s="188"/>
      <c r="Q3024" s="188"/>
      <c r="R3024" s="195"/>
      <c r="S3024" s="188"/>
      <c r="T3024" s="180"/>
      <c r="U3024" s="189" t="str">
        <f>IFERROR(IF(Tableau3[[#This Row],[Dettes]]=0,"",(Tableau3[[#This Row],[Dettes]]/Tableau3[[#This Row],[EBE]])),"")</f>
        <v/>
      </c>
      <c r="V3024" s="190" t="str">
        <f>IFERROR(Tableau3[[#This Row],[Fonds propres]]/Tableau3[[#This Row],[Total Bilan]],"")</f>
        <v/>
      </c>
      <c r="W3024" s="180"/>
      <c r="X3024" s="192"/>
      <c r="Y3024" s="180"/>
      <c r="Z3024" s="192" t="str">
        <f>IFERROR(Tableau3[[#This Row],[Chiffre d''affaires]]/Tableau3[[#This Row],[Salariés]],"")</f>
        <v/>
      </c>
      <c r="AA3024" s="188"/>
      <c r="AB3024" s="188"/>
      <c r="AC3024" s="177" t="s">
        <v>2122</v>
      </c>
    </row>
    <row r="3025" spans="1:29" ht="20.25" customHeight="1">
      <c r="A3025" s="217"/>
      <c r="E3025" s="187">
        <v>12.08</v>
      </c>
      <c r="F3025" s="178">
        <v>2015</v>
      </c>
      <c r="G3025" s="188">
        <v>2142000000</v>
      </c>
      <c r="H3025" s="188">
        <v>250600000</v>
      </c>
      <c r="I3025" s="188">
        <v>221500000</v>
      </c>
      <c r="J3025" s="188">
        <v>-55800000</v>
      </c>
      <c r="K3025" s="188">
        <v>235000000</v>
      </c>
      <c r="L3025" s="188">
        <v>561395000</v>
      </c>
      <c r="M3025" s="194">
        <f>L3025/P3025</f>
        <v>3.4862567325051557</v>
      </c>
      <c r="N3025" s="190">
        <f>J3025/L3025</f>
        <v>-9.9395256459355708E-2</v>
      </c>
      <c r="O3025" s="190">
        <f>(I3025*0.71)/(K3025+L3025)</f>
        <v>0.19747110416313512</v>
      </c>
      <c r="P3025" s="188">
        <v>161030883</v>
      </c>
      <c r="Q3025" s="188">
        <f>P3025*E3025</f>
        <v>1945253066.6400001</v>
      </c>
      <c r="R3025" s="195">
        <f>Q3025/L3025</f>
        <v>3.4650345418822757</v>
      </c>
      <c r="S3025" s="197">
        <f>(Q3025+K3025)/H3025</f>
        <v>8.7001319498802889</v>
      </c>
      <c r="T3025" s="180"/>
      <c r="U3025" s="189">
        <f>IFERROR(IF(Tableau3[[#This Row],[Dettes]]=0,"",(Tableau3[[#This Row],[Dettes]]/Tableau3[[#This Row],[EBE]])),"")</f>
        <v>0.93774940143655228</v>
      </c>
      <c r="V3025" s="190" t="str">
        <f>IFERROR(Tableau3[[#This Row],[Fonds propres]]/Tableau3[[#This Row],[Total Bilan]],"")</f>
        <v/>
      </c>
      <c r="W3025" s="180"/>
      <c r="X3025" s="192"/>
      <c r="Y3025" s="180"/>
      <c r="Z3025" s="192" t="str">
        <f>IFERROR(Tableau3[[#This Row],[Chiffre d''affaires]]/Tableau3[[#This Row],[Salariés]],"")</f>
        <v/>
      </c>
      <c r="AA3025" s="188"/>
      <c r="AB3025" s="188"/>
      <c r="AC3025" s="177" t="s">
        <v>2123</v>
      </c>
    </row>
    <row r="3026" spans="1:29" ht="20.25" customHeight="1">
      <c r="A3026" s="217"/>
      <c r="E3026" s="187"/>
      <c r="G3026" s="202">
        <f>(G3025/G3027)-1</f>
        <v>8.2364830722587268E-2</v>
      </c>
      <c r="H3026" s="203">
        <f>(H3025/H3027)-1</f>
        <v>0.17763157894736836</v>
      </c>
      <c r="I3026" s="203">
        <f>(I3025/I3027)-1</f>
        <v>0.60274963820549932</v>
      </c>
      <c r="J3026" s="203">
        <f>(J3025/J3027)-1</f>
        <v>-0.50044762757385852</v>
      </c>
      <c r="K3026" s="188"/>
      <c r="L3026" s="188"/>
      <c r="M3026" s="188"/>
      <c r="N3026" s="188"/>
      <c r="O3026" s="188"/>
      <c r="P3026" s="188"/>
      <c r="Q3026" s="188"/>
      <c r="R3026" s="188"/>
      <c r="S3026" s="188"/>
      <c r="T3026" s="180"/>
      <c r="U3026" s="189" t="str">
        <f>IFERROR(IF(Tableau3[[#This Row],[Dettes]]=0,"",(Tableau3[[#This Row],[Dettes]]/Tableau3[[#This Row],[EBE]])),"")</f>
        <v/>
      </c>
      <c r="V3026" s="190" t="str">
        <f>IFERROR(Tableau3[[#This Row],[Fonds propres]]/Tableau3[[#This Row],[Total Bilan]],"")</f>
        <v/>
      </c>
      <c r="W3026" s="180"/>
      <c r="X3026" s="192"/>
      <c r="Y3026" s="180"/>
      <c r="Z3026" s="192" t="str">
        <f>IFERROR(Tableau3[[#This Row],[Chiffre d''affaires]]/Tableau3[[#This Row],[Salariés]],"")</f>
        <v/>
      </c>
      <c r="AA3026" s="188"/>
      <c r="AB3026" s="188"/>
      <c r="AC3026" s="177" t="s">
        <v>2124</v>
      </c>
    </row>
    <row r="3027" spans="1:29" ht="20.25" customHeight="1">
      <c r="A3027" s="217"/>
      <c r="E3027" s="187"/>
      <c r="F3027" s="178">
        <v>2014</v>
      </c>
      <c r="G3027" s="188">
        <v>1979000000</v>
      </c>
      <c r="H3027" s="188">
        <v>212800000</v>
      </c>
      <c r="I3027" s="188">
        <v>138200000</v>
      </c>
      <c r="J3027" s="188">
        <v>-111700000</v>
      </c>
      <c r="K3027" s="188">
        <v>581000000</v>
      </c>
      <c r="L3027" s="188">
        <v>157185000</v>
      </c>
      <c r="M3027" s="188"/>
      <c r="N3027" s="188"/>
      <c r="O3027" s="188"/>
      <c r="P3027" s="188"/>
      <c r="Q3027" s="188"/>
      <c r="R3027" s="188"/>
      <c r="S3027" s="188"/>
      <c r="T3027" s="180"/>
      <c r="U3027" s="189">
        <f>IFERROR(IF(Tableau3[[#This Row],[Dettes]]=0,"",(Tableau3[[#This Row],[Dettes]]/Tableau3[[#This Row],[EBE]])),"")</f>
        <v>2.7302631578947367</v>
      </c>
      <c r="V3027" s="190" t="str">
        <f>IFERROR(Tableau3[[#This Row],[Fonds propres]]/Tableau3[[#This Row],[Total Bilan]],"")</f>
        <v/>
      </c>
      <c r="W3027" s="180"/>
      <c r="X3027" s="192"/>
      <c r="Y3027" s="180"/>
      <c r="Z3027" s="192" t="str">
        <f>IFERROR(Tableau3[[#This Row],[Chiffre d''affaires]]/Tableau3[[#This Row],[Salariés]],"")</f>
        <v/>
      </c>
      <c r="AA3027" s="188"/>
      <c r="AB3027" s="188"/>
      <c r="AC3027" s="177" t="s">
        <v>2125</v>
      </c>
    </row>
    <row r="3028" spans="1:29" ht="20.25" customHeight="1">
      <c r="A3028" s="217"/>
      <c r="E3028" s="187"/>
      <c r="G3028" s="202">
        <f>(G3027/G3029)-1</f>
        <v>3.3798255236901165E-2</v>
      </c>
      <c r="H3028" s="203">
        <f>(H3027/H3029)-1</f>
        <v>0.35282898919262551</v>
      </c>
      <c r="I3028" s="203">
        <f>(I3027/I3029)-1</f>
        <v>-0.20574712643678161</v>
      </c>
      <c r="J3028" s="203">
        <f>(J3027/J3029)-1</f>
        <v>0.77301587301587293</v>
      </c>
      <c r="K3028" s="188"/>
      <c r="L3028" s="188"/>
      <c r="M3028" s="188"/>
      <c r="N3028" s="188"/>
      <c r="O3028" s="188"/>
      <c r="P3028" s="188"/>
      <c r="Q3028" s="188"/>
      <c r="R3028" s="188"/>
      <c r="S3028" s="188"/>
      <c r="T3028" s="180"/>
      <c r="U3028" s="189" t="str">
        <f>IFERROR(IF(Tableau3[[#This Row],[Dettes]]=0,"",(Tableau3[[#This Row],[Dettes]]/Tableau3[[#This Row],[EBE]])),"")</f>
        <v/>
      </c>
      <c r="V3028" s="190" t="str">
        <f>IFERROR(Tableau3[[#This Row],[Fonds propres]]/Tableau3[[#This Row],[Total Bilan]],"")</f>
        <v/>
      </c>
      <c r="W3028" s="180"/>
      <c r="X3028" s="192"/>
      <c r="Y3028" s="180"/>
      <c r="Z3028" s="192" t="str">
        <f>IFERROR(Tableau3[[#This Row],[Chiffre d''affaires]]/Tableau3[[#This Row],[Salariés]],"")</f>
        <v/>
      </c>
      <c r="AA3028" s="188"/>
      <c r="AB3028" s="188"/>
      <c r="AC3028" s="177" t="s">
        <v>2126</v>
      </c>
    </row>
    <row r="3029" spans="1:29" ht="20.25" customHeight="1">
      <c r="A3029" s="217"/>
      <c r="E3029" s="187"/>
      <c r="F3029" s="178">
        <v>2013</v>
      </c>
      <c r="G3029" s="188">
        <v>1914300000</v>
      </c>
      <c r="H3029" s="188">
        <v>157300000</v>
      </c>
      <c r="I3029" s="188">
        <v>174000000</v>
      </c>
      <c r="J3029" s="188">
        <v>-63000000</v>
      </c>
      <c r="K3029" s="188">
        <v>522000000</v>
      </c>
      <c r="L3029" s="188"/>
      <c r="M3029" s="188"/>
      <c r="N3029" s="188"/>
      <c r="O3029" s="188"/>
      <c r="P3029" s="188"/>
      <c r="Q3029" s="188"/>
      <c r="R3029" s="188"/>
      <c r="S3029" s="188"/>
      <c r="T3029" s="180"/>
      <c r="U3029" s="189">
        <f>IFERROR(IF(Tableau3[[#This Row],[Dettes]]=0,"",(Tableau3[[#This Row],[Dettes]]/Tableau3[[#This Row],[EBE]])),"")</f>
        <v>3.318499682136046</v>
      </c>
      <c r="V3029" s="190" t="str">
        <f>IFERROR(Tableau3[[#This Row],[Fonds propres]]/Tableau3[[#This Row],[Total Bilan]],"")</f>
        <v/>
      </c>
      <c r="W3029" s="180"/>
      <c r="X3029" s="192"/>
      <c r="Y3029" s="180"/>
      <c r="Z3029" s="192" t="str">
        <f>IFERROR(Tableau3[[#This Row],[Chiffre d''affaires]]/Tableau3[[#This Row],[Salariés]],"")</f>
        <v/>
      </c>
      <c r="AA3029" s="188"/>
      <c r="AB3029" s="188"/>
      <c r="AC3029" s="177" t="s">
        <v>2127</v>
      </c>
    </row>
    <row r="3030" spans="1:29" ht="20.25" customHeight="1">
      <c r="A3030" s="217"/>
      <c r="E3030" s="187"/>
      <c r="G3030" s="202">
        <f>(G3029/G3031)-1</f>
        <v>-1.1208677685950463E-2</v>
      </c>
      <c r="H3030" s="203">
        <f>(H3029/H3031)-1</f>
        <v>0.32184873949579829</v>
      </c>
      <c r="I3030" s="203">
        <f>(I3029/I3031)-1</f>
        <v>0.23404255319148937</v>
      </c>
      <c r="J3030" s="203">
        <f>(J3029/J3031)-1</f>
        <v>-0.43243243243243246</v>
      </c>
      <c r="K3030" s="188"/>
      <c r="L3030" s="188"/>
      <c r="M3030" s="188"/>
      <c r="N3030" s="188"/>
      <c r="O3030" s="188"/>
      <c r="P3030" s="188"/>
      <c r="Q3030" s="188"/>
      <c r="R3030" s="188"/>
      <c r="S3030" s="188"/>
      <c r="T3030" s="180"/>
      <c r="U3030" s="189" t="str">
        <f>IFERROR(IF(Tableau3[[#This Row],[Dettes]]=0,"",(Tableau3[[#This Row],[Dettes]]/Tableau3[[#This Row],[EBE]])),"")</f>
        <v/>
      </c>
      <c r="V3030" s="190" t="str">
        <f>IFERROR(Tableau3[[#This Row],[Fonds propres]]/Tableau3[[#This Row],[Total Bilan]],"")</f>
        <v/>
      </c>
      <c r="W3030" s="180"/>
      <c r="Y3030" s="180"/>
      <c r="Z3030" s="192" t="str">
        <f>IFERROR(Tableau3[[#This Row],[Chiffre d''affaires]]/Tableau3[[#This Row],[Salariés]],"")</f>
        <v/>
      </c>
      <c r="AA3030" s="177"/>
    </row>
    <row r="3031" spans="1:29" ht="20.25" customHeight="1">
      <c r="A3031" s="217"/>
      <c r="E3031" s="187"/>
      <c r="F3031" s="178">
        <v>2012</v>
      </c>
      <c r="G3031" s="188">
        <v>1936000000</v>
      </c>
      <c r="H3031" s="188">
        <v>119000000</v>
      </c>
      <c r="I3031" s="188">
        <v>141000000</v>
      </c>
      <c r="J3031" s="188">
        <v>-111000000</v>
      </c>
      <c r="K3031" s="188">
        <v>568000000</v>
      </c>
      <c r="L3031" s="188"/>
      <c r="M3031" s="188"/>
      <c r="N3031" s="188"/>
      <c r="O3031" s="188"/>
      <c r="P3031" s="188"/>
      <c r="Q3031" s="188"/>
      <c r="R3031" s="188"/>
      <c r="S3031" s="188"/>
      <c r="T3031" s="180"/>
      <c r="U3031" s="189">
        <f>IFERROR(IF(Tableau3[[#This Row],[Dettes]]=0,"",(Tableau3[[#This Row],[Dettes]]/Tableau3[[#This Row],[EBE]])),"")</f>
        <v>4.7731092436974789</v>
      </c>
      <c r="V3031" s="190" t="str">
        <f>IFERROR(Tableau3[[#This Row],[Fonds propres]]/Tableau3[[#This Row],[Total Bilan]],"")</f>
        <v/>
      </c>
      <c r="W3031" s="180"/>
      <c r="Y3031" s="180"/>
      <c r="Z3031" s="192" t="str">
        <f>IFERROR(Tableau3[[#This Row],[Chiffre d''affaires]]/Tableau3[[#This Row],[Salariés]],"")</f>
        <v/>
      </c>
      <c r="AA3031" s="177"/>
    </row>
    <row r="3032" spans="1:29" ht="20.25" customHeight="1">
      <c r="A3032" s="217"/>
      <c r="E3032" s="187"/>
      <c r="G3032" s="188"/>
      <c r="H3032" s="188"/>
      <c r="I3032" s="188"/>
      <c r="J3032" s="188"/>
      <c r="K3032" s="188"/>
      <c r="L3032" s="188"/>
      <c r="M3032" s="188"/>
      <c r="N3032" s="188"/>
      <c r="O3032" s="188"/>
      <c r="P3032" s="188"/>
      <c r="Q3032" s="188"/>
      <c r="R3032" s="188"/>
      <c r="S3032" s="188"/>
      <c r="T3032" s="180"/>
      <c r="U3032" s="189" t="str">
        <f>IFERROR(IF(Tableau3[[#This Row],[Dettes]]=0,"",(Tableau3[[#This Row],[Dettes]]/Tableau3[[#This Row],[EBE]])),"")</f>
        <v/>
      </c>
      <c r="V3032" s="190" t="str">
        <f>IFERROR(Tableau3[[#This Row],[Fonds propres]]/Tableau3[[#This Row],[Total Bilan]],"")</f>
        <v/>
      </c>
      <c r="W3032" s="180"/>
      <c r="X3032" s="192"/>
      <c r="Y3032" s="180"/>
      <c r="Z3032" s="192" t="str">
        <f>IFERROR(Tableau3[[#This Row],[Chiffre d''affaires]]/Tableau3[[#This Row],[Salariés]],"")</f>
        <v/>
      </c>
      <c r="AA3032" s="188"/>
      <c r="AB3032" s="188"/>
    </row>
    <row r="3033" spans="1:29" ht="20.25" customHeight="1">
      <c r="A3033" s="217"/>
      <c r="E3033" s="187"/>
      <c r="F3033" s="178">
        <v>2011</v>
      </c>
      <c r="G3033" s="188">
        <v>1969888000</v>
      </c>
      <c r="H3033" s="188">
        <v>92000000</v>
      </c>
      <c r="I3033" s="188">
        <v>234600000</v>
      </c>
      <c r="J3033" s="188"/>
      <c r="K3033" s="188"/>
      <c r="L3033" s="188"/>
      <c r="M3033" s="188"/>
      <c r="N3033" s="188"/>
      <c r="O3033" s="188"/>
      <c r="P3033" s="188"/>
      <c r="Q3033" s="188"/>
      <c r="R3033" s="188"/>
      <c r="S3033" s="188"/>
      <c r="T3033" s="180"/>
      <c r="U3033" s="189" t="str">
        <f>IFERROR(IF(Tableau3[[#This Row],[Dettes]]=0,"",(Tableau3[[#This Row],[Dettes]]/Tableau3[[#This Row],[EBE]])),"")</f>
        <v/>
      </c>
      <c r="V3033" s="190" t="str">
        <f>IFERROR(Tableau3[[#This Row],[Fonds propres]]/Tableau3[[#This Row],[Total Bilan]],"")</f>
        <v/>
      </c>
      <c r="W3033" s="180"/>
      <c r="X3033" s="192"/>
      <c r="Y3033" s="180"/>
      <c r="Z3033" s="192" t="str">
        <f>IFERROR(Tableau3[[#This Row],[Chiffre d''affaires]]/Tableau3[[#This Row],[Salariés]],"")</f>
        <v/>
      </c>
      <c r="AA3033" s="188"/>
      <c r="AB3033" s="188"/>
    </row>
    <row r="3034" spans="1:29" ht="20.25" customHeight="1">
      <c r="A3034" s="217"/>
      <c r="E3034" s="187"/>
      <c r="G3034" s="188"/>
      <c r="H3034" s="188"/>
      <c r="I3034" s="188"/>
      <c r="J3034" s="188"/>
      <c r="K3034" s="188"/>
      <c r="L3034" s="188"/>
      <c r="M3034" s="188"/>
      <c r="N3034" s="188"/>
      <c r="O3034" s="188"/>
      <c r="P3034" s="188"/>
      <c r="Q3034" s="188"/>
      <c r="R3034" s="188"/>
      <c r="S3034" s="188"/>
      <c r="T3034" s="180"/>
      <c r="U3034" s="189" t="str">
        <f>IFERROR(IF(Tableau3[[#This Row],[Dettes]]=0,"",(Tableau3[[#This Row],[Dettes]]/Tableau3[[#This Row],[EBE]])),"")</f>
        <v/>
      </c>
      <c r="V3034" s="190" t="str">
        <f>IFERROR(Tableau3[[#This Row],[Fonds propres]]/Tableau3[[#This Row],[Total Bilan]],"")</f>
        <v/>
      </c>
      <c r="W3034" s="180"/>
      <c r="X3034" s="192"/>
      <c r="Y3034" s="180"/>
      <c r="Z3034" s="192" t="str">
        <f>IFERROR(Tableau3[[#This Row],[Chiffre d''affaires]]/Tableau3[[#This Row],[Salariés]],"")</f>
        <v/>
      </c>
      <c r="AA3034" s="188"/>
      <c r="AB3034" s="188"/>
    </row>
    <row r="3035" spans="1:29" ht="20.25" customHeight="1">
      <c r="A3035" s="217"/>
      <c r="E3035" s="187"/>
      <c r="F3035" s="178">
        <v>2010</v>
      </c>
      <c r="G3035" s="188">
        <v>1973000000</v>
      </c>
      <c r="H3035" s="188"/>
      <c r="I3035" s="188">
        <v>242700000</v>
      </c>
      <c r="J3035" s="188"/>
      <c r="K3035" s="188"/>
      <c r="L3035" s="188"/>
      <c r="M3035" s="188"/>
      <c r="N3035" s="188"/>
      <c r="O3035" s="188"/>
      <c r="P3035" s="188"/>
      <c r="Q3035" s="188"/>
      <c r="R3035" s="188"/>
      <c r="S3035" s="188"/>
      <c r="T3035" s="180"/>
      <c r="U3035" s="189" t="str">
        <f>IFERROR(IF(Tableau3[[#This Row],[Dettes]]=0,"",(Tableau3[[#This Row],[Dettes]]/Tableau3[[#This Row],[EBE]])),"")</f>
        <v/>
      </c>
      <c r="V3035" s="190" t="str">
        <f>IFERROR(Tableau3[[#This Row],[Fonds propres]]/Tableau3[[#This Row],[Total Bilan]],"")</f>
        <v/>
      </c>
      <c r="W3035" s="180"/>
      <c r="X3035" s="192"/>
      <c r="Y3035" s="180"/>
      <c r="Z3035" s="192" t="str">
        <f>IFERROR(Tableau3[[#This Row],[Chiffre d''affaires]]/Tableau3[[#This Row],[Salariés]],"")</f>
        <v/>
      </c>
      <c r="AA3035" s="188"/>
      <c r="AB3035" s="188"/>
    </row>
    <row r="3036" spans="1:29" ht="20.25" customHeight="1">
      <c r="A3036" s="217"/>
      <c r="E3036" s="187"/>
      <c r="G3036" s="188"/>
      <c r="H3036" s="188"/>
      <c r="I3036" s="188"/>
      <c r="J3036" s="188"/>
      <c r="K3036" s="188"/>
      <c r="L3036" s="188"/>
      <c r="M3036" s="188"/>
      <c r="N3036" s="188"/>
      <c r="O3036" s="188"/>
      <c r="P3036" s="188"/>
      <c r="Q3036" s="188"/>
      <c r="R3036" s="188"/>
      <c r="S3036" s="188"/>
      <c r="T3036" s="180"/>
      <c r="U3036" s="189" t="str">
        <f>IFERROR(IF(Tableau3[[#This Row],[Dettes]]=0,"",(Tableau3[[#This Row],[Dettes]]/Tableau3[[#This Row],[EBE]])),"")</f>
        <v/>
      </c>
      <c r="V3036" s="190" t="str">
        <f>IFERROR(Tableau3[[#This Row],[Fonds propres]]/Tableau3[[#This Row],[Total Bilan]],"")</f>
        <v/>
      </c>
      <c r="W3036" s="180"/>
      <c r="X3036" s="192"/>
      <c r="Y3036" s="180"/>
      <c r="Z3036" s="192" t="str">
        <f>IFERROR(Tableau3[[#This Row],[Chiffre d''affaires]]/Tableau3[[#This Row],[Salariés]],"")</f>
        <v/>
      </c>
      <c r="AA3036" s="188"/>
      <c r="AB3036" s="188"/>
    </row>
    <row r="3037" spans="1:29" ht="20.25" customHeight="1">
      <c r="A3037" s="217"/>
      <c r="E3037" s="187"/>
      <c r="F3037" s="178">
        <v>2009</v>
      </c>
      <c r="G3037" s="188">
        <v>1851000000</v>
      </c>
      <c r="H3037" s="188"/>
      <c r="I3037" s="188">
        <v>213000000</v>
      </c>
      <c r="J3037" s="188"/>
      <c r="K3037" s="188"/>
      <c r="L3037" s="188"/>
      <c r="M3037" s="188"/>
      <c r="N3037" s="188"/>
      <c r="O3037" s="188"/>
      <c r="P3037" s="188"/>
      <c r="Q3037" s="188"/>
      <c r="R3037" s="188"/>
      <c r="S3037" s="188"/>
      <c r="T3037" s="180"/>
      <c r="U3037" s="189" t="str">
        <f>IFERROR(IF(Tableau3[[#This Row],[Dettes]]=0,"",(Tableau3[[#This Row],[Dettes]]/Tableau3[[#This Row],[EBE]])),"")</f>
        <v/>
      </c>
      <c r="V3037" s="190" t="str">
        <f>IFERROR(Tableau3[[#This Row],[Fonds propres]]/Tableau3[[#This Row],[Total Bilan]],"")</f>
        <v/>
      </c>
      <c r="W3037" s="180"/>
      <c r="X3037" s="192"/>
      <c r="Y3037" s="180"/>
      <c r="Z3037" s="192" t="str">
        <f>IFERROR(Tableau3[[#This Row],[Chiffre d''affaires]]/Tableau3[[#This Row],[Salariés]],"")</f>
        <v/>
      </c>
      <c r="AA3037" s="188"/>
      <c r="AB3037" s="188"/>
    </row>
    <row r="3038" spans="1:29" ht="20.25" customHeight="1">
      <c r="A3038" s="217"/>
      <c r="E3038" s="187"/>
      <c r="G3038" s="188"/>
      <c r="H3038" s="188"/>
      <c r="I3038" s="188"/>
      <c r="J3038" s="188"/>
      <c r="K3038" s="188"/>
      <c r="L3038" s="188"/>
      <c r="M3038" s="188"/>
      <c r="N3038" s="188"/>
      <c r="O3038" s="188"/>
      <c r="P3038" s="188"/>
      <c r="Q3038" s="188"/>
      <c r="R3038" s="188"/>
      <c r="S3038" s="188"/>
      <c r="T3038" s="180"/>
      <c r="U3038" s="189" t="str">
        <f>IFERROR(IF(Tableau3[[#This Row],[Dettes]]=0,"",(Tableau3[[#This Row],[Dettes]]/Tableau3[[#This Row],[EBE]])),"")</f>
        <v/>
      </c>
      <c r="V3038" s="190" t="str">
        <f>IFERROR(Tableau3[[#This Row],[Fonds propres]]/Tableau3[[#This Row],[Total Bilan]],"")</f>
        <v/>
      </c>
      <c r="W3038" s="180"/>
      <c r="X3038" s="192"/>
      <c r="Y3038" s="180"/>
      <c r="Z3038" s="192" t="str">
        <f>IFERROR(Tableau3[[#This Row],[Chiffre d''affaires]]/Tableau3[[#This Row],[Salariés]],"")</f>
        <v/>
      </c>
      <c r="AA3038" s="188"/>
      <c r="AB3038" s="188"/>
    </row>
    <row r="3039" spans="1:29" ht="20.25" customHeight="1">
      <c r="A3039" s="217"/>
      <c r="E3039" s="187"/>
      <c r="F3039" s="178">
        <v>2008</v>
      </c>
      <c r="G3039" s="188">
        <v>2075000000</v>
      </c>
      <c r="H3039" s="188"/>
      <c r="I3039" s="188">
        <v>248000000</v>
      </c>
      <c r="J3039" s="188"/>
      <c r="K3039" s="188"/>
      <c r="L3039" s="188">
        <v>497000000</v>
      </c>
      <c r="M3039" s="188"/>
      <c r="N3039" s="188"/>
      <c r="O3039" s="188"/>
      <c r="P3039" s="188"/>
      <c r="Q3039" s="188"/>
      <c r="R3039" s="188"/>
      <c r="S3039" s="188"/>
      <c r="T3039" s="180"/>
      <c r="U3039" s="189" t="str">
        <f>IFERROR(IF(Tableau3[[#This Row],[Dettes]]=0,"",(Tableau3[[#This Row],[Dettes]]/Tableau3[[#This Row],[EBE]])),"")</f>
        <v/>
      </c>
      <c r="V3039" s="190" t="str">
        <f>IFERROR(Tableau3[[#This Row],[Fonds propres]]/Tableau3[[#This Row],[Total Bilan]],"")</f>
        <v/>
      </c>
      <c r="W3039" s="180"/>
      <c r="X3039" s="192"/>
      <c r="Y3039" s="180"/>
      <c r="Z3039" s="192" t="str">
        <f>IFERROR(Tableau3[[#This Row],[Chiffre d''affaires]]/Tableau3[[#This Row],[Salariés]],"")</f>
        <v/>
      </c>
      <c r="AA3039" s="188"/>
      <c r="AB3039" s="188"/>
    </row>
    <row r="3040" spans="1:29" ht="20.25" customHeight="1">
      <c r="A3040" s="217"/>
      <c r="E3040" s="187"/>
      <c r="G3040" s="188"/>
      <c r="H3040" s="188"/>
      <c r="I3040" s="188"/>
      <c r="J3040" s="188"/>
      <c r="K3040" s="188"/>
      <c r="L3040" s="188"/>
      <c r="M3040" s="188"/>
      <c r="N3040" s="188"/>
      <c r="O3040" s="188"/>
      <c r="P3040" s="188"/>
      <c r="Q3040" s="188"/>
      <c r="R3040" s="188"/>
      <c r="S3040" s="188"/>
      <c r="T3040" s="180"/>
      <c r="U3040" s="189" t="str">
        <f>IFERROR(IF(Tableau3[[#This Row],[Dettes]]=0,"",(Tableau3[[#This Row],[Dettes]]/Tableau3[[#This Row],[EBE]])),"")</f>
        <v/>
      </c>
      <c r="V3040" s="190" t="str">
        <f>IFERROR(Tableau3[[#This Row],[Fonds propres]]/Tableau3[[#This Row],[Total Bilan]],"")</f>
        <v/>
      </c>
      <c r="W3040" s="180"/>
      <c r="X3040" s="192"/>
      <c r="Y3040" s="180"/>
      <c r="Z3040" s="192" t="str">
        <f>IFERROR(Tableau3[[#This Row],[Chiffre d''affaires]]/Tableau3[[#This Row],[Salariés]],"")</f>
        <v/>
      </c>
      <c r="AA3040" s="188"/>
      <c r="AB3040" s="188"/>
    </row>
    <row r="3041" spans="1:29" ht="20.25" customHeight="1">
      <c r="A3041" s="217"/>
      <c r="F3041" s="217" t="s">
        <v>2128</v>
      </c>
      <c r="G3041" s="188"/>
      <c r="H3041" s="188"/>
      <c r="I3041" s="188"/>
      <c r="J3041" s="188"/>
      <c r="K3041" s="188"/>
      <c r="L3041" s="188"/>
      <c r="M3041" s="188"/>
      <c r="N3041" s="188"/>
      <c r="O3041" s="188"/>
      <c r="P3041" s="188"/>
      <c r="Q3041" s="188"/>
      <c r="R3041" s="188"/>
      <c r="S3041" s="188"/>
      <c r="T3041" s="180"/>
      <c r="U3041" s="189" t="str">
        <f>IFERROR(IF(Tableau3[[#This Row],[Dettes]]=0,"",(Tableau3[[#This Row],[Dettes]]/Tableau3[[#This Row],[EBE]])),"")</f>
        <v/>
      </c>
      <c r="V3041" s="190" t="str">
        <f>IFERROR(Tableau3[[#This Row],[Fonds propres]]/Tableau3[[#This Row],[Total Bilan]],"")</f>
        <v/>
      </c>
      <c r="W3041" s="180"/>
      <c r="X3041" s="192"/>
      <c r="Y3041" s="180"/>
      <c r="Z3041" s="192" t="str">
        <f>IFERROR(Tableau3[[#This Row],[Chiffre d''affaires]]/Tableau3[[#This Row],[Salariés]],"")</f>
        <v/>
      </c>
      <c r="AA3041" s="188"/>
      <c r="AB3041" s="188"/>
    </row>
    <row r="3042" spans="1:29" ht="20.25" customHeight="1">
      <c r="A3042" s="217"/>
      <c r="E3042" s="187"/>
      <c r="G3042" s="188"/>
      <c r="H3042" s="178"/>
      <c r="I3042" s="178"/>
      <c r="J3042" s="178"/>
      <c r="K3042" s="178"/>
      <c r="L3042" s="178"/>
      <c r="M3042" s="178"/>
      <c r="N3042" s="178"/>
      <c r="O3042" s="178"/>
      <c r="P3042" s="178"/>
      <c r="Q3042" s="178"/>
      <c r="R3042" s="178"/>
      <c r="S3042" s="178"/>
      <c r="T3042" s="180"/>
      <c r="U3042" s="189" t="str">
        <f>IFERROR(IF(Tableau3[[#This Row],[Dettes]]=0,"",(Tableau3[[#This Row],[Dettes]]/Tableau3[[#This Row],[EBE]])),"")</f>
        <v/>
      </c>
      <c r="V3042" s="190" t="str">
        <f>IFERROR(Tableau3[[#This Row],[Fonds propres]]/Tableau3[[#This Row],[Total Bilan]],"")</f>
        <v/>
      </c>
      <c r="W3042" s="180"/>
      <c r="Y3042" s="180"/>
      <c r="Z3042" s="192" t="str">
        <f>IFERROR(Tableau3[[#This Row],[Chiffre d''affaires]]/Tableau3[[#This Row],[Salariés]],"")</f>
        <v/>
      </c>
      <c r="AA3042" s="177"/>
    </row>
    <row r="3043" spans="1:29" ht="20.25" customHeight="1">
      <c r="A3043" s="217"/>
      <c r="E3043" s="187"/>
      <c r="G3043" s="188"/>
      <c r="H3043" s="178"/>
      <c r="I3043" s="178"/>
      <c r="J3043" s="178"/>
      <c r="K3043" s="178"/>
      <c r="L3043" s="178"/>
      <c r="M3043" s="178"/>
      <c r="N3043" s="178"/>
      <c r="O3043" s="178"/>
      <c r="P3043" s="178"/>
      <c r="Q3043" s="178"/>
      <c r="R3043" s="178"/>
      <c r="S3043" s="178"/>
      <c r="T3043" s="180"/>
      <c r="U3043" s="189" t="str">
        <f>IFERROR(IF(Tableau3[[#This Row],[Dettes]]=0,"",(Tableau3[[#This Row],[Dettes]]/Tableau3[[#This Row],[EBE]])),"")</f>
        <v/>
      </c>
      <c r="V3043" s="190" t="str">
        <f>IFERROR(Tableau3[[#This Row],[Fonds propres]]/Tableau3[[#This Row],[Total Bilan]],"")</f>
        <v/>
      </c>
      <c r="W3043" s="180"/>
      <c r="Y3043" s="180"/>
      <c r="Z3043" s="192" t="str">
        <f>IFERROR(Tableau3[[#This Row],[Chiffre d''affaires]]/Tableau3[[#This Row],[Salariés]],"")</f>
        <v/>
      </c>
      <c r="AA3043" s="177"/>
    </row>
    <row r="3044" spans="1:29" ht="20.25" customHeight="1">
      <c r="A3044" s="217"/>
      <c r="E3044" s="187"/>
      <c r="G3044" s="188"/>
      <c r="H3044" s="178"/>
      <c r="I3044" s="178"/>
      <c r="J3044" s="178"/>
      <c r="K3044" s="178"/>
      <c r="L3044" s="178"/>
      <c r="M3044" s="178"/>
      <c r="N3044" s="178"/>
      <c r="O3044" s="178"/>
      <c r="P3044" s="178"/>
      <c r="Q3044" s="178"/>
      <c r="R3044" s="178"/>
      <c r="S3044" s="178"/>
      <c r="T3044" s="180"/>
      <c r="U3044" s="189" t="str">
        <f>IFERROR(IF(Tableau3[[#This Row],[Dettes]]=0,"",(Tableau3[[#This Row],[Dettes]]/Tableau3[[#This Row],[EBE]])),"")</f>
        <v/>
      </c>
      <c r="V3044" s="190" t="str">
        <f>IFERROR(Tableau3[[#This Row],[Fonds propres]]/Tableau3[[#This Row],[Total Bilan]],"")</f>
        <v/>
      </c>
      <c r="W3044" s="180"/>
      <c r="Y3044" s="180"/>
      <c r="Z3044" s="192" t="str">
        <f>IFERROR(Tableau3[[#This Row],[Chiffre d''affaires]]/Tableau3[[#This Row],[Salariés]],"")</f>
        <v/>
      </c>
      <c r="AA3044" s="177"/>
    </row>
    <row r="3045" spans="1:29" ht="20.25" customHeight="1">
      <c r="A3045" s="217" t="s">
        <v>2149</v>
      </c>
      <c r="B3045" s="216" t="s">
        <v>2150</v>
      </c>
      <c r="C3045" s="178" t="s">
        <v>84</v>
      </c>
      <c r="D3045" s="178" t="s">
        <v>85</v>
      </c>
      <c r="E3045" s="187"/>
      <c r="F3045" s="178">
        <v>2025</v>
      </c>
      <c r="G3045" s="188"/>
      <c r="H3045" s="178"/>
      <c r="I3045" s="178"/>
      <c r="J3045" s="178"/>
      <c r="K3045" s="178"/>
      <c r="L3045" s="178"/>
      <c r="M3045" s="194"/>
      <c r="N3045" s="178"/>
      <c r="O3045" s="178"/>
      <c r="P3045" s="178"/>
      <c r="Q3045" s="178"/>
      <c r="R3045" s="178"/>
      <c r="S3045" s="178"/>
      <c r="T3045" s="180"/>
      <c r="U3045" s="189" t="str">
        <f>IFERROR(IF(Tableau3[[#This Row],[Dettes]]=0,"",(Tableau3[[#This Row],[Dettes]]/Tableau3[[#This Row],[EBE]])),"")</f>
        <v/>
      </c>
      <c r="V3045" s="190" t="str">
        <f>IFERROR(Tableau3[[#This Row],[Fonds propres]]/Tableau3[[#This Row],[Total Bilan]],"")</f>
        <v/>
      </c>
      <c r="W3045" s="180"/>
      <c r="Y3045" s="180"/>
      <c r="Z3045" s="192" t="str">
        <f>IFERROR(Tableau3[[#This Row],[Chiffre d''affaires]]/Tableau3[[#This Row],[Salariés]],"")</f>
        <v/>
      </c>
      <c r="AA3045" s="178" t="s">
        <v>101</v>
      </c>
      <c r="AC3045" s="177" t="s">
        <v>2151</v>
      </c>
    </row>
    <row r="3046" spans="1:29" ht="20.25" customHeight="1">
      <c r="A3046" s="217"/>
      <c r="E3046" s="187"/>
      <c r="G3046" s="188"/>
      <c r="H3046" s="178"/>
      <c r="I3046" s="178"/>
      <c r="J3046" s="178"/>
      <c r="K3046" s="178"/>
      <c r="L3046" s="178"/>
      <c r="M3046" s="194"/>
      <c r="N3046" s="178"/>
      <c r="O3046" s="178"/>
      <c r="P3046" s="178"/>
      <c r="Q3046" s="178"/>
      <c r="R3046" s="178"/>
      <c r="S3046" s="178"/>
      <c r="T3046" s="180"/>
      <c r="U3046" s="189" t="str">
        <f>IFERROR(IF(Tableau3[[#This Row],[Dettes]]=0,"",(Tableau3[[#This Row],[Dettes]]/Tableau3[[#This Row],[EBE]])),"")</f>
        <v/>
      </c>
      <c r="V3046" s="190" t="str">
        <f>IFERROR(Tableau3[[#This Row],[Fonds propres]]/Tableau3[[#This Row],[Total Bilan]],"")</f>
        <v/>
      </c>
      <c r="W3046" s="180"/>
      <c r="Y3046" s="180"/>
      <c r="Z3046" s="192" t="str">
        <f>IFERROR(Tableau3[[#This Row],[Chiffre d''affaires]]/Tableau3[[#This Row],[Salariés]],"")</f>
        <v/>
      </c>
      <c r="AA3046" s="178" t="s">
        <v>168</v>
      </c>
      <c r="AC3046" s="177" t="s">
        <v>2153</v>
      </c>
    </row>
    <row r="3047" spans="1:29" ht="20.25" customHeight="1">
      <c r="A3047" s="217"/>
      <c r="E3047" s="187">
        <v>23.64</v>
      </c>
      <c r="F3047" s="178">
        <v>2024</v>
      </c>
      <c r="G3047" s="188">
        <v>19000000000</v>
      </c>
      <c r="H3047" s="178"/>
      <c r="I3047" s="178"/>
      <c r="J3047" s="188">
        <v>-400000000</v>
      </c>
      <c r="K3047" s="188">
        <v>3500000000</v>
      </c>
      <c r="L3047" s="188">
        <v>4300000000</v>
      </c>
      <c r="M3047" s="194">
        <f>L3047/P3047</f>
        <v>24.110449588282393</v>
      </c>
      <c r="N3047" s="190">
        <f>J3047/L3049</f>
        <v>-8.5215168299957386E-2</v>
      </c>
      <c r="O3047" s="178"/>
      <c r="P3047" s="188">
        <v>178345907</v>
      </c>
      <c r="Q3047" s="188">
        <f>P3047*E3047</f>
        <v>4216097241.48</v>
      </c>
      <c r="R3047" s="195">
        <f>Q3047/L3047</f>
        <v>0.98048773057674421</v>
      </c>
      <c r="S3047" s="178"/>
      <c r="T3047" s="180"/>
      <c r="U3047" s="189" t="str">
        <f>IFERROR(IF(Tableau3[[#This Row],[Dettes]]=0,"",(Tableau3[[#This Row],[Dettes]]/Tableau3[[#This Row],[EBE]])),"")</f>
        <v/>
      </c>
      <c r="V3047" s="190" t="str">
        <f>IFERROR(Tableau3[[#This Row],[Fonds propres]]/Tableau3[[#This Row],[Total Bilan]],"")</f>
        <v/>
      </c>
      <c r="W3047" s="180"/>
      <c r="X3047" s="192" t="s">
        <v>2154</v>
      </c>
      <c r="Y3047" s="180"/>
      <c r="Z3047" s="192" t="str">
        <f>IFERROR(Tableau3[[#This Row],[Chiffre d''affaires]]/Tableau3[[#This Row],[Salariés]],"")</f>
        <v/>
      </c>
      <c r="AA3047" s="188" t="s">
        <v>107</v>
      </c>
      <c r="AC3047" s="177" t="s">
        <v>2155</v>
      </c>
    </row>
    <row r="3048" spans="1:29" ht="20.25" customHeight="1">
      <c r="A3048" s="217"/>
      <c r="E3048" s="187"/>
      <c r="G3048" s="202">
        <f>(G3047/G3049)-1</f>
        <v>-1.9152341128491068E-2</v>
      </c>
      <c r="H3048" s="203"/>
      <c r="I3048" s="203"/>
      <c r="J3048" s="203">
        <f>(J3047/J3049)-1</f>
        <v>-1.5128205128205128</v>
      </c>
      <c r="K3048" s="178"/>
      <c r="L3048" s="178"/>
      <c r="M3048" s="194"/>
      <c r="N3048" s="178"/>
      <c r="O3048" s="178"/>
      <c r="P3048" s="178"/>
      <c r="Q3048" s="178"/>
      <c r="R3048" s="178"/>
      <c r="S3048" s="178"/>
      <c r="T3048" s="180"/>
      <c r="U3048" s="189" t="str">
        <f>IFERROR(IF(Tableau3[[#This Row],[Dettes]]=0,"",(Tableau3[[#This Row],[Dettes]]/Tableau3[[#This Row],[EBE]])),"")</f>
        <v/>
      </c>
      <c r="V3048" s="190" t="str">
        <f>IFERROR(Tableau3[[#This Row],[Fonds propres]]/Tableau3[[#This Row],[Total Bilan]],"")</f>
        <v/>
      </c>
      <c r="W3048" s="180"/>
      <c r="Y3048" s="180"/>
      <c r="Z3048" s="192" t="str">
        <f>IFERROR(Tableau3[[#This Row],[Chiffre d''affaires]]/Tableau3[[#This Row],[Salariés]],"")</f>
        <v/>
      </c>
      <c r="AC3048" s="177" t="s">
        <v>2156</v>
      </c>
    </row>
    <row r="3049" spans="1:29" ht="20.25" customHeight="1">
      <c r="A3049" s="217"/>
      <c r="E3049" s="187">
        <v>26.46</v>
      </c>
      <c r="F3049" s="178">
        <v>2023</v>
      </c>
      <c r="G3049" s="188">
        <v>19371000000</v>
      </c>
      <c r="H3049" s="178"/>
      <c r="I3049" s="188">
        <v>1366000000</v>
      </c>
      <c r="J3049" s="188">
        <v>780000000</v>
      </c>
      <c r="K3049" s="188">
        <v>3243000000</v>
      </c>
      <c r="L3049" s="188">
        <v>4694000000</v>
      </c>
      <c r="M3049" s="194">
        <f>L3049/P3049</f>
        <v>26.319639620325013</v>
      </c>
      <c r="N3049" s="190">
        <f>J3049/L3051</f>
        <v>0.17926913353252125</v>
      </c>
      <c r="O3049" s="178"/>
      <c r="P3049" s="188">
        <v>178345907</v>
      </c>
      <c r="Q3049" s="188">
        <f>P3049*E3049</f>
        <v>4719032699.2200003</v>
      </c>
      <c r="R3049" s="195">
        <f>Q3049/L3049</f>
        <v>1.0053329141925864</v>
      </c>
      <c r="S3049" s="178"/>
      <c r="T3049" s="180"/>
      <c r="U3049" s="189" t="str">
        <f>IFERROR(IF(Tableau3[[#This Row],[Dettes]]=0,"",(Tableau3[[#This Row],[Dettes]]/Tableau3[[#This Row],[EBE]])),"")</f>
        <v/>
      </c>
      <c r="V3049" s="190" t="str">
        <f>IFERROR(Tableau3[[#This Row],[Fonds propres]]/Tableau3[[#This Row],[Total Bilan]],"")</f>
        <v/>
      </c>
      <c r="W3049" s="180"/>
      <c r="X3049" s="192"/>
      <c r="Y3049" s="180"/>
      <c r="Z3049" s="192" t="str">
        <f>IFERROR(Tableau3[[#This Row],[Chiffre d''affaires]]/Tableau3[[#This Row],[Salariés]],"")</f>
        <v/>
      </c>
      <c r="AC3049" s="177" t="s">
        <v>2157</v>
      </c>
    </row>
    <row r="3050" spans="1:29" ht="20.25" customHeight="1">
      <c r="A3050" s="217"/>
      <c r="E3050" s="187"/>
      <c r="G3050" s="202">
        <f>(G3049/G3051)-1</f>
        <v>-1.8295155078045799E-2</v>
      </c>
      <c r="H3050" s="203"/>
      <c r="I3050" s="203">
        <f>(I3049/I3051)-1</f>
        <v>1365</v>
      </c>
      <c r="J3050" s="203">
        <f>(J3049/J3051)-1</f>
        <v>-3.5913621262458473</v>
      </c>
      <c r="K3050" s="178"/>
      <c r="L3050" s="188"/>
      <c r="M3050" s="194"/>
      <c r="N3050" s="178"/>
      <c r="O3050" s="178"/>
      <c r="P3050" s="178"/>
      <c r="Q3050" s="178"/>
      <c r="R3050" s="178"/>
      <c r="S3050" s="178"/>
      <c r="T3050" s="180"/>
      <c r="U3050" s="189" t="str">
        <f>IFERROR(IF(Tableau3[[#This Row],[Dettes]]=0,"",(Tableau3[[#This Row],[Dettes]]/Tableau3[[#This Row],[EBE]])),"")</f>
        <v/>
      </c>
      <c r="V3050" s="190" t="str">
        <f>IFERROR(Tableau3[[#This Row],[Fonds propres]]/Tableau3[[#This Row],[Total Bilan]],"")</f>
        <v/>
      </c>
      <c r="W3050" s="180"/>
      <c r="X3050" s="192"/>
      <c r="Y3050" s="180"/>
      <c r="Z3050" s="192" t="str">
        <f>IFERROR(Tableau3[[#This Row],[Chiffre d''affaires]]/Tableau3[[#This Row],[Salariés]],"")</f>
        <v/>
      </c>
      <c r="AC3050" s="177" t="s">
        <v>2158</v>
      </c>
    </row>
    <row r="3051" spans="1:29" ht="20.25" customHeight="1">
      <c r="A3051" s="217"/>
      <c r="E3051" s="187">
        <v>21.5</v>
      </c>
      <c r="F3051" s="178">
        <v>2022</v>
      </c>
      <c r="G3051" s="188">
        <v>19732000000</v>
      </c>
      <c r="H3051" s="188">
        <v>26000000</v>
      </c>
      <c r="I3051" s="188">
        <v>1000000</v>
      </c>
      <c r="J3051" s="188">
        <v>-301000000</v>
      </c>
      <c r="K3051" s="188">
        <v>3293000000</v>
      </c>
      <c r="L3051" s="188">
        <v>4351000000</v>
      </c>
      <c r="M3051" s="194">
        <f>L3051/P3051</f>
        <v>24.396410734562021</v>
      </c>
      <c r="N3051" s="190">
        <f>J3051/L3053</f>
        <v>-4.7141738449490996E-2</v>
      </c>
      <c r="O3051" s="178"/>
      <c r="P3051" s="188">
        <v>178345907</v>
      </c>
      <c r="Q3051" s="188">
        <f>P3051*E3051</f>
        <v>3834437000.5</v>
      </c>
      <c r="R3051" s="195">
        <f>Q3051/L3051</f>
        <v>0.88127717777522407</v>
      </c>
      <c r="S3051" s="188"/>
      <c r="T3051" s="180">
        <v>-500000000</v>
      </c>
      <c r="U3051" s="189">
        <f>IFERROR(IF(Tableau3[[#This Row],[Dettes]]=0,"",(Tableau3[[#This Row],[Dettes]]/Tableau3[[#This Row],[EBE]])),"")</f>
        <v>126.65384615384616</v>
      </c>
      <c r="V3051" s="190">
        <f>IFERROR(Tableau3[[#This Row],[Fonds propres]]/Tableau3[[#This Row],[Total Bilan]],"")</f>
        <v>7.863584608989535E-2</v>
      </c>
      <c r="W3051" s="180">
        <v>55331000000</v>
      </c>
      <c r="X3051" s="192"/>
      <c r="Y3051" s="180">
        <v>3522</v>
      </c>
      <c r="Z3051" s="192">
        <f>IFERROR(Tableau3[[#This Row],[Chiffre d''affaires]]/Tableau3[[#This Row],[Salariés]],"")</f>
        <v>5602498.5803520726</v>
      </c>
      <c r="AC3051" s="177" t="s">
        <v>2159</v>
      </c>
    </row>
    <row r="3052" spans="1:29" ht="20.25" customHeight="1">
      <c r="A3052" s="217"/>
      <c r="E3052" s="187"/>
      <c r="G3052" s="202">
        <f>(G3051/G3053)-1</f>
        <v>0.1211363636363636</v>
      </c>
      <c r="H3052" s="203"/>
      <c r="I3052" s="203">
        <f>(I3051/I3053)-1</f>
        <v>-0.99874213836477987</v>
      </c>
      <c r="J3052" s="203">
        <f>(J3051/J3053)-1</f>
        <v>-1.6600877192982457</v>
      </c>
      <c r="K3052" s="178"/>
      <c r="L3052" s="178"/>
      <c r="M3052" s="194"/>
      <c r="N3052" s="178"/>
      <c r="O3052" s="178"/>
      <c r="P3052" s="178"/>
      <c r="Q3052" s="178"/>
      <c r="R3052" s="178"/>
      <c r="S3052" s="188"/>
      <c r="T3052" s="180"/>
      <c r="U3052" s="189" t="str">
        <f>IFERROR(IF(Tableau3[[#This Row],[Dettes]]=0,"",(Tableau3[[#This Row],[Dettes]]/Tableau3[[#This Row],[EBE]])),"")</f>
        <v/>
      </c>
      <c r="V3052" s="190" t="str">
        <f>IFERROR(Tableau3[[#This Row],[Fonds propres]]/Tableau3[[#This Row],[Total Bilan]],"")</f>
        <v/>
      </c>
      <c r="W3052" s="180"/>
      <c r="Y3052" s="180"/>
      <c r="Z3052" s="192" t="str">
        <f>IFERROR(Tableau3[[#This Row],[Chiffre d''affaires]]/Tableau3[[#This Row],[Salariés]],"")</f>
        <v/>
      </c>
      <c r="AC3052" s="177" t="s">
        <v>2160</v>
      </c>
    </row>
    <row r="3053" spans="1:29" ht="20.25" customHeight="1">
      <c r="A3053" s="217"/>
      <c r="E3053" s="187">
        <v>27.4</v>
      </c>
      <c r="F3053" s="178">
        <v>2021</v>
      </c>
      <c r="G3053" s="188">
        <v>17600000000</v>
      </c>
      <c r="H3053" s="188">
        <v>841000000</v>
      </c>
      <c r="I3053" s="188">
        <v>795000000</v>
      </c>
      <c r="J3053" s="188">
        <v>456000000</v>
      </c>
      <c r="K3053" s="188">
        <v>3226000000</v>
      </c>
      <c r="L3053" s="188">
        <v>6385000000</v>
      </c>
      <c r="M3053" s="194">
        <f>L3053/P3053</f>
        <v>35.257123409125839</v>
      </c>
      <c r="N3053" s="190">
        <f>J3053/L3055</f>
        <v>7.4086108854589758E-2</v>
      </c>
      <c r="O3053" s="188"/>
      <c r="P3053" s="188">
        <v>181098155</v>
      </c>
      <c r="Q3053" s="188">
        <f>P3053*E3053</f>
        <v>4962089447</v>
      </c>
      <c r="R3053" s="195">
        <f>Q3053/L3053</f>
        <v>0.777147916523101</v>
      </c>
      <c r="S3053" s="188"/>
      <c r="T3053" s="180">
        <v>2406000000</v>
      </c>
      <c r="U3053" s="189">
        <f>IFERROR(IF(Tableau3[[#This Row],[Dettes]]=0,"",(Tableau3[[#This Row],[Dettes]]/Tableau3[[#This Row],[EBE]])),"")</f>
        <v>3.8359096313912011</v>
      </c>
      <c r="V3053" s="190">
        <f>IFERROR(Tableau3[[#This Row],[Fonds propres]]/Tableau3[[#This Row],[Total Bilan]],"")</f>
        <v>0.12379789049170156</v>
      </c>
      <c r="W3053" s="180">
        <v>51576000000</v>
      </c>
      <c r="X3053" s="192"/>
      <c r="Y3053" s="180">
        <v>3590</v>
      </c>
      <c r="Z3053" s="192">
        <f>IFERROR(Tableau3[[#This Row],[Chiffre d''affaires]]/Tableau3[[#This Row],[Salariés]],"")</f>
        <v>4902506.9637883008</v>
      </c>
      <c r="AB3053" s="188"/>
      <c r="AC3053" s="177" t="s">
        <v>2161</v>
      </c>
    </row>
    <row r="3054" spans="1:29" ht="20.25" customHeight="1">
      <c r="A3054" s="217"/>
      <c r="E3054" s="187"/>
      <c r="G3054" s="202">
        <f>(G3053/G3055)-1</f>
        <v>7.5268817204301008E-2</v>
      </c>
      <c r="H3054" s="203"/>
      <c r="I3054" s="203">
        <f>(I3053/I3055)-1</f>
        <v>0.65970772442588732</v>
      </c>
      <c r="J3054" s="203">
        <f>(J3053/J3055)-1</f>
        <v>0.94871794871794868</v>
      </c>
      <c r="K3054" s="178"/>
      <c r="L3054" s="178"/>
      <c r="M3054" s="194"/>
      <c r="N3054" s="178"/>
      <c r="O3054" s="178"/>
      <c r="P3054" s="178"/>
      <c r="Q3054" s="178"/>
      <c r="R3054" s="178"/>
      <c r="S3054" s="188"/>
      <c r="T3054" s="180"/>
      <c r="U3054" s="189" t="str">
        <f>IFERROR(IF(Tableau3[[#This Row],[Dettes]]=0,"",(Tableau3[[#This Row],[Dettes]]/Tableau3[[#This Row],[EBE]])),"")</f>
        <v/>
      </c>
      <c r="V3054" s="190" t="str">
        <f>IFERROR(Tableau3[[#This Row],[Fonds propres]]/Tableau3[[#This Row],[Total Bilan]],"")</f>
        <v/>
      </c>
      <c r="W3054" s="180"/>
      <c r="Y3054" s="180"/>
      <c r="Z3054" s="192" t="str">
        <f>IFERROR(Tableau3[[#This Row],[Chiffre d''affaires]]/Tableau3[[#This Row],[Salariés]],"")</f>
        <v/>
      </c>
      <c r="AA3054" s="188"/>
      <c r="AB3054" s="188"/>
      <c r="AC3054" s="177" t="s">
        <v>2162</v>
      </c>
    </row>
    <row r="3055" spans="1:29" ht="20.25" customHeight="1">
      <c r="A3055" s="217"/>
      <c r="E3055" s="187">
        <v>26.42</v>
      </c>
      <c r="F3055" s="178">
        <v>2020</v>
      </c>
      <c r="G3055" s="188">
        <v>16368000000</v>
      </c>
      <c r="H3055" s="188">
        <v>556000000</v>
      </c>
      <c r="I3055" s="188">
        <v>479000000</v>
      </c>
      <c r="J3055" s="188">
        <v>234000000</v>
      </c>
      <c r="K3055" s="188">
        <v>3210000000</v>
      </c>
      <c r="L3055" s="188">
        <v>6155000000</v>
      </c>
      <c r="M3055" s="194">
        <f>L3055/P3055</f>
        <v>32.962017323872345</v>
      </c>
      <c r="N3055" s="190">
        <f>J3055/L3057</f>
        <v>3.6862003780718335E-2</v>
      </c>
      <c r="O3055" s="188"/>
      <c r="P3055" s="188">
        <v>186730076</v>
      </c>
      <c r="Q3055" s="188">
        <f>P3055*E3055</f>
        <v>4933408607.9200001</v>
      </c>
      <c r="R3055" s="195">
        <f>Q3055/L3055</f>
        <v>0.80152861217221771</v>
      </c>
      <c r="S3055" s="188"/>
      <c r="T3055" s="180">
        <v>988000000</v>
      </c>
      <c r="U3055" s="189">
        <f>IFERROR(IF(Tableau3[[#This Row],[Dettes]]=0,"",(Tableau3[[#This Row],[Dettes]]/Tableau3[[#This Row],[EBE]])),"")</f>
        <v>5.7733812949640289</v>
      </c>
      <c r="V3055" s="190">
        <f>IFERROR(Tableau3[[#This Row],[Fonds propres]]/Tableau3[[#This Row],[Total Bilan]],"")</f>
        <v>0.1331674599740372</v>
      </c>
      <c r="W3055" s="180">
        <v>46220000000</v>
      </c>
      <c r="Y3055" s="180"/>
      <c r="Z3055" s="192" t="str">
        <f>IFERROR(Tableau3[[#This Row],[Chiffre d''affaires]]/Tableau3[[#This Row],[Salariés]],"")</f>
        <v/>
      </c>
      <c r="AA3055" s="188"/>
      <c r="AB3055" s="188"/>
      <c r="AC3055" s="177" t="s">
        <v>2163</v>
      </c>
    </row>
    <row r="3056" spans="1:29" ht="20.25" customHeight="1">
      <c r="A3056" s="217"/>
      <c r="E3056" s="187"/>
      <c r="G3056" s="202">
        <f>(G3055/G3057)-1</f>
        <v>1.6522856618321757E-3</v>
      </c>
      <c r="H3056" s="203"/>
      <c r="I3056" s="203">
        <f>(I3055/I3057)-1</f>
        <v>-0.32819074333800846</v>
      </c>
      <c r="J3056" s="203">
        <f>(J3055/J3057)-1</f>
        <v>-0.4454976303317536</v>
      </c>
      <c r="K3056" s="188"/>
      <c r="L3056" s="188"/>
      <c r="M3056" s="194"/>
      <c r="N3056" s="190"/>
      <c r="O3056" s="188"/>
      <c r="P3056" s="188"/>
      <c r="Q3056" s="188"/>
      <c r="R3056" s="188"/>
      <c r="S3056" s="188"/>
      <c r="T3056" s="180"/>
      <c r="U3056" s="189" t="str">
        <f>IFERROR(IF(Tableau3[[#This Row],[Dettes]]=0,"",(Tableau3[[#This Row],[Dettes]]/Tableau3[[#This Row],[EBE]])),"")</f>
        <v/>
      </c>
      <c r="V3056" s="190" t="str">
        <f>IFERROR(Tableau3[[#This Row],[Fonds propres]]/Tableau3[[#This Row],[Total Bilan]],"")</f>
        <v/>
      </c>
      <c r="W3056" s="180"/>
      <c r="X3056" s="192"/>
      <c r="Y3056" s="180"/>
      <c r="Z3056" s="192" t="str">
        <f>IFERROR(Tableau3[[#This Row],[Chiffre d''affaires]]/Tableau3[[#This Row],[Salariés]],"")</f>
        <v/>
      </c>
      <c r="AA3056" s="177"/>
      <c r="AC3056" s="177" t="s">
        <v>2164</v>
      </c>
    </row>
    <row r="3057" spans="1:29" ht="20.25" customHeight="1">
      <c r="A3057" s="217"/>
      <c r="E3057" s="187">
        <v>37</v>
      </c>
      <c r="F3057" s="178">
        <v>2019</v>
      </c>
      <c r="G3057" s="188">
        <v>16341000000</v>
      </c>
      <c r="H3057" s="188">
        <v>879000000</v>
      </c>
      <c r="I3057" s="188">
        <v>713000000</v>
      </c>
      <c r="J3057" s="188">
        <v>422000000</v>
      </c>
      <c r="K3057" s="188">
        <v>3027000000</v>
      </c>
      <c r="L3057" s="188">
        <v>6348000000</v>
      </c>
      <c r="M3057" s="194">
        <f>L3057/P3057</f>
        <v>33.958987920732362</v>
      </c>
      <c r="N3057" s="190">
        <f>J3057/L3059</f>
        <v>7.2758620689655176E-2</v>
      </c>
      <c r="O3057" s="188"/>
      <c r="P3057" s="188">
        <v>186931366</v>
      </c>
      <c r="Q3057" s="188">
        <f>P3057*E3057</f>
        <v>6916460542</v>
      </c>
      <c r="R3057" s="195">
        <f>Q3057/L3057</f>
        <v>1.0895495497794581</v>
      </c>
      <c r="S3057" s="188"/>
      <c r="T3057" s="180"/>
      <c r="U3057" s="189">
        <f>IFERROR(IF(Tableau3[[#This Row],[Dettes]]=0,"",(Tableau3[[#This Row],[Dettes]]/Tableau3[[#This Row],[EBE]])),"")</f>
        <v>3.4436860068259385</v>
      </c>
      <c r="V3057" s="190">
        <f>IFERROR(Tableau3[[#This Row],[Fonds propres]]/Tableau3[[#This Row],[Total Bilan]],"")</f>
        <v>0.13540955631399318</v>
      </c>
      <c r="W3057" s="180">
        <v>46880000000</v>
      </c>
      <c r="X3057" s="192"/>
      <c r="Y3057" s="180"/>
      <c r="Z3057" s="192" t="str">
        <f>IFERROR(Tableau3[[#This Row],[Chiffre d''affaires]]/Tableau3[[#This Row],[Salariés]],"")</f>
        <v/>
      </c>
      <c r="AA3057" s="188"/>
      <c r="AB3057" s="188"/>
      <c r="AC3057" s="177" t="s">
        <v>2165</v>
      </c>
    </row>
    <row r="3058" spans="1:29" ht="20.25" customHeight="1">
      <c r="A3058" s="217"/>
      <c r="E3058" s="187"/>
      <c r="G3058" s="202">
        <f>(G3057/G3059)-1</f>
        <v>7.0979158474242965E-2</v>
      </c>
      <c r="H3058" s="203"/>
      <c r="I3058" s="203">
        <f>(I3057/I3059)-1</f>
        <v>8.358662613981771E-2</v>
      </c>
      <c r="J3058" s="203">
        <f>(J3057/J3059)-1</f>
        <v>0.31055900621118004</v>
      </c>
      <c r="K3058" s="188"/>
      <c r="L3058" s="188"/>
      <c r="M3058" s="194"/>
      <c r="N3058" s="190"/>
      <c r="O3058" s="188"/>
      <c r="P3058" s="188"/>
      <c r="Q3058" s="188"/>
      <c r="R3058" s="188"/>
      <c r="S3058" s="188"/>
      <c r="T3058" s="180"/>
      <c r="U3058" s="189" t="str">
        <f>IFERROR(IF(Tableau3[[#This Row],[Dettes]]=0,"",(Tableau3[[#This Row],[Dettes]]/Tableau3[[#This Row],[EBE]])),"")</f>
        <v/>
      </c>
      <c r="V3058" s="190" t="str">
        <f>IFERROR(Tableau3[[#This Row],[Fonds propres]]/Tableau3[[#This Row],[Total Bilan]],"")</f>
        <v/>
      </c>
      <c r="W3058" s="180"/>
      <c r="Y3058" s="180"/>
      <c r="Z3058" s="192" t="str">
        <f>IFERROR(Tableau3[[#This Row],[Chiffre d''affaires]]/Tableau3[[#This Row],[Salariés]],"")</f>
        <v/>
      </c>
      <c r="AA3058" s="177"/>
      <c r="AC3058" s="177" t="s">
        <v>2166</v>
      </c>
    </row>
    <row r="3059" spans="1:29" ht="20.25" customHeight="1">
      <c r="A3059" s="217"/>
      <c r="E3059" s="187">
        <v>39.4</v>
      </c>
      <c r="F3059" s="178">
        <v>2018</v>
      </c>
      <c r="G3059" s="188">
        <v>15258000000</v>
      </c>
      <c r="H3059" s="188">
        <v>782000000</v>
      </c>
      <c r="I3059" s="188">
        <v>658000000</v>
      </c>
      <c r="J3059" s="188">
        <v>322000000</v>
      </c>
      <c r="K3059" s="188">
        <v>2831000000</v>
      </c>
      <c r="L3059" s="188">
        <v>5800000000</v>
      </c>
      <c r="M3059" s="194">
        <f>L3059/P3059</f>
        <v>30.038460830924318</v>
      </c>
      <c r="N3059" s="190">
        <f>J3059/L3061</f>
        <v>5.19774011299435E-2</v>
      </c>
      <c r="O3059" s="188"/>
      <c r="P3059" s="188">
        <v>193085792</v>
      </c>
      <c r="Q3059" s="188">
        <f>P3059*E3059</f>
        <v>7607580204.8000002</v>
      </c>
      <c r="R3059" s="195">
        <f>Q3059/L3059</f>
        <v>1.3116517594482759</v>
      </c>
      <c r="S3059" s="188"/>
      <c r="T3059" s="180"/>
      <c r="U3059" s="189">
        <f>IFERROR(IF(Tableau3[[#This Row],[Dettes]]=0,"",(Tableau3[[#This Row],[Dettes]]/Tableau3[[#This Row],[EBE]])),"")</f>
        <v>3.6202046035805626</v>
      </c>
      <c r="V3059" s="190">
        <f>IFERROR(Tableau3[[#This Row],[Fonds propres]]/Tableau3[[#This Row],[Total Bilan]],"")</f>
        <v>0.13068949977467328</v>
      </c>
      <c r="W3059" s="180">
        <v>44380000000</v>
      </c>
      <c r="Y3059" s="180">
        <v>2887</v>
      </c>
      <c r="Z3059" s="192">
        <f>IFERROR(Tableau3[[#This Row],[Chiffre d''affaires]]/Tableau3[[#This Row],[Salariés]],"")</f>
        <v>5285071.0079667475</v>
      </c>
      <c r="AA3059" s="178"/>
      <c r="AC3059" s="177" t="s">
        <v>2167</v>
      </c>
    </row>
    <row r="3060" spans="1:29" ht="20.25" customHeight="1">
      <c r="A3060" s="217"/>
      <c r="E3060" s="187"/>
      <c r="G3060" s="202">
        <f>(G3059/G3061)-1</f>
        <v>3.171275948339991E-2</v>
      </c>
      <c r="H3060" s="203"/>
      <c r="I3060" s="203">
        <f>(I3059/I3061)-1</f>
        <v>0.34012219959266798</v>
      </c>
      <c r="J3060" s="203">
        <f>(J3059/J3061)-1</f>
        <v>0.12587412587412583</v>
      </c>
      <c r="K3060" s="188"/>
      <c r="L3060" s="188"/>
      <c r="M3060" s="194"/>
      <c r="N3060" s="190"/>
      <c r="O3060" s="188"/>
      <c r="P3060" s="188"/>
      <c r="Q3060" s="188"/>
      <c r="R3060" s="188"/>
      <c r="S3060" s="178"/>
      <c r="T3060" s="180"/>
      <c r="U3060" s="189" t="str">
        <f>IFERROR(IF(Tableau3[[#This Row],[Dettes]]=0,"",(Tableau3[[#This Row],[Dettes]]/Tableau3[[#This Row],[EBE]])),"")</f>
        <v/>
      </c>
      <c r="V3060" s="190" t="str">
        <f>IFERROR(Tableau3[[#This Row],[Fonds propres]]/Tableau3[[#This Row],[Total Bilan]],"")</f>
        <v/>
      </c>
      <c r="W3060" s="180"/>
      <c r="Y3060" s="180"/>
      <c r="Z3060" s="192" t="str">
        <f>IFERROR(Tableau3[[#This Row],[Chiffre d''affaires]]/Tableau3[[#This Row],[Salariés]],"")</f>
        <v/>
      </c>
      <c r="AA3060" s="188"/>
      <c r="AB3060" s="188"/>
      <c r="AC3060" s="177" t="s">
        <v>2168</v>
      </c>
    </row>
    <row r="3061" spans="1:29" ht="20.25" customHeight="1">
      <c r="A3061" s="217"/>
      <c r="E3061" s="187">
        <v>33.549999999999997</v>
      </c>
      <c r="F3061" s="178">
        <v>2017</v>
      </c>
      <c r="G3061" s="188">
        <v>14789000000</v>
      </c>
      <c r="H3061" s="188"/>
      <c r="I3061" s="188">
        <v>491000000</v>
      </c>
      <c r="J3061" s="188">
        <v>286000000</v>
      </c>
      <c r="K3061" s="188">
        <v>2702000000</v>
      </c>
      <c r="L3061" s="188">
        <v>6195000000</v>
      </c>
      <c r="M3061" s="194">
        <f>L3061/P3061</f>
        <v>32.015451426883189</v>
      </c>
      <c r="N3061" s="190">
        <f>J3061/L3063</f>
        <v>4.2718446601941747E-2</v>
      </c>
      <c r="O3061" s="188"/>
      <c r="P3061" s="188">
        <v>193500317</v>
      </c>
      <c r="Q3061" s="188">
        <f>P3061*E3061</f>
        <v>6491935635.3499994</v>
      </c>
      <c r="R3061" s="195">
        <f>Q3061/L3061</f>
        <v>1.0479314988458432</v>
      </c>
      <c r="S3061" s="178"/>
      <c r="T3061" s="180"/>
      <c r="U3061" s="189" t="str">
        <f>IFERROR(IF(Tableau3[[#This Row],[Dettes]]=0,"",(Tableau3[[#This Row],[Dettes]]/Tableau3[[#This Row],[EBE]])),"")</f>
        <v/>
      </c>
      <c r="V3061" s="190" t="str">
        <f>IFERROR(Tableau3[[#This Row],[Fonds propres]]/Tableau3[[#This Row],[Total Bilan]],"")</f>
        <v/>
      </c>
      <c r="W3061" s="180"/>
      <c r="Y3061" s="180"/>
      <c r="Z3061" s="192" t="str">
        <f>IFERROR(Tableau3[[#This Row],[Chiffre d''affaires]]/Tableau3[[#This Row],[Salariés]],"")</f>
        <v/>
      </c>
      <c r="AA3061" s="188"/>
      <c r="AB3061" s="188"/>
      <c r="AC3061" s="177" t="s">
        <v>2169</v>
      </c>
    </row>
    <row r="3062" spans="1:29" ht="20.25" customHeight="1">
      <c r="A3062" s="217"/>
      <c r="E3062" s="187"/>
      <c r="G3062" s="202">
        <f>(G3061/G3063)-1</f>
        <v>6.9651381455229311E-2</v>
      </c>
      <c r="H3062" s="203"/>
      <c r="I3062" s="203">
        <f>(I3061/I3063)-1</f>
        <v>-0.48370136698212407</v>
      </c>
      <c r="J3062" s="203">
        <f>(J3061/J3063)-1</f>
        <v>-0.52570480928689878</v>
      </c>
      <c r="K3062" s="188"/>
      <c r="L3062" s="188"/>
      <c r="M3062" s="194"/>
      <c r="N3062" s="190"/>
      <c r="O3062" s="188"/>
      <c r="P3062" s="188"/>
      <c r="Q3062" s="188"/>
      <c r="R3062" s="188"/>
      <c r="S3062" s="188"/>
      <c r="T3062" s="180"/>
      <c r="U3062" s="189" t="str">
        <f>IFERROR(IF(Tableau3[[#This Row],[Dettes]]=0,"",(Tableau3[[#This Row],[Dettes]]/Tableau3[[#This Row],[EBE]])),"")</f>
        <v/>
      </c>
      <c r="V3062" s="190" t="str">
        <f>IFERROR(Tableau3[[#This Row],[Fonds propres]]/Tableau3[[#This Row],[Total Bilan]],"")</f>
        <v/>
      </c>
      <c r="W3062" s="180"/>
      <c r="X3062" s="192"/>
      <c r="Y3062" s="180"/>
      <c r="Z3062" s="192" t="str">
        <f>IFERROR(Tableau3[[#This Row],[Chiffre d''affaires]]/Tableau3[[#This Row],[Salariés]],"")</f>
        <v/>
      </c>
      <c r="AA3062" s="188"/>
      <c r="AB3062" s="188"/>
      <c r="AC3062" s="177" t="s">
        <v>2170</v>
      </c>
    </row>
    <row r="3063" spans="1:29" ht="20.25" customHeight="1">
      <c r="A3063" s="217"/>
      <c r="E3063" s="187">
        <v>32.83</v>
      </c>
      <c r="F3063" s="178">
        <v>2016</v>
      </c>
      <c r="G3063" s="188">
        <v>13826000000</v>
      </c>
      <c r="H3063" s="188"/>
      <c r="I3063" s="188">
        <v>951000000</v>
      </c>
      <c r="J3063" s="188">
        <v>603000000</v>
      </c>
      <c r="K3063" s="188">
        <v>2256000000</v>
      </c>
      <c r="L3063" s="188">
        <v>6695000000</v>
      </c>
      <c r="M3063" s="194">
        <f>L3063/P3063</f>
        <v>34.774901465485506</v>
      </c>
      <c r="N3063" s="190">
        <f>J3063/L3065</f>
        <v>9.5260663507109003E-2</v>
      </c>
      <c r="O3063" s="188"/>
      <c r="P3063" s="188">
        <v>192523910</v>
      </c>
      <c r="Q3063" s="188">
        <f>P3063*E3063</f>
        <v>6320559965.2999992</v>
      </c>
      <c r="R3063" s="195">
        <f>Q3063/L3063</f>
        <v>0.94407169011202374</v>
      </c>
      <c r="S3063" s="188"/>
      <c r="T3063" s="180"/>
      <c r="U3063" s="189" t="str">
        <f>IFERROR(IF(Tableau3[[#This Row],[Dettes]]=0,"",(Tableau3[[#This Row],[Dettes]]/Tableau3[[#This Row],[EBE]])),"")</f>
        <v/>
      </c>
      <c r="V3063" s="190" t="str">
        <f>IFERROR(Tableau3[[#This Row],[Fonds propres]]/Tableau3[[#This Row],[Total Bilan]],"")</f>
        <v/>
      </c>
      <c r="W3063" s="180"/>
      <c r="X3063" s="192"/>
      <c r="Y3063" s="180"/>
      <c r="Z3063" s="192" t="str">
        <f>IFERROR(Tableau3[[#This Row],[Chiffre d''affaires]]/Tableau3[[#This Row],[Salariés]],"")</f>
        <v/>
      </c>
      <c r="AA3063" s="188"/>
      <c r="AB3063" s="188"/>
      <c r="AC3063" s="177" t="s">
        <v>2171</v>
      </c>
    </row>
    <row r="3064" spans="1:29" ht="20.25" customHeight="1">
      <c r="A3064" s="217"/>
      <c r="E3064" s="187"/>
      <c r="G3064" s="202">
        <f>(G3063/G3065)-1</f>
        <v>3.0176588927799619E-2</v>
      </c>
      <c r="H3064" s="203"/>
      <c r="I3064" s="203">
        <f>(I3063/I3065)-1</f>
        <v>-9.255725190839692E-2</v>
      </c>
      <c r="J3064" s="203">
        <f>(J3063/J3065)-1</f>
        <v>-6.074766355140182E-2</v>
      </c>
      <c r="K3064" s="188"/>
      <c r="L3064" s="188"/>
      <c r="M3064" s="194"/>
      <c r="N3064" s="190"/>
      <c r="O3064" s="188"/>
      <c r="P3064" s="188"/>
      <c r="Q3064" s="188"/>
      <c r="R3064" s="188"/>
      <c r="S3064" s="188"/>
      <c r="T3064" s="180"/>
      <c r="U3064" s="189" t="str">
        <f>IFERROR(IF(Tableau3[[#This Row],[Dettes]]=0,"",(Tableau3[[#This Row],[Dettes]]/Tableau3[[#This Row],[EBE]])),"")</f>
        <v/>
      </c>
      <c r="V3064" s="190" t="str">
        <f>IFERROR(Tableau3[[#This Row],[Fonds propres]]/Tableau3[[#This Row],[Total Bilan]],"")</f>
        <v/>
      </c>
      <c r="W3064" s="180"/>
      <c r="X3064" s="192"/>
      <c r="Y3064" s="180"/>
      <c r="Z3064" s="192" t="str">
        <f>IFERROR(Tableau3[[#This Row],[Chiffre d''affaires]]/Tableau3[[#This Row],[Salariés]],"")</f>
        <v/>
      </c>
      <c r="AA3064" s="188"/>
      <c r="AB3064" s="188"/>
      <c r="AC3064" s="177" t="s">
        <v>2172</v>
      </c>
    </row>
    <row r="3065" spans="1:29" ht="20.25" customHeight="1">
      <c r="A3065" s="217"/>
      <c r="E3065" s="187">
        <v>34.659999999999997</v>
      </c>
      <c r="F3065" s="178">
        <v>2015</v>
      </c>
      <c r="G3065" s="188">
        <v>13421000000</v>
      </c>
      <c r="H3065" s="188"/>
      <c r="I3065" s="188">
        <v>1048000000</v>
      </c>
      <c r="J3065" s="188">
        <v>642000000</v>
      </c>
      <c r="K3065" s="188">
        <v>2613000000</v>
      </c>
      <c r="L3065" s="188">
        <v>6330000000</v>
      </c>
      <c r="M3065" s="194">
        <f>L3065/P3065</f>
        <v>32.856985765009384</v>
      </c>
      <c r="N3065" s="190">
        <f>J3065/L3067</f>
        <v>0.11275026343519494</v>
      </c>
      <c r="O3065" s="188"/>
      <c r="P3065" s="188">
        <v>192653095</v>
      </c>
      <c r="Q3065" s="188">
        <f>P3065*E3065</f>
        <v>6677356272.6999998</v>
      </c>
      <c r="R3065" s="195">
        <f>Q3065/L3065</f>
        <v>1.0548746086413903</v>
      </c>
      <c r="S3065" s="188"/>
      <c r="T3065" s="180"/>
      <c r="U3065" s="189" t="str">
        <f>IFERROR(IF(Tableau3[[#This Row],[Dettes]]=0,"",(Tableau3[[#This Row],[Dettes]]/Tableau3[[#This Row],[EBE]])),"")</f>
        <v/>
      </c>
      <c r="V3065" s="190" t="str">
        <f>IFERROR(Tableau3[[#This Row],[Fonds propres]]/Tableau3[[#This Row],[Total Bilan]],"")</f>
        <v/>
      </c>
      <c r="W3065" s="180"/>
      <c r="X3065" s="192"/>
      <c r="Y3065" s="180"/>
      <c r="Z3065" s="192" t="str">
        <f>IFERROR(Tableau3[[#This Row],[Chiffre d''affaires]]/Tableau3[[#This Row],[Salariés]],"")</f>
        <v/>
      </c>
      <c r="AA3065" s="188"/>
      <c r="AB3065" s="188"/>
      <c r="AC3065" s="177" t="s">
        <v>2173</v>
      </c>
    </row>
    <row r="3066" spans="1:29" ht="20.25" customHeight="1">
      <c r="A3066" s="217"/>
      <c r="E3066" s="187"/>
      <c r="G3066" s="202">
        <f>(G3065/G3067)-1</f>
        <v>0.18601979498055843</v>
      </c>
      <c r="H3066" s="203"/>
      <c r="I3066" s="203">
        <f>(I3065/I3067)-1</f>
        <v>0.27030303030303027</v>
      </c>
      <c r="J3066" s="203">
        <f>(J3065/J3067)-1</f>
        <v>0.25390625</v>
      </c>
      <c r="K3066" s="188"/>
      <c r="L3066" s="188"/>
      <c r="M3066" s="194"/>
      <c r="N3066" s="190"/>
      <c r="O3066" s="188"/>
      <c r="P3066" s="188"/>
      <c r="Q3066" s="188"/>
      <c r="R3066" s="188"/>
      <c r="S3066" s="188"/>
      <c r="T3066" s="180"/>
      <c r="U3066" s="189" t="str">
        <f>IFERROR(IF(Tableau3[[#This Row],[Dettes]]=0,"",(Tableau3[[#This Row],[Dettes]]/Tableau3[[#This Row],[EBE]])),"")</f>
        <v/>
      </c>
      <c r="V3066" s="190" t="str">
        <f>IFERROR(Tableau3[[#This Row],[Fonds propres]]/Tableau3[[#This Row],[Total Bilan]],"")</f>
        <v/>
      </c>
      <c r="W3066" s="180"/>
      <c r="X3066" s="192"/>
      <c r="Y3066" s="180"/>
      <c r="Z3066" s="192" t="str">
        <f>IFERROR(Tableau3[[#This Row],[Chiffre d''affaires]]/Tableau3[[#This Row],[Salariés]],"")</f>
        <v/>
      </c>
      <c r="AA3066" s="188"/>
      <c r="AB3066" s="188"/>
      <c r="AC3066" s="177" t="s">
        <v>2174</v>
      </c>
    </row>
    <row r="3067" spans="1:29" ht="20.25" customHeight="1">
      <c r="A3067" s="217"/>
      <c r="E3067" s="187">
        <v>25</v>
      </c>
      <c r="F3067" s="178">
        <v>2014</v>
      </c>
      <c r="G3067" s="188">
        <v>11316000000</v>
      </c>
      <c r="H3067" s="188"/>
      <c r="I3067" s="188">
        <v>825000000</v>
      </c>
      <c r="J3067" s="188">
        <v>512000000</v>
      </c>
      <c r="K3067" s="188">
        <v>1743000000</v>
      </c>
      <c r="L3067" s="188">
        <v>5694000000</v>
      </c>
      <c r="M3067" s="194">
        <f>L3067/P3067</f>
        <v>29.549827680755929</v>
      </c>
      <c r="N3067" s="190">
        <f>J3067/L3069</f>
        <v>0.10281124497991968</v>
      </c>
      <c r="O3067" s="188"/>
      <c r="P3067" s="188">
        <v>192691479</v>
      </c>
      <c r="Q3067" s="188">
        <f>P3067*E3067</f>
        <v>4817286975</v>
      </c>
      <c r="R3067" s="195">
        <f>Q3067/L3067</f>
        <v>0.84602862223393049</v>
      </c>
      <c r="S3067" s="188"/>
      <c r="T3067" s="180"/>
      <c r="U3067" s="189" t="str">
        <f>IFERROR(IF(Tableau3[[#This Row],[Dettes]]=0,"",(Tableau3[[#This Row],[Dettes]]/Tableau3[[#This Row],[EBE]])),"")</f>
        <v/>
      </c>
      <c r="V3067" s="190" t="str">
        <f>IFERROR(Tableau3[[#This Row],[Fonds propres]]/Tableau3[[#This Row],[Total Bilan]],"")</f>
        <v/>
      </c>
      <c r="W3067" s="180"/>
      <c r="X3067" s="192"/>
      <c r="Y3067" s="180"/>
      <c r="Z3067" s="192" t="str">
        <f>IFERROR(Tableau3[[#This Row],[Chiffre d''affaires]]/Tableau3[[#This Row],[Salariés]],"")</f>
        <v/>
      </c>
      <c r="AA3067" s="188"/>
      <c r="AB3067" s="188"/>
      <c r="AC3067" s="177" t="s">
        <v>2175</v>
      </c>
    </row>
    <row r="3068" spans="1:29" ht="20.25" customHeight="1">
      <c r="A3068" s="217"/>
      <c r="E3068" s="187"/>
      <c r="G3068" s="202">
        <f>(G3067/G3069)-1</f>
        <v>0.10367697259338726</v>
      </c>
      <c r="H3068" s="203"/>
      <c r="I3068" s="203">
        <f>(I3067/I3069)-1</f>
        <v>5.3639846743295028E-2</v>
      </c>
      <c r="J3068" s="203">
        <f>(J3067/J3069)-1</f>
        <v>-6.7395264116575593E-2</v>
      </c>
      <c r="K3068" s="188"/>
      <c r="L3068" s="188"/>
      <c r="M3068" s="194"/>
      <c r="N3068" s="188"/>
      <c r="O3068" s="188"/>
      <c r="P3068" s="188"/>
      <c r="Q3068" s="188"/>
      <c r="R3068" s="188"/>
      <c r="S3068" s="188"/>
      <c r="T3068" s="180"/>
      <c r="U3068" s="189" t="str">
        <f>IFERROR(IF(Tableau3[[#This Row],[Dettes]]=0,"",(Tableau3[[#This Row],[Dettes]]/Tableau3[[#This Row],[EBE]])),"")</f>
        <v/>
      </c>
      <c r="V3068" s="190" t="str">
        <f>IFERROR(Tableau3[[#This Row],[Fonds propres]]/Tableau3[[#This Row],[Total Bilan]],"")</f>
        <v/>
      </c>
      <c r="W3068" s="180"/>
      <c r="X3068" s="192"/>
      <c r="Y3068" s="180"/>
      <c r="Z3068" s="192" t="str">
        <f>IFERROR(Tableau3[[#This Row],[Chiffre d''affaires]]/Tableau3[[#This Row],[Salariés]],"")</f>
        <v/>
      </c>
      <c r="AA3068" s="188"/>
      <c r="AB3068" s="188"/>
      <c r="AC3068" s="177" t="s">
        <v>2176</v>
      </c>
    </row>
    <row r="3069" spans="1:29" ht="20.25" customHeight="1">
      <c r="A3069" s="217"/>
      <c r="E3069" s="187">
        <v>26</v>
      </c>
      <c r="F3069" s="178">
        <v>2013</v>
      </c>
      <c r="G3069" s="188">
        <v>10253000000</v>
      </c>
      <c r="H3069" s="188"/>
      <c r="I3069" s="188">
        <v>783000000</v>
      </c>
      <c r="J3069" s="188">
        <v>549000000</v>
      </c>
      <c r="K3069" s="188">
        <v>1379000000</v>
      </c>
      <c r="L3069" s="188">
        <v>4980000000</v>
      </c>
      <c r="M3069" s="194">
        <f>L3069/P3069</f>
        <v>25.83551551355005</v>
      </c>
      <c r="N3069" s="190">
        <f>J3069/L3071</f>
        <v>0.11430356027482823</v>
      </c>
      <c r="O3069" s="188"/>
      <c r="P3069" s="188">
        <v>192757911</v>
      </c>
      <c r="Q3069" s="188">
        <f>P3069*E3069</f>
        <v>5011705686</v>
      </c>
      <c r="R3069" s="195">
        <f>Q3069/L3069</f>
        <v>1.0063666036144578</v>
      </c>
      <c r="S3069" s="188"/>
      <c r="T3069" s="180"/>
      <c r="U3069" s="189" t="str">
        <f>IFERROR(IF(Tableau3[[#This Row],[Dettes]]=0,"",(Tableau3[[#This Row],[Dettes]]/Tableau3[[#This Row],[EBE]])),"")</f>
        <v/>
      </c>
      <c r="V3069" s="190" t="str">
        <f>IFERROR(Tableau3[[#This Row],[Fonds propres]]/Tableau3[[#This Row],[Total Bilan]],"")</f>
        <v/>
      </c>
      <c r="W3069" s="180"/>
      <c r="X3069" s="192"/>
      <c r="Y3069" s="180"/>
      <c r="Z3069" s="192" t="str">
        <f>IFERROR(Tableau3[[#This Row],[Chiffre d''affaires]]/Tableau3[[#This Row],[Salariés]],"")</f>
        <v/>
      </c>
      <c r="AA3069" s="188"/>
      <c r="AB3069" s="188"/>
      <c r="AC3069" s="177" t="s">
        <v>2177</v>
      </c>
    </row>
    <row r="3070" spans="1:29" ht="20.25" customHeight="1">
      <c r="A3070" s="217"/>
      <c r="E3070" s="187"/>
      <c r="G3070" s="202">
        <f>(G3069/G3071)-1</f>
        <v>7.7675005255413154E-2</v>
      </c>
      <c r="H3070" s="203"/>
      <c r="I3070" s="203">
        <f>(I3069/I3071)-1</f>
        <v>0.23892405063291133</v>
      </c>
      <c r="J3070" s="203">
        <f>(J3069/J3071)-1</f>
        <v>0.3133971291866029</v>
      </c>
      <c r="K3070" s="188"/>
      <c r="L3070" s="188"/>
      <c r="M3070" s="194"/>
      <c r="N3070" s="188"/>
      <c r="O3070" s="188"/>
      <c r="P3070" s="188"/>
      <c r="Q3070" s="188"/>
      <c r="R3070" s="188"/>
      <c r="S3070" s="188"/>
      <c r="T3070" s="180"/>
      <c r="U3070" s="189" t="str">
        <f>IFERROR(IF(Tableau3[[#This Row],[Dettes]]=0,"",(Tableau3[[#This Row],[Dettes]]/Tableau3[[#This Row],[EBE]])),"")</f>
        <v/>
      </c>
      <c r="V3070" s="190" t="str">
        <f>IFERROR(Tableau3[[#This Row],[Fonds propres]]/Tableau3[[#This Row],[Total Bilan]],"")</f>
        <v/>
      </c>
      <c r="W3070" s="180"/>
      <c r="X3070" s="192"/>
      <c r="Y3070" s="180"/>
      <c r="Z3070" s="192" t="str">
        <f>IFERROR(Tableau3[[#This Row],[Chiffre d''affaires]]/Tableau3[[#This Row],[Salariés]],"")</f>
        <v/>
      </c>
      <c r="AA3070" s="188"/>
      <c r="AB3070" s="188"/>
      <c r="AC3070" s="177" t="s">
        <v>2178</v>
      </c>
    </row>
    <row r="3071" spans="1:29" ht="20.25" customHeight="1">
      <c r="A3071" s="217"/>
      <c r="E3071" s="187">
        <v>21</v>
      </c>
      <c r="F3071" s="178">
        <v>2012</v>
      </c>
      <c r="G3071" s="188">
        <v>9514000000</v>
      </c>
      <c r="H3071" s="188"/>
      <c r="I3071" s="188">
        <v>632000000</v>
      </c>
      <c r="J3071" s="188">
        <v>418000000</v>
      </c>
      <c r="K3071" s="188">
        <v>1100750000</v>
      </c>
      <c r="L3071" s="188">
        <v>4803000000</v>
      </c>
      <c r="M3071" s="194">
        <f>L3071/P3071</f>
        <v>24.965665193151835</v>
      </c>
      <c r="N3071" s="190">
        <f>J3071/L3073</f>
        <v>9.4935271405859639E-2</v>
      </c>
      <c r="O3071" s="188"/>
      <c r="P3071" s="188">
        <v>192384219</v>
      </c>
      <c r="Q3071" s="188">
        <f>P3071*E3071</f>
        <v>4040068599</v>
      </c>
      <c r="R3071" s="195">
        <f>Q3071/L3071</f>
        <v>0.84115523610243603</v>
      </c>
      <c r="S3071" s="178"/>
      <c r="T3071" s="180"/>
      <c r="U3071" s="189" t="str">
        <f>IFERROR(IF(Tableau3[[#This Row],[Dettes]]=0,"",(Tableau3[[#This Row],[Dettes]]/Tableau3[[#This Row],[EBE]])),"")</f>
        <v/>
      </c>
      <c r="V3071" s="190" t="str">
        <f>IFERROR(Tableau3[[#This Row],[Fonds propres]]/Tableau3[[#This Row],[Total Bilan]],"")</f>
        <v/>
      </c>
      <c r="W3071" s="180"/>
      <c r="Y3071" s="180"/>
      <c r="Z3071" s="192" t="str">
        <f>IFERROR(Tableau3[[#This Row],[Chiffre d''affaires]]/Tableau3[[#This Row],[Salariés]],"")</f>
        <v/>
      </c>
      <c r="AA3071" s="177"/>
      <c r="AC3071" s="177" t="s">
        <v>2179</v>
      </c>
    </row>
    <row r="3072" spans="1:29" ht="20.25" customHeight="1">
      <c r="A3072" s="217"/>
      <c r="E3072" s="187"/>
      <c r="G3072" s="202">
        <f>(G3071/G3073)-1</f>
        <v>0.25151275980005261</v>
      </c>
      <c r="H3072" s="203"/>
      <c r="I3072" s="203">
        <f>(I3071/I3073)-1</f>
        <v>0.51558752997601909</v>
      </c>
      <c r="J3072" s="203">
        <f>(J3071/J3073)-1</f>
        <v>0.26666666666666661</v>
      </c>
      <c r="K3072" s="188"/>
      <c r="L3072" s="188"/>
      <c r="M3072" s="194"/>
      <c r="N3072" s="188"/>
      <c r="O3072" s="188"/>
      <c r="P3072" s="188"/>
      <c r="Q3072" s="188"/>
      <c r="R3072" s="188"/>
      <c r="S3072" s="178"/>
      <c r="T3072" s="180"/>
      <c r="U3072" s="189" t="str">
        <f>IFERROR(IF(Tableau3[[#This Row],[Dettes]]=0,"",(Tableau3[[#This Row],[Dettes]]/Tableau3[[#This Row],[EBE]])),"")</f>
        <v/>
      </c>
      <c r="V3072" s="190" t="str">
        <f>IFERROR(Tableau3[[#This Row],[Fonds propres]]/Tableau3[[#This Row],[Total Bilan]],"")</f>
        <v/>
      </c>
      <c r="W3072" s="180"/>
      <c r="Y3072" s="180"/>
      <c r="Z3072" s="192" t="str">
        <f>IFERROR(Tableau3[[#This Row],[Chiffre d''affaires]]/Tableau3[[#This Row],[Salariés]],"")</f>
        <v/>
      </c>
      <c r="AA3072" s="177"/>
      <c r="AC3072" s="177" t="s">
        <v>2180</v>
      </c>
    </row>
    <row r="3073" spans="1:29" ht="20.25" customHeight="1">
      <c r="A3073" s="217"/>
      <c r="E3073" s="187">
        <v>17.899999999999999</v>
      </c>
      <c r="F3073" s="178">
        <v>2011</v>
      </c>
      <c r="G3073" s="188">
        <v>7602000000</v>
      </c>
      <c r="H3073" s="178"/>
      <c r="I3073" s="188">
        <v>417000000</v>
      </c>
      <c r="J3073" s="188">
        <v>330000000</v>
      </c>
      <c r="K3073" s="188">
        <f>(5402000000-4403000000)</f>
        <v>999000000</v>
      </c>
      <c r="L3073" s="188">
        <v>4403000000</v>
      </c>
      <c r="M3073" s="194">
        <f>L3073/P3073</f>
        <v>22.929747539521696</v>
      </c>
      <c r="N3073" s="190">
        <f>J3073/L3075</f>
        <v>7.5827205882352935E-2</v>
      </c>
      <c r="O3073" s="178"/>
      <c r="P3073" s="188">
        <v>192021303</v>
      </c>
      <c r="Q3073" s="188">
        <f>P3073*E3073</f>
        <v>3437181323.6999998</v>
      </c>
      <c r="R3073" s="195">
        <f>Q3073/L3073</f>
        <v>0.78064531539859183</v>
      </c>
      <c r="S3073" s="178"/>
      <c r="T3073" s="180"/>
      <c r="U3073" s="189" t="str">
        <f>IFERROR(IF(Tableau3[[#This Row],[Dettes]]=0,"",(Tableau3[[#This Row],[Dettes]]/Tableau3[[#This Row],[EBE]])),"")</f>
        <v/>
      </c>
      <c r="V3073" s="190" t="str">
        <f>IFERROR(Tableau3[[#This Row],[Fonds propres]]/Tableau3[[#This Row],[Total Bilan]],"")</f>
        <v/>
      </c>
      <c r="W3073" s="180"/>
      <c r="Y3073" s="180"/>
      <c r="Z3073" s="192" t="str">
        <f>IFERROR(Tableau3[[#This Row],[Chiffre d''affaires]]/Tableau3[[#This Row],[Salariés]],"")</f>
        <v/>
      </c>
      <c r="AA3073" s="177"/>
      <c r="AC3073" s="177" t="s">
        <v>2181</v>
      </c>
    </row>
    <row r="3074" spans="1:29" ht="20.25" customHeight="1">
      <c r="A3074" s="217"/>
      <c r="E3074" s="187"/>
      <c r="G3074" s="202">
        <f>(G3073/G3075)-1</f>
        <v>0.13564386017328944</v>
      </c>
      <c r="H3074" s="203"/>
      <c r="I3074" s="203">
        <f>(I3073/I3075)-1</f>
        <v>-0.1489795918367347</v>
      </c>
      <c r="J3074" s="203">
        <f>(J3073/J3075)-1</f>
        <v>-0.21052631578947367</v>
      </c>
      <c r="K3074" s="188"/>
      <c r="L3074" s="178"/>
      <c r="M3074" s="194"/>
      <c r="N3074" s="178"/>
      <c r="O3074" s="178"/>
      <c r="P3074" s="178"/>
      <c r="Q3074" s="178"/>
      <c r="R3074" s="178"/>
      <c r="S3074" s="178"/>
      <c r="T3074" s="180"/>
      <c r="U3074" s="189" t="str">
        <f>IFERROR(IF(Tableau3[[#This Row],[Dettes]]=0,"",(Tableau3[[#This Row],[Dettes]]/Tableau3[[#This Row],[EBE]])),"")</f>
        <v/>
      </c>
      <c r="V3074" s="190" t="str">
        <f>IFERROR(Tableau3[[#This Row],[Fonds propres]]/Tableau3[[#This Row],[Total Bilan]],"")</f>
        <v/>
      </c>
      <c r="W3074" s="180"/>
      <c r="Y3074" s="180"/>
      <c r="Z3074" s="192" t="str">
        <f>IFERROR(Tableau3[[#This Row],[Chiffre d''affaires]]/Tableau3[[#This Row],[Salariés]],"")</f>
        <v/>
      </c>
      <c r="AA3074" s="177"/>
      <c r="AC3074" s="177" t="s">
        <v>2182</v>
      </c>
    </row>
    <row r="3075" spans="1:29" ht="20.25" customHeight="1">
      <c r="A3075" s="217"/>
      <c r="E3075" s="187">
        <v>19</v>
      </c>
      <c r="F3075" s="178">
        <v>2010</v>
      </c>
      <c r="G3075" s="188">
        <v>6694000000</v>
      </c>
      <c r="H3075" s="178"/>
      <c r="I3075" s="188">
        <v>490000000</v>
      </c>
      <c r="J3075" s="188">
        <v>418000000</v>
      </c>
      <c r="K3075" s="188">
        <f>(4831000000-L3075)</f>
        <v>479000000</v>
      </c>
      <c r="L3075" s="188">
        <v>4352000000</v>
      </c>
      <c r="M3075" s="194">
        <f>L3075/P3075</f>
        <v>23.174156432084299</v>
      </c>
      <c r="N3075" s="190">
        <f>J3075/L3077</f>
        <v>0.1071520123045373</v>
      </c>
      <c r="O3075" s="178"/>
      <c r="P3075" s="188">
        <v>187795401</v>
      </c>
      <c r="Q3075" s="188">
        <f>P3075*E3075</f>
        <v>3568112619</v>
      </c>
      <c r="R3075" s="195">
        <f>Q3075/L3075</f>
        <v>0.81987881870404411</v>
      </c>
      <c r="S3075" s="178"/>
      <c r="T3075" s="180"/>
      <c r="U3075" s="189" t="str">
        <f>IFERROR(IF(Tableau3[[#This Row],[Dettes]]=0,"",(Tableau3[[#This Row],[Dettes]]/Tableau3[[#This Row],[EBE]])),"")</f>
        <v/>
      </c>
      <c r="V3075" s="190" t="str">
        <f>IFERROR(Tableau3[[#This Row],[Fonds propres]]/Tableau3[[#This Row],[Total Bilan]],"")</f>
        <v/>
      </c>
      <c r="W3075" s="180"/>
      <c r="Y3075" s="180">
        <v>1822</v>
      </c>
      <c r="Z3075" s="192">
        <f>IFERROR(Tableau3[[#This Row],[Chiffre d''affaires]]/Tableau3[[#This Row],[Salariés]],"")</f>
        <v>3673984.6322722281</v>
      </c>
      <c r="AA3075" s="177"/>
      <c r="AC3075" s="177" t="s">
        <v>2183</v>
      </c>
    </row>
    <row r="3076" spans="1:29" ht="20.25" customHeight="1">
      <c r="A3076" s="217"/>
      <c r="E3076" s="187"/>
      <c r="G3076" s="202">
        <f>(G3075/G3077)-1</f>
        <v>4.938078068662799E-2</v>
      </c>
      <c r="H3076" s="203"/>
      <c r="I3076" s="203">
        <f>(I3075/I3077)-1</f>
        <v>0.31720430107526876</v>
      </c>
      <c r="J3076" s="203">
        <f>(J3075/J3077)-1</f>
        <v>0.12972972972972974</v>
      </c>
      <c r="K3076" s="178"/>
      <c r="L3076" s="188"/>
      <c r="M3076" s="194"/>
      <c r="N3076" s="178"/>
      <c r="O3076" s="178"/>
      <c r="P3076" s="178"/>
      <c r="Q3076" s="178"/>
      <c r="R3076" s="178"/>
      <c r="S3076" s="178"/>
      <c r="T3076" s="180"/>
      <c r="U3076" s="189" t="str">
        <f>IFERROR(IF(Tableau3[[#This Row],[Dettes]]=0,"",(Tableau3[[#This Row],[Dettes]]/Tableau3[[#This Row],[EBE]])),"")</f>
        <v/>
      </c>
      <c r="V3076" s="190" t="str">
        <f>IFERROR(Tableau3[[#This Row],[Fonds propres]]/Tableau3[[#This Row],[Total Bilan]],"")</f>
        <v/>
      </c>
      <c r="W3076" s="180"/>
      <c r="Y3076" s="180"/>
      <c r="Z3076" s="192" t="str">
        <f>IFERROR(Tableau3[[#This Row],[Chiffre d''affaires]]/Tableau3[[#This Row],[Salariés]],"")</f>
        <v/>
      </c>
      <c r="AA3076" s="177"/>
      <c r="AC3076" s="177" t="s">
        <v>2184</v>
      </c>
    </row>
    <row r="3077" spans="1:29" ht="20.25" customHeight="1">
      <c r="A3077" s="217"/>
      <c r="E3077" s="187">
        <v>17</v>
      </c>
      <c r="F3077" s="178">
        <v>2009</v>
      </c>
      <c r="G3077" s="188">
        <v>6379000000</v>
      </c>
      <c r="H3077" s="178"/>
      <c r="I3077" s="188">
        <v>372000000</v>
      </c>
      <c r="J3077" s="188">
        <v>370000000</v>
      </c>
      <c r="K3077" s="211">
        <f>(4569000000-L3077)</f>
        <v>668000000</v>
      </c>
      <c r="L3077" s="188">
        <v>3901000000</v>
      </c>
      <c r="M3077" s="194">
        <f>L3077/P3077</f>
        <v>21.062232926796604</v>
      </c>
      <c r="N3077" s="190">
        <f>J3077/L3077</f>
        <v>9.484747500640861E-2</v>
      </c>
      <c r="O3077" s="178"/>
      <c r="P3077" s="188">
        <v>185213031</v>
      </c>
      <c r="Q3077" s="188">
        <f>P3077*E3077</f>
        <v>3148621527</v>
      </c>
      <c r="R3077" s="195">
        <f>Q3077/L3077</f>
        <v>0.80713189618046655</v>
      </c>
      <c r="S3077" s="178"/>
      <c r="T3077" s="180"/>
      <c r="U3077" s="189" t="str">
        <f>IFERROR(IF(Tableau3[[#This Row],[Dettes]]=0,"",(Tableau3[[#This Row],[Dettes]]/Tableau3[[#This Row],[EBE]])),"")</f>
        <v/>
      </c>
      <c r="V3077" s="190" t="str">
        <f>IFERROR(Tableau3[[#This Row],[Fonds propres]]/Tableau3[[#This Row],[Total Bilan]],"")</f>
        <v/>
      </c>
      <c r="W3077" s="180"/>
      <c r="Y3077" s="180"/>
      <c r="Z3077" s="192" t="str">
        <f>IFERROR(Tableau3[[#This Row],[Chiffre d''affaires]]/Tableau3[[#This Row],[Salariés]],"")</f>
        <v/>
      </c>
      <c r="AA3077" s="177"/>
      <c r="AC3077" s="177" t="s">
        <v>2185</v>
      </c>
    </row>
    <row r="3078" spans="1:29" ht="20.25" customHeight="1">
      <c r="A3078" s="217"/>
      <c r="E3078" s="187"/>
      <c r="G3078" s="188"/>
      <c r="H3078" s="178"/>
      <c r="I3078" s="188"/>
      <c r="J3078" s="188"/>
      <c r="K3078" s="211"/>
      <c r="L3078" s="188"/>
      <c r="M3078" s="194"/>
      <c r="N3078" s="190"/>
      <c r="O3078" s="178"/>
      <c r="P3078" s="188"/>
      <c r="Q3078" s="188"/>
      <c r="R3078" s="195"/>
      <c r="S3078" s="178"/>
      <c r="T3078" s="180"/>
      <c r="U3078" s="189" t="str">
        <f>IFERROR(IF(Tableau3[[#This Row],[Dettes]]=0,"",(Tableau3[[#This Row],[Dettes]]/Tableau3[[#This Row],[EBE]])),"")</f>
        <v/>
      </c>
      <c r="V3078" s="190" t="str">
        <f>IFERROR(Tableau3[[#This Row],[Fonds propres]]/Tableau3[[#This Row],[Total Bilan]],"")</f>
        <v/>
      </c>
      <c r="W3078" s="180"/>
      <c r="Y3078" s="180"/>
      <c r="Z3078" s="192" t="str">
        <f>IFERROR(Tableau3[[#This Row],[Chiffre d''affaires]]/Tableau3[[#This Row],[Salariés]],"")</f>
        <v/>
      </c>
      <c r="AA3078" s="177"/>
      <c r="AC3078" s="177" t="s">
        <v>2186</v>
      </c>
    </row>
    <row r="3079" spans="1:29" ht="20.25" customHeight="1">
      <c r="A3079" s="217"/>
      <c r="E3079" s="187"/>
      <c r="G3079" s="188"/>
      <c r="H3079" s="178"/>
      <c r="I3079" s="188"/>
      <c r="J3079" s="188"/>
      <c r="K3079" s="211"/>
      <c r="L3079" s="188"/>
      <c r="M3079" s="194"/>
      <c r="N3079" s="190"/>
      <c r="O3079" s="178"/>
      <c r="P3079" s="188"/>
      <c r="Q3079" s="188"/>
      <c r="R3079" s="195"/>
      <c r="S3079" s="178"/>
      <c r="T3079" s="180"/>
      <c r="U3079" s="189" t="str">
        <f>IFERROR(IF(Tableau3[[#This Row],[Dettes]]=0,"",(Tableau3[[#This Row],[Dettes]]/Tableau3[[#This Row],[EBE]])),"")</f>
        <v/>
      </c>
      <c r="V3079" s="190" t="str">
        <f>IFERROR(Tableau3[[#This Row],[Fonds propres]]/Tableau3[[#This Row],[Total Bilan]],"")</f>
        <v/>
      </c>
      <c r="W3079" s="180"/>
      <c r="Y3079" s="180"/>
      <c r="Z3079" s="192" t="str">
        <f>IFERROR(Tableau3[[#This Row],[Chiffre d''affaires]]/Tableau3[[#This Row],[Salariés]],"")</f>
        <v/>
      </c>
      <c r="AA3079" s="177"/>
    </row>
    <row r="3080" spans="1:29" ht="20.25" customHeight="1">
      <c r="A3080" s="217"/>
      <c r="E3080" s="187"/>
      <c r="G3080" s="188"/>
      <c r="H3080" s="178"/>
      <c r="I3080" s="188"/>
      <c r="J3080" s="188"/>
      <c r="K3080" s="211"/>
      <c r="L3080" s="188"/>
      <c r="M3080" s="194"/>
      <c r="N3080" s="190"/>
      <c r="O3080" s="178"/>
      <c r="P3080" s="188"/>
      <c r="Q3080" s="188"/>
      <c r="R3080" s="195"/>
      <c r="S3080" s="178"/>
      <c r="T3080" s="180"/>
      <c r="U3080" s="189" t="str">
        <f>IFERROR(IF(Tableau3[[#This Row],[Dettes]]=0,"",(Tableau3[[#This Row],[Dettes]]/Tableau3[[#This Row],[EBE]])),"")</f>
        <v/>
      </c>
      <c r="V3080" s="190" t="str">
        <f>IFERROR(Tableau3[[#This Row],[Fonds propres]]/Tableau3[[#This Row],[Total Bilan]],"")</f>
        <v/>
      </c>
      <c r="W3080" s="180"/>
      <c r="Y3080" s="180"/>
      <c r="Z3080" s="192" t="str">
        <f>IFERROR(Tableau3[[#This Row],[Chiffre d''affaires]]/Tableau3[[#This Row],[Salariés]],"")</f>
        <v/>
      </c>
      <c r="AA3080" s="177"/>
    </row>
    <row r="3081" spans="1:29" ht="20.25" customHeight="1">
      <c r="A3081" s="217"/>
      <c r="E3081" s="187"/>
      <c r="G3081" s="188"/>
      <c r="H3081" s="178"/>
      <c r="I3081" s="188"/>
      <c r="J3081" s="188"/>
      <c r="K3081" s="211"/>
      <c r="L3081" s="188"/>
      <c r="M3081" s="194"/>
      <c r="N3081" s="190"/>
      <c r="O3081" s="178"/>
      <c r="P3081" s="188"/>
      <c r="Q3081" s="188"/>
      <c r="R3081" s="195"/>
      <c r="S3081" s="178"/>
      <c r="T3081" s="180"/>
      <c r="U3081" s="189" t="str">
        <f>IFERROR(IF(Tableau3[[#This Row],[Dettes]]=0,"",(Tableau3[[#This Row],[Dettes]]/Tableau3[[#This Row],[EBE]])),"")</f>
        <v/>
      </c>
      <c r="V3081" s="190" t="str">
        <f>IFERROR(Tableau3[[#This Row],[Fonds propres]]/Tableau3[[#This Row],[Total Bilan]],"")</f>
        <v/>
      </c>
      <c r="W3081" s="180"/>
      <c r="Y3081" s="180"/>
      <c r="Z3081" s="192" t="str">
        <f>IFERROR(Tableau3[[#This Row],[Chiffre d''affaires]]/Tableau3[[#This Row],[Salariés]],"")</f>
        <v/>
      </c>
      <c r="AA3081" s="177"/>
    </row>
    <row r="3082" spans="1:29" ht="20.25" customHeight="1">
      <c r="A3082" s="217"/>
      <c r="E3082" s="187"/>
      <c r="G3082" s="188"/>
      <c r="H3082" s="178"/>
      <c r="I3082" s="188"/>
      <c r="J3082" s="188"/>
      <c r="K3082" s="211"/>
      <c r="L3082" s="188"/>
      <c r="M3082" s="194"/>
      <c r="N3082" s="190"/>
      <c r="O3082" s="178"/>
      <c r="P3082" s="188"/>
      <c r="Q3082" s="188"/>
      <c r="R3082" s="195"/>
      <c r="S3082" s="178"/>
      <c r="T3082" s="180"/>
      <c r="U3082" s="189" t="str">
        <f>IFERROR(IF(Tableau3[[#This Row],[Dettes]]=0,"",(Tableau3[[#This Row],[Dettes]]/Tableau3[[#This Row],[EBE]])),"")</f>
        <v/>
      </c>
      <c r="V3082" s="190" t="str">
        <f>IFERROR(Tableau3[[#This Row],[Fonds propres]]/Tableau3[[#This Row],[Total Bilan]],"")</f>
        <v/>
      </c>
      <c r="W3082" s="180"/>
      <c r="Y3082" s="180"/>
      <c r="Z3082" s="192" t="str">
        <f>IFERROR(Tableau3[[#This Row],[Chiffre d''affaires]]/Tableau3[[#This Row],[Salariés]],"")</f>
        <v/>
      </c>
      <c r="AA3082" s="177"/>
    </row>
    <row r="3083" spans="1:29" ht="20.25" customHeight="1">
      <c r="A3083" s="217"/>
      <c r="E3083" s="187"/>
      <c r="G3083" s="188"/>
      <c r="H3083" s="178"/>
      <c r="I3083" s="188"/>
      <c r="J3083" s="188"/>
      <c r="K3083" s="211"/>
      <c r="L3083" s="188"/>
      <c r="M3083" s="194"/>
      <c r="N3083" s="190"/>
      <c r="O3083" s="178"/>
      <c r="P3083" s="188"/>
      <c r="Q3083" s="188"/>
      <c r="R3083" s="195"/>
      <c r="S3083" s="178"/>
      <c r="T3083" s="180"/>
      <c r="U3083" s="189" t="str">
        <f>IFERROR(IF(Tableau3[[#This Row],[Dettes]]=0,"",(Tableau3[[#This Row],[Dettes]]/Tableau3[[#This Row],[EBE]])),"")</f>
        <v/>
      </c>
      <c r="V3083" s="190" t="str">
        <f>IFERROR(Tableau3[[#This Row],[Fonds propres]]/Tableau3[[#This Row],[Total Bilan]],"")</f>
        <v/>
      </c>
      <c r="W3083" s="180"/>
      <c r="Y3083" s="180"/>
      <c r="Z3083" s="192" t="str">
        <f>IFERROR(Tableau3[[#This Row],[Chiffre d''affaires]]/Tableau3[[#This Row],[Salariés]],"")</f>
        <v/>
      </c>
      <c r="AA3083" s="177"/>
    </row>
    <row r="3084" spans="1:29" ht="20.25" customHeight="1">
      <c r="A3084" s="217" t="s">
        <v>2187</v>
      </c>
      <c r="B3084" s="216" t="s">
        <v>2188</v>
      </c>
      <c r="C3084" s="178" t="s">
        <v>84</v>
      </c>
      <c r="D3084" s="178" t="s">
        <v>85</v>
      </c>
      <c r="E3084" s="187">
        <v>78</v>
      </c>
      <c r="F3084" s="178">
        <v>2025</v>
      </c>
      <c r="G3084" s="188"/>
      <c r="H3084" s="178"/>
      <c r="I3084" s="188"/>
      <c r="J3084" s="188"/>
      <c r="K3084" s="211"/>
      <c r="L3084" s="188"/>
      <c r="M3084" s="194"/>
      <c r="N3084" s="190"/>
      <c r="O3084" s="178"/>
      <c r="P3084" s="188">
        <v>24922589</v>
      </c>
      <c r="Q3084" s="188">
        <f>P3084*E3084</f>
        <v>1943961942</v>
      </c>
      <c r="R3084" s="195"/>
      <c r="S3084" s="178"/>
      <c r="T3084" s="180"/>
      <c r="U3084" s="189" t="str">
        <f>IFERROR(IF(Tableau3[[#This Row],[Dettes]]=0,"",(Tableau3[[#This Row],[Dettes]]/Tableau3[[#This Row],[EBE]])),"")</f>
        <v/>
      </c>
      <c r="V3084" s="190" t="str">
        <f>IFERROR(Tableau3[[#This Row],[Fonds propres]]/Tableau3[[#This Row],[Total Bilan]],"")</f>
        <v/>
      </c>
      <c r="W3084" s="180"/>
      <c r="X3084" s="182" t="s">
        <v>106</v>
      </c>
      <c r="Y3084" s="180"/>
      <c r="Z3084" s="192" t="str">
        <f>IFERROR(Tableau3[[#This Row],[Chiffre d''affaires]]/Tableau3[[#This Row],[Salariés]],"")</f>
        <v/>
      </c>
      <c r="AA3084" s="177"/>
      <c r="AC3084" s="177" t="s">
        <v>5195</v>
      </c>
    </row>
    <row r="3085" spans="1:29" ht="20.25" customHeight="1">
      <c r="A3085" s="217"/>
      <c r="E3085" s="187"/>
      <c r="G3085" s="188"/>
      <c r="H3085" s="178"/>
      <c r="I3085" s="188"/>
      <c r="J3085" s="188"/>
      <c r="K3085" s="211"/>
      <c r="L3085" s="188"/>
      <c r="M3085" s="194"/>
      <c r="N3085" s="190"/>
      <c r="O3085" s="178"/>
      <c r="P3085" s="188"/>
      <c r="Q3085" s="188"/>
      <c r="R3085" s="195"/>
      <c r="S3085" s="178"/>
      <c r="T3085" s="180"/>
      <c r="U3085" s="189" t="str">
        <f>IFERROR(IF(Tableau3[[#This Row],[Dettes]]=0,"",(Tableau3[[#This Row],[Dettes]]/Tableau3[[#This Row],[EBE]])),"")</f>
        <v/>
      </c>
      <c r="V3085" s="190" t="str">
        <f>IFERROR(Tableau3[[#This Row],[Fonds propres]]/Tableau3[[#This Row],[Total Bilan]],"")</f>
        <v/>
      </c>
      <c r="W3085" s="180"/>
      <c r="Y3085" s="180"/>
      <c r="Z3085" s="192" t="str">
        <f>IFERROR(Tableau3[[#This Row],[Chiffre d''affaires]]/Tableau3[[#This Row],[Salariés]],"")</f>
        <v/>
      </c>
      <c r="AA3085" s="177"/>
      <c r="AC3085" s="177" t="s">
        <v>2190</v>
      </c>
    </row>
    <row r="3086" spans="1:29" ht="20.25" customHeight="1">
      <c r="A3086" s="217"/>
      <c r="E3086" s="187">
        <v>73.099999999999994</v>
      </c>
      <c r="F3086" s="178">
        <v>2024</v>
      </c>
      <c r="G3086" s="188"/>
      <c r="H3086" s="178"/>
      <c r="I3086" s="188"/>
      <c r="J3086" s="188">
        <v>146300000</v>
      </c>
      <c r="K3086" s="211">
        <v>551000000</v>
      </c>
      <c r="L3086" s="188">
        <v>4554000000</v>
      </c>
      <c r="M3086" s="194">
        <f>Tableau3[[#This Row],[Fonds propres]]/Tableau3[[#This Row],[Titres]]</f>
        <v>182.72579947452491</v>
      </c>
      <c r="N3086" s="190"/>
      <c r="O3086" s="178"/>
      <c r="P3086" s="188">
        <v>24922589</v>
      </c>
      <c r="Q3086" s="188">
        <f>P3086*E3086</f>
        <v>1821841255.8999999</v>
      </c>
      <c r="R3086" s="195">
        <f>Tableau3[[#This Row],[Cours]]/Tableau3[[#This Row],[Actif net/action]]</f>
        <v>0.40005297670180057</v>
      </c>
      <c r="S3086" s="178"/>
      <c r="T3086" s="180"/>
      <c r="U3086" s="189" t="str">
        <f>IFERROR(IF(Tableau3[[#This Row],[Dettes]]=0,"",(Tableau3[[#This Row],[Dettes]]/Tableau3[[#This Row],[EBE]])),"")</f>
        <v/>
      </c>
      <c r="V3086" s="190" t="str">
        <f>IFERROR(Tableau3[[#This Row],[Fonds propres]]/Tableau3[[#This Row],[Total Bilan]],"")</f>
        <v/>
      </c>
      <c r="W3086" s="180"/>
      <c r="Y3086" s="180"/>
      <c r="Z3086" s="192" t="str">
        <f>IFERROR(Tableau3[[#This Row],[Chiffre d''affaires]]/Tableau3[[#This Row],[Salariés]],"")</f>
        <v/>
      </c>
      <c r="AA3086" s="177"/>
      <c r="AC3086" s="177" t="s">
        <v>2191</v>
      </c>
    </row>
    <row r="3087" spans="1:29" ht="20.25" customHeight="1">
      <c r="A3087" s="217"/>
      <c r="E3087" s="187"/>
      <c r="G3087" s="188"/>
      <c r="H3087" s="178"/>
      <c r="I3087" s="188"/>
      <c r="J3087" s="188"/>
      <c r="K3087" s="211"/>
      <c r="L3087" s="188"/>
      <c r="M3087" s="194"/>
      <c r="N3087" s="190"/>
      <c r="O3087" s="178"/>
      <c r="P3087" s="188"/>
      <c r="Q3087" s="188"/>
      <c r="R3087" s="195"/>
      <c r="S3087" s="178"/>
      <c r="T3087" s="180"/>
      <c r="U3087" s="189" t="str">
        <f>IFERROR(IF(Tableau3[[#This Row],[Dettes]]=0,"",(Tableau3[[#This Row],[Dettes]]/Tableau3[[#This Row],[EBE]])),"")</f>
        <v/>
      </c>
      <c r="V3087" s="190" t="str">
        <f>IFERROR(Tableau3[[#This Row],[Fonds propres]]/Tableau3[[#This Row],[Total Bilan]],"")</f>
        <v/>
      </c>
      <c r="W3087" s="180"/>
      <c r="Y3087" s="180"/>
      <c r="Z3087" s="192" t="str">
        <f>IFERROR(Tableau3[[#This Row],[Chiffre d''affaires]]/Tableau3[[#This Row],[Salariés]],"")</f>
        <v/>
      </c>
      <c r="AA3087" s="177"/>
      <c r="AC3087" s="177" t="s">
        <v>2192</v>
      </c>
    </row>
    <row r="3088" spans="1:29" ht="20.25" customHeight="1">
      <c r="A3088" s="217"/>
      <c r="E3088" s="187">
        <v>101.4</v>
      </c>
      <c r="F3088" s="178">
        <v>2023</v>
      </c>
      <c r="G3088" s="188">
        <v>270617000</v>
      </c>
      <c r="H3088" s="178"/>
      <c r="I3088" s="178"/>
      <c r="J3088" s="188">
        <v>136600000</v>
      </c>
      <c r="K3088" s="211">
        <v>858000000</v>
      </c>
      <c r="L3088" s="188">
        <v>5884294000</v>
      </c>
      <c r="M3088" s="194">
        <f>Tableau3[[#This Row],[Fonds propres]]/Tableau3[[#This Row],[Titres]]</f>
        <v>236.10283827254062</v>
      </c>
      <c r="N3088" s="190"/>
      <c r="O3088" s="178"/>
      <c r="P3088" s="188">
        <v>24922589</v>
      </c>
      <c r="Q3088" s="188">
        <f>P3088*E3088</f>
        <v>2527150524.5999999</v>
      </c>
      <c r="R3088" s="195">
        <f>Tableau3[[#This Row],[Cours]]/Tableau3[[#This Row],[Actif net/action]]</f>
        <v>0.42947387139391746</v>
      </c>
      <c r="S3088" s="178"/>
      <c r="T3088" s="180"/>
      <c r="U3088" s="189" t="str">
        <f>IFERROR(IF(Tableau3[[#This Row],[Dettes]]=0,"",(Tableau3[[#This Row],[Dettes]]/Tableau3[[#This Row],[EBE]])),"")</f>
        <v/>
      </c>
      <c r="V3088" s="190">
        <f>IFERROR(Tableau3[[#This Row],[Fonds propres]]/Tableau3[[#This Row],[Total Bilan]],"")</f>
        <v>0.66247786315404322</v>
      </c>
      <c r="W3088" s="180">
        <v>8882250000</v>
      </c>
      <c r="Y3088" s="180">
        <v>32</v>
      </c>
      <c r="Z3088" s="192">
        <f>IFERROR(Tableau3[[#This Row],[Chiffre d''affaires]]/Tableau3[[#This Row],[Salariés]],"")</f>
        <v>8456781.25</v>
      </c>
      <c r="AA3088" s="177"/>
      <c r="AC3088" s="177" t="s">
        <v>2193</v>
      </c>
    </row>
    <row r="3089" spans="1:29" ht="20.25" customHeight="1">
      <c r="A3089" s="217"/>
      <c r="E3089" s="187"/>
      <c r="G3089" s="188"/>
      <c r="H3089" s="178"/>
      <c r="I3089" s="188"/>
      <c r="J3089" s="188"/>
      <c r="K3089" s="211"/>
      <c r="L3089" s="188"/>
      <c r="M3089" s="194"/>
      <c r="N3089" s="190"/>
      <c r="O3089" s="178"/>
      <c r="P3089" s="188"/>
      <c r="Q3089" s="188"/>
      <c r="R3089" s="195"/>
      <c r="S3089" s="178"/>
      <c r="T3089" s="180"/>
      <c r="U3089" s="189" t="str">
        <f>IFERROR(IF(Tableau3[[#This Row],[Dettes]]=0,"",(Tableau3[[#This Row],[Dettes]]/Tableau3[[#This Row],[EBE]])),"")</f>
        <v/>
      </c>
      <c r="V3089" s="190" t="str">
        <f>IFERROR(Tableau3[[#This Row],[Fonds propres]]/Tableau3[[#This Row],[Total Bilan]],"")</f>
        <v/>
      </c>
      <c r="W3089" s="180"/>
      <c r="Y3089" s="180"/>
      <c r="Z3089" s="192" t="str">
        <f>IFERROR(Tableau3[[#This Row],[Chiffre d''affaires]]/Tableau3[[#This Row],[Salariés]],"")</f>
        <v/>
      </c>
      <c r="AA3089" s="177"/>
      <c r="AC3089" s="177" t="s">
        <v>2194</v>
      </c>
    </row>
    <row r="3090" spans="1:29" ht="20.25" customHeight="1">
      <c r="A3090" s="217"/>
      <c r="E3090" s="187">
        <v>89</v>
      </c>
      <c r="F3090" s="178">
        <v>2022</v>
      </c>
      <c r="G3090" s="188">
        <v>308655000</v>
      </c>
      <c r="H3090" s="178"/>
      <c r="I3090" s="188"/>
      <c r="J3090" s="188">
        <v>237000000</v>
      </c>
      <c r="K3090" s="211">
        <v>885000000</v>
      </c>
      <c r="L3090" s="188">
        <v>4824354000</v>
      </c>
      <c r="M3090" s="194">
        <f>Tableau3[[#This Row],[Fonds propres]]/Tableau3[[#This Row],[Titres]]</f>
        <v>193.57354887969305</v>
      </c>
      <c r="N3090" s="190"/>
      <c r="O3090" s="178"/>
      <c r="P3090" s="188">
        <v>24922589</v>
      </c>
      <c r="Q3090" s="188">
        <f>P3090*E3090</f>
        <v>2218110421</v>
      </c>
      <c r="R3090" s="195">
        <f>Tableau3[[#This Row],[Cours]]/Tableau3[[#This Row],[Actif net/action]]</f>
        <v>0.45977356160016447</v>
      </c>
      <c r="S3090" s="178"/>
      <c r="T3090" s="180"/>
      <c r="U3090" s="189" t="str">
        <f>IFERROR(IF(Tableau3[[#This Row],[Dettes]]=0,"",(Tableau3[[#This Row],[Dettes]]/Tableau3[[#This Row],[EBE]])),"")</f>
        <v/>
      </c>
      <c r="V3090" s="190">
        <f>IFERROR(Tableau3[[#This Row],[Fonds propres]]/Tableau3[[#This Row],[Total Bilan]],"")</f>
        <v>0.64712511884551904</v>
      </c>
      <c r="W3090" s="180">
        <v>7455056000</v>
      </c>
      <c r="Y3090" s="180">
        <v>32</v>
      </c>
      <c r="Z3090" s="192">
        <f>IFERROR(Tableau3[[#This Row],[Chiffre d''affaires]]/Tableau3[[#This Row],[Salariés]],"")</f>
        <v>9645468.75</v>
      </c>
      <c r="AA3090" s="177"/>
      <c r="AC3090" s="177" t="s">
        <v>2195</v>
      </c>
    </row>
    <row r="3091" spans="1:29" ht="20.25" customHeight="1">
      <c r="A3091" s="217"/>
      <c r="E3091" s="187"/>
      <c r="G3091" s="188"/>
      <c r="H3091" s="178"/>
      <c r="I3091" s="188"/>
      <c r="J3091" s="188"/>
      <c r="K3091" s="211"/>
      <c r="L3091" s="188"/>
      <c r="M3091" s="194"/>
      <c r="N3091" s="190"/>
      <c r="O3091" s="178"/>
      <c r="P3091" s="188"/>
      <c r="Q3091" s="188"/>
      <c r="R3091" s="195"/>
      <c r="S3091" s="178"/>
      <c r="T3091" s="180"/>
      <c r="U3091" s="189" t="str">
        <f>IFERROR(IF(Tableau3[[#This Row],[Dettes]]=0,"",(Tableau3[[#This Row],[Dettes]]/Tableau3[[#This Row],[EBE]])),"")</f>
        <v/>
      </c>
      <c r="V3091" s="190" t="str">
        <f>IFERROR(Tableau3[[#This Row],[Fonds propres]]/Tableau3[[#This Row],[Total Bilan]],"")</f>
        <v/>
      </c>
      <c r="W3091" s="180"/>
      <c r="Y3091" s="180"/>
      <c r="Z3091" s="192" t="str">
        <f>IFERROR(Tableau3[[#This Row],[Chiffre d''affaires]]/Tableau3[[#This Row],[Salariés]],"")</f>
        <v/>
      </c>
      <c r="AA3091" s="177"/>
      <c r="AC3091" s="177" t="s">
        <v>2196</v>
      </c>
    </row>
    <row r="3092" spans="1:29" ht="20.25" customHeight="1">
      <c r="A3092" s="217"/>
      <c r="E3092" s="187">
        <v>124</v>
      </c>
      <c r="F3092" s="178">
        <v>2021</v>
      </c>
      <c r="G3092" s="188">
        <v>645899000</v>
      </c>
      <c r="H3092" s="178"/>
      <c r="I3092" s="188"/>
      <c r="J3092" s="188">
        <v>456456000</v>
      </c>
      <c r="K3092" s="211">
        <v>1148000000</v>
      </c>
      <c r="L3092" s="188">
        <v>5567889000</v>
      </c>
      <c r="M3092" s="194">
        <v>235</v>
      </c>
      <c r="N3092" s="190"/>
      <c r="O3092" s="178"/>
      <c r="P3092" s="188">
        <v>24922589</v>
      </c>
      <c r="Q3092" s="188">
        <f>P3092*E3092</f>
        <v>3090401036</v>
      </c>
      <c r="R3092" s="195">
        <f>Tableau3[[#This Row],[Cours]]/Tableau3[[#This Row],[Actif net/action]]</f>
        <v>0.52765957446808509</v>
      </c>
      <c r="S3092" s="178"/>
      <c r="T3092" s="180"/>
      <c r="U3092" s="189" t="str">
        <f>IFERROR(IF(Tableau3[[#This Row],[Dettes]]=0,"",(Tableau3[[#This Row],[Dettes]]/Tableau3[[#This Row],[EBE]])),"")</f>
        <v/>
      </c>
      <c r="V3092" s="190">
        <f>IFERROR(Tableau3[[#This Row],[Fonds propres]]/Tableau3[[#This Row],[Total Bilan]],"")</f>
        <v>0.6566939119085583</v>
      </c>
      <c r="W3092" s="180">
        <v>8478667000</v>
      </c>
      <c r="Y3092" s="180">
        <v>31</v>
      </c>
      <c r="Z3092" s="192">
        <f>IFERROR(Tableau3[[#This Row],[Chiffre d''affaires]]/Tableau3[[#This Row],[Salariés]],"")</f>
        <v>20835451.612903226</v>
      </c>
      <c r="AA3092" s="177"/>
      <c r="AC3092" s="177" t="s">
        <v>2197</v>
      </c>
    </row>
    <row r="3093" spans="1:29" ht="20.25" customHeight="1">
      <c r="A3093" s="217"/>
      <c r="E3093" s="187"/>
      <c r="G3093" s="188"/>
      <c r="H3093" s="178"/>
      <c r="I3093" s="178"/>
      <c r="J3093" s="178"/>
      <c r="K3093" s="178"/>
      <c r="L3093" s="178"/>
      <c r="M3093" s="194"/>
      <c r="N3093" s="178"/>
      <c r="O3093" s="178"/>
      <c r="P3093" s="178"/>
      <c r="Q3093" s="178"/>
      <c r="R3093" s="195"/>
      <c r="S3093" s="178"/>
      <c r="T3093" s="180"/>
      <c r="U3093" s="189" t="str">
        <f>IFERROR(IF(Tableau3[[#This Row],[Dettes]]=0,"",(Tableau3[[#This Row],[Dettes]]/Tableau3[[#This Row],[EBE]])),"")</f>
        <v/>
      </c>
      <c r="V3093" s="190" t="str">
        <f>IFERROR(Tableau3[[#This Row],[Fonds propres]]/Tableau3[[#This Row],[Total Bilan]],"")</f>
        <v/>
      </c>
      <c r="W3093" s="180"/>
      <c r="Y3093" s="180"/>
      <c r="Z3093" s="192" t="str">
        <f>IFERROR(Tableau3[[#This Row],[Chiffre d''affaires]]/Tableau3[[#This Row],[Salariés]],"")</f>
        <v/>
      </c>
      <c r="AA3093" s="177"/>
      <c r="AC3093" s="177" t="s">
        <v>2198</v>
      </c>
    </row>
    <row r="3094" spans="1:29" ht="20.25" customHeight="1">
      <c r="A3094" s="217"/>
      <c r="E3094" s="187">
        <v>97.5</v>
      </c>
      <c r="F3094" s="178">
        <v>2020</v>
      </c>
      <c r="G3094" s="188">
        <v>234530000</v>
      </c>
      <c r="H3094" s="178"/>
      <c r="I3094" s="178"/>
      <c r="J3094" s="188">
        <v>134065000</v>
      </c>
      <c r="K3094" s="211">
        <v>1023000000</v>
      </c>
      <c r="L3094" s="188">
        <v>4327935000</v>
      </c>
      <c r="M3094" s="194">
        <f>Tableau3[[#This Row],[Fonds propres]]/Tableau3[[#This Row],[Titres]]</f>
        <v>173.65511263697363</v>
      </c>
      <c r="N3094" s="178"/>
      <c r="O3094" s="178"/>
      <c r="P3094" s="188">
        <v>24922589</v>
      </c>
      <c r="Q3094" s="188">
        <f>P3094*E3094</f>
        <v>2429952427.5</v>
      </c>
      <c r="R3094" s="195">
        <f>Tableau3[[#This Row],[Cours]]/Tableau3[[#This Row],[Actif net/action]]</f>
        <v>0.56145769922607436</v>
      </c>
      <c r="S3094" s="178"/>
      <c r="T3094" s="180"/>
      <c r="U3094" s="189" t="str">
        <f>IFERROR(IF(Tableau3[[#This Row],[Dettes]]=0,"",(Tableau3[[#This Row],[Dettes]]/Tableau3[[#This Row],[EBE]])),"")</f>
        <v/>
      </c>
      <c r="V3094" s="190">
        <f>IFERROR(Tableau3[[#This Row],[Fonds propres]]/Tableau3[[#This Row],[Total Bilan]],"")</f>
        <v>0.63417492207868897</v>
      </c>
      <c r="W3094" s="180">
        <v>6824513000</v>
      </c>
      <c r="Y3094" s="180">
        <v>26</v>
      </c>
      <c r="Z3094" s="192">
        <f>IFERROR(Tableau3[[#This Row],[Chiffre d''affaires]]/Tableau3[[#This Row],[Salariés]],"")</f>
        <v>9020384.615384616</v>
      </c>
      <c r="AA3094" s="177"/>
      <c r="AC3094" s="177" t="s">
        <v>2199</v>
      </c>
    </row>
    <row r="3095" spans="1:29" ht="20.25" customHeight="1">
      <c r="A3095" s="217"/>
      <c r="E3095" s="187"/>
      <c r="G3095" s="188"/>
      <c r="H3095" s="178"/>
      <c r="I3095" s="178"/>
      <c r="J3095" s="188"/>
      <c r="K3095" s="178"/>
      <c r="L3095" s="178"/>
      <c r="M3095" s="194"/>
      <c r="N3095" s="178"/>
      <c r="O3095" s="178"/>
      <c r="P3095" s="178"/>
      <c r="Q3095" s="178"/>
      <c r="R3095" s="195"/>
      <c r="S3095" s="178"/>
      <c r="T3095" s="180"/>
      <c r="U3095" s="189" t="str">
        <f>IFERROR(IF(Tableau3[[#This Row],[Dettes]]=0,"",(Tableau3[[#This Row],[Dettes]]/Tableau3[[#This Row],[EBE]])),"")</f>
        <v/>
      </c>
      <c r="V3095" s="190" t="str">
        <f>IFERROR(Tableau3[[#This Row],[Fonds propres]]/Tableau3[[#This Row],[Total Bilan]],"")</f>
        <v/>
      </c>
      <c r="W3095" s="180"/>
      <c r="Y3095" s="180"/>
      <c r="Z3095" s="192" t="str">
        <f>IFERROR(Tableau3[[#This Row],[Chiffre d''affaires]]/Tableau3[[#This Row],[Salariés]],"")</f>
        <v/>
      </c>
      <c r="AA3095" s="177"/>
      <c r="AC3095" s="177" t="s">
        <v>5196</v>
      </c>
    </row>
    <row r="3096" spans="1:29" ht="20.25" customHeight="1">
      <c r="A3096" s="217"/>
      <c r="E3096" s="187">
        <v>79.599999999999994</v>
      </c>
      <c r="F3096" s="178">
        <v>2019</v>
      </c>
      <c r="G3096" s="188"/>
      <c r="H3096" s="178"/>
      <c r="I3096" s="178"/>
      <c r="J3096" s="188">
        <v>131400000</v>
      </c>
      <c r="K3096" s="178"/>
      <c r="L3096" s="188">
        <v>4472000000</v>
      </c>
      <c r="M3096" s="194">
        <f>Tableau3[[#This Row],[Fonds propres]]/Tableau3[[#This Row],[Titres]]</f>
        <v>179.4356116051988</v>
      </c>
      <c r="N3096" s="178"/>
      <c r="O3096" s="178"/>
      <c r="P3096" s="188">
        <v>24922589</v>
      </c>
      <c r="Q3096" s="188">
        <f>P3096*E3096</f>
        <v>1983838084.3999999</v>
      </c>
      <c r="R3096" s="195">
        <f>Tableau3[[#This Row],[Cours]]/Tableau3[[#This Row],[Actif net/action]]</f>
        <v>0.44361316735241502</v>
      </c>
      <c r="S3096" s="178"/>
      <c r="T3096" s="180"/>
      <c r="U3096" s="189" t="str">
        <f>IFERROR(IF(Tableau3[[#This Row],[Dettes]]=0,"",(Tableau3[[#This Row],[Dettes]]/Tableau3[[#This Row],[EBE]])),"")</f>
        <v/>
      </c>
      <c r="V3096" s="190" t="str">
        <f>IFERROR(Tableau3[[#This Row],[Fonds propres]]/Tableau3[[#This Row],[Total Bilan]],"")</f>
        <v/>
      </c>
      <c r="W3096" s="180"/>
      <c r="Y3096" s="180">
        <v>24</v>
      </c>
      <c r="Z3096" s="192">
        <f>IFERROR(Tableau3[[#This Row],[Chiffre d''affaires]]/Tableau3[[#This Row],[Salariés]],"")</f>
        <v>0</v>
      </c>
      <c r="AA3096" s="177"/>
      <c r="AC3096" s="177" t="s">
        <v>2200</v>
      </c>
    </row>
    <row r="3097" spans="1:29" ht="20.25" customHeight="1">
      <c r="A3097" s="217"/>
      <c r="E3097" s="187"/>
      <c r="G3097" s="188"/>
      <c r="H3097" s="178"/>
      <c r="I3097" s="178"/>
      <c r="J3097" s="178"/>
      <c r="K3097" s="178"/>
      <c r="L3097" s="188"/>
      <c r="M3097" s="194"/>
      <c r="N3097" s="178"/>
      <c r="O3097" s="178"/>
      <c r="P3097" s="178"/>
      <c r="Q3097" s="178"/>
      <c r="R3097" s="195"/>
      <c r="S3097" s="178"/>
      <c r="T3097" s="180"/>
      <c r="U3097" s="189" t="str">
        <f>IFERROR(IF(Tableau3[[#This Row],[Dettes]]=0,"",(Tableau3[[#This Row],[Dettes]]/Tableau3[[#This Row],[EBE]])),"")</f>
        <v/>
      </c>
      <c r="V3097" s="190" t="str">
        <f>IFERROR(Tableau3[[#This Row],[Fonds propres]]/Tableau3[[#This Row],[Total Bilan]],"")</f>
        <v/>
      </c>
      <c r="W3097" s="180"/>
      <c r="Y3097" s="180"/>
      <c r="Z3097" s="192" t="str">
        <f>IFERROR(Tableau3[[#This Row],[Chiffre d''affaires]]/Tableau3[[#This Row],[Salariés]],"")</f>
        <v/>
      </c>
      <c r="AA3097" s="177"/>
      <c r="AC3097" s="177" t="s">
        <v>2201</v>
      </c>
    </row>
    <row r="3098" spans="1:29" ht="20.25" customHeight="1">
      <c r="A3098" s="217"/>
      <c r="E3098" s="187">
        <v>100.3</v>
      </c>
      <c r="F3098" s="178">
        <v>2018</v>
      </c>
      <c r="G3098" s="188"/>
      <c r="H3098" s="178"/>
      <c r="I3098" s="178"/>
      <c r="J3098" s="188">
        <v>114900000</v>
      </c>
      <c r="K3098" s="178"/>
      <c r="L3098" s="188">
        <v>3746000000</v>
      </c>
      <c r="M3098" s="194">
        <f>Tableau3[[#This Row],[Fonds propres]]/Tableau3[[#This Row],[Titres]]</f>
        <v>150.3054116889702</v>
      </c>
      <c r="N3098" s="178"/>
      <c r="O3098" s="178"/>
      <c r="P3098" s="188">
        <v>24922589</v>
      </c>
      <c r="Q3098" s="188">
        <f>P3098*E3098</f>
        <v>2499735676.6999998</v>
      </c>
      <c r="R3098" s="195">
        <f>Tableau3[[#This Row],[Cours]]/Tableau3[[#This Row],[Actif net/action]]</f>
        <v>0.66730797562733579</v>
      </c>
      <c r="S3098" s="178"/>
      <c r="T3098" s="180"/>
      <c r="U3098" s="189" t="str">
        <f>IFERROR(IF(Tableau3[[#This Row],[Dettes]]=0,"",(Tableau3[[#This Row],[Dettes]]/Tableau3[[#This Row],[EBE]])),"")</f>
        <v/>
      </c>
      <c r="V3098" s="190" t="str">
        <f>IFERROR(Tableau3[[#This Row],[Fonds propres]]/Tableau3[[#This Row],[Total Bilan]],"")</f>
        <v/>
      </c>
      <c r="W3098" s="180"/>
      <c r="Y3098" s="180"/>
      <c r="Z3098" s="192" t="str">
        <f>IFERROR(Tableau3[[#This Row],[Chiffre d''affaires]]/Tableau3[[#This Row],[Salariés]],"")</f>
        <v/>
      </c>
      <c r="AA3098" s="177"/>
      <c r="AC3098" s="177" t="s">
        <v>2202</v>
      </c>
    </row>
    <row r="3099" spans="1:29" ht="20.25" customHeight="1">
      <c r="A3099" s="217"/>
      <c r="E3099" s="187"/>
      <c r="G3099" s="188"/>
      <c r="H3099" s="178"/>
      <c r="I3099" s="178"/>
      <c r="J3099" s="188"/>
      <c r="K3099" s="178"/>
      <c r="L3099" s="188"/>
      <c r="M3099" s="194"/>
      <c r="N3099" s="178"/>
      <c r="O3099" s="178"/>
      <c r="P3099" s="178"/>
      <c r="Q3099" s="178"/>
      <c r="R3099" s="195"/>
      <c r="S3099" s="178"/>
      <c r="T3099" s="180"/>
      <c r="U3099" s="189" t="str">
        <f>IFERROR(IF(Tableau3[[#This Row],[Dettes]]=0,"",(Tableau3[[#This Row],[Dettes]]/Tableau3[[#This Row],[EBE]])),"")</f>
        <v/>
      </c>
      <c r="V3099" s="190" t="str">
        <f>IFERROR(Tableau3[[#This Row],[Fonds propres]]/Tableau3[[#This Row],[Total Bilan]],"")</f>
        <v/>
      </c>
      <c r="W3099" s="180"/>
      <c r="Y3099" s="180"/>
      <c r="Z3099" s="192" t="str">
        <f>IFERROR(Tableau3[[#This Row],[Chiffre d''affaires]]/Tableau3[[#This Row],[Salariés]],"")</f>
        <v/>
      </c>
      <c r="AA3099" s="177"/>
      <c r="AC3099" s="177" t="s">
        <v>2203</v>
      </c>
    </row>
    <row r="3100" spans="1:29" ht="20.25" customHeight="1">
      <c r="A3100" s="217"/>
      <c r="E3100" s="187">
        <v>74</v>
      </c>
      <c r="F3100" s="178">
        <v>2017</v>
      </c>
      <c r="G3100" s="188"/>
      <c r="H3100" s="178"/>
      <c r="I3100" s="178"/>
      <c r="J3100" s="188">
        <v>513300000</v>
      </c>
      <c r="K3100" s="178"/>
      <c r="L3100" s="188">
        <v>3871000000</v>
      </c>
      <c r="M3100" s="194">
        <f>Tableau3[[#This Row],[Fonds propres]]/Tableau3[[#This Row],[Titres]]</f>
        <v>155.32094197757704</v>
      </c>
      <c r="N3100" s="178"/>
      <c r="O3100" s="178"/>
      <c r="P3100" s="188">
        <v>24922589</v>
      </c>
      <c r="Q3100" s="188">
        <f>P3100*E3100</f>
        <v>1844271586</v>
      </c>
      <c r="R3100" s="195">
        <f>Tableau3[[#This Row],[Cours]]/Tableau3[[#This Row],[Actif net/action]]</f>
        <v>0.47643285610953245</v>
      </c>
      <c r="S3100" s="178"/>
      <c r="T3100" s="180"/>
      <c r="U3100" s="189" t="str">
        <f>IFERROR(IF(Tableau3[[#This Row],[Dettes]]=0,"",(Tableau3[[#This Row],[Dettes]]/Tableau3[[#This Row],[EBE]])),"")</f>
        <v/>
      </c>
      <c r="V3100" s="190" t="str">
        <f>IFERROR(Tableau3[[#This Row],[Fonds propres]]/Tableau3[[#This Row],[Total Bilan]],"")</f>
        <v/>
      </c>
      <c r="W3100" s="180"/>
      <c r="Y3100" s="180"/>
      <c r="Z3100" s="192" t="str">
        <f>IFERROR(Tableau3[[#This Row],[Chiffre d''affaires]]/Tableau3[[#This Row],[Salariés]],"")</f>
        <v/>
      </c>
      <c r="AA3100" s="177"/>
      <c r="AC3100" s="177" t="s">
        <v>2204</v>
      </c>
    </row>
    <row r="3101" spans="1:29" ht="20.25" customHeight="1">
      <c r="A3101" s="217"/>
      <c r="E3101" s="187"/>
      <c r="G3101" s="188"/>
      <c r="H3101" s="178"/>
      <c r="I3101" s="178"/>
      <c r="J3101" s="178"/>
      <c r="K3101" s="178"/>
      <c r="L3101" s="178"/>
      <c r="M3101" s="194"/>
      <c r="N3101" s="178"/>
      <c r="O3101" s="178"/>
      <c r="P3101" s="178"/>
      <c r="Q3101" s="178"/>
      <c r="R3101" s="178"/>
      <c r="S3101" s="178"/>
      <c r="T3101" s="180"/>
      <c r="U3101" s="189" t="str">
        <f>IFERROR(IF(Tableau3[[#This Row],[Dettes]]=0,"",(Tableau3[[#This Row],[Dettes]]/Tableau3[[#This Row],[EBE]])),"")</f>
        <v/>
      </c>
      <c r="V3101" s="190" t="str">
        <f>IFERROR(Tableau3[[#This Row],[Fonds propres]]/Tableau3[[#This Row],[Total Bilan]],"")</f>
        <v/>
      </c>
      <c r="W3101" s="180"/>
      <c r="Y3101" s="180"/>
      <c r="Z3101" s="192" t="str">
        <f>IFERROR(Tableau3[[#This Row],[Chiffre d''affaires]]/Tableau3[[#This Row],[Salariés]],"")</f>
        <v/>
      </c>
      <c r="AA3101" s="177"/>
      <c r="AC3101" s="177" t="s">
        <v>2205</v>
      </c>
    </row>
    <row r="3102" spans="1:29" ht="20.25" customHeight="1">
      <c r="A3102" s="217"/>
      <c r="E3102" s="187"/>
      <c r="G3102" s="188"/>
      <c r="H3102" s="178"/>
      <c r="I3102" s="178"/>
      <c r="J3102" s="178"/>
      <c r="K3102" s="178"/>
      <c r="L3102" s="178"/>
      <c r="M3102" s="194"/>
      <c r="N3102" s="178"/>
      <c r="O3102" s="178"/>
      <c r="P3102" s="178"/>
      <c r="Q3102" s="178"/>
      <c r="R3102" s="178"/>
      <c r="S3102" s="178"/>
      <c r="T3102" s="180"/>
      <c r="U3102" s="189" t="str">
        <f>IFERROR(IF(Tableau3[[#This Row],[Dettes]]=0,"",(Tableau3[[#This Row],[Dettes]]/Tableau3[[#This Row],[EBE]])),"")</f>
        <v/>
      </c>
      <c r="V3102" s="190" t="str">
        <f>IFERROR(Tableau3[[#This Row],[Fonds propres]]/Tableau3[[#This Row],[Total Bilan]],"")</f>
        <v/>
      </c>
      <c r="W3102" s="180"/>
      <c r="Y3102" s="180"/>
      <c r="Z3102" s="192" t="str">
        <f>IFERROR(Tableau3[[#This Row],[Chiffre d''affaires]]/Tableau3[[#This Row],[Salariés]],"")</f>
        <v/>
      </c>
      <c r="AA3102" s="177"/>
      <c r="AC3102" s="177" t="s">
        <v>5197</v>
      </c>
    </row>
    <row r="3103" spans="1:29" ht="20.25" customHeight="1">
      <c r="A3103" s="217"/>
      <c r="E3103" s="187"/>
      <c r="G3103" s="188"/>
      <c r="H3103" s="178"/>
      <c r="I3103" s="178"/>
      <c r="J3103" s="178"/>
      <c r="K3103" s="178"/>
      <c r="L3103" s="178"/>
      <c r="M3103" s="194"/>
      <c r="N3103" s="178"/>
      <c r="O3103" s="178"/>
      <c r="P3103" s="178"/>
      <c r="Q3103" s="178"/>
      <c r="R3103" s="178"/>
      <c r="S3103" s="178"/>
      <c r="T3103" s="180"/>
      <c r="U3103" s="189" t="str">
        <f>IFERROR(IF(Tableau3[[#This Row],[Dettes]]=0,"",(Tableau3[[#This Row],[Dettes]]/Tableau3[[#This Row],[EBE]])),"")</f>
        <v/>
      </c>
      <c r="V3103" s="190" t="str">
        <f>IFERROR(Tableau3[[#This Row],[Fonds propres]]/Tableau3[[#This Row],[Total Bilan]],"")</f>
        <v/>
      </c>
      <c r="W3103" s="180"/>
      <c r="Y3103" s="180"/>
      <c r="Z3103" s="192" t="str">
        <f>IFERROR(Tableau3[[#This Row],[Chiffre d''affaires]]/Tableau3[[#This Row],[Salariés]],"")</f>
        <v/>
      </c>
      <c r="AA3103" s="177"/>
      <c r="AC3103" s="177" t="s">
        <v>5200</v>
      </c>
    </row>
    <row r="3104" spans="1:29" ht="20.25" customHeight="1">
      <c r="A3104" s="217"/>
      <c r="E3104" s="187"/>
      <c r="G3104" s="188"/>
      <c r="H3104" s="178"/>
      <c r="I3104" s="178"/>
      <c r="J3104" s="178"/>
      <c r="K3104" s="178"/>
      <c r="L3104" s="178"/>
      <c r="M3104" s="194"/>
      <c r="N3104" s="178"/>
      <c r="O3104" s="178"/>
      <c r="P3104" s="178"/>
      <c r="Q3104" s="178"/>
      <c r="R3104" s="178"/>
      <c r="S3104" s="178"/>
      <c r="T3104" s="180"/>
      <c r="U3104" s="189" t="str">
        <f>IFERROR(IF(Tableau3[[#This Row],[Dettes]]=0,"",(Tableau3[[#This Row],[Dettes]]/Tableau3[[#This Row],[EBE]])),"")</f>
        <v/>
      </c>
      <c r="V3104" s="190" t="str">
        <f>IFERROR(Tableau3[[#This Row],[Fonds propres]]/Tableau3[[#This Row],[Total Bilan]],"")</f>
        <v/>
      </c>
      <c r="W3104" s="180"/>
      <c r="Y3104" s="180"/>
      <c r="Z3104" s="192" t="str">
        <f>IFERROR(Tableau3[[#This Row],[Chiffre d''affaires]]/Tableau3[[#This Row],[Salariés]],"")</f>
        <v/>
      </c>
      <c r="AA3104" s="177"/>
      <c r="AC3104" s="177" t="s">
        <v>2206</v>
      </c>
    </row>
    <row r="3105" spans="1:29" ht="20.25" customHeight="1">
      <c r="A3105" s="217"/>
      <c r="E3105" s="187"/>
      <c r="G3105" s="188"/>
      <c r="H3105" s="178"/>
      <c r="I3105" s="178"/>
      <c r="J3105" s="178"/>
      <c r="K3105" s="178"/>
      <c r="L3105" s="178"/>
      <c r="M3105" s="194"/>
      <c r="N3105" s="178"/>
      <c r="O3105" s="178"/>
      <c r="P3105" s="178"/>
      <c r="Q3105" s="178"/>
      <c r="R3105" s="178"/>
      <c r="S3105" s="178"/>
      <c r="T3105" s="180"/>
      <c r="U3105" s="189" t="str">
        <f>IFERROR(IF(Tableau3[[#This Row],[Dettes]]=0,"",(Tableau3[[#This Row],[Dettes]]/Tableau3[[#This Row],[EBE]])),"")</f>
        <v/>
      </c>
      <c r="V3105" s="190" t="str">
        <f>IFERROR(Tableau3[[#This Row],[Fonds propres]]/Tableau3[[#This Row],[Total Bilan]],"")</f>
        <v/>
      </c>
      <c r="W3105" s="180"/>
      <c r="Y3105" s="180"/>
      <c r="Z3105" s="192" t="str">
        <f>IFERROR(Tableau3[[#This Row],[Chiffre d''affaires]]/Tableau3[[#This Row],[Salariés]],"")</f>
        <v/>
      </c>
      <c r="AA3105" s="177"/>
      <c r="AC3105" s="177" t="s">
        <v>5199</v>
      </c>
    </row>
    <row r="3106" spans="1:29" ht="20.25" customHeight="1">
      <c r="A3106" s="217"/>
      <c r="E3106" s="187"/>
      <c r="G3106" s="188"/>
      <c r="H3106" s="178"/>
      <c r="I3106" s="178"/>
      <c r="J3106" s="178"/>
      <c r="K3106" s="178"/>
      <c r="L3106" s="178"/>
      <c r="M3106" s="194"/>
      <c r="N3106" s="178"/>
      <c r="O3106" s="178"/>
      <c r="P3106" s="178"/>
      <c r="Q3106" s="178"/>
      <c r="R3106" s="178"/>
      <c r="S3106" s="178"/>
      <c r="T3106" s="180"/>
      <c r="U3106" s="189" t="str">
        <f>IFERROR(IF(Tableau3[[#This Row],[Dettes]]=0,"",(Tableau3[[#This Row],[Dettes]]/Tableau3[[#This Row],[EBE]])),"")</f>
        <v/>
      </c>
      <c r="V3106" s="190" t="str">
        <f>IFERROR(Tableau3[[#This Row],[Fonds propres]]/Tableau3[[#This Row],[Total Bilan]],"")</f>
        <v/>
      </c>
      <c r="W3106" s="180"/>
      <c r="Y3106" s="180"/>
      <c r="Z3106" s="192" t="str">
        <f>IFERROR(Tableau3[[#This Row],[Chiffre d''affaires]]/Tableau3[[#This Row],[Salariés]],"")</f>
        <v/>
      </c>
      <c r="AA3106" s="177"/>
      <c r="AC3106" s="177" t="s">
        <v>5198</v>
      </c>
    </row>
    <row r="3107" spans="1:29" ht="20.25" customHeight="1">
      <c r="A3107" s="217"/>
      <c r="E3107" s="187"/>
      <c r="G3107" s="188"/>
      <c r="H3107" s="178"/>
      <c r="I3107" s="178"/>
      <c r="J3107" s="178"/>
      <c r="K3107" s="178"/>
      <c r="L3107" s="178"/>
      <c r="M3107" s="194"/>
      <c r="N3107" s="178"/>
      <c r="O3107" s="178"/>
      <c r="P3107" s="178"/>
      <c r="Q3107" s="178"/>
      <c r="R3107" s="178"/>
      <c r="S3107" s="178"/>
      <c r="T3107" s="180"/>
      <c r="U3107" s="189" t="str">
        <f>IFERROR(IF(Tableau3[[#This Row],[Dettes]]=0,"",(Tableau3[[#This Row],[Dettes]]/Tableau3[[#This Row],[EBE]])),"")</f>
        <v/>
      </c>
      <c r="V3107" s="190" t="str">
        <f>IFERROR(Tableau3[[#This Row],[Fonds propres]]/Tableau3[[#This Row],[Total Bilan]],"")</f>
        <v/>
      </c>
      <c r="W3107" s="180"/>
      <c r="Y3107" s="180"/>
      <c r="Z3107" s="192" t="str">
        <f>IFERROR(Tableau3[[#This Row],[Chiffre d''affaires]]/Tableau3[[#This Row],[Salariés]],"")</f>
        <v/>
      </c>
      <c r="AA3107" s="177"/>
      <c r="AC3107" s="177" t="s">
        <v>2207</v>
      </c>
    </row>
    <row r="3108" spans="1:29" ht="20.25" customHeight="1">
      <c r="A3108" s="217"/>
      <c r="E3108" s="187"/>
      <c r="G3108" s="188"/>
      <c r="H3108" s="178"/>
      <c r="I3108" s="178"/>
      <c r="J3108" s="178"/>
      <c r="K3108" s="178"/>
      <c r="L3108" s="178"/>
      <c r="M3108" s="194"/>
      <c r="N3108" s="178"/>
      <c r="O3108" s="178"/>
      <c r="P3108" s="178"/>
      <c r="Q3108" s="178"/>
      <c r="R3108" s="178"/>
      <c r="S3108" s="178"/>
      <c r="T3108" s="180"/>
      <c r="U3108" s="189" t="str">
        <f>IFERROR(IF(Tableau3[[#This Row],[Dettes]]=0,"",(Tableau3[[#This Row],[Dettes]]/Tableau3[[#This Row],[EBE]])),"")</f>
        <v/>
      </c>
      <c r="V3108" s="190" t="str">
        <f>IFERROR(Tableau3[[#This Row],[Fonds propres]]/Tableau3[[#This Row],[Total Bilan]],"")</f>
        <v/>
      </c>
      <c r="W3108" s="180"/>
      <c r="Y3108" s="180"/>
      <c r="Z3108" s="192" t="str">
        <f>IFERROR(Tableau3[[#This Row],[Chiffre d''affaires]]/Tableau3[[#This Row],[Salariés]],"")</f>
        <v/>
      </c>
      <c r="AA3108" s="177"/>
    </row>
    <row r="3109" spans="1:29" ht="20.25" customHeight="1">
      <c r="A3109" s="217"/>
      <c r="E3109" s="187"/>
      <c r="G3109" s="188"/>
      <c r="H3109" s="178"/>
      <c r="I3109" s="178"/>
      <c r="J3109" s="178"/>
      <c r="K3109" s="178"/>
      <c r="L3109" s="178"/>
      <c r="M3109" s="194"/>
      <c r="N3109" s="178"/>
      <c r="O3109" s="178"/>
      <c r="P3109" s="178"/>
      <c r="Q3109" s="178"/>
      <c r="R3109" s="178"/>
      <c r="S3109" s="178"/>
      <c r="T3109" s="180"/>
      <c r="U3109" s="189" t="str">
        <f>IFERROR(IF(Tableau3[[#This Row],[Dettes]]=0,"",(Tableau3[[#This Row],[Dettes]]/Tableau3[[#This Row],[EBE]])),"")</f>
        <v/>
      </c>
      <c r="V3109" s="190" t="str">
        <f>IFERROR(Tableau3[[#This Row],[Fonds propres]]/Tableau3[[#This Row],[Total Bilan]],"")</f>
        <v/>
      </c>
      <c r="W3109" s="180"/>
      <c r="Y3109" s="180"/>
      <c r="Z3109" s="192" t="str">
        <f>IFERROR(Tableau3[[#This Row],[Chiffre d''affaires]]/Tableau3[[#This Row],[Salariés]],"")</f>
        <v/>
      </c>
      <c r="AA3109" s="177"/>
    </row>
    <row r="3110" spans="1:29" ht="20.25" customHeight="1">
      <c r="A3110" s="217" t="s">
        <v>2208</v>
      </c>
      <c r="B3110" s="216" t="s">
        <v>2209</v>
      </c>
      <c r="C3110" s="178" t="s">
        <v>2210</v>
      </c>
      <c r="D3110" s="178" t="s">
        <v>85</v>
      </c>
      <c r="E3110" s="187"/>
      <c r="F3110" s="178">
        <v>2025</v>
      </c>
      <c r="G3110" s="188"/>
      <c r="H3110" s="178"/>
      <c r="I3110" s="178"/>
      <c r="J3110" s="178"/>
      <c r="K3110" s="178"/>
      <c r="L3110" s="178"/>
      <c r="M3110" s="194"/>
      <c r="N3110" s="178"/>
      <c r="O3110" s="178"/>
      <c r="P3110" s="178"/>
      <c r="Q3110" s="178"/>
      <c r="R3110" s="178"/>
      <c r="S3110" s="178"/>
      <c r="T3110" s="180"/>
      <c r="U3110" s="189" t="str">
        <f>IFERROR(IF(Tableau3[[#This Row],[Dettes]]=0,"",(Tableau3[[#This Row],[Dettes]]/Tableau3[[#This Row],[EBE]])),"")</f>
        <v/>
      </c>
      <c r="V3110" s="190" t="str">
        <f>IFERROR(Tableau3[[#This Row],[Fonds propres]]/Tableau3[[#This Row],[Total Bilan]],"")</f>
        <v/>
      </c>
      <c r="W3110" s="180"/>
      <c r="X3110" s="182" t="s">
        <v>341</v>
      </c>
      <c r="Y3110" s="180"/>
      <c r="Z3110" s="192" t="str">
        <f>IFERROR(Tableau3[[#This Row],[Chiffre d''affaires]]/Tableau3[[#This Row],[Salariés]],"")</f>
        <v/>
      </c>
      <c r="AA3110" s="177"/>
      <c r="AC3110" s="177" t="s">
        <v>2211</v>
      </c>
    </row>
    <row r="3111" spans="1:29" ht="20.25" customHeight="1">
      <c r="A3111" s="217"/>
      <c r="E3111" s="187"/>
      <c r="G3111" s="188"/>
      <c r="H3111" s="178"/>
      <c r="I3111" s="178"/>
      <c r="J3111" s="178"/>
      <c r="K3111" s="178"/>
      <c r="L3111" s="178"/>
      <c r="M3111" s="194"/>
      <c r="N3111" s="178"/>
      <c r="O3111" s="178"/>
      <c r="P3111" s="178"/>
      <c r="Q3111" s="178"/>
      <c r="R3111" s="178"/>
      <c r="S3111" s="178"/>
      <c r="T3111" s="180"/>
      <c r="U3111" s="189" t="str">
        <f>IFERROR(IF(Tableau3[[#This Row],[Dettes]]=0,"",(Tableau3[[#This Row],[Dettes]]/Tableau3[[#This Row],[EBE]])),"")</f>
        <v/>
      </c>
      <c r="V3111" s="190" t="str">
        <f>IFERROR(Tableau3[[#This Row],[Fonds propres]]/Tableau3[[#This Row],[Total Bilan]],"")</f>
        <v/>
      </c>
      <c r="W3111" s="180"/>
      <c r="Y3111" s="180"/>
      <c r="Z3111" s="192" t="str">
        <f>IFERROR(Tableau3[[#This Row],[Chiffre d''affaires]]/Tableau3[[#This Row],[Salariés]],"")</f>
        <v/>
      </c>
      <c r="AA3111" s="177"/>
      <c r="AC3111" s="177" t="s">
        <v>2213</v>
      </c>
    </row>
    <row r="3112" spans="1:29" ht="20.25" customHeight="1">
      <c r="A3112" s="217"/>
      <c r="E3112" s="187">
        <v>12.64</v>
      </c>
      <c r="F3112" s="178">
        <v>2024</v>
      </c>
      <c r="G3112" s="188">
        <v>156878000000</v>
      </c>
      <c r="H3112" s="178"/>
      <c r="I3112" s="188">
        <v>8648000000</v>
      </c>
      <c r="J3112" s="188">
        <v>5520000000</v>
      </c>
      <c r="K3112" s="188">
        <v>-10000000000</v>
      </c>
      <c r="L3112" s="188">
        <v>86000000000</v>
      </c>
      <c r="M3112" s="194">
        <f>L3112/P3112</f>
        <v>27.672976212502714</v>
      </c>
      <c r="N3112" s="190">
        <f>J3112/L3112</f>
        <v>6.4186046511627903E-2</v>
      </c>
      <c r="O3112" s="190">
        <f>(I3112*0.7)/(K3112+L3112)</f>
        <v>7.9652631578947364E-2</v>
      </c>
      <c r="P3112" s="188">
        <v>3107725000</v>
      </c>
      <c r="Q3112" s="188">
        <f>P3112*E3112</f>
        <v>39281644000</v>
      </c>
      <c r="R3112" s="195">
        <f>Q3112/L3112</f>
        <v>0.45676330232558138</v>
      </c>
      <c r="S3112" s="178"/>
      <c r="T3112" s="180">
        <v>-10000000000</v>
      </c>
      <c r="U3112" s="189" t="str">
        <f>IFERROR(IF(Tableau3[[#This Row],[Dettes]]=0,"",(Tableau3[[#This Row],[Dettes]]/Tableau3[[#This Row],[EBE]])),"")</f>
        <v/>
      </c>
      <c r="V3112" s="190" t="str">
        <f>IFERROR(Tableau3[[#This Row],[Fonds propres]]/Tableau3[[#This Row],[Total Bilan]],"")</f>
        <v/>
      </c>
      <c r="W3112" s="180"/>
      <c r="Y3112" s="180">
        <v>281595</v>
      </c>
      <c r="Z3112" s="192">
        <f>IFERROR(Tableau3[[#This Row],[Chiffre d''affaires]]/Tableau3[[#This Row],[Salariés]],"")</f>
        <v>557105.06223476981</v>
      </c>
      <c r="AA3112" s="177"/>
      <c r="AC3112" s="177" t="s">
        <v>2214</v>
      </c>
    </row>
    <row r="3113" spans="1:29" ht="20.25" customHeight="1">
      <c r="A3113" s="217"/>
      <c r="E3113" s="187"/>
      <c r="G3113" s="202">
        <f>(G3112/G3114)-1</f>
        <v>-0.17233993162537453</v>
      </c>
      <c r="H3113" s="203"/>
      <c r="I3113" s="203">
        <f>(I3112/I3114)-1</f>
        <v>-0.61423855830136498</v>
      </c>
      <c r="J3113" s="203">
        <f>(J3112/J3114)-1</f>
        <v>-0.70316197031619709</v>
      </c>
      <c r="K3113" s="178"/>
      <c r="L3113" s="178"/>
      <c r="M3113" s="194"/>
      <c r="N3113" s="178"/>
      <c r="O3113" s="178"/>
      <c r="P3113" s="178"/>
      <c r="Q3113" s="178"/>
      <c r="R3113" s="178"/>
      <c r="S3113" s="178"/>
      <c r="T3113" s="180"/>
      <c r="U3113" s="189" t="str">
        <f>IFERROR(IF(Tableau3[[#This Row],[Dettes]]=0,"",(Tableau3[[#This Row],[Dettes]]/Tableau3[[#This Row],[EBE]])),"")</f>
        <v/>
      </c>
      <c r="V3113" s="190" t="str">
        <f>IFERROR(Tableau3[[#This Row],[Fonds propres]]/Tableau3[[#This Row],[Total Bilan]],"")</f>
        <v/>
      </c>
      <c r="W3113" s="180"/>
      <c r="Y3113" s="180"/>
      <c r="Z3113" s="192" t="str">
        <f>IFERROR(Tableau3[[#This Row],[Chiffre d''affaires]]/Tableau3[[#This Row],[Salariés]],"")</f>
        <v/>
      </c>
      <c r="AA3113" s="177"/>
      <c r="AC3113" s="177" t="s">
        <v>2215</v>
      </c>
    </row>
    <row r="3114" spans="1:29" ht="20.25" customHeight="1">
      <c r="A3114" s="217"/>
      <c r="E3114" s="187">
        <v>21.14</v>
      </c>
      <c r="F3114" s="178">
        <v>2023</v>
      </c>
      <c r="G3114" s="188">
        <v>189544000000</v>
      </c>
      <c r="H3114" s="178"/>
      <c r="I3114" s="188">
        <v>22418000000</v>
      </c>
      <c r="J3114" s="188">
        <v>18596000000</v>
      </c>
      <c r="K3114" s="188">
        <v>-21191000000</v>
      </c>
      <c r="L3114" s="188">
        <v>81693000000</v>
      </c>
      <c r="M3114" s="194">
        <f>L3114/P3114</f>
        <v>26.287074950325398</v>
      </c>
      <c r="N3114" s="190">
        <f>J3114/L3114</f>
        <v>0.22763272250988456</v>
      </c>
      <c r="O3114" s="190">
        <f>(I3114*0.7)/(K3114+L3114)</f>
        <v>0.25937324385970706</v>
      </c>
      <c r="P3114" s="188">
        <v>3107725000</v>
      </c>
      <c r="Q3114" s="188">
        <f>P3114*E3114</f>
        <v>65697306500</v>
      </c>
      <c r="R3114" s="195">
        <f>Q3114/L3114</f>
        <v>0.80419750162192594</v>
      </c>
      <c r="S3114" s="197" t="e">
        <f>(Q3114+K3114)/H3114</f>
        <v>#DIV/0!</v>
      </c>
      <c r="T3114" s="180"/>
      <c r="U3114" s="189" t="str">
        <f>IFERROR(IF(Tableau3[[#This Row],[Dettes]]=0,"",(Tableau3[[#This Row],[Dettes]]/Tableau3[[#This Row],[EBE]])),"")</f>
        <v/>
      </c>
      <c r="V3114" s="190">
        <f>IFERROR(Tableau3[[#This Row],[Fonds propres]]/Tableau3[[#This Row],[Total Bilan]],"")</f>
        <v>0.4041646877226312</v>
      </c>
      <c r="W3114" s="180">
        <v>202128000000</v>
      </c>
      <c r="Y3114" s="180">
        <v>281595</v>
      </c>
      <c r="Z3114" s="192">
        <f>IFERROR(Tableau3[[#This Row],[Chiffre d''affaires]]/Tableau3[[#This Row],[Salariés]],"")</f>
        <v>673108.54241019906</v>
      </c>
      <c r="AA3114" s="177"/>
      <c r="AC3114" s="177" t="s">
        <v>2216</v>
      </c>
    </row>
    <row r="3115" spans="1:29" ht="20.25" customHeight="1">
      <c r="A3115" s="217"/>
      <c r="E3115" s="187"/>
      <c r="G3115" s="202">
        <f>(G3114/G3116)-1</f>
        <v>5.5414495077731774E-2</v>
      </c>
      <c r="H3115" s="203"/>
      <c r="I3115" s="203">
        <f>(I3114/I3116)-1</f>
        <v>0.14916957145786336</v>
      </c>
      <c r="J3115" s="203">
        <f>(J3114/J3116)-1</f>
        <v>0.10829012456046239</v>
      </c>
      <c r="K3115" s="178"/>
      <c r="L3115" s="178"/>
      <c r="M3115" s="194"/>
      <c r="N3115" s="178"/>
      <c r="O3115" s="178"/>
      <c r="P3115" s="178"/>
      <c r="Q3115" s="178"/>
      <c r="R3115" s="178"/>
      <c r="S3115" s="178"/>
      <c r="T3115" s="180"/>
      <c r="U3115" s="189" t="str">
        <f>IFERROR(IF(Tableau3[[#This Row],[Dettes]]=0,"",(Tableau3[[#This Row],[Dettes]]/Tableau3[[#This Row],[EBE]])),"")</f>
        <v/>
      </c>
      <c r="V3115" s="190" t="str">
        <f>IFERROR(Tableau3[[#This Row],[Fonds propres]]/Tableau3[[#This Row],[Total Bilan]],"")</f>
        <v/>
      </c>
      <c r="W3115" s="180"/>
      <c r="Y3115" s="180"/>
      <c r="Z3115" s="192" t="str">
        <f>IFERROR(Tableau3[[#This Row],[Chiffre d''affaires]]/Tableau3[[#This Row],[Salariés]],"")</f>
        <v/>
      </c>
      <c r="AA3115" s="177"/>
      <c r="AC3115" s="177" t="s">
        <v>2217</v>
      </c>
    </row>
    <row r="3116" spans="1:29" ht="20.25" customHeight="1">
      <c r="A3116" s="217"/>
      <c r="E3116" s="187">
        <v>13.27</v>
      </c>
      <c r="F3116" s="178">
        <v>2022</v>
      </c>
      <c r="G3116" s="188">
        <v>179592000000</v>
      </c>
      <c r="H3116" s="188">
        <v>19000000000</v>
      </c>
      <c r="I3116" s="188">
        <v>19508000000</v>
      </c>
      <c r="J3116" s="188">
        <v>16779000000</v>
      </c>
      <c r="K3116" s="188">
        <v>-23234000000</v>
      </c>
      <c r="L3116" s="188">
        <v>71999000000</v>
      </c>
      <c r="M3116" s="194">
        <f>L3116/P3116</f>
        <v>23.077085592652125</v>
      </c>
      <c r="N3116" s="190">
        <f>J3116/L3116</f>
        <v>0.23304490340143613</v>
      </c>
      <c r="O3116" s="190">
        <f>(I3116*0.7)/(K3116+L3116)</f>
        <v>0.28002870911514405</v>
      </c>
      <c r="P3116" s="188">
        <v>3119934695</v>
      </c>
      <c r="Q3116" s="188">
        <f>P3116*E3116</f>
        <v>41401533402.650002</v>
      </c>
      <c r="R3116" s="195">
        <f>Q3116/L3116</f>
        <v>0.57502928377685802</v>
      </c>
      <c r="S3116" s="197">
        <f>(Q3116+K3116)/H3116</f>
        <v>0.9561859685605264</v>
      </c>
      <c r="T3116" s="180"/>
      <c r="U3116" s="189">
        <f>IFERROR(IF(Tableau3[[#This Row],[Dettes]]=0,"",(Tableau3[[#This Row],[Dettes]]/Tableau3[[#This Row],[EBE]])),"")</f>
        <v>-1.222842105263158</v>
      </c>
      <c r="V3116" s="190">
        <f>IFERROR(Tableau3[[#This Row],[Fonds propres]]/Tableau3[[#This Row],[Total Bilan]],"")</f>
        <v>0.38676701261307722</v>
      </c>
      <c r="W3116" s="180">
        <v>186156000000</v>
      </c>
      <c r="Y3116" s="180">
        <v>281595</v>
      </c>
      <c r="Z3116" s="192">
        <f>IFERROR(Tableau3[[#This Row],[Chiffre d''affaires]]/Tableau3[[#This Row],[Salariés]],"")</f>
        <v>637767.00580621103</v>
      </c>
      <c r="AA3116" s="177"/>
      <c r="AC3116" s="177" t="s">
        <v>2218</v>
      </c>
    </row>
    <row r="3117" spans="1:29" ht="20.25" customHeight="1">
      <c r="A3117" s="217"/>
      <c r="E3117" s="187"/>
      <c r="G3117" s="202">
        <f>(G3116/G3118)-1</f>
        <v>0.20193549682436629</v>
      </c>
      <c r="H3117" s="203">
        <f>(H3116/H3118)-1</f>
        <v>6.5799068828181984E-2</v>
      </c>
      <c r="I3117" s="203">
        <f>(I3116/I3118)-1</f>
        <v>0.28944411395333458</v>
      </c>
      <c r="J3117" s="203">
        <f>(J3116/J3118)-1</f>
        <v>0.18161971830985912</v>
      </c>
      <c r="K3117" s="178"/>
      <c r="L3117" s="178"/>
      <c r="M3117" s="194"/>
      <c r="N3117" s="178"/>
      <c r="O3117" s="178"/>
      <c r="P3117" s="178"/>
      <c r="Q3117" s="178"/>
      <c r="R3117" s="178"/>
      <c r="S3117" s="178"/>
      <c r="T3117" s="180"/>
      <c r="U3117" s="189" t="str">
        <f>IFERROR(IF(Tableau3[[#This Row],[Dettes]]=0,"",(Tableau3[[#This Row],[Dettes]]/Tableau3[[#This Row],[EBE]])),"")</f>
        <v/>
      </c>
      <c r="V3117" s="190" t="str">
        <f>IFERROR(Tableau3[[#This Row],[Fonds propres]]/Tableau3[[#This Row],[Total Bilan]],"")</f>
        <v/>
      </c>
      <c r="W3117" s="180"/>
      <c r="Y3117" s="180"/>
      <c r="Z3117" s="192" t="str">
        <f>IFERROR(Tableau3[[#This Row],[Chiffre d''affaires]]/Tableau3[[#This Row],[Salariés]],"")</f>
        <v/>
      </c>
      <c r="AA3117" s="177"/>
      <c r="AC3117" s="177" t="s">
        <v>2219</v>
      </c>
    </row>
    <row r="3118" spans="1:29" ht="20.25" customHeight="1">
      <c r="A3118" s="217"/>
      <c r="E3118" s="187">
        <v>16.600000000000001</v>
      </c>
      <c r="F3118" s="178">
        <v>2021</v>
      </c>
      <c r="G3118" s="188">
        <v>149419000000</v>
      </c>
      <c r="H3118" s="188">
        <v>17827000000</v>
      </c>
      <c r="I3118" s="188">
        <v>15129000000</v>
      </c>
      <c r="J3118" s="188">
        <v>14200000000</v>
      </c>
      <c r="K3118" s="188">
        <v>-19090000000</v>
      </c>
      <c r="L3118" s="188">
        <v>55907000000</v>
      </c>
      <c r="M3118" s="194">
        <f>L3118/P3118</f>
        <v>18.274537440786798</v>
      </c>
      <c r="N3118" s="190">
        <f>J3118/L3118</f>
        <v>0.25399323877153129</v>
      </c>
      <c r="O3118" s="190">
        <f>(I3118*0.7)/(K3118+L3118)</f>
        <v>0.28764701089170763</v>
      </c>
      <c r="P3118" s="188">
        <v>3059284000</v>
      </c>
      <c r="Q3118" s="188">
        <f>P3118*E3118</f>
        <v>50784114400.000008</v>
      </c>
      <c r="R3118" s="195">
        <f>Q3118/L3118</f>
        <v>0.90836772497182838</v>
      </c>
      <c r="S3118" s="197">
        <f>(Q3118+K3118)/H3118</f>
        <v>1.7778714534133622</v>
      </c>
      <c r="T3118" s="180">
        <v>6072000000</v>
      </c>
      <c r="U3118" s="189">
        <f>IFERROR(IF(Tableau3[[#This Row],[Dettes]]=0,"",(Tableau3[[#This Row],[Dettes]]/Tableau3[[#This Row],[EBE]])),"")</f>
        <v>-1.0708475907331576</v>
      </c>
      <c r="V3118" s="190">
        <f>IFERROR(Tableau3[[#This Row],[Fonds propres]]/Tableau3[[#This Row],[Total Bilan]],"")</f>
        <v>0.32547592711183559</v>
      </c>
      <c r="W3118" s="180">
        <v>171770000000</v>
      </c>
      <c r="Y3118" s="180">
        <v>281595</v>
      </c>
      <c r="Z3118" s="192">
        <f>IFERROR(Tableau3[[#This Row],[Chiffre d''affaires]]/Tableau3[[#This Row],[Salariés]],"")</f>
        <v>530616.66577886685</v>
      </c>
      <c r="AA3118" s="178"/>
      <c r="AC3118" s="177" t="s">
        <v>2220</v>
      </c>
    </row>
    <row r="3119" spans="1:29" ht="20.25" customHeight="1">
      <c r="A3119" s="217"/>
      <c r="E3119" s="187"/>
      <c r="G3119" s="202">
        <f>(G3118/G3120)-1</f>
        <v>0.11174851190476187</v>
      </c>
      <c r="H3119" s="203">
        <f>(H3118/H3120)-1</f>
        <v>0.93267562879444932</v>
      </c>
      <c r="I3119" s="203">
        <f>(I3118/I3120)-1</f>
        <v>1.1308450704225352</v>
      </c>
      <c r="J3119" s="178"/>
      <c r="K3119" s="178"/>
      <c r="L3119" s="178"/>
      <c r="M3119" s="194"/>
      <c r="N3119" s="178"/>
      <c r="O3119" s="178"/>
      <c r="P3119" s="178"/>
      <c r="Q3119" s="178"/>
      <c r="R3119" s="178"/>
      <c r="S3119" s="178"/>
      <c r="T3119" s="180"/>
      <c r="U3119" s="189" t="str">
        <f>IFERROR(IF(Tableau3[[#This Row],[Dettes]]=0,"",(Tableau3[[#This Row],[Dettes]]/Tableau3[[#This Row],[EBE]])),"")</f>
        <v/>
      </c>
      <c r="V3119" s="190" t="str">
        <f>IFERROR(Tableau3[[#This Row],[Fonds propres]]/Tableau3[[#This Row],[Total Bilan]],"")</f>
        <v/>
      </c>
      <c r="W3119" s="180"/>
      <c r="Y3119" s="180"/>
      <c r="Z3119" s="192" t="str">
        <f>IFERROR(Tableau3[[#This Row],[Chiffre d''affaires]]/Tableau3[[#This Row],[Salariés]],"")</f>
        <v/>
      </c>
      <c r="AA3119" s="177"/>
      <c r="AC3119" s="177" t="s">
        <v>2221</v>
      </c>
    </row>
    <row r="3120" spans="1:29" ht="20.25" customHeight="1">
      <c r="A3120" s="217"/>
      <c r="E3120" s="187">
        <v>9</v>
      </c>
      <c r="F3120" s="178">
        <v>2020</v>
      </c>
      <c r="G3120" s="188">
        <v>134400000000</v>
      </c>
      <c r="H3120" s="188">
        <v>9224000000</v>
      </c>
      <c r="I3120" s="188">
        <v>7100000000</v>
      </c>
      <c r="J3120" s="178"/>
      <c r="K3120" s="188">
        <v>-11506000000</v>
      </c>
      <c r="L3120" s="188">
        <v>21293000000</v>
      </c>
      <c r="M3120" s="194"/>
      <c r="N3120" s="178"/>
      <c r="O3120" s="178"/>
      <c r="P3120" s="178"/>
      <c r="Q3120" s="178"/>
      <c r="R3120" s="178"/>
      <c r="S3120" s="178"/>
      <c r="T3120" s="180"/>
      <c r="U3120" s="189">
        <f>IFERROR(IF(Tableau3[[#This Row],[Dettes]]=0,"",(Tableau3[[#This Row],[Dettes]]/Tableau3[[#This Row],[EBE]])),"")</f>
        <v>-1.247398091934085</v>
      </c>
      <c r="V3120" s="190">
        <f>IFERROR(Tableau3[[#This Row],[Fonds propres]]/Tableau3[[#This Row],[Total Bilan]],"")</f>
        <v>0.28285069075451647</v>
      </c>
      <c r="W3120" s="180">
        <v>75280000000</v>
      </c>
      <c r="Y3120" s="180"/>
      <c r="Z3120" s="192" t="str">
        <f>IFERROR(Tableau3[[#This Row],[Chiffre d''affaires]]/Tableau3[[#This Row],[Salariés]],"")</f>
        <v/>
      </c>
      <c r="AA3120" s="177"/>
      <c r="AC3120" s="177" t="s">
        <v>2222</v>
      </c>
    </row>
    <row r="3121" spans="1:29" ht="20.25" customHeight="1">
      <c r="A3121" s="217"/>
      <c r="E3121" s="187"/>
      <c r="G3121" s="188"/>
      <c r="H3121" s="178"/>
      <c r="I3121" s="178"/>
      <c r="J3121" s="178"/>
      <c r="K3121" s="178"/>
      <c r="L3121" s="178"/>
      <c r="M3121" s="194"/>
      <c r="N3121" s="178"/>
      <c r="O3121" s="178"/>
      <c r="P3121" s="178"/>
      <c r="Q3121" s="178"/>
      <c r="R3121" s="178"/>
      <c r="S3121" s="178"/>
      <c r="T3121" s="180"/>
      <c r="U3121" s="189" t="str">
        <f>IFERROR(IF(Tableau3[[#This Row],[Dettes]]=0,"",(Tableau3[[#This Row],[Dettes]]/Tableau3[[#This Row],[EBE]])),"")</f>
        <v/>
      </c>
      <c r="V3121" s="190" t="str">
        <f>IFERROR(Tableau3[[#This Row],[Fonds propres]]/Tableau3[[#This Row],[Total Bilan]],"")</f>
        <v/>
      </c>
      <c r="W3121" s="180"/>
      <c r="Y3121" s="180"/>
      <c r="Z3121" s="192" t="str">
        <f>IFERROR(Tableau3[[#This Row],[Chiffre d''affaires]]/Tableau3[[#This Row],[Salariés]],"")</f>
        <v/>
      </c>
      <c r="AA3121" s="177"/>
      <c r="AC3121" s="177" t="s">
        <v>4646</v>
      </c>
    </row>
    <row r="3122" spans="1:29" ht="20.25" customHeight="1">
      <c r="A3122" s="217"/>
      <c r="E3122" s="187"/>
      <c r="G3122" s="188"/>
      <c r="H3122" s="178"/>
      <c r="I3122" s="178"/>
      <c r="J3122" s="178"/>
      <c r="K3122" s="178"/>
      <c r="L3122" s="178"/>
      <c r="M3122" s="194"/>
      <c r="N3122" s="178"/>
      <c r="O3122" s="178"/>
      <c r="P3122" s="178"/>
      <c r="Q3122" s="178"/>
      <c r="R3122" s="178"/>
      <c r="S3122" s="178"/>
      <c r="T3122" s="180"/>
      <c r="U3122" s="189" t="str">
        <f>IFERROR(IF(Tableau3[[#This Row],[Dettes]]=0,"",(Tableau3[[#This Row],[Dettes]]/Tableau3[[#This Row],[EBE]])),"")</f>
        <v/>
      </c>
      <c r="V3122" s="190" t="str">
        <f>IFERROR(Tableau3[[#This Row],[Fonds propres]]/Tableau3[[#This Row],[Total Bilan]],"")</f>
        <v/>
      </c>
      <c r="W3122" s="180"/>
      <c r="Y3122" s="180"/>
      <c r="Z3122" s="192" t="str">
        <f>IFERROR(Tableau3[[#This Row],[Chiffre d''affaires]]/Tableau3[[#This Row],[Salariés]],"")</f>
        <v/>
      </c>
      <c r="AA3122" s="177"/>
      <c r="AC3122" s="177" t="s">
        <v>4647</v>
      </c>
    </row>
    <row r="3123" spans="1:29" ht="20.25" customHeight="1">
      <c r="A3123" s="217"/>
      <c r="E3123" s="187"/>
      <c r="G3123" s="188"/>
      <c r="H3123" s="178"/>
      <c r="I3123" s="178"/>
      <c r="J3123" s="178"/>
      <c r="K3123" s="178"/>
      <c r="L3123" s="178"/>
      <c r="M3123" s="194"/>
      <c r="N3123" s="178"/>
      <c r="O3123" s="178"/>
      <c r="P3123" s="178"/>
      <c r="Q3123" s="178"/>
      <c r="R3123" s="178"/>
      <c r="S3123" s="178"/>
      <c r="T3123" s="180"/>
      <c r="U3123" s="189" t="str">
        <f>IFERROR(IF(Tableau3[[#This Row],[Dettes]]=0,"",(Tableau3[[#This Row],[Dettes]]/Tableau3[[#This Row],[EBE]])),"")</f>
        <v/>
      </c>
      <c r="V3123" s="190" t="str">
        <f>IFERROR(Tableau3[[#This Row],[Fonds propres]]/Tableau3[[#This Row],[Total Bilan]],"")</f>
        <v/>
      </c>
      <c r="W3123" s="180"/>
      <c r="Y3123" s="180"/>
      <c r="Z3123" s="192" t="str">
        <f>IFERROR(Tableau3[[#This Row],[Chiffre d''affaires]]/Tableau3[[#This Row],[Salariés]],"")</f>
        <v/>
      </c>
      <c r="AA3123" s="177"/>
      <c r="AC3123" s="177" t="s">
        <v>5020</v>
      </c>
    </row>
    <row r="3124" spans="1:29" ht="20.25" customHeight="1">
      <c r="A3124" s="217"/>
      <c r="E3124" s="187"/>
      <c r="G3124" s="188"/>
      <c r="H3124" s="178"/>
      <c r="I3124" s="178"/>
      <c r="J3124" s="178"/>
      <c r="K3124" s="178"/>
      <c r="L3124" s="178"/>
      <c r="M3124" s="194"/>
      <c r="N3124" s="178"/>
      <c r="O3124" s="178"/>
      <c r="P3124" s="178"/>
      <c r="Q3124" s="178"/>
      <c r="R3124" s="178"/>
      <c r="S3124" s="178"/>
      <c r="T3124" s="180"/>
      <c r="U3124" s="189" t="str">
        <f>IFERROR(IF(Tableau3[[#This Row],[Dettes]]=0,"",(Tableau3[[#This Row],[Dettes]]/Tableau3[[#This Row],[EBE]])),"")</f>
        <v/>
      </c>
      <c r="V3124" s="190" t="str">
        <f>IFERROR(Tableau3[[#This Row],[Fonds propres]]/Tableau3[[#This Row],[Total Bilan]],"")</f>
        <v/>
      </c>
      <c r="W3124" s="180"/>
      <c r="Y3124" s="180"/>
      <c r="Z3124" s="192" t="str">
        <f>IFERROR(Tableau3[[#This Row],[Chiffre d''affaires]]/Tableau3[[#This Row],[Salariés]],"")</f>
        <v/>
      </c>
      <c r="AA3124" s="177"/>
      <c r="AC3124" s="177" t="s">
        <v>5021</v>
      </c>
    </row>
    <row r="3125" spans="1:29" ht="20.25" customHeight="1">
      <c r="A3125" s="217"/>
      <c r="E3125" s="187"/>
      <c r="G3125" s="188"/>
      <c r="H3125" s="178"/>
      <c r="I3125" s="178"/>
      <c r="J3125" s="178"/>
      <c r="K3125" s="178"/>
      <c r="L3125" s="178"/>
      <c r="M3125" s="194"/>
      <c r="N3125" s="178"/>
      <c r="O3125" s="178"/>
      <c r="P3125" s="178"/>
      <c r="Q3125" s="178"/>
      <c r="R3125" s="178"/>
      <c r="S3125" s="178"/>
      <c r="T3125" s="180"/>
      <c r="U3125" s="189" t="str">
        <f>IFERROR(IF(Tableau3[[#This Row],[Dettes]]=0,"",(Tableau3[[#This Row],[Dettes]]/Tableau3[[#This Row],[EBE]])),"")</f>
        <v/>
      </c>
      <c r="V3125" s="190" t="str">
        <f>IFERROR(Tableau3[[#This Row],[Fonds propres]]/Tableau3[[#This Row],[Total Bilan]],"")</f>
        <v/>
      </c>
      <c r="W3125" s="180"/>
      <c r="Y3125" s="180"/>
      <c r="Z3125" s="192" t="str">
        <f>IFERROR(Tableau3[[#This Row],[Chiffre d''affaires]]/Tableau3[[#This Row],[Salariés]],"")</f>
        <v/>
      </c>
      <c r="AA3125" s="177"/>
      <c r="AC3125" s="177" t="s">
        <v>2223</v>
      </c>
    </row>
    <row r="3126" spans="1:29" ht="20.25" customHeight="1">
      <c r="A3126" s="217"/>
      <c r="E3126" s="187"/>
      <c r="G3126" s="188"/>
      <c r="H3126" s="178"/>
      <c r="I3126" s="178"/>
      <c r="J3126" s="178"/>
      <c r="K3126" s="178"/>
      <c r="L3126" s="178"/>
      <c r="M3126" s="194"/>
      <c r="N3126" s="178"/>
      <c r="O3126" s="178"/>
      <c r="P3126" s="178"/>
      <c r="Q3126" s="178"/>
      <c r="R3126" s="178"/>
      <c r="S3126" s="178"/>
      <c r="T3126" s="180"/>
      <c r="U3126" s="189" t="str">
        <f>IFERROR(IF(Tableau3[[#This Row],[Dettes]]=0,"",(Tableau3[[#This Row],[Dettes]]/Tableau3[[#This Row],[EBE]])),"")</f>
        <v/>
      </c>
      <c r="V3126" s="190" t="str">
        <f>IFERROR(Tableau3[[#This Row],[Fonds propres]]/Tableau3[[#This Row],[Total Bilan]],"")</f>
        <v/>
      </c>
      <c r="W3126" s="180"/>
      <c r="Y3126" s="180"/>
      <c r="Z3126" s="192" t="str">
        <f>IFERROR(Tableau3[[#This Row],[Chiffre d''affaires]]/Tableau3[[#This Row],[Salariés]],"")</f>
        <v/>
      </c>
      <c r="AA3126" s="177"/>
      <c r="AC3126" s="177" t="s">
        <v>2224</v>
      </c>
    </row>
    <row r="3127" spans="1:29" ht="20.25" customHeight="1">
      <c r="A3127" s="217"/>
      <c r="E3127" s="187"/>
      <c r="G3127" s="188"/>
      <c r="H3127" s="178"/>
      <c r="I3127" s="178"/>
      <c r="J3127" s="178"/>
      <c r="K3127" s="178"/>
      <c r="L3127" s="178"/>
      <c r="M3127" s="194"/>
      <c r="N3127" s="178"/>
      <c r="O3127" s="178"/>
      <c r="P3127" s="178"/>
      <c r="Q3127" s="178"/>
      <c r="R3127" s="178"/>
      <c r="S3127" s="178"/>
      <c r="T3127" s="180"/>
      <c r="U3127" s="189" t="str">
        <f>IFERROR(IF(Tableau3[[#This Row],[Dettes]]=0,"",(Tableau3[[#This Row],[Dettes]]/Tableau3[[#This Row],[EBE]])),"")</f>
        <v/>
      </c>
      <c r="V3127" s="190" t="str">
        <f>IFERROR(Tableau3[[#This Row],[Fonds propres]]/Tableau3[[#This Row],[Total Bilan]],"")</f>
        <v/>
      </c>
      <c r="W3127" s="180"/>
      <c r="Y3127" s="180"/>
      <c r="Z3127" s="192" t="str">
        <f>IFERROR(Tableau3[[#This Row],[Chiffre d''affaires]]/Tableau3[[#This Row],[Salariés]],"")</f>
        <v/>
      </c>
      <c r="AA3127" s="177"/>
      <c r="AC3127" s="177" t="s">
        <v>4904</v>
      </c>
    </row>
    <row r="3128" spans="1:29" ht="20.25" customHeight="1">
      <c r="A3128" s="217"/>
      <c r="E3128" s="187"/>
      <c r="G3128" s="188"/>
      <c r="H3128" s="178"/>
      <c r="I3128" s="178"/>
      <c r="J3128" s="178"/>
      <c r="K3128" s="178"/>
      <c r="L3128" s="178"/>
      <c r="M3128" s="194"/>
      <c r="N3128" s="178"/>
      <c r="O3128" s="178"/>
      <c r="P3128" s="178"/>
      <c r="Q3128" s="178"/>
      <c r="R3128" s="178"/>
      <c r="S3128" s="178"/>
      <c r="T3128" s="180"/>
      <c r="U3128" s="189" t="str">
        <f>IFERROR(IF(Tableau3[[#This Row],[Dettes]]=0,"",(Tableau3[[#This Row],[Dettes]]/Tableau3[[#This Row],[EBE]])),"")</f>
        <v/>
      </c>
      <c r="V3128" s="190" t="str">
        <f>IFERROR(Tableau3[[#This Row],[Fonds propres]]/Tableau3[[#This Row],[Total Bilan]],"")</f>
        <v/>
      </c>
      <c r="W3128" s="180"/>
      <c r="Y3128" s="180"/>
      <c r="Z3128" s="192" t="str">
        <f>IFERROR(Tableau3[[#This Row],[Chiffre d''affaires]]/Tableau3[[#This Row],[Salariés]],"")</f>
        <v/>
      </c>
      <c r="AA3128" s="177"/>
      <c r="AC3128" s="177" t="s">
        <v>4907</v>
      </c>
    </row>
    <row r="3129" spans="1:29" ht="20.25" customHeight="1">
      <c r="A3129" s="217"/>
      <c r="E3129" s="187"/>
      <c r="G3129" s="188"/>
      <c r="H3129" s="178"/>
      <c r="I3129" s="178"/>
      <c r="J3129" s="178"/>
      <c r="K3129" s="178"/>
      <c r="L3129" s="178"/>
      <c r="M3129" s="194"/>
      <c r="N3129" s="178"/>
      <c r="O3129" s="178"/>
      <c r="P3129" s="178"/>
      <c r="Q3129" s="178"/>
      <c r="R3129" s="178"/>
      <c r="S3129" s="178"/>
      <c r="T3129" s="180"/>
      <c r="U3129" s="189" t="str">
        <f>IFERROR(IF(Tableau3[[#This Row],[Dettes]]=0,"",(Tableau3[[#This Row],[Dettes]]/Tableau3[[#This Row],[EBE]])),"")</f>
        <v/>
      </c>
      <c r="V3129" s="190" t="str">
        <f>IFERROR(Tableau3[[#This Row],[Fonds propres]]/Tableau3[[#This Row],[Total Bilan]],"")</f>
        <v/>
      </c>
      <c r="W3129" s="180"/>
      <c r="Y3129" s="180"/>
      <c r="Z3129" s="192" t="str">
        <f>IFERROR(Tableau3[[#This Row],[Chiffre d''affaires]]/Tableau3[[#This Row],[Salariés]],"")</f>
        <v/>
      </c>
      <c r="AA3129" s="177"/>
      <c r="AC3129" s="177" t="s">
        <v>4906</v>
      </c>
    </row>
    <row r="3130" spans="1:29" ht="20.25" customHeight="1">
      <c r="A3130" s="217"/>
      <c r="E3130" s="187"/>
      <c r="G3130" s="188"/>
      <c r="H3130" s="178"/>
      <c r="I3130" s="178"/>
      <c r="J3130" s="178"/>
      <c r="K3130" s="178"/>
      <c r="L3130" s="178"/>
      <c r="M3130" s="194"/>
      <c r="N3130" s="178"/>
      <c r="O3130" s="178"/>
      <c r="P3130" s="178"/>
      <c r="Q3130" s="178"/>
      <c r="R3130" s="178"/>
      <c r="S3130" s="178"/>
      <c r="T3130" s="180"/>
      <c r="U3130" s="189" t="str">
        <f>IFERROR(IF(Tableau3[[#This Row],[Dettes]]=0,"",(Tableau3[[#This Row],[Dettes]]/Tableau3[[#This Row],[EBE]])),"")</f>
        <v/>
      </c>
      <c r="V3130" s="190" t="str">
        <f>IFERROR(Tableau3[[#This Row],[Fonds propres]]/Tableau3[[#This Row],[Total Bilan]],"")</f>
        <v/>
      </c>
      <c r="W3130" s="180"/>
      <c r="Y3130" s="180"/>
      <c r="Z3130" s="192" t="str">
        <f>IFERROR(Tableau3[[#This Row],[Chiffre d''affaires]]/Tableau3[[#This Row],[Salariés]],"")</f>
        <v/>
      </c>
      <c r="AA3130" s="177"/>
      <c r="AC3130" s="177" t="s">
        <v>4905</v>
      </c>
    </row>
    <row r="3131" spans="1:29" ht="20.25" customHeight="1">
      <c r="A3131" s="217"/>
      <c r="E3131" s="187"/>
      <c r="G3131" s="188"/>
      <c r="H3131" s="178"/>
      <c r="I3131" s="178"/>
      <c r="J3131" s="178"/>
      <c r="K3131" s="178"/>
      <c r="L3131" s="178"/>
      <c r="M3131" s="194"/>
      <c r="N3131" s="178"/>
      <c r="O3131" s="178"/>
      <c r="P3131" s="178"/>
      <c r="Q3131" s="178"/>
      <c r="R3131" s="178"/>
      <c r="S3131" s="178"/>
      <c r="T3131" s="180"/>
      <c r="U3131" s="189" t="str">
        <f>IFERROR(IF(Tableau3[[#This Row],[Dettes]]=0,"",(Tableau3[[#This Row],[Dettes]]/Tableau3[[#This Row],[EBE]])),"")</f>
        <v/>
      </c>
      <c r="V3131" s="190" t="str">
        <f>IFERROR(Tableau3[[#This Row],[Fonds propres]]/Tableau3[[#This Row],[Total Bilan]],"")</f>
        <v/>
      </c>
      <c r="W3131" s="180"/>
      <c r="Y3131" s="180"/>
      <c r="Z3131" s="192" t="str">
        <f>IFERROR(Tableau3[[#This Row],[Chiffre d''affaires]]/Tableau3[[#This Row],[Salariés]],"")</f>
        <v/>
      </c>
      <c r="AA3131" s="177"/>
      <c r="AC3131" s="177" t="s">
        <v>2225</v>
      </c>
    </row>
    <row r="3132" spans="1:29" ht="20.25" customHeight="1">
      <c r="A3132" s="217"/>
      <c r="E3132" s="187"/>
      <c r="G3132" s="188"/>
      <c r="H3132" s="178"/>
      <c r="I3132" s="178"/>
      <c r="J3132" s="178"/>
      <c r="K3132" s="178"/>
      <c r="L3132" s="178"/>
      <c r="M3132" s="194"/>
      <c r="N3132" s="178"/>
      <c r="O3132" s="178"/>
      <c r="P3132" s="178"/>
      <c r="Q3132" s="178"/>
      <c r="R3132" s="178"/>
      <c r="S3132" s="178"/>
      <c r="T3132" s="180"/>
      <c r="U3132" s="189" t="str">
        <f>IFERROR(IF(Tableau3[[#This Row],[Dettes]]=0,"",(Tableau3[[#This Row],[Dettes]]/Tableau3[[#This Row],[EBE]])),"")</f>
        <v/>
      </c>
      <c r="V3132" s="190" t="str">
        <f>IFERROR(Tableau3[[#This Row],[Fonds propres]]/Tableau3[[#This Row],[Total Bilan]],"")</f>
        <v/>
      </c>
      <c r="W3132" s="180"/>
      <c r="Y3132" s="180"/>
      <c r="Z3132" s="192" t="str">
        <f>IFERROR(Tableau3[[#This Row],[Chiffre d''affaires]]/Tableau3[[#This Row],[Salariés]],"")</f>
        <v/>
      </c>
      <c r="AA3132" s="177"/>
      <c r="AC3132" s="177" t="s">
        <v>2226</v>
      </c>
    </row>
    <row r="3133" spans="1:29" ht="20.25" customHeight="1">
      <c r="A3133" s="217"/>
      <c r="E3133" s="187"/>
      <c r="G3133" s="188"/>
      <c r="H3133" s="178"/>
      <c r="I3133" s="178"/>
      <c r="J3133" s="178"/>
      <c r="K3133" s="178"/>
      <c r="L3133" s="178"/>
      <c r="M3133" s="194"/>
      <c r="N3133" s="178"/>
      <c r="O3133" s="178"/>
      <c r="P3133" s="178"/>
      <c r="Q3133" s="178"/>
      <c r="R3133" s="178"/>
      <c r="S3133" s="178"/>
      <c r="T3133" s="180"/>
      <c r="U3133" s="189" t="str">
        <f>IFERROR(IF(Tableau3[[#This Row],[Dettes]]=0,"",(Tableau3[[#This Row],[Dettes]]/Tableau3[[#This Row],[EBE]])),"")</f>
        <v/>
      </c>
      <c r="V3133" s="190" t="str">
        <f>IFERROR(Tableau3[[#This Row],[Fonds propres]]/Tableau3[[#This Row],[Total Bilan]],"")</f>
        <v/>
      </c>
      <c r="W3133" s="180"/>
      <c r="Y3133" s="180"/>
      <c r="Z3133" s="192" t="str">
        <f>IFERROR(Tableau3[[#This Row],[Chiffre d''affaires]]/Tableau3[[#This Row],[Salariés]],"")</f>
        <v/>
      </c>
      <c r="AA3133" s="177"/>
      <c r="AC3133" s="177" t="s">
        <v>1690</v>
      </c>
    </row>
    <row r="3134" spans="1:29" ht="20.25" customHeight="1">
      <c r="A3134" s="217"/>
      <c r="E3134" s="187"/>
      <c r="G3134" s="188"/>
      <c r="H3134" s="178"/>
      <c r="I3134" s="178"/>
      <c r="J3134" s="178"/>
      <c r="K3134" s="178"/>
      <c r="L3134" s="178"/>
      <c r="M3134" s="194"/>
      <c r="N3134" s="178"/>
      <c r="O3134" s="178"/>
      <c r="P3134" s="178"/>
      <c r="Q3134" s="178"/>
      <c r="R3134" s="178"/>
      <c r="S3134" s="178"/>
      <c r="T3134" s="180"/>
      <c r="U3134" s="189" t="str">
        <f>IFERROR(IF(Tableau3[[#This Row],[Dettes]]=0,"",(Tableau3[[#This Row],[Dettes]]/Tableau3[[#This Row],[EBE]])),"")</f>
        <v/>
      </c>
      <c r="V3134" s="190" t="str">
        <f>IFERROR(Tableau3[[#This Row],[Fonds propres]]/Tableau3[[#This Row],[Total Bilan]],"")</f>
        <v/>
      </c>
      <c r="W3134" s="180"/>
      <c r="Y3134" s="180"/>
      <c r="Z3134" s="192" t="str">
        <f>IFERROR(Tableau3[[#This Row],[Chiffre d''affaires]]/Tableau3[[#This Row],[Salariés]],"")</f>
        <v/>
      </c>
      <c r="AA3134" s="177"/>
      <c r="AC3134" s="177" t="s">
        <v>2227</v>
      </c>
    </row>
    <row r="3135" spans="1:29" ht="20.25" customHeight="1">
      <c r="A3135" s="217"/>
      <c r="E3135" s="187"/>
      <c r="G3135" s="188"/>
      <c r="H3135" s="178"/>
      <c r="I3135" s="178"/>
      <c r="J3135" s="178"/>
      <c r="K3135" s="178"/>
      <c r="L3135" s="178"/>
      <c r="M3135" s="194"/>
      <c r="N3135" s="178"/>
      <c r="O3135" s="178"/>
      <c r="P3135" s="178"/>
      <c r="Q3135" s="178"/>
      <c r="R3135" s="178"/>
      <c r="S3135" s="178"/>
      <c r="T3135" s="180"/>
      <c r="U3135" s="189" t="str">
        <f>IFERROR(IF(Tableau3[[#This Row],[Dettes]]=0,"",(Tableau3[[#This Row],[Dettes]]/Tableau3[[#This Row],[EBE]])),"")</f>
        <v/>
      </c>
      <c r="V3135" s="190" t="str">
        <f>IFERROR(Tableau3[[#This Row],[Fonds propres]]/Tableau3[[#This Row],[Total Bilan]],"")</f>
        <v/>
      </c>
      <c r="W3135" s="180"/>
      <c r="Y3135" s="180"/>
      <c r="Z3135" s="192" t="str">
        <f>IFERROR(Tableau3[[#This Row],[Chiffre d''affaires]]/Tableau3[[#This Row],[Salariés]],"")</f>
        <v/>
      </c>
      <c r="AA3135" s="177"/>
    </row>
    <row r="3136" spans="1:29" ht="20.25" customHeight="1">
      <c r="A3136" s="217"/>
      <c r="E3136" s="187"/>
      <c r="G3136" s="188"/>
      <c r="H3136" s="178"/>
      <c r="I3136" s="178"/>
      <c r="J3136" s="178"/>
      <c r="K3136" s="178"/>
      <c r="L3136" s="178"/>
      <c r="M3136" s="194"/>
      <c r="N3136" s="178"/>
      <c r="O3136" s="178"/>
      <c r="P3136" s="178"/>
      <c r="Q3136" s="178"/>
      <c r="R3136" s="178"/>
      <c r="S3136" s="178"/>
      <c r="T3136" s="180"/>
      <c r="U3136" s="189" t="str">
        <f>IFERROR(IF(Tableau3[[#This Row],[Dettes]]=0,"",(Tableau3[[#This Row],[Dettes]]/Tableau3[[#This Row],[EBE]])),"")</f>
        <v/>
      </c>
      <c r="V3136" s="190" t="str">
        <f>IFERROR(Tableau3[[#This Row],[Fonds propres]]/Tableau3[[#This Row],[Total Bilan]],"")</f>
        <v/>
      </c>
      <c r="W3136" s="180"/>
      <c r="Y3136" s="180"/>
      <c r="Z3136" s="192" t="str">
        <f>IFERROR(Tableau3[[#This Row],[Chiffre d''affaires]]/Tableau3[[#This Row],[Salariés]],"")</f>
        <v/>
      </c>
      <c r="AA3136" s="177"/>
    </row>
    <row r="3137" spans="1:29" ht="20.25" customHeight="1">
      <c r="A3137" s="217"/>
      <c r="E3137" s="187"/>
      <c r="G3137" s="188"/>
      <c r="H3137" s="178"/>
      <c r="I3137" s="178"/>
      <c r="J3137" s="178"/>
      <c r="K3137" s="178"/>
      <c r="L3137" s="178"/>
      <c r="M3137" s="194"/>
      <c r="N3137" s="178"/>
      <c r="O3137" s="178"/>
      <c r="P3137" s="178"/>
      <c r="Q3137" s="178"/>
      <c r="R3137" s="178"/>
      <c r="S3137" s="178"/>
      <c r="T3137" s="180"/>
      <c r="U3137" s="189" t="str">
        <f>IFERROR(IF(Tableau3[[#This Row],[Dettes]]=0,"",(Tableau3[[#This Row],[Dettes]]/Tableau3[[#This Row],[EBE]])),"")</f>
        <v/>
      </c>
      <c r="V3137" s="190" t="str">
        <f>IFERROR(Tableau3[[#This Row],[Fonds propres]]/Tableau3[[#This Row],[Total Bilan]],"")</f>
        <v/>
      </c>
      <c r="W3137" s="180"/>
      <c r="Y3137" s="180"/>
      <c r="Z3137" s="192" t="str">
        <f>IFERROR(Tableau3[[#This Row],[Chiffre d''affaires]]/Tableau3[[#This Row],[Salariés]],"")</f>
        <v/>
      </c>
      <c r="AA3137" s="177"/>
    </row>
    <row r="3138" spans="1:29" ht="20.25" customHeight="1">
      <c r="A3138" s="217" t="s">
        <v>2228</v>
      </c>
      <c r="B3138" s="216" t="s">
        <v>2209</v>
      </c>
      <c r="C3138" s="178" t="s">
        <v>84</v>
      </c>
      <c r="D3138" s="178" t="s">
        <v>85</v>
      </c>
      <c r="E3138" s="187">
        <v>22.27</v>
      </c>
      <c r="F3138" s="178">
        <v>2020</v>
      </c>
      <c r="G3138" s="188">
        <v>60734000000</v>
      </c>
      <c r="H3138" s="188">
        <v>3685000000</v>
      </c>
      <c r="I3138" s="188">
        <v>3054000000</v>
      </c>
      <c r="J3138" s="188">
        <v>2173000000</v>
      </c>
      <c r="K3138" s="211">
        <v>-3000000000</v>
      </c>
      <c r="L3138" s="188">
        <v>19000000000</v>
      </c>
      <c r="M3138" s="194">
        <f>L3138/P3138</f>
        <v>20.998461063680384</v>
      </c>
      <c r="N3138" s="190">
        <f>J3138/L3138</f>
        <v>0.11436842105263158</v>
      </c>
      <c r="O3138" s="190">
        <f>(I3138*0.7)/(K3138+L3138)</f>
        <v>0.1336125</v>
      </c>
      <c r="P3138" s="188">
        <v>904828213</v>
      </c>
      <c r="Q3138" s="211">
        <f>P3138*E3138</f>
        <v>20150524303.509998</v>
      </c>
      <c r="R3138" s="195">
        <f>Q3138/L3138</f>
        <v>1.0605539107110526</v>
      </c>
      <c r="S3138" s="197">
        <f>(Q3138+K3138)/H3138</f>
        <v>4.6541449941682496</v>
      </c>
      <c r="T3138" s="180"/>
      <c r="U3138" s="189">
        <f>IFERROR(IF(Tableau3[[#This Row],[Dettes]]=0,"",(Tableau3[[#This Row],[Dettes]]/Tableau3[[#This Row],[EBE]])),"")</f>
        <v>-0.81411126187245586</v>
      </c>
      <c r="V3138" s="190" t="str">
        <f>IFERROR(Tableau3[[#This Row],[Fonds propres]]/Tableau3[[#This Row],[Total Bilan]],"")</f>
        <v/>
      </c>
      <c r="W3138" s="180"/>
      <c r="X3138" s="191" t="s">
        <v>291</v>
      </c>
      <c r="Y3138" s="180"/>
      <c r="Z3138" s="192" t="str">
        <f>IFERROR(Tableau3[[#This Row],[Chiffre d''affaires]]/Tableau3[[#This Row],[Salariés]],"")</f>
        <v/>
      </c>
      <c r="AA3138" s="197"/>
      <c r="AB3138" s="197"/>
      <c r="AC3138" s="177" t="s">
        <v>2229</v>
      </c>
    </row>
    <row r="3139" spans="1:29" ht="20.25" customHeight="1">
      <c r="A3139" s="217"/>
      <c r="E3139" s="187"/>
      <c r="G3139" s="202">
        <f>(G3138/G3140)-1</f>
        <v>-0.18729844375158899</v>
      </c>
      <c r="H3139" s="203">
        <f>(H3138/H3140)-1</f>
        <v>-0.41729917773561043</v>
      </c>
      <c r="I3139" s="203">
        <f>(I3138/I3140)-1</f>
        <v>-0.34575835475578409</v>
      </c>
      <c r="J3139" s="203">
        <f>(J3138/J3140)-1</f>
        <v>-0.32114964073726959</v>
      </c>
      <c r="K3139" s="211"/>
      <c r="L3139" s="178"/>
      <c r="M3139" s="194"/>
      <c r="N3139" s="178"/>
      <c r="O3139" s="178"/>
      <c r="P3139" s="178"/>
      <c r="Q3139" s="178"/>
      <c r="R3139" s="178"/>
      <c r="S3139" s="178"/>
      <c r="T3139" s="180"/>
      <c r="U3139" s="189" t="str">
        <f>IFERROR(IF(Tableau3[[#This Row],[Dettes]]=0,"",(Tableau3[[#This Row],[Dettes]]/Tableau3[[#This Row],[EBE]])),"")</f>
        <v/>
      </c>
      <c r="V3139" s="190" t="str">
        <f>IFERROR(Tableau3[[#This Row],[Fonds propres]]/Tableau3[[#This Row],[Total Bilan]],"")</f>
        <v/>
      </c>
      <c r="W3139" s="180"/>
      <c r="Y3139" s="180"/>
      <c r="Z3139" s="192" t="str">
        <f>IFERROR(Tableau3[[#This Row],[Chiffre d''affaires]]/Tableau3[[#This Row],[Salariés]],"")</f>
        <v/>
      </c>
      <c r="AA3139" s="177"/>
      <c r="AC3139" s="177" t="s">
        <v>2230</v>
      </c>
    </row>
    <row r="3140" spans="1:29" ht="20.25" customHeight="1">
      <c r="A3140" s="217"/>
      <c r="E3140" s="187">
        <v>20</v>
      </c>
      <c r="F3140" s="178">
        <v>2019</v>
      </c>
      <c r="G3140" s="188">
        <v>74731000000</v>
      </c>
      <c r="H3140" s="188">
        <v>6324000000</v>
      </c>
      <c r="I3140" s="188">
        <v>4668000000</v>
      </c>
      <c r="J3140" s="188">
        <v>3201000000</v>
      </c>
      <c r="K3140" s="211">
        <v>-7914000000</v>
      </c>
      <c r="L3140" s="188">
        <v>18409000000</v>
      </c>
      <c r="M3140" s="194">
        <f>L3140/P3140</f>
        <v>20.345298406383797</v>
      </c>
      <c r="N3140" s="190">
        <f>J3140/L3140</f>
        <v>0.1738823401597045</v>
      </c>
      <c r="O3140" s="190">
        <f>(I3140*0.7)/(K3140+L3140)</f>
        <v>0.31134826107670321</v>
      </c>
      <c r="P3140" s="188">
        <v>904828213</v>
      </c>
      <c r="Q3140" s="211">
        <f>P3140*E3140</f>
        <v>18096564260</v>
      </c>
      <c r="R3140" s="195">
        <f>Q3140/L3140</f>
        <v>0.98302809821283066</v>
      </c>
      <c r="S3140" s="197">
        <f>(Q3140+K3140)/H3140</f>
        <v>1.6101461511701454</v>
      </c>
      <c r="T3140" s="180"/>
      <c r="U3140" s="189">
        <f>IFERROR(IF(Tableau3[[#This Row],[Dettes]]=0,"",(Tableau3[[#This Row],[Dettes]]/Tableau3[[#This Row],[EBE]])),"")</f>
        <v>-1.2514231499051234</v>
      </c>
      <c r="V3140" s="190" t="str">
        <f>IFERROR(Tableau3[[#This Row],[Fonds propres]]/Tableau3[[#This Row],[Total Bilan]],"")</f>
        <v/>
      </c>
      <c r="W3140" s="180"/>
      <c r="X3140" s="191"/>
      <c r="Y3140" s="180"/>
      <c r="Z3140" s="192" t="str">
        <f>IFERROR(Tableau3[[#This Row],[Chiffre d''affaires]]/Tableau3[[#This Row],[Salariés]],"")</f>
        <v/>
      </c>
      <c r="AA3140" s="197"/>
      <c r="AB3140" s="197"/>
      <c r="AC3140" s="177" t="s">
        <v>4908</v>
      </c>
    </row>
    <row r="3141" spans="1:29" ht="20.25" customHeight="1">
      <c r="A3141" s="217"/>
      <c r="E3141" s="187"/>
      <c r="G3141" s="202">
        <f>(G3140/G3142)-1</f>
        <v>9.5100436327286708E-3</v>
      </c>
      <c r="H3141" s="203">
        <f>(H3140/H3142)-1</f>
        <v>0.11161891369309185</v>
      </c>
      <c r="I3141" s="203">
        <f>(I3140/I3142)-1</f>
        <v>6.0909090909090802E-2</v>
      </c>
      <c r="J3141" s="203">
        <f>(J3140/J3142)-1</f>
        <v>0.13229571984435795</v>
      </c>
      <c r="K3141" s="211"/>
      <c r="L3141" s="178"/>
      <c r="M3141" s="194"/>
      <c r="N3141" s="178"/>
      <c r="O3141" s="178"/>
      <c r="P3141" s="188"/>
      <c r="Q3141" s="178"/>
      <c r="R3141" s="178"/>
      <c r="S3141" s="178"/>
      <c r="T3141" s="180"/>
      <c r="U3141" s="189" t="str">
        <f>IFERROR(IF(Tableau3[[#This Row],[Dettes]]=0,"",(Tableau3[[#This Row],[Dettes]]/Tableau3[[#This Row],[EBE]])),"")</f>
        <v/>
      </c>
      <c r="V3141" s="190" t="str">
        <f>IFERROR(Tableau3[[#This Row],[Fonds propres]]/Tableau3[[#This Row],[Total Bilan]],"")</f>
        <v/>
      </c>
      <c r="W3141" s="180"/>
      <c r="Y3141" s="180"/>
      <c r="Z3141" s="192" t="str">
        <f>IFERROR(Tableau3[[#This Row],[Chiffre d''affaires]]/Tableau3[[#This Row],[Salariés]],"")</f>
        <v/>
      </c>
      <c r="AA3141" s="177"/>
      <c r="AC3141" s="177" t="s">
        <v>2231</v>
      </c>
    </row>
    <row r="3142" spans="1:29" ht="20.25" customHeight="1">
      <c r="A3142" s="217"/>
      <c r="E3142" s="187">
        <v>18.100000000000001</v>
      </c>
      <c r="F3142" s="178">
        <v>2018</v>
      </c>
      <c r="G3142" s="188">
        <v>74027000000</v>
      </c>
      <c r="H3142" s="188">
        <v>5689000000</v>
      </c>
      <c r="I3142" s="188">
        <v>4400000000</v>
      </c>
      <c r="J3142" s="188">
        <v>2827000000</v>
      </c>
      <c r="K3142" s="211">
        <v>-9098000000</v>
      </c>
      <c r="L3142" s="188">
        <v>16450000000</v>
      </c>
      <c r="M3142" s="194">
        <f>L3142/P3142</f>
        <v>18.180246552502226</v>
      </c>
      <c r="N3142" s="190">
        <f>J3142/L3142</f>
        <v>0.17185410334346504</v>
      </c>
      <c r="O3142" s="190">
        <f>(I3142*0.7)/(K3142+L3142)</f>
        <v>0.41893362350380847</v>
      </c>
      <c r="P3142" s="188">
        <v>904828213</v>
      </c>
      <c r="Q3142" s="211">
        <f>P3142*E3142</f>
        <v>16377390655.300001</v>
      </c>
      <c r="R3142" s="195">
        <f>Q3142/L3142</f>
        <v>0.99558605807294842</v>
      </c>
      <c r="S3142" s="197">
        <f>(Q3142+K3142)/H3142</f>
        <v>1.2795553973105995</v>
      </c>
      <c r="T3142" s="180"/>
      <c r="U3142" s="189">
        <f>IFERROR(IF(Tableau3[[#This Row],[Dettes]]=0,"",(Tableau3[[#This Row],[Dettes]]/Tableau3[[#This Row],[EBE]])),"")</f>
        <v>-1.599226577605906</v>
      </c>
      <c r="V3142" s="190" t="str">
        <f>IFERROR(Tableau3[[#This Row],[Fonds propres]]/Tableau3[[#This Row],[Total Bilan]],"")</f>
        <v/>
      </c>
      <c r="W3142" s="180"/>
      <c r="X3142" s="191"/>
      <c r="Y3142" s="180"/>
      <c r="Z3142" s="192" t="str">
        <f>IFERROR(Tableau3[[#This Row],[Chiffre d''affaires]]/Tableau3[[#This Row],[Salariés]],"")</f>
        <v/>
      </c>
      <c r="AA3142" s="197"/>
      <c r="AB3142" s="197"/>
      <c r="AC3142" s="177" t="s">
        <v>2232</v>
      </c>
    </row>
    <row r="3143" spans="1:29" ht="20.25" customHeight="1">
      <c r="A3143" s="217"/>
      <c r="E3143" s="187"/>
      <c r="G3143" s="202">
        <f>(G3142/G3144)-1</f>
        <v>0.13520932372335537</v>
      </c>
      <c r="H3143" s="203">
        <f>(H3142/H3144)-1</f>
        <v>0.42545727887747442</v>
      </c>
      <c r="I3143" s="203">
        <f>(I3142/I3144)-1</f>
        <v>0.42533203757693561</v>
      </c>
      <c r="J3143" s="203">
        <f>(J3142/J3144)-1</f>
        <v>0.46933471933471926</v>
      </c>
      <c r="K3143" s="211"/>
      <c r="L3143" s="188"/>
      <c r="M3143" s="194"/>
      <c r="N3143" s="190"/>
      <c r="O3143" s="190"/>
      <c r="P3143" s="188"/>
      <c r="Q3143" s="211"/>
      <c r="R3143" s="195"/>
      <c r="S3143" s="197"/>
      <c r="T3143" s="180"/>
      <c r="U3143" s="189" t="str">
        <f>IFERROR(IF(Tableau3[[#This Row],[Dettes]]=0,"",(Tableau3[[#This Row],[Dettes]]/Tableau3[[#This Row],[EBE]])),"")</f>
        <v/>
      </c>
      <c r="V3143" s="190" t="str">
        <f>IFERROR(Tableau3[[#This Row],[Fonds propres]]/Tableau3[[#This Row],[Total Bilan]],"")</f>
        <v/>
      </c>
      <c r="W3143" s="180"/>
      <c r="X3143" s="191"/>
      <c r="Y3143" s="180"/>
      <c r="Z3143" s="192" t="str">
        <f>IFERROR(Tableau3[[#This Row],[Chiffre d''affaires]]/Tableau3[[#This Row],[Salariés]],"")</f>
        <v/>
      </c>
      <c r="AA3143" s="197"/>
      <c r="AB3143" s="197"/>
      <c r="AC3143" s="177" t="s">
        <v>2233</v>
      </c>
    </row>
    <row r="3144" spans="1:29" ht="20.25" customHeight="1">
      <c r="A3144" s="217"/>
      <c r="E3144" s="187">
        <v>16.899999999999999</v>
      </c>
      <c r="F3144" s="178">
        <v>2017</v>
      </c>
      <c r="G3144" s="188">
        <v>65210000000</v>
      </c>
      <c r="H3144" s="188">
        <v>3991000000</v>
      </c>
      <c r="I3144" s="188">
        <v>3087000000</v>
      </c>
      <c r="J3144" s="188">
        <v>1924000000</v>
      </c>
      <c r="K3144" s="211">
        <v>-6194000000</v>
      </c>
      <c r="L3144" s="188">
        <v>13914000000</v>
      </c>
      <c r="M3144" s="194">
        <f>L3144/P3144</f>
        <v>15.377504591581518</v>
      </c>
      <c r="N3144" s="190">
        <f>J3144/L3144</f>
        <v>0.13827799338795457</v>
      </c>
      <c r="O3144" s="190">
        <f>(I3144*0.7)/(K3144+L3144)</f>
        <v>0.27990932642487049</v>
      </c>
      <c r="P3144" s="188">
        <v>904828213</v>
      </c>
      <c r="Q3144" s="211">
        <f>P3144*E3144</f>
        <v>15291596799.699999</v>
      </c>
      <c r="R3144" s="195">
        <f>Q3144/L3144</f>
        <v>1.0990079631809688</v>
      </c>
      <c r="S3144" s="197">
        <f>(Q3144+K3144)/H3144</f>
        <v>2.2795281382360306</v>
      </c>
      <c r="T3144" s="180"/>
      <c r="U3144" s="189">
        <f>IFERROR(IF(Tableau3[[#This Row],[Dettes]]=0,"",(Tableau3[[#This Row],[Dettes]]/Tableau3[[#This Row],[EBE]])),"")</f>
        <v>-1.5519919819594086</v>
      </c>
      <c r="V3144" s="190" t="str">
        <f>IFERROR(Tableau3[[#This Row],[Fonds propres]]/Tableau3[[#This Row],[Total Bilan]],"")</f>
        <v/>
      </c>
      <c r="W3144" s="180"/>
      <c r="X3144" s="191"/>
      <c r="Y3144" s="180"/>
      <c r="Z3144" s="192" t="str">
        <f>IFERROR(Tableau3[[#This Row],[Chiffre d''affaires]]/Tableau3[[#This Row],[Salariés]],"")</f>
        <v/>
      </c>
      <c r="AA3144" s="197"/>
      <c r="AB3144" s="197"/>
      <c r="AC3144" s="177" t="s">
        <v>2234</v>
      </c>
    </row>
    <row r="3145" spans="1:29" ht="20.25" customHeight="1">
      <c r="A3145" s="217"/>
      <c r="E3145" s="187"/>
      <c r="G3145" s="202">
        <f>(G3144/G3146)-1</f>
        <v>0.20692208032574499</v>
      </c>
      <c r="H3145" s="203">
        <f>(H3144/H3146)-1</f>
        <v>0.233693972179289</v>
      </c>
      <c r="I3145" s="203">
        <f>(I3144/I3146)-1</f>
        <v>0.18230563002680955</v>
      </c>
      <c r="J3145" s="203">
        <f>(J3144/J3146)-1</f>
        <v>0.11213872832369942</v>
      </c>
      <c r="K3145" s="211"/>
      <c r="L3145" s="188"/>
      <c r="M3145" s="194"/>
      <c r="N3145" s="190"/>
      <c r="O3145" s="190"/>
      <c r="P3145" s="188"/>
      <c r="Q3145" s="211"/>
      <c r="R3145" s="195"/>
      <c r="S3145" s="197"/>
      <c r="T3145" s="180"/>
      <c r="U3145" s="189" t="str">
        <f>IFERROR(IF(Tableau3[[#This Row],[Dettes]]=0,"",(Tableau3[[#This Row],[Dettes]]/Tableau3[[#This Row],[EBE]])),"")</f>
        <v/>
      </c>
      <c r="V3145" s="190" t="str">
        <f>IFERROR(Tableau3[[#This Row],[Fonds propres]]/Tableau3[[#This Row],[Total Bilan]],"")</f>
        <v/>
      </c>
      <c r="W3145" s="180"/>
      <c r="X3145" s="191"/>
      <c r="Y3145" s="180"/>
      <c r="Z3145" s="192" t="str">
        <f>IFERROR(Tableau3[[#This Row],[Chiffre d''affaires]]/Tableau3[[#This Row],[Salariés]],"")</f>
        <v/>
      </c>
      <c r="AA3145" s="197"/>
      <c r="AB3145" s="197"/>
      <c r="AC3145" s="177" t="s">
        <v>2235</v>
      </c>
    </row>
    <row r="3146" spans="1:29" ht="20.25" customHeight="1">
      <c r="A3146" s="217"/>
      <c r="E3146" s="187">
        <v>15.5</v>
      </c>
      <c r="F3146" s="178">
        <v>2016</v>
      </c>
      <c r="G3146" s="188">
        <v>54030000000</v>
      </c>
      <c r="H3146" s="188">
        <v>3235000000</v>
      </c>
      <c r="I3146" s="188">
        <v>2611000000</v>
      </c>
      <c r="J3146" s="188">
        <v>1730000000</v>
      </c>
      <c r="K3146" s="211">
        <v>-6813000000</v>
      </c>
      <c r="L3146" s="188">
        <v>12035000000</v>
      </c>
      <c r="M3146" s="194">
        <f>L3146/P3146</f>
        <v>14.011702385224263</v>
      </c>
      <c r="N3146" s="190">
        <f>J3146/L3146</f>
        <v>0.14374740340673037</v>
      </c>
      <c r="O3146" s="190">
        <f>(I3146*0.7)/(K3146+L3146)</f>
        <v>0.35</v>
      </c>
      <c r="P3146" s="188">
        <v>858924895</v>
      </c>
      <c r="Q3146" s="211">
        <f>P3146*E3146</f>
        <v>13313335872.5</v>
      </c>
      <c r="R3146" s="195">
        <f>Q3146/L3146</f>
        <v>1.106218186331533</v>
      </c>
      <c r="S3146" s="197">
        <f>(Q3146+K3146)/H3146</f>
        <v>2.0093773948995364</v>
      </c>
      <c r="T3146" s="180"/>
      <c r="U3146" s="189">
        <f>IFERROR(IF(Tableau3[[#This Row],[Dettes]]=0,"",(Tableau3[[#This Row],[Dettes]]/Tableau3[[#This Row],[EBE]])),"")</f>
        <v>-2.1060278207109739</v>
      </c>
      <c r="V3146" s="190" t="str">
        <f>IFERROR(Tableau3[[#This Row],[Fonds propres]]/Tableau3[[#This Row],[Total Bilan]],"")</f>
        <v/>
      </c>
      <c r="W3146" s="180"/>
      <c r="X3146" s="191"/>
      <c r="Y3146" s="180"/>
      <c r="Z3146" s="192" t="str">
        <f>IFERROR(Tableau3[[#This Row],[Chiffre d''affaires]]/Tableau3[[#This Row],[Salariés]],"")</f>
        <v/>
      </c>
      <c r="AA3146" s="197"/>
      <c r="AB3146" s="197"/>
      <c r="AC3146" s="177" t="s">
        <v>2236</v>
      </c>
    </row>
    <row r="3147" spans="1:29" ht="20.25" customHeight="1">
      <c r="A3147" s="217"/>
      <c r="E3147" s="187"/>
      <c r="G3147" s="202">
        <f>(G3146/G3148)-1</f>
        <v>-1.1815055966054588E-2</v>
      </c>
      <c r="H3147" s="203">
        <f>(H3146/H3148)-1</f>
        <v>0.18368093669959751</v>
      </c>
      <c r="I3147" s="203">
        <f>(I3146/I3148)-1</f>
        <v>0.32135627530364363</v>
      </c>
      <c r="J3147" s="203">
        <f>(J3146/J3148)-1</f>
        <v>0.92436040044493883</v>
      </c>
      <c r="K3147" s="211"/>
      <c r="L3147" s="188"/>
      <c r="M3147" s="194"/>
      <c r="N3147" s="190"/>
      <c r="O3147" s="190"/>
      <c r="P3147" s="188"/>
      <c r="Q3147" s="211"/>
      <c r="R3147" s="195"/>
      <c r="S3147" s="197"/>
      <c r="T3147" s="180"/>
      <c r="U3147" s="189" t="str">
        <f>IFERROR(IF(Tableau3[[#This Row],[Dettes]]=0,"",(Tableau3[[#This Row],[Dettes]]/Tableau3[[#This Row],[EBE]])),"")</f>
        <v/>
      </c>
      <c r="V3147" s="190" t="str">
        <f>IFERROR(Tableau3[[#This Row],[Fonds propres]]/Tableau3[[#This Row],[Total Bilan]],"")</f>
        <v/>
      </c>
      <c r="W3147" s="180"/>
      <c r="X3147" s="191"/>
      <c r="Y3147" s="180"/>
      <c r="Z3147" s="192" t="str">
        <f>IFERROR(Tableau3[[#This Row],[Chiffre d''affaires]]/Tableau3[[#This Row],[Salariés]],"")</f>
        <v/>
      </c>
      <c r="AA3147" s="197"/>
      <c r="AB3147" s="197"/>
      <c r="AC3147" s="177" t="s">
        <v>2237</v>
      </c>
    </row>
    <row r="3148" spans="1:29" ht="20.25" customHeight="1">
      <c r="A3148" s="217"/>
      <c r="E3148" s="187">
        <v>16.3</v>
      </c>
      <c r="F3148" s="178">
        <v>2015</v>
      </c>
      <c r="G3148" s="188">
        <v>54676000000</v>
      </c>
      <c r="H3148" s="188">
        <v>2733000000</v>
      </c>
      <c r="I3148" s="188">
        <v>1976000000</v>
      </c>
      <c r="J3148" s="188">
        <v>899000000</v>
      </c>
      <c r="K3148" s="211">
        <v>-4560000000</v>
      </c>
      <c r="L3148" s="188">
        <v>9985000000</v>
      </c>
      <c r="M3148" s="194">
        <f>L3148/P3148</f>
        <v>12.348544269752578</v>
      </c>
      <c r="N3148" s="190">
        <f>J3148/L3148</f>
        <v>9.0035052578868305E-2</v>
      </c>
      <c r="O3148" s="190">
        <f>(I3148*0.7)/(K3148+L3148)</f>
        <v>0.25496774193548388</v>
      </c>
      <c r="P3148" s="188">
        <v>808597336</v>
      </c>
      <c r="Q3148" s="211">
        <f>P3148*E3148</f>
        <v>13180136576.800001</v>
      </c>
      <c r="R3148" s="195">
        <f>Q3148/L3148</f>
        <v>1.3199936481522285</v>
      </c>
      <c r="S3148" s="197">
        <f>(Q3148+K3148)/H3148</f>
        <v>3.1540931492133191</v>
      </c>
      <c r="T3148" s="180"/>
      <c r="U3148" s="189">
        <f>IFERROR(IF(Tableau3[[#This Row],[Dettes]]=0,"",(Tableau3[[#This Row],[Dettes]]/Tableau3[[#This Row],[EBE]])),"")</f>
        <v>-1.6684961580680571</v>
      </c>
      <c r="V3148" s="190" t="str">
        <f>IFERROR(Tableau3[[#This Row],[Fonds propres]]/Tableau3[[#This Row],[Total Bilan]],"")</f>
        <v/>
      </c>
      <c r="W3148" s="180"/>
      <c r="X3148" s="191"/>
      <c r="Y3148" s="180"/>
      <c r="Z3148" s="192" t="str">
        <f>IFERROR(Tableau3[[#This Row],[Chiffre d''affaires]]/Tableau3[[#This Row],[Salariés]],"")</f>
        <v/>
      </c>
      <c r="AA3148" s="197"/>
      <c r="AB3148" s="197"/>
      <c r="AC3148" s="177" t="s">
        <v>2238</v>
      </c>
    </row>
    <row r="3149" spans="1:29" ht="20.25" customHeight="1">
      <c r="A3149" s="217"/>
      <c r="E3149" s="187"/>
      <c r="G3149" s="202">
        <f>(G3148/G3150)-1</f>
        <v>1.9941425560094705E-2</v>
      </c>
      <c r="H3149" s="203">
        <f>(H3148/H3150)-1</f>
        <v>2.0198895027624308</v>
      </c>
      <c r="I3149" s="203">
        <f>(I3148/I3150)-1</f>
        <v>7.8609865470852025</v>
      </c>
      <c r="J3149" s="203">
        <f>(J3148/J3150)-1</f>
        <v>-2.273371104815864</v>
      </c>
      <c r="K3149" s="211"/>
      <c r="L3149" s="178"/>
      <c r="M3149" s="194"/>
      <c r="N3149" s="178"/>
      <c r="O3149" s="178"/>
      <c r="P3149" s="178"/>
      <c r="Q3149" s="178"/>
      <c r="R3149" s="178"/>
      <c r="S3149" s="178"/>
      <c r="T3149" s="180"/>
      <c r="U3149" s="189" t="str">
        <f>IFERROR(IF(Tableau3[[#This Row],[Dettes]]=0,"",(Tableau3[[#This Row],[Dettes]]/Tableau3[[#This Row],[EBE]])),"")</f>
        <v/>
      </c>
      <c r="V3149" s="190" t="str">
        <f>IFERROR(Tableau3[[#This Row],[Fonds propres]]/Tableau3[[#This Row],[Total Bilan]],"")</f>
        <v/>
      </c>
      <c r="W3149" s="180"/>
      <c r="Y3149" s="180"/>
      <c r="Z3149" s="192" t="str">
        <f>IFERROR(Tableau3[[#This Row],[Chiffre d''affaires]]/Tableau3[[#This Row],[Salariés]],"")</f>
        <v/>
      </c>
      <c r="AA3149" s="177"/>
      <c r="AC3149" s="177" t="s">
        <v>2239</v>
      </c>
    </row>
    <row r="3150" spans="1:29" ht="20.25" customHeight="1">
      <c r="A3150" s="217"/>
      <c r="E3150" s="187">
        <v>10.199999999999999</v>
      </c>
      <c r="F3150" s="178">
        <v>2014</v>
      </c>
      <c r="G3150" s="188">
        <v>53607000000</v>
      </c>
      <c r="H3150" s="188">
        <v>905000000</v>
      </c>
      <c r="I3150" s="188">
        <v>223000000</v>
      </c>
      <c r="J3150" s="188">
        <v>-706000000</v>
      </c>
      <c r="K3150" s="211">
        <v>-548000000</v>
      </c>
      <c r="L3150" s="188">
        <v>8784000000</v>
      </c>
      <c r="M3150" s="194">
        <f>L3150/P3150</f>
        <v>11.21712046212391</v>
      </c>
      <c r="N3150" s="190">
        <f>J3150/L3150</f>
        <v>-8.0373406193078326E-2</v>
      </c>
      <c r="O3150" s="190">
        <f>(I3150*0.7)/(K3150+L3150)</f>
        <v>1.8953375424963576E-2</v>
      </c>
      <c r="P3150" s="188">
        <v>783088675</v>
      </c>
      <c r="Q3150" s="211">
        <f>P3150*E3150</f>
        <v>7987504484.999999</v>
      </c>
      <c r="R3150" s="195">
        <f>Q3150/L3150</f>
        <v>0.90932428107923491</v>
      </c>
      <c r="S3150" s="197">
        <f>(Q3150+K3150)/H3150</f>
        <v>8.2204469447513802</v>
      </c>
      <c r="T3150" s="180"/>
      <c r="U3150" s="189">
        <f>IFERROR(IF(Tableau3[[#This Row],[Dettes]]=0,"",(Tableau3[[#This Row],[Dettes]]/Tableau3[[#This Row],[EBE]])),"")</f>
        <v>-0.605524861878453</v>
      </c>
      <c r="V3150" s="190" t="str">
        <f>IFERROR(Tableau3[[#This Row],[Fonds propres]]/Tableau3[[#This Row],[Total Bilan]],"")</f>
        <v/>
      </c>
      <c r="W3150" s="180"/>
      <c r="Y3150" s="180"/>
      <c r="Z3150" s="192" t="str">
        <f>IFERROR(Tableau3[[#This Row],[Chiffre d''affaires]]/Tableau3[[#This Row],[Salariés]],"")</f>
        <v/>
      </c>
      <c r="AA3150" s="177"/>
      <c r="AC3150" s="177" t="s">
        <v>2240</v>
      </c>
    </row>
    <row r="3151" spans="1:29" ht="20.25" customHeight="1">
      <c r="A3151" s="217"/>
      <c r="E3151" s="187"/>
      <c r="G3151" s="202">
        <f>(G3150/G3152)-1</f>
        <v>-2.3551912568306022E-2</v>
      </c>
      <c r="H3151" s="203">
        <f>(H3150/H3152)-1</f>
        <v>-6.1129943502824862</v>
      </c>
      <c r="I3151" s="203">
        <f>(I3150/I3152)-1</f>
        <v>-1.1656760772659733</v>
      </c>
      <c r="J3151" s="203">
        <f>(J3150/J3152)-1</f>
        <v>-0.6952956409149762</v>
      </c>
      <c r="K3151" s="211"/>
      <c r="L3151" s="188"/>
      <c r="M3151" s="194"/>
      <c r="N3151" s="178"/>
      <c r="O3151" s="178"/>
      <c r="P3151" s="178"/>
      <c r="Q3151" s="178"/>
      <c r="R3151" s="178"/>
      <c r="S3151" s="178"/>
      <c r="T3151" s="180"/>
      <c r="U3151" s="189" t="str">
        <f>IFERROR(IF(Tableau3[[#This Row],[Dettes]]=0,"",(Tableau3[[#This Row],[Dettes]]/Tableau3[[#This Row],[EBE]])),"")</f>
        <v/>
      </c>
      <c r="V3151" s="190" t="str">
        <f>IFERROR(Tableau3[[#This Row],[Fonds propres]]/Tableau3[[#This Row],[Total Bilan]],"")</f>
        <v/>
      </c>
      <c r="W3151" s="180"/>
      <c r="Y3151" s="180"/>
      <c r="Z3151" s="192" t="str">
        <f>IFERROR(Tableau3[[#This Row],[Chiffre d''affaires]]/Tableau3[[#This Row],[Salariés]],"")</f>
        <v/>
      </c>
      <c r="AA3151" s="177"/>
      <c r="AC3151" s="177" t="s">
        <v>2241</v>
      </c>
    </row>
    <row r="3152" spans="1:29" ht="20.25" customHeight="1">
      <c r="A3152" s="217"/>
      <c r="E3152" s="187">
        <v>7.8</v>
      </c>
      <c r="F3152" s="178">
        <v>2013</v>
      </c>
      <c r="G3152" s="188">
        <v>54900000000</v>
      </c>
      <c r="H3152" s="188">
        <v>-177000000</v>
      </c>
      <c r="I3152" s="188">
        <v>-1346000000</v>
      </c>
      <c r="J3152" s="188">
        <v>-2317000000</v>
      </c>
      <c r="K3152" s="211">
        <v>4148000000</v>
      </c>
      <c r="L3152" s="188">
        <v>6878000000</v>
      </c>
      <c r="M3152" s="194">
        <f>L3152/P3152</f>
        <v>19.382892878557197</v>
      </c>
      <c r="N3152" s="190">
        <f>J3152/L3152</f>
        <v>-0.33687118348357081</v>
      </c>
      <c r="O3152" s="190">
        <f>(I3152*0.7)/(K3152+L3152)</f>
        <v>-8.5452566660620344E-2</v>
      </c>
      <c r="P3152" s="188">
        <v>354848992</v>
      </c>
      <c r="Q3152" s="211">
        <f>P3152*E3152</f>
        <v>2767822137.5999999</v>
      </c>
      <c r="R3152" s="195">
        <f>Q3152/L3152</f>
        <v>0.40241671090433262</v>
      </c>
      <c r="S3152" s="197">
        <f>(Q3152+K3152)/H3152</f>
        <v>-39.072441455367233</v>
      </c>
      <c r="T3152" s="180"/>
      <c r="U3152" s="189">
        <f>IFERROR(IF(Tableau3[[#This Row],[Dettes]]=0,"",(Tableau3[[#This Row],[Dettes]]/Tableau3[[#This Row],[EBE]])),"")</f>
        <v>-23.435028248587571</v>
      </c>
      <c r="V3152" s="190" t="str">
        <f>IFERROR(Tableau3[[#This Row],[Fonds propres]]/Tableau3[[#This Row],[Total Bilan]],"")</f>
        <v/>
      </c>
      <c r="W3152" s="180"/>
      <c r="Y3152" s="180"/>
      <c r="Z3152" s="192" t="str">
        <f>IFERROR(Tableau3[[#This Row],[Chiffre d''affaires]]/Tableau3[[#This Row],[Salariés]],"")</f>
        <v/>
      </c>
      <c r="AA3152" s="177"/>
      <c r="AC3152" s="177" t="s">
        <v>2242</v>
      </c>
    </row>
    <row r="3153" spans="1:29" ht="20.25" customHeight="1">
      <c r="A3153" s="217"/>
      <c r="E3153" s="187"/>
      <c r="G3153" s="202">
        <f>(G3152/G3154)-1</f>
        <v>-9.8474191104859221E-3</v>
      </c>
      <c r="H3153" s="203">
        <f>(H3152/H3154)-1</f>
        <v>-0.68392857142857144</v>
      </c>
      <c r="I3153" s="203">
        <f>(I3152/I3154)-1</f>
        <v>-0.71251601879538651</v>
      </c>
      <c r="J3153" s="203">
        <f>(J3152/J3154)-1</f>
        <v>-0.53734025559105425</v>
      </c>
      <c r="K3153" s="211"/>
      <c r="L3153" s="188"/>
      <c r="M3153" s="194"/>
      <c r="N3153" s="178"/>
      <c r="O3153" s="178"/>
      <c r="P3153" s="178"/>
      <c r="Q3153" s="178"/>
      <c r="R3153" s="178"/>
      <c r="S3153" s="178"/>
      <c r="T3153" s="180"/>
      <c r="U3153" s="189" t="str">
        <f>IFERROR(IF(Tableau3[[#This Row],[Dettes]]=0,"",(Tableau3[[#This Row],[Dettes]]/Tableau3[[#This Row],[EBE]])),"")</f>
        <v/>
      </c>
      <c r="V3153" s="190" t="str">
        <f>IFERROR(Tableau3[[#This Row],[Fonds propres]]/Tableau3[[#This Row],[Total Bilan]],"")</f>
        <v/>
      </c>
      <c r="W3153" s="180"/>
      <c r="Y3153" s="180"/>
      <c r="Z3153" s="192" t="str">
        <f>IFERROR(Tableau3[[#This Row],[Chiffre d''affaires]]/Tableau3[[#This Row],[Salariés]],"")</f>
        <v/>
      </c>
      <c r="AA3153" s="177"/>
      <c r="AC3153" s="177" t="s">
        <v>2243</v>
      </c>
    </row>
    <row r="3154" spans="1:29" ht="20.25" customHeight="1">
      <c r="A3154" s="217"/>
      <c r="E3154" s="187">
        <v>4.5</v>
      </c>
      <c r="F3154" s="178">
        <v>2012</v>
      </c>
      <c r="G3154" s="188">
        <v>55446000000</v>
      </c>
      <c r="H3154" s="188">
        <v>-560000000</v>
      </c>
      <c r="I3154" s="188">
        <v>-4682000000</v>
      </c>
      <c r="J3154" s="188">
        <v>-5008000000</v>
      </c>
      <c r="K3154" s="211">
        <v>3148000000</v>
      </c>
      <c r="L3154" s="188">
        <v>9463000000</v>
      </c>
      <c r="M3154" s="194">
        <f>L3154/P3154</f>
        <v>26.667681783917818</v>
      </c>
      <c r="N3154" s="190">
        <f>J3154/L3154</f>
        <v>-0.52921906372186411</v>
      </c>
      <c r="O3154" s="190">
        <f>(I3154*0.7)/(K3154+L3154)</f>
        <v>-0.25988422805487271</v>
      </c>
      <c r="P3154" s="188">
        <v>354848992</v>
      </c>
      <c r="Q3154" s="211">
        <f>P3154*E3154</f>
        <v>1596820464</v>
      </c>
      <c r="R3154" s="195">
        <f>Q3154/L3154</f>
        <v>0.16874357645566945</v>
      </c>
      <c r="S3154" s="197">
        <f>(Q3154+K3154)/H3154</f>
        <v>-8.4728936857142862</v>
      </c>
      <c r="T3154" s="180"/>
      <c r="U3154" s="189">
        <f>IFERROR(IF(Tableau3[[#This Row],[Dettes]]=0,"",(Tableau3[[#This Row],[Dettes]]/Tableau3[[#This Row],[EBE]])),"")</f>
        <v>-5.621428571428571</v>
      </c>
      <c r="V3154" s="190" t="str">
        <f>IFERROR(Tableau3[[#This Row],[Fonds propres]]/Tableau3[[#This Row],[Total Bilan]],"")</f>
        <v/>
      </c>
      <c r="W3154" s="180"/>
      <c r="Y3154" s="180"/>
      <c r="Z3154" s="192" t="str">
        <f>IFERROR(Tableau3[[#This Row],[Chiffre d''affaires]]/Tableau3[[#This Row],[Salariés]],"")</f>
        <v/>
      </c>
      <c r="AA3154" s="177"/>
      <c r="AC3154" s="177" t="s">
        <v>2244</v>
      </c>
    </row>
    <row r="3155" spans="1:29" ht="20.25" customHeight="1">
      <c r="A3155" s="217"/>
      <c r="E3155" s="187"/>
      <c r="G3155" s="188"/>
      <c r="H3155" s="178"/>
      <c r="I3155" s="188"/>
      <c r="J3155" s="188"/>
      <c r="K3155" s="211"/>
      <c r="L3155" s="188"/>
      <c r="M3155" s="194"/>
      <c r="N3155" s="178"/>
      <c r="O3155" s="178"/>
      <c r="P3155" s="178"/>
      <c r="Q3155" s="178"/>
      <c r="R3155" s="178"/>
      <c r="S3155" s="178"/>
      <c r="T3155" s="180"/>
      <c r="U3155" s="189" t="str">
        <f>IFERROR(IF(Tableau3[[#This Row],[Dettes]]=0,"",(Tableau3[[#This Row],[Dettes]]/Tableau3[[#This Row],[EBE]])),"")</f>
        <v/>
      </c>
      <c r="V3155" s="190" t="str">
        <f>IFERROR(Tableau3[[#This Row],[Fonds propres]]/Tableau3[[#This Row],[Total Bilan]],"")</f>
        <v/>
      </c>
      <c r="W3155" s="180"/>
      <c r="Y3155" s="180"/>
      <c r="Z3155" s="192" t="str">
        <f>IFERROR(Tableau3[[#This Row],[Chiffre d''affaires]]/Tableau3[[#This Row],[Salariés]],"")</f>
        <v/>
      </c>
      <c r="AA3155" s="177"/>
      <c r="AC3155" s="177" t="s">
        <v>2245</v>
      </c>
    </row>
    <row r="3156" spans="1:29" ht="20.25" customHeight="1">
      <c r="A3156" s="217"/>
      <c r="E3156" s="187"/>
      <c r="G3156" s="188"/>
      <c r="H3156" s="178"/>
      <c r="I3156" s="188"/>
      <c r="J3156" s="188"/>
      <c r="K3156" s="211"/>
      <c r="L3156" s="188"/>
      <c r="M3156" s="194"/>
      <c r="N3156" s="178"/>
      <c r="O3156" s="178"/>
      <c r="P3156" s="178"/>
      <c r="Q3156" s="178"/>
      <c r="R3156" s="178"/>
      <c r="S3156" s="178"/>
      <c r="T3156" s="180"/>
      <c r="U3156" s="189" t="str">
        <f>IFERROR(IF(Tableau3[[#This Row],[Dettes]]=0,"",(Tableau3[[#This Row],[Dettes]]/Tableau3[[#This Row],[EBE]])),"")</f>
        <v/>
      </c>
      <c r="V3156" s="190" t="str">
        <f>IFERROR(Tableau3[[#This Row],[Fonds propres]]/Tableau3[[#This Row],[Total Bilan]],"")</f>
        <v/>
      </c>
      <c r="W3156" s="180"/>
      <c r="Y3156" s="180"/>
      <c r="Z3156" s="192" t="str">
        <f>IFERROR(Tableau3[[#This Row],[Chiffre d''affaires]]/Tableau3[[#This Row],[Salariés]],"")</f>
        <v/>
      </c>
      <c r="AA3156" s="177"/>
      <c r="AC3156" s="177" t="s">
        <v>2246</v>
      </c>
    </row>
    <row r="3157" spans="1:29" ht="20.25" customHeight="1">
      <c r="A3157" s="217"/>
      <c r="E3157" s="187"/>
      <c r="G3157" s="188"/>
      <c r="H3157" s="178"/>
      <c r="I3157" s="188"/>
      <c r="J3157" s="188"/>
      <c r="K3157" s="211"/>
      <c r="L3157" s="188"/>
      <c r="M3157" s="194"/>
      <c r="N3157" s="178"/>
      <c r="O3157" s="178"/>
      <c r="P3157" s="178"/>
      <c r="Q3157" s="178"/>
      <c r="R3157" s="178"/>
      <c r="S3157" s="178"/>
      <c r="T3157" s="180"/>
      <c r="U3157" s="189" t="str">
        <f>IFERROR(IF(Tableau3[[#This Row],[Dettes]]=0,"",(Tableau3[[#This Row],[Dettes]]/Tableau3[[#This Row],[EBE]])),"")</f>
        <v/>
      </c>
      <c r="V3157" s="190" t="str">
        <f>IFERROR(Tableau3[[#This Row],[Fonds propres]]/Tableau3[[#This Row],[Total Bilan]],"")</f>
        <v/>
      </c>
      <c r="W3157" s="180"/>
      <c r="Y3157" s="180"/>
      <c r="Z3157" s="192" t="str">
        <f>IFERROR(Tableau3[[#This Row],[Chiffre d''affaires]]/Tableau3[[#This Row],[Salariés]],"")</f>
        <v/>
      </c>
      <c r="AA3157" s="177"/>
    </row>
    <row r="3158" spans="1:29" ht="20.25" customHeight="1">
      <c r="A3158" s="217"/>
      <c r="E3158" s="187"/>
      <c r="G3158" s="188"/>
      <c r="H3158" s="178"/>
      <c r="I3158" s="188"/>
      <c r="J3158" s="188"/>
      <c r="K3158" s="211"/>
      <c r="L3158" s="188"/>
      <c r="M3158" s="194"/>
      <c r="N3158" s="178"/>
      <c r="O3158" s="178"/>
      <c r="P3158" s="178"/>
      <c r="Q3158" s="178"/>
      <c r="R3158" s="178"/>
      <c r="S3158" s="178"/>
      <c r="T3158" s="180"/>
      <c r="U3158" s="189" t="str">
        <f>IFERROR(IF(Tableau3[[#This Row],[Dettes]]=0,"",(Tableau3[[#This Row],[Dettes]]/Tableau3[[#This Row],[EBE]])),"")</f>
        <v/>
      </c>
      <c r="V3158" s="190" t="str">
        <f>IFERROR(Tableau3[[#This Row],[Fonds propres]]/Tableau3[[#This Row],[Total Bilan]],"")</f>
        <v/>
      </c>
      <c r="W3158" s="180"/>
      <c r="Y3158" s="180"/>
      <c r="Z3158" s="192" t="str">
        <f>IFERROR(Tableau3[[#This Row],[Chiffre d''affaires]]/Tableau3[[#This Row],[Salariés]],"")</f>
        <v/>
      </c>
      <c r="AA3158" s="177"/>
    </row>
    <row r="3159" spans="1:29" ht="20.25" customHeight="1">
      <c r="A3159" s="217"/>
      <c r="E3159" s="187"/>
      <c r="G3159" s="188"/>
      <c r="H3159" s="178"/>
      <c r="I3159" s="188"/>
      <c r="J3159" s="188"/>
      <c r="K3159" s="211"/>
      <c r="L3159" s="188"/>
      <c r="M3159" s="194"/>
      <c r="N3159" s="178"/>
      <c r="O3159" s="178"/>
      <c r="P3159" s="178"/>
      <c r="Q3159" s="178"/>
      <c r="R3159" s="178"/>
      <c r="S3159" s="178"/>
      <c r="T3159" s="180"/>
      <c r="U3159" s="189" t="str">
        <f>IFERROR(IF(Tableau3[[#This Row],[Dettes]]=0,"",(Tableau3[[#This Row],[Dettes]]/Tableau3[[#This Row],[EBE]])),"")</f>
        <v/>
      </c>
      <c r="V3159" s="190" t="str">
        <f>IFERROR(Tableau3[[#This Row],[Fonds propres]]/Tableau3[[#This Row],[Total Bilan]],"")</f>
        <v/>
      </c>
      <c r="W3159" s="180"/>
      <c r="Y3159" s="180"/>
      <c r="Z3159" s="192" t="str">
        <f>IFERROR(Tableau3[[#This Row],[Chiffre d''affaires]]/Tableau3[[#This Row],[Salariés]],"")</f>
        <v/>
      </c>
      <c r="AA3159" s="177"/>
    </row>
    <row r="3160" spans="1:29" ht="20.25" customHeight="1">
      <c r="A3160" s="217" t="s">
        <v>2247</v>
      </c>
      <c r="B3160" s="216" t="s">
        <v>2209</v>
      </c>
      <c r="C3160" s="178" t="s">
        <v>619</v>
      </c>
      <c r="D3160" s="178" t="s">
        <v>85</v>
      </c>
      <c r="E3160" s="187"/>
      <c r="F3160" s="178">
        <v>2020</v>
      </c>
      <c r="G3160" s="188">
        <v>86676000000</v>
      </c>
      <c r="H3160" s="178"/>
      <c r="I3160" s="188">
        <v>3742000000</v>
      </c>
      <c r="J3160" s="188">
        <v>1561000000</v>
      </c>
      <c r="K3160" s="211"/>
      <c r="L3160" s="178"/>
      <c r="M3160" s="194"/>
      <c r="N3160" s="178"/>
      <c r="O3160" s="178"/>
      <c r="P3160" s="178"/>
      <c r="Q3160" s="178"/>
      <c r="R3160" s="178"/>
      <c r="S3160" s="178"/>
      <c r="T3160" s="180"/>
      <c r="U3160" s="189" t="str">
        <f>IFERROR(IF(Tableau3[[#This Row],[Dettes]]=0,"",(Tableau3[[#This Row],[Dettes]]/Tableau3[[#This Row],[EBE]])),"")</f>
        <v/>
      </c>
      <c r="V3160" s="190" t="str">
        <f>IFERROR(Tableau3[[#This Row],[Fonds propres]]/Tableau3[[#This Row],[Total Bilan]],"")</f>
        <v/>
      </c>
      <c r="W3160" s="180"/>
      <c r="X3160" s="182" t="s">
        <v>2248</v>
      </c>
      <c r="Y3160" s="180"/>
      <c r="Z3160" s="192" t="str">
        <f>IFERROR(Tableau3[[#This Row],[Chiffre d''affaires]]/Tableau3[[#This Row],[Salariés]],"")</f>
        <v/>
      </c>
      <c r="AA3160" s="178"/>
      <c r="AC3160" s="177" t="s">
        <v>2249</v>
      </c>
    </row>
    <row r="3161" spans="1:29" ht="20.25" customHeight="1">
      <c r="A3161" s="217"/>
      <c r="E3161" s="187"/>
      <c r="G3161" s="188"/>
      <c r="H3161" s="178"/>
      <c r="I3161" s="178"/>
      <c r="J3161" s="178"/>
      <c r="K3161" s="178"/>
      <c r="L3161" s="178"/>
      <c r="M3161" s="194"/>
      <c r="N3161" s="178"/>
      <c r="O3161" s="178"/>
      <c r="P3161" s="178"/>
      <c r="Q3161" s="178"/>
      <c r="R3161" s="178"/>
      <c r="S3161" s="178"/>
      <c r="T3161" s="180"/>
      <c r="U3161" s="189" t="str">
        <f>IFERROR(IF(Tableau3[[#This Row],[Dettes]]=0,"",(Tableau3[[#This Row],[Dettes]]/Tableau3[[#This Row],[EBE]])),"")</f>
        <v/>
      </c>
      <c r="V3161" s="190" t="str">
        <f>IFERROR(Tableau3[[#This Row],[Fonds propres]]/Tableau3[[#This Row],[Total Bilan]],"")</f>
        <v/>
      </c>
      <c r="W3161" s="180"/>
      <c r="Y3161" s="180"/>
      <c r="Z3161" s="192" t="str">
        <f>IFERROR(Tableau3[[#This Row],[Chiffre d''affaires]]/Tableau3[[#This Row],[Salariés]],"")</f>
        <v/>
      </c>
      <c r="AA3161" s="177"/>
      <c r="AC3161" s="177" t="s">
        <v>2250</v>
      </c>
    </row>
    <row r="3162" spans="1:29" ht="20.25" customHeight="1">
      <c r="A3162" s="217"/>
      <c r="E3162" s="187">
        <v>14.66</v>
      </c>
      <c r="F3162" s="178">
        <v>2019</v>
      </c>
      <c r="G3162" s="188">
        <v>108187000000</v>
      </c>
      <c r="H3162" s="188">
        <v>2700000000</v>
      </c>
      <c r="I3162" s="188">
        <v>4021000000</v>
      </c>
      <c r="J3162" s="188">
        <v>6622000000</v>
      </c>
      <c r="K3162" s="188">
        <v>-2313000000</v>
      </c>
      <c r="L3162" s="188">
        <v>28537000000</v>
      </c>
      <c r="M3162" s="194">
        <f>L3162/P3162</f>
        <v>14.562968093443743</v>
      </c>
      <c r="N3162" s="190">
        <f>J3162/L3162</f>
        <v>0.23204961979184918</v>
      </c>
      <c r="O3162" s="190">
        <f>(I3162*0.7)/(K3162+L3162)</f>
        <v>0.10733297742525931</v>
      </c>
      <c r="P3162" s="188">
        <v>1959559330</v>
      </c>
      <c r="Q3162" s="211">
        <f>P3162*E3162</f>
        <v>28727139777.799999</v>
      </c>
      <c r="R3162" s="195">
        <f>Q3162/L3162</f>
        <v>1.0066629210428566</v>
      </c>
      <c r="S3162" s="197">
        <f>(Q3162+K3162)/H3162</f>
        <v>9.7830147325185184</v>
      </c>
      <c r="T3162" s="180"/>
      <c r="U3162" s="189">
        <f>IFERROR(IF(Tableau3[[#This Row],[Dettes]]=0,"",(Tableau3[[#This Row],[Dettes]]/Tableau3[[#This Row],[EBE]])),"")</f>
        <v>-0.85666666666666669</v>
      </c>
      <c r="V3162" s="190" t="str">
        <f>IFERROR(Tableau3[[#This Row],[Fonds propres]]/Tableau3[[#This Row],[Total Bilan]],"")</f>
        <v/>
      </c>
      <c r="W3162" s="180"/>
      <c r="Y3162" s="180"/>
      <c r="Z3162" s="192" t="str">
        <f>IFERROR(Tableau3[[#This Row],[Chiffre d''affaires]]/Tableau3[[#This Row],[Salariés]],"")</f>
        <v/>
      </c>
      <c r="AA3162" s="177"/>
      <c r="AC3162" s="177" t="s">
        <v>2251</v>
      </c>
    </row>
    <row r="3163" spans="1:29" ht="20.25" customHeight="1">
      <c r="A3163" s="217"/>
      <c r="E3163" s="187"/>
      <c r="G3163" s="202">
        <f>(G3162/G3164)-1</f>
        <v>-2.015179509473608E-2</v>
      </c>
      <c r="H3163" s="203">
        <f>(H3162/H3164)-1</f>
        <v>-0.18918918918918914</v>
      </c>
      <c r="I3163" s="203">
        <f>(I3162/I3164)-1</f>
        <v>-2.1178188899707906E-2</v>
      </c>
      <c r="J3163" s="203">
        <f>(J3162/J3164)-1</f>
        <v>0.83536585365853666</v>
      </c>
      <c r="K3163" s="188"/>
      <c r="L3163" s="188"/>
      <c r="M3163" s="194"/>
      <c r="N3163" s="178"/>
      <c r="O3163" s="178"/>
      <c r="P3163" s="178"/>
      <c r="Q3163" s="178"/>
      <c r="R3163" s="178"/>
      <c r="S3163" s="178"/>
      <c r="T3163" s="180"/>
      <c r="U3163" s="189" t="str">
        <f>IFERROR(IF(Tableau3[[#This Row],[Dettes]]=0,"",(Tableau3[[#This Row],[Dettes]]/Tableau3[[#This Row],[EBE]])),"")</f>
        <v/>
      </c>
      <c r="V3163" s="190" t="str">
        <f>IFERROR(Tableau3[[#This Row],[Fonds propres]]/Tableau3[[#This Row],[Total Bilan]],"")</f>
        <v/>
      </c>
      <c r="W3163" s="180"/>
      <c r="Y3163" s="180"/>
      <c r="Z3163" s="192" t="str">
        <f>IFERROR(Tableau3[[#This Row],[Chiffre d''affaires]]/Tableau3[[#This Row],[Salariés]],"")</f>
        <v/>
      </c>
      <c r="AA3163" s="177"/>
      <c r="AC3163" s="177" t="s">
        <v>2252</v>
      </c>
    </row>
    <row r="3164" spans="1:29" ht="20.25" customHeight="1">
      <c r="A3164" s="217"/>
      <c r="E3164" s="178">
        <v>12.4</v>
      </c>
      <c r="F3164" s="178">
        <v>2018</v>
      </c>
      <c r="G3164" s="188">
        <v>110412000000</v>
      </c>
      <c r="H3164" s="188">
        <v>3330000000</v>
      </c>
      <c r="I3164" s="188">
        <v>4108000000</v>
      </c>
      <c r="J3164" s="188">
        <v>3608000000</v>
      </c>
      <c r="K3164" s="188">
        <v>2078000000</v>
      </c>
      <c r="L3164" s="188">
        <v>24702000000</v>
      </c>
      <c r="M3164" s="194">
        <f>L3164/P3164</f>
        <v>12.605891118414338</v>
      </c>
      <c r="N3164" s="190">
        <f>J3164/L3164</f>
        <v>0.14606104768844627</v>
      </c>
      <c r="O3164" s="190">
        <f>(I3164*0.7)/(K3164+L3164)</f>
        <v>0.10737864077669904</v>
      </c>
      <c r="P3164" s="188">
        <v>1959560000</v>
      </c>
      <c r="Q3164" s="211">
        <f>P3164*E3164</f>
        <v>24298544000</v>
      </c>
      <c r="R3164" s="195">
        <f>Q3164/L3164</f>
        <v>0.98366707149218691</v>
      </c>
      <c r="S3164" s="197">
        <f>(Q3164+K3164)/H3164</f>
        <v>7.9208840840840837</v>
      </c>
      <c r="T3164" s="180"/>
      <c r="U3164" s="189">
        <f>IFERROR(IF(Tableau3[[#This Row],[Dettes]]=0,"",(Tableau3[[#This Row],[Dettes]]/Tableau3[[#This Row],[EBE]])),"")</f>
        <v>0.62402402402402402</v>
      </c>
      <c r="V3164" s="190" t="str">
        <f>IFERROR(Tableau3[[#This Row],[Fonds propres]]/Tableau3[[#This Row],[Total Bilan]],"")</f>
        <v/>
      </c>
      <c r="W3164" s="180"/>
      <c r="Y3164" s="180"/>
      <c r="Z3164" s="192" t="str">
        <f>IFERROR(Tableau3[[#This Row],[Chiffre d''affaires]]/Tableau3[[#This Row],[Salariés]],"")</f>
        <v/>
      </c>
      <c r="AA3164" s="177"/>
      <c r="AC3164" s="177" t="s">
        <v>2253</v>
      </c>
    </row>
    <row r="3165" spans="1:29" ht="20.25" customHeight="1">
      <c r="A3165" s="217"/>
      <c r="E3165" s="187"/>
      <c r="G3165" s="202">
        <f>(G3164/G3166)-1</f>
        <v>-4.7055005679051964E-3</v>
      </c>
      <c r="H3165" s="203">
        <f>(H3164/H3166)-1</f>
        <v>-5.1282051282051322E-2</v>
      </c>
      <c r="I3165" s="203">
        <f>(I3164/I3166)-1</f>
        <v>-0.33322512579126762</v>
      </c>
      <c r="J3165" s="203">
        <f>(J3164/J3166)-1</f>
        <v>3.3514752219994337E-2</v>
      </c>
      <c r="K3165" s="188"/>
      <c r="L3165" s="188"/>
      <c r="M3165" s="194"/>
      <c r="N3165" s="178"/>
      <c r="O3165" s="178"/>
      <c r="P3165" s="188"/>
      <c r="Q3165" s="178"/>
      <c r="R3165" s="178"/>
      <c r="S3165" s="178"/>
      <c r="T3165" s="180"/>
      <c r="U3165" s="189" t="str">
        <f>IFERROR(IF(Tableau3[[#This Row],[Dettes]]=0,"",(Tableau3[[#This Row],[Dettes]]/Tableau3[[#This Row],[EBE]])),"")</f>
        <v/>
      </c>
      <c r="V3165" s="190" t="str">
        <f>IFERROR(Tableau3[[#This Row],[Fonds propres]]/Tableau3[[#This Row],[Total Bilan]],"")</f>
        <v/>
      </c>
      <c r="W3165" s="180"/>
      <c r="Y3165" s="180"/>
      <c r="Z3165" s="192" t="str">
        <f>IFERROR(Tableau3[[#This Row],[Chiffre d''affaires]]/Tableau3[[#This Row],[Salariés]],"")</f>
        <v/>
      </c>
      <c r="AA3165" s="177"/>
      <c r="AC3165" s="177" t="s">
        <v>2254</v>
      </c>
    </row>
    <row r="3166" spans="1:29" ht="20.25" customHeight="1">
      <c r="A3166" s="217"/>
      <c r="E3166" s="187">
        <v>14.9</v>
      </c>
      <c r="F3166" s="178">
        <v>2017</v>
      </c>
      <c r="G3166" s="188">
        <v>110934000000</v>
      </c>
      <c r="H3166" s="188">
        <v>3510000000</v>
      </c>
      <c r="I3166" s="188">
        <v>6161000000</v>
      </c>
      <c r="J3166" s="188">
        <v>3491000000</v>
      </c>
      <c r="K3166" s="188">
        <v>5222000000</v>
      </c>
      <c r="L3166" s="188">
        <v>20819000000</v>
      </c>
      <c r="M3166" s="194">
        <f>L3166/P3166</f>
        <v>10.681712768184411</v>
      </c>
      <c r="N3166" s="190">
        <f>J3166/L3166</f>
        <v>0.16768336615591528</v>
      </c>
      <c r="O3166" s="190">
        <f>(I3166*0.7)/(K3166+L3166)</f>
        <v>0.16561191966514344</v>
      </c>
      <c r="P3166" s="188">
        <v>1949032000</v>
      </c>
      <c r="Q3166" s="211">
        <f>P3166*E3166</f>
        <v>29040576800</v>
      </c>
      <c r="R3166" s="195">
        <f>Q3166/L3166</f>
        <v>1.3949073826792833</v>
      </c>
      <c r="S3166" s="197">
        <f>(Q3166+K3166)/H3166</f>
        <v>9.7614178917378922</v>
      </c>
      <c r="T3166" s="180"/>
      <c r="U3166" s="189">
        <f>IFERROR(IF(Tableau3[[#This Row],[Dettes]]=0,"",(Tableau3[[#This Row],[Dettes]]/Tableau3[[#This Row],[EBE]])),"")</f>
        <v>1.4877492877492877</v>
      </c>
      <c r="V3166" s="190" t="str">
        <f>IFERROR(Tableau3[[#This Row],[Fonds propres]]/Tableau3[[#This Row],[Total Bilan]],"")</f>
        <v/>
      </c>
      <c r="W3166" s="180"/>
      <c r="Y3166" s="180"/>
      <c r="Z3166" s="192" t="str">
        <f>IFERROR(Tableau3[[#This Row],[Chiffre d''affaires]]/Tableau3[[#This Row],[Salariés]],"")</f>
        <v/>
      </c>
      <c r="AA3166" s="177"/>
      <c r="AC3166" s="177" t="s">
        <v>2255</v>
      </c>
    </row>
    <row r="3167" spans="1:29" ht="20.25" customHeight="1">
      <c r="A3167" s="217"/>
      <c r="E3167" s="187"/>
      <c r="G3167" s="202">
        <f>(G3166/G3168)-1</f>
        <v>-7.5663405934167649E-4</v>
      </c>
      <c r="H3167" s="203">
        <f>(H3166/H3168)-1</f>
        <v>0.93495038588754142</v>
      </c>
      <c r="I3167" s="203">
        <f>(I3166/I3168)-1</f>
        <v>0.98358016741790077</v>
      </c>
      <c r="J3167" s="203">
        <f>(J3166/J3168)-1</f>
        <v>0.93621741541874659</v>
      </c>
      <c r="K3167" s="188"/>
      <c r="L3167" s="188"/>
      <c r="M3167" s="194"/>
      <c r="N3167" s="178"/>
      <c r="O3167" s="178"/>
      <c r="P3167" s="188"/>
      <c r="Q3167" s="178"/>
      <c r="R3167" s="178"/>
      <c r="S3167" s="178"/>
      <c r="T3167" s="180"/>
      <c r="U3167" s="189" t="str">
        <f>IFERROR(IF(Tableau3[[#This Row],[Dettes]]=0,"",(Tableau3[[#This Row],[Dettes]]/Tableau3[[#This Row],[EBE]])),"")</f>
        <v/>
      </c>
      <c r="V3167" s="190" t="str">
        <f>IFERROR(Tableau3[[#This Row],[Fonds propres]]/Tableau3[[#This Row],[Total Bilan]],"")</f>
        <v/>
      </c>
      <c r="W3167" s="180"/>
      <c r="Y3167" s="180"/>
      <c r="Z3167" s="192" t="str">
        <f>IFERROR(Tableau3[[#This Row],[Chiffre d''affaires]]/Tableau3[[#This Row],[Salariés]],"")</f>
        <v/>
      </c>
      <c r="AA3167" s="177"/>
      <c r="AC3167" s="177" t="s">
        <v>2256</v>
      </c>
    </row>
    <row r="3168" spans="1:29" ht="20.25" customHeight="1">
      <c r="A3168" s="217"/>
      <c r="E3168" s="187">
        <v>8.6</v>
      </c>
      <c r="F3168" s="178">
        <v>2016</v>
      </c>
      <c r="G3168" s="188">
        <v>111018000000</v>
      </c>
      <c r="H3168" s="188">
        <v>1814000000</v>
      </c>
      <c r="I3168" s="188">
        <v>3106000000</v>
      </c>
      <c r="J3168" s="188">
        <v>1803000000</v>
      </c>
      <c r="K3168" s="188">
        <v>6730000000</v>
      </c>
      <c r="L3168" s="188">
        <v>19168000000</v>
      </c>
      <c r="M3168" s="194">
        <f>L3168/P3168</f>
        <v>9.8961850537041514</v>
      </c>
      <c r="N3168" s="190">
        <f>J3168/L3168</f>
        <v>9.4063021702838062E-2</v>
      </c>
      <c r="O3168" s="190">
        <f>(I3168*0.7)/(K3168+L3168)</f>
        <v>8.3952428758977529E-2</v>
      </c>
      <c r="P3168" s="188">
        <v>1936908000</v>
      </c>
      <c r="Q3168" s="211">
        <f>P3168*E3168</f>
        <v>16657408800</v>
      </c>
      <c r="R3168" s="195">
        <f>Q3168/L3168</f>
        <v>0.86902174457429049</v>
      </c>
      <c r="S3168" s="197">
        <f>(Q3168+K3168)/H3168</f>
        <v>12.892728114663727</v>
      </c>
      <c r="T3168" s="180"/>
      <c r="U3168" s="189">
        <f>IFERROR(IF(Tableau3[[#This Row],[Dettes]]=0,"",(Tableau3[[#This Row],[Dettes]]/Tableau3[[#This Row],[EBE]])),"")</f>
        <v>3.7100330760749722</v>
      </c>
      <c r="V3168" s="190" t="str">
        <f>IFERROR(Tableau3[[#This Row],[Fonds propres]]/Tableau3[[#This Row],[Total Bilan]],"")</f>
        <v/>
      </c>
      <c r="W3168" s="180"/>
      <c r="Y3168" s="180"/>
      <c r="Z3168" s="192" t="str">
        <f>IFERROR(Tableau3[[#This Row],[Chiffre d''affaires]]/Tableau3[[#This Row],[Salariés]],"")</f>
        <v/>
      </c>
      <c r="AA3168" s="177"/>
      <c r="AC3168" s="177" t="s">
        <v>2257</v>
      </c>
    </row>
    <row r="3169" spans="1:29" ht="20.25" customHeight="1">
      <c r="A3169" s="217"/>
      <c r="E3169" s="187"/>
      <c r="G3169" s="202">
        <f>(G3168/G3170)-1</f>
        <v>3.8247660382475512E-3</v>
      </c>
      <c r="H3169" s="203">
        <f>(H3168/H3170)-1</f>
        <v>18.50537634408602</v>
      </c>
      <c r="I3169" s="203">
        <f>(I3168/I3170)-1</f>
        <v>10.992277992277993</v>
      </c>
      <c r="J3169" s="203">
        <f>(J3168/J3170)-1</f>
        <v>4.3982035928143715</v>
      </c>
      <c r="K3169" s="188"/>
      <c r="L3169" s="188"/>
      <c r="M3169" s="194"/>
      <c r="N3169" s="178"/>
      <c r="O3169" s="178"/>
      <c r="P3169" s="188"/>
      <c r="Q3169" s="178"/>
      <c r="R3169" s="178"/>
      <c r="S3169" s="178"/>
      <c r="T3169" s="180"/>
      <c r="U3169" s="189" t="str">
        <f>IFERROR(IF(Tableau3[[#This Row],[Dettes]]=0,"",(Tableau3[[#This Row],[Dettes]]/Tableau3[[#This Row],[EBE]])),"")</f>
        <v/>
      </c>
      <c r="V3169" s="190" t="str">
        <f>IFERROR(Tableau3[[#This Row],[Fonds propres]]/Tableau3[[#This Row],[Total Bilan]],"")</f>
        <v/>
      </c>
      <c r="W3169" s="180"/>
      <c r="Y3169" s="180"/>
      <c r="Z3169" s="192" t="str">
        <f>IFERROR(Tableau3[[#This Row],[Chiffre d''affaires]]/Tableau3[[#This Row],[Salariés]],"")</f>
        <v/>
      </c>
      <c r="AA3169" s="177"/>
      <c r="AC3169" s="177" t="s">
        <v>2258</v>
      </c>
    </row>
    <row r="3170" spans="1:29" ht="20.25" customHeight="1">
      <c r="A3170" s="217"/>
      <c r="E3170" s="187">
        <v>13</v>
      </c>
      <c r="F3170" s="178">
        <v>2015</v>
      </c>
      <c r="G3170" s="188">
        <v>110595000000</v>
      </c>
      <c r="H3170" s="188">
        <v>93000000</v>
      </c>
      <c r="I3170" s="188">
        <v>259000000</v>
      </c>
      <c r="J3170" s="188">
        <v>334000000</v>
      </c>
      <c r="K3170" s="188">
        <v>7124000000</v>
      </c>
      <c r="L3170" s="188">
        <v>16092000000</v>
      </c>
      <c r="M3170" s="194">
        <f>L3170/P3170</f>
        <v>9.4776011279829522</v>
      </c>
      <c r="N3170" s="190">
        <f>J3170/L3170</f>
        <v>2.0755654983842905E-2</v>
      </c>
      <c r="O3170" s="190">
        <f>(I3170*0.7)/(K3170+L3170)</f>
        <v>7.8092694693314953E-3</v>
      </c>
      <c r="P3170" s="188">
        <v>1697898000</v>
      </c>
      <c r="Q3170" s="211">
        <f>P3170*E3170</f>
        <v>22072674000</v>
      </c>
      <c r="R3170" s="195">
        <f>Q3170/L3170</f>
        <v>1.3716551081282624</v>
      </c>
      <c r="S3170" s="197">
        <f>(Q3170+K3170)/H3170</f>
        <v>313.94273118279568</v>
      </c>
      <c r="T3170" s="180"/>
      <c r="U3170" s="189">
        <f>IFERROR(IF(Tableau3[[#This Row],[Dettes]]=0,"",(Tableau3[[#This Row],[Dettes]]/Tableau3[[#This Row],[EBE]])),"")</f>
        <v>76.602150537634415</v>
      </c>
      <c r="V3170" s="190" t="str">
        <f>IFERROR(Tableau3[[#This Row],[Fonds propres]]/Tableau3[[#This Row],[Total Bilan]],"")</f>
        <v/>
      </c>
      <c r="W3170" s="180"/>
      <c r="Y3170" s="180"/>
      <c r="Z3170" s="192" t="str">
        <f>IFERROR(Tableau3[[#This Row],[Chiffre d''affaires]]/Tableau3[[#This Row],[Salariés]],"")</f>
        <v/>
      </c>
      <c r="AA3170" s="177"/>
      <c r="AC3170" s="177" t="s">
        <v>2259</v>
      </c>
    </row>
    <row r="3171" spans="1:29" ht="20.25" customHeight="1">
      <c r="A3171" s="217"/>
      <c r="E3171" s="187"/>
      <c r="G3171" s="202">
        <f>(G3170/G3172)-1</f>
        <v>0.15095223228223542</v>
      </c>
      <c r="H3171" s="203">
        <f>(H3170/H3172)-1</f>
        <v>-0.85284810126582278</v>
      </c>
      <c r="I3171" s="203">
        <f>(I3170/I3172)-1</f>
        <v>-0.77976190476190477</v>
      </c>
      <c r="J3171" s="203">
        <f>(J3170/J3172)-1</f>
        <v>-0.4119718309859155</v>
      </c>
      <c r="K3171" s="188"/>
      <c r="L3171" s="188"/>
      <c r="M3171" s="194"/>
      <c r="N3171" s="178"/>
      <c r="O3171" s="178"/>
      <c r="P3171" s="188"/>
      <c r="Q3171" s="178"/>
      <c r="R3171" s="178"/>
      <c r="S3171" s="178"/>
      <c r="T3171" s="180"/>
      <c r="U3171" s="189" t="str">
        <f>IFERROR(IF(Tableau3[[#This Row],[Dettes]]=0,"",(Tableau3[[#This Row],[Dettes]]/Tableau3[[#This Row],[EBE]])),"")</f>
        <v/>
      </c>
      <c r="V3171" s="190" t="str">
        <f>IFERROR(Tableau3[[#This Row],[Fonds propres]]/Tableau3[[#This Row],[Total Bilan]],"")</f>
        <v/>
      </c>
      <c r="W3171" s="180"/>
      <c r="Y3171" s="180"/>
      <c r="Z3171" s="192" t="str">
        <f>IFERROR(Tableau3[[#This Row],[Chiffre d''affaires]]/Tableau3[[#This Row],[Salariés]],"")</f>
        <v/>
      </c>
      <c r="AA3171" s="177"/>
      <c r="AC3171" s="177" t="s">
        <v>466</v>
      </c>
    </row>
    <row r="3172" spans="1:29" ht="20.25" customHeight="1">
      <c r="A3172" s="217"/>
      <c r="E3172" s="187">
        <v>9.6</v>
      </c>
      <c r="F3172" s="178">
        <v>2014</v>
      </c>
      <c r="G3172" s="188">
        <v>96090000000</v>
      </c>
      <c r="H3172" s="188">
        <v>632000000</v>
      </c>
      <c r="I3172" s="188">
        <v>1176000000</v>
      </c>
      <c r="J3172" s="188">
        <v>568000000</v>
      </c>
      <c r="K3172" s="188">
        <v>10884000000</v>
      </c>
      <c r="L3172" s="188">
        <v>13425000000</v>
      </c>
      <c r="M3172" s="194">
        <f>L3172/P3172</f>
        <v>7.9256798521248202</v>
      </c>
      <c r="N3172" s="190">
        <f>J3172/L3172</f>
        <v>4.2309124767225328E-2</v>
      </c>
      <c r="O3172" s="190">
        <f>(I3172*0.7)/(K3172+L3172)</f>
        <v>3.3864000987288659E-2</v>
      </c>
      <c r="P3172" s="188">
        <v>1693861000</v>
      </c>
      <c r="Q3172" s="211">
        <f>P3172*E3172</f>
        <v>16261065600</v>
      </c>
      <c r="R3172" s="195">
        <f>Q3172/L3172</f>
        <v>1.2112525586592178</v>
      </c>
      <c r="S3172" s="197">
        <f>(Q3172+K3172)/H3172</f>
        <v>42.95105316455696</v>
      </c>
      <c r="T3172" s="180"/>
      <c r="U3172" s="189">
        <f>IFERROR(IF(Tableau3[[#This Row],[Dettes]]=0,"",(Tableau3[[#This Row],[Dettes]]/Tableau3[[#This Row],[EBE]])),"")</f>
        <v>17.221518987341771</v>
      </c>
      <c r="V3172" s="190" t="str">
        <f>IFERROR(Tableau3[[#This Row],[Fonds propres]]/Tableau3[[#This Row],[Total Bilan]],"")</f>
        <v/>
      </c>
      <c r="W3172" s="180"/>
      <c r="Y3172" s="180"/>
      <c r="Z3172" s="192" t="str">
        <f>IFERROR(Tableau3[[#This Row],[Chiffre d''affaires]]/Tableau3[[#This Row],[Salariés]],"")</f>
        <v/>
      </c>
      <c r="AA3172" s="177"/>
      <c r="AC3172" s="177" t="s">
        <v>2260</v>
      </c>
    </row>
    <row r="3173" spans="1:29" ht="20.25" customHeight="1">
      <c r="A3173" s="217"/>
      <c r="E3173" s="187"/>
      <c r="G3173" s="202">
        <f>(G3172/G3174)-1</f>
        <v>0.10927687476911707</v>
      </c>
      <c r="H3173" s="203">
        <f>(H3172/H3174)-1</f>
        <v>-0.67606355715017941</v>
      </c>
      <c r="I3173" s="203">
        <f>(I3172/I3174)-1</f>
        <v>0.15862068965517251</v>
      </c>
      <c r="J3173" s="203">
        <f>(J3172/J3174)-1</f>
        <v>-0.37168141592920356</v>
      </c>
      <c r="K3173" s="188"/>
      <c r="L3173" s="178"/>
      <c r="M3173" s="194"/>
      <c r="N3173" s="178"/>
      <c r="O3173" s="178"/>
      <c r="P3173" s="188"/>
      <c r="Q3173" s="178"/>
      <c r="R3173" s="178"/>
      <c r="S3173" s="178"/>
      <c r="T3173" s="180"/>
      <c r="U3173" s="189" t="str">
        <f>IFERROR(IF(Tableau3[[#This Row],[Dettes]]=0,"",(Tableau3[[#This Row],[Dettes]]/Tableau3[[#This Row],[EBE]])),"")</f>
        <v/>
      </c>
      <c r="V3173" s="190" t="str">
        <f>IFERROR(Tableau3[[#This Row],[Fonds propres]]/Tableau3[[#This Row],[Total Bilan]],"")</f>
        <v/>
      </c>
      <c r="W3173" s="180"/>
      <c r="Y3173" s="180"/>
      <c r="Z3173" s="192" t="str">
        <f>IFERROR(Tableau3[[#This Row],[Chiffre d''affaires]]/Tableau3[[#This Row],[Salariés]],"")</f>
        <v/>
      </c>
      <c r="AA3173" s="177"/>
    </row>
    <row r="3174" spans="1:29" ht="20.25" customHeight="1">
      <c r="A3174" s="217"/>
      <c r="E3174" s="187"/>
      <c r="F3174" s="178">
        <v>2013</v>
      </c>
      <c r="G3174" s="188">
        <v>86624000000</v>
      </c>
      <c r="H3174" s="188">
        <v>1951000000</v>
      </c>
      <c r="I3174" s="188">
        <v>1015000000</v>
      </c>
      <c r="J3174" s="188">
        <v>904000000</v>
      </c>
      <c r="K3174" s="188">
        <v>10828000000</v>
      </c>
      <c r="L3174" s="188">
        <v>8326000000</v>
      </c>
      <c r="M3174" s="194">
        <f>L3174/P3174</f>
        <v>4.9153974263531657</v>
      </c>
      <c r="N3174" s="190">
        <f>J3174/L3174</f>
        <v>0.1085755464809032</v>
      </c>
      <c r="O3174" s="190">
        <f>(I3174*0.7)/(K3174+L3174)</f>
        <v>3.7094079565625979E-2</v>
      </c>
      <c r="P3174" s="188">
        <v>1693861000</v>
      </c>
      <c r="Q3174" s="211">
        <f>P3174*E3174</f>
        <v>0</v>
      </c>
      <c r="R3174" s="195">
        <f>Q3174/L3174</f>
        <v>0</v>
      </c>
      <c r="S3174" s="197">
        <f>(Q3174+K3174)/H3174</f>
        <v>5.5499743721168633</v>
      </c>
      <c r="T3174" s="180"/>
      <c r="U3174" s="189">
        <f>IFERROR(IF(Tableau3[[#This Row],[Dettes]]=0,"",(Tableau3[[#This Row],[Dettes]]/Tableau3[[#This Row],[EBE]])),"")</f>
        <v>5.5499743721168633</v>
      </c>
      <c r="V3174" s="190" t="str">
        <f>IFERROR(Tableau3[[#This Row],[Fonds propres]]/Tableau3[[#This Row],[Total Bilan]],"")</f>
        <v/>
      </c>
      <c r="W3174" s="180"/>
      <c r="Y3174" s="180"/>
      <c r="Z3174" s="192" t="str">
        <f>IFERROR(Tableau3[[#This Row],[Chiffre d''affaires]]/Tableau3[[#This Row],[Salariés]],"")</f>
        <v/>
      </c>
      <c r="AA3174" s="177"/>
    </row>
    <row r="3175" spans="1:29" ht="20.25" customHeight="1">
      <c r="A3175" s="217"/>
      <c r="E3175" s="187"/>
      <c r="G3175" s="188"/>
      <c r="H3175" s="188"/>
      <c r="I3175" s="188"/>
      <c r="J3175" s="188"/>
      <c r="K3175" s="188"/>
      <c r="L3175" s="188"/>
      <c r="M3175" s="194"/>
      <c r="N3175" s="190"/>
      <c r="O3175" s="190"/>
      <c r="P3175" s="188"/>
      <c r="Q3175" s="211"/>
      <c r="R3175" s="195"/>
      <c r="S3175" s="197"/>
      <c r="T3175" s="180"/>
      <c r="U3175" s="189" t="str">
        <f>IFERROR(IF(Tableau3[[#This Row],[Dettes]]=0,"",(Tableau3[[#This Row],[Dettes]]/Tableau3[[#This Row],[EBE]])),"")</f>
        <v/>
      </c>
      <c r="V3175" s="190" t="str">
        <f>IFERROR(Tableau3[[#This Row],[Fonds propres]]/Tableau3[[#This Row],[Total Bilan]],"")</f>
        <v/>
      </c>
      <c r="W3175" s="180"/>
      <c r="Y3175" s="180"/>
      <c r="Z3175" s="192" t="str">
        <f>IFERROR(Tableau3[[#This Row],[Chiffre d''affaires]]/Tableau3[[#This Row],[Salariés]],"")</f>
        <v/>
      </c>
      <c r="AA3175" s="177"/>
    </row>
    <row r="3176" spans="1:29" ht="20.25" customHeight="1">
      <c r="A3176" s="217"/>
      <c r="E3176" s="187"/>
      <c r="G3176" s="188"/>
      <c r="H3176" s="188"/>
      <c r="I3176" s="188"/>
      <c r="J3176" s="188"/>
      <c r="K3176" s="188"/>
      <c r="L3176" s="188"/>
      <c r="M3176" s="194"/>
      <c r="N3176" s="190"/>
      <c r="O3176" s="190"/>
      <c r="P3176" s="188"/>
      <c r="Q3176" s="211"/>
      <c r="R3176" s="195"/>
      <c r="S3176" s="197"/>
      <c r="T3176" s="180"/>
      <c r="U3176" s="189" t="str">
        <f>IFERROR(IF(Tableau3[[#This Row],[Dettes]]=0,"",(Tableau3[[#This Row],[Dettes]]/Tableau3[[#This Row],[EBE]])),"")</f>
        <v/>
      </c>
      <c r="V3176" s="190" t="str">
        <f>IFERROR(Tableau3[[#This Row],[Fonds propres]]/Tableau3[[#This Row],[Total Bilan]],"")</f>
        <v/>
      </c>
      <c r="W3176" s="180"/>
      <c r="Y3176" s="180"/>
      <c r="Z3176" s="192" t="str">
        <f>IFERROR(Tableau3[[#This Row],[Chiffre d''affaires]]/Tableau3[[#This Row],[Salariés]],"")</f>
        <v/>
      </c>
      <c r="AA3176" s="177"/>
    </row>
    <row r="3177" spans="1:29" ht="20.25" customHeight="1">
      <c r="A3177" s="217"/>
      <c r="E3177" s="187"/>
      <c r="G3177" s="188"/>
      <c r="H3177" s="188"/>
      <c r="I3177" s="188"/>
      <c r="J3177" s="188"/>
      <c r="K3177" s="188"/>
      <c r="L3177" s="188"/>
      <c r="M3177" s="194"/>
      <c r="N3177" s="190"/>
      <c r="O3177" s="190"/>
      <c r="P3177" s="188"/>
      <c r="Q3177" s="211"/>
      <c r="R3177" s="195"/>
      <c r="S3177" s="197"/>
      <c r="T3177" s="180"/>
      <c r="U3177" s="189" t="str">
        <f>IFERROR(IF(Tableau3[[#This Row],[Dettes]]=0,"",(Tableau3[[#This Row],[Dettes]]/Tableau3[[#This Row],[EBE]])),"")</f>
        <v/>
      </c>
      <c r="V3177" s="190" t="str">
        <f>IFERROR(Tableau3[[#This Row],[Fonds propres]]/Tableau3[[#This Row],[Total Bilan]],"")</f>
        <v/>
      </c>
      <c r="W3177" s="180"/>
      <c r="Y3177" s="180"/>
      <c r="Z3177" s="192" t="str">
        <f>IFERROR(Tableau3[[#This Row],[Chiffre d''affaires]]/Tableau3[[#This Row],[Salariés]],"")</f>
        <v/>
      </c>
      <c r="AA3177" s="177"/>
    </row>
    <row r="3178" spans="1:29" ht="20.25" customHeight="1">
      <c r="A3178" s="217" t="s">
        <v>2261</v>
      </c>
      <c r="B3178" s="216" t="s">
        <v>2209</v>
      </c>
      <c r="C3178" s="178" t="s">
        <v>564</v>
      </c>
      <c r="D3178" s="178" t="s">
        <v>85</v>
      </c>
      <c r="E3178" s="187"/>
      <c r="F3178" s="178">
        <v>2025</v>
      </c>
      <c r="G3178" s="188"/>
      <c r="H3178" s="188"/>
      <c r="I3178" s="188"/>
      <c r="J3178" s="188"/>
      <c r="K3178" s="188"/>
      <c r="L3178" s="188"/>
      <c r="M3178" s="194"/>
      <c r="N3178" s="190"/>
      <c r="O3178" s="190"/>
      <c r="P3178" s="188"/>
      <c r="Q3178" s="211"/>
      <c r="R3178" s="195"/>
      <c r="S3178" s="197"/>
      <c r="T3178" s="180"/>
      <c r="U3178" s="189" t="str">
        <f>IFERROR(IF(Tableau3[[#This Row],[Dettes]]=0,"",(Tableau3[[#This Row],[Dettes]]/Tableau3[[#This Row],[EBE]])),"")</f>
        <v/>
      </c>
      <c r="V3178" s="190" t="str">
        <f>IFERROR(Tableau3[[#This Row],[Fonds propres]]/Tableau3[[#This Row],[Total Bilan]],"")</f>
        <v/>
      </c>
      <c r="W3178" s="180"/>
      <c r="X3178" s="182" t="s">
        <v>1949</v>
      </c>
      <c r="Y3178" s="180"/>
      <c r="Z3178" s="192" t="str">
        <f>IFERROR(Tableau3[[#This Row],[Chiffre d''affaires]]/Tableau3[[#This Row],[Salariés]],"")</f>
        <v/>
      </c>
      <c r="AA3178" s="177"/>
      <c r="AC3178" s="177" t="s">
        <v>2262</v>
      </c>
    </row>
    <row r="3179" spans="1:29" ht="20.25" customHeight="1">
      <c r="A3179" s="217"/>
      <c r="E3179" s="187"/>
      <c r="G3179" s="188"/>
      <c r="H3179" s="188"/>
      <c r="I3179" s="188"/>
      <c r="J3179" s="188"/>
      <c r="K3179" s="188"/>
      <c r="L3179" s="188"/>
      <c r="M3179" s="194"/>
      <c r="N3179" s="190"/>
      <c r="O3179" s="190"/>
      <c r="P3179" s="188"/>
      <c r="Q3179" s="211"/>
      <c r="R3179" s="195"/>
      <c r="S3179" s="197"/>
      <c r="T3179" s="180"/>
      <c r="U3179" s="189" t="str">
        <f>IFERROR(IF(Tableau3[[#This Row],[Dettes]]=0,"",(Tableau3[[#This Row],[Dettes]]/Tableau3[[#This Row],[EBE]])),"")</f>
        <v/>
      </c>
      <c r="V3179" s="190" t="str">
        <f>IFERROR(Tableau3[[#This Row],[Fonds propres]]/Tableau3[[#This Row],[Total Bilan]],"")</f>
        <v/>
      </c>
      <c r="W3179" s="180"/>
      <c r="Y3179" s="180"/>
      <c r="Z3179" s="192" t="str">
        <f>IFERROR(Tableau3[[#This Row],[Chiffre d''affaires]]/Tableau3[[#This Row],[Salariés]],"")</f>
        <v/>
      </c>
      <c r="AA3179" s="177"/>
      <c r="AC3179" s="177" t="s">
        <v>2264</v>
      </c>
    </row>
    <row r="3180" spans="1:29" ht="20.25" customHeight="1">
      <c r="A3180" s="217"/>
      <c r="E3180" s="187">
        <v>53.8</v>
      </c>
      <c r="F3180" s="178">
        <v>2024</v>
      </c>
      <c r="G3180" s="188"/>
      <c r="H3180" s="188"/>
      <c r="I3180" s="188"/>
      <c r="J3180" s="188"/>
      <c r="K3180" s="188"/>
      <c r="L3180" s="188"/>
      <c r="M3180" s="194"/>
      <c r="N3180" s="190"/>
      <c r="O3180" s="190"/>
      <c r="P3180" s="188">
        <v>1046000000</v>
      </c>
      <c r="Q3180" s="211">
        <f>P3180*E3180</f>
        <v>56274800000</v>
      </c>
      <c r="R3180" s="195" t="e">
        <f>Q3180/L3180</f>
        <v>#DIV/0!</v>
      </c>
      <c r="S3180" s="197"/>
      <c r="T3180" s="180"/>
      <c r="U3180" s="189" t="str">
        <f>IFERROR(IF(Tableau3[[#This Row],[Dettes]]=0,"",(Tableau3[[#This Row],[Dettes]]/Tableau3[[#This Row],[EBE]])),"")</f>
        <v/>
      </c>
      <c r="V3180" s="190" t="str">
        <f>IFERROR(Tableau3[[#This Row],[Fonds propres]]/Tableau3[[#This Row],[Total Bilan]],"")</f>
        <v/>
      </c>
      <c r="W3180" s="180"/>
      <c r="Y3180" s="180"/>
      <c r="Z3180" s="192" t="str">
        <f>IFERROR(Tableau3[[#This Row],[Chiffre d''affaires]]/Tableau3[[#This Row],[Salariés]],"")</f>
        <v/>
      </c>
      <c r="AA3180" s="177"/>
      <c r="AC3180" s="177" t="s">
        <v>4556</v>
      </c>
    </row>
    <row r="3181" spans="1:29" ht="20.25" customHeight="1">
      <c r="A3181" s="217"/>
      <c r="E3181" s="187"/>
      <c r="G3181" s="188"/>
      <c r="H3181" s="188"/>
      <c r="I3181" s="188"/>
      <c r="J3181" s="188"/>
      <c r="K3181" s="188"/>
      <c r="L3181" s="188"/>
      <c r="M3181" s="194"/>
      <c r="N3181" s="190"/>
      <c r="O3181" s="190"/>
      <c r="P3181" s="188"/>
      <c r="Q3181" s="211"/>
      <c r="R3181" s="195"/>
      <c r="S3181" s="197"/>
      <c r="T3181" s="180"/>
      <c r="U3181" s="189" t="str">
        <f>IFERROR(IF(Tableau3[[#This Row],[Dettes]]=0,"",(Tableau3[[#This Row],[Dettes]]/Tableau3[[#This Row],[EBE]])),"")</f>
        <v/>
      </c>
      <c r="V3181" s="190" t="str">
        <f>IFERROR(Tableau3[[#This Row],[Fonds propres]]/Tableau3[[#This Row],[Total Bilan]],"")</f>
        <v/>
      </c>
      <c r="W3181" s="180"/>
      <c r="Y3181" s="180"/>
      <c r="Z3181" s="192" t="str">
        <f>IFERROR(Tableau3[[#This Row],[Chiffre d''affaires]]/Tableau3[[#This Row],[Salariés]],"")</f>
        <v/>
      </c>
      <c r="AA3181" s="177"/>
      <c r="AC3181" s="177" t="s">
        <v>2265</v>
      </c>
    </row>
    <row r="3182" spans="1:29" ht="20.25" customHeight="1">
      <c r="A3182" s="217"/>
      <c r="E3182" s="187">
        <v>62.55</v>
      </c>
      <c r="F3182" s="178">
        <v>2023</v>
      </c>
      <c r="G3182" s="188">
        <v>153218000000</v>
      </c>
      <c r="H3182" s="188"/>
      <c r="I3182" s="188">
        <v>19660000000</v>
      </c>
      <c r="J3182" s="188">
        <v>14531000000</v>
      </c>
      <c r="K3182" s="188"/>
      <c r="L3182" s="188"/>
      <c r="M3182" s="194"/>
      <c r="N3182" s="190"/>
      <c r="O3182" s="190"/>
      <c r="P3182" s="188">
        <v>1046000000</v>
      </c>
      <c r="Q3182" s="211">
        <f>P3182*E3182</f>
        <v>65427300000</v>
      </c>
      <c r="R3182" s="195" t="e">
        <f>Q3182/L3182</f>
        <v>#DIV/0!</v>
      </c>
      <c r="S3182" s="197"/>
      <c r="T3182" s="180"/>
      <c r="U3182" s="189" t="str">
        <f>IFERROR(IF(Tableau3[[#This Row],[Dettes]]=0,"",(Tableau3[[#This Row],[Dettes]]/Tableau3[[#This Row],[EBE]])),"")</f>
        <v/>
      </c>
      <c r="V3182" s="190" t="str">
        <f>IFERROR(Tableau3[[#This Row],[Fonds propres]]/Tableau3[[#This Row],[Total Bilan]],"")</f>
        <v/>
      </c>
      <c r="W3182" s="180"/>
      <c r="Y3182" s="180"/>
      <c r="Z3182" s="192" t="str">
        <f>IFERROR(Tableau3[[#This Row],[Chiffre d''affaires]]/Tableau3[[#This Row],[Salariés]],"")</f>
        <v/>
      </c>
      <c r="AA3182" s="177"/>
      <c r="AC3182" s="177" t="s">
        <v>2266</v>
      </c>
    </row>
    <row r="3183" spans="1:29" ht="20.25" customHeight="1">
      <c r="A3183" s="217"/>
      <c r="E3183" s="187"/>
      <c r="G3183" s="202">
        <f>(G3182/G3184)-1</f>
        <v>2.1337581740735967E-2</v>
      </c>
      <c r="H3183" s="203"/>
      <c r="I3183" s="203">
        <f>(I3182/I3184)-1</f>
        <v>-3.9006745527422004E-2</v>
      </c>
      <c r="J3183" s="203">
        <f>(J3182/J3184)-1</f>
        <v>2.0688228398042519E-3</v>
      </c>
      <c r="K3183" s="188"/>
      <c r="L3183" s="188"/>
      <c r="M3183" s="194"/>
      <c r="N3183" s="190"/>
      <c r="O3183" s="190"/>
      <c r="P3183" s="188"/>
      <c r="Q3183" s="211"/>
      <c r="R3183" s="195"/>
      <c r="S3183" s="197"/>
      <c r="T3183" s="180"/>
      <c r="U3183" s="189" t="str">
        <f>IFERROR(IF(Tableau3[[#This Row],[Dettes]]=0,"",(Tableau3[[#This Row],[Dettes]]/Tableau3[[#This Row],[EBE]])),"")</f>
        <v/>
      </c>
      <c r="V3183" s="190" t="str">
        <f>IFERROR(Tableau3[[#This Row],[Fonds propres]]/Tableau3[[#This Row],[Total Bilan]],"")</f>
        <v/>
      </c>
      <c r="W3183" s="180"/>
      <c r="Y3183" s="180"/>
      <c r="Z3183" s="192" t="str">
        <f>IFERROR(Tableau3[[#This Row],[Chiffre d''affaires]]/Tableau3[[#This Row],[Salariés]],"")</f>
        <v/>
      </c>
      <c r="AA3183" s="177"/>
      <c r="AC3183" s="177" t="s">
        <v>2267</v>
      </c>
    </row>
    <row r="3184" spans="1:29" ht="20.25" customHeight="1">
      <c r="A3184" s="217"/>
      <c r="E3184" s="187">
        <v>61.4</v>
      </c>
      <c r="F3184" s="178">
        <v>2022</v>
      </c>
      <c r="G3184" s="188">
        <v>150017000000</v>
      </c>
      <c r="H3184" s="188"/>
      <c r="I3184" s="188">
        <v>20458000000</v>
      </c>
      <c r="J3184" s="188">
        <v>14501000000</v>
      </c>
      <c r="K3184" s="188"/>
      <c r="L3184" s="188"/>
      <c r="M3184" s="194"/>
      <c r="N3184" s="190"/>
      <c r="O3184" s="190"/>
      <c r="P3184" s="188">
        <v>1069800000</v>
      </c>
      <c r="Q3184" s="211">
        <f>P3184*E3184</f>
        <v>65685720000</v>
      </c>
      <c r="R3184" s="195" t="e">
        <f>Q3184/L3184</f>
        <v>#DIV/0!</v>
      </c>
      <c r="S3184" s="197"/>
      <c r="T3184" s="180"/>
      <c r="U3184" s="189" t="str">
        <f>IFERROR(IF(Tableau3[[#This Row],[Dettes]]=0,"",(Tableau3[[#This Row],[Dettes]]/Tableau3[[#This Row],[EBE]])),"")</f>
        <v/>
      </c>
      <c r="V3184" s="190" t="str">
        <f>IFERROR(Tableau3[[#This Row],[Fonds propres]]/Tableau3[[#This Row],[Total Bilan]],"")</f>
        <v/>
      </c>
      <c r="W3184" s="180"/>
      <c r="Y3184" s="180"/>
      <c r="Z3184" s="192" t="str">
        <f>IFERROR(Tableau3[[#This Row],[Chiffre d''affaires]]/Tableau3[[#This Row],[Salariés]],"")</f>
        <v/>
      </c>
      <c r="AA3184" s="177"/>
      <c r="AC3184" s="177" t="s">
        <v>4649</v>
      </c>
    </row>
    <row r="3185" spans="1:29" ht="20.25" customHeight="1">
      <c r="A3185" s="217"/>
      <c r="E3185" s="187"/>
      <c r="G3185" s="202">
        <f>(G3184/G3186)-1</f>
        <v>-0.11754705882352945</v>
      </c>
      <c r="H3185" s="203"/>
      <c r="I3185" s="203">
        <f>(I3184/I3186)-1</f>
        <v>0.17574712643678159</v>
      </c>
      <c r="J3185" s="203">
        <f>(J3184/J3186)-1</f>
        <v>0.45009999999999994</v>
      </c>
      <c r="K3185" s="188"/>
      <c r="L3185" s="188"/>
      <c r="M3185" s="194"/>
      <c r="N3185" s="190"/>
      <c r="O3185" s="190"/>
      <c r="P3185" s="188"/>
      <c r="Q3185" s="211"/>
      <c r="R3185" s="195"/>
      <c r="S3185" s="197"/>
      <c r="T3185" s="180"/>
      <c r="U3185" s="189" t="str">
        <f>IFERROR(IF(Tableau3[[#This Row],[Dettes]]=0,"",(Tableau3[[#This Row],[Dettes]]/Tableau3[[#This Row],[EBE]])),"")</f>
        <v/>
      </c>
      <c r="V3185" s="190" t="str">
        <f>IFERROR(Tableau3[[#This Row],[Fonds propres]]/Tableau3[[#This Row],[Total Bilan]],"")</f>
        <v/>
      </c>
      <c r="W3185" s="180"/>
      <c r="Y3185" s="180"/>
      <c r="Z3185" s="192" t="str">
        <f>IFERROR(Tableau3[[#This Row],[Chiffre d''affaires]]/Tableau3[[#This Row],[Salariés]],"")</f>
        <v/>
      </c>
      <c r="AA3185" s="177"/>
      <c r="AC3185" s="177" t="s">
        <v>4555</v>
      </c>
    </row>
    <row r="3186" spans="1:29" ht="20.25" customHeight="1">
      <c r="A3186" s="217"/>
      <c r="E3186" s="187">
        <v>67.59</v>
      </c>
      <c r="F3186" s="178">
        <v>2021</v>
      </c>
      <c r="G3186" s="188">
        <v>170000000000</v>
      </c>
      <c r="H3186" s="188"/>
      <c r="I3186" s="188">
        <v>17400000000</v>
      </c>
      <c r="J3186" s="188">
        <v>10000000000</v>
      </c>
      <c r="K3186" s="188">
        <v>-12000000000</v>
      </c>
      <c r="L3186" s="188">
        <v>61344000000</v>
      </c>
      <c r="M3186" s="194">
        <f>L3186/P3186</f>
        <v>57.341559169938307</v>
      </c>
      <c r="N3186" s="190">
        <f>J3186/L3186</f>
        <v>0.16301512780386021</v>
      </c>
      <c r="O3186" s="190">
        <f>(I3186*0.7)/(K3186+L3186)</f>
        <v>0.24683852140077822</v>
      </c>
      <c r="P3186" s="188">
        <v>1069800000</v>
      </c>
      <c r="Q3186" s="211">
        <f>P3186*E3186</f>
        <v>72307782000</v>
      </c>
      <c r="R3186" s="195">
        <f>Q3186/L3186</f>
        <v>1.1787262323943661</v>
      </c>
      <c r="S3186" s="197" t="e">
        <f>(Q3186+K3186)/H3186</f>
        <v>#DIV/0!</v>
      </c>
      <c r="T3186" s="180">
        <v>8500000000</v>
      </c>
      <c r="U3186" s="189" t="str">
        <f>IFERROR(IF(Tableau3[[#This Row],[Dettes]]=0,"",(Tableau3[[#This Row],[Dettes]]/Tableau3[[#This Row],[EBE]])),"")</f>
        <v/>
      </c>
      <c r="V3186" s="190" t="str">
        <f>IFERROR(Tableau3[[#This Row],[Fonds propres]]/Tableau3[[#This Row],[Total Bilan]],"")</f>
        <v/>
      </c>
      <c r="W3186" s="180"/>
      <c r="Y3186" s="180"/>
      <c r="Z3186" s="192" t="str">
        <f>IFERROR(Tableau3[[#This Row],[Chiffre d''affaires]]/Tableau3[[#This Row],[Salariés]],"")</f>
        <v/>
      </c>
      <c r="AA3186" s="178"/>
      <c r="AC3186" s="177" t="s">
        <v>2268</v>
      </c>
    </row>
    <row r="3187" spans="1:29" ht="20.25" customHeight="1">
      <c r="A3187" s="217"/>
      <c r="E3187" s="187"/>
      <c r="G3187" s="202">
        <f>(G3186/G3188)-1</f>
        <v>0.2301369070016499</v>
      </c>
      <c r="H3187" s="203"/>
      <c r="I3187" s="203">
        <f>(I3186/I3188)-1</f>
        <v>7.6999999999999993</v>
      </c>
      <c r="J3187" s="203">
        <f>(J3186/J3188)-1</f>
        <v>19</v>
      </c>
      <c r="K3187" s="188"/>
      <c r="L3187" s="188"/>
      <c r="M3187" s="194"/>
      <c r="N3187" s="190"/>
      <c r="O3187" s="190"/>
      <c r="P3187" s="188"/>
      <c r="Q3187" s="211"/>
      <c r="R3187" s="195"/>
      <c r="S3187" s="197"/>
      <c r="T3187" s="180"/>
      <c r="U3187" s="189" t="str">
        <f>IFERROR(IF(Tableau3[[#This Row],[Dettes]]=0,"",(Tableau3[[#This Row],[Dettes]]/Tableau3[[#This Row],[EBE]])),"")</f>
        <v/>
      </c>
      <c r="V3187" s="190" t="str">
        <f>IFERROR(Tableau3[[#This Row],[Fonds propres]]/Tableau3[[#This Row],[Total Bilan]],"")</f>
        <v/>
      </c>
      <c r="W3187" s="180"/>
      <c r="Y3187" s="180"/>
      <c r="Z3187" s="192" t="str">
        <f>IFERROR(Tableau3[[#This Row],[Chiffre d''affaires]]/Tableau3[[#This Row],[Salariés]],"")</f>
        <v/>
      </c>
      <c r="AA3187" s="177"/>
      <c r="AC3187" s="177" t="s">
        <v>2269</v>
      </c>
    </row>
    <row r="3188" spans="1:29" ht="20.25" customHeight="1">
      <c r="A3188" s="217"/>
      <c r="E3188" s="187">
        <v>57.79</v>
      </c>
      <c r="F3188" s="178">
        <v>2020</v>
      </c>
      <c r="G3188" s="188">
        <f>G3190*0.8</f>
        <v>138196000000</v>
      </c>
      <c r="H3188" s="188"/>
      <c r="I3188" s="188">
        <v>2000000000</v>
      </c>
      <c r="J3188" s="188">
        <v>500000000</v>
      </c>
      <c r="K3188" s="188">
        <v>-12000000000</v>
      </c>
      <c r="L3188" s="188">
        <v>61344000000</v>
      </c>
      <c r="M3188" s="194">
        <f>L3188/P3188</f>
        <v>57.341559169938307</v>
      </c>
      <c r="N3188" s="190">
        <f>J3188/L3188</f>
        <v>8.1507563901930102E-3</v>
      </c>
      <c r="O3188" s="190">
        <f>(I3188*0.7)/(K3188+L3188)</f>
        <v>2.8372243839169909E-2</v>
      </c>
      <c r="P3188" s="188">
        <v>1069800000</v>
      </c>
      <c r="Q3188" s="211">
        <f>P3188*E3188</f>
        <v>61823742000</v>
      </c>
      <c r="R3188" s="195">
        <f>Q3188/L3188</f>
        <v>1.007820520344288</v>
      </c>
      <c r="S3188" s="197" t="e">
        <f>(Q3188+K3188)/H3188</f>
        <v>#DIV/0!</v>
      </c>
      <c r="T3188" s="180"/>
      <c r="U3188" s="189" t="str">
        <f>IFERROR(IF(Tableau3[[#This Row],[Dettes]]=0,"",(Tableau3[[#This Row],[Dettes]]/Tableau3[[#This Row],[EBE]])),"")</f>
        <v/>
      </c>
      <c r="V3188" s="190" t="str">
        <f>IFERROR(Tableau3[[#This Row],[Fonds propres]]/Tableau3[[#This Row],[Total Bilan]],"")</f>
        <v/>
      </c>
      <c r="W3188" s="180"/>
      <c r="Y3188" s="180"/>
      <c r="Z3188" s="192" t="str">
        <f>IFERROR(Tableau3[[#This Row],[Chiffre d''affaires]]/Tableau3[[#This Row],[Salariés]],"")</f>
        <v/>
      </c>
      <c r="AA3188" s="177"/>
      <c r="AC3188" s="177" t="s">
        <v>4650</v>
      </c>
    </row>
    <row r="3189" spans="1:29" ht="20.25" customHeight="1">
      <c r="A3189" s="217"/>
      <c r="E3189" s="187"/>
      <c r="G3189" s="202">
        <f>(G3188/G3190)-1</f>
        <v>-0.19999999999999996</v>
      </c>
      <c r="H3189" s="203"/>
      <c r="I3189" s="203">
        <f>(I3188/I3190)-1</f>
        <v>-0.53799953799953792</v>
      </c>
      <c r="J3189" s="203">
        <f>(J3188/J3190)-1</f>
        <v>-0.81543004798818752</v>
      </c>
      <c r="K3189" s="188"/>
      <c r="L3189" s="188"/>
      <c r="M3189" s="194"/>
      <c r="N3189" s="190"/>
      <c r="O3189" s="190"/>
      <c r="P3189" s="188"/>
      <c r="Q3189" s="211"/>
      <c r="R3189" s="195"/>
      <c r="S3189" s="197"/>
      <c r="T3189" s="180"/>
      <c r="U3189" s="189" t="str">
        <f>IFERROR(IF(Tableau3[[#This Row],[Dettes]]=0,"",(Tableau3[[#This Row],[Dettes]]/Tableau3[[#This Row],[EBE]])),"")</f>
        <v/>
      </c>
      <c r="V3189" s="190" t="str">
        <f>IFERROR(Tableau3[[#This Row],[Fonds propres]]/Tableau3[[#This Row],[Total Bilan]],"")</f>
        <v/>
      </c>
      <c r="W3189" s="180"/>
      <c r="Y3189" s="180"/>
      <c r="Z3189" s="192" t="str">
        <f>IFERROR(Tableau3[[#This Row],[Chiffre d''affaires]]/Tableau3[[#This Row],[Salariés]],"")</f>
        <v/>
      </c>
      <c r="AA3189" s="177"/>
      <c r="AC3189" s="177" t="s">
        <v>2270</v>
      </c>
    </row>
    <row r="3190" spans="1:29" ht="20.25" customHeight="1">
      <c r="A3190" s="217"/>
      <c r="E3190" s="187">
        <v>48.9</v>
      </c>
      <c r="F3190" s="178">
        <v>2019</v>
      </c>
      <c r="G3190" s="188">
        <v>172745000000</v>
      </c>
      <c r="H3190" s="188"/>
      <c r="I3190" s="188">
        <v>4329000000</v>
      </c>
      <c r="J3190" s="188">
        <v>2709000000</v>
      </c>
      <c r="K3190" s="188">
        <v>-11000000000</v>
      </c>
      <c r="L3190" s="188">
        <v>61344000000</v>
      </c>
      <c r="M3190" s="194">
        <f>L3190/P3190</f>
        <v>57.341559169938307</v>
      </c>
      <c r="N3190" s="190">
        <f>J3190/L3190</f>
        <v>4.4160798122065727E-2</v>
      </c>
      <c r="O3190" s="190">
        <f>(I3190*0.7)/(K3190+L3190)</f>
        <v>6.0191879866518354E-2</v>
      </c>
      <c r="P3190" s="188">
        <v>1069800000</v>
      </c>
      <c r="Q3190" s="211">
        <f>P3190*E3190</f>
        <v>52313220000</v>
      </c>
      <c r="R3190" s="195">
        <f>Q3190/L3190</f>
        <v>0.85278462441314551</v>
      </c>
      <c r="S3190" s="197" t="e">
        <f>(Q3190+K3190)/H3190</f>
        <v>#DIV/0!</v>
      </c>
      <c r="T3190" s="180"/>
      <c r="U3190" s="189" t="str">
        <f>IFERROR(IF(Tableau3[[#This Row],[Dettes]]=0,"",(Tableau3[[#This Row],[Dettes]]/Tableau3[[#This Row],[EBE]])),"")</f>
        <v/>
      </c>
      <c r="V3190" s="190" t="str">
        <f>IFERROR(Tableau3[[#This Row],[Fonds propres]]/Tableau3[[#This Row],[Total Bilan]],"")</f>
        <v/>
      </c>
      <c r="W3190" s="180"/>
      <c r="Y3190" s="180">
        <v>298665</v>
      </c>
      <c r="Z3190" s="192">
        <f>IFERROR(Tableau3[[#This Row],[Chiffre d''affaires]]/Tableau3[[#This Row],[Salariés]],"")</f>
        <v>578390.50441129692</v>
      </c>
      <c r="AA3190" s="177"/>
      <c r="AC3190" s="177" t="s">
        <v>850</v>
      </c>
    </row>
    <row r="3191" spans="1:29" ht="20.25" customHeight="1">
      <c r="A3191" s="217"/>
      <c r="E3191" s="187"/>
      <c r="G3191" s="202">
        <f>(G3190/G3192)-1</f>
        <v>3.2163812573941408E-2</v>
      </c>
      <c r="H3191" s="203"/>
      <c r="I3191" s="203">
        <f>(I3190/I3192)-1</f>
        <v>-0.61112109234638878</v>
      </c>
      <c r="J3191" s="203">
        <f>(J3190/J3192)-1</f>
        <v>-0.64270640991822736</v>
      </c>
      <c r="K3191" s="178"/>
      <c r="L3191" s="188"/>
      <c r="M3191" s="194"/>
      <c r="N3191" s="178"/>
      <c r="O3191" s="178"/>
      <c r="P3191" s="188"/>
      <c r="Q3191" s="178"/>
      <c r="R3191" s="178"/>
      <c r="S3191" s="178"/>
      <c r="T3191" s="180"/>
      <c r="U3191" s="189" t="str">
        <f>IFERROR(IF(Tableau3[[#This Row],[Dettes]]=0,"",(Tableau3[[#This Row],[Dettes]]/Tableau3[[#This Row],[EBE]])),"")</f>
        <v/>
      </c>
      <c r="V3191" s="190" t="str">
        <f>IFERROR(Tableau3[[#This Row],[Fonds propres]]/Tableau3[[#This Row],[Total Bilan]],"")</f>
        <v/>
      </c>
      <c r="W3191" s="180"/>
      <c r="Y3191" s="180"/>
      <c r="Z3191" s="192" t="str">
        <f>IFERROR(Tableau3[[#This Row],[Chiffre d''affaires]]/Tableau3[[#This Row],[Salariés]],"")</f>
        <v/>
      </c>
      <c r="AA3191" s="177"/>
      <c r="AC3191" s="177" t="s">
        <v>876</v>
      </c>
    </row>
    <row r="3192" spans="1:29" ht="20.25" customHeight="1">
      <c r="A3192" s="217"/>
      <c r="E3192" s="187">
        <v>70.599999999999994</v>
      </c>
      <c r="F3192" s="178">
        <v>2018</v>
      </c>
      <c r="G3192" s="188">
        <v>167362000000</v>
      </c>
      <c r="H3192" s="188"/>
      <c r="I3192" s="188">
        <v>11132000000</v>
      </c>
      <c r="J3192" s="188">
        <v>7582000000</v>
      </c>
      <c r="K3192" s="188">
        <v>-16300000000</v>
      </c>
      <c r="L3192" s="188">
        <v>64667000000</v>
      </c>
      <c r="M3192" s="194">
        <f>L3192/P3192</f>
        <v>60.447747242475231</v>
      </c>
      <c r="N3192" s="190">
        <f>J3192/L3192</f>
        <v>0.11724681831536951</v>
      </c>
      <c r="O3192" s="190">
        <f>(I3192*0.7)/(K3192+L3192)</f>
        <v>0.16110984762337957</v>
      </c>
      <c r="P3192" s="188">
        <v>1069800000</v>
      </c>
      <c r="Q3192" s="211">
        <f>P3192*E3192</f>
        <v>75527880000</v>
      </c>
      <c r="R3192" s="195">
        <f>Q3192/L3192</f>
        <v>1.1679508868510986</v>
      </c>
      <c r="S3192" s="197" t="e">
        <f>(Q3192+K3192)/H3192</f>
        <v>#DIV/0!</v>
      </c>
      <c r="T3192" s="180"/>
      <c r="U3192" s="189" t="str">
        <f>IFERROR(IF(Tableau3[[#This Row],[Dettes]]=0,"",(Tableau3[[#This Row],[Dettes]]/Tableau3[[#This Row],[EBE]])),"")</f>
        <v/>
      </c>
      <c r="V3192" s="190" t="str">
        <f>IFERROR(Tableau3[[#This Row],[Fonds propres]]/Tableau3[[#This Row],[Total Bilan]],"")</f>
        <v/>
      </c>
      <c r="W3192" s="180"/>
      <c r="Y3192" s="180"/>
      <c r="Z3192" s="192" t="str">
        <f>IFERROR(Tableau3[[#This Row],[Chiffre d''affaires]]/Tableau3[[#This Row],[Salariés]],"")</f>
        <v/>
      </c>
      <c r="AA3192" s="177"/>
      <c r="AC3192" s="177" t="s">
        <v>1776</v>
      </c>
    </row>
    <row r="3193" spans="1:29" ht="20.25" customHeight="1">
      <c r="A3193" s="217"/>
      <c r="E3193" s="187"/>
      <c r="G3193" s="202">
        <f>(G3192/G3194)-1</f>
        <v>1.845067851274873E-2</v>
      </c>
      <c r="H3193" s="203"/>
      <c r="I3193" s="203">
        <f>(I3192/I3194)-1</f>
        <v>-0.24179267129818827</v>
      </c>
      <c r="J3193" s="203">
        <f>(J3192/J3194)-1</f>
        <v>-0.30209867452135497</v>
      </c>
      <c r="K3193" s="188"/>
      <c r="L3193" s="188"/>
      <c r="M3193" s="194"/>
      <c r="N3193" s="178"/>
      <c r="O3193" s="178"/>
      <c r="P3193" s="188"/>
      <c r="Q3193" s="178"/>
      <c r="R3193" s="178"/>
      <c r="S3193" s="178"/>
      <c r="T3193" s="180"/>
      <c r="U3193" s="189" t="str">
        <f>IFERROR(IF(Tableau3[[#This Row],[Dettes]]=0,"",(Tableau3[[#This Row],[Dettes]]/Tableau3[[#This Row],[EBE]])),"")</f>
        <v/>
      </c>
      <c r="V3193" s="190" t="str">
        <f>IFERROR(Tableau3[[#This Row],[Fonds propres]]/Tableau3[[#This Row],[Total Bilan]],"")</f>
        <v/>
      </c>
      <c r="W3193" s="180"/>
      <c r="Y3193" s="180"/>
      <c r="Z3193" s="192" t="str">
        <f>IFERROR(Tableau3[[#This Row],[Chiffre d''affaires]]/Tableau3[[#This Row],[Salariés]],"")</f>
        <v/>
      </c>
      <c r="AA3193" s="177"/>
      <c r="AC3193" s="177" t="s">
        <v>2271</v>
      </c>
    </row>
    <row r="3194" spans="1:29" ht="20.25" customHeight="1">
      <c r="A3194" s="217"/>
      <c r="E3194" s="187">
        <v>70.400000000000006</v>
      </c>
      <c r="F3194" s="178">
        <v>2017</v>
      </c>
      <c r="G3194" s="188">
        <v>164330000000</v>
      </c>
      <c r="H3194" s="188"/>
      <c r="I3194" s="188">
        <v>14682000000</v>
      </c>
      <c r="J3194" s="188">
        <v>10864000000</v>
      </c>
      <c r="K3194" s="188">
        <v>-16600000000</v>
      </c>
      <c r="L3194" s="188">
        <v>64023000000</v>
      </c>
      <c r="M3194" s="194">
        <f>L3194/P3194</f>
        <v>59.845765563656755</v>
      </c>
      <c r="N3194" s="190">
        <f>J3194/L3194</f>
        <v>0.16968901800915295</v>
      </c>
      <c r="O3194" s="190">
        <f>(I3194*0.7)/(K3194+L3194)</f>
        <v>0.21671762646816944</v>
      </c>
      <c r="P3194" s="188">
        <v>1069800000</v>
      </c>
      <c r="Q3194" s="211">
        <f>P3194*E3194</f>
        <v>75313920000</v>
      </c>
      <c r="R3194" s="195">
        <f>Q3194/L3194</f>
        <v>1.1763572466144978</v>
      </c>
      <c r="S3194" s="197" t="e">
        <f>(Q3194+K3194)/H3194</f>
        <v>#DIV/0!</v>
      </c>
      <c r="T3194" s="180"/>
      <c r="U3194" s="189" t="str">
        <f>IFERROR(IF(Tableau3[[#This Row],[Dettes]]=0,"",(Tableau3[[#This Row],[Dettes]]/Tableau3[[#This Row],[EBE]])),"")</f>
        <v/>
      </c>
      <c r="V3194" s="190" t="str">
        <f>IFERROR(Tableau3[[#This Row],[Fonds propres]]/Tableau3[[#This Row],[Total Bilan]],"")</f>
        <v/>
      </c>
      <c r="W3194" s="180"/>
      <c r="Y3194" s="180"/>
      <c r="Z3194" s="192" t="str">
        <f>IFERROR(Tableau3[[#This Row],[Chiffre d''affaires]]/Tableau3[[#This Row],[Salariés]],"")</f>
        <v/>
      </c>
      <c r="AA3194" s="177"/>
    </row>
    <row r="3195" spans="1:29" ht="20.25" customHeight="1">
      <c r="A3195" s="217"/>
      <c r="E3195" s="187"/>
      <c r="G3195" s="202">
        <f>(G3194/G3196)-1</f>
        <v>7.222320094479362E-2</v>
      </c>
      <c r="H3195" s="203"/>
      <c r="I3195" s="203">
        <f>(I3194/I3196)-1</f>
        <v>0.137963106495117</v>
      </c>
      <c r="J3195" s="203">
        <f>(J3194/J3196)-1</f>
        <v>0.2367941712204007</v>
      </c>
      <c r="K3195" s="188"/>
      <c r="L3195" s="188"/>
      <c r="M3195" s="194"/>
      <c r="N3195" s="178"/>
      <c r="O3195" s="178"/>
      <c r="P3195" s="188"/>
      <c r="Q3195" s="178"/>
      <c r="R3195" s="178"/>
      <c r="S3195" s="178"/>
      <c r="T3195" s="180"/>
      <c r="U3195" s="189" t="str">
        <f>IFERROR(IF(Tableau3[[#This Row],[Dettes]]=0,"",(Tableau3[[#This Row],[Dettes]]/Tableau3[[#This Row],[EBE]])),"")</f>
        <v/>
      </c>
      <c r="V3195" s="190" t="str">
        <f>IFERROR(Tableau3[[#This Row],[Fonds propres]]/Tableau3[[#This Row],[Total Bilan]],"")</f>
        <v/>
      </c>
      <c r="W3195" s="180"/>
      <c r="Y3195" s="180"/>
      <c r="Z3195" s="192" t="str">
        <f>IFERROR(Tableau3[[#This Row],[Chiffre d''affaires]]/Tableau3[[#This Row],[Salariés]],"")</f>
        <v/>
      </c>
      <c r="AA3195" s="177"/>
    </row>
    <row r="3196" spans="1:29" ht="20.25" customHeight="1">
      <c r="A3196" s="217"/>
      <c r="E3196" s="187">
        <v>77.599999999999994</v>
      </c>
      <c r="F3196" s="178">
        <v>2016</v>
      </c>
      <c r="G3196" s="188">
        <v>153261000000</v>
      </c>
      <c r="H3196" s="188"/>
      <c r="I3196" s="188">
        <v>12902000000</v>
      </c>
      <c r="J3196" s="188">
        <v>8784000000</v>
      </c>
      <c r="K3196" s="188">
        <v>-19700000000</v>
      </c>
      <c r="L3196" s="188">
        <v>57950000000</v>
      </c>
      <c r="M3196" s="194">
        <f>L3196/P3196</f>
        <v>54.16900355206581</v>
      </c>
      <c r="N3196" s="190">
        <f>J3196/L3196</f>
        <v>0.15157894736842106</v>
      </c>
      <c r="O3196" s="190">
        <f>(I3196*0.7)/(K3196+L3196)</f>
        <v>0.23611503267973857</v>
      </c>
      <c r="P3196" s="188">
        <v>1069800000</v>
      </c>
      <c r="Q3196" s="211">
        <f>P3196*E3196</f>
        <v>83016480000</v>
      </c>
      <c r="R3196" s="195">
        <f>Q3196/L3196</f>
        <v>1.4325535806729939</v>
      </c>
      <c r="S3196" s="197" t="e">
        <f>(Q3196+K3196)/H3196</f>
        <v>#DIV/0!</v>
      </c>
      <c r="T3196" s="180"/>
      <c r="U3196" s="189" t="str">
        <f>IFERROR(IF(Tableau3[[#This Row],[Dettes]]=0,"",(Tableau3[[#This Row],[Dettes]]/Tableau3[[#This Row],[EBE]])),"")</f>
        <v/>
      </c>
      <c r="V3196" s="190" t="str">
        <f>IFERROR(Tableau3[[#This Row],[Fonds propres]]/Tableau3[[#This Row],[Total Bilan]],"")</f>
        <v/>
      </c>
      <c r="W3196" s="180"/>
      <c r="Y3196" s="180"/>
      <c r="Z3196" s="192" t="str">
        <f>IFERROR(Tableau3[[#This Row],[Chiffre d''affaires]]/Tableau3[[#This Row],[Salariés]],"")</f>
        <v/>
      </c>
      <c r="AA3196" s="177"/>
    </row>
    <row r="3197" spans="1:29" ht="20.25" customHeight="1">
      <c r="A3197" s="217"/>
      <c r="E3197" s="187"/>
      <c r="G3197" s="188"/>
      <c r="H3197" s="188"/>
      <c r="I3197" s="188"/>
      <c r="J3197" s="188"/>
      <c r="K3197" s="188"/>
      <c r="L3197" s="188"/>
      <c r="M3197" s="194"/>
      <c r="N3197" s="178"/>
      <c r="O3197" s="178"/>
      <c r="P3197" s="188"/>
      <c r="Q3197" s="178"/>
      <c r="R3197" s="178"/>
      <c r="S3197" s="178"/>
      <c r="T3197" s="180"/>
      <c r="U3197" s="189" t="str">
        <f>IFERROR(IF(Tableau3[[#This Row],[Dettes]]=0,"",(Tableau3[[#This Row],[Dettes]]/Tableau3[[#This Row],[EBE]])),"")</f>
        <v/>
      </c>
      <c r="V3197" s="190" t="str">
        <f>IFERROR(Tableau3[[#This Row],[Fonds propres]]/Tableau3[[#This Row],[Total Bilan]],"")</f>
        <v/>
      </c>
      <c r="W3197" s="180"/>
      <c r="Y3197" s="180"/>
      <c r="Z3197" s="192" t="str">
        <f>IFERROR(Tableau3[[#This Row],[Chiffre d''affaires]]/Tableau3[[#This Row],[Salariés]],"")</f>
        <v/>
      </c>
      <c r="AA3197" s="177"/>
    </row>
    <row r="3198" spans="1:29" ht="20.25" customHeight="1">
      <c r="A3198" s="217"/>
      <c r="E3198" s="187"/>
      <c r="G3198" s="188"/>
      <c r="H3198" s="188"/>
      <c r="I3198" s="188"/>
      <c r="J3198" s="188"/>
      <c r="K3198" s="188"/>
      <c r="L3198" s="178"/>
      <c r="M3198" s="194"/>
      <c r="N3198" s="178"/>
      <c r="O3198" s="178"/>
      <c r="P3198" s="188"/>
      <c r="Q3198" s="178"/>
      <c r="R3198" s="178"/>
      <c r="S3198" s="178"/>
      <c r="T3198" s="180"/>
      <c r="U3198" s="189" t="str">
        <f>IFERROR(IF(Tableau3[[#This Row],[Dettes]]=0,"",(Tableau3[[#This Row],[Dettes]]/Tableau3[[#This Row],[EBE]])),"")</f>
        <v/>
      </c>
      <c r="V3198" s="190" t="str">
        <f>IFERROR(Tableau3[[#This Row],[Fonds propres]]/Tableau3[[#This Row],[Total Bilan]],"")</f>
        <v/>
      </c>
      <c r="W3198" s="180"/>
      <c r="Y3198" s="180"/>
      <c r="Z3198" s="192" t="str">
        <f>IFERROR(Tableau3[[#This Row],[Chiffre d''affaires]]/Tableau3[[#This Row],[Salariés]],"")</f>
        <v/>
      </c>
      <c r="AA3198" s="177"/>
    </row>
    <row r="3199" spans="1:29" ht="20.25" customHeight="1">
      <c r="A3199" s="217"/>
      <c r="E3199" s="187"/>
      <c r="G3199" s="188"/>
      <c r="H3199" s="188"/>
      <c r="I3199" s="188"/>
      <c r="J3199" s="188"/>
      <c r="K3199" s="188"/>
      <c r="L3199" s="178"/>
      <c r="M3199" s="194"/>
      <c r="N3199" s="178"/>
      <c r="O3199" s="178"/>
      <c r="P3199" s="188"/>
      <c r="Q3199" s="178"/>
      <c r="R3199" s="178"/>
      <c r="S3199" s="178"/>
      <c r="T3199" s="180"/>
      <c r="U3199" s="189" t="str">
        <f>IFERROR(IF(Tableau3[[#This Row],[Dettes]]=0,"",(Tableau3[[#This Row],[Dettes]]/Tableau3[[#This Row],[EBE]])),"")</f>
        <v/>
      </c>
      <c r="V3199" s="190" t="str">
        <f>IFERROR(Tableau3[[#This Row],[Fonds propres]]/Tableau3[[#This Row],[Total Bilan]],"")</f>
        <v/>
      </c>
      <c r="W3199" s="180"/>
      <c r="Y3199" s="180"/>
      <c r="Z3199" s="192" t="str">
        <f>IFERROR(Tableau3[[#This Row],[Chiffre d''affaires]]/Tableau3[[#This Row],[Salariés]],"")</f>
        <v/>
      </c>
      <c r="AA3199" s="177"/>
    </row>
    <row r="3200" spans="1:29" ht="20.25" customHeight="1">
      <c r="A3200" s="217"/>
      <c r="E3200" s="187"/>
      <c r="G3200" s="188"/>
      <c r="H3200" s="188"/>
      <c r="I3200" s="188"/>
      <c r="J3200" s="188"/>
      <c r="K3200" s="188"/>
      <c r="L3200" s="178"/>
      <c r="M3200" s="194"/>
      <c r="N3200" s="178"/>
      <c r="O3200" s="178"/>
      <c r="P3200" s="188"/>
      <c r="Q3200" s="178"/>
      <c r="R3200" s="178"/>
      <c r="S3200" s="178"/>
      <c r="T3200" s="180"/>
      <c r="U3200" s="189" t="str">
        <f>IFERROR(IF(Tableau3[[#This Row],[Dettes]]=0,"",(Tableau3[[#This Row],[Dettes]]/Tableau3[[#This Row],[EBE]])),"")</f>
        <v/>
      </c>
      <c r="V3200" s="190" t="str">
        <f>IFERROR(Tableau3[[#This Row],[Fonds propres]]/Tableau3[[#This Row],[Total Bilan]],"")</f>
        <v/>
      </c>
      <c r="W3200" s="180"/>
      <c r="Y3200" s="180"/>
      <c r="Z3200" s="192" t="str">
        <f>IFERROR(Tableau3[[#This Row],[Chiffre d''affaires]]/Tableau3[[#This Row],[Salariés]],"")</f>
        <v/>
      </c>
      <c r="AA3200" s="177"/>
    </row>
    <row r="3201" spans="1:37" ht="20.25" customHeight="1">
      <c r="A3201" s="217" t="s">
        <v>2272</v>
      </c>
      <c r="B3201" s="216" t="s">
        <v>2209</v>
      </c>
      <c r="C3201" s="178" t="s">
        <v>84</v>
      </c>
      <c r="D3201" s="178" t="s">
        <v>85</v>
      </c>
      <c r="E3201" s="187"/>
      <c r="F3201" s="178">
        <v>2025</v>
      </c>
      <c r="G3201" s="188"/>
      <c r="H3201" s="188"/>
      <c r="I3201" s="188"/>
      <c r="J3201" s="188"/>
      <c r="K3201" s="188"/>
      <c r="L3201" s="178"/>
      <c r="M3201" s="194"/>
      <c r="N3201" s="178"/>
      <c r="O3201" s="178"/>
      <c r="P3201" s="188"/>
      <c r="Q3201" s="178"/>
      <c r="R3201" s="178"/>
      <c r="S3201" s="178"/>
      <c r="T3201" s="180"/>
      <c r="U3201" s="189" t="str">
        <f>IFERROR(IF(Tableau3[[#This Row],[Dettes]]=0,"",(Tableau3[[#This Row],[Dettes]]/Tableau3[[#This Row],[EBE]])),"")</f>
        <v/>
      </c>
      <c r="V3201" s="190" t="str">
        <f>IFERROR(Tableau3[[#This Row],[Fonds propres]]/Tableau3[[#This Row],[Total Bilan]],"")</f>
        <v/>
      </c>
      <c r="W3201" s="180"/>
      <c r="Y3201" s="180"/>
      <c r="Z3201" s="192" t="str">
        <f>IFERROR(Tableau3[[#This Row],[Chiffre d''affaires]]/Tableau3[[#This Row],[Salariés]],"")</f>
        <v/>
      </c>
      <c r="AA3201" s="177"/>
      <c r="AC3201" s="177" t="s">
        <v>2273</v>
      </c>
    </row>
    <row r="3202" spans="1:37" ht="20.25" customHeight="1">
      <c r="A3202" s="217"/>
      <c r="E3202" s="187"/>
      <c r="G3202" s="188"/>
      <c r="H3202" s="188"/>
      <c r="I3202" s="188"/>
      <c r="J3202" s="188"/>
      <c r="K3202" s="188"/>
      <c r="L3202" s="178"/>
      <c r="M3202" s="194"/>
      <c r="N3202" s="178"/>
      <c r="O3202" s="178"/>
      <c r="P3202" s="188"/>
      <c r="Q3202" s="178"/>
      <c r="R3202" s="178"/>
      <c r="S3202" s="178"/>
      <c r="T3202" s="180"/>
      <c r="U3202" s="189" t="str">
        <f>IFERROR(IF(Tableau3[[#This Row],[Dettes]]=0,"",(Tableau3[[#This Row],[Dettes]]/Tableau3[[#This Row],[EBE]])),"")</f>
        <v/>
      </c>
      <c r="V3202" s="190" t="str">
        <f>IFERROR(Tableau3[[#This Row],[Fonds propres]]/Tableau3[[#This Row],[Total Bilan]],"")</f>
        <v/>
      </c>
      <c r="W3202" s="180"/>
      <c r="Y3202" s="180"/>
      <c r="Z3202" s="192" t="str">
        <f>IFERROR(Tableau3[[#This Row],[Chiffre d''affaires]]/Tableau3[[#This Row],[Salariés]],"")</f>
        <v/>
      </c>
      <c r="AA3202" s="177"/>
      <c r="AC3202" s="177" t="s">
        <v>4548</v>
      </c>
    </row>
    <row r="3203" spans="1:37" ht="20.25" customHeight="1">
      <c r="A3203" s="217"/>
      <c r="E3203" s="187">
        <v>47.05</v>
      </c>
      <c r="F3203" s="178">
        <v>2024</v>
      </c>
      <c r="G3203" s="188">
        <v>56232000000</v>
      </c>
      <c r="H3203" s="188"/>
      <c r="I3203" s="188">
        <v>2576000000</v>
      </c>
      <c r="J3203" s="188">
        <v>752000000</v>
      </c>
      <c r="K3203" s="188">
        <v>-7096000000</v>
      </c>
      <c r="L3203" s="188">
        <v>30520000000</v>
      </c>
      <c r="M3203" s="194">
        <f t="shared" ref="M3203" si="196">L3203/P3203</f>
        <v>103.20503716328173</v>
      </c>
      <c r="N3203" s="190">
        <f t="shared" ref="N3203" si="197">J3203/L3203</f>
        <v>2.4639580602883356E-2</v>
      </c>
      <c r="O3203" s="190">
        <f t="shared" ref="O3203" si="198">(I3203*0.7)/(K3203+L3203)</f>
        <v>7.6980874316939896E-2</v>
      </c>
      <c r="P3203" s="188">
        <v>295722000</v>
      </c>
      <c r="Q3203" s="211">
        <f t="shared" ref="Q3203:Q3205" si="199">P3203*E3203</f>
        <v>13913720100</v>
      </c>
      <c r="R3203" s="195">
        <f t="shared" ref="R3203:R3205" si="200">Q3203/L3203</f>
        <v>0.45588860091743122</v>
      </c>
      <c r="S3203" s="197"/>
      <c r="T3203" s="180">
        <v>2883000000</v>
      </c>
      <c r="U3203" s="189" t="str">
        <f>IFERROR(IF(Tableau3[[#This Row],[Dettes]]=0,"",(Tableau3[[#This Row],[Dettes]]/Tableau3[[#This Row],[EBE]])),"")</f>
        <v/>
      </c>
      <c r="V3203" s="190">
        <f>IFERROR(Tableau3[[#This Row],[Fonds propres]]/Tableau3[[#This Row],[Total Bilan]],"")</f>
        <v>0.23860526932999765</v>
      </c>
      <c r="W3203" s="180">
        <v>127910000000</v>
      </c>
      <c r="Y3203" s="180">
        <v>105655</v>
      </c>
      <c r="Z3203" s="192">
        <f>IFERROR(Tableau3[[#This Row],[Chiffre d''affaires]]/Tableau3[[#This Row],[Salariés]],"")</f>
        <v>532222.80062467465</v>
      </c>
      <c r="AA3203" s="177"/>
      <c r="AC3203" s="177" t="s">
        <v>4547</v>
      </c>
    </row>
    <row r="3204" spans="1:37" ht="20.25" customHeight="1">
      <c r="A3204" s="217"/>
      <c r="E3204" s="187"/>
      <c r="G3204" s="202">
        <f>(G3203/G3205)-1</f>
        <v>7.3621506033297646E-2</v>
      </c>
      <c r="H3204" s="188"/>
      <c r="I3204" s="203">
        <f>(I3203/I3205)-1</f>
        <v>3.6619718309859106E-2</v>
      </c>
      <c r="J3204" s="203"/>
      <c r="K3204" s="188"/>
      <c r="L3204" s="178"/>
      <c r="M3204" s="194"/>
      <c r="N3204" s="178"/>
      <c r="O3204" s="178"/>
      <c r="P3204" s="188"/>
      <c r="Q3204" s="178"/>
      <c r="R3204" s="178"/>
      <c r="S3204" s="178"/>
      <c r="T3204" s="180"/>
      <c r="U3204" s="189" t="str">
        <f>IFERROR(IF(Tableau3[[#This Row],[Dettes]]=0,"",(Tableau3[[#This Row],[Dettes]]/Tableau3[[#This Row],[EBE]])),"")</f>
        <v/>
      </c>
      <c r="V3204" s="190" t="str">
        <f>IFERROR(Tableau3[[#This Row],[Fonds propres]]/Tableau3[[#This Row],[Total Bilan]],"")</f>
        <v/>
      </c>
      <c r="W3204" s="180"/>
      <c r="Y3204" s="180"/>
      <c r="Z3204" s="192" t="str">
        <f>IFERROR(Tableau3[[#This Row],[Chiffre d''affaires]]/Tableau3[[#This Row],[Salariés]],"")</f>
        <v/>
      </c>
      <c r="AA3204" s="177"/>
      <c r="AC3204" s="177" t="s">
        <v>2275</v>
      </c>
    </row>
    <row r="3205" spans="1:37" ht="20.25" customHeight="1">
      <c r="A3205" s="217"/>
      <c r="E3205" s="187">
        <v>36.9</v>
      </c>
      <c r="F3205" s="178">
        <v>2023</v>
      </c>
      <c r="G3205" s="188">
        <v>52376000000</v>
      </c>
      <c r="H3205" s="188">
        <v>6394000000</v>
      </c>
      <c r="I3205" s="188">
        <v>2485000000</v>
      </c>
      <c r="J3205" s="188">
        <v>2198000000</v>
      </c>
      <c r="K3205" s="188">
        <v>-3724000000</v>
      </c>
      <c r="L3205" s="188">
        <v>29752000000</v>
      </c>
      <c r="M3205" s="194">
        <f t="shared" ref="M3205" si="201">L3205/P3205</f>
        <v>100.60800346271161</v>
      </c>
      <c r="N3205" s="190">
        <f t="shared" ref="N3205" si="202">J3205/L3205</f>
        <v>7.3877386394191988E-2</v>
      </c>
      <c r="O3205" s="190">
        <f t="shared" ref="O3205" si="203">(I3205*0.7)/(K3205+L3205)</f>
        <v>6.683187336714308E-2</v>
      </c>
      <c r="P3205" s="188">
        <v>295722000</v>
      </c>
      <c r="Q3205" s="211">
        <f t="shared" si="199"/>
        <v>10912141800</v>
      </c>
      <c r="R3205" s="195">
        <f t="shared" si="200"/>
        <v>0.36677002554450122</v>
      </c>
      <c r="S3205" s="197">
        <f t="shared" ref="S3205" si="204">(Q3205+K3205)/H3205</f>
        <v>1.1242010947763528</v>
      </c>
      <c r="T3205" s="180">
        <v>3024000000</v>
      </c>
      <c r="U3205" s="189">
        <f>IFERROR(IF(Tableau3[[#This Row],[Dettes]]=0,"",(Tableau3[[#This Row],[Dettes]]/Tableau3[[#This Row],[EBE]])),"")</f>
        <v>-0.58242101970597437</v>
      </c>
      <c r="V3205" s="190">
        <f>IFERROR(Tableau3[[#This Row],[Fonds propres]]/Tableau3[[#This Row],[Total Bilan]],"")</f>
        <v>0.24404288303954461</v>
      </c>
      <c r="W3205" s="180">
        <v>121913000000</v>
      </c>
      <c r="Y3205" s="180">
        <v>105655</v>
      </c>
      <c r="Z3205" s="192">
        <f>IFERROR(Tableau3[[#This Row],[Chiffre d''affaires]]/Tableau3[[#This Row],[Salariés]],"")</f>
        <v>495726.65751739149</v>
      </c>
      <c r="AA3205" s="177"/>
      <c r="AC3205" s="177" t="s">
        <v>4552</v>
      </c>
    </row>
    <row r="3206" spans="1:37" ht="20.25" customHeight="1">
      <c r="A3206" s="217"/>
      <c r="E3206" s="187"/>
      <c r="G3206" s="202">
        <f>(G3205/G3207)-1</f>
        <v>0.13054740113969943</v>
      </c>
      <c r="H3206" s="188"/>
      <c r="I3206" s="203">
        <f>(I3205/I3207)-1</f>
        <v>0.13418530351437696</v>
      </c>
      <c r="J3206" s="203"/>
      <c r="K3206" s="188"/>
      <c r="L3206" s="178"/>
      <c r="M3206" s="194"/>
      <c r="N3206" s="178"/>
      <c r="O3206" s="178"/>
      <c r="P3206" s="188"/>
      <c r="Q3206" s="178"/>
      <c r="R3206" s="178"/>
      <c r="S3206" s="178"/>
      <c r="T3206" s="180"/>
      <c r="U3206" s="189" t="str">
        <f>IFERROR(IF(Tableau3[[#This Row],[Dettes]]=0,"",(Tableau3[[#This Row],[Dettes]]/Tableau3[[#This Row],[EBE]])),"")</f>
        <v/>
      </c>
      <c r="V3206" s="190" t="str">
        <f>IFERROR(Tableau3[[#This Row],[Fonds propres]]/Tableau3[[#This Row],[Total Bilan]],"")</f>
        <v/>
      </c>
      <c r="W3206" s="180"/>
      <c r="Y3206" s="180"/>
      <c r="Z3206" s="192" t="str">
        <f>IFERROR(Tableau3[[#This Row],[Chiffre d''affaires]]/Tableau3[[#This Row],[Salariés]],"")</f>
        <v/>
      </c>
      <c r="AA3206" s="177"/>
      <c r="AC3206" s="177" t="s">
        <v>4622</v>
      </c>
    </row>
    <row r="3207" spans="1:37" ht="20.25" customHeight="1">
      <c r="A3207" s="217"/>
      <c r="E3207" s="187">
        <v>31.28</v>
      </c>
      <c r="F3207" s="178">
        <v>2022</v>
      </c>
      <c r="G3207" s="188">
        <v>46328000000</v>
      </c>
      <c r="H3207" s="188">
        <v>6030000000</v>
      </c>
      <c r="I3207" s="188">
        <v>2191000000</v>
      </c>
      <c r="J3207" s="188">
        <v>-354000000</v>
      </c>
      <c r="K3207" s="211"/>
      <c r="L3207" s="188">
        <v>28949000000</v>
      </c>
      <c r="M3207" s="194">
        <f t="shared" ref="M3207" si="205">L3207/P3207</f>
        <v>97.892615361724864</v>
      </c>
      <c r="N3207" s="190">
        <f t="shared" ref="N3207" si="206">J3207/L3207</f>
        <v>-1.2228401671905765E-2</v>
      </c>
      <c r="O3207" s="190">
        <f t="shared" ref="O3207" si="207">(I3207*0.7)/(K3207+L3207)</f>
        <v>5.2979377525993993E-2</v>
      </c>
      <c r="P3207" s="188">
        <v>295722000</v>
      </c>
      <c r="Q3207" s="211">
        <f t="shared" ref="Q3207" si="208">P3207*E3207</f>
        <v>9250184160</v>
      </c>
      <c r="R3207" s="195">
        <f t="shared" ref="R3207:R3209" si="209">Q3207/L3207</f>
        <v>0.31953380634909667</v>
      </c>
      <c r="S3207" s="197">
        <f t="shared" ref="S3207" si="210">(Q3207+K3207)/H3207</f>
        <v>1.534027223880597</v>
      </c>
      <c r="T3207" s="180">
        <v>2119000000</v>
      </c>
      <c r="U3207" s="189" t="str">
        <f>IFERROR(IF(Tableau3[[#This Row],[Dettes]]=0,"",(Tableau3[[#This Row],[Dettes]]/Tableau3[[#This Row],[EBE]])),"")</f>
        <v/>
      </c>
      <c r="V3207" s="190">
        <f>IFERROR(Tableau3[[#This Row],[Fonds propres]]/Tableau3[[#This Row],[Total Bilan]],"")</f>
        <v>0.24472491799952659</v>
      </c>
      <c r="W3207" s="180">
        <v>118292000000</v>
      </c>
      <c r="Y3207" s="180">
        <v>108784</v>
      </c>
      <c r="Z3207" s="192">
        <f>IFERROR(Tableau3[[#This Row],[Chiffre d''affaires]]/Tableau3[[#This Row],[Salariés]],"")</f>
        <v>425871.45168407116</v>
      </c>
      <c r="AA3207" s="177"/>
      <c r="AC3207" s="177" t="s">
        <v>2744</v>
      </c>
    </row>
    <row r="3208" spans="1:37" ht="20.25" customHeight="1">
      <c r="A3208" s="217"/>
      <c r="E3208" s="187"/>
      <c r="G3208" s="202">
        <f>(G3207/G3209)-1</f>
        <v>2.488477268301148E-3</v>
      </c>
      <c r="H3208" s="188"/>
      <c r="I3208" s="203">
        <f>(I3207/I3209)-1</f>
        <v>0.56723891273247506</v>
      </c>
      <c r="J3208" s="188"/>
      <c r="K3208" s="211"/>
      <c r="L3208" s="188"/>
      <c r="M3208" s="194"/>
      <c r="N3208" s="178"/>
      <c r="O3208" s="178"/>
      <c r="P3208" s="178"/>
      <c r="Q3208" s="178"/>
      <c r="R3208" s="178"/>
      <c r="S3208" s="178"/>
      <c r="T3208" s="180"/>
      <c r="U3208" s="189" t="str">
        <f>IFERROR(IF(Tableau3[[#This Row],[Dettes]]=0,"",(Tableau3[[#This Row],[Dettes]]/Tableau3[[#This Row],[EBE]])),"")</f>
        <v/>
      </c>
      <c r="V3208" s="190" t="str">
        <f>IFERROR(Tableau3[[#This Row],[Fonds propres]]/Tableau3[[#This Row],[Total Bilan]],"")</f>
        <v/>
      </c>
      <c r="W3208" s="180"/>
      <c r="Y3208" s="180"/>
      <c r="Z3208" s="192" t="str">
        <f>IFERROR(Tableau3[[#This Row],[Chiffre d''affaires]]/Tableau3[[#This Row],[Salariés]],"")</f>
        <v/>
      </c>
      <c r="AA3208" s="177"/>
      <c r="AC3208" s="177" t="s">
        <v>4648</v>
      </c>
    </row>
    <row r="3209" spans="1:37" ht="20.25" customHeight="1">
      <c r="A3209" s="217"/>
      <c r="E3209" s="187">
        <v>30.55</v>
      </c>
      <c r="F3209" s="178">
        <v>2021</v>
      </c>
      <c r="G3209" s="188">
        <v>46213000000</v>
      </c>
      <c r="H3209" s="188">
        <v>5326000000</v>
      </c>
      <c r="I3209" s="188">
        <v>1398000000</v>
      </c>
      <c r="J3209" s="188">
        <v>888000000</v>
      </c>
      <c r="K3209" s="211"/>
      <c r="L3209" s="188">
        <v>27320000000</v>
      </c>
      <c r="M3209" s="194">
        <f t="shared" ref="M3209" si="211">L3209/P3209</f>
        <v>92.384063410906194</v>
      </c>
      <c r="N3209" s="190">
        <f t="shared" ref="N3209" si="212">J3209/L3209</f>
        <v>3.2503660322108344E-2</v>
      </c>
      <c r="O3209" s="190">
        <f t="shared" ref="O3209" si="213">(I3209*0.7)/(K3209+L3209)</f>
        <v>3.5819912152269394E-2</v>
      </c>
      <c r="P3209" s="188">
        <v>295722000</v>
      </c>
      <c r="Q3209" s="211">
        <f t="shared" ref="Q3209" si="214">P3209*E3209</f>
        <v>9034307100</v>
      </c>
      <c r="R3209" s="195">
        <f t="shared" si="209"/>
        <v>0.33068474011713028</v>
      </c>
      <c r="S3209" s="197">
        <f t="shared" ref="S3209" si="215">(Q3209+K3209)/H3209</f>
        <v>1.6962649455501315</v>
      </c>
      <c r="T3209" s="180"/>
      <c r="U3209" s="189" t="str">
        <f>IFERROR(IF(Tableau3[[#This Row],[Dettes]]=0,"",(Tableau3[[#This Row],[Dettes]]/Tableau3[[#This Row],[EBE]])),"")</f>
        <v/>
      </c>
      <c r="V3209" s="190">
        <f>IFERROR(Tableau3[[#This Row],[Fonds propres]]/Tableau3[[#This Row],[Total Bilan]],"")</f>
        <v>0.24019694039036399</v>
      </c>
      <c r="W3209" s="180">
        <v>113740000000</v>
      </c>
      <c r="Y3209" s="180">
        <v>117252</v>
      </c>
      <c r="Z3209" s="192">
        <f>IFERROR(Tableau3[[#This Row],[Chiffre d''affaires]]/Tableau3[[#This Row],[Salariés]],"")</f>
        <v>394134.00197864429</v>
      </c>
      <c r="AA3209" s="177"/>
      <c r="AC3209" s="177" t="s">
        <v>4946</v>
      </c>
    </row>
    <row r="3210" spans="1:37" ht="20.25" customHeight="1">
      <c r="A3210" s="217"/>
      <c r="E3210" s="187"/>
      <c r="G3210" s="202">
        <f>(G3209/G3211)-1</f>
        <v>6.3003174311082377E-2</v>
      </c>
      <c r="H3210" s="188"/>
      <c r="I3210" s="203">
        <f>(I3209/I3211)-1</f>
        <v>-1.6993496748374186</v>
      </c>
      <c r="J3210" s="188"/>
      <c r="K3210" s="211"/>
      <c r="L3210" s="188"/>
      <c r="M3210" s="194"/>
      <c r="N3210" s="178"/>
      <c r="O3210" s="178"/>
      <c r="P3210" s="178"/>
      <c r="Q3210" s="178"/>
      <c r="R3210" s="178"/>
      <c r="S3210" s="178"/>
      <c r="T3210" s="180"/>
      <c r="U3210" s="189" t="str">
        <f>IFERROR(IF(Tableau3[[#This Row],[Dettes]]=0,"",(Tableau3[[#This Row],[Dettes]]/Tableau3[[#This Row],[EBE]])),"")</f>
        <v/>
      </c>
      <c r="V3210" s="190" t="str">
        <f>IFERROR(Tableau3[[#This Row],[Fonds propres]]/Tableau3[[#This Row],[Total Bilan]],"")</f>
        <v/>
      </c>
      <c r="W3210" s="180"/>
      <c r="Y3210" s="180"/>
      <c r="Z3210" s="192" t="str">
        <f>IFERROR(Tableau3[[#This Row],[Chiffre d''affaires]]/Tableau3[[#This Row],[Salariés]],"")</f>
        <v/>
      </c>
      <c r="AA3210" s="177"/>
      <c r="AC3210" s="177" t="s">
        <v>4623</v>
      </c>
    </row>
    <row r="3211" spans="1:37" ht="20.25" customHeight="1">
      <c r="A3211" s="217"/>
      <c r="E3211" s="187">
        <v>35.76</v>
      </c>
      <c r="F3211" s="178">
        <v>2020</v>
      </c>
      <c r="G3211" s="188">
        <v>43474000000</v>
      </c>
      <c r="H3211" s="188">
        <v>2750000000</v>
      </c>
      <c r="I3211" s="188">
        <v>-1999000000</v>
      </c>
      <c r="J3211" s="188">
        <v>-8008000000</v>
      </c>
      <c r="K3211" s="211"/>
      <c r="L3211" s="188">
        <v>24772000000</v>
      </c>
      <c r="M3211" s="194">
        <f>L3211/P3211</f>
        <v>83.76786306057717</v>
      </c>
      <c r="N3211" s="190">
        <f>J3211/L3211</f>
        <v>-0.32326820603907636</v>
      </c>
      <c r="O3211" s="190">
        <f>(I3211*0.7)/(K3211+L3211)</f>
        <v>-5.6487162925884064E-2</v>
      </c>
      <c r="P3211" s="188">
        <v>295722000</v>
      </c>
      <c r="Q3211" s="211">
        <f>P3211*E3211</f>
        <v>10575018720</v>
      </c>
      <c r="R3211" s="195">
        <f>Q3211/L3211</f>
        <v>0.42689402228322298</v>
      </c>
      <c r="S3211" s="197">
        <f>(Q3211+K3211)/H3211</f>
        <v>3.8454613527272725</v>
      </c>
      <c r="T3211" s="180"/>
      <c r="U3211" s="189" t="str">
        <f>IFERROR(IF(Tableau3[[#This Row],[Dettes]]=0,"",(Tableau3[[#This Row],[Dettes]]/Tableau3[[#This Row],[EBE]])),"")</f>
        <v/>
      </c>
      <c r="V3211" s="190">
        <f>IFERROR(Tableau3[[#This Row],[Fonds propres]]/Tableau3[[#This Row],[Total Bilan]],"")</f>
        <v>0.21403699767576487</v>
      </c>
      <c r="W3211" s="180">
        <v>115737000000</v>
      </c>
      <c r="Y3211" s="180">
        <v>170158</v>
      </c>
      <c r="Z3211" s="192">
        <f>IFERROR(Tableau3[[#This Row],[Chiffre d''affaires]]/Tableau3[[#This Row],[Salariés]],"")</f>
        <v>255491.95453637207</v>
      </c>
      <c r="AA3211" s="177"/>
      <c r="AC3211" s="216" t="s">
        <v>4549</v>
      </c>
    </row>
    <row r="3212" spans="1:37" ht="20.25" customHeight="1">
      <c r="A3212" s="217"/>
      <c r="E3212" s="187"/>
      <c r="G3212" s="202">
        <f>(G3211/G3213)-1</f>
        <v>-0.21720654698669351</v>
      </c>
      <c r="H3212" s="203">
        <f>(H3211/H3213)-1</f>
        <v>-0.53500169090294225</v>
      </c>
      <c r="I3212" s="203">
        <f>(I3211/I3213)-1</f>
        <v>-1.949643705463183</v>
      </c>
      <c r="J3212" s="203"/>
      <c r="K3212" s="211"/>
      <c r="L3212" s="188"/>
      <c r="M3212" s="194"/>
      <c r="N3212" s="178"/>
      <c r="O3212" s="178"/>
      <c r="P3212" s="178"/>
      <c r="Q3212" s="178"/>
      <c r="R3212" s="178"/>
      <c r="S3212" s="178"/>
      <c r="T3212" s="180"/>
      <c r="U3212" s="189" t="str">
        <f>IFERROR(IF(Tableau3[[#This Row],[Dettes]]=0,"",(Tableau3[[#This Row],[Dettes]]/Tableau3[[#This Row],[EBE]])),"")</f>
        <v/>
      </c>
      <c r="V3212" s="190" t="str">
        <f>IFERROR(Tableau3[[#This Row],[Fonds propres]]/Tableau3[[#This Row],[Total Bilan]],"")</f>
        <v/>
      </c>
      <c r="W3212" s="180"/>
      <c r="Y3212" s="180"/>
      <c r="Z3212" s="192" t="str">
        <f>IFERROR(Tableau3[[#This Row],[Chiffre d''affaires]]/Tableau3[[#This Row],[Salariés]],"")</f>
        <v/>
      </c>
      <c r="AA3212" s="177"/>
      <c r="AC3212" s="216">
        <v>2021</v>
      </c>
    </row>
    <row r="3213" spans="1:37" ht="20.25" customHeight="1">
      <c r="A3213" s="217"/>
      <c r="E3213" s="187">
        <v>42.18</v>
      </c>
      <c r="F3213" s="178">
        <v>2019</v>
      </c>
      <c r="G3213" s="188">
        <v>55537000000</v>
      </c>
      <c r="H3213" s="188">
        <v>5914000000</v>
      </c>
      <c r="I3213" s="188">
        <v>2105000000</v>
      </c>
      <c r="J3213" s="188">
        <v>-141000000</v>
      </c>
      <c r="K3213" s="211"/>
      <c r="L3213" s="188">
        <v>34564000000</v>
      </c>
      <c r="M3213" s="194">
        <f>L3213/P3213</f>
        <v>116.88004274284633</v>
      </c>
      <c r="N3213" s="190">
        <f>J3213/L3213</f>
        <v>-4.0793889596111559E-3</v>
      </c>
      <c r="O3213" s="190">
        <f>(I3213*0.7)/(K3213+L3213)</f>
        <v>4.2631061219766231E-2</v>
      </c>
      <c r="P3213" s="188">
        <v>295722000</v>
      </c>
      <c r="Q3213" s="211">
        <f>P3213*E3213</f>
        <v>12473553960</v>
      </c>
      <c r="R3213" s="195">
        <f>Q3213/L3213</f>
        <v>0.36088282490452495</v>
      </c>
      <c r="S3213" s="197">
        <f>(Q3213+K3213)/H3213</f>
        <v>2.1091569090294215</v>
      </c>
      <c r="T3213" s="180"/>
      <c r="U3213" s="189" t="str">
        <f>IFERROR(IF(Tableau3[[#This Row],[Dettes]]=0,"",(Tableau3[[#This Row],[Dettes]]/Tableau3[[#This Row],[EBE]])),"")</f>
        <v/>
      </c>
      <c r="V3213" s="190" t="str">
        <f>IFERROR(Tableau3[[#This Row],[Fonds propres]]/Tableau3[[#This Row],[Total Bilan]],"")</f>
        <v/>
      </c>
      <c r="W3213" s="180"/>
      <c r="Y3213" s="180">
        <v>179565</v>
      </c>
      <c r="Z3213" s="192">
        <f>IFERROR(Tableau3[[#This Row],[Chiffre d''affaires]]/Tableau3[[#This Row],[Salariés]],"")</f>
        <v>309286.33085512213</v>
      </c>
      <c r="AA3213" s="177"/>
      <c r="AC3213" s="216" t="s">
        <v>4550</v>
      </c>
    </row>
    <row r="3214" spans="1:37" ht="20.25" customHeight="1">
      <c r="A3214" s="217"/>
      <c r="E3214" s="187"/>
      <c r="G3214" s="202">
        <f>(G3213/G3215)-1</f>
        <v>-3.2776607046448025E-2</v>
      </c>
      <c r="H3214" s="203">
        <f>(H3213/H3215)-1</f>
        <v>0.63732004429678857</v>
      </c>
      <c r="I3214" s="203">
        <f>(I3213/I3215)-1</f>
        <v>-0.29527954469367257</v>
      </c>
      <c r="J3214" s="203">
        <f>(J3213/J3215)-1</f>
        <v>-1.0427013930950939</v>
      </c>
      <c r="K3214" s="211"/>
      <c r="L3214" s="188"/>
      <c r="M3214" s="194"/>
      <c r="N3214" s="178"/>
      <c r="O3214" s="178"/>
      <c r="P3214" s="178"/>
      <c r="Q3214" s="178"/>
      <c r="R3214" s="178"/>
      <c r="S3214" s="178"/>
      <c r="T3214" s="180"/>
      <c r="U3214" s="189" t="str">
        <f>IFERROR(IF(Tableau3[[#This Row],[Dettes]]=0,"",(Tableau3[[#This Row],[Dettes]]/Tableau3[[#This Row],[EBE]])),"")</f>
        <v/>
      </c>
      <c r="V3214" s="190" t="str">
        <f>IFERROR(Tableau3[[#This Row],[Fonds propres]]/Tableau3[[#This Row],[Total Bilan]],"")</f>
        <v/>
      </c>
      <c r="W3214" s="180"/>
      <c r="Y3214" s="180"/>
      <c r="Z3214" s="192" t="str">
        <f>IFERROR(Tableau3[[#This Row],[Chiffre d''affaires]]/Tableau3[[#This Row],[Salariés]],"")</f>
        <v/>
      </c>
      <c r="AA3214" s="177"/>
      <c r="AC3214" s="274" t="s">
        <v>4551</v>
      </c>
      <c r="AJ3214" s="177">
        <v>2014</v>
      </c>
      <c r="AK3214" s="177">
        <v>21600</v>
      </c>
    </row>
    <row r="3215" spans="1:37" ht="20.25" customHeight="1">
      <c r="A3215" s="217"/>
      <c r="E3215" s="187">
        <v>54.55</v>
      </c>
      <c r="F3215" s="178">
        <v>2018</v>
      </c>
      <c r="G3215" s="188">
        <v>57419000000</v>
      </c>
      <c r="H3215" s="188">
        <v>3612000000</v>
      </c>
      <c r="I3215" s="188">
        <v>2987000000</v>
      </c>
      <c r="J3215" s="188">
        <v>3302000000</v>
      </c>
      <c r="K3215" s="211"/>
      <c r="L3215" s="188">
        <v>35546000000</v>
      </c>
      <c r="M3215" s="194">
        <f>L3215/P3215</f>
        <v>120.20072906310656</v>
      </c>
      <c r="N3215" s="190">
        <f>J3215/L3215</f>
        <v>9.2893715185956224E-2</v>
      </c>
      <c r="O3215" s="190">
        <f>(I3215*0.7)/(K3215+L3215)</f>
        <v>5.8822371012209523E-2</v>
      </c>
      <c r="P3215" s="188">
        <v>295722000</v>
      </c>
      <c r="Q3215" s="211">
        <f>P3215*E3215</f>
        <v>16131635100</v>
      </c>
      <c r="R3215" s="195">
        <f>Q3215/L3215</f>
        <v>0.45382420244190624</v>
      </c>
      <c r="S3215" s="197">
        <f>(Q3215+K3215)/H3215</f>
        <v>4.4661226744186049</v>
      </c>
      <c r="T3215" s="180"/>
      <c r="U3215" s="189" t="str">
        <f>IFERROR(IF(Tableau3[[#This Row],[Dettes]]=0,"",(Tableau3[[#This Row],[Dettes]]/Tableau3[[#This Row],[EBE]])),"")</f>
        <v/>
      </c>
      <c r="V3215" s="190" t="str">
        <f>IFERROR(Tableau3[[#This Row],[Fonds propres]]/Tableau3[[#This Row],[Total Bilan]],"")</f>
        <v/>
      </c>
      <c r="W3215" s="180"/>
      <c r="Y3215" s="180">
        <v>183002</v>
      </c>
      <c r="Z3215" s="192">
        <f>IFERROR(Tableau3[[#This Row],[Chiffre d''affaires]]/Tableau3[[#This Row],[Salariés]],"")</f>
        <v>313761.5982338991</v>
      </c>
      <c r="AA3215" s="177"/>
      <c r="AC3215" s="177" t="s">
        <v>2276</v>
      </c>
    </row>
    <row r="3216" spans="1:37" ht="20.25" customHeight="1">
      <c r="A3216" s="217"/>
      <c r="E3216" s="187"/>
      <c r="G3216" s="202">
        <f>(G3215/G3217)-1</f>
        <v>-2.298791900629571E-2</v>
      </c>
      <c r="H3216" s="203">
        <f>(H3215/H3217)-1</f>
        <v>-6.2791904514789776E-2</v>
      </c>
      <c r="I3216" s="203">
        <f>(I3215/I3217)-1</f>
        <v>-0.2151865475564898</v>
      </c>
      <c r="J3216" s="203">
        <f>(J3215/J3217)-1</f>
        <v>-0.35432147047321083</v>
      </c>
      <c r="K3216" s="211"/>
      <c r="L3216" s="188"/>
      <c r="M3216" s="194"/>
      <c r="N3216" s="178"/>
      <c r="O3216" s="178"/>
      <c r="P3216" s="178"/>
      <c r="Q3216" s="178"/>
      <c r="R3216" s="178"/>
      <c r="S3216" s="178"/>
      <c r="T3216" s="180"/>
      <c r="U3216" s="189" t="str">
        <f>IFERROR(IF(Tableau3[[#This Row],[Dettes]]=0,"",(Tableau3[[#This Row],[Dettes]]/Tableau3[[#This Row],[EBE]])),"")</f>
        <v/>
      </c>
      <c r="V3216" s="190" t="str">
        <f>IFERROR(Tableau3[[#This Row],[Fonds propres]]/Tableau3[[#This Row],[Total Bilan]],"")</f>
        <v/>
      </c>
      <c r="W3216" s="180"/>
      <c r="Y3216" s="180"/>
      <c r="Z3216" s="192" t="str">
        <f>IFERROR(Tableau3[[#This Row],[Chiffre d''affaires]]/Tableau3[[#This Row],[Salariés]],"")</f>
        <v/>
      </c>
      <c r="AA3216" s="177"/>
      <c r="AC3216" s="177" t="s">
        <v>4880</v>
      </c>
      <c r="AJ3216" s="177">
        <v>2013</v>
      </c>
      <c r="AK3216" s="177">
        <v>20360</v>
      </c>
    </row>
    <row r="3217" spans="1:29" ht="20.25" customHeight="1">
      <c r="A3217" s="217"/>
      <c r="E3217" s="187">
        <v>83.91</v>
      </c>
      <c r="F3217" s="178">
        <v>2017</v>
      </c>
      <c r="G3217" s="188">
        <v>58770000000</v>
      </c>
      <c r="H3217" s="188">
        <v>3854000000</v>
      </c>
      <c r="I3217" s="188">
        <v>3806000000</v>
      </c>
      <c r="J3217" s="188">
        <v>5114000000</v>
      </c>
      <c r="K3217" s="211"/>
      <c r="L3217" s="188">
        <v>33385000000</v>
      </c>
      <c r="M3217" s="194">
        <f>L3217/P3217</f>
        <v>112.89319022595546</v>
      </c>
      <c r="N3217" s="190">
        <f>J3217/L3217</f>
        <v>0.15318256702111727</v>
      </c>
      <c r="O3217" s="190">
        <f>(I3217*0.7)/(K3217+L3217)</f>
        <v>7.9802306425041186E-2</v>
      </c>
      <c r="P3217" s="188">
        <v>295722000</v>
      </c>
      <c r="Q3217" s="211">
        <f>P3217*E3217</f>
        <v>24814033020</v>
      </c>
      <c r="R3217" s="195">
        <f>Q3217/L3217</f>
        <v>0.74326892376815934</v>
      </c>
      <c r="S3217" s="197">
        <f>(Q3217+K3217)/H3217</f>
        <v>6.4385140166061232</v>
      </c>
      <c r="T3217" s="180"/>
      <c r="U3217" s="189" t="str">
        <f>IFERROR(IF(Tableau3[[#This Row],[Dettes]]=0,"",(Tableau3[[#This Row],[Dettes]]/Tableau3[[#This Row],[EBE]])),"")</f>
        <v/>
      </c>
      <c r="V3217" s="190" t="str">
        <f>IFERROR(Tableau3[[#This Row],[Fonds propres]]/Tableau3[[#This Row],[Total Bilan]],"")</f>
        <v/>
      </c>
      <c r="W3217" s="180"/>
      <c r="Y3217" s="180">
        <v>181344</v>
      </c>
      <c r="Z3217" s="192">
        <f>IFERROR(Tableau3[[#This Row],[Chiffre d''affaires]]/Tableau3[[#This Row],[Salariés]],"")</f>
        <v>324080.2011646374</v>
      </c>
      <c r="AA3217" s="177"/>
      <c r="AC3217" s="177" t="s">
        <v>4852</v>
      </c>
    </row>
    <row r="3218" spans="1:29" ht="20.25" customHeight="1">
      <c r="A3218" s="217"/>
      <c r="E3218" s="187"/>
      <c r="G3218" s="202">
        <f>(G3217/G3219)-1</f>
        <v>0.14688835548270007</v>
      </c>
      <c r="H3218" s="203">
        <f>(H3217/H3219)-1</f>
        <v>0.17428397318708111</v>
      </c>
      <c r="I3218" s="203">
        <f>(I3217/I3219)-1</f>
        <v>0.15930551325007625</v>
      </c>
      <c r="J3218" s="203">
        <f>(J3217/J3219)-1</f>
        <v>0.49575899385785327</v>
      </c>
      <c r="K3218" s="211"/>
      <c r="L3218" s="188"/>
      <c r="M3218" s="194"/>
      <c r="N3218" s="178"/>
      <c r="O3218" s="178"/>
      <c r="P3218" s="178"/>
      <c r="Q3218" s="178"/>
      <c r="R3218" s="178"/>
      <c r="S3218" s="178"/>
      <c r="T3218" s="180"/>
      <c r="U3218" s="189" t="str">
        <f>IFERROR(IF(Tableau3[[#This Row],[Dettes]]=0,"",(Tableau3[[#This Row],[Dettes]]/Tableau3[[#This Row],[EBE]])),"")</f>
        <v/>
      </c>
      <c r="V3218" s="190" t="str">
        <f>IFERROR(Tableau3[[#This Row],[Fonds propres]]/Tableau3[[#This Row],[Total Bilan]],"")</f>
        <v/>
      </c>
      <c r="W3218" s="180"/>
      <c r="Y3218" s="180"/>
      <c r="Z3218" s="192" t="str">
        <f>IFERROR(Tableau3[[#This Row],[Chiffre d''affaires]]/Tableau3[[#This Row],[Salariés]],"")</f>
        <v/>
      </c>
      <c r="AA3218" s="177"/>
      <c r="AC3218" s="177" t="s">
        <v>4944</v>
      </c>
    </row>
    <row r="3219" spans="1:29" ht="20.25" customHeight="1">
      <c r="A3219" s="217"/>
      <c r="E3219" s="187">
        <v>84.51</v>
      </c>
      <c r="F3219" s="178">
        <v>2016</v>
      </c>
      <c r="G3219" s="188">
        <v>51243000000</v>
      </c>
      <c r="H3219" s="188">
        <v>3282000000</v>
      </c>
      <c r="I3219" s="188">
        <v>3283000000</v>
      </c>
      <c r="J3219" s="188">
        <v>3419000000</v>
      </c>
      <c r="K3219" s="211"/>
      <c r="L3219" s="188">
        <v>30743000000</v>
      </c>
      <c r="M3219" s="194">
        <f>L3219/P3219</f>
        <v>103.9591237716504</v>
      </c>
      <c r="N3219" s="190">
        <f>J3219/L3219</f>
        <v>0.11121230849299027</v>
      </c>
      <c r="O3219" s="190">
        <f>(I3219*0.7)/(K3219+L3219)</f>
        <v>7.4751976059590802E-2</v>
      </c>
      <c r="P3219" s="188">
        <v>295722000</v>
      </c>
      <c r="Q3219" s="211">
        <f>P3219*E3219</f>
        <v>24991466220</v>
      </c>
      <c r="R3219" s="195">
        <f>Q3219/L3219</f>
        <v>0.81291566275249649</v>
      </c>
      <c r="S3219" s="197">
        <f>(Q3219+K3219)/H3219</f>
        <v>7.6147063436928706</v>
      </c>
      <c r="T3219" s="180"/>
      <c r="U3219" s="189" t="str">
        <f>IFERROR(IF(Tableau3[[#This Row],[Dettes]]=0,"",(Tableau3[[#This Row],[Dettes]]/Tableau3[[#This Row],[EBE]])),"")</f>
        <v/>
      </c>
      <c r="V3219" s="190" t="str">
        <f>IFERROR(Tableau3[[#This Row],[Fonds propres]]/Tableau3[[#This Row],[Total Bilan]],"")</f>
        <v/>
      </c>
      <c r="W3219" s="180"/>
      <c r="Y3219" s="180">
        <v>124849</v>
      </c>
      <c r="Z3219" s="192">
        <f>IFERROR(Tableau3[[#This Row],[Chiffre d''affaires]]/Tableau3[[#This Row],[Salariés]],"")</f>
        <v>410439.8112920408</v>
      </c>
      <c r="AA3219" s="177"/>
      <c r="AC3219" s="177" t="s">
        <v>2185</v>
      </c>
    </row>
    <row r="3220" spans="1:29" ht="20.25" customHeight="1">
      <c r="A3220" s="217"/>
      <c r="E3220" s="187"/>
      <c r="G3220" s="188"/>
      <c r="H3220" s="188"/>
      <c r="I3220" s="188"/>
      <c r="J3220" s="188"/>
      <c r="K3220" s="211"/>
      <c r="L3220" s="188"/>
      <c r="M3220" s="194"/>
      <c r="N3220" s="178"/>
      <c r="O3220" s="178"/>
      <c r="P3220" s="178"/>
      <c r="Q3220" s="178"/>
      <c r="R3220" s="178"/>
      <c r="S3220" s="178"/>
      <c r="T3220" s="180"/>
      <c r="U3220" s="189" t="str">
        <f>IFERROR(IF(Tableau3[[#This Row],[Dettes]]=0,"",(Tableau3[[#This Row],[Dettes]]/Tableau3[[#This Row],[EBE]])),"")</f>
        <v/>
      </c>
      <c r="V3220" s="190" t="str">
        <f>IFERROR(Tableau3[[#This Row],[Fonds propres]]/Tableau3[[#This Row],[Total Bilan]],"")</f>
        <v/>
      </c>
      <c r="W3220" s="180"/>
      <c r="Y3220" s="180"/>
      <c r="Z3220" s="192" t="str">
        <f>IFERROR(Tableau3[[#This Row],[Chiffre d''affaires]]/Tableau3[[#This Row],[Salariés]],"")</f>
        <v/>
      </c>
      <c r="AA3220" s="177"/>
      <c r="AC3220" s="177" t="s">
        <v>286</v>
      </c>
    </row>
    <row r="3221" spans="1:29" ht="20.25" customHeight="1">
      <c r="A3221" s="217"/>
      <c r="E3221" s="187"/>
      <c r="G3221" s="188"/>
      <c r="H3221" s="188"/>
      <c r="I3221" s="188"/>
      <c r="J3221" s="188"/>
      <c r="K3221" s="211"/>
      <c r="L3221" s="188"/>
      <c r="M3221" s="194"/>
      <c r="N3221" s="178"/>
      <c r="O3221" s="178"/>
      <c r="P3221" s="178"/>
      <c r="Q3221" s="178"/>
      <c r="R3221" s="178"/>
      <c r="S3221" s="178"/>
      <c r="T3221" s="180"/>
      <c r="U3221" s="189" t="str">
        <f>IFERROR(IF(Tableau3[[#This Row],[Dettes]]=0,"",(Tableau3[[#This Row],[Dettes]]/Tableau3[[#This Row],[EBE]])),"")</f>
        <v/>
      </c>
      <c r="V3221" s="190" t="str">
        <f>IFERROR(Tableau3[[#This Row],[Fonds propres]]/Tableau3[[#This Row],[Total Bilan]],"")</f>
        <v/>
      </c>
      <c r="W3221" s="180"/>
      <c r="Y3221" s="180"/>
      <c r="Z3221" s="192" t="str">
        <f>IFERROR(Tableau3[[#This Row],[Chiffre d''affaires]]/Tableau3[[#This Row],[Salariés]],"")</f>
        <v/>
      </c>
      <c r="AA3221" s="177"/>
      <c r="AC3221" s="177" t="s">
        <v>4546</v>
      </c>
    </row>
    <row r="3222" spans="1:29" ht="20.25" customHeight="1">
      <c r="A3222" s="217"/>
      <c r="E3222" s="187"/>
      <c r="G3222" s="188"/>
      <c r="H3222" s="188"/>
      <c r="I3222" s="188"/>
      <c r="J3222" s="188"/>
      <c r="K3222" s="211"/>
      <c r="L3222" s="188"/>
      <c r="M3222" s="194"/>
      <c r="N3222" s="178"/>
      <c r="O3222" s="178"/>
      <c r="P3222" s="178"/>
      <c r="Q3222" s="178"/>
      <c r="R3222" s="178"/>
      <c r="S3222" s="178"/>
      <c r="T3222" s="180"/>
      <c r="U3222" s="189" t="str">
        <f>IFERROR(IF(Tableau3[[#This Row],[Dettes]]=0,"",(Tableau3[[#This Row],[Dettes]]/Tableau3[[#This Row],[EBE]])),"")</f>
        <v/>
      </c>
      <c r="V3222" s="190" t="str">
        <f>IFERROR(Tableau3[[#This Row],[Fonds propres]]/Tableau3[[#This Row],[Total Bilan]],"")</f>
        <v/>
      </c>
      <c r="W3222" s="180"/>
      <c r="Y3222" s="180"/>
      <c r="Z3222" s="192" t="str">
        <f>IFERROR(Tableau3[[#This Row],[Chiffre d''affaires]]/Tableau3[[#This Row],[Salariés]],"")</f>
        <v/>
      </c>
      <c r="AA3222" s="177"/>
      <c r="AC3222" s="177" t="s">
        <v>4945</v>
      </c>
    </row>
    <row r="3223" spans="1:29" ht="20.25" customHeight="1">
      <c r="A3223" s="217"/>
      <c r="E3223" s="187"/>
      <c r="G3223" s="188"/>
      <c r="H3223" s="188"/>
      <c r="I3223" s="188"/>
      <c r="J3223" s="188"/>
      <c r="K3223" s="211"/>
      <c r="L3223" s="188"/>
      <c r="M3223" s="194"/>
      <c r="N3223" s="178"/>
      <c r="O3223" s="178"/>
      <c r="P3223" s="178"/>
      <c r="Q3223" s="178"/>
      <c r="R3223" s="178"/>
      <c r="S3223" s="178"/>
      <c r="T3223" s="180"/>
      <c r="U3223" s="189" t="str">
        <f>IFERROR(IF(Tableau3[[#This Row],[Dettes]]=0,"",(Tableau3[[#This Row],[Dettes]]/Tableau3[[#This Row],[EBE]])),"")</f>
        <v/>
      </c>
      <c r="V3223" s="190" t="str">
        <f>IFERROR(Tableau3[[#This Row],[Fonds propres]]/Tableau3[[#This Row],[Total Bilan]],"")</f>
        <v/>
      </c>
      <c r="W3223" s="180"/>
      <c r="Y3223" s="180"/>
      <c r="Z3223" s="192" t="str">
        <f>IFERROR(Tableau3[[#This Row],[Chiffre d''affaires]]/Tableau3[[#This Row],[Salariés]],"")</f>
        <v/>
      </c>
      <c r="AA3223" s="177"/>
    </row>
    <row r="3224" spans="1:29" ht="20.25" customHeight="1">
      <c r="A3224" s="217"/>
      <c r="E3224" s="187"/>
      <c r="G3224" s="188"/>
      <c r="H3224" s="259"/>
      <c r="I3224" s="188"/>
      <c r="J3224" s="188"/>
      <c r="K3224" s="211"/>
      <c r="L3224" s="188"/>
      <c r="M3224" s="194"/>
      <c r="N3224" s="178"/>
      <c r="O3224" s="178"/>
      <c r="P3224" s="178"/>
      <c r="Q3224" s="178"/>
      <c r="R3224" s="178"/>
      <c r="S3224" s="178"/>
      <c r="T3224" s="180"/>
      <c r="U3224" s="189" t="str">
        <f>IFERROR(IF(Tableau3[[#This Row],[Dettes]]=0,"",(Tableau3[[#This Row],[Dettes]]/Tableau3[[#This Row],[EBE]])),"")</f>
        <v/>
      </c>
      <c r="V3224" s="190" t="str">
        <f>IFERROR(Tableau3[[#This Row],[Fonds propres]]/Tableau3[[#This Row],[Total Bilan]],"")</f>
        <v/>
      </c>
      <c r="W3224" s="180"/>
      <c r="Y3224" s="180"/>
      <c r="Z3224" s="192" t="str">
        <f>IFERROR(Tableau3[[#This Row],[Chiffre d''affaires]]/Tableau3[[#This Row],[Salariés]],"")</f>
        <v/>
      </c>
      <c r="AA3224" s="177"/>
    </row>
    <row r="3225" spans="1:29" ht="20.25" customHeight="1">
      <c r="A3225" s="217" t="s">
        <v>2277</v>
      </c>
      <c r="B3225" s="216" t="s">
        <v>2278</v>
      </c>
      <c r="C3225" s="178" t="s">
        <v>84</v>
      </c>
      <c r="D3225" s="178" t="s">
        <v>85</v>
      </c>
      <c r="E3225" s="187"/>
      <c r="F3225" s="178">
        <v>2025</v>
      </c>
      <c r="G3225" s="188"/>
      <c r="H3225" s="259"/>
      <c r="I3225" s="188"/>
      <c r="J3225" s="188"/>
      <c r="K3225" s="211"/>
      <c r="L3225" s="188"/>
      <c r="M3225" s="194"/>
      <c r="N3225" s="178"/>
      <c r="O3225" s="178"/>
      <c r="P3225" s="178"/>
      <c r="Q3225" s="178"/>
      <c r="R3225" s="178"/>
      <c r="S3225" s="178"/>
      <c r="T3225" s="180"/>
      <c r="U3225" s="189" t="str">
        <f>IFERROR(IF(Tableau3[[#This Row],[Dettes]]=0,"",(Tableau3[[#This Row],[Dettes]]/Tableau3[[#This Row],[EBE]])),"")</f>
        <v/>
      </c>
      <c r="V3225" s="190" t="str">
        <f>IFERROR(Tableau3[[#This Row],[Fonds propres]]/Tableau3[[#This Row],[Total Bilan]],"")</f>
        <v/>
      </c>
      <c r="W3225" s="180"/>
      <c r="Y3225" s="180"/>
      <c r="Z3225" s="192" t="str">
        <f>IFERROR(Tableau3[[#This Row],[Chiffre d''affaires]]/Tableau3[[#This Row],[Salariés]],"")</f>
        <v/>
      </c>
      <c r="AA3225" s="177"/>
      <c r="AB3225" s="178" t="s">
        <v>4603</v>
      </c>
      <c r="AC3225" s="177" t="s">
        <v>2279</v>
      </c>
    </row>
    <row r="3226" spans="1:29" ht="20.25" customHeight="1">
      <c r="A3226" s="217"/>
      <c r="E3226" s="187"/>
      <c r="G3226" s="188"/>
      <c r="H3226" s="259"/>
      <c r="I3226" s="188"/>
      <c r="J3226" s="188"/>
      <c r="K3226" s="211"/>
      <c r="L3226" s="188"/>
      <c r="M3226" s="194"/>
      <c r="N3226" s="178"/>
      <c r="O3226" s="178"/>
      <c r="P3226" s="178"/>
      <c r="Q3226" s="178"/>
      <c r="R3226" s="178"/>
      <c r="S3226" s="178"/>
      <c r="T3226" s="180"/>
      <c r="U3226" s="189" t="str">
        <f>IFERROR(IF(Tableau3[[#This Row],[Dettes]]=0,"",(Tableau3[[#This Row],[Dettes]]/Tableau3[[#This Row],[EBE]])),"")</f>
        <v/>
      </c>
      <c r="V3226" s="190" t="str">
        <f>IFERROR(Tableau3[[#This Row],[Fonds propres]]/Tableau3[[#This Row],[Total Bilan]],"")</f>
        <v/>
      </c>
      <c r="W3226" s="180"/>
      <c r="Y3226" s="180"/>
      <c r="Z3226" s="192" t="str">
        <f>IFERROR(Tableau3[[#This Row],[Chiffre d''affaires]]/Tableau3[[#This Row],[Salariés]],"")</f>
        <v/>
      </c>
      <c r="AA3226" s="177"/>
      <c r="AB3226" s="192"/>
      <c r="AC3226" s="177" t="s">
        <v>4545</v>
      </c>
    </row>
    <row r="3227" spans="1:29" ht="20.25" customHeight="1">
      <c r="A3227" s="217"/>
      <c r="E3227" s="187">
        <v>122.3</v>
      </c>
      <c r="F3227" s="178">
        <v>2024</v>
      </c>
      <c r="G3227" s="188">
        <v>3926300000</v>
      </c>
      <c r="H3227" s="259"/>
      <c r="I3227" s="188">
        <v>499000000</v>
      </c>
      <c r="J3227" s="188">
        <v>374400000</v>
      </c>
      <c r="K3227" s="211">
        <v>-44600000</v>
      </c>
      <c r="L3227" s="188">
        <v>1914400000</v>
      </c>
      <c r="M3227" s="194">
        <f t="shared" ref="M3227" si="216">L3227/P3227</f>
        <v>99.00565615838299</v>
      </c>
      <c r="N3227" s="190">
        <f t="shared" ref="N3227" si="217">J3227/L3227</f>
        <v>0.19557041370664438</v>
      </c>
      <c r="O3227" s="190">
        <f t="shared" ref="O3227" si="218">(I3227*0.7)/(K3227+L3227)</f>
        <v>0.18681142368167719</v>
      </c>
      <c r="P3227" s="188">
        <v>19336269</v>
      </c>
      <c r="Q3227" s="211">
        <f t="shared" ref="Q3227" si="219">P3227*E3227</f>
        <v>2364825698.6999998</v>
      </c>
      <c r="R3227" s="195">
        <f t="shared" ref="R3227" si="220">Q3227/L3227</f>
        <v>1.2352829600396991</v>
      </c>
      <c r="S3227" s="197" t="e">
        <f t="shared" ref="S3227" si="221">(Q3227+K3227)/H3227</f>
        <v>#DIV/0!</v>
      </c>
      <c r="T3227" s="268"/>
      <c r="U3227" s="189" t="str">
        <f>IFERROR(IF(Tableau3[[#This Row],[Dettes]]=0,"",(Tableau3[[#This Row],[Dettes]]/Tableau3[[#This Row],[EBE]])),"")</f>
        <v/>
      </c>
      <c r="V3227" s="190">
        <f>IFERROR(Tableau3[[#This Row],[Fonds propres]]/Tableau3[[#This Row],[Total Bilan]],"")</f>
        <v>0.66412266703670297</v>
      </c>
      <c r="W3227" s="180">
        <v>2882600000</v>
      </c>
      <c r="Y3227" s="180">
        <v>10640</v>
      </c>
      <c r="Z3227" s="192">
        <f>IFERROR(Tableau3[[#This Row],[Chiffre d''affaires]]/Tableau3[[#This Row],[Salariés]],"")</f>
        <v>369013.15789473685</v>
      </c>
      <c r="AA3227" s="177"/>
      <c r="AB3227" s="192"/>
      <c r="AC3227" s="177" t="s">
        <v>4585</v>
      </c>
    </row>
    <row r="3228" spans="1:29" ht="20.25" customHeight="1">
      <c r="A3228" s="217"/>
      <c r="E3228" s="187"/>
      <c r="G3228" s="202">
        <f>(G3227/G3229)-1</f>
        <v>0.1281822883742314</v>
      </c>
      <c r="H3228" s="203"/>
      <c r="I3228" s="203">
        <f>(I3227/I3229)-1</f>
        <v>0.18050626922167012</v>
      </c>
      <c r="J3228" s="203">
        <f>(J3227/J3229)-1</f>
        <v>0.21440155692507301</v>
      </c>
      <c r="K3228" s="211"/>
      <c r="L3228" s="188"/>
      <c r="M3228" s="194"/>
      <c r="N3228" s="178"/>
      <c r="O3228" s="178"/>
      <c r="P3228" s="178"/>
      <c r="Q3228" s="178"/>
      <c r="R3228" s="178"/>
      <c r="S3228" s="178"/>
      <c r="T3228" s="180"/>
      <c r="U3228" s="189" t="str">
        <f>IFERROR(IF(Tableau3[[#This Row],[Dettes]]=0,"",(Tableau3[[#This Row],[Dettes]]/Tableau3[[#This Row],[EBE]])),"")</f>
        <v/>
      </c>
      <c r="V3228" s="190" t="str">
        <f>IFERROR(Tableau3[[#This Row],[Fonds propres]]/Tableau3[[#This Row],[Total Bilan]],"")</f>
        <v/>
      </c>
      <c r="W3228" s="180"/>
      <c r="Y3228" s="180"/>
      <c r="Z3228" s="192" t="str">
        <f>IFERROR(Tableau3[[#This Row],[Chiffre d''affaires]]/Tableau3[[#This Row],[Salariés]],"")</f>
        <v/>
      </c>
      <c r="AA3228" s="177"/>
      <c r="AB3228" s="192"/>
      <c r="AC3228" s="177" t="s">
        <v>4605</v>
      </c>
    </row>
    <row r="3229" spans="1:29" ht="20.25" customHeight="1">
      <c r="A3229" s="217"/>
      <c r="E3229" s="187">
        <v>148.30000000000001</v>
      </c>
      <c r="F3229" s="178">
        <v>2023</v>
      </c>
      <c r="G3229" s="188">
        <v>3480200000</v>
      </c>
      <c r="H3229" s="259"/>
      <c r="I3229" s="188">
        <v>422700000</v>
      </c>
      <c r="J3229" s="188">
        <v>308300000</v>
      </c>
      <c r="K3229" s="211">
        <v>-194700000</v>
      </c>
      <c r="L3229" s="188">
        <v>1604800000</v>
      </c>
      <c r="M3229" s="194">
        <f t="shared" ref="M3229" si="222">L3229/P3229</f>
        <v>82.994294297415905</v>
      </c>
      <c r="N3229" s="190">
        <f t="shared" ref="N3229" si="223">J3229/L3229</f>
        <v>0.1921111665004985</v>
      </c>
      <c r="O3229" s="190">
        <f t="shared" ref="O3229" si="224">(I3229*0.7)/(K3229+L3229)</f>
        <v>0.2098361818310758</v>
      </c>
      <c r="P3229" s="188">
        <v>19336269</v>
      </c>
      <c r="Q3229" s="211">
        <f t="shared" ref="Q3229" si="225">P3229*E3229</f>
        <v>2867568692.7000003</v>
      </c>
      <c r="R3229" s="195">
        <f t="shared" ref="R3229" si="226">Q3229/L3229</f>
        <v>1.7868698234670988</v>
      </c>
      <c r="S3229" s="197" t="e">
        <f t="shared" ref="S3229" si="227">(Q3229+K3229)/H3229</f>
        <v>#DIV/0!</v>
      </c>
      <c r="T3229" s="268"/>
      <c r="U3229" s="189" t="str">
        <f>IFERROR(IF(Tableau3[[#This Row],[Dettes]]=0,"",(Tableau3[[#This Row],[Dettes]]/Tableau3[[#This Row],[EBE]])),"")</f>
        <v/>
      </c>
      <c r="V3229" s="190">
        <f>IFERROR(Tableau3[[#This Row],[Fonds propres]]/Tableau3[[#This Row],[Total Bilan]],"")</f>
        <v>0.63465949537293365</v>
      </c>
      <c r="W3229" s="180">
        <v>2528600000</v>
      </c>
      <c r="Y3229" s="180">
        <v>10477</v>
      </c>
      <c r="Z3229" s="192">
        <f>IFERROR(Tableau3[[#This Row],[Chiffre d''affaires]]/Tableau3[[#This Row],[Salariés]],"")</f>
        <v>332175.2410041042</v>
      </c>
      <c r="AA3229" s="177"/>
      <c r="AB3229" s="292">
        <v>67200</v>
      </c>
      <c r="AC3229" s="177" t="s">
        <v>4584</v>
      </c>
    </row>
    <row r="3230" spans="1:29" ht="20.25" customHeight="1">
      <c r="A3230" s="217"/>
      <c r="E3230" s="187"/>
      <c r="G3230" s="202">
        <f t="shared" ref="G3230:J3234" si="228">(G3229/G3231)-1</f>
        <v>9.5366989802341706E-2</v>
      </c>
      <c r="H3230" s="202"/>
      <c r="I3230" s="202"/>
      <c r="J3230" s="202"/>
      <c r="K3230" s="211"/>
      <c r="L3230" s="188"/>
      <c r="M3230" s="194"/>
      <c r="N3230" s="178"/>
      <c r="O3230" s="178"/>
      <c r="P3230" s="178"/>
      <c r="Q3230" s="178"/>
      <c r="R3230" s="178"/>
      <c r="S3230" s="178"/>
      <c r="T3230" s="180"/>
      <c r="U3230" s="189" t="str">
        <f>IFERROR(IF(Tableau3[[#This Row],[Dettes]]=0,"",(Tableau3[[#This Row],[Dettes]]/Tableau3[[#This Row],[EBE]])),"")</f>
        <v/>
      </c>
      <c r="V3230" s="190" t="str">
        <f>IFERROR(Tableau3[[#This Row],[Fonds propres]]/Tableau3[[#This Row],[Total Bilan]],"")</f>
        <v/>
      </c>
      <c r="W3230" s="180"/>
      <c r="Y3230" s="180"/>
      <c r="Z3230" s="192" t="str">
        <f>IFERROR(Tableau3[[#This Row],[Chiffre d''affaires]]/Tableau3[[#This Row],[Salariés]],"")</f>
        <v/>
      </c>
      <c r="AA3230" s="177"/>
      <c r="AB3230" s="272">
        <f t="shared" ref="AB3230" si="229">(AB3229/AB3231)-1</f>
        <v>3.863987635239563E-2</v>
      </c>
      <c r="AC3230" s="177" t="s">
        <v>2282</v>
      </c>
    </row>
    <row r="3231" spans="1:29" ht="20.25" customHeight="1">
      <c r="A3231" s="217"/>
      <c r="E3231" s="187">
        <v>126.9</v>
      </c>
      <c r="F3231" s="178">
        <v>2022</v>
      </c>
      <c r="G3231" s="188">
        <v>3177200000</v>
      </c>
      <c r="H3231" s="259"/>
      <c r="I3231" s="188">
        <v>341200000</v>
      </c>
      <c r="J3231" s="188">
        <v>278400000</v>
      </c>
      <c r="K3231" s="211">
        <v>-125700000</v>
      </c>
      <c r="L3231" s="188">
        <v>1340700000</v>
      </c>
      <c r="M3231" s="194">
        <f t="shared" ref="M3231" si="230">L3231/P3231</f>
        <v>69.336023407618086</v>
      </c>
      <c r="N3231" s="190">
        <f t="shared" ref="N3231" si="231">J3231/L3231</f>
        <v>0.20765271872902216</v>
      </c>
      <c r="O3231" s="190">
        <f t="shared" ref="O3231" si="232">(I3231*0.7)/(K3231+L3231)</f>
        <v>0.19657613168724278</v>
      </c>
      <c r="P3231" s="188">
        <v>19336269</v>
      </c>
      <c r="Q3231" s="211">
        <f t="shared" ref="Q3231" si="233">P3231*E3231</f>
        <v>2453772536.0999999</v>
      </c>
      <c r="R3231" s="195">
        <f t="shared" ref="R3231" si="234">Q3231/L3231</f>
        <v>1.8302174506601028</v>
      </c>
      <c r="S3231" s="197" t="e">
        <f t="shared" ref="S3231" si="235">(Q3231+K3231)/H3231</f>
        <v>#DIV/0!</v>
      </c>
      <c r="T3231" s="268"/>
      <c r="U3231" s="189" t="str">
        <f>IFERROR(IF(Tableau3[[#This Row],[Dettes]]=0,"",(Tableau3[[#This Row],[Dettes]]/Tableau3[[#This Row],[EBE]])),"")</f>
        <v/>
      </c>
      <c r="V3231" s="190">
        <f>IFERROR(Tableau3[[#This Row],[Fonds propres]]/Tableau3[[#This Row],[Total Bilan]],"")</f>
        <v>0.57456929802005652</v>
      </c>
      <c r="W3231" s="180">
        <v>2333400000</v>
      </c>
      <c r="Y3231" s="180">
        <v>10438</v>
      </c>
      <c r="Z3231" s="192">
        <f>IFERROR(Tableau3[[#This Row],[Chiffre d''affaires]]/Tableau3[[#This Row],[Salariés]],"")</f>
        <v>304387.81375742477</v>
      </c>
      <c r="AA3231" s="177"/>
      <c r="AB3231" s="292">
        <v>64700</v>
      </c>
      <c r="AC3231" s="177" t="s">
        <v>4591</v>
      </c>
    </row>
    <row r="3232" spans="1:29" ht="20.25" customHeight="1">
      <c r="A3232" s="217"/>
      <c r="E3232" s="187"/>
      <c r="G3232" s="202">
        <f t="shared" si="228"/>
        <v>8.2964073897334512E-2</v>
      </c>
      <c r="H3232" s="202"/>
      <c r="I3232" s="202">
        <f t="shared" si="228"/>
        <v>-4.6927374301675928E-2</v>
      </c>
      <c r="J3232" s="202">
        <f t="shared" si="228"/>
        <v>0.25011225864391551</v>
      </c>
      <c r="K3232" s="211"/>
      <c r="L3232" s="188"/>
      <c r="M3232" s="194"/>
      <c r="N3232" s="178"/>
      <c r="O3232" s="178"/>
      <c r="P3232" s="178"/>
      <c r="Q3232" s="178"/>
      <c r="R3232" s="178"/>
      <c r="S3232" s="178"/>
      <c r="T3232" s="180"/>
      <c r="U3232" s="189" t="str">
        <f>IFERROR(IF(Tableau3[[#This Row],[Dettes]]=0,"",(Tableau3[[#This Row],[Dettes]]/Tableau3[[#This Row],[EBE]])),"")</f>
        <v/>
      </c>
      <c r="V3232" s="190" t="str">
        <f>IFERROR(Tableau3[[#This Row],[Fonds propres]]/Tableau3[[#This Row],[Total Bilan]],"")</f>
        <v/>
      </c>
      <c r="W3232" s="180"/>
      <c r="Y3232" s="180"/>
      <c r="Z3232" s="192" t="str">
        <f>IFERROR(Tableau3[[#This Row],[Chiffre d''affaires]]/Tableau3[[#This Row],[Salariés]],"")</f>
        <v/>
      </c>
      <c r="AA3232" s="177"/>
      <c r="AB3232" s="272">
        <f t="shared" ref="AB3232" si="236">(AB3231/AB3233)-1</f>
        <v>-9.0921864242458295E-2</v>
      </c>
      <c r="AC3232" s="177" t="s">
        <v>4590</v>
      </c>
    </row>
    <row r="3233" spans="1:29" ht="20.25" customHeight="1">
      <c r="A3233" s="217"/>
      <c r="E3233" s="187">
        <v>172.5</v>
      </c>
      <c r="F3233" s="178">
        <v>2021</v>
      </c>
      <c r="G3233" s="188">
        <v>2933800000</v>
      </c>
      <c r="H3233" s="188"/>
      <c r="I3233" s="188">
        <v>358000000</v>
      </c>
      <c r="J3233" s="188">
        <v>222700000</v>
      </c>
      <c r="K3233" s="188">
        <v>-500000000</v>
      </c>
      <c r="L3233" s="188">
        <v>1176400000</v>
      </c>
      <c r="M3233" s="194">
        <f>L3233/P3233</f>
        <v>60.839037768868444</v>
      </c>
      <c r="N3233" s="190">
        <f>J3233/L3233</f>
        <v>0.18930635838150289</v>
      </c>
      <c r="O3233" s="190">
        <f>(I3233*0.7)/(K3233+L3233)</f>
        <v>0.37049083382613834</v>
      </c>
      <c r="P3233" s="188">
        <v>19336269</v>
      </c>
      <c r="Q3233" s="188">
        <f>P3233*E3233</f>
        <v>3335506402.5</v>
      </c>
      <c r="R3233" s="195">
        <f>Q3233/L3233</f>
        <v>2.8353505631587894</v>
      </c>
      <c r="S3233" s="197" t="e">
        <f>(Q3233+K3233)/H3233</f>
        <v>#DIV/0!</v>
      </c>
      <c r="T3233" s="268"/>
      <c r="U3233" s="189" t="str">
        <f>IFERROR(IF(Tableau3[[#This Row],[Dettes]]=0,"",(Tableau3[[#This Row],[Dettes]]/Tableau3[[#This Row],[EBE]])),"")</f>
        <v/>
      </c>
      <c r="V3233" s="190">
        <f>IFERROR(Tableau3[[#This Row],[Fonds propres]]/Tableau3[[#This Row],[Total Bilan]],"")</f>
        <v>0.53601859024012388</v>
      </c>
      <c r="W3233" s="180">
        <v>2194700000</v>
      </c>
      <c r="Y3233" s="180">
        <v>8595</v>
      </c>
      <c r="Z3233" s="192">
        <f>IFERROR(Tableau3[[#This Row],[Chiffre d''affaires]]/Tableau3[[#This Row],[Salariés]],"")</f>
        <v>341337.98720186157</v>
      </c>
      <c r="AA3233" s="177"/>
      <c r="AB3233" s="292">
        <v>71171</v>
      </c>
      <c r="AC3233" s="177" t="s">
        <v>4586</v>
      </c>
    </row>
    <row r="3234" spans="1:29" ht="20.25" customHeight="1">
      <c r="A3234" s="217"/>
      <c r="G3234" s="202">
        <f t="shared" si="228"/>
        <v>0.34331501831501821</v>
      </c>
      <c r="H3234" s="202"/>
      <c r="I3234" s="202">
        <f t="shared" si="228"/>
        <v>0.98228128460686603</v>
      </c>
      <c r="J3234" s="202">
        <f t="shared" si="228"/>
        <v>0.59527220630372502</v>
      </c>
      <c r="K3234" s="202"/>
      <c r="L3234" s="202"/>
      <c r="M3234" s="178"/>
      <c r="N3234" s="178"/>
      <c r="O3234" s="178"/>
      <c r="P3234" s="178"/>
      <c r="Q3234" s="178"/>
      <c r="R3234" s="178"/>
      <c r="S3234" s="178"/>
      <c r="T3234" s="180"/>
      <c r="U3234" s="189"/>
      <c r="V3234" s="190" t="str">
        <f>IFERROR(Tableau3[[#This Row],[Fonds propres]]/Tableau3[[#This Row],[Total Bilan]],"")</f>
        <v/>
      </c>
      <c r="W3234" s="180"/>
      <c r="Y3234" s="180"/>
      <c r="Z3234" s="192" t="str">
        <f>IFERROR(Tableau3[[#This Row],[Chiffre d''affaires]]/Tableau3[[#This Row],[Salariés]],"")</f>
        <v/>
      </c>
      <c r="AA3234" s="177"/>
      <c r="AB3234" s="272">
        <f t="shared" ref="AB3234" si="237">(AB3233/AB3235)-1</f>
        <v>0.28844273869437709</v>
      </c>
      <c r="AC3234" s="177" t="s">
        <v>4589</v>
      </c>
    </row>
    <row r="3235" spans="1:29" ht="20.25" customHeight="1">
      <c r="A3235" s="217"/>
      <c r="E3235" s="187">
        <v>144.80000000000001</v>
      </c>
      <c r="F3235" s="178">
        <v>2020</v>
      </c>
      <c r="G3235" s="188">
        <v>2184000000</v>
      </c>
      <c r="H3235" s="188">
        <v>213532000</v>
      </c>
      <c r="I3235" s="188">
        <v>180600000</v>
      </c>
      <c r="J3235" s="188">
        <v>139600000</v>
      </c>
      <c r="K3235" s="188">
        <v>-119968000</v>
      </c>
      <c r="L3235" s="188">
        <v>993500000</v>
      </c>
      <c r="M3235" s="194">
        <f>L3235/P3235</f>
        <v>51.380129227618831</v>
      </c>
      <c r="N3235" s="190">
        <f>J3235/L3235</f>
        <v>0.1405133366884751</v>
      </c>
      <c r="O3235" s="190">
        <f>(I3235*0.7)/(K3235+L3235)</f>
        <v>0.14472280351492559</v>
      </c>
      <c r="P3235" s="188">
        <v>19336269</v>
      </c>
      <c r="Q3235" s="188">
        <f>P3235*E3235</f>
        <v>2799891751.2000003</v>
      </c>
      <c r="R3235" s="195">
        <f>Q3235/L3235</f>
        <v>2.818210116960242</v>
      </c>
      <c r="S3235" s="197">
        <f>(Q3235+K3235)/H3235</f>
        <v>12.550454972556809</v>
      </c>
      <c r="T3235" s="268"/>
      <c r="U3235" s="189">
        <f>IFERROR(IF(Tableau3[[#This Row],[Dettes]]=0,"",(Tableau3[[#This Row],[Dettes]]/Tableau3[[#This Row],[EBE]])),"")</f>
        <v>-0.56182679879362341</v>
      </c>
      <c r="V3235" s="190" t="str">
        <f>IFERROR(Tableau3[[#This Row],[Fonds propres]]/Tableau3[[#This Row],[Total Bilan]],"")</f>
        <v/>
      </c>
      <c r="W3235" s="180"/>
      <c r="Y3235" s="180">
        <v>8771</v>
      </c>
      <c r="Z3235" s="192">
        <f>IFERROR(Tableau3[[#This Row],[Chiffre d''affaires]]/Tableau3[[#This Row],[Salariés]],"")</f>
        <v>249002.3942537909</v>
      </c>
      <c r="AA3235" s="177"/>
      <c r="AB3235" s="292">
        <v>55238</v>
      </c>
      <c r="AC3235" s="216" t="s">
        <v>4544</v>
      </c>
    </row>
    <row r="3236" spans="1:29" ht="20.25" customHeight="1">
      <c r="A3236" s="217"/>
      <c r="E3236" s="187"/>
      <c r="G3236" s="202">
        <f t="shared" ref="G3236:J3236" si="238">(G3235/G3237)-1</f>
        <v>-6.189596666809849E-2</v>
      </c>
      <c r="H3236" s="202">
        <f t="shared" si="238"/>
        <v>-9.7539843878771459E-2</v>
      </c>
      <c r="I3236" s="202">
        <f t="shared" si="238"/>
        <v>-0.14163498098859317</v>
      </c>
      <c r="J3236" s="202">
        <f t="shared" si="238"/>
        <v>-0.16656716417910444</v>
      </c>
      <c r="K3236" s="202"/>
      <c r="L3236" s="202"/>
      <c r="M3236" s="194"/>
      <c r="N3236" s="178"/>
      <c r="O3236" s="178"/>
      <c r="P3236" s="188"/>
      <c r="Q3236" s="178"/>
      <c r="R3236" s="178"/>
      <c r="S3236" s="178"/>
      <c r="T3236" s="180"/>
      <c r="U3236" s="189"/>
      <c r="V3236" s="190" t="str">
        <f>IFERROR(Tableau3[[#This Row],[Fonds propres]]/Tableau3[[#This Row],[Total Bilan]],"")</f>
        <v/>
      </c>
      <c r="W3236" s="180"/>
      <c r="Y3236" s="180"/>
      <c r="Z3236" s="192" t="str">
        <f>IFERROR(Tableau3[[#This Row],[Chiffre d''affaires]]/Tableau3[[#This Row],[Salariés]],"")</f>
        <v/>
      </c>
      <c r="AA3236" s="177"/>
      <c r="AB3236" s="272">
        <f t="shared" ref="AB3236" si="239">(AB3235/AB3237)-1</f>
        <v>-0.10407915010948021</v>
      </c>
      <c r="AC3236" s="216" t="s">
        <v>4553</v>
      </c>
    </row>
    <row r="3237" spans="1:29" ht="20.25" customHeight="1">
      <c r="A3237" s="217"/>
      <c r="E3237" s="187">
        <v>94.2</v>
      </c>
      <c r="F3237" s="178">
        <v>2019</v>
      </c>
      <c r="G3237" s="188">
        <v>2328100000</v>
      </c>
      <c r="H3237" s="188">
        <v>236611000</v>
      </c>
      <c r="I3237" s="188">
        <v>210400000</v>
      </c>
      <c r="J3237" s="188">
        <v>167500000</v>
      </c>
      <c r="K3237" s="188">
        <v>14072000</v>
      </c>
      <c r="L3237" s="188">
        <v>893400000</v>
      </c>
      <c r="M3237" s="194">
        <f>L3237/P3237</f>
        <v>46.20332909104647</v>
      </c>
      <c r="N3237" s="190">
        <f>J3237/L3237</f>
        <v>0.18748600850682784</v>
      </c>
      <c r="O3237" s="190">
        <f>(I3237*0.7)/(K3237+L3237)</f>
        <v>0.1622970185305993</v>
      </c>
      <c r="P3237" s="188">
        <v>19336269</v>
      </c>
      <c r="Q3237" s="188">
        <f>P3237*E3237</f>
        <v>1821476539.8</v>
      </c>
      <c r="R3237" s="195">
        <f>Q3237/L3237</f>
        <v>2.0388141255876429</v>
      </c>
      <c r="S3237" s="197">
        <f>(Q3237+K3237)/H3237</f>
        <v>7.7576635904501483</v>
      </c>
      <c r="T3237" s="268"/>
      <c r="U3237" s="189">
        <f>IFERROR(IF(Tableau3[[#This Row],[Dettes]]=0,"",(Tableau3[[#This Row],[Dettes]]/Tableau3[[#This Row],[EBE]])),"")</f>
        <v>5.9473143683091659E-2</v>
      </c>
      <c r="V3237" s="190" t="str">
        <f>IFERROR(Tableau3[[#This Row],[Fonds propres]]/Tableau3[[#This Row],[Total Bilan]],"")</f>
        <v/>
      </c>
      <c r="W3237" s="180"/>
      <c r="Y3237" s="180">
        <v>8956</v>
      </c>
      <c r="Z3237" s="192">
        <f>IFERROR(Tableau3[[#This Row],[Chiffre d''affaires]]/Tableau3[[#This Row],[Salariés]],"")</f>
        <v>259948.63778472532</v>
      </c>
      <c r="AA3237" s="177"/>
      <c r="AB3237" s="292">
        <v>61655</v>
      </c>
      <c r="AC3237" s="177" t="s">
        <v>4554</v>
      </c>
    </row>
    <row r="3238" spans="1:29" ht="20.25" customHeight="1">
      <c r="A3238" s="217"/>
      <c r="E3238" s="187"/>
      <c r="G3238" s="202">
        <f t="shared" ref="G3238:J3238" si="240">(G3237/G3239)-1</f>
        <v>5.7890871387220599E-3</v>
      </c>
      <c r="H3238" s="202">
        <f t="shared" si="240"/>
        <v>-0.10268574982555145</v>
      </c>
      <c r="I3238" s="202">
        <f t="shared" si="240"/>
        <v>-8.481948673336237E-2</v>
      </c>
      <c r="J3238" s="202">
        <f t="shared" si="240"/>
        <v>-8.319649698960041E-2</v>
      </c>
      <c r="K3238" s="202"/>
      <c r="L3238" s="202"/>
      <c r="M3238" s="194"/>
      <c r="N3238" s="178"/>
      <c r="O3238" s="178"/>
      <c r="P3238" s="188"/>
      <c r="Q3238" s="178"/>
      <c r="R3238" s="178"/>
      <c r="S3238" s="178"/>
      <c r="T3238" s="180"/>
      <c r="U3238" s="189"/>
      <c r="V3238" s="190" t="str">
        <f>IFERROR(Tableau3[[#This Row],[Fonds propres]]/Tableau3[[#This Row],[Total Bilan]],"")</f>
        <v/>
      </c>
      <c r="W3238" s="180"/>
      <c r="Y3238" s="180"/>
      <c r="Z3238" s="192" t="str">
        <f>IFERROR(Tableau3[[#This Row],[Chiffre d''affaires]]/Tableau3[[#This Row],[Salariés]],"")</f>
        <v/>
      </c>
      <c r="AA3238" s="177"/>
      <c r="AB3238" s="272">
        <f t="shared" ref="AB3238" si="241">(AB3237/AB3239)-1</f>
        <v>1.1434102168706328E-2</v>
      </c>
      <c r="AC3238" s="177" t="s">
        <v>2281</v>
      </c>
    </row>
    <row r="3239" spans="1:29" ht="20.25" customHeight="1">
      <c r="A3239" s="217"/>
      <c r="E3239" s="187">
        <v>80.650000000000006</v>
      </c>
      <c r="F3239" s="178">
        <v>2018</v>
      </c>
      <c r="G3239" s="188">
        <v>2314700000</v>
      </c>
      <c r="H3239" s="188">
        <v>263688000</v>
      </c>
      <c r="I3239" s="188">
        <v>229900000</v>
      </c>
      <c r="J3239" s="188">
        <v>182700000</v>
      </c>
      <c r="K3239" s="188">
        <v>73964000</v>
      </c>
      <c r="L3239" s="188">
        <v>771300000</v>
      </c>
      <c r="M3239" s="194">
        <f>L3239/P3239</f>
        <v>39.888770682699956</v>
      </c>
      <c r="N3239" s="190">
        <f>J3239/L3239</f>
        <v>0.23687281213535588</v>
      </c>
      <c r="O3239" s="190">
        <f>(I3239*0.7)/(K3239+L3239)</f>
        <v>0.19039022127997879</v>
      </c>
      <c r="P3239" s="188">
        <v>19336269</v>
      </c>
      <c r="Q3239" s="188">
        <f>P3239*E3239</f>
        <v>1559470094.8500001</v>
      </c>
      <c r="R3239" s="195">
        <f>Q3239/L3239</f>
        <v>2.0218722868533647</v>
      </c>
      <c r="S3239" s="197">
        <f>(Q3239+K3239)/H3239</f>
        <v>6.1945712161721431</v>
      </c>
      <c r="T3239" s="268"/>
      <c r="U3239" s="189">
        <f>IFERROR(IF(Tableau3[[#This Row],[Dettes]]=0,"",(Tableau3[[#This Row],[Dettes]]/Tableau3[[#This Row],[EBE]])),"")</f>
        <v>0.28049816449743636</v>
      </c>
      <c r="V3239" s="190" t="str">
        <f>IFERROR(Tableau3[[#This Row],[Fonds propres]]/Tableau3[[#This Row],[Total Bilan]],"")</f>
        <v/>
      </c>
      <c r="W3239" s="180"/>
      <c r="Y3239" s="180">
        <v>8911</v>
      </c>
      <c r="Z3239" s="192">
        <f>IFERROR(Tableau3[[#This Row],[Chiffre d''affaires]]/Tableau3[[#This Row],[Salariés]],"")</f>
        <v>259757.60296263045</v>
      </c>
      <c r="AA3239" s="177"/>
      <c r="AB3239" s="292">
        <v>60958</v>
      </c>
      <c r="AC3239" s="177" t="s">
        <v>4604</v>
      </c>
    </row>
    <row r="3240" spans="1:29" ht="20.25" customHeight="1">
      <c r="A3240" s="217"/>
      <c r="E3240" s="187"/>
      <c r="G3240" s="202">
        <f t="shared" ref="G3240:J3240" si="242">(G3239/G3241)-1</f>
        <v>0.35600468658465134</v>
      </c>
      <c r="H3240" s="202">
        <f t="shared" si="242"/>
        <v>0.56761191367932939</v>
      </c>
      <c r="I3240" s="202">
        <f t="shared" si="242"/>
        <v>0.54814814814814805</v>
      </c>
      <c r="J3240" s="202">
        <f t="shared" si="242"/>
        <v>0.43971631205673756</v>
      </c>
      <c r="K3240" s="202"/>
      <c r="L3240" s="202"/>
      <c r="M3240" s="194"/>
      <c r="N3240" s="178"/>
      <c r="O3240" s="178"/>
      <c r="P3240" s="188"/>
      <c r="Q3240" s="178"/>
      <c r="R3240" s="178"/>
      <c r="S3240" s="178"/>
      <c r="T3240" s="180"/>
      <c r="U3240" s="189"/>
      <c r="V3240" s="190" t="str">
        <f>IFERROR(Tableau3[[#This Row],[Fonds propres]]/Tableau3[[#This Row],[Total Bilan]],"")</f>
        <v/>
      </c>
      <c r="W3240" s="180"/>
      <c r="Y3240" s="180"/>
      <c r="Z3240" s="192" t="str">
        <f>IFERROR(Tableau3[[#This Row],[Chiffre d''affaires]]/Tableau3[[#This Row],[Salariés]],"")</f>
        <v/>
      </c>
      <c r="AA3240" s="177"/>
      <c r="AB3240" s="272">
        <f t="shared" ref="AB3240" si="243">(AB3239/AB3241)-1</f>
        <v>0.43460968205031647</v>
      </c>
      <c r="AC3240" s="177" t="s">
        <v>4592</v>
      </c>
    </row>
    <row r="3241" spans="1:29" ht="20.25" customHeight="1">
      <c r="A3241" s="217"/>
      <c r="E3241" s="187">
        <v>146.9</v>
      </c>
      <c r="F3241" s="178">
        <v>2017</v>
      </c>
      <c r="G3241" s="188">
        <v>1707000000</v>
      </c>
      <c r="H3241" s="188">
        <v>168210000</v>
      </c>
      <c r="I3241" s="188">
        <v>148500000</v>
      </c>
      <c r="J3241" s="188">
        <v>126900000</v>
      </c>
      <c r="K3241" s="188">
        <v>-82600000</v>
      </c>
      <c r="L3241" s="188">
        <v>591800000</v>
      </c>
      <c r="M3241" s="194">
        <f>L3241/P3241</f>
        <v>30.605697510724536</v>
      </c>
      <c r="N3241" s="190">
        <f>J3241/L3241</f>
        <v>0.21443055086177762</v>
      </c>
      <c r="O3241" s="190">
        <f>(I3241*0.7)/(K3241+L3241)</f>
        <v>0.20414375490966222</v>
      </c>
      <c r="P3241" s="188">
        <v>19336269</v>
      </c>
      <c r="Q3241" s="188">
        <f>P3241*E3241</f>
        <v>2840497916.0999999</v>
      </c>
      <c r="R3241" s="195">
        <f>Q3241/L3241</f>
        <v>4.7997599123014529</v>
      </c>
      <c r="S3241" s="197">
        <f>(Q3241+K3241)/H3241</f>
        <v>16.395564568693892</v>
      </c>
      <c r="T3241" s="268"/>
      <c r="U3241" s="189">
        <f>IFERROR(IF(Tableau3[[#This Row],[Dettes]]=0,"",(Tableau3[[#This Row],[Dettes]]/Tableau3[[#This Row],[EBE]])),"")</f>
        <v>-0.49105285060341242</v>
      </c>
      <c r="V3241" s="190" t="str">
        <f>IFERROR(Tableau3[[#This Row],[Fonds propres]]/Tableau3[[#This Row],[Total Bilan]],"")</f>
        <v/>
      </c>
      <c r="W3241" s="180"/>
      <c r="Y3241" s="180">
        <v>6034</v>
      </c>
      <c r="Z3241" s="192">
        <f>IFERROR(Tableau3[[#This Row],[Chiffre d''affaires]]/Tableau3[[#This Row],[Salariés]],"")</f>
        <v>282896.91746768315</v>
      </c>
      <c r="AA3241" s="177"/>
      <c r="AB3241" s="292">
        <v>42491</v>
      </c>
      <c r="AC3241" s="177" t="s">
        <v>4587</v>
      </c>
    </row>
    <row r="3242" spans="1:29" ht="20.25" customHeight="1">
      <c r="A3242" s="217"/>
      <c r="E3242" s="187"/>
      <c r="G3242" s="202">
        <f t="shared" ref="G3242:J3242" si="244">(G3241/G3243)-1</f>
        <v>0.29602915496165827</v>
      </c>
      <c r="H3242" s="202">
        <f t="shared" si="244"/>
        <v>0.49882382293188865</v>
      </c>
      <c r="I3242" s="202">
        <f t="shared" si="244"/>
        <v>0.48351648351648358</v>
      </c>
      <c r="J3242" s="202">
        <f t="shared" si="244"/>
        <v>0.4147157190635451</v>
      </c>
      <c r="K3242" s="202"/>
      <c r="L3242" s="202"/>
      <c r="M3242" s="194"/>
      <c r="N3242" s="178"/>
      <c r="O3242" s="178"/>
      <c r="P3242" s="188"/>
      <c r="Q3242" s="178"/>
      <c r="R3242" s="178"/>
      <c r="S3242" s="178"/>
      <c r="T3242" s="180"/>
      <c r="U3242" s="189"/>
      <c r="V3242" s="190" t="str">
        <f>IFERROR(Tableau3[[#This Row],[Fonds propres]]/Tableau3[[#This Row],[Total Bilan]],"")</f>
        <v/>
      </c>
      <c r="W3242" s="180"/>
      <c r="Y3242" s="180"/>
      <c r="Z3242" s="192" t="str">
        <f>IFERROR(Tableau3[[#This Row],[Chiffre d''affaires]]/Tableau3[[#This Row],[Salariés]],"")</f>
        <v/>
      </c>
      <c r="AA3242" s="177"/>
      <c r="AB3242" s="272">
        <f t="shared" ref="AB3242" si="245">(AB3241/AB3243)-1</f>
        <v>0.32288293897882947</v>
      </c>
      <c r="AC3242" s="177" t="s">
        <v>2283</v>
      </c>
    </row>
    <row r="3243" spans="1:29" ht="20.25" customHeight="1">
      <c r="A3243" s="217"/>
      <c r="E3243" s="187">
        <v>74.33</v>
      </c>
      <c r="F3243" s="178">
        <v>2016</v>
      </c>
      <c r="G3243" s="188">
        <v>1317100000</v>
      </c>
      <c r="H3243" s="188">
        <v>112228000</v>
      </c>
      <c r="I3243" s="188">
        <v>100100000</v>
      </c>
      <c r="J3243" s="188">
        <v>89700000</v>
      </c>
      <c r="K3243" s="188">
        <v>-58200000</v>
      </c>
      <c r="L3243" s="188">
        <v>490000000</v>
      </c>
      <c r="M3243" s="194">
        <f>L3243/P3243</f>
        <v>25.340979689515077</v>
      </c>
      <c r="N3243" s="190">
        <f>J3243/L3243</f>
        <v>0.18306122448979592</v>
      </c>
      <c r="O3243" s="190">
        <f>(I3243*0.7)/(K3243+L3243)</f>
        <v>0.16227420101899026</v>
      </c>
      <c r="P3243" s="188">
        <v>19336269</v>
      </c>
      <c r="Q3243" s="188">
        <f>P3243*E3243</f>
        <v>1437264874.77</v>
      </c>
      <c r="R3243" s="195">
        <f>Q3243/L3243</f>
        <v>2.933193621979592</v>
      </c>
      <c r="S3243" s="197">
        <f>(Q3243+K3243)/H3243</f>
        <v>12.288064251078163</v>
      </c>
      <c r="T3243" s="268"/>
      <c r="U3243" s="189">
        <f>IFERROR(IF(Tableau3[[#This Row],[Dettes]]=0,"",(Tableau3[[#This Row],[Dettes]]/Tableau3[[#This Row],[EBE]])),"")</f>
        <v>-0.51858716184909293</v>
      </c>
      <c r="V3243" s="190" t="str">
        <f>IFERROR(Tableau3[[#This Row],[Fonds propres]]/Tableau3[[#This Row],[Total Bilan]],"")</f>
        <v/>
      </c>
      <c r="W3243" s="180"/>
      <c r="Y3243" s="180">
        <v>5053</v>
      </c>
      <c r="Z3243" s="192">
        <f>IFERROR(Tableau3[[#This Row],[Chiffre d''affaires]]/Tableau3[[#This Row],[Salariés]],"")</f>
        <v>260657.0354245003</v>
      </c>
      <c r="AA3243" s="177"/>
      <c r="AB3243" s="292">
        <v>32120</v>
      </c>
      <c r="AC3243" s="177" t="s">
        <v>4588</v>
      </c>
    </row>
    <row r="3244" spans="1:29" ht="20.25" customHeight="1">
      <c r="A3244" s="217"/>
      <c r="E3244" s="187"/>
      <c r="G3244" s="202">
        <f t="shared" ref="G3244:J3244" si="246">(G3243/G3245)-1</f>
        <v>0.2244803093971961</v>
      </c>
      <c r="H3244" s="202">
        <f t="shared" si="246"/>
        <v>0.57909695937864947</v>
      </c>
      <c r="I3244" s="202">
        <f t="shared" si="246"/>
        <v>0.59159206906968986</v>
      </c>
      <c r="J3244" s="202">
        <f t="shared" si="246"/>
        <v>0.50589262330859897</v>
      </c>
      <c r="K3244" s="202"/>
      <c r="L3244" s="202"/>
      <c r="M3244" s="194"/>
      <c r="N3244" s="178"/>
      <c r="O3244" s="178"/>
      <c r="P3244" s="188"/>
      <c r="Q3244" s="178"/>
      <c r="R3244" s="178"/>
      <c r="S3244" s="178"/>
      <c r="T3244" s="180"/>
      <c r="U3244" s="189"/>
      <c r="V3244" s="190" t="str">
        <f>IFERROR(Tableau3[[#This Row],[Fonds propres]]/Tableau3[[#This Row],[Total Bilan]],"")</f>
        <v/>
      </c>
      <c r="W3244" s="180"/>
      <c r="Y3244" s="180"/>
      <c r="Z3244" s="192" t="str">
        <f>IFERROR(Tableau3[[#This Row],[Chiffre d''affaires]]/Tableau3[[#This Row],[Salariés]],"")</f>
        <v/>
      </c>
      <c r="AA3244" s="177"/>
      <c r="AB3244" s="272">
        <f t="shared" ref="AB3244" si="247">(AB3243/AB3245)-1</f>
        <v>0.25960784313725482</v>
      </c>
      <c r="AC3244" s="177" t="s">
        <v>4602</v>
      </c>
    </row>
    <row r="3245" spans="1:29" ht="20.25" customHeight="1">
      <c r="A3245" s="217"/>
      <c r="E3245" s="187">
        <v>55.51</v>
      </c>
      <c r="F3245" s="178">
        <v>2015</v>
      </c>
      <c r="G3245" s="188">
        <v>1075640000</v>
      </c>
      <c r="H3245" s="188">
        <v>71071000</v>
      </c>
      <c r="I3245" s="188">
        <v>62893000</v>
      </c>
      <c r="J3245" s="188">
        <v>59566000</v>
      </c>
      <c r="K3245" s="188">
        <v>-39700000</v>
      </c>
      <c r="L3245" s="188">
        <v>421179000</v>
      </c>
      <c r="M3245" s="194">
        <f>L3245/P3245</f>
        <v>21.781813233980145</v>
      </c>
      <c r="N3245" s="190">
        <f>J3245/L3245</f>
        <v>0.14142680428036536</v>
      </c>
      <c r="O3245" s="190">
        <f>(I3245*0.7)/(K3245+L3245)</f>
        <v>0.11540635264326476</v>
      </c>
      <c r="P3245" s="188">
        <v>19336269</v>
      </c>
      <c r="Q3245" s="188">
        <f>P3245*E3245</f>
        <v>1073356292.1899999</v>
      </c>
      <c r="R3245" s="195">
        <f>Q3245/L3245</f>
        <v>2.54845633849266</v>
      </c>
      <c r="S3245" s="197">
        <f>(Q3245+K3245)/H3245</f>
        <v>14.543995331288428</v>
      </c>
      <c r="T3245" s="268"/>
      <c r="U3245" s="189">
        <f>IFERROR(IF(Tableau3[[#This Row],[Dettes]]=0,"",(Tableau3[[#This Row],[Dettes]]/Tableau3[[#This Row],[EBE]])),"")</f>
        <v>-0.55859633324422053</v>
      </c>
      <c r="V3245" s="190" t="str">
        <f>IFERROR(Tableau3[[#This Row],[Fonds propres]]/Tableau3[[#This Row],[Total Bilan]],"")</f>
        <v/>
      </c>
      <c r="W3245" s="180"/>
      <c r="Y3245" s="180">
        <v>4504</v>
      </c>
      <c r="Z3245" s="192">
        <f>IFERROR(Tableau3[[#This Row],[Chiffre d''affaires]]/Tableau3[[#This Row],[Salariés]],"")</f>
        <v>238818.82770870338</v>
      </c>
      <c r="AA3245" s="177"/>
      <c r="AB3245" s="292">
        <v>25500</v>
      </c>
      <c r="AC3245" s="177" t="s">
        <v>2284</v>
      </c>
    </row>
    <row r="3246" spans="1:29" ht="20.25" customHeight="1">
      <c r="A3246" s="217"/>
      <c r="E3246" s="187"/>
      <c r="G3246" s="188"/>
      <c r="H3246" s="188"/>
      <c r="I3246" s="188"/>
      <c r="J3246" s="188"/>
      <c r="K3246" s="188"/>
      <c r="L3246" s="178"/>
      <c r="M3246" s="194"/>
      <c r="N3246" s="178"/>
      <c r="O3246" s="178"/>
      <c r="P3246" s="188"/>
      <c r="Q3246" s="178"/>
      <c r="R3246" s="178"/>
      <c r="S3246" s="178"/>
      <c r="T3246" s="180"/>
      <c r="U3246" s="189" t="str">
        <f>IFERROR(IF(Tableau3[[#This Row],[Dettes]]=0,"",(Tableau3[[#This Row],[Dettes]]/Tableau3[[#This Row],[EBE]])),"")</f>
        <v/>
      </c>
      <c r="V3246" s="190" t="str">
        <f>IFERROR(Tableau3[[#This Row],[Fonds propres]]/Tableau3[[#This Row],[Total Bilan]],"")</f>
        <v/>
      </c>
      <c r="W3246" s="180"/>
      <c r="Y3246" s="180"/>
      <c r="Z3246" s="192" t="str">
        <f>IFERROR(Tableau3[[#This Row],[Chiffre d''affaires]]/Tableau3[[#This Row],[Salariés]],"")</f>
        <v/>
      </c>
      <c r="AA3246" s="177"/>
      <c r="AB3246" s="272">
        <f t="shared" ref="AB3246" si="248">(AB3245/AB3247)-1</f>
        <v>0.18055555555555558</v>
      </c>
      <c r="AC3246" s="177" t="s">
        <v>126</v>
      </c>
    </row>
    <row r="3247" spans="1:29" ht="20.25" customHeight="1">
      <c r="A3247" s="217"/>
      <c r="E3247" s="187"/>
      <c r="F3247" s="178">
        <v>2014</v>
      </c>
      <c r="G3247" s="188"/>
      <c r="H3247" s="188"/>
      <c r="I3247" s="188"/>
      <c r="J3247" s="188"/>
      <c r="K3247" s="188"/>
      <c r="L3247" s="178"/>
      <c r="M3247" s="194"/>
      <c r="N3247" s="178"/>
      <c r="O3247" s="178"/>
      <c r="P3247" s="188"/>
      <c r="Q3247" s="178"/>
      <c r="R3247" s="178"/>
      <c r="S3247" s="178"/>
      <c r="T3247" s="180"/>
      <c r="U3247" s="189" t="str">
        <f>IFERROR(IF(Tableau3[[#This Row],[Dettes]]=0,"",(Tableau3[[#This Row],[Dettes]]/Tableau3[[#This Row],[EBE]])),"")</f>
        <v/>
      </c>
      <c r="V3247" s="190" t="str">
        <f>IFERROR(Tableau3[[#This Row],[Fonds propres]]/Tableau3[[#This Row],[Total Bilan]],"")</f>
        <v/>
      </c>
      <c r="W3247" s="180"/>
      <c r="Y3247" s="180"/>
      <c r="Z3247" s="192" t="str">
        <f>IFERROR(Tableau3[[#This Row],[Chiffre d''affaires]]/Tableau3[[#This Row],[Salariés]],"")</f>
        <v/>
      </c>
      <c r="AA3247" s="177"/>
      <c r="AB3247" s="292">
        <v>21600</v>
      </c>
      <c r="AC3247" s="177" t="s">
        <v>3046</v>
      </c>
    </row>
    <row r="3248" spans="1:29" ht="20.25" customHeight="1">
      <c r="A3248" s="217"/>
      <c r="E3248" s="187"/>
      <c r="G3248" s="188"/>
      <c r="H3248" s="188"/>
      <c r="I3248" s="188"/>
      <c r="J3248" s="188"/>
      <c r="K3248" s="188"/>
      <c r="L3248" s="178"/>
      <c r="M3248" s="194"/>
      <c r="N3248" s="178"/>
      <c r="O3248" s="178"/>
      <c r="P3248" s="188"/>
      <c r="Q3248" s="178"/>
      <c r="R3248" s="178"/>
      <c r="S3248" s="178"/>
      <c r="T3248" s="180"/>
      <c r="U3248" s="189" t="str">
        <f>IFERROR(IF(Tableau3[[#This Row],[Dettes]]=0,"",(Tableau3[[#This Row],[Dettes]]/Tableau3[[#This Row],[EBE]])),"")</f>
        <v/>
      </c>
      <c r="V3248" s="190" t="str">
        <f>IFERROR(Tableau3[[#This Row],[Fonds propres]]/Tableau3[[#This Row],[Total Bilan]],"")</f>
        <v/>
      </c>
      <c r="W3248" s="180"/>
      <c r="Y3248" s="180"/>
      <c r="Z3248" s="192" t="str">
        <f>IFERROR(Tableau3[[#This Row],[Chiffre d''affaires]]/Tableau3[[#This Row],[Salariés]],"")</f>
        <v/>
      </c>
      <c r="AA3248" s="177"/>
      <c r="AB3248" s="272">
        <f t="shared" ref="AB3248" si="249">(AB3247/AB3249)-1</f>
        <v>6.0903732809430178E-2</v>
      </c>
      <c r="AC3248" s="177" t="s">
        <v>2285</v>
      </c>
    </row>
    <row r="3249" spans="1:29" ht="20.25" customHeight="1">
      <c r="A3249" s="217"/>
      <c r="E3249" s="187"/>
      <c r="F3249" s="178">
        <v>2013</v>
      </c>
      <c r="G3249" s="188"/>
      <c r="H3249" s="188"/>
      <c r="I3249" s="188"/>
      <c r="J3249" s="188"/>
      <c r="K3249" s="188"/>
      <c r="L3249" s="178"/>
      <c r="M3249" s="194"/>
      <c r="N3249" s="178"/>
      <c r="O3249" s="178"/>
      <c r="P3249" s="188"/>
      <c r="Q3249" s="178"/>
      <c r="R3249" s="178"/>
      <c r="S3249" s="178"/>
      <c r="T3249" s="180"/>
      <c r="U3249" s="189" t="str">
        <f>IFERROR(IF(Tableau3[[#This Row],[Dettes]]=0,"",(Tableau3[[#This Row],[Dettes]]/Tableau3[[#This Row],[EBE]])),"")</f>
        <v/>
      </c>
      <c r="V3249" s="190" t="str">
        <f>IFERROR(Tableau3[[#This Row],[Fonds propres]]/Tableau3[[#This Row],[Total Bilan]],"")</f>
        <v/>
      </c>
      <c r="W3249" s="180"/>
      <c r="Y3249" s="180"/>
      <c r="Z3249" s="192" t="str">
        <f>IFERROR(Tableau3[[#This Row],[Chiffre d''affaires]]/Tableau3[[#This Row],[Salariés]],"")</f>
        <v/>
      </c>
      <c r="AA3249" s="177"/>
      <c r="AB3249" s="292">
        <v>20360</v>
      </c>
    </row>
    <row r="3250" spans="1:29" ht="20.25" customHeight="1">
      <c r="A3250" s="217"/>
      <c r="E3250" s="187"/>
      <c r="G3250" s="188"/>
      <c r="H3250" s="188"/>
      <c r="I3250" s="188"/>
      <c r="J3250" s="188"/>
      <c r="K3250" s="188"/>
      <c r="L3250" s="178"/>
      <c r="M3250" s="194"/>
      <c r="N3250" s="178"/>
      <c r="O3250" s="178"/>
      <c r="P3250" s="188"/>
      <c r="Q3250" s="178"/>
      <c r="R3250" s="178"/>
      <c r="S3250" s="178"/>
      <c r="T3250" s="180"/>
      <c r="U3250" s="189" t="str">
        <f>IFERROR(IF(Tableau3[[#This Row],[Dettes]]=0,"",(Tableau3[[#This Row],[Dettes]]/Tableau3[[#This Row],[EBE]])),"")</f>
        <v/>
      </c>
      <c r="V3250" s="190" t="str">
        <f>IFERROR(Tableau3[[#This Row],[Fonds propres]]/Tableau3[[#This Row],[Total Bilan]],"")</f>
        <v/>
      </c>
      <c r="W3250" s="180"/>
      <c r="Y3250" s="180"/>
      <c r="Z3250" s="192" t="str">
        <f>IFERROR(Tableau3[[#This Row],[Chiffre d''affaires]]/Tableau3[[#This Row],[Salariés]],"")</f>
        <v/>
      </c>
      <c r="AA3250" s="177"/>
      <c r="AB3250" s="291"/>
    </row>
    <row r="3251" spans="1:29" ht="20.25" customHeight="1">
      <c r="A3251" s="217"/>
      <c r="E3251" s="187"/>
      <c r="G3251" s="188"/>
      <c r="H3251" s="188"/>
      <c r="I3251" s="188"/>
      <c r="J3251" s="188"/>
      <c r="K3251" s="188"/>
      <c r="L3251" s="178"/>
      <c r="M3251" s="194"/>
      <c r="N3251" s="178"/>
      <c r="O3251" s="178"/>
      <c r="P3251" s="188"/>
      <c r="Q3251" s="178"/>
      <c r="R3251" s="178"/>
      <c r="S3251" s="178"/>
      <c r="T3251" s="180"/>
      <c r="U3251" s="189" t="str">
        <f>IFERROR(IF(Tableau3[[#This Row],[Dettes]]=0,"",(Tableau3[[#This Row],[Dettes]]/Tableau3[[#This Row],[EBE]])),"")</f>
        <v/>
      </c>
      <c r="V3251" s="190" t="str">
        <f>IFERROR(Tableau3[[#This Row],[Fonds propres]]/Tableau3[[#This Row],[Total Bilan]],"")</f>
        <v/>
      </c>
      <c r="W3251" s="180"/>
      <c r="Y3251" s="180"/>
      <c r="Z3251" s="192" t="str">
        <f>IFERROR(Tableau3[[#This Row],[Chiffre d''affaires]]/Tableau3[[#This Row],[Salariés]],"")</f>
        <v/>
      </c>
      <c r="AA3251" s="177"/>
    </row>
    <row r="3252" spans="1:29" ht="20.25" customHeight="1">
      <c r="A3252" s="217"/>
      <c r="E3252" s="187"/>
      <c r="G3252" s="188"/>
      <c r="H3252" s="188"/>
      <c r="I3252" s="188"/>
      <c r="J3252" s="188"/>
      <c r="K3252" s="188"/>
      <c r="L3252" s="178"/>
      <c r="M3252" s="194"/>
      <c r="N3252" s="178"/>
      <c r="O3252" s="178"/>
      <c r="P3252" s="188"/>
      <c r="Q3252" s="178"/>
      <c r="R3252" s="178"/>
      <c r="S3252" s="178"/>
      <c r="T3252" s="180"/>
      <c r="U3252" s="189" t="str">
        <f>IFERROR(IF(Tableau3[[#This Row],[Dettes]]=0,"",(Tableau3[[#This Row],[Dettes]]/Tableau3[[#This Row],[EBE]])),"")</f>
        <v/>
      </c>
      <c r="V3252" s="190" t="str">
        <f>IFERROR(Tableau3[[#This Row],[Fonds propres]]/Tableau3[[#This Row],[Total Bilan]],"")</f>
        <v/>
      </c>
      <c r="W3252" s="180"/>
      <c r="Y3252" s="180"/>
      <c r="Z3252" s="192" t="str">
        <f>IFERROR(Tableau3[[#This Row],[Chiffre d''affaires]]/Tableau3[[#This Row],[Salariés]],"")</f>
        <v/>
      </c>
      <c r="AA3252" s="177"/>
    </row>
    <row r="3253" spans="1:29" ht="20.25" customHeight="1">
      <c r="A3253" s="217" t="s">
        <v>2286</v>
      </c>
      <c r="B3253" s="216" t="s">
        <v>2287</v>
      </c>
      <c r="C3253" s="178" t="s">
        <v>84</v>
      </c>
      <c r="D3253" s="178" t="s">
        <v>85</v>
      </c>
      <c r="E3253" s="187">
        <v>105</v>
      </c>
      <c r="F3253" s="178">
        <v>2025</v>
      </c>
      <c r="G3253" s="188"/>
      <c r="H3253" s="188"/>
      <c r="I3253" s="188"/>
      <c r="J3253" s="188"/>
      <c r="K3253" s="188"/>
      <c r="L3253" s="178"/>
      <c r="M3253" s="194"/>
      <c r="N3253" s="178"/>
      <c r="O3253" s="178"/>
      <c r="P3253" s="180">
        <v>262245733</v>
      </c>
      <c r="Q3253" s="180">
        <f>P3253*E3253</f>
        <v>27535801965</v>
      </c>
      <c r="R3253" s="178"/>
      <c r="S3253" s="178"/>
      <c r="T3253" s="180"/>
      <c r="U3253" s="189" t="str">
        <f>IFERROR(IF(Tableau3[[#This Row],[Dettes]]=0,"",(Tableau3[[#This Row],[Dettes]]/Tableau3[[#This Row],[EBE]])),"")</f>
        <v/>
      </c>
      <c r="V3253" s="190" t="str">
        <f>IFERROR(Tableau3[[#This Row],[Fonds propres]]/Tableau3[[#This Row],[Total Bilan]],"")</f>
        <v/>
      </c>
      <c r="W3253" s="180"/>
      <c r="X3253" s="182" t="s">
        <v>1181</v>
      </c>
      <c r="Y3253" s="180"/>
      <c r="Z3253" s="192" t="str">
        <f>IFERROR(Tableau3[[#This Row],[Chiffre d''affaires]]/Tableau3[[#This Row],[Salariés]],"")</f>
        <v/>
      </c>
      <c r="AA3253" s="178" t="s">
        <v>2288</v>
      </c>
      <c r="AC3253" s="177" t="s">
        <v>2289</v>
      </c>
    </row>
    <row r="3254" spans="1:29" ht="20.25" customHeight="1">
      <c r="A3254" s="217"/>
      <c r="E3254" s="187"/>
      <c r="G3254" s="188"/>
      <c r="H3254" s="188"/>
      <c r="I3254" s="188"/>
      <c r="J3254" s="188"/>
      <c r="K3254" s="188"/>
      <c r="L3254" s="178"/>
      <c r="M3254" s="194"/>
      <c r="N3254" s="178"/>
      <c r="O3254" s="178"/>
      <c r="P3254" s="188"/>
      <c r="Q3254" s="178"/>
      <c r="R3254" s="178"/>
      <c r="S3254" s="178"/>
      <c r="T3254" s="180"/>
      <c r="U3254" s="189" t="str">
        <f>IFERROR(IF(Tableau3[[#This Row],[Dettes]]=0,"",(Tableau3[[#This Row],[Dettes]]/Tableau3[[#This Row],[EBE]])),"")</f>
        <v/>
      </c>
      <c r="V3254" s="190" t="str">
        <f>IFERROR(Tableau3[[#This Row],[Fonds propres]]/Tableau3[[#This Row],[Total Bilan]],"")</f>
        <v/>
      </c>
      <c r="W3254" s="180"/>
      <c r="Y3254" s="180"/>
      <c r="Z3254" s="192" t="str">
        <f>IFERROR(Tableau3[[#This Row],[Chiffre d''affaires]]/Tableau3[[#This Row],[Salariés]],"")</f>
        <v/>
      </c>
      <c r="AA3254" s="178" t="s">
        <v>2291</v>
      </c>
      <c r="AC3254" s="177" t="s">
        <v>2292</v>
      </c>
    </row>
    <row r="3255" spans="1:29" ht="20.25" customHeight="1">
      <c r="A3255" s="217"/>
      <c r="E3255" s="187">
        <v>94.04</v>
      </c>
      <c r="F3255" s="178">
        <v>2024</v>
      </c>
      <c r="G3255" s="188">
        <v>8648900000</v>
      </c>
      <c r="H3255" s="267">
        <v>2022400000</v>
      </c>
      <c r="I3255" s="267">
        <v>1642700000</v>
      </c>
      <c r="J3255" s="267">
        <v>1166400000</v>
      </c>
      <c r="K3255" s="267">
        <v>3005500000</v>
      </c>
      <c r="L3255" s="267">
        <v>7530400000</v>
      </c>
      <c r="M3255" s="268">
        <f>L3255/P3255</f>
        <v>28.715052534334276</v>
      </c>
      <c r="N3255" s="190">
        <f>J3255/L3257</f>
        <v>0.17350171805970815</v>
      </c>
      <c r="O3255" s="190">
        <f>(I3255*0.74)/(K3257+L3257)</f>
        <v>0.1392660907820269</v>
      </c>
      <c r="P3255" s="180">
        <v>262245733</v>
      </c>
      <c r="Q3255" s="180">
        <f>P3255*E3255</f>
        <v>24661588731.320004</v>
      </c>
      <c r="R3255" s="195">
        <f>Q3255/L3255</f>
        <v>3.274937417842346</v>
      </c>
      <c r="S3255" s="197">
        <f>(Q3255+K3255)/H3255</f>
        <v>13.680324728698578</v>
      </c>
      <c r="T3255" s="180">
        <v>1290500000</v>
      </c>
      <c r="U3255" s="189">
        <f>IFERROR(IF(Tableau3[[#This Row],[Dettes]]=0,"",(Tableau3[[#This Row],[Dettes]]/Tableau3[[#This Row],[EBE]])),"")</f>
        <v>1.4861056170886076</v>
      </c>
      <c r="V3255" s="190">
        <f>IFERROR(Tableau3[[#This Row],[Fonds propres]]/Tableau3[[#This Row],[Total Bilan]],"")</f>
        <v>0.46845412130637637</v>
      </c>
      <c r="W3255" s="180">
        <v>16075000000</v>
      </c>
      <c r="Y3255" s="180">
        <v>38306</v>
      </c>
      <c r="Z3255" s="192">
        <f>IFERROR(Tableau3[[#This Row],[Chiffre d''affaires]]/Tableau3[[#This Row],[Salariés]],"")</f>
        <v>225784.47240641151</v>
      </c>
      <c r="AA3255" s="178" t="s">
        <v>2293</v>
      </c>
      <c r="AC3255" s="177" t="s">
        <v>2294</v>
      </c>
    </row>
    <row r="3256" spans="1:29" ht="20.25" customHeight="1">
      <c r="A3256" s="217"/>
      <c r="E3256" s="187"/>
      <c r="G3256" s="202">
        <f t="shared" ref="G3256:J3266" si="250">(G3255/G3257)-1</f>
        <v>2.7563592296451223E-2</v>
      </c>
      <c r="H3256" s="202">
        <f>(H3255/H3257)-1</f>
        <v>3.0942549829229726E-2</v>
      </c>
      <c r="I3256" s="202">
        <f t="shared" si="250"/>
        <v>2.9157477947072907E-2</v>
      </c>
      <c r="J3256" s="202">
        <f t="shared" si="250"/>
        <v>1.5585546364823788E-2</v>
      </c>
      <c r="K3256" s="188"/>
      <c r="L3256" s="178"/>
      <c r="M3256" s="194"/>
      <c r="N3256" s="178"/>
      <c r="O3256" s="178"/>
      <c r="P3256" s="188"/>
      <c r="Q3256" s="178"/>
      <c r="R3256" s="178"/>
      <c r="S3256" s="178"/>
      <c r="T3256" s="180"/>
      <c r="U3256" s="189" t="str">
        <f>IFERROR(IF(Tableau3[[#This Row],[Dettes]]=0,"",(Tableau3[[#This Row],[Dettes]]/Tableau3[[#This Row],[EBE]])),"")</f>
        <v/>
      </c>
      <c r="V3256" s="190" t="str">
        <f>IFERROR(Tableau3[[#This Row],[Fonds propres]]/Tableau3[[#This Row],[Total Bilan]],"")</f>
        <v/>
      </c>
      <c r="W3256" s="180"/>
      <c r="Y3256" s="180"/>
      <c r="Z3256" s="192" t="str">
        <f>IFERROR(Tableau3[[#This Row],[Chiffre d''affaires]]/Tableau3[[#This Row],[Salariés]],"")</f>
        <v/>
      </c>
      <c r="AC3256" s="177" t="s">
        <v>2295</v>
      </c>
    </row>
    <row r="3257" spans="1:29" ht="20.25" customHeight="1">
      <c r="A3257" s="217"/>
      <c r="E3257" s="187">
        <v>94.1</v>
      </c>
      <c r="F3257" s="178">
        <v>2023</v>
      </c>
      <c r="G3257" s="188">
        <v>8416900000</v>
      </c>
      <c r="H3257" s="267">
        <v>1961700000</v>
      </c>
      <c r="I3257" s="267">
        <v>1596160000</v>
      </c>
      <c r="J3257" s="267">
        <v>1148500000</v>
      </c>
      <c r="K3257" s="267">
        <v>2005900000</v>
      </c>
      <c r="L3257" s="267">
        <v>6722700000</v>
      </c>
      <c r="M3257" s="268">
        <f>L3257/P3257</f>
        <v>25.461658303522963</v>
      </c>
      <c r="N3257" s="190">
        <f>J3257/L3259</f>
        <v>0.18126006123544081</v>
      </c>
      <c r="O3257" s="190">
        <f>(I3257*0.74)/(K3259+L3259)</f>
        <v>0.13646964217628912</v>
      </c>
      <c r="P3257" s="180">
        <v>264032292</v>
      </c>
      <c r="Q3257" s="180">
        <f>P3257*E3257</f>
        <v>24845438677.199997</v>
      </c>
      <c r="R3257" s="195">
        <f>Q3257/L3257</f>
        <v>3.6957529976348784</v>
      </c>
      <c r="S3257" s="197">
        <f>(Q3257+K3257)/H3257</f>
        <v>13.687790527195798</v>
      </c>
      <c r="T3257" s="180">
        <v>1584800000</v>
      </c>
      <c r="U3257" s="189">
        <f>IFERROR(IF(Tableau3[[#This Row],[Dettes]]=0,"",(Tableau3[[#This Row],[Dettes]]/Tableau3[[#This Row],[EBE]])),"")</f>
        <v>1.0225314777998675</v>
      </c>
      <c r="V3257" s="190">
        <f>IFERROR(Tableau3[[#This Row],[Fonds propres]]/Tableau3[[#This Row],[Total Bilan]],"")</f>
        <v>0.45296939641812767</v>
      </c>
      <c r="W3257" s="180">
        <v>14841400000</v>
      </c>
      <c r="Y3257" s="180">
        <v>37768</v>
      </c>
      <c r="Z3257" s="192">
        <f>IFERROR(Tableau3[[#This Row],[Chiffre d''affaires]]/Tableau3[[#This Row],[Salariés]],"")</f>
        <v>222857.97500529548</v>
      </c>
      <c r="AC3257" s="177" t="s">
        <v>2296</v>
      </c>
    </row>
    <row r="3258" spans="1:29" ht="20.25" customHeight="1">
      <c r="A3258" s="217"/>
      <c r="E3258" s="187"/>
      <c r="G3258" s="202">
        <f t="shared" si="250"/>
        <v>9.3416476795777914E-3</v>
      </c>
      <c r="H3258" s="202">
        <f>(H3257/H3259)-1</f>
        <v>5.5301522405723835E-2</v>
      </c>
      <c r="I3258" s="202">
        <f t="shared" si="250"/>
        <v>0.10308223911541115</v>
      </c>
      <c r="J3258" s="202">
        <f t="shared" si="250"/>
        <v>0.14850000000000008</v>
      </c>
      <c r="K3258" s="188"/>
      <c r="L3258" s="178"/>
      <c r="M3258" s="268"/>
      <c r="N3258" s="178"/>
      <c r="O3258" s="178"/>
      <c r="P3258" s="188"/>
      <c r="Q3258" s="178"/>
      <c r="R3258" s="178"/>
      <c r="S3258" s="178"/>
      <c r="T3258" s="180"/>
      <c r="U3258" s="189" t="str">
        <f>IFERROR(IF(Tableau3[[#This Row],[Dettes]]=0,"",(Tableau3[[#This Row],[Dettes]]/Tableau3[[#This Row],[EBE]])),"")</f>
        <v/>
      </c>
      <c r="V3258" s="190" t="str">
        <f>IFERROR(Tableau3[[#This Row],[Fonds propres]]/Tableau3[[#This Row],[Total Bilan]],"")</f>
        <v/>
      </c>
      <c r="W3258" s="180"/>
      <c r="Y3258" s="180"/>
      <c r="Z3258" s="192" t="str">
        <f>IFERROR(Tableau3[[#This Row],[Chiffre d''affaires]]/Tableau3[[#This Row],[Salariés]],"")</f>
        <v/>
      </c>
      <c r="AC3258" s="177" t="s">
        <v>4786</v>
      </c>
    </row>
    <row r="3259" spans="1:29" ht="20.25" customHeight="1">
      <c r="A3259" s="217"/>
      <c r="E3259" s="187">
        <v>74.819999999999993</v>
      </c>
      <c r="F3259" s="178">
        <v>2022</v>
      </c>
      <c r="G3259" s="213">
        <v>8339000000</v>
      </c>
      <c r="H3259" s="267">
        <v>1858900000</v>
      </c>
      <c r="I3259" s="267">
        <v>1447000000</v>
      </c>
      <c r="J3259" s="267">
        <v>1000000000</v>
      </c>
      <c r="K3259" s="267">
        <v>2318900000</v>
      </c>
      <c r="L3259" s="267">
        <v>6336200000</v>
      </c>
      <c r="M3259" s="268">
        <f>L3259/P3259</f>
        <v>23.74729602880312</v>
      </c>
      <c r="N3259" s="190">
        <f>J3259/L3261</f>
        <v>0.17493221376716522</v>
      </c>
      <c r="O3259" s="190">
        <f>(I3259*0.74)/(K3261+L3261)</f>
        <v>0.12993799070467316</v>
      </c>
      <c r="P3259" s="180">
        <v>266817746</v>
      </c>
      <c r="Q3259" s="180">
        <f>P3259*E3259</f>
        <v>19963303755.719997</v>
      </c>
      <c r="R3259" s="195">
        <f>Q3259/L3259</f>
        <v>3.150674498235535</v>
      </c>
      <c r="S3259" s="197">
        <f>(Q3259+K3259)/H3259</f>
        <v>11.986768387605572</v>
      </c>
      <c r="T3259" s="180">
        <v>1036000000</v>
      </c>
      <c r="U3259" s="189">
        <f>IFERROR(IF(Tableau3[[#This Row],[Dettes]]=0,"",(Tableau3[[#This Row],[Dettes]]/Tableau3[[#This Row],[EBE]])),"")</f>
        <v>1.2474581741890365</v>
      </c>
      <c r="V3259" s="190">
        <f>IFERROR(Tableau3[[#This Row],[Fonds propres]]/Tableau3[[#This Row],[Total Bilan]],"")</f>
        <v>0.43940360610263524</v>
      </c>
      <c r="W3259" s="180">
        <v>14420000000</v>
      </c>
      <c r="Y3259" s="180">
        <v>37931</v>
      </c>
      <c r="Z3259" s="192">
        <f>IFERROR(Tableau3[[#This Row],[Chiffre d''affaires]]/Tableau3[[#This Row],[Salariés]],"")</f>
        <v>219846.5634968759</v>
      </c>
      <c r="AC3259" s="177" t="s">
        <v>2297</v>
      </c>
    </row>
    <row r="3260" spans="1:29" ht="20.25" customHeight="1">
      <c r="A3260" s="217"/>
      <c r="E3260" s="187"/>
      <c r="G3260" s="202">
        <f t="shared" si="250"/>
        <v>0.19227359812416012</v>
      </c>
      <c r="H3260" s="202">
        <f>(H3259/H3261)-1</f>
        <v>0.10979104477611945</v>
      </c>
      <c r="I3260" s="202">
        <f t="shared" si="250"/>
        <v>7.6556803809240348E-2</v>
      </c>
      <c r="J3260" s="202">
        <f t="shared" si="250"/>
        <v>0.10558319513543402</v>
      </c>
      <c r="K3260" s="180"/>
      <c r="M3260" s="268"/>
      <c r="N3260" s="178"/>
      <c r="O3260" s="178"/>
      <c r="P3260" s="180"/>
      <c r="R3260" s="178"/>
      <c r="S3260" s="178"/>
      <c r="T3260" s="180"/>
      <c r="U3260" s="189" t="str">
        <f>IFERROR(IF(Tableau3[[#This Row],[Dettes]]=0,"",(Tableau3[[#This Row],[Dettes]]/Tableau3[[#This Row],[EBE]])),"")</f>
        <v/>
      </c>
      <c r="V3260" s="190" t="str">
        <f>IFERROR(Tableau3[[#This Row],[Fonds propres]]/Tableau3[[#This Row],[Total Bilan]],"")</f>
        <v/>
      </c>
      <c r="W3260" s="180"/>
      <c r="X3260" s="269"/>
      <c r="Y3260" s="180"/>
      <c r="Z3260" s="192" t="str">
        <f>IFERROR(Tableau3[[#This Row],[Chiffre d''affaires]]/Tableau3[[#This Row],[Salariés]],"")</f>
        <v/>
      </c>
      <c r="AC3260" s="177" t="s">
        <v>4791</v>
      </c>
    </row>
    <row r="3261" spans="1:29" ht="20.25" customHeight="1">
      <c r="A3261" s="217"/>
      <c r="E3261" s="187">
        <v>102.9</v>
      </c>
      <c r="F3261" s="178">
        <v>2021</v>
      </c>
      <c r="G3261" s="180">
        <v>6994200000</v>
      </c>
      <c r="H3261" s="267">
        <v>1675000000</v>
      </c>
      <c r="I3261" s="267">
        <v>1344100000</v>
      </c>
      <c r="J3261" s="267">
        <v>904500000</v>
      </c>
      <c r="K3261" s="267">
        <v>2524200000</v>
      </c>
      <c r="L3261" s="267">
        <v>5716500000</v>
      </c>
      <c r="M3261" s="268">
        <f>L3261/P3261</f>
        <v>21.374268751548946</v>
      </c>
      <c r="N3261" s="190">
        <f>J3261/L3263</f>
        <v>0.18475019404387436</v>
      </c>
      <c r="O3261" s="190">
        <f>(I3261*0.74)/(K3263+L3263)</f>
        <v>0.13264262662363641</v>
      </c>
      <c r="P3261" s="180">
        <v>267447746</v>
      </c>
      <c r="Q3261" s="180">
        <f>P3261*E3261</f>
        <v>27520373063.400002</v>
      </c>
      <c r="R3261" s="195">
        <f>Q3261/L3261</f>
        <v>4.8141997836788244</v>
      </c>
      <c r="S3261" s="197">
        <f>(Q3261+K3261)/H3261</f>
        <v>17.937058545313434</v>
      </c>
      <c r="T3261" s="180">
        <v>952000000</v>
      </c>
      <c r="U3261" s="189">
        <f>IFERROR(IF(Tableau3[[#This Row],[Dettes]]=0,"",(Tableau3[[#This Row],[Dettes]]/Tableau3[[#This Row],[EBE]])),"")</f>
        <v>1.5069850746268656</v>
      </c>
      <c r="V3261" s="190">
        <f>IFERROR(Tableau3[[#This Row],[Fonds propres]]/Tableau3[[#This Row],[Total Bilan]],"")</f>
        <v>0.40744832501781897</v>
      </c>
      <c r="W3261" s="180">
        <v>14030000000</v>
      </c>
      <c r="X3261" s="269"/>
      <c r="Y3261" s="180">
        <v>38207</v>
      </c>
      <c r="Z3261" s="192">
        <f>IFERROR(Tableau3[[#This Row],[Chiffre d''affaires]]/Tableau3[[#This Row],[Salariés]],"")</f>
        <v>183060.69568403697</v>
      </c>
      <c r="AC3261" s="6" t="s">
        <v>4801</v>
      </c>
    </row>
    <row r="3262" spans="1:29" ht="20.25" customHeight="1">
      <c r="A3262" s="217"/>
      <c r="E3262" s="187"/>
      <c r="G3262" s="202">
        <f t="shared" si="250"/>
        <v>0.14668415443888838</v>
      </c>
      <c r="H3262" s="202">
        <f t="shared" si="250"/>
        <v>0.14914928649835346</v>
      </c>
      <c r="I3262" s="202">
        <f t="shared" si="250"/>
        <v>0.26159189036981423</v>
      </c>
      <c r="J3262" s="202">
        <f t="shared" si="250"/>
        <v>0.32780387551379908</v>
      </c>
      <c r="K3262" s="202"/>
      <c r="L3262" s="202"/>
      <c r="M3262" s="268"/>
      <c r="N3262" s="178"/>
      <c r="O3262" s="178"/>
      <c r="P3262" s="180"/>
      <c r="R3262" s="178"/>
      <c r="S3262" s="178"/>
      <c r="T3262" s="180"/>
      <c r="U3262" s="189" t="str">
        <f>IFERROR(IF(Tableau3[[#This Row],[Dettes]]=0,"",(Tableau3[[#This Row],[Dettes]]/Tableau3[[#This Row],[EBE]])),"")</f>
        <v/>
      </c>
      <c r="V3262" s="190" t="str">
        <f>IFERROR(Tableau3[[#This Row],[Fonds propres]]/Tableau3[[#This Row],[Total Bilan]],"")</f>
        <v/>
      </c>
      <c r="W3262" s="180"/>
      <c r="X3262" s="269"/>
      <c r="Y3262" s="180"/>
      <c r="Z3262" s="192" t="str">
        <f>IFERROR(Tableau3[[#This Row],[Chiffre d''affaires]]/Tableau3[[#This Row],[Salariés]],"")</f>
        <v/>
      </c>
      <c r="AC3262" s="6" t="s">
        <v>4794</v>
      </c>
    </row>
    <row r="3263" spans="1:29" ht="20.25" customHeight="1">
      <c r="A3263" s="217"/>
      <c r="E3263" s="187">
        <v>73</v>
      </c>
      <c r="F3263" s="178">
        <v>2020</v>
      </c>
      <c r="G3263" s="180">
        <v>6099500000</v>
      </c>
      <c r="H3263" s="267">
        <v>1457600000</v>
      </c>
      <c r="I3263" s="267">
        <v>1065400000</v>
      </c>
      <c r="J3263" s="267">
        <v>681200000</v>
      </c>
      <c r="K3263" s="267">
        <v>2602800000</v>
      </c>
      <c r="L3263" s="267">
        <v>4895800000</v>
      </c>
      <c r="M3263" s="268">
        <f>L3263/P3263</f>
        <v>18.305631934546199</v>
      </c>
      <c r="N3263" s="190">
        <f>J3263/L3265</f>
        <v>0.1332524794115921</v>
      </c>
      <c r="O3263" s="190">
        <f>(I3263*0.74)/(K3265+L3265)</f>
        <v>0.10383468549151828</v>
      </c>
      <c r="P3263" s="180">
        <v>267447746</v>
      </c>
      <c r="Q3263" s="180">
        <f>P3263*E3263</f>
        <v>19523685458</v>
      </c>
      <c r="R3263" s="195">
        <f>Q3263/L3263</f>
        <v>3.9878437554638668</v>
      </c>
      <c r="S3263" s="197">
        <f>(Q3263+K3263)/H3263</f>
        <v>15.180080583150383</v>
      </c>
      <c r="T3263" s="180">
        <v>1029000000</v>
      </c>
      <c r="U3263" s="189">
        <f>IFERROR(IF(Tableau3[[#This Row],[Dettes]]=0,"",(Tableau3[[#This Row],[Dettes]]/Tableau3[[#This Row],[EBE]])),"")</f>
        <v>1.785675082327113</v>
      </c>
      <c r="V3263" s="190">
        <f>IFERROR(Tableau3[[#This Row],[Fonds propres]]/Tableau3[[#This Row],[Total Bilan]],"")</f>
        <v>0.37922540666150273</v>
      </c>
      <c r="W3263" s="180">
        <v>12910000000</v>
      </c>
      <c r="X3263" s="269"/>
      <c r="Y3263" s="180">
        <v>36700</v>
      </c>
      <c r="Z3263" s="192">
        <f>IFERROR(Tableau3[[#This Row],[Chiffre d''affaires]]/Tableau3[[#This Row],[Salariés]],"")</f>
        <v>166198.91008174387</v>
      </c>
      <c r="AA3263" s="219"/>
      <c r="AB3263" s="197"/>
      <c r="AC3263" s="10" t="s">
        <v>4800</v>
      </c>
    </row>
    <row r="3264" spans="1:29" ht="20.25" customHeight="1">
      <c r="A3264" s="217"/>
      <c r="E3264" s="187"/>
      <c r="F3264" s="177"/>
      <c r="G3264" s="202">
        <f t="shared" si="250"/>
        <v>-7.8945381513975454E-2</v>
      </c>
      <c r="H3264" s="202">
        <f t="shared" si="250"/>
        <v>-6.323907455012856E-2</v>
      </c>
      <c r="I3264" s="202">
        <f t="shared" si="250"/>
        <v>-0.13900113140455794</v>
      </c>
      <c r="J3264" s="202">
        <f t="shared" si="250"/>
        <v>-0.18526492046405929</v>
      </c>
      <c r="K3264" s="202"/>
      <c r="L3264" s="202"/>
      <c r="M3264" s="268"/>
      <c r="N3264" s="238"/>
      <c r="O3264" s="238"/>
      <c r="P3264" s="180"/>
      <c r="Q3264" s="270"/>
      <c r="R3264" s="238"/>
      <c r="S3264" s="178"/>
      <c r="T3264" s="180"/>
      <c r="U3264" s="189" t="str">
        <f>IFERROR(IF(Tableau3[[#This Row],[Dettes]]=0,"",(Tableau3[[#This Row],[Dettes]]/Tableau3[[#This Row],[EBE]])),"")</f>
        <v/>
      </c>
      <c r="V3264" s="190" t="str">
        <f>IFERROR(Tableau3[[#This Row],[Fonds propres]]/Tableau3[[#This Row],[Total Bilan]],"")</f>
        <v/>
      </c>
      <c r="W3264" s="180"/>
      <c r="X3264" s="269"/>
      <c r="Y3264" s="180"/>
      <c r="Z3264" s="192" t="str">
        <f>IFERROR(Tableau3[[#This Row],[Chiffre d''affaires]]/Tableau3[[#This Row],[Salariés]],"")</f>
        <v/>
      </c>
      <c r="AA3264" s="180"/>
      <c r="AB3264" s="188"/>
      <c r="AC3264" s="10" t="s">
        <v>4799</v>
      </c>
    </row>
    <row r="3265" spans="1:29" ht="20.25" customHeight="1">
      <c r="A3265" s="217"/>
      <c r="E3265" s="187">
        <v>74.12</v>
      </c>
      <c r="F3265" s="178">
        <v>2019</v>
      </c>
      <c r="G3265" s="180">
        <v>6622300000</v>
      </c>
      <c r="H3265" s="267">
        <v>1556000000</v>
      </c>
      <c r="I3265" s="267">
        <v>1237400000</v>
      </c>
      <c r="J3265" s="267">
        <v>836100000</v>
      </c>
      <c r="K3265" s="267">
        <v>2480700000</v>
      </c>
      <c r="L3265" s="267">
        <v>5112100000</v>
      </c>
      <c r="M3265" s="268">
        <f>L3265/P3265</f>
        <v>19.126661397908308</v>
      </c>
      <c r="N3265" s="190">
        <f>J3265/L3267</f>
        <v>0.18187553022557698</v>
      </c>
      <c r="O3265" s="190">
        <f>(I3265*0.74)/(K3267+L3267)</f>
        <v>0.13282794435499079</v>
      </c>
      <c r="P3265" s="180">
        <v>267276128</v>
      </c>
      <c r="Q3265" s="180">
        <f>P3265*E3265</f>
        <v>19810506607.360001</v>
      </c>
      <c r="R3265" s="195">
        <f>Q3265/L3265</f>
        <v>3.8752189134328359</v>
      </c>
      <c r="S3265" s="197">
        <f>(Q3265+K3265)/H3265</f>
        <v>14.325968256658099</v>
      </c>
      <c r="T3265" s="180">
        <v>1044000000</v>
      </c>
      <c r="U3265" s="189">
        <f>IFERROR(IF(Tableau3[[#This Row],[Dettes]]=0,"",(Tableau3[[#This Row],[Dettes]]/Tableau3[[#This Row],[EBE]])),"")</f>
        <v>1.594280205655527</v>
      </c>
      <c r="V3265" s="190">
        <f>IFERROR(Tableau3[[#This Row],[Fonds propres]]/Tableau3[[#This Row],[Total Bilan]],"")</f>
        <v>0.43249576988155669</v>
      </c>
      <c r="W3265" s="180">
        <v>11820000000</v>
      </c>
      <c r="X3265" s="269"/>
      <c r="Y3265" s="180">
        <v>39000</v>
      </c>
      <c r="Z3265" s="192">
        <f>IFERROR(Tableau3[[#This Row],[Chiffre d''affaires]]/Tableau3[[#This Row],[Salariés]],"")</f>
        <v>169802.56410256409</v>
      </c>
      <c r="AA3265" s="219"/>
      <c r="AB3265" s="197"/>
      <c r="AC3265" s="177" t="s">
        <v>4787</v>
      </c>
    </row>
    <row r="3266" spans="1:29" ht="20.25" customHeight="1">
      <c r="A3266" s="217"/>
      <c r="E3266" s="187"/>
      <c r="G3266" s="202">
        <f t="shared" si="250"/>
        <v>0.10423197492163006</v>
      </c>
      <c r="H3266" s="202">
        <f t="shared" si="250"/>
        <v>0.10229526778124121</v>
      </c>
      <c r="I3266" s="202">
        <f t="shared" si="250"/>
        <v>8.6391571553994684E-2</v>
      </c>
      <c r="J3266" s="202">
        <f t="shared" si="250"/>
        <v>8.2470222682548E-2</v>
      </c>
      <c r="K3266" s="202"/>
      <c r="L3266" s="202"/>
      <c r="M3266" s="268"/>
      <c r="N3266" s="190"/>
      <c r="O3266" s="188"/>
      <c r="P3266" s="180"/>
      <c r="Q3266" s="180"/>
      <c r="R3266" s="188"/>
      <c r="S3266" s="188"/>
      <c r="T3266" s="180"/>
      <c r="U3266" s="189" t="str">
        <f>IFERROR(IF(Tableau3[[#This Row],[Dettes]]=0,"",(Tableau3[[#This Row],[Dettes]]/Tableau3[[#This Row],[EBE]])),"")</f>
        <v/>
      </c>
      <c r="V3266" s="190" t="str">
        <f>IFERROR(Tableau3[[#This Row],[Fonds propres]]/Tableau3[[#This Row],[Total Bilan]],"")</f>
        <v/>
      </c>
      <c r="W3266" s="180"/>
      <c r="X3266" s="269"/>
      <c r="Y3266" s="180"/>
      <c r="Z3266" s="192" t="str">
        <f>IFERROR(Tableau3[[#This Row],[Chiffre d''affaires]]/Tableau3[[#This Row],[Salariés]],"")</f>
        <v/>
      </c>
      <c r="AC3266" s="177" t="s">
        <v>2298</v>
      </c>
    </row>
    <row r="3267" spans="1:29" ht="20.25" customHeight="1">
      <c r="A3267" s="217"/>
      <c r="E3267" s="187">
        <v>49.28</v>
      </c>
      <c r="F3267" s="178">
        <v>2018</v>
      </c>
      <c r="G3267" s="180">
        <v>5997200000</v>
      </c>
      <c r="H3267" s="267">
        <v>1411600000</v>
      </c>
      <c r="I3267" s="267">
        <v>1139000000</v>
      </c>
      <c r="J3267" s="267">
        <v>772400000</v>
      </c>
      <c r="K3267" s="267">
        <v>2296600000</v>
      </c>
      <c r="L3267" s="267">
        <v>4597100000</v>
      </c>
      <c r="M3267" s="268">
        <f>L3267/P3267</f>
        <v>17.185732216773772</v>
      </c>
      <c r="N3267" s="190">
        <f>J3267/L3269</f>
        <v>0.18620573274511221</v>
      </c>
      <c r="O3267" s="190">
        <f>(I3267*0.74)/(K3269+L3269)</f>
        <v>0.13236698285068157</v>
      </c>
      <c r="P3267" s="180">
        <v>267495149</v>
      </c>
      <c r="Q3267" s="180">
        <f>P3267*E3267</f>
        <v>13182160942.720001</v>
      </c>
      <c r="R3267" s="195">
        <f>Q3267/L3267</f>
        <v>2.8674949300036983</v>
      </c>
      <c r="S3267" s="197">
        <f>(Q3267+K3267)/H3267</f>
        <v>10.965401631283651</v>
      </c>
      <c r="T3267" s="180">
        <v>746000000</v>
      </c>
      <c r="U3267" s="189">
        <f>IFERROR(IF(Tableau3[[#This Row],[Dettes]]=0,"",(Tableau3[[#This Row],[Dettes]]/Tableau3[[#This Row],[EBE]])),"")</f>
        <v>1.6269481439501274</v>
      </c>
      <c r="V3267" s="190">
        <f>IFERROR(Tableau3[[#This Row],[Fonds propres]]/Tableau3[[#This Row],[Total Bilan]],"")</f>
        <v>0.4458874878758487</v>
      </c>
      <c r="W3267" s="180">
        <v>10310000000</v>
      </c>
      <c r="X3267" s="269"/>
      <c r="Y3267" s="180">
        <v>38000</v>
      </c>
      <c r="Z3267" s="192">
        <f>IFERROR(Tableau3[[#This Row],[Chiffre d''affaires]]/Tableau3[[#This Row],[Salariés]],"")</f>
        <v>157821.05263157896</v>
      </c>
      <c r="AA3267" s="219"/>
      <c r="AB3267" s="197"/>
      <c r="AC3267" s="177" t="s">
        <v>2299</v>
      </c>
    </row>
    <row r="3268" spans="1:29" ht="20.25" customHeight="1">
      <c r="A3268" s="217"/>
      <c r="E3268" s="187"/>
      <c r="G3268" s="202">
        <f>(G3267/G3269)-1</f>
        <v>8.6291841762063504E-2</v>
      </c>
      <c r="H3268" s="202">
        <f>(H3267/H3269)-1</f>
        <v>5.5796559461480877E-2</v>
      </c>
      <c r="I3268" s="202">
        <f>(I3267/I3269)-1</f>
        <v>3.0862521495157891E-2</v>
      </c>
      <c r="J3268" s="202">
        <f>(J3267/J3269)-1</f>
        <v>8.3006169377453753E-2</v>
      </c>
      <c r="K3268" s="202"/>
      <c r="L3268" s="202"/>
      <c r="M3268" s="268"/>
      <c r="N3268" s="178"/>
      <c r="O3268" s="178"/>
      <c r="P3268" s="180"/>
      <c r="R3268" s="178"/>
      <c r="S3268" s="178"/>
      <c r="T3268" s="180"/>
      <c r="U3268" s="189" t="str">
        <f>IFERROR(IF(Tableau3[[#This Row],[Dettes]]=0,"",(Tableau3[[#This Row],[Dettes]]/Tableau3[[#This Row],[EBE]])),"")</f>
        <v/>
      </c>
      <c r="V3268" s="190" t="str">
        <f>IFERROR(Tableau3[[#This Row],[Fonds propres]]/Tableau3[[#This Row],[Total Bilan]],"")</f>
        <v/>
      </c>
      <c r="W3268" s="180"/>
      <c r="X3268" s="269"/>
      <c r="Y3268" s="180"/>
      <c r="Z3268" s="192" t="str">
        <f>IFERROR(Tableau3[[#This Row],[Chiffre d''affaires]]/Tableau3[[#This Row],[Salariés]],"")</f>
        <v/>
      </c>
      <c r="AC3268" s="177" t="s">
        <v>2300</v>
      </c>
    </row>
    <row r="3269" spans="1:29" ht="20.25" customHeight="1">
      <c r="A3269" s="217"/>
      <c r="E3269" s="187">
        <v>64.19</v>
      </c>
      <c r="F3269" s="178">
        <v>2017</v>
      </c>
      <c r="G3269" s="180">
        <v>5520800000</v>
      </c>
      <c r="H3269" s="267">
        <v>1337000000</v>
      </c>
      <c r="I3269" s="267">
        <v>1104900000</v>
      </c>
      <c r="J3269" s="267">
        <v>713200000</v>
      </c>
      <c r="K3269" s="267">
        <v>2219500000</v>
      </c>
      <c r="L3269" s="267">
        <v>4148100000</v>
      </c>
      <c r="M3269" s="268">
        <f>L3269/P3269</f>
        <v>15.547266070737733</v>
      </c>
      <c r="N3269" s="190">
        <f>J3269/L3271</f>
        <v>0.17538855006885698</v>
      </c>
      <c r="O3269" s="190">
        <f>(I3269*0.74)/(K3271+L3271)</f>
        <v>0.16276346697455907</v>
      </c>
      <c r="P3269" s="180">
        <v>266805751</v>
      </c>
      <c r="Q3269" s="180">
        <f>P3269*E3269</f>
        <v>17126261156.689999</v>
      </c>
      <c r="R3269" s="195">
        <f>Q3269/L3269</f>
        <v>4.1287001655432602</v>
      </c>
      <c r="S3269" s="197">
        <f>(Q3269+K3269)/H3269</f>
        <v>14.469529660949886</v>
      </c>
      <c r="T3269" s="180">
        <v>696000000</v>
      </c>
      <c r="U3269" s="189">
        <f>IFERROR(IF(Tableau3[[#This Row],[Dettes]]=0,"",(Tableau3[[#This Row],[Dettes]]/Tableau3[[#This Row],[EBE]])),"")</f>
        <v>1.6600598354525056</v>
      </c>
      <c r="V3269" s="190" t="str">
        <f>IFERROR(Tableau3[[#This Row],[Fonds propres]]/Tableau3[[#This Row],[Total Bilan]],"")</f>
        <v/>
      </c>
      <c r="W3269" s="180"/>
      <c r="X3269" s="269"/>
      <c r="Y3269" s="180">
        <v>37000</v>
      </c>
      <c r="Z3269" s="192">
        <f>IFERROR(Tableau3[[#This Row],[Chiffre d''affaires]]/Tableau3[[#This Row],[Salariés]],"")</f>
        <v>149210.8108108108</v>
      </c>
      <c r="AC3269" s="177" t="s">
        <v>2301</v>
      </c>
    </row>
    <row r="3270" spans="1:29" ht="20.25" customHeight="1">
      <c r="A3270" s="217"/>
      <c r="E3270" s="187"/>
      <c r="G3270" s="202">
        <f>(G3269/G3271)-1</f>
        <v>0.10000199246846919</v>
      </c>
      <c r="H3270" s="202">
        <f>(H3269/H3271)-1</f>
        <v>0.11556111806424707</v>
      </c>
      <c r="I3270" s="202">
        <f>(I3269/I3271)-1</f>
        <v>0.12917731221257034</v>
      </c>
      <c r="J3270" s="202">
        <f>(J3269/J3271)-1</f>
        <v>0.13170422088225964</v>
      </c>
      <c r="K3270" s="202"/>
      <c r="L3270" s="202"/>
      <c r="M3270" s="268"/>
      <c r="N3270" s="190"/>
      <c r="O3270" s="188"/>
      <c r="P3270" s="180"/>
      <c r="Q3270" s="180"/>
      <c r="R3270" s="188"/>
      <c r="S3270" s="188"/>
      <c r="T3270" s="180"/>
      <c r="U3270" s="189" t="str">
        <f>IFERROR(IF(Tableau3[[#This Row],[Dettes]]=0,"",(Tableau3[[#This Row],[Dettes]]/Tableau3[[#This Row],[EBE]])),"")</f>
        <v/>
      </c>
      <c r="V3270" s="190" t="str">
        <f>IFERROR(Tableau3[[#This Row],[Fonds propres]]/Tableau3[[#This Row],[Total Bilan]],"")</f>
        <v/>
      </c>
      <c r="W3270" s="180"/>
      <c r="X3270" s="269"/>
      <c r="Y3270" s="180"/>
      <c r="Z3270" s="192" t="str">
        <f>IFERROR(Tableau3[[#This Row],[Chiffre d''affaires]]/Tableau3[[#This Row],[Salariés]],"")</f>
        <v/>
      </c>
      <c r="AA3270" s="180"/>
      <c r="AB3270" s="188"/>
      <c r="AC3270" s="177" t="s">
        <v>2302</v>
      </c>
    </row>
    <row r="3271" spans="1:29" ht="20.25" customHeight="1">
      <c r="A3271" s="217"/>
      <c r="E3271" s="187">
        <v>53.95</v>
      </c>
      <c r="F3271" s="178">
        <v>2016</v>
      </c>
      <c r="G3271" s="180">
        <v>5018900000</v>
      </c>
      <c r="H3271" s="267">
        <v>1198500000</v>
      </c>
      <c r="I3271" s="267">
        <v>978500000</v>
      </c>
      <c r="J3271" s="267">
        <v>630200000</v>
      </c>
      <c r="K3271" s="267">
        <v>957000000</v>
      </c>
      <c r="L3271" s="267">
        <v>4066400000</v>
      </c>
      <c r="M3271" s="268">
        <f>L3271/P3271</f>
        <v>15.211311655648105</v>
      </c>
      <c r="N3271" s="190">
        <f>J3271/L3273</f>
        <v>0.16551977727583128</v>
      </c>
      <c r="O3271" s="190">
        <f>(I3271*0.74)/(K3273+L3273)</f>
        <v>0.15645513277586914</v>
      </c>
      <c r="P3271" s="180">
        <v>267327374</v>
      </c>
      <c r="Q3271" s="180">
        <f>P3271*E3271</f>
        <v>14422311827.300001</v>
      </c>
      <c r="R3271" s="195">
        <f>Q3271/L3271</f>
        <v>3.54670269213555</v>
      </c>
      <c r="S3271" s="197">
        <f>(Q3271+K3271)/H3271</f>
        <v>12.832133356111807</v>
      </c>
      <c r="T3271" s="180">
        <v>673000000</v>
      </c>
      <c r="U3271" s="189">
        <f>IFERROR(IF(Tableau3[[#This Row],[Dettes]]=0,"",(Tableau3[[#This Row],[Dettes]]/Tableau3[[#This Row],[EBE]])),"")</f>
        <v>0.79849812265331666</v>
      </c>
      <c r="V3271" s="190" t="str">
        <f>IFERROR(Tableau3[[#This Row],[Fonds propres]]/Tableau3[[#This Row],[Total Bilan]],"")</f>
        <v/>
      </c>
      <c r="W3271" s="180"/>
      <c r="X3271" s="269"/>
      <c r="Y3271" s="180"/>
      <c r="Z3271" s="192" t="str">
        <f>IFERROR(Tableau3[[#This Row],[Chiffre d''affaires]]/Tableau3[[#This Row],[Salariés]],"")</f>
        <v/>
      </c>
      <c r="AA3271" s="219"/>
      <c r="AB3271" s="197"/>
      <c r="AC3271" s="177" t="s">
        <v>2303</v>
      </c>
    </row>
    <row r="3272" spans="1:29" ht="20.25" customHeight="1">
      <c r="A3272" s="217"/>
      <c r="E3272" s="187"/>
      <c r="G3272" s="202">
        <f>(G3271/G3273)-1</f>
        <v>4.3452046820100287E-2</v>
      </c>
      <c r="H3272" s="202">
        <f>(H3271/H3273)-1</f>
        <v>7.2675199140785907E-2</v>
      </c>
      <c r="I3272" s="202">
        <f>(I3271/I3273)-1</f>
        <v>5.1698194325021429E-2</v>
      </c>
      <c r="J3272" s="202">
        <f>(J3271/J3273)-1</f>
        <v>0.14166666666666661</v>
      </c>
      <c r="K3272" s="202"/>
      <c r="L3272" s="202"/>
      <c r="M3272" s="268"/>
      <c r="N3272" s="178"/>
      <c r="O3272" s="178"/>
      <c r="P3272" s="180"/>
      <c r="R3272" s="178"/>
      <c r="S3272" s="178"/>
      <c r="T3272" s="180"/>
      <c r="U3272" s="189" t="str">
        <f>IFERROR(IF(Tableau3[[#This Row],[Dettes]]=0,"",(Tableau3[[#This Row],[Dettes]]/Tableau3[[#This Row],[EBE]])),"")</f>
        <v/>
      </c>
      <c r="V3272" s="190" t="str">
        <f>IFERROR(Tableau3[[#This Row],[Fonds propres]]/Tableau3[[#This Row],[Total Bilan]],"")</f>
        <v/>
      </c>
      <c r="W3272" s="180"/>
      <c r="X3272" s="269"/>
      <c r="Y3272" s="180"/>
      <c r="Z3272" s="192" t="str">
        <f>IFERROR(Tableau3[[#This Row],[Chiffre d''affaires]]/Tableau3[[#This Row],[Salariés]],"")</f>
        <v/>
      </c>
      <c r="AC3272" s="177" t="s">
        <v>4795</v>
      </c>
    </row>
    <row r="3273" spans="1:29" ht="20.25" customHeight="1">
      <c r="A3273" s="217"/>
      <c r="E3273" s="187">
        <v>52.2</v>
      </c>
      <c r="F3273" s="178">
        <v>2015</v>
      </c>
      <c r="G3273" s="180">
        <v>4809900000</v>
      </c>
      <c r="H3273" s="267">
        <v>1117300000</v>
      </c>
      <c r="I3273" s="267">
        <v>930400000</v>
      </c>
      <c r="J3273" s="267">
        <v>552000000</v>
      </c>
      <c r="K3273" s="267">
        <v>820700000</v>
      </c>
      <c r="L3273" s="267">
        <v>3807400000</v>
      </c>
      <c r="M3273" s="268">
        <f>L3273/P3273</f>
        <v>14.263632462792707</v>
      </c>
      <c r="N3273" s="190">
        <f>J3273/L3275</f>
        <v>0.12109512109512109</v>
      </c>
      <c r="O3273" s="190">
        <f>(I3273*0.74)/(K3275+L3275)</f>
        <v>0.12716956039896565</v>
      </c>
      <c r="P3273" s="180">
        <v>266930602</v>
      </c>
      <c r="Q3273" s="180">
        <f>P3273*E3273</f>
        <v>13933777424.400002</v>
      </c>
      <c r="R3273" s="195">
        <f>Q3273/L3273</f>
        <v>3.6596568325891687</v>
      </c>
      <c r="S3273" s="197">
        <f>(Q3273+K3273)/H3273</f>
        <v>13.205475185178557</v>
      </c>
      <c r="T3273" s="180">
        <v>666000000</v>
      </c>
      <c r="U3273" s="189">
        <f>IFERROR(IF(Tableau3[[#This Row],[Dettes]]=0,"",(Tableau3[[#This Row],[Dettes]]/Tableau3[[#This Row],[EBE]])),"")</f>
        <v>0.73453861988722813</v>
      </c>
      <c r="V3273" s="190" t="str">
        <f>IFERROR(Tableau3[[#This Row],[Fonds propres]]/Tableau3[[#This Row],[Total Bilan]],"")</f>
        <v/>
      </c>
      <c r="W3273" s="180"/>
      <c r="X3273" s="269"/>
      <c r="Y3273" s="180"/>
      <c r="Z3273" s="192" t="str">
        <f>IFERROR(Tableau3[[#This Row],[Chiffre d''affaires]]/Tableau3[[#This Row],[Salariés]],"")</f>
        <v/>
      </c>
      <c r="AA3273" s="219"/>
      <c r="AB3273" s="197"/>
      <c r="AC3273" s="177" t="s">
        <v>4796</v>
      </c>
    </row>
    <row r="3274" spans="1:29" ht="20.25" customHeight="1">
      <c r="A3274" s="217"/>
      <c r="E3274" s="187"/>
      <c r="G3274" s="202">
        <f>(G3273/G3275)-1</f>
        <v>6.9080482763219209E-2</v>
      </c>
      <c r="H3274" s="202">
        <f>(H3273/H3275)-1</f>
        <v>0.11640687450039966</v>
      </c>
      <c r="I3274" s="202">
        <f>(I3273/I3275)-1</f>
        <v>9.781710914454278E-2</v>
      </c>
      <c r="J3274" s="202">
        <f>(J3273/J3275)-1</f>
        <v>3.8179424487492897E-2</v>
      </c>
      <c r="K3274" s="202"/>
      <c r="L3274" s="202"/>
      <c r="M3274" s="268"/>
      <c r="N3274" s="190"/>
      <c r="O3274" s="188"/>
      <c r="P3274" s="180"/>
      <c r="Q3274" s="180"/>
      <c r="R3274" s="188"/>
      <c r="S3274" s="188"/>
      <c r="T3274" s="180"/>
      <c r="U3274" s="189" t="str">
        <f>IFERROR(IF(Tableau3[[#This Row],[Dettes]]=0,"",(Tableau3[[#This Row],[Dettes]]/Tableau3[[#This Row],[EBE]])),"")</f>
        <v/>
      </c>
      <c r="V3274" s="190" t="str">
        <f>IFERROR(Tableau3[[#This Row],[Fonds propres]]/Tableau3[[#This Row],[Total Bilan]],"")</f>
        <v/>
      </c>
      <c r="W3274" s="180"/>
      <c r="X3274" s="269"/>
      <c r="Y3274" s="180"/>
      <c r="Z3274" s="192" t="str">
        <f>IFERROR(Tableau3[[#This Row],[Chiffre d''affaires]]/Tableau3[[#This Row],[Salariés]],"")</f>
        <v/>
      </c>
      <c r="AA3274" s="180"/>
      <c r="AB3274" s="188"/>
      <c r="AC3274" s="177" t="s">
        <v>4792</v>
      </c>
    </row>
    <row r="3275" spans="1:29" ht="20.25" customHeight="1">
      <c r="A3275" s="217"/>
      <c r="E3275" s="187">
        <v>43.71</v>
      </c>
      <c r="F3275" s="178">
        <v>2014</v>
      </c>
      <c r="G3275" s="180">
        <v>4499100000</v>
      </c>
      <c r="H3275" s="267">
        <v>1000800000</v>
      </c>
      <c r="I3275" s="267">
        <v>847500000</v>
      </c>
      <c r="J3275" s="267">
        <v>531700000</v>
      </c>
      <c r="K3275" s="267">
        <v>855600000</v>
      </c>
      <c r="L3275" s="267">
        <v>4558400000</v>
      </c>
      <c r="M3275" s="268">
        <f>L3275/P3275</f>
        <v>17.113833970919135</v>
      </c>
      <c r="N3275" s="190">
        <f>J3275/L3277</f>
        <v>0.16423673318094767</v>
      </c>
      <c r="O3275" s="190">
        <f>(I3275*0.74)/(K3277+L3277)</f>
        <v>0.14914032959977169</v>
      </c>
      <c r="P3275" s="180">
        <v>266357615</v>
      </c>
      <c r="Q3275" s="180">
        <f>P3275*E3275</f>
        <v>11642491351.65</v>
      </c>
      <c r="R3275" s="195">
        <f>Q3275/L3275</f>
        <v>2.554074094342313</v>
      </c>
      <c r="S3275" s="197">
        <f>(Q3275+K3275)/H3275</f>
        <v>12.488100870953238</v>
      </c>
      <c r="T3275" s="180">
        <v>607000000</v>
      </c>
      <c r="U3275" s="189">
        <f>IFERROR(IF(Tableau3[[#This Row],[Dettes]]=0,"",(Tableau3[[#This Row],[Dettes]]/Tableau3[[#This Row],[EBE]])),"")</f>
        <v>0.85491606714628299</v>
      </c>
      <c r="V3275" s="190" t="str">
        <f>IFERROR(Tableau3[[#This Row],[Fonds propres]]/Tableau3[[#This Row],[Total Bilan]],"")</f>
        <v/>
      </c>
      <c r="W3275" s="180"/>
      <c r="X3275" s="269"/>
      <c r="Y3275" s="180"/>
      <c r="Z3275" s="192" t="str">
        <f>IFERROR(Tableau3[[#This Row],[Chiffre d''affaires]]/Tableau3[[#This Row],[Salariés]],"")</f>
        <v/>
      </c>
      <c r="AA3275" s="219"/>
      <c r="AB3275" s="197"/>
      <c r="AC3275" s="177" t="s">
        <v>4790</v>
      </c>
    </row>
    <row r="3276" spans="1:29" ht="20.25" customHeight="1">
      <c r="A3276" s="217"/>
      <c r="E3276" s="187"/>
      <c r="G3276" s="202">
        <f>(G3275/G3277)-1</f>
        <v>8.6763518966908038E-3</v>
      </c>
      <c r="H3276" s="202">
        <f>(H3275/H3277)-1</f>
        <v>-4.4217362238563651E-2</v>
      </c>
      <c r="I3276" s="202">
        <f>(I3275/I3277)-1</f>
        <v>-2.2368730868848052E-3</v>
      </c>
      <c r="J3276" s="202">
        <f>(J3275/J3277)-1</f>
        <v>2.2620169651272892E-3</v>
      </c>
      <c r="K3276" s="202"/>
      <c r="L3276" s="202"/>
      <c r="M3276" s="268"/>
      <c r="N3276" s="178"/>
      <c r="O3276" s="178"/>
      <c r="P3276" s="180"/>
      <c r="R3276" s="178"/>
      <c r="S3276" s="178"/>
      <c r="T3276" s="180"/>
      <c r="U3276" s="189" t="str">
        <f>IFERROR(IF(Tableau3[[#This Row],[Dettes]]=0,"",(Tableau3[[#This Row],[Dettes]]/Tableau3[[#This Row],[EBE]])),"")</f>
        <v/>
      </c>
      <c r="V3276" s="190" t="str">
        <f>IFERROR(Tableau3[[#This Row],[Fonds propres]]/Tableau3[[#This Row],[Total Bilan]],"")</f>
        <v/>
      </c>
      <c r="W3276" s="180"/>
      <c r="X3276" s="269"/>
      <c r="Y3276" s="180"/>
      <c r="Z3276" s="192" t="str">
        <f>IFERROR(Tableau3[[#This Row],[Chiffre d''affaires]]/Tableau3[[#This Row],[Salariés]],"")</f>
        <v/>
      </c>
      <c r="AC3276" s="177" t="s">
        <v>4798</v>
      </c>
    </row>
    <row r="3277" spans="1:29" ht="20.25" customHeight="1">
      <c r="A3277" s="217"/>
      <c r="E3277" s="187">
        <v>40.06</v>
      </c>
      <c r="F3277" s="178">
        <v>2013</v>
      </c>
      <c r="G3277" s="180">
        <v>4460400000</v>
      </c>
      <c r="H3277" s="267">
        <v>1047100000</v>
      </c>
      <c r="I3277" s="267">
        <v>849400000</v>
      </c>
      <c r="J3277" s="267">
        <v>530500000</v>
      </c>
      <c r="K3277" s="267">
        <v>967700000</v>
      </c>
      <c r="L3277" s="267">
        <v>3237400000</v>
      </c>
      <c r="M3277" s="268">
        <f>L3277/P3277</f>
        <v>12.189441236714035</v>
      </c>
      <c r="N3277" s="190">
        <f>J3277/L3279</f>
        <v>0.16655678000690716</v>
      </c>
      <c r="O3277" s="190">
        <f>(I3277*0.74)/(K3279+L3279)</f>
        <v>0.14728559377636141</v>
      </c>
      <c r="P3277" s="180">
        <v>265590517</v>
      </c>
      <c r="Q3277" s="180">
        <f>P3277*E3277</f>
        <v>10639556111.02</v>
      </c>
      <c r="R3277" s="195">
        <f>Q3277/L3277</f>
        <v>3.2864508899178353</v>
      </c>
      <c r="S3277" s="197">
        <f>(Q3277+K3277)/H3277</f>
        <v>11.085145746366155</v>
      </c>
      <c r="T3277" s="180">
        <v>563000000</v>
      </c>
      <c r="U3277" s="189">
        <f>IFERROR(IF(Tableau3[[#This Row],[Dettes]]=0,"",(Tableau3[[#This Row],[Dettes]]/Tableau3[[#This Row],[EBE]])),"")</f>
        <v>0.92417152134466618</v>
      </c>
      <c r="V3277" s="190" t="str">
        <f>IFERROR(Tableau3[[#This Row],[Fonds propres]]/Tableau3[[#This Row],[Total Bilan]],"")</f>
        <v/>
      </c>
      <c r="W3277" s="180"/>
      <c r="X3277" s="269"/>
      <c r="Y3277" s="180"/>
      <c r="Z3277" s="192" t="str">
        <f>IFERROR(Tableau3[[#This Row],[Chiffre d''affaires]]/Tableau3[[#This Row],[Salariés]],"")</f>
        <v/>
      </c>
      <c r="AC3277" s="177" t="s">
        <v>2304</v>
      </c>
    </row>
    <row r="3278" spans="1:29" ht="20.25" customHeight="1">
      <c r="A3278" s="217"/>
      <c r="E3278" s="187"/>
      <c r="G3278" s="202">
        <f>(G3277/G3279)-1</f>
        <v>-1.4104372355430161E-3</v>
      </c>
      <c r="H3278" s="202">
        <f>(H3277/H3279)-1</f>
        <v>7.0205808809387094E-3</v>
      </c>
      <c r="I3278" s="202">
        <f>(I3277/I3279)-1</f>
        <v>1.6509433962264008E-3</v>
      </c>
      <c r="J3278" s="202">
        <f>(J3277/J3279)-1</f>
        <v>4.9248417721518889E-2</v>
      </c>
      <c r="K3278" s="202"/>
      <c r="L3278" s="202"/>
      <c r="M3278" s="268"/>
      <c r="N3278" s="178"/>
      <c r="O3278" s="178"/>
      <c r="P3278" s="180"/>
      <c r="R3278" s="178"/>
      <c r="S3278" s="178"/>
      <c r="T3278" s="180"/>
      <c r="U3278" s="189" t="str">
        <f>IFERROR(IF(Tableau3[[#This Row],[Dettes]]=0,"",(Tableau3[[#This Row],[Dettes]]/Tableau3[[#This Row],[EBE]])),"")</f>
        <v/>
      </c>
      <c r="V3278" s="190" t="str">
        <f>IFERROR(Tableau3[[#This Row],[Fonds propres]]/Tableau3[[#This Row],[Total Bilan]],"")</f>
        <v/>
      </c>
      <c r="W3278" s="180"/>
      <c r="X3278" s="269"/>
      <c r="Y3278" s="180"/>
      <c r="Z3278" s="192" t="str">
        <f>IFERROR(Tableau3[[#This Row],[Chiffre d''affaires]]/Tableau3[[#This Row],[Salariés]],"")</f>
        <v/>
      </c>
      <c r="AC3278" s="177" t="s">
        <v>2305</v>
      </c>
    </row>
    <row r="3279" spans="1:29" ht="20.25" customHeight="1">
      <c r="A3279" s="217"/>
      <c r="E3279" s="187">
        <v>31.73</v>
      </c>
      <c r="F3279" s="178">
        <v>2012</v>
      </c>
      <c r="G3279" s="180">
        <v>4466700000</v>
      </c>
      <c r="H3279" s="267">
        <v>1039800000</v>
      </c>
      <c r="I3279" s="267">
        <v>848000000</v>
      </c>
      <c r="J3279" s="267">
        <v>505600000</v>
      </c>
      <c r="K3279" s="267">
        <v>1082500000</v>
      </c>
      <c r="L3279" s="267">
        <v>3185100000</v>
      </c>
      <c r="M3279" s="268">
        <f>L3279/P3279</f>
        <v>12.047665270763721</v>
      </c>
      <c r="N3279" s="190">
        <f>J3279/L3281</f>
        <v>0.17163419105166677</v>
      </c>
      <c r="O3279" s="190">
        <f>(I3279*0.74)/(K3281+L3281)</f>
        <v>0.14889194704123759</v>
      </c>
      <c r="P3279" s="180">
        <v>264374875</v>
      </c>
      <c r="Q3279" s="180">
        <f>P3279*E3279</f>
        <v>8388614783.75</v>
      </c>
      <c r="R3279" s="195">
        <f>Q3279/L3279</f>
        <v>2.6337053102728327</v>
      </c>
      <c r="S3279" s="197">
        <f>(Q3279+K3279)/H3279</f>
        <v>9.1085927906809001</v>
      </c>
      <c r="T3279" s="180"/>
      <c r="U3279" s="189">
        <f>IFERROR(IF(Tableau3[[#This Row],[Dettes]]=0,"",(Tableau3[[#This Row],[Dettes]]/Tableau3[[#This Row],[EBE]])),"")</f>
        <v>1.0410655895364493</v>
      </c>
      <c r="V3279" s="190" t="str">
        <f>IFERROR(Tableau3[[#This Row],[Fonds propres]]/Tableau3[[#This Row],[Total Bilan]],"")</f>
        <v/>
      </c>
      <c r="W3279" s="180"/>
      <c r="X3279" s="269"/>
      <c r="Y3279" s="180"/>
      <c r="Z3279" s="192" t="str">
        <f>IFERROR(Tableau3[[#This Row],[Chiffre d''affaires]]/Tableau3[[#This Row],[Salariés]],"")</f>
        <v/>
      </c>
      <c r="AC3279" s="177" t="s">
        <v>4797</v>
      </c>
    </row>
    <row r="3280" spans="1:29" ht="20.25" customHeight="1">
      <c r="A3280" s="217"/>
      <c r="E3280" s="187"/>
      <c r="G3280" s="202">
        <f>(G3279/G3281)-1</f>
        <v>5.7204598332311729E-2</v>
      </c>
      <c r="H3280" s="202">
        <f>(H3279/H3281)-1</f>
        <v>1.0790317876931965E-2</v>
      </c>
      <c r="I3280" s="202">
        <f>(I3279/I3281)-1</f>
        <v>4.3949279822725673E-2</v>
      </c>
      <c r="J3280" s="202">
        <f>(J3279/J3281)-1</f>
        <v>5.6414542415378133E-2</v>
      </c>
      <c r="K3280" s="202"/>
      <c r="L3280" s="202"/>
      <c r="M3280" s="268"/>
      <c r="N3280" s="178"/>
      <c r="O3280" s="178"/>
      <c r="P3280" s="180"/>
      <c r="R3280" s="178"/>
      <c r="S3280" s="178"/>
      <c r="T3280" s="180"/>
      <c r="U3280" s="189" t="str">
        <f>IFERROR(IF(Tableau3[[#This Row],[Dettes]]=0,"",(Tableau3[[#This Row],[Dettes]]/Tableau3[[#This Row],[EBE]])),"")</f>
        <v/>
      </c>
      <c r="V3280" s="190" t="str">
        <f>IFERROR(Tableau3[[#This Row],[Fonds propres]]/Tableau3[[#This Row],[Total Bilan]],"")</f>
        <v/>
      </c>
      <c r="W3280" s="180"/>
      <c r="X3280" s="269"/>
      <c r="Y3280" s="180"/>
      <c r="Z3280" s="192" t="str">
        <f>IFERROR(Tableau3[[#This Row],[Chiffre d''affaires]]/Tableau3[[#This Row],[Salariés]],"")</f>
        <v/>
      </c>
      <c r="AC3280" s="177" t="s">
        <v>4788</v>
      </c>
    </row>
    <row r="3281" spans="1:29" ht="20.25" customHeight="1">
      <c r="A3281" s="217"/>
      <c r="E3281" s="187">
        <v>24.85</v>
      </c>
      <c r="F3281" s="178">
        <v>2011</v>
      </c>
      <c r="G3281" s="180">
        <v>4225010000</v>
      </c>
      <c r="H3281" s="267">
        <v>1028700000</v>
      </c>
      <c r="I3281" s="267">
        <v>812300000</v>
      </c>
      <c r="J3281" s="267">
        <v>478600000</v>
      </c>
      <c r="K3281" s="267">
        <v>1268800000</v>
      </c>
      <c r="L3281" s="267">
        <v>2945800000</v>
      </c>
      <c r="M3281" s="268">
        <f>L3281/P3281</f>
        <v>11.184218232048762</v>
      </c>
      <c r="N3281" s="190">
        <f>J3281/L3283</f>
        <v>0.21895873364443225</v>
      </c>
      <c r="O3281" s="190">
        <f>(I3281*0.74)/(K3283+L3283)</f>
        <v>0.23045738603688226</v>
      </c>
      <c r="P3281" s="180">
        <v>263388995</v>
      </c>
      <c r="Q3281" s="180">
        <f>P3281*E3281</f>
        <v>6545216525.75</v>
      </c>
      <c r="R3281" s="195">
        <f>Q3281/L3281</f>
        <v>2.2218808221026545</v>
      </c>
      <c r="S3281" s="197">
        <f>(Q3281+K3281)/H3281</f>
        <v>7.5960110097696125</v>
      </c>
      <c r="T3281" s="180"/>
      <c r="U3281" s="189">
        <f>IFERROR(IF(Tableau3[[#This Row],[Dettes]]=0,"",(Tableau3[[#This Row],[Dettes]]/Tableau3[[#This Row],[EBE]])),"")</f>
        <v>1.2334013803830077</v>
      </c>
      <c r="V3281" s="190" t="str">
        <f>IFERROR(Tableau3[[#This Row],[Fonds propres]]/Tableau3[[#This Row],[Total Bilan]],"")</f>
        <v/>
      </c>
      <c r="W3281" s="180"/>
      <c r="X3281" s="269"/>
      <c r="Y3281" s="180"/>
      <c r="Z3281" s="192" t="str">
        <f>IFERROR(Tableau3[[#This Row],[Chiffre d''affaires]]/Tableau3[[#This Row],[Salariés]],"")</f>
        <v/>
      </c>
      <c r="AC3281" s="177" t="s">
        <v>4793</v>
      </c>
    </row>
    <row r="3282" spans="1:29" ht="20.25" customHeight="1">
      <c r="A3282" s="217"/>
      <c r="E3282" s="187"/>
      <c r="G3282" s="180"/>
      <c r="H3282" s="202"/>
      <c r="I3282" s="202"/>
      <c r="J3282" s="202"/>
      <c r="K3282" s="202"/>
      <c r="L3282" s="202"/>
      <c r="M3282" s="268"/>
      <c r="N3282" s="178"/>
      <c r="O3282" s="178"/>
      <c r="P3282" s="180"/>
      <c r="R3282" s="178"/>
      <c r="S3282" s="178"/>
      <c r="T3282" s="180"/>
      <c r="U3282" s="189" t="str">
        <f>IFERROR(IF(Tableau3[[#This Row],[Dettes]]=0,"",(Tableau3[[#This Row],[Dettes]]/Tableau3[[#This Row],[EBE]])),"")</f>
        <v/>
      </c>
      <c r="V3282" s="190" t="str">
        <f>IFERROR(Tableau3[[#This Row],[Fonds propres]]/Tableau3[[#This Row],[Total Bilan]],"")</f>
        <v/>
      </c>
      <c r="W3282" s="180"/>
      <c r="X3282" s="269"/>
      <c r="Y3282" s="180"/>
      <c r="Z3282" s="192" t="str">
        <f>IFERROR(Tableau3[[#This Row],[Chiffre d''affaires]]/Tableau3[[#This Row],[Salariés]],"")</f>
        <v/>
      </c>
      <c r="AC3282" s="177" t="s">
        <v>4789</v>
      </c>
    </row>
    <row r="3283" spans="1:29" ht="20.25" customHeight="1">
      <c r="A3283" s="217"/>
      <c r="E3283" s="187">
        <v>13.22</v>
      </c>
      <c r="F3283" s="178">
        <v>2008</v>
      </c>
      <c r="G3283" s="180">
        <v>4202400000</v>
      </c>
      <c r="H3283" s="267">
        <v>920700000</v>
      </c>
      <c r="I3283" s="267">
        <v>642800000</v>
      </c>
      <c r="J3283" s="267">
        <v>351500000</v>
      </c>
      <c r="K3283" s="267">
        <v>422500000</v>
      </c>
      <c r="L3283" s="267">
        <v>2185800000</v>
      </c>
      <c r="M3283" s="268">
        <f>L3283/P3283</f>
        <v>8.3168728399835494</v>
      </c>
      <c r="N3283" s="190">
        <f>J3283/L3283</f>
        <v>0.16081068716259492</v>
      </c>
      <c r="O3283" s="190">
        <f>(I3283*0.7)/(K3283+L3283)</f>
        <v>0.1725108308093394</v>
      </c>
      <c r="P3283" s="180">
        <v>262815128</v>
      </c>
      <c r="Q3283" s="180">
        <f>P3283*E3283</f>
        <v>3474415992.1600003</v>
      </c>
      <c r="R3283" s="195">
        <f>Q3283/L3283</f>
        <v>1.5895397530240645</v>
      </c>
      <c r="S3283" s="197">
        <f>(Q3283+K3283)/H3283</f>
        <v>4.2325578279135447</v>
      </c>
      <c r="T3283" s="180"/>
      <c r="U3283" s="189">
        <f>IFERROR(IF(Tableau3[[#This Row],[Dettes]]=0,"",(Tableau3[[#This Row],[Dettes]]/Tableau3[[#This Row],[EBE]])),"")</f>
        <v>0.4588899750190073</v>
      </c>
      <c r="V3283" s="190" t="str">
        <f>IFERROR(Tableau3[[#This Row],[Fonds propres]]/Tableau3[[#This Row],[Total Bilan]],"")</f>
        <v/>
      </c>
      <c r="W3283" s="180"/>
      <c r="X3283" s="269"/>
      <c r="Y3283" s="180"/>
      <c r="Z3283" s="192" t="str">
        <f>IFERROR(Tableau3[[#This Row],[Chiffre d''affaires]]/Tableau3[[#This Row],[Salariés]],"")</f>
        <v/>
      </c>
      <c r="AA3283" s="219"/>
      <c r="AB3283" s="197"/>
    </row>
    <row r="3284" spans="1:29" ht="20.25" customHeight="1">
      <c r="A3284" s="217"/>
      <c r="G3284" s="180"/>
      <c r="H3284" s="179"/>
      <c r="M3284" s="268"/>
      <c r="P3284" s="180"/>
      <c r="R3284" s="178"/>
      <c r="S3284" s="178"/>
      <c r="T3284" s="180"/>
      <c r="U3284" s="189" t="str">
        <f>IFERROR(IF(Tableau3[[#This Row],[Dettes]]=0,"",(Tableau3[[#This Row],[Dettes]]/Tableau3[[#This Row],[EBE]])),"")</f>
        <v/>
      </c>
      <c r="V3284" s="190" t="str">
        <f>IFERROR(Tableau3[[#This Row],[Fonds propres]]/Tableau3[[#This Row],[Total Bilan]],"")</f>
        <v/>
      </c>
      <c r="W3284" s="180"/>
      <c r="Y3284" s="180"/>
      <c r="Z3284" s="192" t="str">
        <f>IFERROR(Tableau3[[#This Row],[Chiffre d''affaires]]/Tableau3[[#This Row],[Salariés]],"")</f>
        <v/>
      </c>
    </row>
    <row r="3285" spans="1:29" ht="20.25" customHeight="1">
      <c r="A3285" s="217"/>
      <c r="F3285" s="224" t="s">
        <v>2306</v>
      </c>
      <c r="G3285" s="180"/>
      <c r="H3285" s="179"/>
      <c r="M3285" s="268"/>
      <c r="P3285" s="180"/>
      <c r="R3285" s="178"/>
      <c r="S3285" s="178"/>
      <c r="T3285" s="180"/>
      <c r="U3285" s="189" t="str">
        <f>IFERROR(IF(Tableau3[[#This Row],[Dettes]]=0,"",(Tableau3[[#This Row],[Dettes]]/Tableau3[[#This Row],[EBE]])),"")</f>
        <v/>
      </c>
      <c r="V3285" s="190" t="str">
        <f>IFERROR(Tableau3[[#This Row],[Fonds propres]]/Tableau3[[#This Row],[Total Bilan]],"")</f>
        <v/>
      </c>
      <c r="W3285" s="180"/>
      <c r="Y3285" s="180"/>
      <c r="Z3285" s="192" t="str">
        <f>IFERROR(Tableau3[[#This Row],[Chiffre d''affaires]]/Tableau3[[#This Row],[Salariés]],"")</f>
        <v/>
      </c>
    </row>
    <row r="3286" spans="1:29" ht="20.25" customHeight="1">
      <c r="A3286" s="217"/>
      <c r="E3286" s="187"/>
      <c r="G3286" s="180"/>
      <c r="H3286" s="179"/>
      <c r="M3286" s="268"/>
      <c r="P3286" s="180"/>
      <c r="R3286" s="178"/>
      <c r="S3286" s="178"/>
      <c r="T3286" s="180"/>
      <c r="U3286" s="189" t="str">
        <f>IFERROR(IF(Tableau3[[#This Row],[Dettes]]=0,"",(Tableau3[[#This Row],[Dettes]]/Tableau3[[#This Row],[EBE]])),"")</f>
        <v/>
      </c>
      <c r="V3286" s="190" t="str">
        <f>IFERROR(Tableau3[[#This Row],[Fonds propres]]/Tableau3[[#This Row],[Total Bilan]],"")</f>
        <v/>
      </c>
      <c r="W3286" s="180"/>
      <c r="Y3286" s="180"/>
      <c r="Z3286" s="192" t="str">
        <f>IFERROR(Tableau3[[#This Row],[Chiffre d''affaires]]/Tableau3[[#This Row],[Salariés]],"")</f>
        <v/>
      </c>
    </row>
    <row r="3287" spans="1:29" ht="20.25" customHeight="1">
      <c r="A3287" s="217"/>
      <c r="E3287" s="187"/>
      <c r="G3287" s="188"/>
      <c r="H3287" s="178"/>
      <c r="I3287" s="178"/>
      <c r="J3287" s="178"/>
      <c r="K3287" s="178"/>
      <c r="L3287" s="178"/>
      <c r="M3287" s="194"/>
      <c r="N3287" s="178"/>
      <c r="O3287" s="178"/>
      <c r="P3287" s="188"/>
      <c r="Q3287" s="178"/>
      <c r="R3287" s="178"/>
      <c r="S3287" s="178"/>
      <c r="T3287" s="180"/>
      <c r="U3287" s="189" t="str">
        <f>IFERROR(IF(Tableau3[[#This Row],[Dettes]]=0,"",(Tableau3[[#This Row],[Dettes]]/Tableau3[[#This Row],[EBE]])),"")</f>
        <v/>
      </c>
      <c r="V3287" s="190" t="str">
        <f>IFERROR(Tableau3[[#This Row],[Fonds propres]]/Tableau3[[#This Row],[Total Bilan]],"")</f>
        <v/>
      </c>
      <c r="W3287" s="180"/>
      <c r="Y3287" s="180"/>
      <c r="Z3287" s="192" t="str">
        <f>IFERROR(Tableau3[[#This Row],[Chiffre d''affaires]]/Tableau3[[#This Row],[Salariés]],"")</f>
        <v/>
      </c>
    </row>
    <row r="3288" spans="1:29" ht="20.25" customHeight="1">
      <c r="A3288" s="217"/>
      <c r="E3288" s="187"/>
      <c r="G3288" s="188"/>
      <c r="H3288" s="178"/>
      <c r="I3288" s="178"/>
      <c r="J3288" s="178"/>
      <c r="K3288" s="178"/>
      <c r="L3288" s="178"/>
      <c r="M3288" s="194"/>
      <c r="N3288" s="178"/>
      <c r="O3288" s="178"/>
      <c r="P3288" s="188"/>
      <c r="Q3288" s="178"/>
      <c r="R3288" s="178"/>
      <c r="S3288" s="178"/>
      <c r="T3288" s="180"/>
      <c r="U3288" s="189" t="str">
        <f>IFERROR(IF(Tableau3[[#This Row],[Dettes]]=0,"",(Tableau3[[#This Row],[Dettes]]/Tableau3[[#This Row],[EBE]])),"")</f>
        <v/>
      </c>
      <c r="V3288" s="190" t="str">
        <f>IFERROR(Tableau3[[#This Row],[Fonds propres]]/Tableau3[[#This Row],[Total Bilan]],"")</f>
        <v/>
      </c>
      <c r="W3288" s="180"/>
      <c r="Y3288" s="180"/>
      <c r="Z3288" s="192" t="str">
        <f>IFERROR(Tableau3[[#This Row],[Chiffre d''affaires]]/Tableau3[[#This Row],[Salariés]],"")</f>
        <v/>
      </c>
    </row>
    <row r="3289" spans="1:29" ht="20.25" customHeight="1">
      <c r="A3289" s="217" t="s">
        <v>2307</v>
      </c>
      <c r="B3289" s="281" t="s">
        <v>2308</v>
      </c>
      <c r="C3289" s="178" t="s">
        <v>84</v>
      </c>
      <c r="D3289" s="178" t="s">
        <v>85</v>
      </c>
      <c r="E3289" s="187">
        <v>158</v>
      </c>
      <c r="F3289" s="178">
        <v>2025</v>
      </c>
      <c r="G3289" s="188">
        <f>G3291*1.17</f>
        <v>750438000</v>
      </c>
      <c r="H3289" s="188">
        <v>490000000</v>
      </c>
      <c r="I3289" s="188">
        <v>470000000</v>
      </c>
      <c r="J3289" s="188">
        <v>400000000</v>
      </c>
      <c r="K3289" s="188">
        <v>-450000000</v>
      </c>
      <c r="L3289" s="188">
        <v>450000000</v>
      </c>
      <c r="M3289" s="194">
        <f>L3289/P3289</f>
        <v>12.117453996893731</v>
      </c>
      <c r="N3289" s="190">
        <f>J3289/L3291</f>
        <v>0.8669417761903111</v>
      </c>
      <c r="O3289" s="190">
        <f>(I3289*0.86)/(K3291+L3291)</f>
        <v>3.4227551400602918</v>
      </c>
      <c r="P3289" s="188">
        <v>37136514</v>
      </c>
      <c r="Q3289" s="188">
        <f>P3289*E3289</f>
        <v>5867569212</v>
      </c>
      <c r="R3289" s="195">
        <f>Q3289/L3289</f>
        <v>13.039042693333334</v>
      </c>
      <c r="S3289" s="197">
        <f>(Q3289+K3289)/I3289</f>
        <v>11.526743004255319</v>
      </c>
      <c r="T3289" s="180">
        <v>300000000</v>
      </c>
      <c r="U3289" s="189">
        <f>IFERROR(IF(Tableau3[[#This Row],[Dettes]]=0,"",(Tableau3[[#This Row],[Dettes]]/Tableau3[[#This Row],[EBE]])),"")</f>
        <v>-0.91836734693877553</v>
      </c>
      <c r="V3289" s="190">
        <f>IFERROR(Tableau3[[#This Row],[Fonds propres]]/Tableau3[[#This Row],[Total Bilan]],"")</f>
        <v>0.5</v>
      </c>
      <c r="W3289" s="180">
        <v>900000000</v>
      </c>
      <c r="X3289" s="182" t="s">
        <v>106</v>
      </c>
      <c r="Y3289" s="180">
        <v>750</v>
      </c>
      <c r="Z3289" s="192">
        <f>IFERROR(Tableau3[[#This Row],[Chiffre d''affaires]]/Tableau3[[#This Row],[Salariés]],"")</f>
        <v>1000584</v>
      </c>
      <c r="AA3289" s="178" t="s">
        <v>2309</v>
      </c>
      <c r="AB3289" s="187"/>
      <c r="AC3289" s="177" t="s">
        <v>2310</v>
      </c>
    </row>
    <row r="3290" spans="1:29" ht="20.25" customHeight="1">
      <c r="A3290" s="217"/>
      <c r="E3290" s="187"/>
      <c r="G3290" s="202">
        <f>(G3289/G3291)-1</f>
        <v>0.16999999999999993</v>
      </c>
      <c r="H3290" s="202">
        <f>(H3289/H3291)-1</f>
        <v>0.26256119556815261</v>
      </c>
      <c r="I3290" s="202">
        <f>(I3289/I3291)-1</f>
        <v>0.25567726422655634</v>
      </c>
      <c r="J3290" s="202">
        <f>(J3289/J3291)-1</f>
        <v>0.15008625646923512</v>
      </c>
      <c r="K3290" s="178"/>
      <c r="L3290" s="178"/>
      <c r="M3290" s="194"/>
      <c r="N3290" s="178"/>
      <c r="O3290" s="178"/>
      <c r="P3290" s="188"/>
      <c r="Q3290" s="178"/>
      <c r="R3290" s="178"/>
      <c r="S3290" s="178"/>
      <c r="T3290" s="180"/>
      <c r="U3290" s="189" t="str">
        <f>IFERROR(IF(Tableau3[[#This Row],[Dettes]]=0,"",(Tableau3[[#This Row],[Dettes]]/Tableau3[[#This Row],[EBE]])),"")</f>
        <v/>
      </c>
      <c r="V3290" s="190" t="str">
        <f>IFERROR(Tableau3[[#This Row],[Fonds propres]]/Tableau3[[#This Row],[Total Bilan]],"")</f>
        <v/>
      </c>
      <c r="W3290" s="180"/>
      <c r="Y3290" s="180"/>
      <c r="Z3290" s="192" t="str">
        <f>IFERROR(Tableau3[[#This Row],[Chiffre d''affaires]]/Tableau3[[#This Row],[Salariés]],"")</f>
        <v/>
      </c>
      <c r="AA3290" s="178" t="s">
        <v>2312</v>
      </c>
      <c r="AB3290" s="187"/>
      <c r="AC3290" s="177" t="s">
        <v>2313</v>
      </c>
    </row>
    <row r="3291" spans="1:29" ht="20.25" customHeight="1">
      <c r="A3291" s="217"/>
      <c r="E3291" s="187">
        <v>128.6</v>
      </c>
      <c r="F3291" s="178">
        <v>2024</v>
      </c>
      <c r="G3291" s="188">
        <v>641400000</v>
      </c>
      <c r="H3291" s="188">
        <v>388100000</v>
      </c>
      <c r="I3291" s="188">
        <v>374300000</v>
      </c>
      <c r="J3291" s="188">
        <v>347800000</v>
      </c>
      <c r="K3291" s="188">
        <v>-343300000</v>
      </c>
      <c r="L3291" s="188">
        <v>461392000</v>
      </c>
      <c r="M3291" s="194">
        <f>L3291/P3291</f>
        <v>12.424214076743983</v>
      </c>
      <c r="N3291" s="190">
        <f>J3291/L3293</f>
        <v>1.0342048843730394</v>
      </c>
      <c r="O3291" s="190">
        <f>(I3291*0.86)/(K3293+L3293)</f>
        <v>4.6809271754304325</v>
      </c>
      <c r="P3291" s="188">
        <v>37136514</v>
      </c>
      <c r="Q3291" s="188">
        <f>P3291*E3291</f>
        <v>4775755700.3999996</v>
      </c>
      <c r="R3291" s="195">
        <f>Q3291/L3291</f>
        <v>10.350755323889446</v>
      </c>
      <c r="S3291" s="197">
        <f>(Q3291+K3291)/I3291</f>
        <v>11.841986909965268</v>
      </c>
      <c r="T3291" s="180">
        <v>170000000</v>
      </c>
      <c r="U3291" s="189">
        <f>IFERROR(IF(Tableau3[[#This Row],[Dettes]]=0,"",(Tableau3[[#This Row],[Dettes]]/Tableau3[[#This Row],[EBE]])),"")</f>
        <v>-0.88456583354805463</v>
      </c>
      <c r="V3291" s="190">
        <f>IFERROR(Tableau3[[#This Row],[Fonds propres]]/Tableau3[[#This Row],[Total Bilan]],"")</f>
        <v>0.56627175870071889</v>
      </c>
      <c r="W3291" s="180">
        <v>814789000</v>
      </c>
      <c r="Y3291" s="180">
        <v>750</v>
      </c>
      <c r="Z3291" s="192">
        <f>IFERROR(Tableau3[[#This Row],[Chiffre d''affaires]]/Tableau3[[#This Row],[Salariés]],"")</f>
        <v>855200</v>
      </c>
      <c r="AA3291" s="197" t="s">
        <v>266</v>
      </c>
      <c r="AB3291" s="187"/>
      <c r="AC3291" s="177" t="s">
        <v>2314</v>
      </c>
    </row>
    <row r="3292" spans="1:29" ht="20.25" customHeight="1">
      <c r="A3292" s="217"/>
      <c r="E3292" s="187"/>
      <c r="G3292" s="202">
        <f>(G3291/G3293)-1</f>
        <v>0.49963526176982209</v>
      </c>
      <c r="H3292" s="202">
        <f>(H3291/H3293)-1</f>
        <v>0.65469312925025047</v>
      </c>
      <c r="I3292" s="202">
        <f>(I3291/I3293)-1</f>
        <v>0.67451806716861951</v>
      </c>
      <c r="J3292" s="202">
        <f>(J3291/J3293)-1</f>
        <v>0.72715173906997999</v>
      </c>
      <c r="K3292" s="178"/>
      <c r="L3292" s="178"/>
      <c r="M3292" s="194"/>
      <c r="N3292" s="178"/>
      <c r="O3292" s="178"/>
      <c r="P3292" s="188"/>
      <c r="Q3292" s="178"/>
      <c r="R3292" s="178"/>
      <c r="S3292" s="178"/>
      <c r="T3292" s="180"/>
      <c r="U3292" s="189" t="str">
        <f>IFERROR(IF(Tableau3[[#This Row],[Dettes]]=0,"",(Tableau3[[#This Row],[Dettes]]/Tableau3[[#This Row],[EBE]])),"")</f>
        <v/>
      </c>
      <c r="V3292" s="190" t="str">
        <f>IFERROR(Tableau3[[#This Row],[Fonds propres]]/Tableau3[[#This Row],[Total Bilan]],"")</f>
        <v/>
      </c>
      <c r="W3292" s="180"/>
      <c r="Y3292" s="180"/>
      <c r="Z3292" s="192" t="str">
        <f>IFERROR(Tableau3[[#This Row],[Chiffre d''affaires]]/Tableau3[[#This Row],[Salariés]],"")</f>
        <v/>
      </c>
      <c r="AB3292" s="187"/>
      <c r="AC3292" s="177" t="s">
        <v>2315</v>
      </c>
    </row>
    <row r="3293" spans="1:29" ht="20.25" customHeight="1">
      <c r="A3293" s="217"/>
      <c r="E3293" s="187">
        <v>119.9</v>
      </c>
      <c r="F3293" s="178">
        <v>2023</v>
      </c>
      <c r="G3293" s="188">
        <v>427704000</v>
      </c>
      <c r="H3293" s="188">
        <v>234545000</v>
      </c>
      <c r="I3293" s="188">
        <v>223527000</v>
      </c>
      <c r="J3293" s="188">
        <v>201372000</v>
      </c>
      <c r="K3293" s="188">
        <v>-267529000</v>
      </c>
      <c r="L3293" s="188">
        <v>336297000</v>
      </c>
      <c r="M3293" s="194">
        <f>L3293/P3293</f>
        <v>9.0658390395656632</v>
      </c>
      <c r="N3293" s="190">
        <f>J3293/L3295</f>
        <v>0.77512182729393286</v>
      </c>
      <c r="O3293" s="190">
        <f>(I3293*0.86)/(K3295+L3295)</f>
        <v>4.0908518652507926</v>
      </c>
      <c r="P3293" s="188">
        <v>37094967</v>
      </c>
      <c r="Q3293" s="188">
        <f>P3293*E3293</f>
        <v>4447686543.3000002</v>
      </c>
      <c r="R3293" s="195">
        <f>Q3293/L3293</f>
        <v>13.225471958715065</v>
      </c>
      <c r="S3293" s="197">
        <f>(Q3293+K3293)/I3293</f>
        <v>18.700906571913013</v>
      </c>
      <c r="T3293" s="180">
        <v>200000000</v>
      </c>
      <c r="U3293" s="189">
        <f>IFERROR(IF(Tableau3[[#This Row],[Dettes]]=0,"",(Tableau3[[#This Row],[Dettes]]/Tableau3[[#This Row],[EBE]])),"")</f>
        <v>-1.1406297299025774</v>
      </c>
      <c r="V3293" s="190">
        <f>IFERROR(Tableau3[[#This Row],[Fonds propres]]/Tableau3[[#This Row],[Total Bilan]],"")</f>
        <v>0.54559215041150966</v>
      </c>
      <c r="W3293" s="180">
        <v>616389000</v>
      </c>
      <c r="Y3293" s="180">
        <v>553</v>
      </c>
      <c r="Z3293" s="192">
        <f>IFERROR(Tableau3[[#This Row],[Chiffre d''affaires]]/Tableau3[[#This Row],[Salariés]],"")</f>
        <v>773424.95479204343</v>
      </c>
      <c r="AB3293" s="187"/>
      <c r="AC3293" s="177" t="s">
        <v>2316</v>
      </c>
    </row>
    <row r="3294" spans="1:29" ht="20.25" customHeight="1">
      <c r="A3294" s="217"/>
      <c r="E3294" s="187"/>
      <c r="G3294" s="202">
        <f>(G3293/G3295)-1</f>
        <v>0.39183973653894966</v>
      </c>
      <c r="H3294" s="202">
        <f>(H3293/H3295)-1</f>
        <v>0.45568009731635262</v>
      </c>
      <c r="I3294" s="202">
        <f>(I3293/I3295)-1</f>
        <v>0.46846627862670642</v>
      </c>
      <c r="J3294" s="202">
        <f>(J3293/J3295)-1</f>
        <v>0.56965024826371291</v>
      </c>
      <c r="K3294" s="271"/>
      <c r="L3294" s="178"/>
      <c r="M3294" s="194"/>
      <c r="N3294" s="178"/>
      <c r="O3294" s="178"/>
      <c r="P3294" s="188"/>
      <c r="Q3294" s="178"/>
      <c r="R3294" s="178"/>
      <c r="S3294" s="178"/>
      <c r="T3294" s="180"/>
      <c r="U3294" s="189" t="str">
        <f>IFERROR(IF(Tableau3[[#This Row],[Dettes]]=0,"",(Tableau3[[#This Row],[Dettes]]/Tableau3[[#This Row],[EBE]])),"")</f>
        <v/>
      </c>
      <c r="V3294" s="190" t="str">
        <f>IFERROR(Tableau3[[#This Row],[Fonds propres]]/Tableau3[[#This Row],[Total Bilan]],"")</f>
        <v/>
      </c>
      <c r="W3294" s="180"/>
      <c r="Y3294" s="180"/>
      <c r="Z3294" s="192" t="str">
        <f>IFERROR(Tableau3[[#This Row],[Chiffre d''affaires]]/Tableau3[[#This Row],[Salariés]],"")</f>
        <v/>
      </c>
      <c r="AB3294" s="187"/>
      <c r="AC3294" s="177" t="s">
        <v>2317</v>
      </c>
    </row>
    <row r="3295" spans="1:29" ht="20.25" customHeight="1">
      <c r="A3295" s="217"/>
      <c r="E3295" s="187">
        <v>99.8</v>
      </c>
      <c r="F3295" s="178">
        <v>2022</v>
      </c>
      <c r="G3295" s="188">
        <v>307294000</v>
      </c>
      <c r="H3295" s="188">
        <v>161124000</v>
      </c>
      <c r="I3295" s="188">
        <v>152218000</v>
      </c>
      <c r="J3295" s="188">
        <v>128291000</v>
      </c>
      <c r="K3295" s="188">
        <v>-212803000</v>
      </c>
      <c r="L3295" s="188">
        <v>259794000</v>
      </c>
      <c r="M3295" s="194">
        <f>L3295/P3295</f>
        <v>7.0066211401977707</v>
      </c>
      <c r="N3295" s="190">
        <f>J3295/L3297</f>
        <v>0.51682310760182093</v>
      </c>
      <c r="O3295" s="190">
        <f>(I3295*0.86)/(K3297+L3297)</f>
        <v>2.9466411560797732</v>
      </c>
      <c r="P3295" s="188">
        <v>37078357</v>
      </c>
      <c r="Q3295" s="188">
        <f>P3295*E3295</f>
        <v>3700420028.5999999</v>
      </c>
      <c r="R3295" s="195">
        <f>Q3295/L3295</f>
        <v>14.243670094767392</v>
      </c>
      <c r="S3295" s="197">
        <f>(Q3295+K3295)/H3295</f>
        <v>21.645546464834538</v>
      </c>
      <c r="T3295" s="180">
        <v>130426000</v>
      </c>
      <c r="U3295" s="189">
        <f>IFERROR(IF(Tableau3[[#This Row],[Dettes]]=0,"",(Tableau3[[#This Row],[Dettes]]/Tableau3[[#This Row],[EBE]])),"")</f>
        <v>-1.3207405476527394</v>
      </c>
      <c r="V3295" s="190">
        <f>IFERROR(Tableau3[[#This Row],[Fonds propres]]/Tableau3[[#This Row],[Total Bilan]],"")</f>
        <v>0.53627693832053502</v>
      </c>
      <c r="W3295" s="180">
        <v>484440000</v>
      </c>
      <c r="X3295" s="191"/>
      <c r="Y3295" s="180">
        <v>553</v>
      </c>
      <c r="Z3295" s="192">
        <f>IFERROR(Tableau3[[#This Row],[Chiffre d''affaires]]/Tableau3[[#This Row],[Salariés]],"")</f>
        <v>555685.3526220615</v>
      </c>
      <c r="AB3295" s="187"/>
      <c r="AC3295" s="177" t="s">
        <v>2318</v>
      </c>
    </row>
    <row r="3296" spans="1:29" ht="20.25" customHeight="1">
      <c r="A3296" s="217"/>
      <c r="E3296" s="187"/>
      <c r="G3296" s="202">
        <f>(G3295/G3297)-1</f>
        <v>-2.3642111617710126E-2</v>
      </c>
      <c r="H3296" s="202">
        <f>(H3295/H3297)-1</f>
        <v>-6.4195566190606179E-2</v>
      </c>
      <c r="I3296" s="202">
        <f>(I3295/I3297)-1</f>
        <v>-7.5331523092717068E-2</v>
      </c>
      <c r="J3296" s="202">
        <f>(J3295/J3297)-1</f>
        <v>-4.3325553127866345E-2</v>
      </c>
      <c r="K3296" s="271"/>
      <c r="L3296" s="178"/>
      <c r="M3296" s="194"/>
      <c r="N3296" s="178"/>
      <c r="O3296" s="178"/>
      <c r="P3296" s="188"/>
      <c r="Q3296" s="178"/>
      <c r="R3296" s="178"/>
      <c r="S3296" s="178"/>
      <c r="T3296" s="180"/>
      <c r="U3296" s="189" t="str">
        <f>IFERROR(IF(Tableau3[[#This Row],[Dettes]]=0,"",(Tableau3[[#This Row],[Dettes]]/Tableau3[[#This Row],[EBE]])),"")</f>
        <v/>
      </c>
      <c r="V3296" s="190" t="str">
        <f>IFERROR(Tableau3[[#This Row],[Fonds propres]]/Tableau3[[#This Row],[Total Bilan]],"")</f>
        <v/>
      </c>
      <c r="W3296" s="180"/>
      <c r="X3296" s="191"/>
      <c r="Y3296" s="180"/>
      <c r="Z3296" s="192" t="str">
        <f>IFERROR(Tableau3[[#This Row],[Chiffre d''affaires]]/Tableau3[[#This Row],[Salariés]],"")</f>
        <v/>
      </c>
      <c r="AA3296" s="177"/>
      <c r="AB3296" s="187"/>
      <c r="AC3296" s="177" t="s">
        <v>2319</v>
      </c>
    </row>
    <row r="3297" spans="1:29" ht="20.25" customHeight="1">
      <c r="A3297" s="217"/>
      <c r="E3297" s="187">
        <v>82.25</v>
      </c>
      <c r="F3297" s="178">
        <v>2021</v>
      </c>
      <c r="G3297" s="188">
        <v>314735000</v>
      </c>
      <c r="H3297" s="188">
        <v>172177000</v>
      </c>
      <c r="I3297" s="188">
        <v>164619000</v>
      </c>
      <c r="J3297" s="188">
        <v>134101000</v>
      </c>
      <c r="K3297" s="188">
        <v>-203804000</v>
      </c>
      <c r="L3297" s="188">
        <v>248230000</v>
      </c>
      <c r="M3297" s="194">
        <f>L3297/P3297</f>
        <v>6.6947410857498353</v>
      </c>
      <c r="N3297" s="190">
        <f>J3297/L3299</f>
        <v>0.54886544097182433</v>
      </c>
      <c r="O3297" s="190">
        <f>(I3297*0.86)/(K3299+L3299)</f>
        <v>1.3801163969584715</v>
      </c>
      <c r="P3297" s="188">
        <v>37078357</v>
      </c>
      <c r="Q3297" s="188">
        <f>P3297*E3297</f>
        <v>3049694863.25</v>
      </c>
      <c r="R3297" s="195">
        <f>Q3297/L3297</f>
        <v>12.285762652580269</v>
      </c>
      <c r="S3297" s="197">
        <f>(Q3297+K3297)/H3297</f>
        <v>16.5288677538231</v>
      </c>
      <c r="T3297" s="180">
        <v>179228000</v>
      </c>
      <c r="U3297" s="189">
        <f>IFERROR(IF(Tableau3[[#This Row],[Dettes]]=0,"",(Tableau3[[#This Row],[Dettes]]/Tableau3[[#This Row],[EBE]])),"")</f>
        <v>-1.1836888783054647</v>
      </c>
      <c r="V3297" s="190">
        <f>IFERROR(Tableau3[[#This Row],[Fonds propres]]/Tableau3[[#This Row],[Total Bilan]],"")</f>
        <v>0.60121584964154229</v>
      </c>
      <c r="W3297" s="180">
        <v>412880000</v>
      </c>
      <c r="X3297" s="191"/>
      <c r="Y3297" s="180">
        <v>553</v>
      </c>
      <c r="Z3297" s="192">
        <f>IFERROR(Tableau3[[#This Row],[Chiffre d''affaires]]/Tableau3[[#This Row],[Salariés]],"")</f>
        <v>569141.04882459308</v>
      </c>
      <c r="AA3297" s="177"/>
      <c r="AB3297" s="187"/>
      <c r="AC3297" s="177" t="s">
        <v>2320</v>
      </c>
    </row>
    <row r="3298" spans="1:29" ht="20.25" customHeight="1">
      <c r="A3298" s="217"/>
      <c r="E3298" s="187"/>
      <c r="G3298" s="202">
        <f>(G3297/G3299)-1</f>
        <v>-0.20596456881631997</v>
      </c>
      <c r="H3298" s="202">
        <f>(H3297/H3299)-1</f>
        <v>-0.29044820651457204</v>
      </c>
      <c r="I3298" s="202">
        <f>(I3297/I3299)-1</f>
        <v>-0.30338871162944214</v>
      </c>
      <c r="J3298" s="202">
        <f>(J3297/J3299)-1</f>
        <v>-0.3256579939857791</v>
      </c>
      <c r="K3298" s="178"/>
      <c r="L3298" s="178"/>
      <c r="M3298" s="194"/>
      <c r="N3298" s="178"/>
      <c r="O3298" s="178"/>
      <c r="P3298" s="188"/>
      <c r="Q3298" s="178"/>
      <c r="R3298" s="178"/>
      <c r="S3298" s="178"/>
      <c r="T3298" s="180"/>
      <c r="U3298" s="189" t="str">
        <f>IFERROR(IF(Tableau3[[#This Row],[Dettes]]=0,"",(Tableau3[[#This Row],[Dettes]]/Tableau3[[#This Row],[EBE]])),"")</f>
        <v/>
      </c>
      <c r="V3298" s="190" t="str">
        <f>IFERROR(Tableau3[[#This Row],[Fonds propres]]/Tableau3[[#This Row],[Total Bilan]],"")</f>
        <v/>
      </c>
      <c r="W3298" s="180"/>
      <c r="X3298" s="191"/>
      <c r="Y3298" s="180"/>
      <c r="Z3298" s="192" t="str">
        <f>IFERROR(Tableau3[[#This Row],[Chiffre d''affaires]]/Tableau3[[#This Row],[Salariés]],"")</f>
        <v/>
      </c>
      <c r="AA3298" s="177"/>
      <c r="AB3298" s="187"/>
      <c r="AC3298" s="177" t="s">
        <v>2321</v>
      </c>
    </row>
    <row r="3299" spans="1:29" ht="20.25" customHeight="1">
      <c r="A3299" s="217"/>
      <c r="E3299" s="187">
        <v>79.2</v>
      </c>
      <c r="F3299" s="178">
        <v>2020</v>
      </c>
      <c r="G3299" s="188">
        <v>396374000</v>
      </c>
      <c r="H3299" s="188">
        <v>242656000</v>
      </c>
      <c r="I3299" s="188">
        <v>236314000</v>
      </c>
      <c r="J3299" s="188">
        <v>198862000</v>
      </c>
      <c r="K3299" s="188">
        <v>-141744000</v>
      </c>
      <c r="L3299" s="188">
        <v>244324000</v>
      </c>
      <c r="M3299" s="194">
        <f>L3299/P3299</f>
        <v>6.5893966121530143</v>
      </c>
      <c r="N3299" s="190">
        <f>J3299/L3301</f>
        <v>0.98308318997053645</v>
      </c>
      <c r="O3299" s="190">
        <f>(I3299*0.86)/(K3301+L3301)</f>
        <v>6.1088745942046412</v>
      </c>
      <c r="P3299" s="188">
        <v>37078357</v>
      </c>
      <c r="Q3299" s="188">
        <f>P3299*E3299</f>
        <v>2936605874.4000001</v>
      </c>
      <c r="R3299" s="195">
        <f>Q3299/L3299</f>
        <v>12.019309909791916</v>
      </c>
      <c r="S3299" s="197">
        <f>(Q3299+K3299)/H3299</f>
        <v>11.517794220625083</v>
      </c>
      <c r="T3299" s="180">
        <v>130455000</v>
      </c>
      <c r="U3299" s="189">
        <f>IFERROR(IF(Tableau3[[#This Row],[Dettes]]=0,"",(Tableau3[[#This Row],[Dettes]]/Tableau3[[#This Row],[EBE]])),"")</f>
        <v>-0.58413556639852304</v>
      </c>
      <c r="V3299" s="190">
        <f>IFERROR(Tableau3[[#This Row],[Fonds propres]]/Tableau3[[#This Row],[Total Bilan]],"")</f>
        <v>0.66965602302316019</v>
      </c>
      <c r="W3299" s="180">
        <v>364850000</v>
      </c>
      <c r="X3299" s="191"/>
      <c r="Y3299" s="180">
        <v>437</v>
      </c>
      <c r="Z3299" s="192">
        <f>IFERROR(Tableau3[[#This Row],[Chiffre d''affaires]]/Tableau3[[#This Row],[Salariés]],"")</f>
        <v>907034.32494279172</v>
      </c>
      <c r="AA3299" s="197"/>
      <c r="AB3299" s="187"/>
      <c r="AC3299" s="177" t="s">
        <v>2322</v>
      </c>
    </row>
    <row r="3300" spans="1:29" ht="20.25" customHeight="1">
      <c r="A3300" s="217"/>
      <c r="E3300" s="187"/>
      <c r="F3300" s="177"/>
      <c r="G3300" s="202">
        <f>(G3299/G3301)-1</f>
        <v>0.37522898856444997</v>
      </c>
      <c r="H3300" s="202">
        <f>(H3299/H3301)-1</f>
        <v>0.3920306566160694</v>
      </c>
      <c r="I3300" s="202">
        <f>(I3299/I3301)-1</f>
        <v>0.38981256579605139</v>
      </c>
      <c r="J3300" s="202">
        <f>(J3299/J3301)-1</f>
        <v>0.3872189629794982</v>
      </c>
      <c r="K3300" s="178"/>
      <c r="L3300" s="178"/>
      <c r="M3300" s="194"/>
      <c r="N3300" s="178"/>
      <c r="O3300" s="178"/>
      <c r="P3300" s="188"/>
      <c r="Q3300" s="178"/>
      <c r="R3300" s="178"/>
      <c r="S3300" s="178"/>
      <c r="T3300" s="180"/>
      <c r="U3300" s="189" t="str">
        <f>IFERROR(IF(Tableau3[[#This Row],[Dettes]]=0,"",(Tableau3[[#This Row],[Dettes]]/Tableau3[[#This Row],[EBE]])),"")</f>
        <v/>
      </c>
      <c r="V3300" s="190" t="str">
        <f>IFERROR(Tableau3[[#This Row],[Fonds propres]]/Tableau3[[#This Row],[Total Bilan]],"")</f>
        <v/>
      </c>
      <c r="W3300" s="180"/>
      <c r="X3300" s="191"/>
      <c r="Y3300" s="180"/>
      <c r="Z3300" s="192" t="str">
        <f>IFERROR(Tableau3[[#This Row],[Chiffre d''affaires]]/Tableau3[[#This Row],[Salariés]],"")</f>
        <v/>
      </c>
      <c r="AA3300" s="177"/>
      <c r="AB3300" s="187"/>
      <c r="AC3300" s="177" t="s">
        <v>2323</v>
      </c>
    </row>
    <row r="3301" spans="1:29" ht="20.25" customHeight="1">
      <c r="A3301" s="217"/>
      <c r="E3301" s="187">
        <v>89.1</v>
      </c>
      <c r="F3301" s="178">
        <v>2019</v>
      </c>
      <c r="G3301" s="188">
        <v>288224000</v>
      </c>
      <c r="H3301" s="188">
        <v>174318000</v>
      </c>
      <c r="I3301" s="188">
        <v>170033000</v>
      </c>
      <c r="J3301" s="188">
        <v>143353000</v>
      </c>
      <c r="K3301" s="188">
        <v>-169016000</v>
      </c>
      <c r="L3301" s="188">
        <v>202284000</v>
      </c>
      <c r="M3301" s="194">
        <f>L3301/P3301</f>
        <v>5.4555815404657766</v>
      </c>
      <c r="N3301" s="190">
        <f>J3301/L3303</f>
        <v>0.79896223470661676</v>
      </c>
      <c r="O3301" s="190">
        <f>(I3301*0.86)/(K3303+L3303)</f>
        <v>23.41527301841473</v>
      </c>
      <c r="P3301" s="188">
        <v>37078357</v>
      </c>
      <c r="Q3301" s="188">
        <f>P3301*E3301</f>
        <v>3303681608.6999998</v>
      </c>
      <c r="R3301" s="195">
        <f>Q3301/L3301</f>
        <v>16.331897770955685</v>
      </c>
      <c r="S3301" s="197">
        <f>(Q3301+K3301)/H3301</f>
        <v>17.982455103316926</v>
      </c>
      <c r="T3301" s="180">
        <v>117410000</v>
      </c>
      <c r="U3301" s="189">
        <f>IFERROR(IF(Tableau3[[#This Row],[Dettes]]=0,"",(Tableau3[[#This Row],[Dettes]]/Tableau3[[#This Row],[EBE]])),"")</f>
        <v>-0.96958432290411778</v>
      </c>
      <c r="V3301" s="190">
        <f>IFERROR(Tableau3[[#This Row],[Fonds propres]]/Tableau3[[#This Row],[Total Bilan]],"")</f>
        <v>0.5797764402407567</v>
      </c>
      <c r="W3301" s="180">
        <v>348900000</v>
      </c>
      <c r="X3301" s="191"/>
      <c r="Y3301" s="180">
        <v>381</v>
      </c>
      <c r="Z3301" s="192">
        <f>IFERROR(Tableau3[[#This Row],[Chiffre d''affaires]]/Tableau3[[#This Row],[Salariés]],"")</f>
        <v>756493.43832020997</v>
      </c>
      <c r="AA3301" s="197"/>
      <c r="AB3301" s="187"/>
      <c r="AC3301" s="177" t="s">
        <v>2324</v>
      </c>
    </row>
    <row r="3302" spans="1:29" ht="20.25" customHeight="1">
      <c r="A3302" s="217"/>
      <c r="E3302" s="187"/>
      <c r="G3302" s="202">
        <f>(G3301/G3303)-1</f>
        <v>0.17170419575018192</v>
      </c>
      <c r="H3302" s="202">
        <f>(H3301/H3303)-1</f>
        <v>3.330784414845378E-2</v>
      </c>
      <c r="I3302" s="202">
        <f>(I3301/I3303)-1</f>
        <v>6.3364206602835482E-2</v>
      </c>
      <c r="J3302" s="202">
        <f>(J3301/J3303)-1</f>
        <v>3.8725490196078738E-3</v>
      </c>
      <c r="K3302" s="188"/>
      <c r="L3302" s="188"/>
      <c r="M3302" s="194"/>
      <c r="N3302" s="190"/>
      <c r="O3302" s="190"/>
      <c r="P3302" s="188"/>
      <c r="Q3302" s="188"/>
      <c r="R3302" s="188"/>
      <c r="S3302" s="188"/>
      <c r="T3302" s="180"/>
      <c r="U3302" s="189" t="str">
        <f>IFERROR(IF(Tableau3[[#This Row],[Dettes]]=0,"",(Tableau3[[#This Row],[Dettes]]/Tableau3[[#This Row],[EBE]])),"")</f>
        <v/>
      </c>
      <c r="V3302" s="190" t="str">
        <f>IFERROR(Tableau3[[#This Row],[Fonds propres]]/Tableau3[[#This Row],[Total Bilan]],"")</f>
        <v/>
      </c>
      <c r="W3302" s="180"/>
      <c r="X3302" s="191"/>
      <c r="Y3302" s="180"/>
      <c r="Z3302" s="192" t="str">
        <f>IFERROR(Tableau3[[#This Row],[Chiffre d''affaires]]/Tableau3[[#This Row],[Salariés]],"")</f>
        <v/>
      </c>
      <c r="AA3302" s="188"/>
      <c r="AB3302" s="187"/>
      <c r="AC3302" s="177" t="s">
        <v>2325</v>
      </c>
    </row>
    <row r="3303" spans="1:29" ht="20.25" customHeight="1">
      <c r="A3303" s="217"/>
      <c r="E3303" s="187">
        <v>68.05</v>
      </c>
      <c r="F3303" s="178">
        <v>2018</v>
      </c>
      <c r="G3303" s="188">
        <v>245987000</v>
      </c>
      <c r="H3303" s="188">
        <v>168699000</v>
      </c>
      <c r="I3303" s="188">
        <v>159901000</v>
      </c>
      <c r="J3303" s="188">
        <v>142800000</v>
      </c>
      <c r="K3303" s="188">
        <v>-173179000</v>
      </c>
      <c r="L3303" s="188">
        <v>179424000</v>
      </c>
      <c r="M3303" s="194">
        <f>L3303/P3303</f>
        <v>4.8390493678023541</v>
      </c>
      <c r="N3303" s="190">
        <f>J3303/L3305</f>
        <v>1.0468824456581503</v>
      </c>
      <c r="O3303" s="190">
        <f>(I3303*0.86)/(K3305+L3305)</f>
        <v>3.7659827468163769</v>
      </c>
      <c r="P3303" s="188">
        <v>37078357</v>
      </c>
      <c r="Q3303" s="188">
        <f>P3303*E3303</f>
        <v>2523182193.8499999</v>
      </c>
      <c r="R3303" s="195">
        <f>Q3303/L3303</f>
        <v>14.062679428894684</v>
      </c>
      <c r="S3303" s="197">
        <f>(Q3303+K3303)/H3303</f>
        <v>13.930154854800561</v>
      </c>
      <c r="T3303" s="180">
        <v>172450000</v>
      </c>
      <c r="U3303" s="189">
        <f>IFERROR(IF(Tableau3[[#This Row],[Dettes]]=0,"",(Tableau3[[#This Row],[Dettes]]/Tableau3[[#This Row],[EBE]])),"")</f>
        <v>-1.0265561740140725</v>
      </c>
      <c r="V3303" s="190">
        <f>IFERROR(Tableau3[[#This Row],[Fonds propres]]/Tableau3[[#This Row],[Total Bilan]],"")</f>
        <v>0.51734040712761664</v>
      </c>
      <c r="W3303" s="180">
        <v>346820000</v>
      </c>
      <c r="X3303" s="191"/>
      <c r="Y3303" s="180">
        <v>345</v>
      </c>
      <c r="Z3303" s="192">
        <f>IFERROR(Tableau3[[#This Row],[Chiffre d''affaires]]/Tableau3[[#This Row],[Salariés]],"")</f>
        <v>713005.79710144922</v>
      </c>
      <c r="AA3303" s="197"/>
      <c r="AB3303" s="187"/>
      <c r="AC3303" s="177" t="s">
        <v>2326</v>
      </c>
    </row>
    <row r="3304" spans="1:29" ht="20.25" customHeight="1">
      <c r="A3304" s="217"/>
      <c r="E3304" s="187"/>
      <c r="G3304" s="202">
        <f>(G3303/G3305)-1</f>
        <v>6.2161310240898882E-2</v>
      </c>
      <c r="H3304" s="202">
        <f>(H3303/H3305)-1</f>
        <v>0.18721850016889996</v>
      </c>
      <c r="I3304" s="202">
        <f>(I3303/I3305)-1</f>
        <v>0.15574653242069192</v>
      </c>
      <c r="J3304" s="202">
        <f>(J3303/J3305)-1</f>
        <v>0.2284399329003397</v>
      </c>
      <c r="K3304" s="178"/>
      <c r="L3304" s="178"/>
      <c r="M3304" s="194"/>
      <c r="N3304" s="178"/>
      <c r="O3304" s="178"/>
      <c r="P3304" s="188"/>
      <c r="Q3304" s="178"/>
      <c r="R3304" s="178"/>
      <c r="S3304" s="178"/>
      <c r="T3304" s="180"/>
      <c r="U3304" s="189" t="str">
        <f>IFERROR(IF(Tableau3[[#This Row],[Dettes]]=0,"",(Tableau3[[#This Row],[Dettes]]/Tableau3[[#This Row],[EBE]])),"")</f>
        <v/>
      </c>
      <c r="V3304" s="190" t="str">
        <f>IFERROR(Tableau3[[#This Row],[Fonds propres]]/Tableau3[[#This Row],[Total Bilan]],"")</f>
        <v/>
      </c>
      <c r="W3304" s="180"/>
      <c r="X3304" s="191"/>
      <c r="Y3304" s="180"/>
      <c r="Z3304" s="192" t="str">
        <f>IFERROR(Tableau3[[#This Row],[Chiffre d''affaires]]/Tableau3[[#This Row],[Salariés]],"")</f>
        <v/>
      </c>
      <c r="AA3304" s="177"/>
      <c r="AB3304" s="187"/>
      <c r="AC3304" s="177" t="s">
        <v>2327</v>
      </c>
    </row>
    <row r="3305" spans="1:29" ht="20.25" customHeight="1">
      <c r="A3305" s="217"/>
      <c r="E3305" s="187">
        <v>51.4</v>
      </c>
      <c r="F3305" s="178">
        <v>2017</v>
      </c>
      <c r="G3305" s="188">
        <v>231591000</v>
      </c>
      <c r="H3305" s="188">
        <v>142096000</v>
      </c>
      <c r="I3305" s="188">
        <v>138353000</v>
      </c>
      <c r="J3305" s="188">
        <v>116245000</v>
      </c>
      <c r="K3305" s="188">
        <v>-99890000</v>
      </c>
      <c r="L3305" s="188">
        <v>136405000</v>
      </c>
      <c r="M3305" s="194">
        <f>L3305/P3305</f>
        <v>3.6788307529376234</v>
      </c>
      <c r="N3305" s="190">
        <f>J3305/L3307</f>
        <v>0.96259584968781575</v>
      </c>
      <c r="O3305" s="190">
        <f>(I3305*0.86)/(K3307+L3307)</f>
        <v>2.7961267125702065</v>
      </c>
      <c r="P3305" s="188">
        <v>37078357</v>
      </c>
      <c r="Q3305" s="188">
        <f>P3305*E3305</f>
        <v>1905827549.8</v>
      </c>
      <c r="R3305" s="195">
        <f>Q3305/L3305</f>
        <v>13.971830576591767</v>
      </c>
      <c r="S3305" s="197">
        <f>(Q3305+K3305)/H3305</f>
        <v>12.70927788115077</v>
      </c>
      <c r="T3305" s="180"/>
      <c r="U3305" s="189">
        <f>IFERROR(IF(Tableau3[[#This Row],[Dettes]]=0,"",(Tableau3[[#This Row],[Dettes]]/Tableau3[[#This Row],[EBE]])),"")</f>
        <v>-0.7029754532147281</v>
      </c>
      <c r="V3305" s="190" t="str">
        <f>IFERROR(Tableau3[[#This Row],[Fonds propres]]/Tableau3[[#This Row],[Total Bilan]],"")</f>
        <v/>
      </c>
      <c r="W3305" s="180"/>
      <c r="X3305" s="191"/>
      <c r="Y3305" s="180">
        <v>345</v>
      </c>
      <c r="Z3305" s="192">
        <f>IFERROR(Tableau3[[#This Row],[Chiffre d''affaires]]/Tableau3[[#This Row],[Salariés]],"")</f>
        <v>671278.26086956519</v>
      </c>
      <c r="AA3305" s="197"/>
      <c r="AB3305" s="187"/>
      <c r="AC3305" s="177" t="s">
        <v>2328</v>
      </c>
    </row>
    <row r="3306" spans="1:29" ht="20.25" customHeight="1">
      <c r="A3306" s="217"/>
      <c r="E3306" s="187"/>
      <c r="G3306" s="202">
        <f>(G3305/G3307)-1</f>
        <v>-2.2942340388728777E-2</v>
      </c>
      <c r="H3306" s="202">
        <f>(H3305/H3307)-1</f>
        <v>-2.9319343115555951E-2</v>
      </c>
      <c r="I3306" s="202">
        <f>(I3305/I3307)-1</f>
        <v>-2.6690679367133985E-2</v>
      </c>
      <c r="J3306" s="202">
        <f>(J3305/J3307)-1</f>
        <v>-3.0224914072146003E-2</v>
      </c>
      <c r="K3306" s="188"/>
      <c r="L3306" s="188"/>
      <c r="M3306" s="194"/>
      <c r="N3306" s="188"/>
      <c r="O3306" s="188"/>
      <c r="P3306" s="188"/>
      <c r="Q3306" s="188"/>
      <c r="R3306" s="188"/>
      <c r="S3306" s="188"/>
      <c r="T3306" s="180"/>
      <c r="U3306" s="189" t="str">
        <f>IFERROR(IF(Tableau3[[#This Row],[Dettes]]=0,"",(Tableau3[[#This Row],[Dettes]]/Tableau3[[#This Row],[EBE]])),"")</f>
        <v/>
      </c>
      <c r="V3306" s="190" t="str">
        <f>IFERROR(Tableau3[[#This Row],[Fonds propres]]/Tableau3[[#This Row],[Total Bilan]],"")</f>
        <v/>
      </c>
      <c r="W3306" s="180"/>
      <c r="X3306" s="191"/>
      <c r="Y3306" s="180"/>
      <c r="Z3306" s="192" t="str">
        <f>IFERROR(Tableau3[[#This Row],[Chiffre d''affaires]]/Tableau3[[#This Row],[Salariés]],"")</f>
        <v/>
      </c>
      <c r="AA3306" s="188"/>
      <c r="AB3306" s="187"/>
      <c r="AC3306" s="177" t="s">
        <v>2329</v>
      </c>
    </row>
    <row r="3307" spans="1:29" ht="20.25" customHeight="1">
      <c r="A3307" s="217"/>
      <c r="E3307" s="187">
        <v>39.49</v>
      </c>
      <c r="F3307" s="178">
        <v>2016</v>
      </c>
      <c r="G3307" s="188">
        <v>237029000</v>
      </c>
      <c r="H3307" s="188">
        <v>146388000</v>
      </c>
      <c r="I3307" s="188">
        <v>142147000</v>
      </c>
      <c r="J3307" s="188">
        <v>119868000</v>
      </c>
      <c r="K3307" s="188">
        <v>-78209000</v>
      </c>
      <c r="L3307" s="188">
        <v>120762000</v>
      </c>
      <c r="M3307" s="194">
        <f>L3307/P3307</f>
        <v>3.2569404302353528</v>
      </c>
      <c r="N3307" s="190">
        <f>J3307/L3309</f>
        <v>1.1957504114918449</v>
      </c>
      <c r="O3307" s="190">
        <f>(I3307*0.86)/(K3309+L3309)</f>
        <v>4.5612633856945637</v>
      </c>
      <c r="P3307" s="188">
        <v>37078357</v>
      </c>
      <c r="Q3307" s="188">
        <f>P3307*E3307</f>
        <v>1464224317.9300001</v>
      </c>
      <c r="R3307" s="195">
        <f>Q3307/L3307</f>
        <v>12.124876351252878</v>
      </c>
      <c r="S3307" s="197">
        <f>(Q3307+K3307)/H3307</f>
        <v>9.4680938186873238</v>
      </c>
      <c r="T3307" s="180"/>
      <c r="U3307" s="189">
        <f>IFERROR(IF(Tableau3[[#This Row],[Dettes]]=0,"",(Tableau3[[#This Row],[Dettes]]/Tableau3[[#This Row],[EBE]])),"")</f>
        <v>-0.53425827253600022</v>
      </c>
      <c r="V3307" s="190" t="str">
        <f>IFERROR(Tableau3[[#This Row],[Fonds propres]]/Tableau3[[#This Row],[Total Bilan]],"")</f>
        <v/>
      </c>
      <c r="W3307" s="180"/>
      <c r="X3307" s="191"/>
      <c r="Y3307" s="180">
        <v>376</v>
      </c>
      <c r="Z3307" s="192">
        <f>IFERROR(Tableau3[[#This Row],[Chiffre d''affaires]]/Tableau3[[#This Row],[Salariés]],"")</f>
        <v>630396.27659574465</v>
      </c>
      <c r="AA3307" s="197"/>
      <c r="AB3307" s="187"/>
      <c r="AC3307" s="177" t="s">
        <v>2330</v>
      </c>
    </row>
    <row r="3308" spans="1:29" ht="20.25" customHeight="1">
      <c r="A3308" s="217"/>
      <c r="E3308" s="187"/>
      <c r="G3308" s="202">
        <f>(G3307/G3309)-1</f>
        <v>4.6679737523072751E-2</v>
      </c>
      <c r="H3308" s="202">
        <f>(H3307/H3309)-1</f>
        <v>2.9741136747327035E-2</v>
      </c>
      <c r="I3308" s="202">
        <f>(I3307/I3309)-1</f>
        <v>2.0621073415903801E-2</v>
      </c>
      <c r="J3308" s="202">
        <f>(J3307/J3309)-1</f>
        <v>2.2267327323741926E-2</v>
      </c>
      <c r="K3308" s="188"/>
      <c r="L3308" s="188"/>
      <c r="M3308" s="194"/>
      <c r="N3308" s="188"/>
      <c r="O3308" s="188"/>
      <c r="P3308" s="188"/>
      <c r="Q3308" s="188"/>
      <c r="R3308" s="188"/>
      <c r="S3308" s="188"/>
      <c r="T3308" s="180"/>
      <c r="U3308" s="189" t="str">
        <f>IFERROR(IF(Tableau3[[#This Row],[Dettes]]=0,"",(Tableau3[[#This Row],[Dettes]]/Tableau3[[#This Row],[EBE]])),"")</f>
        <v/>
      </c>
      <c r="V3308" s="190" t="str">
        <f>IFERROR(Tableau3[[#This Row],[Fonds propres]]/Tableau3[[#This Row],[Total Bilan]],"")</f>
        <v/>
      </c>
      <c r="W3308" s="180"/>
      <c r="X3308" s="191"/>
      <c r="Y3308" s="180"/>
      <c r="Z3308" s="192" t="str">
        <f>IFERROR(Tableau3[[#This Row],[Chiffre d''affaires]]/Tableau3[[#This Row],[Salariés]],"")</f>
        <v/>
      </c>
      <c r="AA3308" s="188"/>
      <c r="AB3308" s="187"/>
      <c r="AC3308" s="177" t="s">
        <v>2331</v>
      </c>
    </row>
    <row r="3309" spans="1:29" ht="20.25" customHeight="1">
      <c r="A3309" s="217"/>
      <c r="E3309" s="187">
        <v>36.880000000000003</v>
      </c>
      <c r="F3309" s="178">
        <v>2015</v>
      </c>
      <c r="G3309" s="188">
        <v>226458000</v>
      </c>
      <c r="H3309" s="188">
        <v>142160000</v>
      </c>
      <c r="I3309" s="188">
        <v>139275000</v>
      </c>
      <c r="J3309" s="188">
        <v>117257000</v>
      </c>
      <c r="K3309" s="188">
        <v>-73444000</v>
      </c>
      <c r="L3309" s="188">
        <v>100245000</v>
      </c>
      <c r="M3309" s="194">
        <f>L3309/P3309</f>
        <v>2.7035987597832341</v>
      </c>
      <c r="N3309" s="190">
        <f>J3309/L3311</f>
        <v>1.5400992959966375</v>
      </c>
      <c r="O3309" s="190">
        <f>(I3309*0.86)/(K3311+L3311)</f>
        <v>10.478217128860118</v>
      </c>
      <c r="P3309" s="188">
        <v>37078357</v>
      </c>
      <c r="Q3309" s="188">
        <f>P3309*E3309</f>
        <v>1367449806.1600001</v>
      </c>
      <c r="R3309" s="195">
        <f>Q3309/L3309</f>
        <v>13.641077421916306</v>
      </c>
      <c r="S3309" s="197">
        <f>(Q3309+K3309)/H3309</f>
        <v>9.1024606510973562</v>
      </c>
      <c r="T3309" s="180"/>
      <c r="U3309" s="189">
        <f>IFERROR(IF(Tableau3[[#This Row],[Dettes]]=0,"",(Tableau3[[#This Row],[Dettes]]/Tableau3[[#This Row],[EBE]])),"")</f>
        <v>-0.51662915025323575</v>
      </c>
      <c r="V3309" s="190" t="str">
        <f>IFERROR(Tableau3[[#This Row],[Fonds propres]]/Tableau3[[#This Row],[Total Bilan]],"")</f>
        <v/>
      </c>
      <c r="W3309" s="180"/>
      <c r="X3309" s="191"/>
      <c r="Y3309" s="180"/>
      <c r="Z3309" s="192" t="str">
        <f>IFERROR(Tableau3[[#This Row],[Chiffre d''affaires]]/Tableau3[[#This Row],[Salariés]],"")</f>
        <v/>
      </c>
      <c r="AA3309" s="197"/>
      <c r="AB3309" s="187"/>
      <c r="AC3309" s="177" t="s">
        <v>2332</v>
      </c>
    </row>
    <row r="3310" spans="1:29" ht="20.25" customHeight="1">
      <c r="A3310" s="217"/>
      <c r="E3310" s="187"/>
      <c r="G3310" s="202">
        <f>(G3309/G3311)-1</f>
        <v>-1.3318045510671839E-3</v>
      </c>
      <c r="H3310" s="202">
        <f>(H3309/H3311)-1</f>
        <v>-8.5745210216325862E-4</v>
      </c>
      <c r="I3310" s="202">
        <f>(I3309/I3311)-1</f>
        <v>2.8225196748341563E-3</v>
      </c>
      <c r="J3310" s="202">
        <f>(J3309/J3311)-1</f>
        <v>1.6135881104033967E-2</v>
      </c>
      <c r="K3310" s="178"/>
      <c r="L3310" s="188"/>
      <c r="M3310" s="194"/>
      <c r="N3310" s="188"/>
      <c r="O3310" s="188"/>
      <c r="P3310" s="188"/>
      <c r="Q3310" s="188"/>
      <c r="R3310" s="188"/>
      <c r="S3310" s="188"/>
      <c r="T3310" s="180"/>
      <c r="U3310" s="189" t="str">
        <f>IFERROR(IF(Tableau3[[#This Row],[Dettes]]=0,"",(Tableau3[[#This Row],[Dettes]]/Tableau3[[#This Row],[EBE]])),"")</f>
        <v/>
      </c>
      <c r="V3310" s="190" t="str">
        <f>IFERROR(Tableau3[[#This Row],[Fonds propres]]/Tableau3[[#This Row],[Total Bilan]],"")</f>
        <v/>
      </c>
      <c r="W3310" s="180"/>
      <c r="X3310" s="191"/>
      <c r="Y3310" s="180"/>
      <c r="Z3310" s="192" t="str">
        <f>IFERROR(Tableau3[[#This Row],[Chiffre d''affaires]]/Tableau3[[#This Row],[Salariés]],"")</f>
        <v/>
      </c>
      <c r="AA3310" s="188"/>
      <c r="AB3310" s="187"/>
      <c r="AC3310" s="177" t="s">
        <v>2333</v>
      </c>
    </row>
    <row r="3311" spans="1:29" ht="20.25" customHeight="1">
      <c r="A3311" s="217"/>
      <c r="E3311" s="187">
        <v>48.6</v>
      </c>
      <c r="F3311" s="178">
        <v>2014</v>
      </c>
      <c r="G3311" s="188">
        <v>226760000</v>
      </c>
      <c r="H3311" s="188">
        <v>142282000</v>
      </c>
      <c r="I3311" s="188">
        <v>138883000</v>
      </c>
      <c r="J3311" s="188">
        <v>115395000</v>
      </c>
      <c r="K3311" s="188">
        <v>-64705000</v>
      </c>
      <c r="L3311" s="188">
        <v>76136000</v>
      </c>
      <c r="M3311" s="194">
        <f>L3311/P3311</f>
        <v>2.0533811678872396</v>
      </c>
      <c r="N3311" s="190">
        <f>J3311/L3313</f>
        <v>1.3300944016044816</v>
      </c>
      <c r="O3311" s="190">
        <f>(I3311*0.86)/(K3313+L3313)</f>
        <v>-282.36260047281326</v>
      </c>
      <c r="P3311" s="188">
        <v>37078357</v>
      </c>
      <c r="Q3311" s="188">
        <f>P3311*E3311</f>
        <v>1802008150.2</v>
      </c>
      <c r="R3311" s="195">
        <f>Q3311/L3311</f>
        <v>23.668279791425871</v>
      </c>
      <c r="S3311" s="197">
        <f>(Q3311+K3309)/H3311</f>
        <v>12.148860363222333</v>
      </c>
      <c r="T3311" s="180"/>
      <c r="U3311" s="189">
        <f>IFERROR(IF(Tableau3[[#This Row],[Dettes]]=0,"",(Tableau3[[#This Row],[Dettes]]/Tableau3[[#This Row],[EBE]])),"")</f>
        <v>-0.45476588746292573</v>
      </c>
      <c r="V3311" s="190" t="str">
        <f>IFERROR(Tableau3[[#This Row],[Fonds propres]]/Tableau3[[#This Row],[Total Bilan]],"")</f>
        <v/>
      </c>
      <c r="W3311" s="180"/>
      <c r="X3311" s="191"/>
      <c r="Y3311" s="180"/>
      <c r="Z3311" s="192" t="str">
        <f>IFERROR(Tableau3[[#This Row],[Chiffre d''affaires]]/Tableau3[[#This Row],[Salariés]],"")</f>
        <v/>
      </c>
      <c r="AA3311" s="197"/>
      <c r="AB3311" s="187"/>
      <c r="AC3311" s="177" t="s">
        <v>4878</v>
      </c>
    </row>
    <row r="3312" spans="1:29" ht="20.25" customHeight="1">
      <c r="A3312" s="217"/>
      <c r="G3312" s="202">
        <f>(G3311/G3313)-1</f>
        <v>4.1932786237444564E-2</v>
      </c>
      <c r="H3312" s="202">
        <f>(H3311/H3313)-1</f>
        <v>-1.1896246397444354E-2</v>
      </c>
      <c r="I3312" s="202">
        <f>(I3311/I3313)-1</f>
        <v>-1.1332977398113564E-2</v>
      </c>
      <c r="J3312" s="202">
        <f>(J3311/J3313)-1</f>
        <v>-2.8195346251989606E-2</v>
      </c>
      <c r="K3312" s="178"/>
      <c r="L3312" s="178"/>
      <c r="M3312" s="194"/>
      <c r="N3312" s="178"/>
      <c r="O3312" s="178"/>
      <c r="P3312" s="188"/>
      <c r="Q3312" s="178"/>
      <c r="R3312" s="178"/>
      <c r="S3312" s="178"/>
      <c r="T3312" s="180"/>
      <c r="U3312" s="189" t="str">
        <f>IFERROR(IF(Tableau3[[#This Row],[Dettes]]=0,"",(Tableau3[[#This Row],[Dettes]]/Tableau3[[#This Row],[EBE]])),"")</f>
        <v/>
      </c>
      <c r="V3312" s="190" t="str">
        <f>IFERROR(Tableau3[[#This Row],[Fonds propres]]/Tableau3[[#This Row],[Total Bilan]],"")</f>
        <v/>
      </c>
      <c r="W3312" s="180"/>
      <c r="Y3312" s="180"/>
      <c r="Z3312" s="192" t="str">
        <f>IFERROR(Tableau3[[#This Row],[Chiffre d''affaires]]/Tableau3[[#This Row],[Salariés]],"")</f>
        <v/>
      </c>
      <c r="AA3312" s="177"/>
      <c r="AB3312" s="187"/>
      <c r="AC3312" s="216" t="s">
        <v>4877</v>
      </c>
    </row>
    <row r="3313" spans="1:29" ht="20.25" customHeight="1">
      <c r="A3313" s="217"/>
      <c r="F3313" s="178">
        <v>2013</v>
      </c>
      <c r="G3313" s="188">
        <v>217634000</v>
      </c>
      <c r="H3313" s="188">
        <v>143995000</v>
      </c>
      <c r="I3313" s="188">
        <v>140475000</v>
      </c>
      <c r="J3313" s="188">
        <v>118743000</v>
      </c>
      <c r="K3313" s="188">
        <v>-87180000</v>
      </c>
      <c r="L3313" s="188">
        <v>86757000</v>
      </c>
      <c r="M3313" s="194"/>
      <c r="N3313" s="190">
        <f>J3313/L3313</f>
        <v>1.3686849476122964</v>
      </c>
      <c r="O3313" s="190">
        <f>(I3313*0.7)/(K3311+L3313)</f>
        <v>4.4591193542535823</v>
      </c>
      <c r="P3313" s="188"/>
      <c r="Q3313" s="178"/>
      <c r="R3313" s="178"/>
      <c r="S3313" s="178"/>
      <c r="T3313" s="180"/>
      <c r="U3313" s="189">
        <f>IFERROR(IF(Tableau3[[#This Row],[Dettes]]=0,"",(Tableau3[[#This Row],[Dettes]]/Tableau3[[#This Row],[EBE]])),"")</f>
        <v>-0.60543768880863924</v>
      </c>
      <c r="V3313" s="190" t="str">
        <f>IFERROR(Tableau3[[#This Row],[Fonds propres]]/Tableau3[[#This Row],[Total Bilan]],"")</f>
        <v/>
      </c>
      <c r="W3313" s="180"/>
      <c r="Y3313" s="180"/>
      <c r="Z3313" s="192" t="str">
        <f>IFERROR(Tableau3[[#This Row],[Chiffre d''affaires]]/Tableau3[[#This Row],[Salariés]],"")</f>
        <v/>
      </c>
      <c r="AA3313" s="177"/>
      <c r="AB3313" s="187"/>
      <c r="AC3313" s="177" t="s">
        <v>2334</v>
      </c>
    </row>
    <row r="3314" spans="1:29" ht="20.25" customHeight="1">
      <c r="A3314" s="217"/>
      <c r="G3314" s="188"/>
      <c r="H3314" s="178"/>
      <c r="I3314" s="178"/>
      <c r="J3314" s="178"/>
      <c r="K3314" s="178"/>
      <c r="L3314" s="178"/>
      <c r="M3314" s="194"/>
      <c r="N3314" s="178"/>
      <c r="O3314" s="178"/>
      <c r="P3314" s="188"/>
      <c r="Q3314" s="178"/>
      <c r="R3314" s="178"/>
      <c r="S3314" s="178"/>
      <c r="T3314" s="180"/>
      <c r="U3314" s="189" t="str">
        <f>IFERROR(IF(Tableau3[[#This Row],[Dettes]]=0,"",(Tableau3[[#This Row],[Dettes]]/Tableau3[[#This Row],[EBE]])),"")</f>
        <v/>
      </c>
      <c r="V3314" s="190" t="str">
        <f>IFERROR(Tableau3[[#This Row],[Fonds propres]]/Tableau3[[#This Row],[Total Bilan]],"")</f>
        <v/>
      </c>
      <c r="W3314" s="180"/>
      <c r="Y3314" s="180"/>
      <c r="Z3314" s="192" t="str">
        <f>IFERROR(Tableau3[[#This Row],[Chiffre d''affaires]]/Tableau3[[#This Row],[Salariés]],"")</f>
        <v/>
      </c>
      <c r="AA3314" s="177"/>
      <c r="AB3314" s="187"/>
      <c r="AC3314" s="177" t="s">
        <v>4876</v>
      </c>
    </row>
    <row r="3315" spans="1:29" ht="20.25" customHeight="1">
      <c r="A3315" s="217"/>
      <c r="F3315" s="217" t="s">
        <v>2336</v>
      </c>
      <c r="G3315" s="188"/>
      <c r="H3315" s="178"/>
      <c r="I3315" s="178"/>
      <c r="J3315" s="178"/>
      <c r="K3315" s="178"/>
      <c r="L3315" s="178"/>
      <c r="M3315" s="194"/>
      <c r="N3315" s="178"/>
      <c r="O3315" s="178"/>
      <c r="P3315" s="188"/>
      <c r="Q3315" s="178"/>
      <c r="R3315" s="178"/>
      <c r="S3315" s="178"/>
      <c r="T3315" s="180"/>
      <c r="U3315" s="189" t="str">
        <f>IFERROR(IF(Tableau3[[#This Row],[Dettes]]=0,"",(Tableau3[[#This Row],[Dettes]]/Tableau3[[#This Row],[EBE]])),"")</f>
        <v/>
      </c>
      <c r="V3315" s="190" t="str">
        <f>IFERROR(Tableau3[[#This Row],[Fonds propres]]/Tableau3[[#This Row],[Total Bilan]],"")</f>
        <v/>
      </c>
      <c r="W3315" s="180"/>
      <c r="Y3315" s="180"/>
      <c r="Z3315" s="192" t="str">
        <f>IFERROR(Tableau3[[#This Row],[Chiffre d''affaires]]/Tableau3[[#This Row],[Salariés]],"")</f>
        <v/>
      </c>
      <c r="AA3315" s="177"/>
      <c r="AB3315" s="187"/>
      <c r="AC3315" s="177" t="s">
        <v>81</v>
      </c>
    </row>
    <row r="3316" spans="1:29" ht="20.25" customHeight="1">
      <c r="A3316" s="217"/>
      <c r="G3316" s="188"/>
      <c r="H3316" s="178"/>
      <c r="I3316" s="178"/>
      <c r="J3316" s="178"/>
      <c r="K3316" s="178"/>
      <c r="L3316" s="178"/>
      <c r="M3316" s="194"/>
      <c r="N3316" s="178"/>
      <c r="O3316" s="178"/>
      <c r="P3316" s="188"/>
      <c r="Q3316" s="178"/>
      <c r="R3316" s="178"/>
      <c r="S3316" s="178"/>
      <c r="T3316" s="180"/>
      <c r="U3316" s="189" t="str">
        <f>IFERROR(IF(Tableau3[[#This Row],[Dettes]]=0,"",(Tableau3[[#This Row],[Dettes]]/Tableau3[[#This Row],[EBE]])),"")</f>
        <v/>
      </c>
      <c r="V3316" s="190" t="str">
        <f>IFERROR(Tableau3[[#This Row],[Fonds propres]]/Tableau3[[#This Row],[Total Bilan]],"")</f>
        <v/>
      </c>
      <c r="W3316" s="180"/>
      <c r="Y3316" s="180"/>
      <c r="Z3316" s="192" t="str">
        <f>IFERROR(Tableau3[[#This Row],[Chiffre d''affaires]]/Tableau3[[#This Row],[Salariés]],"")</f>
        <v/>
      </c>
      <c r="AA3316" s="177"/>
      <c r="AB3316" s="187"/>
      <c r="AC3316" s="177" t="s">
        <v>2337</v>
      </c>
    </row>
    <row r="3317" spans="1:29" ht="20.25" customHeight="1">
      <c r="A3317" s="217"/>
      <c r="G3317" s="188"/>
      <c r="H3317" s="178"/>
      <c r="I3317" s="178"/>
      <c r="J3317" s="178"/>
      <c r="K3317" s="178"/>
      <c r="L3317" s="178"/>
      <c r="M3317" s="194"/>
      <c r="N3317" s="178"/>
      <c r="O3317" s="178"/>
      <c r="P3317" s="188"/>
      <c r="Q3317" s="178"/>
      <c r="R3317" s="178"/>
      <c r="S3317" s="178"/>
      <c r="T3317" s="180"/>
      <c r="U3317" s="189" t="str">
        <f>IFERROR(IF(Tableau3[[#This Row],[Dettes]]=0,"",(Tableau3[[#This Row],[Dettes]]/Tableau3[[#This Row],[EBE]])),"")</f>
        <v/>
      </c>
      <c r="V3317" s="190" t="str">
        <f>IFERROR(Tableau3[[#This Row],[Fonds propres]]/Tableau3[[#This Row],[Total Bilan]],"")</f>
        <v/>
      </c>
      <c r="W3317" s="180"/>
      <c r="Y3317" s="180"/>
      <c r="Z3317" s="192" t="str">
        <f>IFERROR(Tableau3[[#This Row],[Chiffre d''affaires]]/Tableau3[[#This Row],[Salariés]],"")</f>
        <v/>
      </c>
      <c r="AA3317" s="177"/>
    </row>
    <row r="3318" spans="1:29" ht="20.25" customHeight="1">
      <c r="A3318" s="217"/>
      <c r="G3318" s="188"/>
      <c r="H3318" s="178"/>
      <c r="I3318" s="178"/>
      <c r="J3318" s="178"/>
      <c r="K3318" s="178"/>
      <c r="L3318" s="178"/>
      <c r="M3318" s="194"/>
      <c r="N3318" s="178"/>
      <c r="O3318" s="178"/>
      <c r="P3318" s="188"/>
      <c r="Q3318" s="178"/>
      <c r="R3318" s="178"/>
      <c r="S3318" s="178"/>
      <c r="T3318" s="180"/>
      <c r="U3318" s="189" t="str">
        <f>IFERROR(IF(Tableau3[[#This Row],[Dettes]]=0,"",(Tableau3[[#This Row],[Dettes]]/Tableau3[[#This Row],[EBE]])),"")</f>
        <v/>
      </c>
      <c r="V3318" s="190" t="str">
        <f>IFERROR(Tableau3[[#This Row],[Fonds propres]]/Tableau3[[#This Row],[Total Bilan]],"")</f>
        <v/>
      </c>
      <c r="W3318" s="180"/>
      <c r="Y3318" s="180"/>
      <c r="Z3318" s="192" t="str">
        <f>IFERROR(Tableau3[[#This Row],[Chiffre d''affaires]]/Tableau3[[#This Row],[Salariés]],"")</f>
        <v/>
      </c>
      <c r="AA3318" s="177"/>
    </row>
    <row r="3319" spans="1:29" ht="20.25" customHeight="1">
      <c r="A3319" s="217"/>
      <c r="G3319" s="188"/>
      <c r="H3319" s="178"/>
      <c r="I3319" s="178"/>
      <c r="J3319" s="178"/>
      <c r="K3319" s="178"/>
      <c r="L3319" s="178"/>
      <c r="M3319" s="194"/>
      <c r="N3319" s="178"/>
      <c r="O3319" s="178"/>
      <c r="P3319" s="188"/>
      <c r="Q3319" s="178"/>
      <c r="R3319" s="178"/>
      <c r="S3319" s="178"/>
      <c r="T3319" s="180"/>
      <c r="U3319" s="189" t="str">
        <f>IFERROR(IF(Tableau3[[#This Row],[Dettes]]=0,"",(Tableau3[[#This Row],[Dettes]]/Tableau3[[#This Row],[EBE]])),"")</f>
        <v/>
      </c>
      <c r="V3319" s="190" t="str">
        <f>IFERROR(Tableau3[[#This Row],[Fonds propres]]/Tableau3[[#This Row],[Total Bilan]],"")</f>
        <v/>
      </c>
      <c r="W3319" s="180"/>
      <c r="Y3319" s="180"/>
      <c r="Z3319" s="192" t="str">
        <f>IFERROR(Tableau3[[#This Row],[Chiffre d''affaires]]/Tableau3[[#This Row],[Salariés]],"")</f>
        <v/>
      </c>
      <c r="AA3319" s="177"/>
    </row>
    <row r="3320" spans="1:29" ht="20.25" customHeight="1">
      <c r="A3320" s="217"/>
      <c r="G3320" s="188"/>
      <c r="H3320" s="178"/>
      <c r="I3320" s="178"/>
      <c r="J3320" s="178"/>
      <c r="K3320" s="178"/>
      <c r="L3320" s="178"/>
      <c r="M3320" s="194"/>
      <c r="N3320" s="178"/>
      <c r="O3320" s="178"/>
      <c r="P3320" s="188"/>
      <c r="Q3320" s="178"/>
      <c r="R3320" s="178"/>
      <c r="S3320" s="178"/>
      <c r="T3320" s="180"/>
      <c r="U3320" s="189" t="str">
        <f>IFERROR(IF(Tableau3[[#This Row],[Dettes]]=0,"",(Tableau3[[#This Row],[Dettes]]/Tableau3[[#This Row],[EBE]])),"")</f>
        <v/>
      </c>
      <c r="V3320" s="190" t="str">
        <f>IFERROR(Tableau3[[#This Row],[Fonds propres]]/Tableau3[[#This Row],[Total Bilan]],"")</f>
        <v/>
      </c>
      <c r="W3320" s="180"/>
      <c r="Y3320" s="180"/>
      <c r="Z3320" s="192" t="str">
        <f>IFERROR(Tableau3[[#This Row],[Chiffre d''affaires]]/Tableau3[[#This Row],[Salariés]],"")</f>
        <v/>
      </c>
      <c r="AA3320" s="177"/>
    </row>
    <row r="3321" spans="1:29" ht="20.25" customHeight="1">
      <c r="A3321" s="217"/>
      <c r="G3321" s="188"/>
      <c r="H3321" s="178"/>
      <c r="I3321" s="178"/>
      <c r="J3321" s="178"/>
      <c r="K3321" s="178"/>
      <c r="L3321" s="178"/>
      <c r="M3321" s="194"/>
      <c r="N3321" s="178"/>
      <c r="O3321" s="178"/>
      <c r="P3321" s="188"/>
      <c r="Q3321" s="178"/>
      <c r="R3321" s="178"/>
      <c r="S3321" s="178"/>
      <c r="T3321" s="180"/>
      <c r="U3321" s="189" t="str">
        <f>IFERROR(IF(Tableau3[[#This Row],[Dettes]]=0,"",(Tableau3[[#This Row],[Dettes]]/Tableau3[[#This Row],[EBE]])),"")</f>
        <v/>
      </c>
      <c r="V3321" s="190" t="str">
        <f>IFERROR(Tableau3[[#This Row],[Fonds propres]]/Tableau3[[#This Row],[Total Bilan]],"")</f>
        <v/>
      </c>
      <c r="W3321" s="180"/>
      <c r="Y3321" s="180"/>
      <c r="Z3321" s="192" t="str">
        <f>IFERROR(Tableau3[[#This Row],[Chiffre d''affaires]]/Tableau3[[#This Row],[Salariés]],"")</f>
        <v/>
      </c>
      <c r="AA3321" s="177"/>
    </row>
    <row r="3322" spans="1:29" ht="20.25" customHeight="1">
      <c r="A3322" s="217" t="s">
        <v>2338</v>
      </c>
      <c r="B3322" s="216" t="s">
        <v>2339</v>
      </c>
      <c r="C3322" s="178" t="s">
        <v>84</v>
      </c>
      <c r="D3322" s="178" t="s">
        <v>85</v>
      </c>
      <c r="E3322" s="187">
        <v>117</v>
      </c>
      <c r="F3322" s="178">
        <v>2025</v>
      </c>
      <c r="G3322" s="188"/>
      <c r="H3322" s="178"/>
      <c r="I3322" s="178"/>
      <c r="J3322" s="178"/>
      <c r="K3322" s="178"/>
      <c r="L3322" s="178"/>
      <c r="M3322" s="194"/>
      <c r="N3322" s="178"/>
      <c r="O3322" s="178"/>
      <c r="P3322" s="188">
        <v>104235507</v>
      </c>
      <c r="Q3322" s="188">
        <f>P3322*E3322</f>
        <v>12195554319</v>
      </c>
      <c r="R3322" s="178"/>
      <c r="S3322" s="178"/>
      <c r="T3322" s="180"/>
      <c r="U3322" s="189" t="str">
        <f>IFERROR(IF(Tableau3[[#This Row],[Dettes]]=0,"",(Tableau3[[#This Row],[Dettes]]/Tableau3[[#This Row],[EBE]])),"")</f>
        <v/>
      </c>
      <c r="V3322" s="190" t="str">
        <f>IFERROR(Tableau3[[#This Row],[Fonds propres]]/Tableau3[[#This Row],[Total Bilan]],"")</f>
        <v/>
      </c>
      <c r="W3322" s="180"/>
      <c r="X3322" s="191" t="s">
        <v>4688</v>
      </c>
      <c r="Y3322" s="180"/>
      <c r="Z3322" s="192" t="str">
        <f>IFERROR(Tableau3[[#This Row],[Chiffre d''affaires]]/Tableau3[[#This Row],[Salariés]],"")</f>
        <v/>
      </c>
      <c r="AA3322" s="178" t="s">
        <v>1253</v>
      </c>
      <c r="AC3322" s="177" t="s">
        <v>2340</v>
      </c>
    </row>
    <row r="3323" spans="1:29" ht="20.25" customHeight="1">
      <c r="A3323" s="217"/>
      <c r="G3323" s="188"/>
      <c r="H3323" s="178"/>
      <c r="I3323" s="178"/>
      <c r="J3323" s="178"/>
      <c r="K3323" s="178"/>
      <c r="L3323" s="178"/>
      <c r="M3323" s="194"/>
      <c r="N3323" s="178"/>
      <c r="O3323" s="178"/>
      <c r="P3323" s="188"/>
      <c r="Q3323" s="178"/>
      <c r="R3323" s="178"/>
      <c r="S3323" s="178"/>
      <c r="T3323" s="180"/>
      <c r="U3323" s="189" t="str">
        <f>IFERROR(IF(Tableau3[[#This Row],[Dettes]]=0,"",(Tableau3[[#This Row],[Dettes]]/Tableau3[[#This Row],[EBE]])),"")</f>
        <v/>
      </c>
      <c r="V3323" s="190" t="str">
        <f>IFERROR(Tableau3[[#This Row],[Fonds propres]]/Tableau3[[#This Row],[Total Bilan]],"")</f>
        <v/>
      </c>
      <c r="W3323" s="180"/>
      <c r="X3323" s="206"/>
      <c r="Y3323" s="180"/>
      <c r="Z3323" s="192" t="str">
        <f>IFERROR(Tableau3[[#This Row],[Chiffre d''affaires]]/Tableau3[[#This Row],[Salariés]],"")</f>
        <v/>
      </c>
      <c r="AA3323" s="178" t="s">
        <v>168</v>
      </c>
      <c r="AC3323" s="177" t="s">
        <v>2342</v>
      </c>
    </row>
    <row r="3324" spans="1:29" ht="20.25" customHeight="1">
      <c r="A3324" s="217"/>
      <c r="E3324" s="187">
        <v>108.3</v>
      </c>
      <c r="F3324" s="178">
        <v>2024</v>
      </c>
      <c r="G3324" s="188">
        <v>1626900000</v>
      </c>
      <c r="H3324" s="211">
        <v>1006400000</v>
      </c>
      <c r="I3324" s="211">
        <v>786800000</v>
      </c>
      <c r="J3324" s="211">
        <v>585600000</v>
      </c>
      <c r="K3324" s="188">
        <f>516000000+863000000</f>
        <v>1379000000</v>
      </c>
      <c r="L3324" s="188">
        <v>4245200000</v>
      </c>
      <c r="M3324" s="194">
        <f>L3324/P3324</f>
        <v>40.727004858334887</v>
      </c>
      <c r="N3324" s="190">
        <f>Tableau3[[#This Row],[Résultat Net (PdG)]]/L3326</f>
        <v>0.14841472995919608</v>
      </c>
      <c r="O3324" s="190">
        <f>(I3324*0.73)/(K3326+L3326)</f>
        <v>0.10279077258979544</v>
      </c>
      <c r="P3324" s="188">
        <v>104235507</v>
      </c>
      <c r="Q3324" s="188">
        <f>P3324*E3324</f>
        <v>11288705408.1</v>
      </c>
      <c r="R3324" s="195">
        <f>Q3324/L3324</f>
        <v>2.6591692754404974</v>
      </c>
      <c r="S3324" s="197">
        <f>(Q3324+K3324)/H3324</f>
        <v>12.58714766305644</v>
      </c>
      <c r="T3324" s="180">
        <v>745700000</v>
      </c>
      <c r="U3324" s="189">
        <f>IFERROR(IF(Tableau3[[#This Row],[Dettes]]=0,"",(Tableau3[[#This Row],[Dettes]]/Tableau3[[#This Row],[EBE]])),"")</f>
        <v>1.3702305246422894</v>
      </c>
      <c r="V3324" s="190" t="str">
        <f>IFERROR(Tableau3[[#This Row],[Fonds propres]]/Tableau3[[#This Row],[Total Bilan]],"")</f>
        <v/>
      </c>
      <c r="W3324" s="180"/>
      <c r="Y3324" s="180"/>
      <c r="Z3324" s="192" t="str">
        <f>IFERROR(Tableau3[[#This Row],[Chiffre d''affaires]]/Tableau3[[#This Row],[Salariés]],"")</f>
        <v/>
      </c>
      <c r="AA3324" s="197" t="s">
        <v>2293</v>
      </c>
      <c r="AC3324" s="177" t="s">
        <v>4807</v>
      </c>
    </row>
    <row r="3325" spans="1:29" ht="20.25" customHeight="1">
      <c r="A3325" s="217"/>
      <c r="G3325" s="202">
        <f>(G3324/G3326)-1</f>
        <v>0.10320743202007199</v>
      </c>
      <c r="H3325" s="202">
        <f>(H3324/H3326)-1</f>
        <v>0.27975584944048837</v>
      </c>
      <c r="I3325" s="202">
        <f>(I3324/I3326)-1</f>
        <v>0.27685816293411225</v>
      </c>
      <c r="J3325" s="202">
        <f>(J3324/J3326)-1</f>
        <v>0.14018691588785037</v>
      </c>
      <c r="K3325" s="178"/>
      <c r="L3325" s="178"/>
      <c r="M3325" s="194"/>
      <c r="N3325" s="178"/>
      <c r="O3325" s="178"/>
      <c r="P3325" s="188"/>
      <c r="Q3325" s="178"/>
      <c r="R3325" s="178"/>
      <c r="S3325" s="178"/>
      <c r="T3325" s="180"/>
      <c r="U3325" s="189" t="str">
        <f>IFERROR(IF(Tableau3[[#This Row],[Dettes]]=0,"",(Tableau3[[#This Row],[Dettes]]/Tableau3[[#This Row],[EBE]])),"")</f>
        <v/>
      </c>
      <c r="V3325" s="190" t="str">
        <f>IFERROR(Tableau3[[#This Row],[Fonds propres]]/Tableau3[[#This Row],[Total Bilan]],"")</f>
        <v/>
      </c>
      <c r="W3325" s="180"/>
      <c r="Y3325" s="180"/>
      <c r="Z3325" s="192" t="str">
        <f>IFERROR(Tableau3[[#This Row],[Chiffre d''affaires]]/Tableau3[[#This Row],[Salariés]],"")</f>
        <v/>
      </c>
      <c r="AC3325" s="177" t="s">
        <v>4805</v>
      </c>
    </row>
    <row r="3326" spans="1:29" ht="20.25" customHeight="1">
      <c r="A3326" s="217"/>
      <c r="E3326" s="187">
        <v>78.650000000000006</v>
      </c>
      <c r="F3326" s="178">
        <v>2023</v>
      </c>
      <c r="G3326" s="188">
        <v>1474700000</v>
      </c>
      <c r="H3326" s="188">
        <v>786400000</v>
      </c>
      <c r="I3326" s="188">
        <v>616200000</v>
      </c>
      <c r="J3326" s="188">
        <v>513600000</v>
      </c>
      <c r="K3326" s="188">
        <v>1642000000</v>
      </c>
      <c r="L3326" s="188">
        <v>3945700000</v>
      </c>
      <c r="M3326" s="194">
        <f>L3326/P3326</f>
        <v>37.205403748030712</v>
      </c>
      <c r="N3326" s="190">
        <f>Tableau3[[#This Row],[Résultat Net (PdG)]]/L3328</f>
        <v>0.1312212570260603</v>
      </c>
      <c r="O3326" s="190">
        <f>(I3326*0.73)/(K3328+L3328)</f>
        <v>7.5728282828282825E-2</v>
      </c>
      <c r="P3326" s="188">
        <v>106051799</v>
      </c>
      <c r="Q3326" s="188">
        <f>P3326*E3326</f>
        <v>8340973991.3500004</v>
      </c>
      <c r="R3326" s="195">
        <f>Q3326/L3326</f>
        <v>2.1139402365486482</v>
      </c>
      <c r="S3326" s="197">
        <f>(Q3326+K3326)/H3326</f>
        <v>12.694524404056461</v>
      </c>
      <c r="T3326" s="180">
        <v>670000000</v>
      </c>
      <c r="U3326" s="189">
        <f>IFERROR(IF(Tableau3[[#This Row],[Dettes]]=0,"",(Tableau3[[#This Row],[Dettes]]/Tableau3[[#This Row],[EBE]])),"")</f>
        <v>2.0879959308240079</v>
      </c>
      <c r="V3326" s="190" t="str">
        <f>IFERROR(Tableau3[[#This Row],[Fonds propres]]/Tableau3[[#This Row],[Total Bilan]],"")</f>
        <v/>
      </c>
      <c r="W3326" s="180"/>
      <c r="Y3326" s="180">
        <v>2297</v>
      </c>
      <c r="Z3326" s="192">
        <f>IFERROR(Tableau3[[#This Row],[Chiffre d''affaires]]/Tableau3[[#This Row],[Salariés]],"")</f>
        <v>642011.31911188504</v>
      </c>
      <c r="AC3326" s="177" t="s">
        <v>4803</v>
      </c>
    </row>
    <row r="3327" spans="1:29" ht="20.25" customHeight="1">
      <c r="A3327" s="217"/>
      <c r="G3327" s="202">
        <f>(G3326/G3328)-1</f>
        <v>3.9399492528897628E-2</v>
      </c>
      <c r="H3327" s="202">
        <f>(H3326/H3328)-1</f>
        <v>1.2732365673542301E-3</v>
      </c>
      <c r="I3327" s="202">
        <f>(I3326/I3328)-1</f>
        <v>-1.4553014553014498E-2</v>
      </c>
      <c r="J3327" s="202">
        <f>(J3326/J3328)-1</f>
        <v>0.17313841936957508</v>
      </c>
      <c r="K3327" s="178"/>
      <c r="L3327" s="178"/>
      <c r="M3327" s="194"/>
      <c r="N3327" s="178"/>
      <c r="O3327" s="178"/>
      <c r="P3327" s="188"/>
      <c r="Q3327" s="178"/>
      <c r="R3327" s="178"/>
      <c r="S3327" s="178"/>
      <c r="T3327" s="180"/>
      <c r="U3327" s="189" t="str">
        <f>IFERROR(IF(Tableau3[[#This Row],[Dettes]]=0,"",(Tableau3[[#This Row],[Dettes]]/Tableau3[[#This Row],[EBE]])),"")</f>
        <v/>
      </c>
      <c r="V3327" s="190" t="str">
        <f>IFERROR(Tableau3[[#This Row],[Fonds propres]]/Tableau3[[#This Row],[Total Bilan]],"")</f>
        <v/>
      </c>
      <c r="W3327" s="180"/>
      <c r="Y3327" s="180"/>
      <c r="Z3327" s="192" t="str">
        <f>IFERROR(Tableau3[[#This Row],[Chiffre d''affaires]]/Tableau3[[#This Row],[Salariés]],"")</f>
        <v/>
      </c>
      <c r="AA3327" s="177"/>
      <c r="AC3327" s="177" t="s">
        <v>4806</v>
      </c>
    </row>
    <row r="3328" spans="1:29" ht="20.25" customHeight="1">
      <c r="A3328" s="217"/>
      <c r="E3328" s="187">
        <v>69.16</v>
      </c>
      <c r="F3328" s="178">
        <v>2022</v>
      </c>
      <c r="G3328" s="188">
        <v>1418800000</v>
      </c>
      <c r="H3328" s="188">
        <v>785400000</v>
      </c>
      <c r="I3328" s="188">
        <v>625300000</v>
      </c>
      <c r="J3328" s="188">
        <v>437800000</v>
      </c>
      <c r="K3328" s="188">
        <v>2026000000</v>
      </c>
      <c r="L3328" s="188">
        <v>3914000000</v>
      </c>
      <c r="M3328" s="194">
        <f>L3328/P3328</f>
        <v>36.543137231505739</v>
      </c>
      <c r="N3328" s="190">
        <f>Tableau3[[#This Row],[Résultat Net (PdG)]]/L3330</f>
        <v>0.12002412545235223</v>
      </c>
      <c r="O3328" s="190">
        <f>(I3328*0.73)/(K3330+L3330)</f>
        <v>7.7307353588727437E-2</v>
      </c>
      <c r="P3328" s="188">
        <v>107106294</v>
      </c>
      <c r="Q3328" s="188">
        <f>P3328*E3328</f>
        <v>7407471293.04</v>
      </c>
      <c r="R3328" s="195">
        <f>Q3328/L3328</f>
        <v>1.8925578163106795</v>
      </c>
      <c r="S3328" s="197">
        <f>(Q3328+K3328)/H3328</f>
        <v>12.011040607384773</v>
      </c>
      <c r="T3328" s="180">
        <v>616500000</v>
      </c>
      <c r="U3328" s="189">
        <f>IFERROR(IF(Tableau3[[#This Row],[Dettes]]=0,"",(Tableau3[[#This Row],[Dettes]]/Tableau3[[#This Row],[EBE]])),"")</f>
        <v>2.5795772854596386</v>
      </c>
      <c r="V3328" s="190" t="str">
        <f>IFERROR(Tableau3[[#This Row],[Fonds propres]]/Tableau3[[#This Row],[Total Bilan]],"")</f>
        <v/>
      </c>
      <c r="W3328" s="180"/>
      <c r="Y3328" s="180">
        <v>2203</v>
      </c>
      <c r="Z3328" s="192">
        <f>IFERROR(Tableau3[[#This Row],[Chiffre d''affaires]]/Tableau3[[#This Row],[Salariés]],"")</f>
        <v>644030.86699954607</v>
      </c>
      <c r="AA3328" s="177"/>
      <c r="AB3328" s="197"/>
      <c r="AC3328" s="177" t="s">
        <v>2343</v>
      </c>
    </row>
    <row r="3329" spans="1:29" ht="20.25" customHeight="1">
      <c r="A3329" s="217"/>
      <c r="G3329" s="202">
        <f>(G3328/G3330)-1</f>
        <v>9.2477092477092571E-2</v>
      </c>
      <c r="H3329" s="202">
        <f>(H3328/H3330)-1</f>
        <v>0.10015408320493058</v>
      </c>
      <c r="I3329" s="202">
        <f>(I3328/I3330)-1</f>
        <v>7.9406179872259619E-2</v>
      </c>
      <c r="J3329" s="202">
        <f>(J3328/J3330)-1</f>
        <v>5.9278974110815286E-2</v>
      </c>
      <c r="K3329" s="178"/>
      <c r="L3329" s="178"/>
      <c r="M3329" s="194"/>
      <c r="N3329" s="178"/>
      <c r="O3329" s="178"/>
      <c r="P3329" s="188"/>
      <c r="Q3329" s="178"/>
      <c r="R3329" s="178"/>
      <c r="S3329" s="178"/>
      <c r="T3329" s="180"/>
      <c r="U3329" s="189" t="str">
        <f>IFERROR(IF(Tableau3[[#This Row],[Dettes]]=0,"",(Tableau3[[#This Row],[Dettes]]/Tableau3[[#This Row],[EBE]])),"")</f>
        <v/>
      </c>
      <c r="V3329" s="190" t="str">
        <f>IFERROR(Tableau3[[#This Row],[Fonds propres]]/Tableau3[[#This Row],[Total Bilan]],"")</f>
        <v/>
      </c>
      <c r="W3329" s="180"/>
      <c r="Y3329" s="180"/>
      <c r="Z3329" s="192" t="str">
        <f>IFERROR(Tableau3[[#This Row],[Chiffre d''affaires]]/Tableau3[[#This Row],[Salariés]],"")</f>
        <v/>
      </c>
      <c r="AA3329" s="207"/>
      <c r="AB3329" s="207"/>
      <c r="AC3329" s="177" t="s">
        <v>2344</v>
      </c>
    </row>
    <row r="3330" spans="1:29" ht="20.25" customHeight="1">
      <c r="A3330" s="217"/>
      <c r="E3330" s="187">
        <v>91.25</v>
      </c>
      <c r="F3330" s="178">
        <v>2021</v>
      </c>
      <c r="G3330" s="188">
        <v>1298700000</v>
      </c>
      <c r="H3330" s="188">
        <v>713900000</v>
      </c>
      <c r="I3330" s="188">
        <v>579300000</v>
      </c>
      <c r="J3330" s="188">
        <v>413300000</v>
      </c>
      <c r="K3330" s="188">
        <v>2257000000</v>
      </c>
      <c r="L3330" s="188">
        <v>3647600000</v>
      </c>
      <c r="M3330" s="194">
        <f>L3330/P3330</f>
        <v>34.055888442933146</v>
      </c>
      <c r="N3330" s="190">
        <f>Tableau3[[#This Row],[Résultat Net (PdG)]]/L3332</f>
        <v>0.39038443373949183</v>
      </c>
      <c r="O3330" s="190">
        <f>(I3330*0.73)/(K3332+L3332)</f>
        <v>0.24850972556854911</v>
      </c>
      <c r="P3330" s="188">
        <v>107106294</v>
      </c>
      <c r="Q3330" s="188">
        <f>P3330*E3330</f>
        <v>9773449327.5</v>
      </c>
      <c r="R3330" s="195">
        <f>Q3330/L3330</f>
        <v>2.6794191598585373</v>
      </c>
      <c r="S3330" s="197">
        <f>(Q3330+K3330)/H3330</f>
        <v>16.851728992155763</v>
      </c>
      <c r="T3330" s="180">
        <v>543600000</v>
      </c>
      <c r="U3330" s="189">
        <f>IFERROR(IF(Tableau3[[#This Row],[Dettes]]=0,"",(Tableau3[[#This Row],[Dettes]]/Tableau3[[#This Row],[EBE]])),"")</f>
        <v>3.1615072138955034</v>
      </c>
      <c r="V3330" s="190" t="str">
        <f>IFERROR(Tableau3[[#This Row],[Fonds propres]]/Tableau3[[#This Row],[Total Bilan]],"")</f>
        <v/>
      </c>
      <c r="W3330" s="180"/>
      <c r="Y3330" s="180">
        <v>2126</v>
      </c>
      <c r="Z3330" s="192">
        <f>IFERROR(Tableau3[[#This Row],[Chiffre d''affaires]]/Tableau3[[#This Row],[Salariés]],"")</f>
        <v>610865.475070555</v>
      </c>
      <c r="AA3330" s="177"/>
      <c r="AC3330" s="177" t="s">
        <v>2345</v>
      </c>
    </row>
    <row r="3331" spans="1:29" ht="20.25" customHeight="1">
      <c r="A3331" s="217"/>
      <c r="E3331" s="187"/>
      <c r="G3331" s="202">
        <f>(G3330/G3332)-1</f>
        <v>0.46861924686192458</v>
      </c>
      <c r="H3331" s="202">
        <f>(H3330/H3332)-1</f>
        <v>0.37288461538461548</v>
      </c>
      <c r="I3331" s="202">
        <f>(I3330/I3332)-1</f>
        <v>0.30209035738368173</v>
      </c>
      <c r="J3331" s="202">
        <f>(J3330/J3332)-1</f>
        <v>0.30998415213946107</v>
      </c>
      <c r="K3331" s="211"/>
      <c r="L3331" s="188"/>
      <c r="M3331" s="194"/>
      <c r="N3331" s="190"/>
      <c r="O3331" s="190"/>
      <c r="P3331" s="188"/>
      <c r="Q3331" s="188"/>
      <c r="R3331" s="195"/>
      <c r="S3331" s="197"/>
      <c r="T3331" s="180"/>
      <c r="U3331" s="189" t="str">
        <f>IFERROR(IF(Tableau3[[#This Row],[Dettes]]=0,"",(Tableau3[[#This Row],[Dettes]]/Tableau3[[#This Row],[EBE]])),"")</f>
        <v/>
      </c>
      <c r="V3331" s="190" t="str">
        <f>IFERROR(Tableau3[[#This Row],[Fonds propres]]/Tableau3[[#This Row],[Total Bilan]],"")</f>
        <v/>
      </c>
      <c r="W3331" s="180"/>
      <c r="Y3331" s="180"/>
      <c r="Z3331" s="192" t="str">
        <f>IFERROR(Tableau3[[#This Row],[Chiffre d''affaires]]/Tableau3[[#This Row],[Salariés]],"")</f>
        <v/>
      </c>
      <c r="AA3331" s="177"/>
      <c r="AC3331" s="177" t="s">
        <v>2346</v>
      </c>
    </row>
    <row r="3332" spans="1:29" ht="20.25" customHeight="1">
      <c r="A3332" s="217"/>
      <c r="E3332" s="187">
        <v>88.7</v>
      </c>
      <c r="F3332" s="178">
        <v>2020</v>
      </c>
      <c r="G3332" s="188">
        <v>884300000</v>
      </c>
      <c r="H3332" s="188">
        <v>520000000</v>
      </c>
      <c r="I3332" s="211">
        <v>444900000</v>
      </c>
      <c r="J3332" s="211">
        <v>315500000</v>
      </c>
      <c r="K3332" s="211">
        <v>643000000</v>
      </c>
      <c r="L3332" s="188">
        <f>1058700000</f>
        <v>1058700000</v>
      </c>
      <c r="M3332" s="194">
        <f>L3332/P3332</f>
        <v>15.124285714285714</v>
      </c>
      <c r="N3332" s="190">
        <f>Tableau3[[#This Row],[Résultat Net (PdG)]]/L3334</f>
        <v>0.34364448317176777</v>
      </c>
      <c r="O3332" s="190">
        <f>(I3332*0.73)/(K3334+L3334)</f>
        <v>0.20821707911270676</v>
      </c>
      <c r="P3332" s="188">
        <v>70000000</v>
      </c>
      <c r="Q3332" s="188">
        <f>P3332*E3332</f>
        <v>6209000000</v>
      </c>
      <c r="R3332" s="195">
        <f>Q3332/L3332</f>
        <v>5.8647397751959947</v>
      </c>
      <c r="S3332" s="197">
        <f>(Q3332+K3332)/H3332</f>
        <v>13.176923076923076</v>
      </c>
      <c r="T3332" s="180">
        <v>278000000</v>
      </c>
      <c r="U3332" s="189">
        <f>IFERROR(IF(Tableau3[[#This Row],[Dettes]]=0,"",(Tableau3[[#This Row],[Dettes]]/Tableau3[[#This Row],[EBE]])),"")</f>
        <v>1.2365384615384616</v>
      </c>
      <c r="V3332" s="190" t="str">
        <f>IFERROR(Tableau3[[#This Row],[Fonds propres]]/Tableau3[[#This Row],[Total Bilan]],"")</f>
        <v/>
      </c>
      <c r="W3332" s="180"/>
      <c r="Y3332" s="180">
        <v>1455</v>
      </c>
      <c r="Z3332" s="192">
        <f>IFERROR(Tableau3[[#This Row],[Chiffre d''affaires]]/Tableau3[[#This Row],[Salariés]],"")</f>
        <v>607766.32302405499</v>
      </c>
      <c r="AA3332" s="177"/>
      <c r="AC3332" s="177" t="s">
        <v>2347</v>
      </c>
    </row>
    <row r="3333" spans="1:29" ht="20.25" customHeight="1">
      <c r="A3333" s="217"/>
      <c r="E3333" s="187"/>
      <c r="F3333" s="177"/>
      <c r="G3333" s="202">
        <f>(G3332/G3334)-1</f>
        <v>0.30216462965689894</v>
      </c>
      <c r="H3333" s="202">
        <f>(H3332/H3334)-1</f>
        <v>0.30195292939409124</v>
      </c>
      <c r="I3333" s="202">
        <f>(I3332/I3334)-1</f>
        <v>0.25077312341861124</v>
      </c>
      <c r="J3333" s="202">
        <f>(J3332/J3334)-1</f>
        <v>0.4211711711711712</v>
      </c>
      <c r="K3333" s="178"/>
      <c r="L3333" s="178"/>
      <c r="M3333" s="194"/>
      <c r="N3333" s="178"/>
      <c r="O3333" s="178"/>
      <c r="P3333" s="188"/>
      <c r="Q3333" s="188"/>
      <c r="R3333" s="178"/>
      <c r="S3333" s="178"/>
      <c r="T3333" s="180"/>
      <c r="U3333" s="189" t="str">
        <f>IFERROR(IF(Tableau3[[#This Row],[Dettes]]=0,"",(Tableau3[[#This Row],[Dettes]]/Tableau3[[#This Row],[EBE]])),"")</f>
        <v/>
      </c>
      <c r="V3333" s="190" t="str">
        <f>IFERROR(Tableau3[[#This Row],[Fonds propres]]/Tableau3[[#This Row],[Total Bilan]],"")</f>
        <v/>
      </c>
      <c r="W3333" s="180"/>
      <c r="Y3333" s="180"/>
      <c r="Z3333" s="192" t="str">
        <f>IFERROR(Tableau3[[#This Row],[Chiffre d''affaires]]/Tableau3[[#This Row],[Salariés]],"")</f>
        <v/>
      </c>
      <c r="AA3333" s="177"/>
      <c r="AC3333" s="177" t="s">
        <v>2348</v>
      </c>
    </row>
    <row r="3334" spans="1:29" ht="20.25" customHeight="1">
      <c r="A3334" s="217"/>
      <c r="E3334" s="187">
        <v>74.2</v>
      </c>
      <c r="F3334" s="178">
        <v>2019</v>
      </c>
      <c r="G3334" s="188">
        <v>679100000</v>
      </c>
      <c r="H3334" s="188">
        <v>399400000</v>
      </c>
      <c r="I3334" s="188">
        <v>355700000</v>
      </c>
      <c r="J3334" s="188">
        <v>222000000</v>
      </c>
      <c r="K3334" s="188">
        <f>1011500000-369800000</f>
        <v>641700000</v>
      </c>
      <c r="L3334" s="188">
        <v>918100000</v>
      </c>
      <c r="M3334" s="194">
        <f>L3334/P3334</f>
        <v>13.115714285714287</v>
      </c>
      <c r="N3334" s="190">
        <f>Tableau3[[#This Row],[Résultat Net (PdG)]]/L3336</f>
        <v>0.2806219188471748</v>
      </c>
      <c r="O3334" s="190">
        <f>(I3334*0.73)/(K3336+L3336)</f>
        <v>0.28915478841870823</v>
      </c>
      <c r="P3334" s="188">
        <v>70000000</v>
      </c>
      <c r="Q3334" s="188">
        <f>P3334*E3334</f>
        <v>5194000000</v>
      </c>
      <c r="R3334" s="195">
        <f>Q3334/L3334</f>
        <v>5.6573358022001958</v>
      </c>
      <c r="S3334" s="197">
        <f>(Q3334+K3334)/H3334</f>
        <v>14.611166750125188</v>
      </c>
      <c r="T3334" s="180"/>
      <c r="U3334" s="189">
        <f>IFERROR(IF(Tableau3[[#This Row],[Dettes]]=0,"",(Tableau3[[#This Row],[Dettes]]/Tableau3[[#This Row],[EBE]])),"")</f>
        <v>1.6066599899849774</v>
      </c>
      <c r="V3334" s="190" t="str">
        <f>IFERROR(Tableau3[[#This Row],[Fonds propres]]/Tableau3[[#This Row],[Total Bilan]],"")</f>
        <v/>
      </c>
      <c r="W3334" s="180"/>
      <c r="Y3334" s="180">
        <v>1086</v>
      </c>
      <c r="Z3334" s="192">
        <f>IFERROR(Tableau3[[#This Row],[Chiffre d''affaires]]/Tableau3[[#This Row],[Salariés]],"")</f>
        <v>625322.28360957641</v>
      </c>
      <c r="AA3334" s="177"/>
      <c r="AC3334" s="177" t="s">
        <v>2349</v>
      </c>
    </row>
    <row r="3335" spans="1:29" ht="20.25" customHeight="1">
      <c r="A3335" s="217"/>
      <c r="E3335" s="187"/>
      <c r="G3335" s="202">
        <f>(G3334/G3336)-1</f>
        <v>0.10422764227642278</v>
      </c>
      <c r="H3335" s="202">
        <f>(H3334/H3336)-1</f>
        <v>0.12729325430426197</v>
      </c>
      <c r="I3335" s="202">
        <f>(I3334/I3336)-1</f>
        <v>7.4947113931701503E-2</v>
      </c>
      <c r="J3335" s="202">
        <f>(J3334/J3336)-1</f>
        <v>2.7777777777777679E-2</v>
      </c>
      <c r="K3335" s="188"/>
      <c r="L3335" s="188"/>
      <c r="M3335" s="194"/>
      <c r="N3335" s="178"/>
      <c r="O3335" s="178"/>
      <c r="P3335" s="188"/>
      <c r="Q3335" s="188"/>
      <c r="R3335" s="178"/>
      <c r="S3335" s="178"/>
      <c r="T3335" s="180"/>
      <c r="U3335" s="189" t="str">
        <f>IFERROR(IF(Tableau3[[#This Row],[Dettes]]=0,"",(Tableau3[[#This Row],[Dettes]]/Tableau3[[#This Row],[EBE]])),"")</f>
        <v/>
      </c>
      <c r="V3335" s="190" t="str">
        <f>IFERROR(Tableau3[[#This Row],[Fonds propres]]/Tableau3[[#This Row],[Total Bilan]],"")</f>
        <v/>
      </c>
      <c r="W3335" s="180"/>
      <c r="Y3335" s="180"/>
      <c r="Z3335" s="192" t="str">
        <f>IFERROR(Tableau3[[#This Row],[Chiffre d''affaires]]/Tableau3[[#This Row],[Salariés]],"")</f>
        <v/>
      </c>
      <c r="AA3335" s="177"/>
      <c r="AC3335" s="177" t="s">
        <v>2350</v>
      </c>
    </row>
    <row r="3336" spans="1:29" ht="20.25" customHeight="1">
      <c r="A3336" s="217"/>
      <c r="E3336" s="187">
        <v>47.5</v>
      </c>
      <c r="F3336" s="178">
        <v>2018</v>
      </c>
      <c r="G3336" s="188">
        <v>615000000</v>
      </c>
      <c r="H3336" s="188">
        <v>354300000</v>
      </c>
      <c r="I3336" s="188">
        <v>330900000</v>
      </c>
      <c r="J3336" s="188">
        <v>216000000</v>
      </c>
      <c r="K3336" s="188">
        <f>504900000-398000000</f>
        <v>106900000</v>
      </c>
      <c r="L3336" s="188">
        <v>791100000</v>
      </c>
      <c r="M3336" s="194">
        <f>L3336/P3336</f>
        <v>11.301428571428572</v>
      </c>
      <c r="N3336" s="190">
        <f>Tableau3[[#This Row],[Résultat Net (PdG)]]/L3338</f>
        <v>0.29609321453050036</v>
      </c>
      <c r="O3336" s="190">
        <f>(I3336*0.73)/(K3338+L3338)</f>
        <v>0.34195498301245753</v>
      </c>
      <c r="P3336" s="188">
        <v>70000000</v>
      </c>
      <c r="Q3336" s="188">
        <f>P3336*E3336</f>
        <v>3325000000</v>
      </c>
      <c r="R3336" s="195">
        <f>Q3336/L3336</f>
        <v>4.2030084692200731</v>
      </c>
      <c r="S3336" s="197">
        <f>(Q3336+K3336)/H3336</f>
        <v>9.6864239345187695</v>
      </c>
      <c r="T3336" s="180"/>
      <c r="U3336" s="189">
        <f>IFERROR(IF(Tableau3[[#This Row],[Dettes]]=0,"",(Tableau3[[#This Row],[Dettes]]/Tableau3[[#This Row],[EBE]])),"")</f>
        <v>0.30172170476996896</v>
      </c>
      <c r="V3336" s="190" t="str">
        <f>IFERROR(Tableau3[[#This Row],[Fonds propres]]/Tableau3[[#This Row],[Total Bilan]],"")</f>
        <v/>
      </c>
      <c r="W3336" s="180"/>
      <c r="Y3336" s="180">
        <v>848</v>
      </c>
      <c r="Z3336" s="192">
        <f>IFERROR(Tableau3[[#This Row],[Chiffre d''affaires]]/Tableau3[[#This Row],[Salariés]],"")</f>
        <v>725235.84905660374</v>
      </c>
      <c r="AA3336" s="177"/>
      <c r="AC3336" s="177" t="s">
        <v>2351</v>
      </c>
    </row>
    <row r="3337" spans="1:29" ht="20.25" customHeight="1">
      <c r="A3337" s="217"/>
      <c r="E3337" s="187"/>
      <c r="G3337" s="202">
        <f>(G3336/G3338)-1</f>
        <v>0.15536351681382676</v>
      </c>
      <c r="H3337" s="202">
        <f>(H3336/H3338)-1</f>
        <v>0.18972464741437212</v>
      </c>
      <c r="I3337" s="202">
        <f>(I3336/I3338)-1</f>
        <v>0.17799928800284803</v>
      </c>
      <c r="J3337" s="202">
        <f>(J3336/J3338)-1</f>
        <v>-0.1048487360132615</v>
      </c>
      <c r="K3337" s="188"/>
      <c r="L3337" s="188"/>
      <c r="M3337" s="194"/>
      <c r="N3337" s="178"/>
      <c r="O3337" s="178"/>
      <c r="P3337" s="188"/>
      <c r="Q3337" s="188"/>
      <c r="R3337" s="178"/>
      <c r="S3337" s="178"/>
      <c r="T3337" s="180"/>
      <c r="U3337" s="189" t="str">
        <f>IFERROR(IF(Tableau3[[#This Row],[Dettes]]=0,"",(Tableau3[[#This Row],[Dettes]]/Tableau3[[#This Row],[EBE]])),"")</f>
        <v/>
      </c>
      <c r="V3337" s="190" t="str">
        <f>IFERROR(Tableau3[[#This Row],[Fonds propres]]/Tableau3[[#This Row],[Total Bilan]],"")</f>
        <v/>
      </c>
      <c r="W3337" s="180"/>
      <c r="Y3337" s="180"/>
      <c r="Z3337" s="192" t="str">
        <f>IFERROR(Tableau3[[#This Row],[Chiffre d''affaires]]/Tableau3[[#This Row],[Salariés]],"")</f>
        <v/>
      </c>
      <c r="AA3337" s="177"/>
      <c r="AC3337" s="177" t="s">
        <v>2352</v>
      </c>
    </row>
    <row r="3338" spans="1:29" ht="20.25" customHeight="1">
      <c r="A3338" s="217"/>
      <c r="E3338" s="187">
        <v>53.4</v>
      </c>
      <c r="F3338" s="178">
        <v>2017</v>
      </c>
      <c r="G3338" s="188">
        <v>532300000</v>
      </c>
      <c r="H3338" s="188">
        <v>297800000</v>
      </c>
      <c r="I3338" s="188">
        <v>280900000</v>
      </c>
      <c r="J3338" s="188">
        <v>241300000</v>
      </c>
      <c r="K3338" s="188">
        <f>164700000-187800000</f>
        <v>-23100000</v>
      </c>
      <c r="L3338" s="188">
        <v>729500000</v>
      </c>
      <c r="M3338" s="194">
        <f>L3338/P3338</f>
        <v>10.421428571428571</v>
      </c>
      <c r="N3338" s="190">
        <f>Tableau3[[#This Row],[Résultat Net (PdG)]]/L3340</f>
        <v>0.44032846715328466</v>
      </c>
      <c r="O3338" s="190">
        <f>(I3338*0.73)/(K3340+L3340)</f>
        <v>0.46340564971751413</v>
      </c>
      <c r="P3338" s="188">
        <v>70000000</v>
      </c>
      <c r="Q3338" s="188">
        <f>P3338*E3338</f>
        <v>3738000000</v>
      </c>
      <c r="R3338" s="195">
        <f>Q3338/L3338</f>
        <v>5.1240575736806031</v>
      </c>
      <c r="S3338" s="197">
        <f>(Q3338+K3338)/H3338</f>
        <v>12.474479516453997</v>
      </c>
      <c r="T3338" s="180"/>
      <c r="U3338" s="189">
        <f>IFERROR(IF(Tableau3[[#This Row],[Dettes]]=0,"",(Tableau3[[#This Row],[Dettes]]/Tableau3[[#This Row],[EBE]])),"")</f>
        <v>-7.7568838146406985E-2</v>
      </c>
      <c r="V3338" s="190" t="str">
        <f>IFERROR(Tableau3[[#This Row],[Fonds propres]]/Tableau3[[#This Row],[Total Bilan]],"")</f>
        <v/>
      </c>
      <c r="W3338" s="180"/>
      <c r="Y3338" s="180"/>
      <c r="Z3338" s="192" t="str">
        <f>IFERROR(Tableau3[[#This Row],[Chiffre d''affaires]]/Tableau3[[#This Row],[Salariés]],"")</f>
        <v/>
      </c>
      <c r="AA3338" s="177"/>
      <c r="AC3338" s="177" t="s">
        <v>2353</v>
      </c>
    </row>
    <row r="3339" spans="1:29" ht="20.25" customHeight="1">
      <c r="A3339" s="217"/>
      <c r="E3339" s="187"/>
      <c r="G3339" s="202">
        <f>(G3338/G3340)-1</f>
        <v>7.2320709105559988E-2</v>
      </c>
      <c r="H3339" s="202">
        <f>(H3338/H3340)-1</f>
        <v>4.8960901725959793E-2</v>
      </c>
      <c r="I3339" s="202">
        <f>(I3338/I3340)-1</f>
        <v>4.5014880952380931E-2</v>
      </c>
      <c r="J3339" s="202">
        <f>(J3338/J3340)-1</f>
        <v>0.2248730964467005</v>
      </c>
      <c r="K3339" s="188"/>
      <c r="L3339" s="188"/>
      <c r="M3339" s="194"/>
      <c r="N3339" s="178"/>
      <c r="O3339" s="178"/>
      <c r="P3339" s="188"/>
      <c r="Q3339" s="188"/>
      <c r="R3339" s="178"/>
      <c r="S3339" s="178"/>
      <c r="T3339" s="180"/>
      <c r="U3339" s="189" t="str">
        <f>IFERROR(IF(Tableau3[[#This Row],[Dettes]]=0,"",(Tableau3[[#This Row],[Dettes]]/Tableau3[[#This Row],[EBE]])),"")</f>
        <v/>
      </c>
      <c r="V3339" s="190" t="str">
        <f>IFERROR(Tableau3[[#This Row],[Fonds propres]]/Tableau3[[#This Row],[Total Bilan]],"")</f>
        <v/>
      </c>
      <c r="W3339" s="180"/>
      <c r="Y3339" s="180"/>
      <c r="Z3339" s="192" t="str">
        <f>IFERROR(Tableau3[[#This Row],[Chiffre d''affaires]]/Tableau3[[#This Row],[Salariés]],"")</f>
        <v/>
      </c>
      <c r="AA3339" s="177"/>
      <c r="AC3339" s="177" t="s">
        <v>2354</v>
      </c>
    </row>
    <row r="3340" spans="1:29" ht="20.25" customHeight="1">
      <c r="A3340" s="217"/>
      <c r="E3340" s="187">
        <v>41.2</v>
      </c>
      <c r="F3340" s="178">
        <v>2016</v>
      </c>
      <c r="G3340" s="188">
        <v>496400000</v>
      </c>
      <c r="H3340" s="188">
        <v>283900000</v>
      </c>
      <c r="I3340" s="188">
        <v>268800000</v>
      </c>
      <c r="J3340" s="188">
        <v>197000000</v>
      </c>
      <c r="K3340" s="188">
        <f>69000000-174500000</f>
        <v>-105500000</v>
      </c>
      <c r="L3340" s="188">
        <v>548000000</v>
      </c>
      <c r="M3340" s="194">
        <f>L3340/P3340</f>
        <v>7.8285714285714283</v>
      </c>
      <c r="N3340" s="190">
        <f>Tableau3[[#This Row],[Résultat Net (PdG)]]/L3342</f>
        <v>0.44051878354203938</v>
      </c>
      <c r="O3340" s="190">
        <f>(I3340*0.73)/(K3342+L3342)</f>
        <v>0.49451612903225806</v>
      </c>
      <c r="P3340" s="188">
        <v>70000000</v>
      </c>
      <c r="Q3340" s="188">
        <f>P3340*E3340</f>
        <v>2884000000</v>
      </c>
      <c r="R3340" s="195">
        <f>Q3340/L3340</f>
        <v>5.2627737226277373</v>
      </c>
      <c r="S3340" s="197">
        <f>(Q3340+K3340)/H3340</f>
        <v>9.7868967946460028</v>
      </c>
      <c r="T3340" s="180"/>
      <c r="U3340" s="189">
        <f>IFERROR(IF(Tableau3[[#This Row],[Dettes]]=0,"",(Tableau3[[#This Row],[Dettes]]/Tableau3[[#This Row],[EBE]])),"")</f>
        <v>-0.37160972173300461</v>
      </c>
      <c r="V3340" s="190" t="str">
        <f>IFERROR(Tableau3[[#This Row],[Fonds propres]]/Tableau3[[#This Row],[Total Bilan]],"")</f>
        <v/>
      </c>
      <c r="W3340" s="180"/>
      <c r="Y3340" s="180"/>
      <c r="Z3340" s="192" t="str">
        <f>IFERROR(Tableau3[[#This Row],[Chiffre d''affaires]]/Tableau3[[#This Row],[Salariés]],"")</f>
        <v/>
      </c>
      <c r="AA3340" s="177"/>
      <c r="AC3340" s="177" t="s">
        <v>2355</v>
      </c>
    </row>
    <row r="3341" spans="1:29" ht="20.25" customHeight="1">
      <c r="A3341" s="217"/>
      <c r="E3341" s="187"/>
      <c r="G3341" s="202">
        <f>(G3340/G3342)-1</f>
        <v>-4.2622950819672156E-2</v>
      </c>
      <c r="H3341" s="202">
        <f>(H3340/H3342)-1</f>
        <v>3.5236081747713754E-4</v>
      </c>
      <c r="I3341" s="202">
        <f>(I3340/I3342)-1</f>
        <v>7.496251874062887E-3</v>
      </c>
      <c r="J3341" s="202">
        <f>(J3340/J3342)-1</f>
        <v>0.1407064273306311</v>
      </c>
      <c r="K3341" s="188"/>
      <c r="L3341" s="188"/>
      <c r="M3341" s="194"/>
      <c r="N3341" s="178"/>
      <c r="O3341" s="178"/>
      <c r="P3341" s="188"/>
      <c r="Q3341" s="188"/>
      <c r="R3341" s="178"/>
      <c r="S3341" s="178"/>
      <c r="T3341" s="180"/>
      <c r="U3341" s="189" t="str">
        <f>IFERROR(IF(Tableau3[[#This Row],[Dettes]]=0,"",(Tableau3[[#This Row],[Dettes]]/Tableau3[[#This Row],[EBE]])),"")</f>
        <v/>
      </c>
      <c r="V3341" s="190" t="str">
        <f>IFERROR(Tableau3[[#This Row],[Fonds propres]]/Tableau3[[#This Row],[Total Bilan]],"")</f>
        <v/>
      </c>
      <c r="W3341" s="180"/>
      <c r="Y3341" s="180"/>
      <c r="Z3341" s="192" t="str">
        <f>IFERROR(Tableau3[[#This Row],[Chiffre d''affaires]]/Tableau3[[#This Row],[Salariés]],"")</f>
        <v/>
      </c>
      <c r="AA3341" s="177"/>
      <c r="AC3341" s="216" t="s">
        <v>2356</v>
      </c>
    </row>
    <row r="3342" spans="1:29" ht="20.25" customHeight="1">
      <c r="A3342" s="217"/>
      <c r="E3342" s="187">
        <v>45.9</v>
      </c>
      <c r="F3342" s="178">
        <v>2015</v>
      </c>
      <c r="G3342" s="188">
        <v>518500000</v>
      </c>
      <c r="H3342" s="188">
        <v>283800000</v>
      </c>
      <c r="I3342" s="188">
        <v>266800000</v>
      </c>
      <c r="J3342" s="188">
        <v>172700000</v>
      </c>
      <c r="K3342" s="188">
        <f>108200000-158600000</f>
        <v>-50400000</v>
      </c>
      <c r="L3342" s="188">
        <v>447200000</v>
      </c>
      <c r="M3342" s="194">
        <f>L3342/P3342</f>
        <v>6.3885714285714288</v>
      </c>
      <c r="N3342" s="190">
        <f>Tableau3[[#This Row],[Résultat Net (PdG)]]/L3344</f>
        <v>0.505266237565828</v>
      </c>
      <c r="O3342" s="190">
        <f>(I3342*0.73)/(K3344+L3344)</f>
        <v>0.55870338496844518</v>
      </c>
      <c r="P3342" s="188">
        <v>70000000</v>
      </c>
      <c r="Q3342" s="188">
        <f>P3342*E3342</f>
        <v>3213000000</v>
      </c>
      <c r="R3342" s="195">
        <f>Q3342/L3342</f>
        <v>7.1847048300536676</v>
      </c>
      <c r="S3342" s="197">
        <f>(Q3342+K3342)/H3342</f>
        <v>11.143763213530656</v>
      </c>
      <c r="T3342" s="180"/>
      <c r="U3342" s="189">
        <f>IFERROR(IF(Tableau3[[#This Row],[Dettes]]=0,"",(Tableau3[[#This Row],[Dettes]]/Tableau3[[#This Row],[EBE]])),"")</f>
        <v>-0.17758985200845667</v>
      </c>
      <c r="V3342" s="190" t="str">
        <f>IFERROR(Tableau3[[#This Row],[Fonds propres]]/Tableau3[[#This Row],[Total Bilan]],"")</f>
        <v/>
      </c>
      <c r="W3342" s="180"/>
      <c r="Y3342" s="180"/>
      <c r="Z3342" s="192" t="str">
        <f>IFERROR(Tableau3[[#This Row],[Chiffre d''affaires]]/Tableau3[[#This Row],[Salariés]],"")</f>
        <v/>
      </c>
      <c r="AA3342" s="177"/>
      <c r="AC3342" s="177" t="s">
        <v>2357</v>
      </c>
    </row>
    <row r="3343" spans="1:29" ht="20.25" customHeight="1">
      <c r="A3343" s="217"/>
      <c r="E3343" s="187"/>
      <c r="G3343" s="202">
        <f>(G3342/G3344)-1</f>
        <v>0.13086150490730653</v>
      </c>
      <c r="H3343" s="202">
        <f>(H3342/H3344)-1</f>
        <v>0.48275862068965525</v>
      </c>
      <c r="I3343" s="202">
        <f>(I3342/I3344)-1</f>
        <v>0.27777777777777768</v>
      </c>
      <c r="J3343" s="202">
        <f>(J3342/J3344)-1</f>
        <v>0.46108291032148907</v>
      </c>
      <c r="K3343" s="188"/>
      <c r="L3343" s="188"/>
      <c r="M3343" s="194"/>
      <c r="N3343" s="178"/>
      <c r="O3343" s="178"/>
      <c r="P3343" s="188"/>
      <c r="Q3343" s="188"/>
      <c r="R3343" s="178"/>
      <c r="S3343" s="178"/>
      <c r="T3343" s="180"/>
      <c r="U3343" s="189" t="str">
        <f>IFERROR(IF(Tableau3[[#This Row],[Dettes]]=0,"",(Tableau3[[#This Row],[Dettes]]/Tableau3[[#This Row],[EBE]])),"")</f>
        <v/>
      </c>
      <c r="V3343" s="190" t="str">
        <f>IFERROR(Tableau3[[#This Row],[Fonds propres]]/Tableau3[[#This Row],[Total Bilan]],"")</f>
        <v/>
      </c>
      <c r="W3343" s="180"/>
      <c r="Y3343" s="180"/>
      <c r="Z3343" s="192" t="str">
        <f>IFERROR(Tableau3[[#This Row],[Chiffre d''affaires]]/Tableau3[[#This Row],[Salariés]],"")</f>
        <v/>
      </c>
      <c r="AA3343" s="177"/>
      <c r="AC3343" s="177" t="s">
        <v>4804</v>
      </c>
    </row>
    <row r="3344" spans="1:29" ht="20.25" customHeight="1">
      <c r="A3344" s="217"/>
      <c r="E3344" s="187">
        <v>26.4</v>
      </c>
      <c r="F3344" s="178">
        <v>2014</v>
      </c>
      <c r="G3344" s="188">
        <v>458500000</v>
      </c>
      <c r="H3344" s="188">
        <v>191400000</v>
      </c>
      <c r="I3344" s="188">
        <v>208800000</v>
      </c>
      <c r="J3344" s="188">
        <v>118200000</v>
      </c>
      <c r="K3344" s="188">
        <f>248400000-241600000</f>
        <v>6800000</v>
      </c>
      <c r="L3344" s="188">
        <v>341800000</v>
      </c>
      <c r="M3344" s="194">
        <f>L3344/P3344</f>
        <v>4.8828571428571426</v>
      </c>
      <c r="N3344" s="190">
        <f>J3344/L3344</f>
        <v>0.34581626682270333</v>
      </c>
      <c r="O3344" s="190">
        <f>(I3344*0.73)/(K3344+L3344)</f>
        <v>0.43724612736660928</v>
      </c>
      <c r="P3344" s="188">
        <v>70000000</v>
      </c>
      <c r="Q3344" s="188">
        <f>P3344*E3344</f>
        <v>1848000000</v>
      </c>
      <c r="R3344" s="195">
        <f>Q3344/L3344</f>
        <v>5.4066705675833822</v>
      </c>
      <c r="S3344" s="197">
        <f>(Q3344+K3344)/H3344</f>
        <v>9.6907001044932084</v>
      </c>
      <c r="T3344" s="180"/>
      <c r="U3344" s="189">
        <f>IFERROR(IF(Tableau3[[#This Row],[Dettes]]=0,"",(Tableau3[[#This Row],[Dettes]]/Tableau3[[#This Row],[EBE]])),"")</f>
        <v>3.5527690700104496E-2</v>
      </c>
      <c r="V3344" s="190" t="str">
        <f>IFERROR(Tableau3[[#This Row],[Fonds propres]]/Tableau3[[#This Row],[Total Bilan]],"")</f>
        <v/>
      </c>
      <c r="W3344" s="180"/>
      <c r="Y3344" s="180"/>
      <c r="Z3344" s="192" t="str">
        <f>IFERROR(Tableau3[[#This Row],[Chiffre d''affaires]]/Tableau3[[#This Row],[Salariés]],"")</f>
        <v/>
      </c>
      <c r="AA3344" s="177"/>
      <c r="AC3344" s="177" t="s">
        <v>2358</v>
      </c>
    </row>
    <row r="3345" spans="1:29" ht="20.25" customHeight="1">
      <c r="A3345" s="217"/>
      <c r="G3345" s="188"/>
      <c r="H3345" s="178"/>
      <c r="I3345" s="178"/>
      <c r="J3345" s="178"/>
      <c r="K3345" s="178"/>
      <c r="L3345" s="178"/>
      <c r="M3345" s="194"/>
      <c r="N3345" s="178"/>
      <c r="O3345" s="178"/>
      <c r="P3345" s="188"/>
      <c r="Q3345" s="178"/>
      <c r="R3345" s="178"/>
      <c r="S3345" s="178"/>
      <c r="T3345" s="180"/>
      <c r="U3345" s="189" t="str">
        <f>IFERROR(IF(Tableau3[[#This Row],[Dettes]]=0,"",(Tableau3[[#This Row],[Dettes]]/Tableau3[[#This Row],[EBE]])),"")</f>
        <v/>
      </c>
      <c r="V3345" s="190" t="str">
        <f>IFERROR(Tableau3[[#This Row],[Fonds propres]]/Tableau3[[#This Row],[Total Bilan]],"")</f>
        <v/>
      </c>
      <c r="W3345" s="180"/>
      <c r="Y3345" s="180"/>
      <c r="Z3345" s="192" t="str">
        <f>IFERROR(Tableau3[[#This Row],[Chiffre d''affaires]]/Tableau3[[#This Row],[Salariés]],"")</f>
        <v/>
      </c>
      <c r="AA3345" s="177"/>
      <c r="AC3345" s="177" t="s">
        <v>2359</v>
      </c>
    </row>
    <row r="3346" spans="1:29" ht="20.25" customHeight="1">
      <c r="A3346" s="217"/>
      <c r="F3346" s="217" t="s">
        <v>4636</v>
      </c>
      <c r="G3346" s="188"/>
      <c r="H3346" s="178"/>
      <c r="I3346" s="178"/>
      <c r="J3346" s="178"/>
      <c r="K3346" s="178"/>
      <c r="L3346" s="178"/>
      <c r="M3346" s="194"/>
      <c r="N3346" s="178"/>
      <c r="O3346" s="178"/>
      <c r="P3346" s="178"/>
      <c r="Q3346" s="178"/>
      <c r="R3346" s="178"/>
      <c r="S3346" s="178"/>
      <c r="T3346" s="180"/>
      <c r="U3346" s="189" t="str">
        <f>IFERROR(IF(Tableau3[[#This Row],[Dettes]]=0,"",(Tableau3[[#This Row],[Dettes]]/Tableau3[[#This Row],[EBE]])),"")</f>
        <v/>
      </c>
      <c r="V3346" s="190" t="str">
        <f>IFERROR(Tableau3[[#This Row],[Fonds propres]]/Tableau3[[#This Row],[Total Bilan]],"")</f>
        <v/>
      </c>
      <c r="W3346" s="180"/>
      <c r="Y3346" s="180"/>
      <c r="Z3346" s="192" t="str">
        <f>IFERROR(Tableau3[[#This Row],[Chiffre d''affaires]]/Tableau3[[#This Row],[Salariés]],"")</f>
        <v/>
      </c>
      <c r="AA3346" s="177"/>
      <c r="AC3346" s="177" t="s">
        <v>4808</v>
      </c>
    </row>
    <row r="3347" spans="1:29" ht="20.25" customHeight="1">
      <c r="A3347" s="217"/>
      <c r="E3347" s="234"/>
      <c r="F3347" s="234"/>
      <c r="G3347" s="188"/>
      <c r="H3347" s="178"/>
      <c r="I3347" s="178"/>
      <c r="J3347" s="178"/>
      <c r="K3347" s="178"/>
      <c r="L3347" s="178"/>
      <c r="M3347" s="194"/>
      <c r="N3347" s="178"/>
      <c r="O3347" s="178"/>
      <c r="P3347" s="178"/>
      <c r="Q3347" s="178"/>
      <c r="R3347" s="178"/>
      <c r="S3347" s="178"/>
      <c r="T3347" s="180"/>
      <c r="U3347" s="189" t="str">
        <f>IFERROR(IF(Tableau3[[#This Row],[Dettes]]=0,"",(Tableau3[[#This Row],[Dettes]]/Tableau3[[#This Row],[EBE]])),"")</f>
        <v/>
      </c>
      <c r="V3347" s="190" t="str">
        <f>IFERROR(Tableau3[[#This Row],[Fonds propres]]/Tableau3[[#This Row],[Total Bilan]],"")</f>
        <v/>
      </c>
      <c r="W3347" s="180"/>
      <c r="Y3347" s="180"/>
      <c r="Z3347" s="192" t="str">
        <f>IFERROR(Tableau3[[#This Row],[Chiffre d''affaires]]/Tableau3[[#This Row],[Salariés]],"")</f>
        <v/>
      </c>
      <c r="AA3347" s="177"/>
      <c r="AC3347" s="177" t="s">
        <v>2360</v>
      </c>
    </row>
    <row r="3348" spans="1:29" ht="20.25" customHeight="1">
      <c r="A3348" s="217"/>
      <c r="E3348" s="234"/>
      <c r="F3348" s="234"/>
      <c r="G3348" s="188"/>
      <c r="H3348" s="178"/>
      <c r="I3348" s="178"/>
      <c r="J3348" s="178"/>
      <c r="K3348" s="178"/>
      <c r="L3348" s="178"/>
      <c r="M3348" s="194"/>
      <c r="N3348" s="178"/>
      <c r="O3348" s="178"/>
      <c r="P3348" s="178"/>
      <c r="Q3348" s="178"/>
      <c r="R3348" s="178"/>
      <c r="S3348" s="178"/>
      <c r="T3348" s="180"/>
      <c r="U3348" s="189" t="str">
        <f>IFERROR(IF(Tableau3[[#This Row],[Dettes]]=0,"",(Tableau3[[#This Row],[Dettes]]/Tableau3[[#This Row],[EBE]])),"")</f>
        <v/>
      </c>
      <c r="V3348" s="190" t="str">
        <f>IFERROR(Tableau3[[#This Row],[Fonds propres]]/Tableau3[[#This Row],[Total Bilan]],"")</f>
        <v/>
      </c>
      <c r="W3348" s="180"/>
      <c r="Y3348" s="180"/>
      <c r="Z3348" s="192" t="str">
        <f>IFERROR(Tableau3[[#This Row],[Chiffre d''affaires]]/Tableau3[[#This Row],[Salariés]],"")</f>
        <v/>
      </c>
      <c r="AA3348" s="177"/>
    </row>
    <row r="3349" spans="1:29" ht="20.25" customHeight="1">
      <c r="A3349" s="217"/>
      <c r="E3349" s="234"/>
      <c r="F3349" s="234"/>
      <c r="G3349" s="188"/>
      <c r="H3349" s="178"/>
      <c r="I3349" s="178"/>
      <c r="J3349" s="178"/>
      <c r="K3349" s="178"/>
      <c r="L3349" s="178"/>
      <c r="M3349" s="194"/>
      <c r="N3349" s="178"/>
      <c r="O3349" s="178"/>
      <c r="P3349" s="178"/>
      <c r="Q3349" s="178"/>
      <c r="R3349" s="178"/>
      <c r="S3349" s="178"/>
      <c r="T3349" s="180"/>
      <c r="U3349" s="189" t="str">
        <f>IFERROR(IF(Tableau3[[#This Row],[Dettes]]=0,"",(Tableau3[[#This Row],[Dettes]]/Tableau3[[#This Row],[EBE]])),"")</f>
        <v/>
      </c>
      <c r="V3349" s="190" t="str">
        <f>IFERROR(Tableau3[[#This Row],[Fonds propres]]/Tableau3[[#This Row],[Total Bilan]],"")</f>
        <v/>
      </c>
      <c r="W3349" s="180"/>
      <c r="Y3349" s="180"/>
      <c r="Z3349" s="192" t="str">
        <f>IFERROR(Tableau3[[#This Row],[Chiffre d''affaires]]/Tableau3[[#This Row],[Salariés]],"")</f>
        <v/>
      </c>
      <c r="AA3349" s="177"/>
    </row>
    <row r="3350" spans="1:29" ht="20.25" customHeight="1">
      <c r="A3350" s="217" t="s">
        <v>2361</v>
      </c>
      <c r="B3350" s="216" t="s">
        <v>2339</v>
      </c>
      <c r="C3350" s="178" t="s">
        <v>564</v>
      </c>
      <c r="D3350" s="178" t="s">
        <v>85</v>
      </c>
      <c r="E3350" s="234"/>
      <c r="F3350" s="178">
        <v>2025</v>
      </c>
      <c r="G3350" s="188"/>
      <c r="H3350" s="178"/>
      <c r="I3350" s="178"/>
      <c r="J3350" s="178"/>
      <c r="K3350" s="178"/>
      <c r="L3350" s="178"/>
      <c r="M3350" s="194"/>
      <c r="N3350" s="178"/>
      <c r="O3350" s="178"/>
      <c r="P3350" s="188">
        <v>185112460</v>
      </c>
      <c r="Q3350" s="188">
        <f>P3350*E3350</f>
        <v>0</v>
      </c>
      <c r="R3350" s="195" t="e">
        <f>Q3350/L3350</f>
        <v>#DIV/0!</v>
      </c>
      <c r="S3350" s="197" t="e">
        <f>(Q3350+K3350)/H3350</f>
        <v>#DIV/0!</v>
      </c>
      <c r="T3350" s="180"/>
      <c r="U3350" s="189" t="str">
        <f>IFERROR(IF(Tableau3[[#This Row],[Dettes]]=0,"",(Tableau3[[#This Row],[Dettes]]/Tableau3[[#This Row],[EBE]])),"")</f>
        <v/>
      </c>
      <c r="V3350" s="190" t="str">
        <f>IFERROR(Tableau3[[#This Row],[Fonds propres]]/Tableau3[[#This Row],[Total Bilan]],"")</f>
        <v/>
      </c>
      <c r="W3350" s="180"/>
      <c r="X3350" s="182" t="s">
        <v>664</v>
      </c>
      <c r="Y3350" s="180"/>
      <c r="Z3350" s="192" t="str">
        <f>IFERROR(Tableau3[[#This Row],[Chiffre d''affaires]]/Tableau3[[#This Row],[Salariés]],"")</f>
        <v/>
      </c>
      <c r="AA3350" s="177"/>
      <c r="AC3350" s="177" t="s">
        <v>2362</v>
      </c>
    </row>
    <row r="3351" spans="1:29" ht="20.25" customHeight="1">
      <c r="A3351" s="217"/>
      <c r="E3351" s="234"/>
      <c r="F3351" s="234"/>
      <c r="G3351" s="188"/>
      <c r="H3351" s="178"/>
      <c r="I3351" s="178"/>
      <c r="J3351" s="178"/>
      <c r="K3351" s="178"/>
      <c r="L3351" s="178"/>
      <c r="M3351" s="194"/>
      <c r="N3351" s="178"/>
      <c r="O3351" s="178"/>
      <c r="P3351" s="178"/>
      <c r="Q3351" s="188"/>
      <c r="R3351" s="188"/>
      <c r="S3351" s="188"/>
      <c r="T3351" s="180"/>
      <c r="U3351" s="189" t="str">
        <f>IFERROR(IF(Tableau3[[#This Row],[Dettes]]=0,"",(Tableau3[[#This Row],[Dettes]]/Tableau3[[#This Row],[EBE]])),"")</f>
        <v/>
      </c>
      <c r="V3351" s="190" t="str">
        <f>IFERROR(Tableau3[[#This Row],[Fonds propres]]/Tableau3[[#This Row],[Total Bilan]],"")</f>
        <v/>
      </c>
      <c r="W3351" s="180"/>
      <c r="Y3351" s="180"/>
      <c r="Z3351" s="192" t="str">
        <f>IFERROR(Tableau3[[#This Row],[Chiffre d''affaires]]/Tableau3[[#This Row],[Salariés]],"")</f>
        <v/>
      </c>
      <c r="AA3351" s="177"/>
      <c r="AC3351" s="177" t="s">
        <v>2363</v>
      </c>
    </row>
    <row r="3352" spans="1:29" ht="20.25" customHeight="1">
      <c r="A3352" s="217"/>
      <c r="E3352" s="187">
        <v>222.4</v>
      </c>
      <c r="F3352" s="178">
        <v>2024</v>
      </c>
      <c r="G3352" s="188"/>
      <c r="H3352" s="178"/>
      <c r="I3352" s="178"/>
      <c r="J3352" s="178"/>
      <c r="K3352" s="178"/>
      <c r="L3352" s="178"/>
      <c r="M3352" s="194"/>
      <c r="N3352" s="178"/>
      <c r="O3352" s="178"/>
      <c r="P3352" s="188">
        <v>185112460</v>
      </c>
      <c r="Q3352" s="188">
        <f>P3352*E3352</f>
        <v>41169011104</v>
      </c>
      <c r="R3352" s="195" t="e">
        <f>Q3352/L3352</f>
        <v>#DIV/0!</v>
      </c>
      <c r="S3352" s="197" t="e">
        <f>(Q3352+K3352)/H3352</f>
        <v>#DIV/0!</v>
      </c>
      <c r="T3352" s="180"/>
      <c r="U3352" s="189" t="str">
        <f>IFERROR(IF(Tableau3[[#This Row],[Dettes]]=0,"",(Tableau3[[#This Row],[Dettes]]/Tableau3[[#This Row],[EBE]])),"")</f>
        <v/>
      </c>
      <c r="V3352" s="190" t="str">
        <f>IFERROR(Tableau3[[#This Row],[Fonds propres]]/Tableau3[[#This Row],[Total Bilan]],"")</f>
        <v/>
      </c>
      <c r="W3352" s="180"/>
      <c r="Y3352" s="180"/>
      <c r="Z3352" s="192" t="str">
        <f>IFERROR(Tableau3[[#This Row],[Chiffre d''affaires]]/Tableau3[[#This Row],[Salariés]],"")</f>
        <v/>
      </c>
      <c r="AA3352" s="177"/>
      <c r="AC3352" s="177" t="s">
        <v>2364</v>
      </c>
    </row>
    <row r="3353" spans="1:29" ht="20.25" customHeight="1">
      <c r="A3353" s="217"/>
      <c r="E3353" s="234"/>
      <c r="F3353" s="234"/>
      <c r="G3353" s="188"/>
      <c r="H3353" s="178"/>
      <c r="I3353" s="178"/>
      <c r="J3353" s="178"/>
      <c r="K3353" s="178"/>
      <c r="L3353" s="178"/>
      <c r="M3353" s="194"/>
      <c r="N3353" s="178"/>
      <c r="O3353" s="178"/>
      <c r="P3353" s="178"/>
      <c r="Q3353" s="188"/>
      <c r="R3353" s="188"/>
      <c r="S3353" s="188"/>
      <c r="T3353" s="180"/>
      <c r="U3353" s="189" t="str">
        <f>IFERROR(IF(Tableau3[[#This Row],[Dettes]]=0,"",(Tableau3[[#This Row],[Dettes]]/Tableau3[[#This Row],[EBE]])),"")</f>
        <v/>
      </c>
      <c r="V3353" s="190" t="str">
        <f>IFERROR(Tableau3[[#This Row],[Fonds propres]]/Tableau3[[#This Row],[Total Bilan]],"")</f>
        <v/>
      </c>
      <c r="W3353" s="180"/>
      <c r="Y3353" s="180"/>
      <c r="Z3353" s="192" t="str">
        <f>IFERROR(Tableau3[[#This Row],[Chiffre d''affaires]]/Tableau3[[#This Row],[Salariés]],"")</f>
        <v/>
      </c>
      <c r="AA3353" s="177"/>
      <c r="AC3353" s="177" t="s">
        <v>2366</v>
      </c>
    </row>
    <row r="3354" spans="1:29" ht="20.25" customHeight="1">
      <c r="A3354" s="217"/>
      <c r="E3354" s="178">
        <v>186.2</v>
      </c>
      <c r="F3354" s="178">
        <v>2023</v>
      </c>
      <c r="G3354" s="188">
        <v>5076600000</v>
      </c>
      <c r="H3354" s="188">
        <v>2944300000</v>
      </c>
      <c r="I3354" s="188">
        <v>2525800000</v>
      </c>
      <c r="J3354" s="188">
        <v>1796800000</v>
      </c>
      <c r="K3354" s="178"/>
      <c r="L3354" s="188">
        <v>9661500000</v>
      </c>
      <c r="M3354" s="194">
        <f>L3354/P3354</f>
        <v>52.192596867871565</v>
      </c>
      <c r="N3354" s="190">
        <f>Tableau3[[#This Row],[Résultat Net (PdG)]]/L3356</f>
        <v>0.21209188130031398</v>
      </c>
      <c r="O3354" s="190">
        <f>(I3354*0.73)/(K3356+L3356)</f>
        <v>0.21764371208007743</v>
      </c>
      <c r="P3354" s="188">
        <v>185112460</v>
      </c>
      <c r="Q3354" s="188">
        <f>P3354*E3354</f>
        <v>34467940052</v>
      </c>
      <c r="R3354" s="195">
        <f>Q3354/L3354</f>
        <v>3.5675557679449361</v>
      </c>
      <c r="S3354" s="197">
        <f>(Q3354+K3354)/H3354</f>
        <v>11.706667137180315</v>
      </c>
      <c r="T3354" s="180"/>
      <c r="U3354" s="189" t="str">
        <f>IFERROR(IF(Tableau3[[#This Row],[Dettes]]=0,"",(Tableau3[[#This Row],[Dettes]]/Tableau3[[#This Row],[EBE]])),"")</f>
        <v/>
      </c>
      <c r="V3354" s="190">
        <f>IFERROR(Tableau3[[#This Row],[Fonds propres]]/Tableau3[[#This Row],[Total Bilan]],"")</f>
        <v>4.0641172707001183E-2</v>
      </c>
      <c r="W3354" s="180">
        <v>237726900000</v>
      </c>
      <c r="Y3354" s="180">
        <v>14502</v>
      </c>
      <c r="Z3354" s="192">
        <f>IFERROR(Tableau3[[#This Row],[Chiffre d''affaires]]/Tableau3[[#This Row],[Salariés]],"")</f>
        <v>350062.06040546129</v>
      </c>
      <c r="AA3354" s="177"/>
      <c r="AC3354" s="177" t="s">
        <v>2367</v>
      </c>
    </row>
    <row r="3355" spans="1:29" ht="20.25" customHeight="1">
      <c r="A3355" s="217"/>
      <c r="E3355" s="234"/>
      <c r="G3355" s="202">
        <f>(G3354/G3356)-1</f>
        <v>0.17037071191442266</v>
      </c>
      <c r="H3355" s="202">
        <f>(H3354/H3356)-1</f>
        <v>0.16578238834336401</v>
      </c>
      <c r="I3355" s="202">
        <f>(I3354/I3356)-1</f>
        <v>0.16396313364055293</v>
      </c>
      <c r="J3355" s="202">
        <f>(J3354/J3356)-1</f>
        <v>0.20235546038543895</v>
      </c>
      <c r="K3355" s="178"/>
      <c r="L3355" s="188"/>
      <c r="M3355" s="194"/>
      <c r="N3355" s="178"/>
      <c r="O3355" s="178"/>
      <c r="P3355" s="178"/>
      <c r="Q3355" s="188"/>
      <c r="R3355" s="188"/>
      <c r="S3355" s="188"/>
      <c r="T3355" s="180"/>
      <c r="U3355" s="189" t="str">
        <f>IFERROR(IF(Tableau3[[#This Row],[Dettes]]=0,"",(Tableau3[[#This Row],[Dettes]]/Tableau3[[#This Row],[EBE]])),"")</f>
        <v/>
      </c>
      <c r="V3355" s="190" t="str">
        <f>IFERROR(Tableau3[[#This Row],[Fonds propres]]/Tableau3[[#This Row],[Total Bilan]],"")</f>
        <v/>
      </c>
      <c r="W3355" s="180"/>
      <c r="Y3355" s="180"/>
      <c r="Z3355" s="192" t="str">
        <f>IFERROR(Tableau3[[#This Row],[Chiffre d''affaires]]/Tableau3[[#This Row],[Salariés]],"")</f>
        <v/>
      </c>
      <c r="AA3355" s="177"/>
      <c r="AC3355" s="177" t="s">
        <v>2368</v>
      </c>
    </row>
    <row r="3356" spans="1:29" ht="20.25" customHeight="1">
      <c r="A3356" s="217"/>
      <c r="E3356" s="187">
        <v>161.35</v>
      </c>
      <c r="F3356" s="178">
        <v>2022</v>
      </c>
      <c r="G3356" s="188">
        <v>4337600000</v>
      </c>
      <c r="H3356" s="188">
        <v>2525600000</v>
      </c>
      <c r="I3356" s="188">
        <v>2170000000</v>
      </c>
      <c r="J3356" s="188">
        <v>1494400000</v>
      </c>
      <c r="K3356" s="178"/>
      <c r="L3356" s="188">
        <v>8471800000</v>
      </c>
      <c r="M3356" s="194">
        <f>L3356/P3356</f>
        <v>46.107808009891428</v>
      </c>
      <c r="N3356" s="190">
        <f>Tableau3[[#This Row],[Résultat Net (PdG)]]/L3358</f>
        <v>0.20774021352313168</v>
      </c>
      <c r="O3356" s="190">
        <f>(I3356*0.73)/(K3358+L3358)</f>
        <v>0.17230464671075532</v>
      </c>
      <c r="P3356" s="188">
        <v>183738945</v>
      </c>
      <c r="Q3356" s="188">
        <f>P3356*E3356</f>
        <v>29646278775.75</v>
      </c>
      <c r="R3356" s="195">
        <f>Q3356/L3356</f>
        <v>3.4994073013704288</v>
      </c>
      <c r="S3356" s="197">
        <f>(Q3356+K3356)/H3356</f>
        <v>11.738311203575387</v>
      </c>
      <c r="T3356" s="180"/>
      <c r="U3356" s="189" t="str">
        <f>IFERROR(IF(Tableau3[[#This Row],[Dettes]]=0,"",(Tableau3[[#This Row],[Dettes]]/Tableau3[[#This Row],[EBE]])),"")</f>
        <v/>
      </c>
      <c r="V3356" s="190">
        <f>IFERROR(Tableau3[[#This Row],[Fonds propres]]/Tableau3[[#This Row],[Total Bilan]],"")</f>
        <v>3.1504982270591494E-2</v>
      </c>
      <c r="W3356" s="180">
        <v>268903500000</v>
      </c>
      <c r="Y3356" s="180">
        <v>11078</v>
      </c>
      <c r="Z3356" s="192">
        <f>IFERROR(Tableau3[[#This Row],[Chiffre d''affaires]]/Tableau3[[#This Row],[Salariés]],"")</f>
        <v>391550.82144791476</v>
      </c>
      <c r="AA3356" s="177"/>
      <c r="AC3356" s="177" t="s">
        <v>2369</v>
      </c>
    </row>
    <row r="3357" spans="1:29" ht="20.25" customHeight="1">
      <c r="A3357" s="217"/>
      <c r="E3357" s="234"/>
      <c r="F3357" s="234"/>
      <c r="G3357" s="202">
        <f>(G3356/G3358)-1</f>
        <v>0.23931428571428581</v>
      </c>
      <c r="H3357" s="202">
        <f>(H3356/H3358)-1</f>
        <v>0.26279999999999992</v>
      </c>
      <c r="I3357" s="202">
        <f>(I3356/I3358)-1</f>
        <v>0.27647058823529402</v>
      </c>
      <c r="J3357" s="202">
        <f>(J3356/J3358)-1</f>
        <v>0.29947826086956519</v>
      </c>
      <c r="K3357" s="178"/>
      <c r="L3357" s="188"/>
      <c r="M3357" s="194"/>
      <c r="N3357" s="178"/>
      <c r="O3357" s="178"/>
      <c r="P3357" s="178"/>
      <c r="Q3357" s="188"/>
      <c r="R3357" s="188"/>
      <c r="S3357" s="188"/>
      <c r="T3357" s="180"/>
      <c r="U3357" s="189" t="str">
        <f>IFERROR(IF(Tableau3[[#This Row],[Dettes]]=0,"",(Tableau3[[#This Row],[Dettes]]/Tableau3[[#This Row],[EBE]])),"")</f>
        <v/>
      </c>
      <c r="V3357" s="190" t="str">
        <f>IFERROR(Tableau3[[#This Row],[Fonds propres]]/Tableau3[[#This Row],[Total Bilan]],"")</f>
        <v/>
      </c>
      <c r="W3357" s="180"/>
      <c r="Y3357" s="180"/>
      <c r="Z3357" s="192" t="str">
        <f>IFERROR(Tableau3[[#This Row],[Chiffre d''affaires]]/Tableau3[[#This Row],[Salariés]],"")</f>
        <v/>
      </c>
      <c r="AA3357" s="177"/>
      <c r="AC3357" s="177" t="s">
        <v>2370</v>
      </c>
    </row>
    <row r="3358" spans="1:29" ht="20.25" customHeight="1">
      <c r="A3358" s="217"/>
      <c r="E3358" s="187">
        <v>146.94999999999999</v>
      </c>
      <c r="F3358" s="178">
        <v>2021</v>
      </c>
      <c r="G3358" s="188">
        <v>3500000000</v>
      </c>
      <c r="H3358" s="188">
        <v>2000000000</v>
      </c>
      <c r="I3358" s="188">
        <v>1700000000</v>
      </c>
      <c r="J3358" s="188">
        <v>1150000000</v>
      </c>
      <c r="K3358" s="188">
        <v>2000000000</v>
      </c>
      <c r="L3358" s="188">
        <v>7193600000</v>
      </c>
      <c r="M3358" s="194">
        <f>L3358/P3358</f>
        <v>39.197639105098325</v>
      </c>
      <c r="N3358" s="190">
        <f>J3358/L3358</f>
        <v>0.15986432384341637</v>
      </c>
      <c r="O3358" s="190">
        <f>(I3358*0.7)/(K3358+L3358)</f>
        <v>0.1294378698224852</v>
      </c>
      <c r="P3358" s="188">
        <v>183521257</v>
      </c>
      <c r="Q3358" s="188">
        <f>P3358*E3358</f>
        <v>26968448716.149998</v>
      </c>
      <c r="R3358" s="195">
        <f>Q3358/L3358</f>
        <v>3.7489502774897128</v>
      </c>
      <c r="S3358" s="197">
        <f>(Q3358+K3358)/H3358</f>
        <v>14.484224358074998</v>
      </c>
      <c r="T3358" s="180"/>
      <c r="U3358" s="189">
        <f>IFERROR(IF(Tableau3[[#This Row],[Dettes]]=0,"",(Tableau3[[#This Row],[Dettes]]/Tableau3[[#This Row],[EBE]])),"")</f>
        <v>1</v>
      </c>
      <c r="V3358" s="190" t="str">
        <f>IFERROR(Tableau3[[#This Row],[Fonds propres]]/Tableau3[[#This Row],[Total Bilan]],"")</f>
        <v/>
      </c>
      <c r="W3358" s="180"/>
      <c r="Y3358" s="180">
        <v>10200</v>
      </c>
      <c r="Z3358" s="192">
        <f>IFERROR(Tableau3[[#This Row],[Chiffre d''affaires]]/Tableau3[[#This Row],[Salariés]],"")</f>
        <v>343137.25490196078</v>
      </c>
      <c r="AA3358" s="178"/>
      <c r="AC3358" s="177" t="s">
        <v>2371</v>
      </c>
    </row>
    <row r="3359" spans="1:29" ht="20.25" customHeight="1">
      <c r="A3359" s="217"/>
      <c r="E3359" s="187"/>
      <c r="G3359" s="202">
        <f>(G3358/G3360)-1</f>
        <v>8.9053456966830646E-2</v>
      </c>
      <c r="H3359" s="202">
        <f>(H3358/H3360)-1</f>
        <v>6.9861987803573333E-2</v>
      </c>
      <c r="I3359" s="202">
        <f>(I3358/I3360)-1</f>
        <v>5.9124042115755948E-2</v>
      </c>
      <c r="J3359" s="202">
        <f>(J3358/J3360)-1</f>
        <v>6.4913417909065574E-2</v>
      </c>
      <c r="K3359" s="188"/>
      <c r="L3359" s="188"/>
      <c r="M3359" s="188"/>
      <c r="N3359" s="188"/>
      <c r="O3359" s="188"/>
      <c r="P3359" s="188"/>
      <c r="Q3359" s="188"/>
      <c r="R3359" s="188"/>
      <c r="S3359" s="188"/>
      <c r="T3359" s="180"/>
      <c r="U3359" s="189" t="str">
        <f>IFERROR(IF(Tableau3[[#This Row],[Dettes]]=0,"",(Tableau3[[#This Row],[Dettes]]/Tableau3[[#This Row],[EBE]])),"")</f>
        <v/>
      </c>
      <c r="V3359" s="190" t="str">
        <f>IFERROR(Tableau3[[#This Row],[Fonds propres]]/Tableau3[[#This Row],[Total Bilan]],"")</f>
        <v/>
      </c>
      <c r="W3359" s="180"/>
      <c r="Y3359" s="180"/>
      <c r="Z3359" s="192" t="str">
        <f>IFERROR(Tableau3[[#This Row],[Chiffre d''affaires]]/Tableau3[[#This Row],[Salariés]],"")</f>
        <v/>
      </c>
      <c r="AA3359" s="177"/>
      <c r="AC3359" s="177" t="s">
        <v>616</v>
      </c>
    </row>
    <row r="3360" spans="1:29" ht="20.25" customHeight="1">
      <c r="A3360" s="217"/>
      <c r="E3360" s="187">
        <v>139.19999999999999</v>
      </c>
      <c r="F3360" s="178">
        <v>2020</v>
      </c>
      <c r="G3360" s="188">
        <v>3213800000</v>
      </c>
      <c r="H3360" s="188">
        <v>1869400000</v>
      </c>
      <c r="I3360" s="188">
        <v>1605100000</v>
      </c>
      <c r="J3360" s="188">
        <v>1079900000</v>
      </c>
      <c r="K3360" s="188">
        <v>2000000000</v>
      </c>
      <c r="L3360" s="188">
        <v>6168300000</v>
      </c>
      <c r="M3360" s="194">
        <f>L3360/P3360</f>
        <v>33.610820353088577</v>
      </c>
      <c r="N3360" s="190">
        <f>J3360/L3360</f>
        <v>0.1750725483520581</v>
      </c>
      <c r="O3360" s="190">
        <f>(I3360*0.7)/(K3360+L3360)</f>
        <v>0.13755248950209958</v>
      </c>
      <c r="P3360" s="188">
        <v>183521257</v>
      </c>
      <c r="Q3360" s="188">
        <f>P3360*E3360</f>
        <v>25546158974.399998</v>
      </c>
      <c r="R3360" s="195">
        <f>Q3360/L3360</f>
        <v>4.1415234301833568</v>
      </c>
      <c r="S3360" s="197">
        <f>(Q3360+K3360)/H3360</f>
        <v>14.735294198352411</v>
      </c>
      <c r="T3360" s="180"/>
      <c r="U3360" s="189">
        <f>IFERROR(IF(Tableau3[[#This Row],[Dettes]]=0,"",(Tableau3[[#This Row],[Dettes]]/Tableau3[[#This Row],[EBE]])),"")</f>
        <v>1.0698619878035733</v>
      </c>
      <c r="V3360" s="190" t="str">
        <f>IFERROR(Tableau3[[#This Row],[Fonds propres]]/Tableau3[[#This Row],[Total Bilan]],"")</f>
        <v/>
      </c>
      <c r="W3360" s="180"/>
      <c r="Y3360" s="180">
        <v>7238</v>
      </c>
      <c r="Z3360" s="192">
        <f>IFERROR(Tableau3[[#This Row],[Chiffre d''affaires]]/Tableau3[[#This Row],[Salariés]],"")</f>
        <v>444017.68444321636</v>
      </c>
      <c r="AA3360" s="177"/>
      <c r="AC3360" s="177" t="s">
        <v>2372</v>
      </c>
    </row>
    <row r="3361" spans="1:29" ht="20.25" customHeight="1">
      <c r="A3361" s="217"/>
      <c r="E3361" s="187"/>
      <c r="F3361" s="177"/>
      <c r="G3361" s="202">
        <f>(G3360/G3362)-1</f>
        <v>9.4618528610354247E-2</v>
      </c>
      <c r="H3361" s="202">
        <f>(H3360/H3362)-1</f>
        <v>0.11393159337385295</v>
      </c>
      <c r="I3361" s="202">
        <f>(I3360/I3362)-1</f>
        <v>0.10536464430824322</v>
      </c>
      <c r="J3361" s="202">
        <f>(J3360/J3362)-1</f>
        <v>7.5704751469269915E-2</v>
      </c>
      <c r="K3361" s="188"/>
      <c r="L3361" s="188"/>
      <c r="M3361" s="188"/>
      <c r="N3361" s="188"/>
      <c r="O3361" s="188"/>
      <c r="P3361" s="188"/>
      <c r="Q3361" s="188"/>
      <c r="R3361" s="188"/>
      <c r="S3361" s="188"/>
      <c r="T3361" s="180"/>
      <c r="U3361" s="189" t="str">
        <f>IFERROR(IF(Tableau3[[#This Row],[Dettes]]=0,"",(Tableau3[[#This Row],[Dettes]]/Tableau3[[#This Row],[EBE]])),"")</f>
        <v/>
      </c>
      <c r="V3361" s="190" t="str">
        <f>IFERROR(Tableau3[[#This Row],[Fonds propres]]/Tableau3[[#This Row],[Total Bilan]],"")</f>
        <v/>
      </c>
      <c r="W3361" s="180"/>
      <c r="Y3361" s="180"/>
      <c r="Z3361" s="192" t="str">
        <f>IFERROR(Tableau3[[#This Row],[Chiffre d''affaires]]/Tableau3[[#This Row],[Salariés]],"")</f>
        <v/>
      </c>
      <c r="AA3361" s="177"/>
    </row>
    <row r="3362" spans="1:29" ht="20.25" customHeight="1">
      <c r="A3362" s="217"/>
      <c r="E3362" s="187">
        <v>140.1</v>
      </c>
      <c r="F3362" s="178">
        <v>2019</v>
      </c>
      <c r="G3362" s="188">
        <v>2936000000</v>
      </c>
      <c r="H3362" s="188">
        <v>1678200000</v>
      </c>
      <c r="I3362" s="188">
        <v>1452100000</v>
      </c>
      <c r="J3362" s="188">
        <v>1003900000</v>
      </c>
      <c r="K3362" s="188">
        <v>2000000000</v>
      </c>
      <c r="L3362" s="188">
        <v>5735300000</v>
      </c>
      <c r="M3362" s="194">
        <f>L3362/P3362</f>
        <v>31.267132817876952</v>
      </c>
      <c r="N3362" s="190">
        <f>J3362/L3362</f>
        <v>0.1750387948320053</v>
      </c>
      <c r="O3362" s="190">
        <f>(I3362*0.7)/(K3362+L3362)</f>
        <v>0.13140666813181129</v>
      </c>
      <c r="P3362" s="188">
        <v>183429035</v>
      </c>
      <c r="Q3362" s="188">
        <f>P3362*E3362</f>
        <v>25698407803.5</v>
      </c>
      <c r="R3362" s="195">
        <f>Q3362/L3362</f>
        <v>4.480743431642634</v>
      </c>
      <c r="S3362" s="197">
        <f>(Q3362+K3362)/H3362</f>
        <v>16.50483124985103</v>
      </c>
      <c r="T3362" s="180"/>
      <c r="U3362" s="189">
        <f>IFERROR(IF(Tableau3[[#This Row],[Dettes]]=0,"",(Tableau3[[#This Row],[Dettes]]/Tableau3[[#This Row],[EBE]])),"")</f>
        <v>1.191753068764152</v>
      </c>
      <c r="V3362" s="190" t="str">
        <f>IFERROR(Tableau3[[#This Row],[Fonds propres]]/Tableau3[[#This Row],[Total Bilan]],"")</f>
        <v/>
      </c>
      <c r="W3362" s="180"/>
      <c r="Y3362" s="180"/>
      <c r="Z3362" s="192" t="str">
        <f>IFERROR(Tableau3[[#This Row],[Chiffre d''affaires]]/Tableau3[[#This Row],[Salariés]],"")</f>
        <v/>
      </c>
      <c r="AA3362" s="177"/>
    </row>
    <row r="3363" spans="1:29" ht="20.25" customHeight="1">
      <c r="A3363" s="217"/>
      <c r="E3363" s="187"/>
      <c r="G3363" s="202">
        <f>(G3362/G3364)-1</f>
        <v>5.6229089470086757E-2</v>
      </c>
      <c r="H3363" s="202">
        <f>(H3362/H3364)-1</f>
        <v>0.16242986770104584</v>
      </c>
      <c r="I3363" s="202" t="e">
        <f>(I3362/I3364)-1</f>
        <v>#DIV/0!</v>
      </c>
      <c r="J3363" s="202">
        <f>(J3362/J3364)-1</f>
        <v>0.21788183913623671</v>
      </c>
      <c r="K3363" s="188"/>
      <c r="L3363" s="188"/>
      <c r="M3363" s="188"/>
      <c r="N3363" s="188"/>
      <c r="O3363" s="188"/>
      <c r="P3363" s="188"/>
      <c r="Q3363" s="188"/>
      <c r="R3363" s="188"/>
      <c r="S3363" s="188"/>
      <c r="T3363" s="180"/>
      <c r="U3363" s="189" t="str">
        <f>IFERROR(IF(Tableau3[[#This Row],[Dettes]]=0,"",(Tableau3[[#This Row],[Dettes]]/Tableau3[[#This Row],[EBE]])),"")</f>
        <v/>
      </c>
      <c r="V3363" s="190" t="str">
        <f>IFERROR(Tableau3[[#This Row],[Fonds propres]]/Tableau3[[#This Row],[Total Bilan]],"")</f>
        <v/>
      </c>
      <c r="W3363" s="180"/>
      <c r="Y3363" s="180"/>
      <c r="Z3363" s="192" t="str">
        <f>IFERROR(Tableau3[[#This Row],[Chiffre d''affaires]]/Tableau3[[#This Row],[Salariés]],"")</f>
        <v/>
      </c>
      <c r="AA3363" s="177"/>
    </row>
    <row r="3364" spans="1:29" ht="20.25" customHeight="1">
      <c r="A3364" s="217"/>
      <c r="E3364" s="187">
        <v>104.9</v>
      </c>
      <c r="F3364" s="178">
        <v>2018</v>
      </c>
      <c r="G3364" s="188">
        <v>2779700000</v>
      </c>
      <c r="H3364" s="188">
        <v>1443700000</v>
      </c>
      <c r="I3364" s="188"/>
      <c r="J3364" s="188">
        <v>824300000</v>
      </c>
      <c r="K3364" s="188"/>
      <c r="L3364" s="188"/>
      <c r="M3364" s="188"/>
      <c r="N3364" s="188"/>
      <c r="O3364" s="188"/>
      <c r="P3364" s="188"/>
      <c r="Q3364" s="188"/>
      <c r="R3364" s="188"/>
      <c r="S3364" s="188"/>
      <c r="T3364" s="180"/>
      <c r="U3364" s="189" t="str">
        <f>IFERROR(IF(Tableau3[[#This Row],[Dettes]]=0,"",(Tableau3[[#This Row],[Dettes]]/Tableau3[[#This Row],[EBE]])),"")</f>
        <v/>
      </c>
      <c r="V3364" s="190" t="str">
        <f>IFERROR(Tableau3[[#This Row],[Fonds propres]]/Tableau3[[#This Row],[Total Bilan]],"")</f>
        <v/>
      </c>
      <c r="W3364" s="180"/>
      <c r="Y3364" s="180"/>
      <c r="Z3364" s="192" t="str">
        <f>IFERROR(Tableau3[[#This Row],[Chiffre d''affaires]]/Tableau3[[#This Row],[Salariés]],"")</f>
        <v/>
      </c>
      <c r="AA3364" s="177"/>
    </row>
    <row r="3365" spans="1:29" ht="20.25" customHeight="1">
      <c r="A3365" s="217"/>
      <c r="E3365" s="187"/>
      <c r="G3365" s="188"/>
      <c r="H3365" s="178"/>
      <c r="I3365" s="188"/>
      <c r="J3365" s="188"/>
      <c r="K3365" s="188"/>
      <c r="L3365" s="188"/>
      <c r="M3365" s="188"/>
      <c r="N3365" s="188"/>
      <c r="O3365" s="188"/>
      <c r="P3365" s="188"/>
      <c r="Q3365" s="188"/>
      <c r="R3365" s="188"/>
      <c r="S3365" s="188"/>
      <c r="T3365" s="180"/>
      <c r="U3365" s="189" t="str">
        <f>IFERROR(IF(Tableau3[[#This Row],[Dettes]]=0,"",(Tableau3[[#This Row],[Dettes]]/Tableau3[[#This Row],[EBE]])),"")</f>
        <v/>
      </c>
      <c r="V3365" s="190" t="str">
        <f>IFERROR(Tableau3[[#This Row],[Fonds propres]]/Tableau3[[#This Row],[Total Bilan]],"")</f>
        <v/>
      </c>
      <c r="W3365" s="180"/>
      <c r="Y3365" s="180"/>
      <c r="Z3365" s="192" t="str">
        <f>IFERROR(Tableau3[[#This Row],[Chiffre d''affaires]]/Tableau3[[#This Row],[Salariés]],"")</f>
        <v/>
      </c>
      <c r="AA3365" s="177"/>
    </row>
    <row r="3366" spans="1:29" ht="20.25" customHeight="1">
      <c r="A3366" s="217"/>
      <c r="E3366" s="187">
        <v>96.8</v>
      </c>
      <c r="F3366" s="178">
        <v>2017</v>
      </c>
      <c r="G3366" s="188">
        <v>2462300000</v>
      </c>
      <c r="H3366" s="188">
        <v>1528500000</v>
      </c>
      <c r="I3366" s="188"/>
      <c r="J3366" s="188">
        <v>874300000</v>
      </c>
      <c r="K3366" s="188"/>
      <c r="L3366" s="188"/>
      <c r="M3366" s="188"/>
      <c r="N3366" s="188"/>
      <c r="O3366" s="188"/>
      <c r="P3366" s="188"/>
      <c r="Q3366" s="188"/>
      <c r="R3366" s="188"/>
      <c r="S3366" s="188"/>
      <c r="T3366" s="180"/>
      <c r="U3366" s="189" t="str">
        <f>IFERROR(IF(Tableau3[[#This Row],[Dettes]]=0,"",(Tableau3[[#This Row],[Dettes]]/Tableau3[[#This Row],[EBE]])),"")</f>
        <v/>
      </c>
      <c r="V3366" s="190" t="str">
        <f>IFERROR(Tableau3[[#This Row],[Fonds propres]]/Tableau3[[#This Row],[Total Bilan]],"")</f>
        <v/>
      </c>
      <c r="W3366" s="180"/>
      <c r="Y3366" s="180"/>
      <c r="Z3366" s="192" t="str">
        <f>IFERROR(Tableau3[[#This Row],[Chiffre d''affaires]]/Tableau3[[#This Row],[Salariés]],"")</f>
        <v/>
      </c>
      <c r="AA3366" s="177"/>
    </row>
    <row r="3367" spans="1:29" ht="20.25" customHeight="1">
      <c r="A3367" s="217"/>
      <c r="E3367" s="187"/>
      <c r="G3367" s="188"/>
      <c r="H3367" s="188"/>
      <c r="I3367" s="188"/>
      <c r="J3367" s="188"/>
      <c r="K3367" s="188"/>
      <c r="L3367" s="188"/>
      <c r="M3367" s="188"/>
      <c r="N3367" s="188"/>
      <c r="O3367" s="188"/>
      <c r="P3367" s="188"/>
      <c r="Q3367" s="188"/>
      <c r="R3367" s="188"/>
      <c r="S3367" s="188"/>
      <c r="T3367" s="180"/>
      <c r="U3367" s="189" t="str">
        <f>IFERROR(IF(Tableau3[[#This Row],[Dettes]]=0,"",(Tableau3[[#This Row],[Dettes]]/Tableau3[[#This Row],[EBE]])),"")</f>
        <v/>
      </c>
      <c r="V3367" s="190" t="str">
        <f>IFERROR(Tableau3[[#This Row],[Fonds propres]]/Tableau3[[#This Row],[Total Bilan]],"")</f>
        <v/>
      </c>
      <c r="W3367" s="180"/>
      <c r="Y3367" s="180"/>
      <c r="Z3367" s="192" t="str">
        <f>IFERROR(Tableau3[[#This Row],[Chiffre d''affaires]]/Tableau3[[#This Row],[Salariés]],"")</f>
        <v/>
      </c>
      <c r="AA3367" s="177"/>
    </row>
    <row r="3368" spans="1:29" ht="20.25" customHeight="1">
      <c r="A3368" s="217"/>
      <c r="E3368" s="187">
        <v>77.5</v>
      </c>
      <c r="F3368" s="178">
        <v>2016</v>
      </c>
      <c r="G3368" s="188">
        <v>2388700000</v>
      </c>
      <c r="H3368" s="188">
        <v>1239200000</v>
      </c>
      <c r="I3368" s="188"/>
      <c r="J3368" s="188">
        <v>722100000</v>
      </c>
      <c r="K3368" s="188"/>
      <c r="L3368" s="188"/>
      <c r="M3368" s="188"/>
      <c r="N3368" s="188"/>
      <c r="O3368" s="188"/>
      <c r="P3368" s="188"/>
      <c r="Q3368" s="188"/>
      <c r="R3368" s="188"/>
      <c r="S3368" s="188"/>
      <c r="T3368" s="180"/>
      <c r="U3368" s="189" t="str">
        <f>IFERROR(IF(Tableau3[[#This Row],[Dettes]]=0,"",(Tableau3[[#This Row],[Dettes]]/Tableau3[[#This Row],[EBE]])),"")</f>
        <v/>
      </c>
      <c r="V3368" s="190" t="str">
        <f>IFERROR(Tableau3[[#This Row],[Fonds propres]]/Tableau3[[#This Row],[Total Bilan]],"")</f>
        <v/>
      </c>
      <c r="W3368" s="180"/>
      <c r="Y3368" s="180"/>
      <c r="Z3368" s="192" t="str">
        <f>IFERROR(Tableau3[[#This Row],[Chiffre d''affaires]]/Tableau3[[#This Row],[Salariés]],"")</f>
        <v/>
      </c>
      <c r="AA3368" s="177"/>
    </row>
    <row r="3369" spans="1:29" ht="20.25" customHeight="1">
      <c r="A3369" s="217"/>
      <c r="E3369" s="187"/>
      <c r="G3369" s="188"/>
      <c r="H3369" s="188"/>
      <c r="I3369" s="188"/>
      <c r="J3369" s="188"/>
      <c r="K3369" s="188"/>
      <c r="L3369" s="188"/>
      <c r="M3369" s="188"/>
      <c r="N3369" s="188"/>
      <c r="O3369" s="188"/>
      <c r="P3369" s="188"/>
      <c r="Q3369" s="188"/>
      <c r="R3369" s="188"/>
      <c r="S3369" s="188"/>
      <c r="T3369" s="180"/>
      <c r="U3369" s="189" t="str">
        <f>IFERROR(IF(Tableau3[[#This Row],[Dettes]]=0,"",(Tableau3[[#This Row],[Dettes]]/Tableau3[[#This Row],[EBE]])),"")</f>
        <v/>
      </c>
      <c r="V3369" s="190" t="str">
        <f>IFERROR(Tableau3[[#This Row],[Fonds propres]]/Tableau3[[#This Row],[Total Bilan]],"")</f>
        <v/>
      </c>
      <c r="W3369" s="180"/>
      <c r="Y3369" s="180"/>
      <c r="Z3369" s="192" t="str">
        <f>IFERROR(Tableau3[[#This Row],[Chiffre d''affaires]]/Tableau3[[#This Row],[Salariés]],"")</f>
        <v/>
      </c>
      <c r="AA3369" s="177"/>
    </row>
    <row r="3370" spans="1:29" ht="20.25" customHeight="1">
      <c r="A3370" s="217"/>
      <c r="E3370" s="187"/>
      <c r="F3370" s="178">
        <v>2015</v>
      </c>
      <c r="G3370" s="188"/>
      <c r="H3370" s="188"/>
      <c r="I3370" s="188"/>
      <c r="J3370" s="188"/>
      <c r="K3370" s="188"/>
      <c r="L3370" s="188"/>
      <c r="M3370" s="188"/>
      <c r="N3370" s="188"/>
      <c r="O3370" s="188"/>
      <c r="P3370" s="188"/>
      <c r="Q3370" s="188"/>
      <c r="R3370" s="188"/>
      <c r="S3370" s="188"/>
      <c r="T3370" s="180"/>
      <c r="U3370" s="189" t="str">
        <f>IFERROR(IF(Tableau3[[#This Row],[Dettes]]=0,"",(Tableau3[[#This Row],[Dettes]]/Tableau3[[#This Row],[EBE]])),"")</f>
        <v/>
      </c>
      <c r="V3370" s="190" t="str">
        <f>IFERROR(Tableau3[[#This Row],[Fonds propres]]/Tableau3[[#This Row],[Total Bilan]],"")</f>
        <v/>
      </c>
      <c r="W3370" s="180"/>
      <c r="Y3370" s="180"/>
      <c r="Z3370" s="192" t="str">
        <f>IFERROR(Tableau3[[#This Row],[Chiffre d''affaires]]/Tableau3[[#This Row],[Salariés]],"")</f>
        <v/>
      </c>
      <c r="AA3370" s="177"/>
    </row>
    <row r="3371" spans="1:29" ht="20.25" customHeight="1">
      <c r="A3371" s="217"/>
      <c r="E3371" s="187"/>
      <c r="G3371" s="188"/>
      <c r="H3371" s="188"/>
      <c r="I3371" s="188"/>
      <c r="J3371" s="188"/>
      <c r="K3371" s="188"/>
      <c r="L3371" s="188"/>
      <c r="M3371" s="188"/>
      <c r="N3371" s="188"/>
      <c r="O3371" s="188"/>
      <c r="P3371" s="188"/>
      <c r="Q3371" s="188"/>
      <c r="R3371" s="188"/>
      <c r="S3371" s="188"/>
      <c r="T3371" s="180"/>
      <c r="U3371" s="189" t="str">
        <f>IFERROR(IF(Tableau3[[#This Row],[Dettes]]=0,"",(Tableau3[[#This Row],[Dettes]]/Tableau3[[#This Row],[EBE]])),"")</f>
        <v/>
      </c>
      <c r="V3371" s="190" t="str">
        <f>IFERROR(Tableau3[[#This Row],[Fonds propres]]/Tableau3[[#This Row],[Total Bilan]],"")</f>
        <v/>
      </c>
      <c r="W3371" s="180"/>
      <c r="Y3371" s="180"/>
      <c r="Z3371" s="192" t="str">
        <f>IFERROR(Tableau3[[#This Row],[Chiffre d''affaires]]/Tableau3[[#This Row],[Salariés]],"")</f>
        <v/>
      </c>
      <c r="AA3371" s="177"/>
    </row>
    <row r="3372" spans="1:29" ht="20.25" customHeight="1">
      <c r="A3372" s="217"/>
      <c r="E3372" s="187"/>
      <c r="F3372" s="178">
        <v>2014</v>
      </c>
      <c r="G3372" s="188"/>
      <c r="H3372" s="188"/>
      <c r="I3372" s="188"/>
      <c r="J3372" s="188"/>
      <c r="K3372" s="188"/>
      <c r="L3372" s="188"/>
      <c r="M3372" s="188"/>
      <c r="N3372" s="188"/>
      <c r="O3372" s="188"/>
      <c r="P3372" s="188"/>
      <c r="Q3372" s="188"/>
      <c r="R3372" s="188"/>
      <c r="S3372" s="188"/>
      <c r="T3372" s="180"/>
      <c r="U3372" s="189" t="str">
        <f>IFERROR(IF(Tableau3[[#This Row],[Dettes]]=0,"",(Tableau3[[#This Row],[Dettes]]/Tableau3[[#This Row],[EBE]])),"")</f>
        <v/>
      </c>
      <c r="V3372" s="190" t="str">
        <f>IFERROR(Tableau3[[#This Row],[Fonds propres]]/Tableau3[[#This Row],[Total Bilan]],"")</f>
        <v/>
      </c>
      <c r="W3372" s="180"/>
      <c r="Y3372" s="180"/>
      <c r="Z3372" s="192" t="str">
        <f>IFERROR(Tableau3[[#This Row],[Chiffre d''affaires]]/Tableau3[[#This Row],[Salariés]],"")</f>
        <v/>
      </c>
      <c r="AA3372" s="177"/>
    </row>
    <row r="3373" spans="1:29" ht="20.25" customHeight="1">
      <c r="A3373" s="217"/>
      <c r="G3373" s="188"/>
      <c r="H3373" s="178"/>
      <c r="I3373" s="178"/>
      <c r="J3373" s="178"/>
      <c r="K3373" s="178"/>
      <c r="L3373" s="178"/>
      <c r="M3373" s="188"/>
      <c r="N3373" s="188"/>
      <c r="O3373" s="188"/>
      <c r="P3373" s="188"/>
      <c r="Q3373" s="188"/>
      <c r="R3373" s="188"/>
      <c r="S3373" s="188"/>
      <c r="T3373" s="180"/>
      <c r="U3373" s="189" t="str">
        <f>IFERROR(IF(Tableau3[[#This Row],[Dettes]]=0,"",(Tableau3[[#This Row],[Dettes]]/Tableau3[[#This Row],[EBE]])),"")</f>
        <v/>
      </c>
      <c r="V3373" s="190" t="str">
        <f>IFERROR(Tableau3[[#This Row],[Fonds propres]]/Tableau3[[#This Row],[Total Bilan]],"")</f>
        <v/>
      </c>
      <c r="W3373" s="180"/>
      <c r="Y3373" s="180"/>
      <c r="Z3373" s="192" t="str">
        <f>IFERROR(Tableau3[[#This Row],[Chiffre d''affaires]]/Tableau3[[#This Row],[Salariés]],"")</f>
        <v/>
      </c>
      <c r="AA3373" s="177"/>
    </row>
    <row r="3374" spans="1:29" ht="20.25" customHeight="1">
      <c r="A3374" s="217"/>
      <c r="G3374" s="188"/>
      <c r="H3374" s="178"/>
      <c r="I3374" s="178"/>
      <c r="J3374" s="178"/>
      <c r="K3374" s="178"/>
      <c r="L3374" s="178"/>
      <c r="M3374" s="188"/>
      <c r="N3374" s="188"/>
      <c r="O3374" s="188"/>
      <c r="P3374" s="188"/>
      <c r="Q3374" s="188"/>
      <c r="R3374" s="188"/>
      <c r="S3374" s="188"/>
      <c r="T3374" s="180"/>
      <c r="U3374" s="189" t="str">
        <f>IFERROR(IF(Tableau3[[#This Row],[Dettes]]=0,"",(Tableau3[[#This Row],[Dettes]]/Tableau3[[#This Row],[EBE]])),"")</f>
        <v/>
      </c>
      <c r="V3374" s="190" t="str">
        <f>IFERROR(Tableau3[[#This Row],[Fonds propres]]/Tableau3[[#This Row],[Total Bilan]],"")</f>
        <v/>
      </c>
      <c r="W3374" s="180"/>
      <c r="Y3374" s="180"/>
      <c r="Z3374" s="192" t="str">
        <f>IFERROR(Tableau3[[#This Row],[Chiffre d''affaires]]/Tableau3[[#This Row],[Salariés]],"")</f>
        <v/>
      </c>
      <c r="AA3374" s="177"/>
    </row>
    <row r="3375" spans="1:29" ht="20.25" customHeight="1">
      <c r="A3375" s="217"/>
      <c r="G3375" s="188"/>
      <c r="H3375" s="178"/>
      <c r="I3375" s="178"/>
      <c r="J3375" s="178"/>
      <c r="K3375" s="178"/>
      <c r="L3375" s="178"/>
      <c r="M3375" s="188"/>
      <c r="N3375" s="188"/>
      <c r="O3375" s="188"/>
      <c r="P3375" s="188"/>
      <c r="Q3375" s="188"/>
      <c r="R3375" s="188"/>
      <c r="S3375" s="188"/>
      <c r="T3375" s="180"/>
      <c r="U3375" s="189" t="str">
        <f>IFERROR(IF(Tableau3[[#This Row],[Dettes]]=0,"",(Tableau3[[#This Row],[Dettes]]/Tableau3[[#This Row],[EBE]])),"")</f>
        <v/>
      </c>
      <c r="V3375" s="190" t="str">
        <f>IFERROR(Tableau3[[#This Row],[Fonds propres]]/Tableau3[[#This Row],[Total Bilan]],"")</f>
        <v/>
      </c>
      <c r="W3375" s="180"/>
      <c r="Y3375" s="180"/>
      <c r="Z3375" s="192" t="str">
        <f>IFERROR(Tableau3[[#This Row],[Chiffre d''affaires]]/Tableau3[[#This Row],[Salariés]],"")</f>
        <v/>
      </c>
      <c r="AA3375" s="177"/>
    </row>
    <row r="3376" spans="1:29" ht="20.25" customHeight="1">
      <c r="A3376" s="217" t="s">
        <v>2373</v>
      </c>
      <c r="B3376" s="216" t="s">
        <v>2374</v>
      </c>
      <c r="C3376" s="178" t="s">
        <v>84</v>
      </c>
      <c r="D3376" s="178" t="s">
        <v>85</v>
      </c>
      <c r="E3376" s="187">
        <v>21.9</v>
      </c>
      <c r="F3376" s="178">
        <v>2025</v>
      </c>
      <c r="G3376" s="188">
        <f>G3378*1.1</f>
        <v>1330780000</v>
      </c>
      <c r="H3376" s="211">
        <f>Tableau3[[#This Row],[Chiffre d''affaires]]*0.3635</f>
        <v>483738530</v>
      </c>
      <c r="I3376" s="211">
        <v>350000000</v>
      </c>
      <c r="J3376" s="211">
        <v>220000000</v>
      </c>
      <c r="K3376" s="188">
        <v>-1054000000</v>
      </c>
      <c r="L3376" s="188">
        <v>420000000</v>
      </c>
      <c r="M3376" s="194">
        <f>L3376/P3376</f>
        <v>2.8537515132017397</v>
      </c>
      <c r="N3376" s="190">
        <f>J3376/L3378</f>
        <v>0.8527131782945736</v>
      </c>
      <c r="O3376" s="190">
        <f>(I3376*0.7)/(K3378+L3378)</f>
        <v>-0.30778894472361806</v>
      </c>
      <c r="P3376" s="188">
        <v>147174692</v>
      </c>
      <c r="Q3376" s="188">
        <f>Tableau3[[#This Row],[Titres]]*Tableau3[[#This Row],[Cours]]</f>
        <v>3223125754.7999997</v>
      </c>
      <c r="R3376" s="195">
        <f>Q3376/L3376</f>
        <v>7.6741089399999991</v>
      </c>
      <c r="S3376" s="197">
        <f>(Q3376+K3376)/H3376</f>
        <v>4.4840872088481349</v>
      </c>
      <c r="T3376" s="180">
        <v>400000000</v>
      </c>
      <c r="U3376" s="189">
        <f>IFERROR(IF(Tableau3[[#This Row],[Dettes]]=0,"",(Tableau3[[#This Row],[Dettes]]/Tableau3[[#This Row],[EBE]])),"")</f>
        <v>-2.1788630316464559</v>
      </c>
      <c r="V3376" s="190" t="str">
        <f>IFERROR(Tableau3[[#This Row],[Fonds propres]]/Tableau3[[#This Row],[Total Bilan]],"")</f>
        <v/>
      </c>
      <c r="W3376" s="180"/>
      <c r="X3376" s="182" t="s">
        <v>2375</v>
      </c>
      <c r="Y3376" s="180">
        <v>5000</v>
      </c>
      <c r="Z3376" s="192">
        <f>IFERROR(Tableau3[[#This Row],[Chiffre d''affaires]]/Tableau3[[#This Row],[Salariés]],"")</f>
        <v>266156</v>
      </c>
      <c r="AA3376" s="177"/>
      <c r="AC3376" s="177" t="s">
        <v>2376</v>
      </c>
    </row>
    <row r="3377" spans="1:29" ht="20.25" customHeight="1">
      <c r="A3377" s="217"/>
      <c r="G3377" s="202">
        <f>(G3376/G3378)-1</f>
        <v>0.10000000000000009</v>
      </c>
      <c r="H3377" s="202">
        <f>(H3376/H3378)-1</f>
        <v>0.12317415730337089</v>
      </c>
      <c r="I3377" s="202">
        <f>(I3376/I3378)-1</f>
        <v>0.39999999999999991</v>
      </c>
      <c r="J3377" s="202">
        <f>(J3376/J3378)-1</f>
        <v>0.65413533834586457</v>
      </c>
      <c r="K3377" s="178"/>
      <c r="L3377" s="178"/>
      <c r="M3377" s="188"/>
      <c r="N3377" s="188"/>
      <c r="O3377" s="188"/>
      <c r="P3377" s="188"/>
      <c r="Q3377" s="188"/>
      <c r="R3377" s="188"/>
      <c r="S3377" s="188"/>
      <c r="T3377" s="180"/>
      <c r="U3377" s="189" t="str">
        <f>IFERROR(IF(Tableau3[[#This Row],[Dettes]]=0,"",(Tableau3[[#This Row],[Dettes]]/Tableau3[[#This Row],[EBE]])),"")</f>
        <v/>
      </c>
      <c r="V3377" s="190" t="str">
        <f>IFERROR(Tableau3[[#This Row],[Fonds propres]]/Tableau3[[#This Row],[Total Bilan]],"")</f>
        <v/>
      </c>
      <c r="W3377" s="180"/>
      <c r="Y3377" s="180"/>
      <c r="Z3377" s="192" t="str">
        <f>IFERROR(Tableau3[[#This Row],[Chiffre d''affaires]]/Tableau3[[#This Row],[Salariés]],"")</f>
        <v/>
      </c>
      <c r="AA3377" s="177"/>
      <c r="AC3377" s="177" t="s">
        <v>4652</v>
      </c>
    </row>
    <row r="3378" spans="1:29" ht="20.25" customHeight="1">
      <c r="A3378" s="217"/>
      <c r="E3378" s="187">
        <v>18.72</v>
      </c>
      <c r="F3378" s="178">
        <v>2024</v>
      </c>
      <c r="G3378" s="188">
        <f>G3380*1.15</f>
        <v>1209800000</v>
      </c>
      <c r="H3378" s="211">
        <f>Tableau3[[#This Row],[Chiffre d''affaires]]*0.356</f>
        <v>430688800</v>
      </c>
      <c r="I3378" s="211">
        <v>250000000</v>
      </c>
      <c r="J3378" s="211">
        <v>133000000</v>
      </c>
      <c r="K3378" s="188">
        <v>-1054000000</v>
      </c>
      <c r="L3378" s="188">
        <v>258000000</v>
      </c>
      <c r="M3378" s="194">
        <f>L3378/P3378</f>
        <v>1.7530187866810687</v>
      </c>
      <c r="N3378" s="190">
        <f>J3378/L3380</f>
        <v>2.8297872340425534</v>
      </c>
      <c r="O3378" s="190">
        <f>(I3378*0.7)/(K3380+L3380)</f>
        <v>-0.21551724137931033</v>
      </c>
      <c r="P3378" s="188">
        <v>147174692</v>
      </c>
      <c r="Q3378" s="188">
        <f>Tableau3[[#This Row],[Titres]]*Tableau3[[#This Row],[Cours]]</f>
        <v>2755110234.2399998</v>
      </c>
      <c r="R3378" s="195">
        <f>Q3378/L3378</f>
        <v>10.678721838139534</v>
      </c>
      <c r="S3378" s="197">
        <f>(Q3378+K3378)/H3378</f>
        <v>3.9497433744271961</v>
      </c>
      <c r="T3378" s="180">
        <v>379000000</v>
      </c>
      <c r="U3378" s="189">
        <f>IFERROR(IF(Tableau3[[#This Row],[Dettes]]=0,"",(Tableau3[[#This Row],[Dettes]]/Tableau3[[#This Row],[EBE]])),"")</f>
        <v>-2.4472426494489756</v>
      </c>
      <c r="V3378" s="190">
        <f>IFERROR(Tableau3[[#This Row],[Fonds propres]]/Tableau3[[#This Row],[Total Bilan]],"")</f>
        <v>4.3383218429460232E-2</v>
      </c>
      <c r="W3378" s="180">
        <v>5947000000</v>
      </c>
      <c r="Y3378" s="180">
        <v>5000</v>
      </c>
      <c r="Z3378" s="192">
        <f>IFERROR(Tableau3[[#This Row],[Chiffre d''affaires]]/Tableau3[[#This Row],[Salariés]],"")</f>
        <v>241960</v>
      </c>
      <c r="AA3378" s="177"/>
      <c r="AC3378" s="177" t="s">
        <v>2378</v>
      </c>
    </row>
    <row r="3379" spans="1:29" ht="20.25" customHeight="1">
      <c r="A3379" s="217"/>
      <c r="G3379" s="202">
        <f>(G3378/G3380)-1</f>
        <v>0.14999999999999991</v>
      </c>
      <c r="H3379" s="202">
        <f>(H3378/H3380)-1</f>
        <v>0.18647052341597803</v>
      </c>
      <c r="I3379" s="202">
        <f>(I3378/I3380)-1</f>
        <v>-0.1228070175438597</v>
      </c>
      <c r="J3379" s="202">
        <f>(J3378/J3380)-1</f>
        <v>-0.3666666666666667</v>
      </c>
      <c r="K3379" s="188"/>
      <c r="L3379" s="188"/>
      <c r="M3379" s="188"/>
      <c r="N3379" s="190"/>
      <c r="O3379" s="190"/>
      <c r="P3379" s="188"/>
      <c r="Q3379" s="188"/>
      <c r="R3379" s="188"/>
      <c r="S3379" s="188"/>
      <c r="T3379" s="180"/>
      <c r="U3379" s="189" t="str">
        <f>IFERROR(IF(Tableau3[[#This Row],[Dettes]]=0,"",(Tableau3[[#This Row],[Dettes]]/Tableau3[[#This Row],[EBE]])),"")</f>
        <v/>
      </c>
      <c r="V3379" s="190" t="str">
        <f>IFERROR(Tableau3[[#This Row],[Fonds propres]]/Tableau3[[#This Row],[Total Bilan]],"")</f>
        <v/>
      </c>
      <c r="W3379" s="180"/>
      <c r="Y3379" s="180"/>
      <c r="Z3379" s="192" t="str">
        <f>IFERROR(Tableau3[[#This Row],[Chiffre d''affaires]]/Tableau3[[#This Row],[Salariés]],"")</f>
        <v/>
      </c>
      <c r="AA3379" s="177"/>
      <c r="AC3379" s="177" t="s">
        <v>2379</v>
      </c>
    </row>
    <row r="3380" spans="1:29" ht="20.25" customHeight="1">
      <c r="A3380" s="217"/>
      <c r="E3380" s="187"/>
      <c r="F3380" s="178">
        <v>2023</v>
      </c>
      <c r="G3380" s="188">
        <v>1052000000</v>
      </c>
      <c r="H3380" s="188">
        <v>363000000</v>
      </c>
      <c r="I3380" s="188">
        <v>285000000</v>
      </c>
      <c r="J3380" s="188">
        <v>210000000</v>
      </c>
      <c r="K3380" s="188">
        <v>-859000000</v>
      </c>
      <c r="L3380" s="188">
        <v>47000000</v>
      </c>
      <c r="M3380" s="194"/>
      <c r="N3380" s="190">
        <f>J3380/L3382</f>
        <v>0.29829545454545453</v>
      </c>
      <c r="O3380" s="190">
        <f>(I3380*0.7)/(K3382+L3382)</f>
        <v>-0.36272727272727273</v>
      </c>
      <c r="P3380" s="178"/>
      <c r="Q3380" s="188"/>
      <c r="R3380" s="188"/>
      <c r="S3380" s="188"/>
      <c r="T3380" s="180">
        <v>289000000</v>
      </c>
      <c r="U3380" s="189">
        <f>IFERROR(IF(Tableau3[[#This Row],[Dettes]]=0,"",(Tableau3[[#This Row],[Dettes]]/Tableau3[[#This Row],[EBE]])),"")</f>
        <v>-2.3663911845730028</v>
      </c>
      <c r="V3380" s="190">
        <f>IFERROR(Tableau3[[#This Row],[Fonds propres]]/Tableau3[[#This Row],[Total Bilan]],"")</f>
        <v>8.2848580997708452E-3</v>
      </c>
      <c r="W3380" s="180">
        <v>5673000000</v>
      </c>
      <c r="Y3380" s="180">
        <v>5000</v>
      </c>
      <c r="Z3380" s="192">
        <f>IFERROR(Tableau3[[#This Row],[Chiffre d''affaires]]/Tableau3[[#This Row],[Salariés]],"")</f>
        <v>210400</v>
      </c>
      <c r="AA3380" s="177"/>
      <c r="AC3380" s="177" t="s">
        <v>2380</v>
      </c>
    </row>
    <row r="3381" spans="1:29" ht="20.25" customHeight="1">
      <c r="A3381" s="217"/>
      <c r="G3381" s="202">
        <f>(G3380/G3382)-1</f>
        <v>0.24940617577197144</v>
      </c>
      <c r="H3381" s="202">
        <f>(H3380/H3382)-1</f>
        <v>0.42352941176470593</v>
      </c>
      <c r="I3381" s="202">
        <f>(I3380/I3382)-1</f>
        <v>0.50793650793650791</v>
      </c>
      <c r="J3381" s="202">
        <f>(J3380/J3382)-1</f>
        <v>0.18644067796610164</v>
      </c>
      <c r="K3381" s="188"/>
      <c r="L3381" s="188"/>
      <c r="M3381" s="188"/>
      <c r="N3381" s="190"/>
      <c r="O3381" s="190"/>
      <c r="P3381" s="188"/>
      <c r="Q3381" s="188"/>
      <c r="R3381" s="188"/>
      <c r="S3381" s="188"/>
      <c r="T3381" s="180"/>
      <c r="U3381" s="189" t="str">
        <f>IFERROR(IF(Tableau3[[#This Row],[Dettes]]=0,"",(Tableau3[[#This Row],[Dettes]]/Tableau3[[#This Row],[EBE]])),"")</f>
        <v/>
      </c>
      <c r="V3381" s="190" t="str">
        <f>IFERROR(Tableau3[[#This Row],[Fonds propres]]/Tableau3[[#This Row],[Total Bilan]],"")</f>
        <v/>
      </c>
      <c r="W3381" s="180"/>
      <c r="Y3381" s="180"/>
      <c r="Z3381" s="192" t="str">
        <f>IFERROR(Tableau3[[#This Row],[Chiffre d''affaires]]/Tableau3[[#This Row],[Salariés]],"")</f>
        <v/>
      </c>
      <c r="AA3381" s="177"/>
      <c r="AC3381" s="177" t="s">
        <v>4654</v>
      </c>
    </row>
    <row r="3382" spans="1:29" ht="20.25" customHeight="1">
      <c r="A3382" s="217"/>
      <c r="F3382" s="178">
        <v>2022</v>
      </c>
      <c r="G3382" s="188">
        <v>842000000</v>
      </c>
      <c r="H3382" s="188">
        <v>255000000</v>
      </c>
      <c r="I3382" s="188">
        <v>189000000</v>
      </c>
      <c r="J3382" s="188">
        <v>177000000</v>
      </c>
      <c r="K3382" s="188">
        <v>-1254000000</v>
      </c>
      <c r="L3382" s="188">
        <v>704000000</v>
      </c>
      <c r="M3382" s="194"/>
      <c r="N3382" s="190">
        <f>J3382/L3384</f>
        <v>0.25726744186046513</v>
      </c>
      <c r="O3382" s="190">
        <f>(I3382*0.7)/(K3384+L3384)</f>
        <v>-0.24915254237288134</v>
      </c>
      <c r="P3382" s="188"/>
      <c r="Q3382" s="188"/>
      <c r="R3382" s="188"/>
      <c r="S3382" s="188"/>
      <c r="T3382" s="180"/>
      <c r="U3382" s="189">
        <f>IFERROR(IF(Tableau3[[#This Row],[Dettes]]=0,"",(Tableau3[[#This Row],[Dettes]]/Tableau3[[#This Row],[EBE]])),"")</f>
        <v>-4.9176470588235297</v>
      </c>
      <c r="V3382" s="190">
        <f>IFERROR(Tableau3[[#This Row],[Fonds propres]]/Tableau3[[#This Row],[Total Bilan]],"")</f>
        <v>1</v>
      </c>
      <c r="W3382" s="180">
        <v>704000000</v>
      </c>
      <c r="Y3382" s="180"/>
      <c r="Z3382" s="192" t="str">
        <f>IFERROR(Tableau3[[#This Row],[Chiffre d''affaires]]/Tableau3[[#This Row],[Salariés]],"")</f>
        <v/>
      </c>
      <c r="AA3382" s="177"/>
      <c r="AC3382" s="177" t="s">
        <v>2381</v>
      </c>
    </row>
    <row r="3383" spans="1:29" ht="20.25" customHeight="1">
      <c r="A3383" s="217"/>
      <c r="G3383" s="202">
        <f>(G3382/G3384)-1</f>
        <v>0.15184678522571815</v>
      </c>
      <c r="H3383" s="202">
        <f>(H3382/H3384)-1</f>
        <v>0.22009569377990434</v>
      </c>
      <c r="I3383" s="202">
        <f>(I3382/I3384)-1</f>
        <v>0.30344827586206891</v>
      </c>
      <c r="J3383" s="202">
        <f>(J3382/J3384)-1</f>
        <v>0.48739495798319332</v>
      </c>
      <c r="K3383" s="188"/>
      <c r="L3383" s="188"/>
      <c r="M3383" s="188"/>
      <c r="N3383" s="190"/>
      <c r="O3383" s="190"/>
      <c r="P3383" s="188"/>
      <c r="Q3383" s="188"/>
      <c r="R3383" s="188"/>
      <c r="S3383" s="188"/>
      <c r="T3383" s="180"/>
      <c r="U3383" s="189" t="str">
        <f>IFERROR(IF(Tableau3[[#This Row],[Dettes]]=0,"",(Tableau3[[#This Row],[Dettes]]/Tableau3[[#This Row],[EBE]])),"")</f>
        <v/>
      </c>
      <c r="V3383" s="190" t="str">
        <f>IFERROR(Tableau3[[#This Row],[Fonds propres]]/Tableau3[[#This Row],[Total Bilan]],"")</f>
        <v/>
      </c>
      <c r="W3383" s="180"/>
      <c r="Y3383" s="180"/>
      <c r="Z3383" s="192" t="str">
        <f>IFERROR(Tableau3[[#This Row],[Chiffre d''affaires]]/Tableau3[[#This Row],[Salariés]],"")</f>
        <v/>
      </c>
      <c r="AA3383" s="177"/>
      <c r="AC3383" s="177" t="s">
        <v>4653</v>
      </c>
    </row>
    <row r="3384" spans="1:29" ht="20.25" customHeight="1">
      <c r="A3384" s="217"/>
      <c r="F3384" s="178">
        <v>2021</v>
      </c>
      <c r="G3384" s="188">
        <v>731000000</v>
      </c>
      <c r="H3384" s="188">
        <v>209000000</v>
      </c>
      <c r="I3384" s="188">
        <v>145000000</v>
      </c>
      <c r="J3384" s="188">
        <v>119000000</v>
      </c>
      <c r="K3384" s="188">
        <v>-1219000000</v>
      </c>
      <c r="L3384" s="188">
        <v>688000000</v>
      </c>
      <c r="M3384" s="194"/>
      <c r="N3384" s="190">
        <f>J3384/L3384</f>
        <v>0.17296511627906977</v>
      </c>
      <c r="O3384" s="190">
        <f>(I3384*0.7)/(K3384+L3384)</f>
        <v>-0.1911487758945386</v>
      </c>
      <c r="P3384" s="188"/>
      <c r="Q3384" s="188"/>
      <c r="R3384" s="188"/>
      <c r="S3384" s="188"/>
      <c r="T3384" s="180"/>
      <c r="U3384" s="189">
        <f>IFERROR(IF(Tableau3[[#This Row],[Dettes]]=0,"",(Tableau3[[#This Row],[Dettes]]/Tableau3[[#This Row],[EBE]])),"")</f>
        <v>-5.8325358851674638</v>
      </c>
      <c r="V3384" s="190">
        <f>IFERROR(Tableau3[[#This Row],[Fonds propres]]/Tableau3[[#This Row],[Total Bilan]],"")</f>
        <v>1</v>
      </c>
      <c r="W3384" s="180">
        <v>688000000</v>
      </c>
      <c r="Y3384" s="180"/>
      <c r="Z3384" s="192" t="str">
        <f>IFERROR(Tableau3[[#This Row],[Chiffre d''affaires]]/Tableau3[[#This Row],[Salariés]],"")</f>
        <v/>
      </c>
      <c r="AA3384" s="177"/>
      <c r="AC3384" s="177" t="s">
        <v>4655</v>
      </c>
    </row>
    <row r="3385" spans="1:29" ht="20.25" customHeight="1">
      <c r="A3385" s="217"/>
      <c r="G3385" s="202">
        <f>(G3384/G3386)-1</f>
        <v>-5.4333764553686881E-2</v>
      </c>
      <c r="H3385" s="202"/>
      <c r="I3385" s="202">
        <f>(I3384/I3386)-1</f>
        <v>-0.28217821782178221</v>
      </c>
      <c r="J3385" s="178"/>
      <c r="K3385" s="178"/>
      <c r="L3385" s="178"/>
      <c r="M3385" s="188"/>
      <c r="N3385" s="188"/>
      <c r="O3385" s="188"/>
      <c r="P3385" s="188"/>
      <c r="Q3385" s="188"/>
      <c r="R3385" s="188"/>
      <c r="S3385" s="188"/>
      <c r="T3385" s="180"/>
      <c r="U3385" s="189" t="str">
        <f>IFERROR(IF(Tableau3[[#This Row],[Dettes]]=0,"",(Tableau3[[#This Row],[Dettes]]/Tableau3[[#This Row],[EBE]])),"")</f>
        <v/>
      </c>
      <c r="V3385" s="190" t="str">
        <f>IFERROR(Tableau3[[#This Row],[Fonds propres]]/Tableau3[[#This Row],[Total Bilan]],"")</f>
        <v/>
      </c>
      <c r="W3385" s="180"/>
      <c r="Y3385" s="180"/>
      <c r="Z3385" s="192" t="str">
        <f>IFERROR(Tableau3[[#This Row],[Chiffre d''affaires]]/Tableau3[[#This Row],[Salariés]],"")</f>
        <v/>
      </c>
      <c r="AA3385" s="177"/>
      <c r="AC3385" s="177" t="s">
        <v>2382</v>
      </c>
    </row>
    <row r="3386" spans="1:29" ht="20.25" customHeight="1">
      <c r="A3386" s="217"/>
      <c r="F3386" s="178">
        <v>2020</v>
      </c>
      <c r="G3386" s="188">
        <v>773000000</v>
      </c>
      <c r="H3386" s="178"/>
      <c r="I3386" s="188">
        <v>202000000</v>
      </c>
      <c r="J3386" s="178"/>
      <c r="K3386" s="178"/>
      <c r="L3386" s="178"/>
      <c r="M3386" s="188"/>
      <c r="N3386" s="188"/>
      <c r="O3386" s="188"/>
      <c r="P3386" s="188"/>
      <c r="Q3386" s="188"/>
      <c r="R3386" s="188"/>
      <c r="S3386" s="188"/>
      <c r="T3386" s="180"/>
      <c r="U3386" s="189" t="str">
        <f>IFERROR(IF(Tableau3[[#This Row],[Dettes]]=0,"",(Tableau3[[#This Row],[Dettes]]/Tableau3[[#This Row],[EBE]])),"")</f>
        <v/>
      </c>
      <c r="V3386" s="190" t="str">
        <f>IFERROR(Tableau3[[#This Row],[Fonds propres]]/Tableau3[[#This Row],[Total Bilan]],"")</f>
        <v/>
      </c>
      <c r="W3386" s="180"/>
      <c r="Y3386" s="180"/>
      <c r="Z3386" s="192" t="str">
        <f>IFERROR(Tableau3[[#This Row],[Chiffre d''affaires]]/Tableau3[[#This Row],[Salariés]],"")</f>
        <v/>
      </c>
      <c r="AA3386" s="177"/>
      <c r="AC3386" s="177" t="s">
        <v>2383</v>
      </c>
    </row>
    <row r="3387" spans="1:29" ht="20.25" customHeight="1">
      <c r="A3387" s="217"/>
      <c r="G3387" s="202">
        <f>(G3386/G3388)-1</f>
        <v>-0.13340807174887892</v>
      </c>
      <c r="H3387" s="202"/>
      <c r="I3387" s="202">
        <f>(I3386/I3388)-1</f>
        <v>-0.26811594202898548</v>
      </c>
      <c r="J3387" s="178"/>
      <c r="K3387" s="178"/>
      <c r="L3387" s="178"/>
      <c r="M3387" s="188"/>
      <c r="N3387" s="188"/>
      <c r="O3387" s="188"/>
      <c r="P3387" s="188"/>
      <c r="Q3387" s="188"/>
      <c r="R3387" s="188"/>
      <c r="S3387" s="188"/>
      <c r="T3387" s="180"/>
      <c r="U3387" s="189" t="str">
        <f>IFERROR(IF(Tableau3[[#This Row],[Dettes]]=0,"",(Tableau3[[#This Row],[Dettes]]/Tableau3[[#This Row],[EBE]])),"")</f>
        <v/>
      </c>
      <c r="V3387" s="190" t="str">
        <f>IFERROR(Tableau3[[#This Row],[Fonds propres]]/Tableau3[[#This Row],[Total Bilan]],"")</f>
        <v/>
      </c>
      <c r="W3387" s="180"/>
      <c r="Y3387" s="180"/>
      <c r="Z3387" s="192" t="str">
        <f>IFERROR(Tableau3[[#This Row],[Chiffre d''affaires]]/Tableau3[[#This Row],[Salariés]],"")</f>
        <v/>
      </c>
      <c r="AA3387" s="177"/>
      <c r="AC3387" s="177" t="s">
        <v>4656</v>
      </c>
    </row>
    <row r="3388" spans="1:29" ht="20.25" customHeight="1">
      <c r="A3388" s="217"/>
      <c r="F3388" s="178">
        <v>2019</v>
      </c>
      <c r="G3388" s="188">
        <v>892000000</v>
      </c>
      <c r="H3388" s="178"/>
      <c r="I3388" s="188">
        <v>276000000</v>
      </c>
      <c r="J3388" s="178"/>
      <c r="K3388" s="178"/>
      <c r="L3388" s="178"/>
      <c r="M3388" s="188"/>
      <c r="N3388" s="188"/>
      <c r="O3388" s="188"/>
      <c r="P3388" s="188"/>
      <c r="Q3388" s="188"/>
      <c r="R3388" s="188"/>
      <c r="S3388" s="188"/>
      <c r="T3388" s="180"/>
      <c r="U3388" s="189" t="str">
        <f>IFERROR(IF(Tableau3[[#This Row],[Dettes]]=0,"",(Tableau3[[#This Row],[Dettes]]/Tableau3[[#This Row],[EBE]])),"")</f>
        <v/>
      </c>
      <c r="V3388" s="190" t="str">
        <f>IFERROR(Tableau3[[#This Row],[Fonds propres]]/Tableau3[[#This Row],[Total Bilan]],"")</f>
        <v/>
      </c>
      <c r="W3388" s="180"/>
      <c r="Y3388" s="180"/>
      <c r="Z3388" s="192" t="str">
        <f>IFERROR(Tableau3[[#This Row],[Chiffre d''affaires]]/Tableau3[[#This Row],[Salariés]],"")</f>
        <v/>
      </c>
      <c r="AA3388" s="177"/>
      <c r="AC3388" s="177" t="s">
        <v>2384</v>
      </c>
    </row>
    <row r="3389" spans="1:29" ht="20.25" customHeight="1">
      <c r="A3389" s="217"/>
      <c r="G3389" s="202">
        <f>(G3388/G3390)-1</f>
        <v>4.9411764705882266E-2</v>
      </c>
      <c r="H3389" s="202"/>
      <c r="I3389" s="202">
        <f>(I3388/I3390)-1</f>
        <v>5.3435114503816772E-2</v>
      </c>
      <c r="J3389" s="178"/>
      <c r="K3389" s="178"/>
      <c r="L3389" s="178"/>
      <c r="M3389" s="188"/>
      <c r="N3389" s="188"/>
      <c r="O3389" s="188"/>
      <c r="P3389" s="188"/>
      <c r="Q3389" s="188"/>
      <c r="R3389" s="188"/>
      <c r="S3389" s="188"/>
      <c r="T3389" s="180"/>
      <c r="U3389" s="189" t="str">
        <f>IFERROR(IF(Tableau3[[#This Row],[Dettes]]=0,"",(Tableau3[[#This Row],[Dettes]]/Tableau3[[#This Row],[EBE]])),"")</f>
        <v/>
      </c>
      <c r="V3389" s="190" t="str">
        <f>IFERROR(Tableau3[[#This Row],[Fonds propres]]/Tableau3[[#This Row],[Total Bilan]],"")</f>
        <v/>
      </c>
      <c r="W3389" s="180"/>
      <c r="Y3389" s="180"/>
      <c r="Z3389" s="192" t="str">
        <f>IFERROR(Tableau3[[#This Row],[Chiffre d''affaires]]/Tableau3[[#This Row],[Salariés]],"")</f>
        <v/>
      </c>
      <c r="AA3389" s="177"/>
      <c r="AC3389" s="177" t="s">
        <v>2385</v>
      </c>
    </row>
    <row r="3390" spans="1:29" ht="20.25" customHeight="1">
      <c r="A3390" s="217"/>
      <c r="F3390" s="178">
        <v>2018</v>
      </c>
      <c r="G3390" s="188">
        <v>850000000</v>
      </c>
      <c r="H3390" s="178"/>
      <c r="I3390" s="188">
        <v>262000000</v>
      </c>
      <c r="J3390" s="178"/>
      <c r="K3390" s="178"/>
      <c r="L3390" s="178"/>
      <c r="M3390" s="188"/>
      <c r="N3390" s="188"/>
      <c r="O3390" s="188"/>
      <c r="P3390" s="188"/>
      <c r="Q3390" s="188"/>
      <c r="R3390" s="188"/>
      <c r="S3390" s="188"/>
      <c r="T3390" s="180"/>
      <c r="U3390" s="189" t="str">
        <f>IFERROR(IF(Tableau3[[#This Row],[Dettes]]=0,"",(Tableau3[[#This Row],[Dettes]]/Tableau3[[#This Row],[EBE]])),"")</f>
        <v/>
      </c>
      <c r="V3390" s="190" t="str">
        <f>IFERROR(Tableau3[[#This Row],[Fonds propres]]/Tableau3[[#This Row],[Total Bilan]],"")</f>
        <v/>
      </c>
      <c r="W3390" s="180"/>
      <c r="Y3390" s="180"/>
      <c r="Z3390" s="192" t="str">
        <f>IFERROR(Tableau3[[#This Row],[Chiffre d''affaires]]/Tableau3[[#This Row],[Salariés]],"")</f>
        <v/>
      </c>
      <c r="AA3390" s="177"/>
      <c r="AC3390" s="177" t="s">
        <v>2386</v>
      </c>
    </row>
    <row r="3391" spans="1:29" ht="20.25" customHeight="1">
      <c r="A3391" s="217"/>
      <c r="G3391" s="202">
        <f>(G3390/G3392)-1</f>
        <v>-6.0773480662983381E-2</v>
      </c>
      <c r="H3391" s="202"/>
      <c r="I3391" s="202">
        <f>(I3390/I3392)-1</f>
        <v>-0.14657980456026054</v>
      </c>
      <c r="J3391" s="178"/>
      <c r="K3391" s="178"/>
      <c r="L3391" s="178"/>
      <c r="M3391" s="188"/>
      <c r="N3391" s="188"/>
      <c r="O3391" s="188"/>
      <c r="P3391" s="188"/>
      <c r="Q3391" s="188"/>
      <c r="R3391" s="188"/>
      <c r="S3391" s="188"/>
      <c r="T3391" s="180"/>
      <c r="U3391" s="189" t="str">
        <f>IFERROR(IF(Tableau3[[#This Row],[Dettes]]=0,"",(Tableau3[[#This Row],[Dettes]]/Tableau3[[#This Row],[EBE]])),"")</f>
        <v/>
      </c>
      <c r="V3391" s="190" t="str">
        <f>IFERROR(Tableau3[[#This Row],[Fonds propres]]/Tableau3[[#This Row],[Total Bilan]],"")</f>
        <v/>
      </c>
      <c r="W3391" s="180"/>
      <c r="Y3391" s="180"/>
      <c r="Z3391" s="192" t="str">
        <f>IFERROR(Tableau3[[#This Row],[Chiffre d''affaires]]/Tableau3[[#This Row],[Salariés]],"")</f>
        <v/>
      </c>
      <c r="AA3391" s="177"/>
      <c r="AC3391" s="177" t="s">
        <v>2387</v>
      </c>
    </row>
    <row r="3392" spans="1:29" ht="20.25" customHeight="1">
      <c r="A3392" s="217"/>
      <c r="F3392" s="178">
        <v>2017</v>
      </c>
      <c r="G3392" s="188">
        <v>905000000</v>
      </c>
      <c r="H3392" s="178"/>
      <c r="I3392" s="188">
        <v>307000000</v>
      </c>
      <c r="J3392" s="178"/>
      <c r="K3392" s="178"/>
      <c r="L3392" s="178"/>
      <c r="M3392" s="188"/>
      <c r="N3392" s="188"/>
      <c r="O3392" s="188"/>
      <c r="P3392" s="188"/>
      <c r="Q3392" s="188"/>
      <c r="R3392" s="188"/>
      <c r="S3392" s="188"/>
      <c r="T3392" s="180"/>
      <c r="U3392" s="189" t="str">
        <f>IFERROR(IF(Tableau3[[#This Row],[Dettes]]=0,"",(Tableau3[[#This Row],[Dettes]]/Tableau3[[#This Row],[EBE]])),"")</f>
        <v/>
      </c>
      <c r="V3392" s="190" t="str">
        <f>IFERROR(Tableau3[[#This Row],[Fonds propres]]/Tableau3[[#This Row],[Total Bilan]],"")</f>
        <v/>
      </c>
      <c r="W3392" s="180"/>
      <c r="Y3392" s="180"/>
      <c r="Z3392" s="192" t="str">
        <f>IFERROR(Tableau3[[#This Row],[Chiffre d''affaires]]/Tableau3[[#This Row],[Salariés]],"")</f>
        <v/>
      </c>
      <c r="AA3392" s="177"/>
      <c r="AC3392" s="177" t="s">
        <v>2388</v>
      </c>
    </row>
    <row r="3393" spans="1:29" ht="20.25" customHeight="1">
      <c r="A3393" s="217"/>
      <c r="G3393" s="202">
        <f>(G3392/G3394)-1</f>
        <v>0.16025641025641035</v>
      </c>
      <c r="H3393" s="202"/>
      <c r="I3393" s="202">
        <f>(I3392/I3394)-1</f>
        <v>0.1717557251908397</v>
      </c>
      <c r="J3393" s="178"/>
      <c r="K3393" s="178"/>
      <c r="L3393" s="178"/>
      <c r="M3393" s="188"/>
      <c r="N3393" s="188"/>
      <c r="O3393" s="188"/>
      <c r="P3393" s="188"/>
      <c r="Q3393" s="188"/>
      <c r="R3393" s="188"/>
      <c r="S3393" s="188"/>
      <c r="T3393" s="180"/>
      <c r="U3393" s="189" t="str">
        <f>IFERROR(IF(Tableau3[[#This Row],[Dettes]]=0,"",(Tableau3[[#This Row],[Dettes]]/Tableau3[[#This Row],[EBE]])),"")</f>
        <v/>
      </c>
      <c r="V3393" s="190" t="str">
        <f>IFERROR(Tableau3[[#This Row],[Fonds propres]]/Tableau3[[#This Row],[Total Bilan]],"")</f>
        <v/>
      </c>
      <c r="W3393" s="180"/>
      <c r="Y3393" s="180"/>
      <c r="Z3393" s="192" t="str">
        <f>IFERROR(Tableau3[[#This Row],[Chiffre d''affaires]]/Tableau3[[#This Row],[Salariés]],"")</f>
        <v/>
      </c>
      <c r="AA3393" s="177"/>
      <c r="AC3393" s="177" t="s">
        <v>2389</v>
      </c>
    </row>
    <row r="3394" spans="1:29" ht="20.25" customHeight="1">
      <c r="A3394" s="217"/>
      <c r="F3394" s="178">
        <v>2016</v>
      </c>
      <c r="G3394" s="188">
        <v>780000000</v>
      </c>
      <c r="H3394" s="178"/>
      <c r="I3394" s="188">
        <v>262000000</v>
      </c>
      <c r="J3394" s="178"/>
      <c r="K3394" s="178"/>
      <c r="L3394" s="178"/>
      <c r="M3394" s="188"/>
      <c r="N3394" s="188"/>
      <c r="O3394" s="188"/>
      <c r="P3394" s="188"/>
      <c r="Q3394" s="188"/>
      <c r="R3394" s="188"/>
      <c r="S3394" s="188"/>
      <c r="T3394" s="180"/>
      <c r="U3394" s="189" t="str">
        <f>IFERROR(IF(Tableau3[[#This Row],[Dettes]]=0,"",(Tableau3[[#This Row],[Dettes]]/Tableau3[[#This Row],[EBE]])),"")</f>
        <v/>
      </c>
      <c r="V3394" s="190" t="str">
        <f>IFERROR(Tableau3[[#This Row],[Fonds propres]]/Tableau3[[#This Row],[Total Bilan]],"")</f>
        <v/>
      </c>
      <c r="W3394" s="180"/>
      <c r="Y3394" s="180"/>
      <c r="Z3394" s="192" t="str">
        <f>IFERROR(Tableau3[[#This Row],[Chiffre d''affaires]]/Tableau3[[#This Row],[Salariés]],"")</f>
        <v/>
      </c>
      <c r="AA3394" s="177"/>
      <c r="AC3394" s="177" t="s">
        <v>2390</v>
      </c>
    </row>
    <row r="3395" spans="1:29" ht="20.25" customHeight="1">
      <c r="A3395" s="217"/>
      <c r="G3395" s="188"/>
      <c r="H3395" s="178"/>
      <c r="I3395" s="188"/>
      <c r="J3395" s="178"/>
      <c r="K3395" s="178"/>
      <c r="L3395" s="178"/>
      <c r="M3395" s="188"/>
      <c r="N3395" s="188"/>
      <c r="O3395" s="188"/>
      <c r="P3395" s="188"/>
      <c r="Q3395" s="188"/>
      <c r="R3395" s="188"/>
      <c r="S3395" s="188"/>
      <c r="T3395" s="180"/>
      <c r="U3395" s="189" t="str">
        <f>IFERROR(IF(Tableau3[[#This Row],[Dettes]]=0,"",(Tableau3[[#This Row],[Dettes]]/Tableau3[[#This Row],[EBE]])),"")</f>
        <v/>
      </c>
      <c r="V3395" s="190" t="str">
        <f>IFERROR(Tableau3[[#This Row],[Fonds propres]]/Tableau3[[#This Row],[Total Bilan]],"")</f>
        <v/>
      </c>
      <c r="W3395" s="180"/>
      <c r="Y3395" s="180"/>
      <c r="Z3395" s="192" t="str">
        <f>IFERROR(Tableau3[[#This Row],[Chiffre d''affaires]]/Tableau3[[#This Row],[Salariés]],"")</f>
        <v/>
      </c>
      <c r="AA3395" s="177"/>
      <c r="AC3395" s="177" t="s">
        <v>2391</v>
      </c>
    </row>
    <row r="3396" spans="1:29" ht="20.25" customHeight="1">
      <c r="A3396" s="217"/>
      <c r="E3396" s="234"/>
      <c r="F3396" s="217" t="s">
        <v>2392</v>
      </c>
      <c r="G3396" s="188"/>
      <c r="H3396" s="178"/>
      <c r="I3396" s="188"/>
      <c r="J3396" s="178"/>
      <c r="K3396" s="178"/>
      <c r="L3396" s="178"/>
      <c r="M3396" s="188"/>
      <c r="N3396" s="188"/>
      <c r="O3396" s="188"/>
      <c r="P3396" s="188"/>
      <c r="Q3396" s="188"/>
      <c r="R3396" s="188"/>
      <c r="S3396" s="188"/>
      <c r="T3396" s="180"/>
      <c r="U3396" s="189" t="str">
        <f>IFERROR(IF(Tableau3[[#This Row],[Dettes]]=0,"",(Tableau3[[#This Row],[Dettes]]/Tableau3[[#This Row],[EBE]])),"")</f>
        <v/>
      </c>
      <c r="V3396" s="190" t="str">
        <f>IFERROR(Tableau3[[#This Row],[Fonds propres]]/Tableau3[[#This Row],[Total Bilan]],"")</f>
        <v/>
      </c>
      <c r="W3396" s="180"/>
      <c r="Y3396" s="180"/>
      <c r="Z3396" s="192" t="str">
        <f>IFERROR(Tableau3[[#This Row],[Chiffre d''affaires]]/Tableau3[[#This Row],[Salariés]],"")</f>
        <v/>
      </c>
      <c r="AA3396" s="177"/>
      <c r="AC3396" s="177" t="s">
        <v>2393</v>
      </c>
    </row>
    <row r="3397" spans="1:29" ht="20.25" customHeight="1">
      <c r="A3397" s="217"/>
      <c r="E3397" s="234"/>
      <c r="G3397" s="188"/>
      <c r="H3397" s="178"/>
      <c r="I3397" s="188"/>
      <c r="J3397" s="178"/>
      <c r="K3397" s="178"/>
      <c r="L3397" s="178"/>
      <c r="M3397" s="188"/>
      <c r="N3397" s="188"/>
      <c r="O3397" s="188"/>
      <c r="P3397" s="188"/>
      <c r="Q3397" s="188"/>
      <c r="R3397" s="188"/>
      <c r="S3397" s="188"/>
      <c r="T3397" s="180"/>
      <c r="U3397" s="189" t="str">
        <f>IFERROR(IF(Tableau3[[#This Row],[Dettes]]=0,"",(Tableau3[[#This Row],[Dettes]]/Tableau3[[#This Row],[EBE]])),"")</f>
        <v/>
      </c>
      <c r="V3397" s="190" t="str">
        <f>IFERROR(Tableau3[[#This Row],[Fonds propres]]/Tableau3[[#This Row],[Total Bilan]],"")</f>
        <v/>
      </c>
      <c r="W3397" s="180"/>
      <c r="Y3397" s="180"/>
      <c r="Z3397" s="192" t="str">
        <f>IFERROR(Tableau3[[#This Row],[Chiffre d''affaires]]/Tableau3[[#This Row],[Salariés]],"")</f>
        <v/>
      </c>
      <c r="AA3397" s="177"/>
      <c r="AC3397" s="177" t="s">
        <v>2394</v>
      </c>
    </row>
    <row r="3398" spans="1:29" ht="20.25" customHeight="1">
      <c r="A3398" s="217"/>
      <c r="G3398" s="188"/>
      <c r="H3398" s="178"/>
      <c r="I3398" s="178"/>
      <c r="J3398" s="178"/>
      <c r="K3398" s="178"/>
      <c r="L3398" s="178"/>
      <c r="M3398" s="188"/>
      <c r="N3398" s="188"/>
      <c r="O3398" s="188"/>
      <c r="P3398" s="188"/>
      <c r="Q3398" s="188"/>
      <c r="R3398" s="188"/>
      <c r="S3398" s="188"/>
      <c r="T3398" s="180"/>
      <c r="U3398" s="189" t="str">
        <f>IFERROR(IF(Tableau3[[#This Row],[Dettes]]=0,"",(Tableau3[[#This Row],[Dettes]]/Tableau3[[#This Row],[EBE]])),"")</f>
        <v/>
      </c>
      <c r="V3398" s="190" t="str">
        <f>IFERROR(Tableau3[[#This Row],[Fonds propres]]/Tableau3[[#This Row],[Total Bilan]],"")</f>
        <v/>
      </c>
      <c r="W3398" s="180"/>
      <c r="Y3398" s="180"/>
      <c r="Z3398" s="192" t="str">
        <f>IFERROR(Tableau3[[#This Row],[Chiffre d''affaires]]/Tableau3[[#This Row],[Salariés]],"")</f>
        <v/>
      </c>
      <c r="AA3398" s="177"/>
    </row>
    <row r="3399" spans="1:29" ht="20.25" customHeight="1">
      <c r="A3399" s="217" t="s">
        <v>2395</v>
      </c>
      <c r="B3399" s="216" t="s">
        <v>2374</v>
      </c>
      <c r="C3399" s="178" t="s">
        <v>84</v>
      </c>
      <c r="D3399" s="178" t="s">
        <v>85</v>
      </c>
      <c r="F3399" s="178">
        <v>2025</v>
      </c>
      <c r="G3399" s="188"/>
      <c r="H3399" s="178"/>
      <c r="I3399" s="178"/>
      <c r="J3399" s="178"/>
      <c r="K3399" s="178"/>
      <c r="L3399" s="178"/>
      <c r="M3399" s="188"/>
      <c r="N3399" s="188"/>
      <c r="O3399" s="188"/>
      <c r="P3399" s="188"/>
      <c r="Q3399" s="188"/>
      <c r="R3399" s="188"/>
      <c r="S3399" s="188"/>
      <c r="T3399" s="180"/>
      <c r="U3399" s="189" t="str">
        <f>IFERROR(IF(Tableau3[[#This Row],[Dettes]]=0,"",(Tableau3[[#This Row],[Dettes]]/Tableau3[[#This Row],[EBE]])),"")</f>
        <v/>
      </c>
      <c r="V3399" s="190" t="str">
        <f>IFERROR(Tableau3[[#This Row],[Fonds propres]]/Tableau3[[#This Row],[Total Bilan]],"")</f>
        <v/>
      </c>
      <c r="W3399" s="180"/>
      <c r="X3399" s="191" t="s">
        <v>1181</v>
      </c>
      <c r="Y3399" s="180"/>
      <c r="Z3399" s="192" t="str">
        <f>IFERROR(Tableau3[[#This Row],[Chiffre d''affaires]]/Tableau3[[#This Row],[Salariés]],"")</f>
        <v/>
      </c>
      <c r="AA3399" s="178" t="s">
        <v>2403</v>
      </c>
      <c r="AC3399" s="177" t="s">
        <v>2396</v>
      </c>
    </row>
    <row r="3400" spans="1:29" ht="20.25" customHeight="1">
      <c r="A3400" s="217"/>
      <c r="G3400" s="188"/>
      <c r="H3400" s="178"/>
      <c r="I3400" s="178"/>
      <c r="J3400" s="178"/>
      <c r="K3400" s="178"/>
      <c r="L3400" s="178"/>
      <c r="M3400" s="188"/>
      <c r="N3400" s="188"/>
      <c r="O3400" s="188"/>
      <c r="P3400" s="188"/>
      <c r="Q3400" s="188"/>
      <c r="R3400" s="188"/>
      <c r="S3400" s="188"/>
      <c r="T3400" s="180"/>
      <c r="U3400" s="189" t="str">
        <f>IFERROR(IF(Tableau3[[#This Row],[Dettes]]=0,"",(Tableau3[[#This Row],[Dettes]]/Tableau3[[#This Row],[EBE]])),"")</f>
        <v/>
      </c>
      <c r="V3400" s="190" t="str">
        <f>IFERROR(Tableau3[[#This Row],[Fonds propres]]/Tableau3[[#This Row],[Total Bilan]],"")</f>
        <v/>
      </c>
      <c r="W3400" s="180"/>
      <c r="X3400" s="247">
        <v>45017</v>
      </c>
      <c r="Y3400" s="180"/>
      <c r="Z3400" s="192" t="str">
        <f>IFERROR(Tableau3[[#This Row],[Chiffre d''affaires]]/Tableau3[[#This Row],[Salariés]],"")</f>
        <v/>
      </c>
      <c r="AA3400" s="178" t="s">
        <v>168</v>
      </c>
      <c r="AC3400" s="177" t="s">
        <v>2398</v>
      </c>
    </row>
    <row r="3401" spans="1:29" ht="20.25" customHeight="1">
      <c r="A3401" s="217"/>
      <c r="E3401" s="187">
        <v>31.75</v>
      </c>
      <c r="F3401" s="178">
        <v>2024</v>
      </c>
      <c r="G3401" s="188">
        <v>2856000000</v>
      </c>
      <c r="H3401" s="211">
        <f>Tableau3[[#This Row],[Chiffre d''affaires]]*0.443</f>
        <v>1265208000</v>
      </c>
      <c r="I3401" s="188">
        <v>1012000000</v>
      </c>
      <c r="J3401" s="188">
        <v>507000000</v>
      </c>
      <c r="K3401" s="188">
        <v>1806000000</v>
      </c>
      <c r="L3401" s="188">
        <v>-908000000</v>
      </c>
      <c r="M3401" s="194">
        <f>L3401/P3401</f>
        <v>-3.7524695837130917</v>
      </c>
      <c r="N3401" s="195" t="s">
        <v>131</v>
      </c>
      <c r="O3401" s="195" t="s">
        <v>131</v>
      </c>
      <c r="P3401" s="188">
        <v>241973980</v>
      </c>
      <c r="Q3401" s="188">
        <f>P3401*E3401</f>
        <v>7682673865</v>
      </c>
      <c r="R3401" s="188" t="s">
        <v>131</v>
      </c>
      <c r="S3401" s="197">
        <f>(Q3401+K3401)/H3401</f>
        <v>7.4996948051229522</v>
      </c>
      <c r="T3401" s="180">
        <v>832000000</v>
      </c>
      <c r="U3401" s="189">
        <f>IFERROR(IF(Tableau3[[#This Row],[Dettes]]=0,"",(Tableau3[[#This Row],[Dettes]]/Tableau3[[#This Row],[EBE]])),"")</f>
        <v>1.4274332757933874</v>
      </c>
      <c r="V3401" s="190">
        <f>IFERROR(Tableau3[[#This Row],[Fonds propres]]/Tableau3[[#This Row],[Total Bilan]],"")</f>
        <v>-6.8445650535202768E-2</v>
      </c>
      <c r="W3401" s="180">
        <v>13266000000</v>
      </c>
      <c r="Y3401" s="180">
        <v>12000</v>
      </c>
      <c r="Z3401" s="192">
        <f>IFERROR(Tableau3[[#This Row],[Chiffre d''affaires]]/Tableau3[[#This Row],[Salariés]],"")</f>
        <v>238000</v>
      </c>
      <c r="AA3401" s="197" t="s">
        <v>169</v>
      </c>
      <c r="AC3401" s="177" t="s">
        <v>2400</v>
      </c>
    </row>
    <row r="3402" spans="1:29" ht="20.25" customHeight="1">
      <c r="A3402" s="217"/>
      <c r="G3402" s="202">
        <f>(G3401/G3403)-1</f>
        <v>0.13603818615751795</v>
      </c>
      <c r="H3402" s="202">
        <f>(H3401/H3403)-1</f>
        <v>0.15649725776965262</v>
      </c>
      <c r="I3402" s="202">
        <f>(I3401/I3403)-1</f>
        <v>0.43342776203966005</v>
      </c>
      <c r="J3402" s="202">
        <f>(J3401/J3403)-1</f>
        <v>0.898876404494382</v>
      </c>
      <c r="K3402" s="178"/>
      <c r="L3402" s="178"/>
      <c r="M3402" s="188"/>
      <c r="N3402" s="188"/>
      <c r="O3402" s="188"/>
      <c r="P3402" s="188"/>
      <c r="Q3402" s="188"/>
      <c r="R3402" s="188"/>
      <c r="S3402" s="188"/>
      <c r="T3402" s="180"/>
      <c r="U3402" s="189" t="str">
        <f>IFERROR(IF(Tableau3[[#This Row],[Dettes]]=0,"",(Tableau3[[#This Row],[Dettes]]/Tableau3[[#This Row],[EBE]])),"")</f>
        <v/>
      </c>
      <c r="V3402" s="190" t="str">
        <f>IFERROR(Tableau3[[#This Row],[Fonds propres]]/Tableau3[[#This Row],[Total Bilan]],"")</f>
        <v/>
      </c>
      <c r="W3402" s="180"/>
      <c r="Y3402" s="180"/>
      <c r="Z3402" s="192" t="str">
        <f>IFERROR(Tableau3[[#This Row],[Chiffre d''affaires]]/Tableau3[[#This Row],[Salariés]],"")</f>
        <v/>
      </c>
      <c r="AA3402" s="177"/>
      <c r="AC3402" s="177" t="s">
        <v>2401</v>
      </c>
    </row>
    <row r="3403" spans="1:29" ht="20.25" customHeight="1">
      <c r="A3403" s="217"/>
      <c r="E3403" s="178">
        <v>54.1</v>
      </c>
      <c r="F3403" s="178">
        <v>2023</v>
      </c>
      <c r="G3403" s="188">
        <v>2514000000</v>
      </c>
      <c r="H3403" s="188">
        <v>1094000000</v>
      </c>
      <c r="I3403" s="188">
        <v>706000000</v>
      </c>
      <c r="J3403" s="188">
        <v>267000000</v>
      </c>
      <c r="K3403" s="188">
        <v>1100000000</v>
      </c>
      <c r="L3403" s="188">
        <v>-679000000</v>
      </c>
      <c r="M3403" s="194">
        <f>L3403/P3403</f>
        <v>-2.7204827134778911</v>
      </c>
      <c r="N3403" s="195" t="s">
        <v>131</v>
      </c>
      <c r="O3403" s="195" t="s">
        <v>131</v>
      </c>
      <c r="P3403" s="188">
        <v>249588059</v>
      </c>
      <c r="Q3403" s="188">
        <f>P3403*E3403</f>
        <v>13502713991.9</v>
      </c>
      <c r="R3403" s="188" t="s">
        <v>131</v>
      </c>
      <c r="S3403" s="197">
        <f>(Q3403+K3403)/H3403</f>
        <v>13.348001820749543</v>
      </c>
      <c r="T3403" s="180">
        <v>770000000</v>
      </c>
      <c r="U3403" s="189">
        <f>IFERROR(IF(Tableau3[[#This Row],[Dettes]]=0,"",(Tableau3[[#This Row],[Dettes]]/Tableau3[[#This Row],[EBE]])),"")</f>
        <v>1.0054844606946984</v>
      </c>
      <c r="V3403" s="190">
        <f>IFERROR(Tableau3[[#This Row],[Fonds propres]]/Tableau3[[#This Row],[Total Bilan]],"")</f>
        <v>-5.1071831515607374E-2</v>
      </c>
      <c r="W3403" s="180">
        <v>13295000000</v>
      </c>
      <c r="X3403" s="191"/>
      <c r="Y3403" s="180"/>
      <c r="Z3403" s="192" t="str">
        <f>IFERROR(Tableau3[[#This Row],[Chiffre d''affaires]]/Tableau3[[#This Row],[Salariés]],"")</f>
        <v/>
      </c>
      <c r="AA3403" s="177"/>
      <c r="AC3403" s="177" t="s">
        <v>2402</v>
      </c>
    </row>
    <row r="3404" spans="1:29" ht="20.25" customHeight="1">
      <c r="A3404" s="217"/>
      <c r="G3404" s="202">
        <f>(G3403/G3405)-1</f>
        <v>0.23781388478581977</v>
      </c>
      <c r="H3404" s="202">
        <f>(H3403/H3405)-1</f>
        <v>0.30861244019138745</v>
      </c>
      <c r="I3404" s="202">
        <f>(I3403/I3405)-1</f>
        <v>7.1320182094081863E-2</v>
      </c>
      <c r="J3404" s="202">
        <f>(J3403/J3405)-1</f>
        <v>-0.30829015544041449</v>
      </c>
      <c r="K3404" s="178"/>
      <c r="L3404" s="178"/>
      <c r="M3404" s="188"/>
      <c r="N3404" s="188"/>
      <c r="O3404" s="188"/>
      <c r="P3404" s="188"/>
      <c r="Q3404" s="188"/>
      <c r="R3404" s="188"/>
      <c r="S3404" s="188"/>
      <c r="T3404" s="180"/>
      <c r="U3404" s="189" t="str">
        <f>IFERROR(IF(Tableau3[[#This Row],[Dettes]]=0,"",(Tableau3[[#This Row],[Dettes]]/Tableau3[[#This Row],[EBE]])),"")</f>
        <v/>
      </c>
      <c r="V3404" s="190" t="str">
        <f>IFERROR(Tableau3[[#This Row],[Fonds propres]]/Tableau3[[#This Row],[Total Bilan]],"")</f>
        <v/>
      </c>
      <c r="W3404" s="180"/>
      <c r="Y3404" s="180"/>
      <c r="Z3404" s="192" t="str">
        <f>IFERROR(Tableau3[[#This Row],[Chiffre d''affaires]]/Tableau3[[#This Row],[Salariés]],"")</f>
        <v/>
      </c>
      <c r="AA3404" s="177"/>
      <c r="AC3404" s="177" t="s">
        <v>2404</v>
      </c>
    </row>
    <row r="3405" spans="1:29" ht="20.25" customHeight="1">
      <c r="A3405" s="217"/>
      <c r="E3405" s="187">
        <v>50.9</v>
      </c>
      <c r="F3405" s="178">
        <v>2022</v>
      </c>
      <c r="G3405" s="188">
        <v>2031000000</v>
      </c>
      <c r="H3405" s="211">
        <v>836000000</v>
      </c>
      <c r="I3405" s="211">
        <v>659000000</v>
      </c>
      <c r="J3405" s="211">
        <v>386000000</v>
      </c>
      <c r="K3405" s="188">
        <v>307000000</v>
      </c>
      <c r="L3405" s="188">
        <v>-718000000</v>
      </c>
      <c r="M3405" s="194">
        <f>L3405/P3405</f>
        <v>-2.8767401889206567</v>
      </c>
      <c r="N3405" s="195" t="s">
        <v>131</v>
      </c>
      <c r="O3405" s="195" t="s">
        <v>131</v>
      </c>
      <c r="P3405" s="188">
        <v>249588059</v>
      </c>
      <c r="Q3405" s="188">
        <f>P3405*E3405</f>
        <v>12704032203.1</v>
      </c>
      <c r="R3405" s="188" t="s">
        <v>131</v>
      </c>
      <c r="S3405" s="197">
        <f>(Q3405+K3405)/H3405</f>
        <v>15.563435649641148</v>
      </c>
      <c r="T3405" s="180">
        <v>881000000</v>
      </c>
      <c r="U3405" s="189">
        <f>IFERROR(IF(Tableau3[[#This Row],[Dettes]]=0,"",(Tableau3[[#This Row],[Dettes]]/Tableau3[[#This Row],[EBE]])),"")</f>
        <v>0.36722488038277512</v>
      </c>
      <c r="V3405" s="190">
        <f>IFERROR(Tableau3[[#This Row],[Fonds propres]]/Tableau3[[#This Row],[Total Bilan]],"")</f>
        <v>-6.4256309289421873E-2</v>
      </c>
      <c r="W3405" s="180">
        <v>11174000000</v>
      </c>
      <c r="Y3405" s="180">
        <v>10000</v>
      </c>
      <c r="Z3405" s="192">
        <f>IFERROR(Tableau3[[#This Row],[Chiffre d''affaires]]/Tableau3[[#This Row],[Salariés]],"")</f>
        <v>203100</v>
      </c>
      <c r="AC3405" s="177" t="s">
        <v>2399</v>
      </c>
    </row>
    <row r="3406" spans="1:29" ht="20.25" customHeight="1">
      <c r="A3406" s="217"/>
      <c r="G3406" s="202">
        <f>(G3405/G3407)-1</f>
        <v>0.24830977258758447</v>
      </c>
      <c r="H3406" s="202">
        <f>(H3405/H3407)-1</f>
        <v>0.24776119402985075</v>
      </c>
      <c r="I3406" s="202">
        <f>(I3405/I3407)-1</f>
        <v>0.19818181818181824</v>
      </c>
      <c r="J3406" s="202">
        <f>(J3405/J3407)-1</f>
        <v>0.23322683706070291</v>
      </c>
      <c r="K3406" s="178"/>
      <c r="L3406" s="178"/>
      <c r="M3406" s="194"/>
      <c r="N3406" s="178"/>
      <c r="O3406" s="178"/>
      <c r="P3406" s="178"/>
      <c r="Q3406" s="178"/>
      <c r="R3406" s="178"/>
      <c r="S3406" s="178"/>
      <c r="T3406" s="180"/>
      <c r="U3406" s="189" t="str">
        <f>IFERROR(IF(Tableau3[[#This Row],[Dettes]]=0,"",(Tableau3[[#This Row],[Dettes]]/Tableau3[[#This Row],[EBE]])),"")</f>
        <v/>
      </c>
      <c r="V3406" s="190" t="str">
        <f>IFERROR(Tableau3[[#This Row],[Fonds propres]]/Tableau3[[#This Row],[Total Bilan]],"")</f>
        <v/>
      </c>
      <c r="W3406" s="180"/>
      <c r="Y3406" s="180"/>
      <c r="Z3406" s="192" t="str">
        <f>IFERROR(Tableau3[[#This Row],[Chiffre d''affaires]]/Tableau3[[#This Row],[Salariés]],"")</f>
        <v/>
      </c>
      <c r="AC3406" s="177" t="s">
        <v>2405</v>
      </c>
    </row>
    <row r="3407" spans="1:29" ht="20.25" customHeight="1">
      <c r="A3407" s="217"/>
      <c r="E3407" s="187">
        <v>40.57</v>
      </c>
      <c r="F3407" s="178">
        <v>2021</v>
      </c>
      <c r="G3407" s="188">
        <v>1627000000</v>
      </c>
      <c r="H3407" s="188">
        <v>670000000</v>
      </c>
      <c r="I3407" s="188">
        <v>550000000</v>
      </c>
      <c r="J3407" s="188">
        <v>313000000</v>
      </c>
      <c r="K3407" s="188">
        <v>816000000</v>
      </c>
      <c r="L3407" s="188">
        <v>-869000000</v>
      </c>
      <c r="M3407" s="194">
        <f>L3407/P3407</f>
        <v>-3.4817370810195691</v>
      </c>
      <c r="N3407" s="195" t="s">
        <v>131</v>
      </c>
      <c r="O3407" s="195" t="s">
        <v>131</v>
      </c>
      <c r="P3407" s="188">
        <v>249588059</v>
      </c>
      <c r="Q3407" s="188">
        <f>P3407*E3407</f>
        <v>10125787553.629999</v>
      </c>
      <c r="R3407" s="195" t="s">
        <v>131</v>
      </c>
      <c r="S3407" s="197">
        <f>(Q3407+K3407)/H3407</f>
        <v>16.331026199447759</v>
      </c>
      <c r="T3407" s="180">
        <v>556000000</v>
      </c>
      <c r="U3407" s="189">
        <f>IFERROR(IF(Tableau3[[#This Row],[Dettes]]=0,"",(Tableau3[[#This Row],[Dettes]]/Tableau3[[#This Row],[EBE]])),"")</f>
        <v>1.2179104477611939</v>
      </c>
      <c r="V3407" s="190">
        <f>IFERROR(Tableau3[[#This Row],[Fonds propres]]/Tableau3[[#This Row],[Total Bilan]],"")</f>
        <v>-8.4205426356589147E-2</v>
      </c>
      <c r="W3407" s="180">
        <v>10320000000</v>
      </c>
      <c r="X3407" s="191"/>
      <c r="Y3407" s="180">
        <v>10000</v>
      </c>
      <c r="Z3407" s="192">
        <f>IFERROR(Tableau3[[#This Row],[Chiffre d''affaires]]/Tableau3[[#This Row],[Salariés]],"")</f>
        <v>162700</v>
      </c>
      <c r="AB3407" s="197"/>
      <c r="AC3407" s="177" t="s">
        <v>4816</v>
      </c>
    </row>
    <row r="3408" spans="1:29" ht="20.25" customHeight="1">
      <c r="A3408" s="217"/>
      <c r="G3408" s="202">
        <f>(G3407/G3409)-1</f>
        <v>0.110580204778157</v>
      </c>
      <c r="H3408" s="202">
        <f>(H3407/H3409)-1</f>
        <v>0.15517241379310343</v>
      </c>
      <c r="I3408" s="202">
        <f>(I3407/I3409)-1</f>
        <v>0.20879120879120872</v>
      </c>
      <c r="J3408" s="202">
        <f>(J3407/J3409)-1</f>
        <v>0.31512605042016806</v>
      </c>
      <c r="K3408" s="178"/>
      <c r="L3408" s="178"/>
      <c r="M3408" s="194"/>
      <c r="N3408" s="178"/>
      <c r="O3408" s="178"/>
      <c r="P3408" s="178"/>
      <c r="Q3408" s="178"/>
      <c r="R3408" s="178"/>
      <c r="S3408" s="178"/>
      <c r="T3408" s="180"/>
      <c r="U3408" s="189" t="str">
        <f>IFERROR(IF(Tableau3[[#This Row],[Dettes]]=0,"",(Tableau3[[#This Row],[Dettes]]/Tableau3[[#This Row],[EBE]])),"")</f>
        <v/>
      </c>
      <c r="V3408" s="190" t="str">
        <f>IFERROR(Tableau3[[#This Row],[Fonds propres]]/Tableau3[[#This Row],[Total Bilan]],"")</f>
        <v/>
      </c>
      <c r="W3408" s="180"/>
      <c r="X3408" s="192"/>
      <c r="Y3408" s="180"/>
      <c r="Z3408" s="192" t="str">
        <f>IFERROR(Tableau3[[#This Row],[Chiffre d''affaires]]/Tableau3[[#This Row],[Salariés]],"")</f>
        <v/>
      </c>
      <c r="AA3408" s="188"/>
      <c r="AB3408" s="188"/>
      <c r="AC3408" s="177" t="s">
        <v>2406</v>
      </c>
    </row>
    <row r="3409" spans="1:29" ht="20.25" customHeight="1">
      <c r="A3409" s="217"/>
      <c r="E3409" s="187">
        <v>46.41</v>
      </c>
      <c r="F3409" s="178">
        <v>2020</v>
      </c>
      <c r="G3409" s="188">
        <v>1465000000</v>
      </c>
      <c r="H3409" s="188">
        <v>580000000</v>
      </c>
      <c r="I3409" s="188">
        <v>455000000</v>
      </c>
      <c r="J3409" s="188">
        <v>238000000</v>
      </c>
      <c r="K3409" s="188">
        <v>1290000000</v>
      </c>
      <c r="L3409" s="188">
        <v>-1230000000</v>
      </c>
      <c r="M3409" s="194">
        <f>L3409/P3409</f>
        <v>-5.0574647857464461</v>
      </c>
      <c r="N3409" s="195" t="s">
        <v>131</v>
      </c>
      <c r="O3409" s="195" t="s">
        <v>131</v>
      </c>
      <c r="P3409" s="188">
        <v>243204857</v>
      </c>
      <c r="Q3409" s="188">
        <f>P3409*E3409</f>
        <v>11287137413.369999</v>
      </c>
      <c r="R3409" s="195" t="s">
        <v>131</v>
      </c>
      <c r="S3409" s="197">
        <f>(Q3409+K3409)/H3409</f>
        <v>21.684719678224138</v>
      </c>
      <c r="T3409" s="180"/>
      <c r="U3409" s="189">
        <f>IFERROR(IF(Tableau3[[#This Row],[Dettes]]=0,"",(Tableau3[[#This Row],[Dettes]]/Tableau3[[#This Row],[EBE]])),"")</f>
        <v>2.2241379310344827</v>
      </c>
      <c r="V3409" s="190">
        <f>IFERROR(Tableau3[[#This Row],[Fonds propres]]/Tableau3[[#This Row],[Total Bilan]],"")</f>
        <v>-0.13043478260869565</v>
      </c>
      <c r="W3409" s="180">
        <v>9430000000</v>
      </c>
      <c r="X3409" s="191"/>
      <c r="Y3409" s="180"/>
      <c r="Z3409" s="192" t="str">
        <f>IFERROR(Tableau3[[#This Row],[Chiffre d''affaires]]/Tableau3[[#This Row],[Salariés]],"")</f>
        <v/>
      </c>
      <c r="AA3409" s="197"/>
      <c r="AB3409" s="197"/>
      <c r="AC3409" s="177" t="s">
        <v>4812</v>
      </c>
    </row>
    <row r="3410" spans="1:29" ht="20.25" customHeight="1">
      <c r="A3410" s="217"/>
      <c r="E3410" s="187"/>
      <c r="G3410" s="202">
        <f>(G3409/G3411)-1</f>
        <v>-9.901599015990159E-2</v>
      </c>
      <c r="H3410" s="202">
        <f>(H3409/H3411)-1</f>
        <v>-0.13173652694610782</v>
      </c>
      <c r="I3410" s="202">
        <f>(I3409/I3411)-1</f>
        <v>-0.16513761467889909</v>
      </c>
      <c r="J3410" s="202">
        <f>(J3409/J3411)-1</f>
        <v>-0.23717948717948723</v>
      </c>
      <c r="K3410" s="188"/>
      <c r="L3410" s="188"/>
      <c r="M3410" s="194"/>
      <c r="N3410" s="195"/>
      <c r="O3410" s="195"/>
      <c r="P3410" s="188"/>
      <c r="Q3410" s="188"/>
      <c r="R3410" s="188"/>
      <c r="S3410" s="188"/>
      <c r="T3410" s="180"/>
      <c r="U3410" s="189" t="str">
        <f>IFERROR(IF(Tableau3[[#This Row],[Dettes]]=0,"",(Tableau3[[#This Row],[Dettes]]/Tableau3[[#This Row],[EBE]])),"")</f>
        <v/>
      </c>
      <c r="V3410" s="190" t="str">
        <f>IFERROR(Tableau3[[#This Row],[Fonds propres]]/Tableau3[[#This Row],[Total Bilan]],"")</f>
        <v/>
      </c>
      <c r="W3410" s="180"/>
      <c r="X3410" s="192"/>
      <c r="Y3410" s="180"/>
      <c r="Z3410" s="192" t="str">
        <f>IFERROR(Tableau3[[#This Row],[Chiffre d''affaires]]/Tableau3[[#This Row],[Salariés]],"")</f>
        <v/>
      </c>
      <c r="AA3410" s="188"/>
      <c r="AB3410" s="188"/>
      <c r="AC3410" s="216" t="s">
        <v>4809</v>
      </c>
    </row>
    <row r="3411" spans="1:29" ht="20.25" customHeight="1">
      <c r="A3411" s="217"/>
      <c r="E3411" s="187">
        <v>48.79</v>
      </c>
      <c r="F3411" s="178">
        <v>2019</v>
      </c>
      <c r="G3411" s="188">
        <v>1626000000</v>
      </c>
      <c r="H3411" s="188">
        <v>668000000</v>
      </c>
      <c r="I3411" s="188">
        <v>545000000</v>
      </c>
      <c r="J3411" s="188">
        <v>312000000</v>
      </c>
      <c r="K3411" s="188">
        <v>1290000000</v>
      </c>
      <c r="L3411" s="188">
        <v>-1193000000</v>
      </c>
      <c r="M3411" s="194">
        <f>L3411/P3411</f>
        <v>-4.905329666175211</v>
      </c>
      <c r="N3411" s="195" t="s">
        <v>131</v>
      </c>
      <c r="O3411" s="195" t="s">
        <v>131</v>
      </c>
      <c r="P3411" s="188">
        <v>243204857</v>
      </c>
      <c r="Q3411" s="188">
        <f>P3411*E3411</f>
        <v>11865964973.030001</v>
      </c>
      <c r="R3411" s="195" t="s">
        <v>131</v>
      </c>
      <c r="S3411" s="197">
        <f>(Q3411+K3411)/H3411</f>
        <v>19.694558342859281</v>
      </c>
      <c r="T3411" s="180"/>
      <c r="U3411" s="189">
        <f>IFERROR(IF(Tableau3[[#This Row],[Dettes]]=0,"",(Tableau3[[#This Row],[Dettes]]/Tableau3[[#This Row],[EBE]])),"")</f>
        <v>1.9311377245508983</v>
      </c>
      <c r="V3411" s="190">
        <f>IFERROR(Tableau3[[#This Row],[Fonds propres]]/Tableau3[[#This Row],[Total Bilan]],"")</f>
        <v>-0.13419572553430822</v>
      </c>
      <c r="W3411" s="180">
        <v>8890000000</v>
      </c>
      <c r="X3411" s="191"/>
      <c r="Y3411" s="180"/>
      <c r="Z3411" s="192" t="str">
        <f>IFERROR(Tableau3[[#This Row],[Chiffre d''affaires]]/Tableau3[[#This Row],[Salariés]],"")</f>
        <v/>
      </c>
      <c r="AA3411" s="197"/>
      <c r="AB3411" s="197"/>
      <c r="AC3411" s="216" t="s">
        <v>4810</v>
      </c>
    </row>
    <row r="3412" spans="1:29" ht="20.25" customHeight="1">
      <c r="A3412" s="217"/>
      <c r="E3412" s="187"/>
      <c r="G3412" s="202">
        <f>(G3411/G3413)-1</f>
        <v>0.17997097242380256</v>
      </c>
      <c r="H3412" s="202">
        <f>(H3411/H3413)-1</f>
        <v>0.24626865671641784</v>
      </c>
      <c r="I3412" s="202">
        <f>(I3411/I3413)-1</f>
        <v>0.18221258134490248</v>
      </c>
      <c r="J3412" s="202">
        <f>(J3411/J3413)-1</f>
        <v>0.22834645669291342</v>
      </c>
      <c r="K3412" s="188"/>
      <c r="L3412" s="188"/>
      <c r="M3412" s="194"/>
      <c r="N3412" s="195"/>
      <c r="O3412" s="195"/>
      <c r="P3412" s="188"/>
      <c r="Q3412" s="188"/>
      <c r="R3412" s="188"/>
      <c r="S3412" s="188"/>
      <c r="T3412" s="180"/>
      <c r="U3412" s="189" t="str">
        <f>IFERROR(IF(Tableau3[[#This Row],[Dettes]]=0,"",(Tableau3[[#This Row],[Dettes]]/Tableau3[[#This Row],[EBE]])),"")</f>
        <v/>
      </c>
      <c r="V3412" s="190" t="str">
        <f>IFERROR(Tableau3[[#This Row],[Fonds propres]]/Tableau3[[#This Row],[Total Bilan]],"")</f>
        <v/>
      </c>
      <c r="W3412" s="180"/>
      <c r="X3412" s="192"/>
      <c r="Y3412" s="180"/>
      <c r="Z3412" s="192" t="str">
        <f>IFERROR(Tableau3[[#This Row],[Chiffre d''affaires]]/Tableau3[[#This Row],[Salariés]],"")</f>
        <v/>
      </c>
      <c r="AA3412" s="188"/>
      <c r="AB3412" s="188"/>
      <c r="AC3412" s="177" t="s">
        <v>2407</v>
      </c>
    </row>
    <row r="3413" spans="1:29" ht="20.25" customHeight="1">
      <c r="A3413" s="217"/>
      <c r="E3413" s="187">
        <v>35.44</v>
      </c>
      <c r="F3413" s="178">
        <v>2018</v>
      </c>
      <c r="G3413" s="188">
        <v>1378000000</v>
      </c>
      <c r="H3413" s="188">
        <v>536000000</v>
      </c>
      <c r="I3413" s="188">
        <v>461000000</v>
      </c>
      <c r="J3413" s="188">
        <v>254000000</v>
      </c>
      <c r="K3413" s="188">
        <v>659000000</v>
      </c>
      <c r="L3413" s="188">
        <v>-1261000000</v>
      </c>
      <c r="M3413" s="194">
        <f>L3413/P3413</f>
        <v>-5.2702772454212639</v>
      </c>
      <c r="N3413" s="195" t="s">
        <v>131</v>
      </c>
      <c r="O3413" s="195" t="s">
        <v>131</v>
      </c>
      <c r="P3413" s="188">
        <v>239266350</v>
      </c>
      <c r="Q3413" s="188">
        <f>P3413*E3413</f>
        <v>8479599443.999999</v>
      </c>
      <c r="R3413" s="195" t="s">
        <v>131</v>
      </c>
      <c r="S3413" s="197">
        <f>(Q3413+K3413)/H3413</f>
        <v>17.049625828358209</v>
      </c>
      <c r="T3413" s="180"/>
      <c r="U3413" s="189">
        <f>IFERROR(IF(Tableau3[[#This Row],[Dettes]]=0,"",(Tableau3[[#This Row],[Dettes]]/Tableau3[[#This Row],[EBE]])),"")</f>
        <v>1.2294776119402986</v>
      </c>
      <c r="V3413" s="190">
        <f>IFERROR(Tableau3[[#This Row],[Fonds propres]]/Tableau3[[#This Row],[Total Bilan]],"")</f>
        <v>-0.17345254470426411</v>
      </c>
      <c r="W3413" s="180">
        <v>7270000000</v>
      </c>
      <c r="X3413" s="191"/>
      <c r="Y3413" s="180"/>
      <c r="Z3413" s="192" t="str">
        <f>IFERROR(Tableau3[[#This Row],[Chiffre d''affaires]]/Tableau3[[#This Row],[Salariés]],"")</f>
        <v/>
      </c>
      <c r="AA3413" s="197"/>
      <c r="AB3413" s="197"/>
      <c r="AC3413" s="177" t="s">
        <v>2408</v>
      </c>
    </row>
    <row r="3414" spans="1:29" ht="20.25" customHeight="1">
      <c r="A3414" s="217"/>
      <c r="E3414" s="187"/>
      <c r="G3414" s="202">
        <f>(G3413/G3415)-1</f>
        <v>2.9126213592232997E-2</v>
      </c>
      <c r="H3414" s="202">
        <f>(H3413/H3415)-1</f>
        <v>6.7729083665338585E-2</v>
      </c>
      <c r="I3414" s="202">
        <f>(I3413/I3415)-1</f>
        <v>5.4919908466819267E-2</v>
      </c>
      <c r="J3414" s="202">
        <f>(J3413/J3415)-1</f>
        <v>2.8340080971659853E-2</v>
      </c>
      <c r="K3414" s="188"/>
      <c r="L3414" s="188"/>
      <c r="M3414" s="194"/>
      <c r="N3414" s="188"/>
      <c r="O3414" s="188"/>
      <c r="P3414" s="188"/>
      <c r="Q3414" s="188"/>
      <c r="R3414" s="188"/>
      <c r="S3414" s="188"/>
      <c r="T3414" s="180"/>
      <c r="U3414" s="189" t="str">
        <f>IFERROR(IF(Tableau3[[#This Row],[Dettes]]=0,"",(Tableau3[[#This Row],[Dettes]]/Tableau3[[#This Row],[EBE]])),"")</f>
        <v/>
      </c>
      <c r="V3414" s="190" t="str">
        <f>IFERROR(Tableau3[[#This Row],[Fonds propres]]/Tableau3[[#This Row],[Total Bilan]],"")</f>
        <v/>
      </c>
      <c r="W3414" s="180"/>
      <c r="Y3414" s="180"/>
      <c r="Z3414" s="192" t="str">
        <f>IFERROR(Tableau3[[#This Row],[Chiffre d''affaires]]/Tableau3[[#This Row],[Salariés]],"")</f>
        <v/>
      </c>
      <c r="AA3414" s="177"/>
      <c r="AC3414" s="177" t="s">
        <v>2409</v>
      </c>
    </row>
    <row r="3415" spans="1:29" ht="20.25" customHeight="1">
      <c r="A3415" s="217"/>
      <c r="E3415" s="187">
        <v>26.01</v>
      </c>
      <c r="F3415" s="178">
        <v>2017</v>
      </c>
      <c r="G3415" s="188">
        <v>1339000000</v>
      </c>
      <c r="H3415" s="188">
        <v>502000000</v>
      </c>
      <c r="I3415" s="188">
        <v>437000000</v>
      </c>
      <c r="J3415" s="188">
        <v>247000000</v>
      </c>
      <c r="K3415" s="188">
        <v>713000000</v>
      </c>
      <c r="L3415" s="188">
        <v>-1287000000</v>
      </c>
      <c r="M3415" s="194">
        <f>L3415/P3415</f>
        <v>-5.4672144699452732</v>
      </c>
      <c r="N3415" s="195" t="s">
        <v>131</v>
      </c>
      <c r="O3415" s="195" t="s">
        <v>131</v>
      </c>
      <c r="P3415" s="188">
        <v>235403240</v>
      </c>
      <c r="Q3415" s="188">
        <f>P3415*E3415</f>
        <v>6122838272.4000006</v>
      </c>
      <c r="R3415" s="195" t="s">
        <v>131</v>
      </c>
      <c r="S3415" s="197">
        <f>(Q3415+K3415)/H3415</f>
        <v>13.617207713944225</v>
      </c>
      <c r="T3415" s="180"/>
      <c r="U3415" s="189">
        <f>IFERROR(IF(Tableau3[[#This Row],[Dettes]]=0,"",(Tableau3[[#This Row],[Dettes]]/Tableau3[[#This Row],[EBE]])),"")</f>
        <v>1.4203187250996017</v>
      </c>
      <c r="V3415" s="190" t="str">
        <f>IFERROR(Tableau3[[#This Row],[Fonds propres]]/Tableau3[[#This Row],[Total Bilan]],"")</f>
        <v/>
      </c>
      <c r="W3415" s="180"/>
      <c r="X3415" s="191"/>
      <c r="Y3415" s="180"/>
      <c r="Z3415" s="192" t="str">
        <f>IFERROR(Tableau3[[#This Row],[Chiffre d''affaires]]/Tableau3[[#This Row],[Salariés]],"")</f>
        <v/>
      </c>
      <c r="AA3415" s="197"/>
      <c r="AB3415" s="197"/>
      <c r="AC3415" s="177" t="s">
        <v>2410</v>
      </c>
    </row>
    <row r="3416" spans="1:29" ht="20.25" customHeight="1">
      <c r="A3416" s="217"/>
      <c r="E3416" s="187"/>
      <c r="G3416" s="202">
        <f>(G3415/G3417)-1</f>
        <v>0.17559262510974549</v>
      </c>
      <c r="H3416" s="202"/>
      <c r="I3416" s="202">
        <f>(I3415/I3417)-1</f>
        <v>0.18108108108108101</v>
      </c>
      <c r="J3416" s="202">
        <f>(J3415/J3417)-1</f>
        <v>0.37222222222222223</v>
      </c>
      <c r="K3416" s="188"/>
      <c r="L3416" s="188"/>
      <c r="M3416" s="194"/>
      <c r="N3416" s="178"/>
      <c r="O3416" s="178"/>
      <c r="P3416" s="178"/>
      <c r="Q3416" s="178"/>
      <c r="R3416" s="178"/>
      <c r="S3416" s="178"/>
      <c r="T3416" s="180"/>
      <c r="U3416" s="189" t="str">
        <f>IFERROR(IF(Tableau3[[#This Row],[Dettes]]=0,"",(Tableau3[[#This Row],[Dettes]]/Tableau3[[#This Row],[EBE]])),"")</f>
        <v/>
      </c>
      <c r="V3416" s="190" t="str">
        <f>IFERROR(Tableau3[[#This Row],[Fonds propres]]/Tableau3[[#This Row],[Total Bilan]],"")</f>
        <v/>
      </c>
      <c r="W3416" s="180"/>
      <c r="Y3416" s="180"/>
      <c r="Z3416" s="192" t="str">
        <f>IFERROR(Tableau3[[#This Row],[Chiffre d''affaires]]/Tableau3[[#This Row],[Salariés]],"")</f>
        <v/>
      </c>
      <c r="AA3416" s="177"/>
      <c r="AC3416" s="177" t="s">
        <v>2411</v>
      </c>
    </row>
    <row r="3417" spans="1:29" ht="20.25" customHeight="1">
      <c r="A3417" s="217"/>
      <c r="E3417" s="187">
        <v>20.16</v>
      </c>
      <c r="F3417" s="178">
        <v>2016</v>
      </c>
      <c r="G3417" s="188">
        <v>1139000000</v>
      </c>
      <c r="H3417" s="188"/>
      <c r="I3417" s="188">
        <v>370000000</v>
      </c>
      <c r="J3417" s="188">
        <v>180000000</v>
      </c>
      <c r="K3417" s="188">
        <v>588000000</v>
      </c>
      <c r="L3417" s="188">
        <v>-1161000000</v>
      </c>
      <c r="M3417" s="194">
        <f>L3417/P3417</f>
        <v>-4.9683360582509799</v>
      </c>
      <c r="N3417" s="195" t="s">
        <v>131</v>
      </c>
      <c r="O3417" s="195" t="s">
        <v>131</v>
      </c>
      <c r="P3417" s="188">
        <v>233679845</v>
      </c>
      <c r="Q3417" s="188">
        <f>P3417*E3417</f>
        <v>4710985675.1999998</v>
      </c>
      <c r="R3417" s="195" t="s">
        <v>131</v>
      </c>
      <c r="S3417" s="197"/>
      <c r="T3417" s="180"/>
      <c r="U3417" s="189" t="str">
        <f>IFERROR(IF(Tableau3[[#This Row],[Dettes]]=0,"",(Tableau3[[#This Row],[Dettes]]/Tableau3[[#This Row],[EBE]])),"")</f>
        <v/>
      </c>
      <c r="V3417" s="190" t="str">
        <f>IFERROR(Tableau3[[#This Row],[Fonds propres]]/Tableau3[[#This Row],[Total Bilan]],"")</f>
        <v/>
      </c>
      <c r="W3417" s="180"/>
      <c r="X3417" s="191"/>
      <c r="Y3417" s="180"/>
      <c r="Z3417" s="192" t="str">
        <f>IFERROR(Tableau3[[#This Row],[Chiffre d''affaires]]/Tableau3[[#This Row],[Salariés]],"")</f>
        <v/>
      </c>
      <c r="AA3417" s="197"/>
      <c r="AB3417" s="197"/>
      <c r="AC3417" s="177" t="s">
        <v>4814</v>
      </c>
    </row>
    <row r="3418" spans="1:29" ht="20.25" customHeight="1">
      <c r="A3418" s="217"/>
      <c r="E3418" s="187"/>
      <c r="G3418" s="202">
        <f>(G3417/G3419)-1</f>
        <v>6.5481758652946587E-2</v>
      </c>
      <c r="H3418" s="202"/>
      <c r="I3418" s="202">
        <f>(I3417/I3419)-1</f>
        <v>0.36029411764705888</v>
      </c>
      <c r="J3418" s="202">
        <f>(J3417/J3419)-1</f>
        <v>1.6949152542372836E-2</v>
      </c>
      <c r="K3418" s="188"/>
      <c r="L3418" s="188"/>
      <c r="M3418" s="194"/>
      <c r="N3418" s="178"/>
      <c r="O3418" s="178"/>
      <c r="P3418" s="178"/>
      <c r="Q3418" s="178"/>
      <c r="R3418" s="178"/>
      <c r="S3418" s="178"/>
      <c r="T3418" s="180"/>
      <c r="U3418" s="189" t="str">
        <f>IFERROR(IF(Tableau3[[#This Row],[Dettes]]=0,"",(Tableau3[[#This Row],[Dettes]]/Tableau3[[#This Row],[EBE]])),"")</f>
        <v/>
      </c>
      <c r="V3418" s="190" t="str">
        <f>IFERROR(Tableau3[[#This Row],[Fonds propres]]/Tableau3[[#This Row],[Total Bilan]],"")</f>
        <v/>
      </c>
      <c r="W3418" s="180"/>
      <c r="Y3418" s="180"/>
      <c r="Z3418" s="192" t="str">
        <f>IFERROR(Tableau3[[#This Row],[Chiffre d''affaires]]/Tableau3[[#This Row],[Salariés]],"")</f>
        <v/>
      </c>
      <c r="AA3418" s="177"/>
      <c r="AC3418" s="177" t="s">
        <v>4815</v>
      </c>
    </row>
    <row r="3419" spans="1:29" ht="20.25" customHeight="1">
      <c r="A3419" s="217"/>
      <c r="E3419" s="187">
        <v>17.3</v>
      </c>
      <c r="F3419" s="178">
        <v>2015</v>
      </c>
      <c r="G3419" s="188">
        <v>1069000000</v>
      </c>
      <c r="H3419" s="188"/>
      <c r="I3419" s="188">
        <v>272000000</v>
      </c>
      <c r="J3419" s="188">
        <v>177000000</v>
      </c>
      <c r="K3419" s="188">
        <v>637000000</v>
      </c>
      <c r="L3419" s="188">
        <v>-1442000000</v>
      </c>
      <c r="M3419" s="194">
        <f>L3419/P3419</f>
        <v>-6.2473775744481186</v>
      </c>
      <c r="N3419" s="195" t="s">
        <v>131</v>
      </c>
      <c r="O3419" s="195" t="s">
        <v>131</v>
      </c>
      <c r="P3419" s="188">
        <v>230816848</v>
      </c>
      <c r="Q3419" s="188">
        <f>P3419*E3419</f>
        <v>3993131470.4000001</v>
      </c>
      <c r="R3419" s="195" t="s">
        <v>131</v>
      </c>
      <c r="S3419" s="197"/>
      <c r="T3419" s="180"/>
      <c r="U3419" s="189" t="str">
        <f>IFERROR(IF(Tableau3[[#This Row],[Dettes]]=0,"",(Tableau3[[#This Row],[Dettes]]/Tableau3[[#This Row],[EBE]])),"")</f>
        <v/>
      </c>
      <c r="V3419" s="190" t="str">
        <f>IFERROR(Tableau3[[#This Row],[Fonds propres]]/Tableau3[[#This Row],[Total Bilan]],"")</f>
        <v/>
      </c>
      <c r="W3419" s="180"/>
      <c r="X3419" s="191"/>
      <c r="Y3419" s="180"/>
      <c r="Z3419" s="192" t="str">
        <f>IFERROR(Tableau3[[#This Row],[Chiffre d''affaires]]/Tableau3[[#This Row],[Salariés]],"")</f>
        <v/>
      </c>
      <c r="AA3419" s="197"/>
      <c r="AB3419" s="197"/>
      <c r="AC3419" s="177" t="s">
        <v>2412</v>
      </c>
    </row>
    <row r="3420" spans="1:29" ht="20.25" customHeight="1">
      <c r="A3420" s="217"/>
      <c r="E3420" s="187"/>
      <c r="G3420" s="202">
        <f>(G3419/G3421)-1</f>
        <v>3.3849129593810368E-2</v>
      </c>
      <c r="H3420" s="202"/>
      <c r="I3420" s="202">
        <f>(I3419/I3421)-1</f>
        <v>1.8726591760299671E-2</v>
      </c>
      <c r="J3420" s="202">
        <f>(J3419/J3421)-1</f>
        <v>7.92682926829269E-2</v>
      </c>
      <c r="K3420" s="188"/>
      <c r="L3420" s="188"/>
      <c r="M3420" s="194"/>
      <c r="N3420" s="178"/>
      <c r="O3420" s="178"/>
      <c r="P3420" s="178"/>
      <c r="Q3420" s="178"/>
      <c r="R3420" s="178"/>
      <c r="S3420" s="178"/>
      <c r="T3420" s="180"/>
      <c r="U3420" s="189" t="str">
        <f>IFERROR(IF(Tableau3[[#This Row],[Dettes]]=0,"",(Tableau3[[#This Row],[Dettes]]/Tableau3[[#This Row],[EBE]])),"")</f>
        <v/>
      </c>
      <c r="V3420" s="190" t="str">
        <f>IFERROR(Tableau3[[#This Row],[Fonds propres]]/Tableau3[[#This Row],[Total Bilan]],"")</f>
        <v/>
      </c>
      <c r="W3420" s="180"/>
      <c r="Y3420" s="180"/>
      <c r="Z3420" s="192" t="str">
        <f>IFERROR(Tableau3[[#This Row],[Chiffre d''affaires]]/Tableau3[[#This Row],[Salariés]],"")</f>
        <v/>
      </c>
      <c r="AA3420" s="177"/>
      <c r="AC3420" s="177" t="s">
        <v>2413</v>
      </c>
    </row>
    <row r="3421" spans="1:29" ht="20.25" customHeight="1">
      <c r="A3421" s="217"/>
      <c r="E3421" s="187">
        <v>25.5</v>
      </c>
      <c r="F3421" s="178">
        <v>2014</v>
      </c>
      <c r="G3421" s="188">
        <v>1034000000</v>
      </c>
      <c r="H3421" s="188"/>
      <c r="I3421" s="188">
        <v>267000000</v>
      </c>
      <c r="J3421" s="188">
        <v>164000000</v>
      </c>
      <c r="K3421" s="188">
        <v>268000000</v>
      </c>
      <c r="L3421" s="188">
        <v>-1320000000</v>
      </c>
      <c r="M3421" s="194">
        <f>L3421/P3421</f>
        <v>-5.7689396495752012</v>
      </c>
      <c r="N3421" s="195" t="s">
        <v>131</v>
      </c>
      <c r="O3421" s="195" t="s">
        <v>131</v>
      </c>
      <c r="P3421" s="188">
        <v>228811546</v>
      </c>
      <c r="Q3421" s="188">
        <f>P3421*E3421</f>
        <v>5834694423</v>
      </c>
      <c r="R3421" s="195" t="s">
        <v>131</v>
      </c>
      <c r="S3421" s="197"/>
      <c r="T3421" s="180"/>
      <c r="U3421" s="189" t="str">
        <f>IFERROR(IF(Tableau3[[#This Row],[Dettes]]=0,"",(Tableau3[[#This Row],[Dettes]]/Tableau3[[#This Row],[EBE]])),"")</f>
        <v/>
      </c>
      <c r="V3421" s="190" t="str">
        <f>IFERROR(Tableau3[[#This Row],[Fonds propres]]/Tableau3[[#This Row],[Total Bilan]],"")</f>
        <v/>
      </c>
      <c r="W3421" s="180"/>
      <c r="X3421" s="191"/>
      <c r="Y3421" s="180"/>
      <c r="Z3421" s="192" t="str">
        <f>IFERROR(Tableau3[[#This Row],[Chiffre d''affaires]]/Tableau3[[#This Row],[Salariés]],"")</f>
        <v/>
      </c>
      <c r="AA3421" s="197"/>
      <c r="AB3421" s="197"/>
      <c r="AC3421" s="177" t="s">
        <v>2414</v>
      </c>
    </row>
    <row r="3422" spans="1:29" ht="20.25" customHeight="1">
      <c r="A3422" s="217"/>
      <c r="E3422" s="187"/>
      <c r="G3422" s="202">
        <f>(G3421/G3423)-1</f>
        <v>3.8834951456310218E-3</v>
      </c>
      <c r="H3422" s="202"/>
      <c r="I3422" s="202">
        <f>(I3421/I3423)-1</f>
        <v>-0.22157434402332365</v>
      </c>
      <c r="J3422" s="202">
        <f>(J3421/J3423)-1</f>
        <v>2.4999999999999911E-2</v>
      </c>
      <c r="K3422" s="188"/>
      <c r="L3422" s="188"/>
      <c r="M3422" s="194"/>
      <c r="N3422" s="178"/>
      <c r="O3422" s="178"/>
      <c r="P3422" s="178"/>
      <c r="Q3422" s="178"/>
      <c r="R3422" s="178"/>
      <c r="S3422" s="178"/>
      <c r="T3422" s="180"/>
      <c r="U3422" s="189" t="str">
        <f>IFERROR(IF(Tableau3[[#This Row],[Dettes]]=0,"",(Tableau3[[#This Row],[Dettes]]/Tableau3[[#This Row],[EBE]])),"")</f>
        <v/>
      </c>
      <c r="V3422" s="190" t="str">
        <f>IFERROR(Tableau3[[#This Row],[Fonds propres]]/Tableau3[[#This Row],[Total Bilan]],"")</f>
        <v/>
      </c>
      <c r="W3422" s="180"/>
      <c r="Y3422" s="180"/>
      <c r="Z3422" s="192" t="str">
        <f>IFERROR(Tableau3[[#This Row],[Chiffre d''affaires]]/Tableau3[[#This Row],[Salariés]],"")</f>
        <v/>
      </c>
      <c r="AA3422" s="177"/>
      <c r="AC3422" s="177" t="s">
        <v>2415</v>
      </c>
    </row>
    <row r="3423" spans="1:29" ht="20.25" customHeight="1">
      <c r="A3423" s="217"/>
      <c r="E3423" s="187">
        <v>20.72</v>
      </c>
      <c r="F3423" s="178">
        <v>2013</v>
      </c>
      <c r="G3423" s="188">
        <v>1030000000</v>
      </c>
      <c r="H3423" s="188"/>
      <c r="I3423" s="188">
        <v>343000000</v>
      </c>
      <c r="J3423" s="188">
        <v>160000000</v>
      </c>
      <c r="K3423" s="188">
        <v>276000000</v>
      </c>
      <c r="L3423" s="188">
        <v>-1290000000</v>
      </c>
      <c r="M3423" s="194">
        <f>L3423/P3423</f>
        <v>-5.7105571947363218</v>
      </c>
      <c r="N3423" s="195" t="s">
        <v>131</v>
      </c>
      <c r="O3423" s="195" t="s">
        <v>131</v>
      </c>
      <c r="P3423" s="188">
        <v>225897396</v>
      </c>
      <c r="Q3423" s="188">
        <f>P3423*E3423</f>
        <v>4680594045.1199999</v>
      </c>
      <c r="R3423" s="195" t="s">
        <v>131</v>
      </c>
      <c r="S3423" s="197"/>
      <c r="T3423" s="180"/>
      <c r="U3423" s="189" t="str">
        <f>IFERROR(IF(Tableau3[[#This Row],[Dettes]]=0,"",(Tableau3[[#This Row],[Dettes]]/Tableau3[[#This Row],[EBE]])),"")</f>
        <v/>
      </c>
      <c r="V3423" s="190" t="str">
        <f>IFERROR(Tableau3[[#This Row],[Fonds propres]]/Tableau3[[#This Row],[Total Bilan]],"")</f>
        <v/>
      </c>
      <c r="W3423" s="180"/>
      <c r="X3423" s="191"/>
      <c r="Y3423" s="180"/>
      <c r="Z3423" s="192" t="str">
        <f>IFERROR(Tableau3[[#This Row],[Chiffre d''affaires]]/Tableau3[[#This Row],[Salariés]],"")</f>
        <v/>
      </c>
      <c r="AA3423" s="197"/>
      <c r="AB3423" s="197"/>
      <c r="AC3423" s="177" t="s">
        <v>2416</v>
      </c>
    </row>
    <row r="3424" spans="1:29" ht="20.25" customHeight="1">
      <c r="A3424" s="217"/>
      <c r="E3424" s="187"/>
      <c r="G3424" s="202">
        <f>(G3423/G3425)-1</f>
        <v>-3.4676663542642872E-2</v>
      </c>
      <c r="H3424" s="202"/>
      <c r="I3424" s="202">
        <f>(I3423/I3425)-1</f>
        <v>-6.5395095367847378E-2</v>
      </c>
      <c r="J3424" s="202">
        <f>(J3423/J3425)-1</f>
        <v>-0.12568306010928965</v>
      </c>
      <c r="K3424" s="188"/>
      <c r="L3424" s="188"/>
      <c r="M3424" s="194"/>
      <c r="N3424" s="178"/>
      <c r="O3424" s="178"/>
      <c r="P3424" s="178"/>
      <c r="Q3424" s="178"/>
      <c r="R3424" s="178"/>
      <c r="S3424" s="178"/>
      <c r="T3424" s="180"/>
      <c r="U3424" s="189" t="str">
        <f>IFERROR(IF(Tableau3[[#This Row],[Dettes]]=0,"",(Tableau3[[#This Row],[Dettes]]/Tableau3[[#This Row],[EBE]])),"")</f>
        <v/>
      </c>
      <c r="V3424" s="190" t="str">
        <f>IFERROR(Tableau3[[#This Row],[Fonds propres]]/Tableau3[[#This Row],[Total Bilan]],"")</f>
        <v/>
      </c>
      <c r="W3424" s="180"/>
      <c r="Y3424" s="180"/>
      <c r="Z3424" s="192" t="str">
        <f>IFERROR(Tableau3[[#This Row],[Chiffre d''affaires]]/Tableau3[[#This Row],[Salariés]],"")</f>
        <v/>
      </c>
      <c r="AA3424" s="177"/>
      <c r="AC3424" s="177" t="s">
        <v>4811</v>
      </c>
    </row>
    <row r="3425" spans="1:29" ht="20.25" customHeight="1">
      <c r="A3425" s="217"/>
      <c r="E3425" s="187">
        <v>23.6</v>
      </c>
      <c r="F3425" s="178">
        <v>2012</v>
      </c>
      <c r="G3425" s="188">
        <v>1067000000</v>
      </c>
      <c r="H3425" s="188"/>
      <c r="I3425" s="188">
        <v>367000000</v>
      </c>
      <c r="J3425" s="188">
        <v>183000000</v>
      </c>
      <c r="K3425" s="188">
        <v>-85000000</v>
      </c>
      <c r="L3425" s="188">
        <v>-1033000000</v>
      </c>
      <c r="M3425" s="194">
        <f>L3425/P3425</f>
        <v>-4.5728725443121085</v>
      </c>
      <c r="N3425" s="195" t="s">
        <v>131</v>
      </c>
      <c r="O3425" s="195" t="s">
        <v>131</v>
      </c>
      <c r="P3425" s="188">
        <v>225897396</v>
      </c>
      <c r="Q3425" s="188">
        <f>P3425*E3425</f>
        <v>5331178545.6000004</v>
      </c>
      <c r="R3425" s="195" t="s">
        <v>131</v>
      </c>
      <c r="S3425" s="197"/>
      <c r="T3425" s="180"/>
      <c r="U3425" s="189" t="str">
        <f>IFERROR(IF(Tableau3[[#This Row],[Dettes]]=0,"",(Tableau3[[#This Row],[Dettes]]/Tableau3[[#This Row],[EBE]])),"")</f>
        <v/>
      </c>
      <c r="V3425" s="190" t="str">
        <f>IFERROR(Tableau3[[#This Row],[Fonds propres]]/Tableau3[[#This Row],[Total Bilan]],"")</f>
        <v/>
      </c>
      <c r="W3425" s="180"/>
      <c r="Y3425" s="180"/>
      <c r="Z3425" s="192" t="str">
        <f>IFERROR(Tableau3[[#This Row],[Chiffre d''affaires]]/Tableau3[[#This Row],[Salariés]],"")</f>
        <v/>
      </c>
      <c r="AA3425" s="177"/>
      <c r="AC3425" s="177" t="s">
        <v>2245</v>
      </c>
    </row>
    <row r="3426" spans="1:29" ht="20.25" customHeight="1">
      <c r="A3426" s="217"/>
      <c r="E3426" s="187"/>
      <c r="G3426" s="202">
        <f>(G3425/G3427)-1</f>
        <v>3.3914728682170603E-2</v>
      </c>
      <c r="H3426" s="202"/>
      <c r="I3426" s="202">
        <f>(I3425/I3427)-1</f>
        <v>3.3802816901408406E-2</v>
      </c>
      <c r="J3426" s="202">
        <f>(J3425/J3427)-1</f>
        <v>-5.6701030927835072E-2</v>
      </c>
      <c r="K3426" s="188"/>
      <c r="L3426" s="188"/>
      <c r="M3426" s="194"/>
      <c r="N3426" s="178"/>
      <c r="O3426" s="178"/>
      <c r="P3426" s="178"/>
      <c r="Q3426" s="178"/>
      <c r="R3426" s="178"/>
      <c r="S3426" s="178"/>
      <c r="T3426" s="180"/>
      <c r="U3426" s="189" t="str">
        <f>IFERROR(IF(Tableau3[[#This Row],[Dettes]]=0,"",(Tableau3[[#This Row],[Dettes]]/Tableau3[[#This Row],[EBE]])),"")</f>
        <v/>
      </c>
      <c r="V3426" s="190" t="str">
        <f>IFERROR(Tableau3[[#This Row],[Fonds propres]]/Tableau3[[#This Row],[Total Bilan]],"")</f>
        <v/>
      </c>
      <c r="W3426" s="180"/>
      <c r="Y3426" s="180"/>
      <c r="Z3426" s="192" t="str">
        <f>IFERROR(Tableau3[[#This Row],[Chiffre d''affaires]]/Tableau3[[#This Row],[Salariés]],"")</f>
        <v/>
      </c>
      <c r="AA3426" s="177"/>
      <c r="AC3426" s="177" t="s">
        <v>4813</v>
      </c>
    </row>
    <row r="3427" spans="1:29" ht="20.25" customHeight="1">
      <c r="A3427" s="217"/>
      <c r="E3427" s="187">
        <v>18.559999999999999</v>
      </c>
      <c r="F3427" s="178">
        <v>2011</v>
      </c>
      <c r="G3427" s="188">
        <v>1032000000</v>
      </c>
      <c r="H3427" s="188"/>
      <c r="I3427" s="188">
        <v>355000000</v>
      </c>
      <c r="J3427" s="188">
        <v>194000000</v>
      </c>
      <c r="K3427" s="188">
        <v>-74000000</v>
      </c>
      <c r="L3427" s="188">
        <v>-1031000000</v>
      </c>
      <c r="M3427" s="194">
        <f>L3427/P3427</f>
        <v>-4.5640189672660059</v>
      </c>
      <c r="N3427" s="195" t="s">
        <v>131</v>
      </c>
      <c r="O3427" s="195" t="s">
        <v>131</v>
      </c>
      <c r="P3427" s="188">
        <v>225897396</v>
      </c>
      <c r="Q3427" s="188">
        <f>P3427*E3427</f>
        <v>4192655669.7599998</v>
      </c>
      <c r="R3427" s="195" t="s">
        <v>131</v>
      </c>
      <c r="S3427" s="197"/>
      <c r="T3427" s="180"/>
      <c r="U3427" s="189" t="str">
        <f>IFERROR(IF(Tableau3[[#This Row],[Dettes]]=0,"",(Tableau3[[#This Row],[Dettes]]/Tableau3[[#This Row],[EBE]])),"")</f>
        <v/>
      </c>
      <c r="V3427" s="190" t="str">
        <f>IFERROR(Tableau3[[#This Row],[Fonds propres]]/Tableau3[[#This Row],[Total Bilan]],"")</f>
        <v/>
      </c>
      <c r="W3427" s="180"/>
      <c r="X3427" s="191"/>
      <c r="Y3427" s="180"/>
      <c r="Z3427" s="192" t="str">
        <f>IFERROR(Tableau3[[#This Row],[Chiffre d''affaires]]/Tableau3[[#This Row],[Salariés]],"")</f>
        <v/>
      </c>
      <c r="AA3427" s="197"/>
      <c r="AB3427" s="197"/>
    </row>
    <row r="3428" spans="1:29" ht="20.25" customHeight="1">
      <c r="A3428" s="217"/>
      <c r="E3428" s="187"/>
      <c r="G3428" s="202">
        <f>(G3427/G3429)-1</f>
        <v>6.9430051813471394E-2</v>
      </c>
      <c r="H3428" s="202"/>
      <c r="I3428" s="202">
        <f>(I3427/I3429)-1</f>
        <v>8.2317073170731669E-2</v>
      </c>
      <c r="J3428" s="202">
        <f>(J3427/J3429)-1</f>
        <v>1.8529411764705883</v>
      </c>
      <c r="K3428" s="188"/>
      <c r="L3428" s="188"/>
      <c r="M3428" s="194"/>
      <c r="N3428" s="178"/>
      <c r="O3428" s="178"/>
      <c r="P3428" s="178"/>
      <c r="Q3428" s="178"/>
      <c r="R3428" s="178"/>
      <c r="S3428" s="178"/>
      <c r="T3428" s="180"/>
      <c r="U3428" s="189" t="str">
        <f>IFERROR(IF(Tableau3[[#This Row],[Dettes]]=0,"",(Tableau3[[#This Row],[Dettes]]/Tableau3[[#This Row],[EBE]])),"")</f>
        <v/>
      </c>
      <c r="V3428" s="190" t="str">
        <f>IFERROR(Tableau3[[#This Row],[Fonds propres]]/Tableau3[[#This Row],[Total Bilan]],"")</f>
        <v/>
      </c>
      <c r="W3428" s="180"/>
      <c r="Y3428" s="180"/>
      <c r="Z3428" s="192" t="str">
        <f>IFERROR(Tableau3[[#This Row],[Chiffre d''affaires]]/Tableau3[[#This Row],[Salariés]],"")</f>
        <v/>
      </c>
      <c r="AA3428" s="177"/>
    </row>
    <row r="3429" spans="1:29" ht="20.25" customHeight="1">
      <c r="A3429" s="217"/>
      <c r="E3429" s="187">
        <v>17.46</v>
      </c>
      <c r="F3429" s="178">
        <v>2010</v>
      </c>
      <c r="G3429" s="188">
        <v>965000000</v>
      </c>
      <c r="H3429" s="188"/>
      <c r="I3429" s="188">
        <v>328000000</v>
      </c>
      <c r="J3429" s="188">
        <v>68000000</v>
      </c>
      <c r="K3429" s="188">
        <v>25000000</v>
      </c>
      <c r="L3429" s="188">
        <v>-1061000000</v>
      </c>
      <c r="M3429" s="194">
        <f>L3429/P3429</f>
        <v>-4.6968226229575487</v>
      </c>
      <c r="N3429" s="195" t="s">
        <v>131</v>
      </c>
      <c r="O3429" s="195" t="s">
        <v>131</v>
      </c>
      <c r="P3429" s="188">
        <v>225897396</v>
      </c>
      <c r="Q3429" s="188">
        <f>P3429*E3429</f>
        <v>3944168534.1600003</v>
      </c>
      <c r="R3429" s="195" t="s">
        <v>131</v>
      </c>
      <c r="S3429" s="197"/>
      <c r="T3429" s="180"/>
      <c r="U3429" s="189" t="str">
        <f>IFERROR(IF(Tableau3[[#This Row],[Dettes]]=0,"",(Tableau3[[#This Row],[Dettes]]/Tableau3[[#This Row],[EBE]])),"")</f>
        <v/>
      </c>
      <c r="V3429" s="190" t="str">
        <f>IFERROR(Tableau3[[#This Row],[Fonds propres]]/Tableau3[[#This Row],[Total Bilan]],"")</f>
        <v/>
      </c>
      <c r="W3429" s="180"/>
      <c r="X3429" s="191"/>
      <c r="Y3429" s="180"/>
      <c r="Z3429" s="192" t="str">
        <f>IFERROR(Tableau3[[#This Row],[Chiffre d''affaires]]/Tableau3[[#This Row],[Salariés]],"")</f>
        <v/>
      </c>
      <c r="AA3429" s="197"/>
      <c r="AB3429" s="197"/>
    </row>
    <row r="3430" spans="1:29" ht="20.25" customHeight="1">
      <c r="A3430" s="217"/>
      <c r="G3430" s="188"/>
      <c r="H3430" s="178"/>
      <c r="I3430" s="178"/>
      <c r="J3430" s="178"/>
      <c r="K3430" s="178"/>
      <c r="L3430" s="178"/>
      <c r="M3430" s="194"/>
      <c r="N3430" s="178"/>
      <c r="O3430" s="178"/>
      <c r="P3430" s="178"/>
      <c r="Q3430" s="178"/>
      <c r="R3430" s="178"/>
      <c r="S3430" s="178"/>
      <c r="T3430" s="180"/>
      <c r="U3430" s="189" t="str">
        <f>IFERROR(IF(Tableau3[[#This Row],[Dettes]]=0,"",(Tableau3[[#This Row],[Dettes]]/Tableau3[[#This Row],[EBE]])),"")</f>
        <v/>
      </c>
      <c r="V3430" s="190" t="str">
        <f>IFERROR(Tableau3[[#This Row],[Fonds propres]]/Tableau3[[#This Row],[Total Bilan]],"")</f>
        <v/>
      </c>
      <c r="W3430" s="180"/>
      <c r="Y3430" s="180"/>
      <c r="Z3430" s="192" t="str">
        <f>IFERROR(Tableau3[[#This Row],[Chiffre d''affaires]]/Tableau3[[#This Row],[Salariés]],"")</f>
        <v/>
      </c>
      <c r="AA3430" s="177"/>
    </row>
    <row r="3431" spans="1:29" ht="20.25" customHeight="1">
      <c r="A3431" s="217"/>
      <c r="F3431" s="220" t="s">
        <v>2417</v>
      </c>
      <c r="G3431" s="188"/>
      <c r="H3431" s="178"/>
      <c r="I3431" s="178"/>
      <c r="J3431" s="178"/>
      <c r="K3431" s="178"/>
      <c r="L3431" s="178"/>
      <c r="M3431" s="194"/>
      <c r="N3431" s="178"/>
      <c r="O3431" s="178"/>
      <c r="P3431" s="178"/>
      <c r="Q3431" s="178"/>
      <c r="R3431" s="178"/>
      <c r="S3431" s="178"/>
      <c r="T3431" s="180"/>
      <c r="U3431" s="189" t="str">
        <f>IFERROR(IF(Tableau3[[#This Row],[Dettes]]=0,"",(Tableau3[[#This Row],[Dettes]]/Tableau3[[#This Row],[EBE]])),"")</f>
        <v/>
      </c>
      <c r="V3431" s="190" t="str">
        <f>IFERROR(Tableau3[[#This Row],[Fonds propres]]/Tableau3[[#This Row],[Total Bilan]],"")</f>
        <v/>
      </c>
      <c r="W3431" s="180"/>
      <c r="Y3431" s="180"/>
      <c r="Z3431" s="192" t="str">
        <f>IFERROR(Tableau3[[#This Row],[Chiffre d''affaires]]/Tableau3[[#This Row],[Salariés]],"")</f>
        <v/>
      </c>
      <c r="AA3431" s="177"/>
    </row>
    <row r="3432" spans="1:29" ht="20.25" customHeight="1">
      <c r="A3432" s="217"/>
      <c r="G3432" s="188"/>
      <c r="H3432" s="178"/>
      <c r="I3432" s="178"/>
      <c r="J3432" s="178"/>
      <c r="K3432" s="178"/>
      <c r="L3432" s="178"/>
      <c r="M3432" s="194"/>
      <c r="N3432" s="178"/>
      <c r="O3432" s="178"/>
      <c r="P3432" s="178"/>
      <c r="Q3432" s="178"/>
      <c r="R3432" s="178"/>
      <c r="S3432" s="178"/>
      <c r="T3432" s="180"/>
      <c r="U3432" s="189" t="str">
        <f>IFERROR(IF(Tableau3[[#This Row],[Dettes]]=0,"",(Tableau3[[#This Row],[Dettes]]/Tableau3[[#This Row],[EBE]])),"")</f>
        <v/>
      </c>
      <c r="V3432" s="190" t="str">
        <f>IFERROR(Tableau3[[#This Row],[Fonds propres]]/Tableau3[[#This Row],[Total Bilan]],"")</f>
        <v/>
      </c>
      <c r="W3432" s="180"/>
      <c r="Y3432" s="180"/>
      <c r="Z3432" s="192" t="str">
        <f>IFERROR(Tableau3[[#This Row],[Chiffre d''affaires]]/Tableau3[[#This Row],[Salariés]],"")</f>
        <v/>
      </c>
      <c r="AA3432" s="177"/>
    </row>
    <row r="3433" spans="1:29" ht="20.25" customHeight="1">
      <c r="A3433" s="217"/>
      <c r="G3433" s="188"/>
      <c r="H3433" s="178"/>
      <c r="I3433" s="178"/>
      <c r="J3433" s="178"/>
      <c r="K3433" s="178"/>
      <c r="L3433" s="178"/>
      <c r="M3433" s="194"/>
      <c r="N3433" s="178"/>
      <c r="O3433" s="178"/>
      <c r="P3433" s="178"/>
      <c r="Q3433" s="178"/>
      <c r="R3433" s="178"/>
      <c r="S3433" s="178"/>
      <c r="T3433" s="180"/>
      <c r="U3433" s="189" t="str">
        <f>IFERROR(IF(Tableau3[[#This Row],[Dettes]]=0,"",(Tableau3[[#This Row],[Dettes]]/Tableau3[[#This Row],[EBE]])),"")</f>
        <v/>
      </c>
      <c r="V3433" s="190" t="str">
        <f>IFERROR(Tableau3[[#This Row],[Fonds propres]]/Tableau3[[#This Row],[Total Bilan]],"")</f>
        <v/>
      </c>
      <c r="W3433" s="180"/>
      <c r="Y3433" s="180"/>
      <c r="Z3433" s="192" t="str">
        <f>IFERROR(Tableau3[[#This Row],[Chiffre d''affaires]]/Tableau3[[#This Row],[Salariés]],"")</f>
        <v/>
      </c>
      <c r="AA3433" s="177"/>
    </row>
    <row r="3434" spans="1:29" ht="20.25" customHeight="1">
      <c r="A3434" s="217"/>
      <c r="G3434" s="188"/>
      <c r="H3434" s="178"/>
      <c r="I3434" s="178"/>
      <c r="J3434" s="178"/>
      <c r="K3434" s="178"/>
      <c r="L3434" s="178"/>
      <c r="M3434" s="194"/>
      <c r="N3434" s="178"/>
      <c r="O3434" s="178"/>
      <c r="P3434" s="178"/>
      <c r="Q3434" s="178"/>
      <c r="R3434" s="178"/>
      <c r="S3434" s="178"/>
      <c r="T3434" s="180"/>
      <c r="U3434" s="189" t="str">
        <f>IFERROR(IF(Tableau3[[#This Row],[Dettes]]=0,"",(Tableau3[[#This Row],[Dettes]]/Tableau3[[#This Row],[EBE]])),"")</f>
        <v/>
      </c>
      <c r="V3434" s="190" t="str">
        <f>IFERROR(Tableau3[[#This Row],[Fonds propres]]/Tableau3[[#This Row],[Total Bilan]],"")</f>
        <v/>
      </c>
      <c r="W3434" s="180"/>
      <c r="Y3434" s="180"/>
      <c r="Z3434" s="192" t="str">
        <f>IFERROR(Tableau3[[#This Row],[Chiffre d''affaires]]/Tableau3[[#This Row],[Salariés]],"")</f>
        <v/>
      </c>
      <c r="AA3434" s="177"/>
    </row>
    <row r="3435" spans="1:29" ht="20.25" customHeight="1">
      <c r="A3435" s="217" t="s">
        <v>2418</v>
      </c>
      <c r="B3435" s="216" t="s">
        <v>2419</v>
      </c>
      <c r="C3435" s="178" t="s">
        <v>84</v>
      </c>
      <c r="D3435" s="178" t="s">
        <v>85</v>
      </c>
      <c r="E3435" s="187">
        <v>89.25</v>
      </c>
      <c r="F3435" s="178">
        <v>2025</v>
      </c>
      <c r="G3435" s="188"/>
      <c r="H3435" s="178"/>
      <c r="I3435" s="178"/>
      <c r="J3435" s="178"/>
      <c r="K3435" s="178"/>
      <c r="L3435" s="178"/>
      <c r="M3435" s="194"/>
      <c r="N3435" s="178"/>
      <c r="O3435" s="178"/>
      <c r="P3435" s="178"/>
      <c r="Q3435" s="178"/>
      <c r="R3435" s="178"/>
      <c r="S3435" s="178"/>
      <c r="T3435" s="180"/>
      <c r="U3435" s="189" t="str">
        <f>IFERROR(IF(Tableau3[[#This Row],[Dettes]]=0,"",(Tableau3[[#This Row],[Dettes]]/Tableau3[[#This Row],[EBE]])),"")</f>
        <v/>
      </c>
      <c r="V3435" s="190" t="str">
        <f>IFERROR(Tableau3[[#This Row],[Fonds propres]]/Tableau3[[#This Row],[Total Bilan]],"")</f>
        <v/>
      </c>
      <c r="W3435" s="180"/>
      <c r="X3435" s="182" t="s">
        <v>2422</v>
      </c>
      <c r="Y3435" s="180">
        <v>31000</v>
      </c>
      <c r="Z3435" s="192">
        <f>IFERROR(Tableau3[[#This Row],[Chiffre d''affaires]]/Tableau3[[#This Row],[Salariés]],"")</f>
        <v>0</v>
      </c>
      <c r="AA3435" s="177"/>
      <c r="AC3435" s="177" t="s">
        <v>4666</v>
      </c>
    </row>
    <row r="3436" spans="1:29" ht="20.25" customHeight="1">
      <c r="A3436" s="217"/>
      <c r="G3436" s="202"/>
      <c r="H3436" s="202"/>
      <c r="I3436" s="202"/>
      <c r="J3436" s="202"/>
      <c r="K3436" s="178"/>
      <c r="L3436" s="178"/>
      <c r="M3436" s="194"/>
      <c r="N3436" s="178"/>
      <c r="O3436" s="178"/>
      <c r="P3436" s="178"/>
      <c r="Q3436" s="178"/>
      <c r="R3436" s="178"/>
      <c r="S3436" s="178"/>
      <c r="T3436" s="180"/>
      <c r="U3436" s="189" t="str">
        <f>IFERROR(IF(Tableau3[[#This Row],[Dettes]]=0,"",(Tableau3[[#This Row],[Dettes]]/Tableau3[[#This Row],[EBE]])),"")</f>
        <v/>
      </c>
      <c r="V3436" s="190" t="str">
        <f>IFERROR(Tableau3[[#This Row],[Fonds propres]]/Tableau3[[#This Row],[Total Bilan]],"")</f>
        <v/>
      </c>
      <c r="W3436" s="180"/>
      <c r="Y3436" s="180"/>
      <c r="Z3436" s="192" t="str">
        <f>IFERROR(Tableau3[[#This Row],[Chiffre d''affaires]]/Tableau3[[#This Row],[Salariés]],"")</f>
        <v/>
      </c>
      <c r="AA3436" s="177"/>
      <c r="AC3436" s="177" t="s">
        <v>4667</v>
      </c>
    </row>
    <row r="3437" spans="1:29" ht="20.25" customHeight="1">
      <c r="A3437" s="217"/>
      <c r="E3437" s="178">
        <v>87.5</v>
      </c>
      <c r="F3437" s="178">
        <v>2024</v>
      </c>
      <c r="G3437" s="188">
        <v>8266000000</v>
      </c>
      <c r="H3437" s="188">
        <v>1042000000</v>
      </c>
      <c r="I3437" s="188">
        <v>540000000</v>
      </c>
      <c r="J3437" s="188">
        <v>232000000</v>
      </c>
      <c r="K3437" s="188">
        <v>1926000000</v>
      </c>
      <c r="L3437" s="188">
        <v>3276100000</v>
      </c>
      <c r="M3437" s="194">
        <f>Tableau3[[#This Row],[Fonds propres]]/Tableau3[[#This Row],[Titres]]</f>
        <v>59.201879656516695</v>
      </c>
      <c r="N3437" s="190">
        <f>J3437/L3437</f>
        <v>7.0815909160282048E-2</v>
      </c>
      <c r="O3437" s="190">
        <f>(I3437*0.7)/(K3437+L3437)</f>
        <v>7.2662963034159284E-2</v>
      </c>
      <c r="P3437" s="188">
        <v>55337770</v>
      </c>
      <c r="Q3437" s="188">
        <f>P3437*E3437</f>
        <v>4842054875</v>
      </c>
      <c r="R3437" s="195">
        <f>Q3437/L3437</f>
        <v>1.4779936128323312</v>
      </c>
      <c r="S3437" s="197">
        <f>(Q3437+K3437)/H3437</f>
        <v>6.4952541986564301</v>
      </c>
      <c r="T3437" s="180">
        <v>260000000</v>
      </c>
      <c r="U3437" s="189">
        <f>IFERROR(IF(Tableau3[[#This Row],[Dettes]]=0,"",(Tableau3[[#This Row],[Dettes]]/Tableau3[[#This Row],[EBE]])),"")</f>
        <v>1.8483685220729367</v>
      </c>
      <c r="V3437" s="190">
        <f>IFERROR(Tableau3[[#This Row],[Fonds propres]]/Tableau3[[#This Row],[Total Bilan]],"")</f>
        <v>0.35138468798936012</v>
      </c>
      <c r="W3437" s="180">
        <v>9323400000</v>
      </c>
      <c r="Y3437" s="180">
        <v>31000</v>
      </c>
      <c r="Z3437" s="192">
        <f>IFERROR(Tableau3[[#This Row],[Chiffre d''affaires]]/Tableau3[[#This Row],[Salariés]],"")</f>
        <v>266645.16129032261</v>
      </c>
      <c r="AA3437" s="177"/>
      <c r="AC3437" s="177" t="s">
        <v>5004</v>
      </c>
    </row>
    <row r="3438" spans="1:29" ht="20.25" customHeight="1">
      <c r="A3438" s="217"/>
      <c r="G3438" s="202">
        <f>(G3437/G3439)-1</f>
        <v>3.2475643267549259E-2</v>
      </c>
      <c r="H3438" s="202">
        <f>(H3437/H3439)-1</f>
        <v>5.7868020304568502E-2</v>
      </c>
      <c r="I3438" s="202">
        <f>(I3437/I3439)-1</f>
        <v>-0.1910112359550562</v>
      </c>
      <c r="J3438" s="202">
        <f>(J3437/J3439)-1</f>
        <v>-0.39927498705334019</v>
      </c>
      <c r="K3438" s="178"/>
      <c r="L3438" s="178"/>
      <c r="M3438" s="194"/>
      <c r="N3438" s="178"/>
      <c r="O3438" s="178"/>
      <c r="P3438" s="178"/>
      <c r="Q3438" s="178"/>
      <c r="R3438" s="178"/>
      <c r="S3438" s="178"/>
      <c r="T3438" s="180"/>
      <c r="U3438" s="189" t="str">
        <f>IFERROR(IF(Tableau3[[#This Row],[Dettes]]=0,"",(Tableau3[[#This Row],[Dettes]]/Tableau3[[#This Row],[EBE]])),"")</f>
        <v/>
      </c>
      <c r="V3438" s="190" t="str">
        <f>IFERROR(Tableau3[[#This Row],[Fonds propres]]/Tableau3[[#This Row],[Total Bilan]],"")</f>
        <v/>
      </c>
      <c r="W3438" s="180"/>
      <c r="Y3438" s="180"/>
      <c r="Z3438" s="192" t="str">
        <f>IFERROR(Tableau3[[#This Row],[Chiffre d''affaires]]/Tableau3[[#This Row],[Salariés]],"")</f>
        <v/>
      </c>
      <c r="AA3438" s="177"/>
      <c r="AC3438" s="177" t="s">
        <v>2421</v>
      </c>
    </row>
    <row r="3439" spans="1:29" ht="20.25" customHeight="1">
      <c r="A3439" s="217"/>
      <c r="E3439" s="187">
        <v>113</v>
      </c>
      <c r="F3439" s="178">
        <v>2023</v>
      </c>
      <c r="G3439" s="188">
        <v>8006000000</v>
      </c>
      <c r="H3439" s="188">
        <v>985000000</v>
      </c>
      <c r="I3439" s="188">
        <v>667500000</v>
      </c>
      <c r="J3439" s="188">
        <v>386200000</v>
      </c>
      <c r="K3439" s="188">
        <v>1769000000</v>
      </c>
      <c r="L3439" s="188">
        <v>3198400000</v>
      </c>
      <c r="M3439" s="194">
        <f>Tableau3[[#This Row],[Fonds propres]]/Tableau3[[#This Row],[Titres]]</f>
        <v>57.797775371143437</v>
      </c>
      <c r="N3439" s="190">
        <f>J3439/L3439</f>
        <v>0.12074787393696848</v>
      </c>
      <c r="O3439" s="190">
        <f>(I3439*0.7)/(K3439+L3439)</f>
        <v>9.4063292668196644E-2</v>
      </c>
      <c r="P3439" s="188">
        <v>55337770</v>
      </c>
      <c r="Q3439" s="188">
        <f>P3439*E3439</f>
        <v>6253168010</v>
      </c>
      <c r="R3439" s="195">
        <f>Q3439/L3439</f>
        <v>1.9550925493996998</v>
      </c>
      <c r="S3439" s="197">
        <f>(Q3439+K3439)/H3439</f>
        <v>8.1443330050761418</v>
      </c>
      <c r="T3439" s="180"/>
      <c r="U3439" s="189">
        <f>IFERROR(IF(Tableau3[[#This Row],[Dettes]]=0,"",(Tableau3[[#This Row],[Dettes]]/Tableau3[[#This Row],[EBE]])),"")</f>
        <v>1.7959390862944162</v>
      </c>
      <c r="V3439" s="190">
        <f>IFERROR(Tableau3[[#This Row],[Fonds propres]]/Tableau3[[#This Row],[Total Bilan]],"")</f>
        <v>0.34567954606863011</v>
      </c>
      <c r="W3439" s="180">
        <v>9252500000</v>
      </c>
      <c r="Y3439" s="180"/>
      <c r="Z3439" s="192" t="str">
        <f>IFERROR(Tableau3[[#This Row],[Chiffre d''affaires]]/Tableau3[[#This Row],[Salariés]],"")</f>
        <v/>
      </c>
      <c r="AA3439" s="177"/>
      <c r="AC3439" s="177" t="s">
        <v>5002</v>
      </c>
    </row>
    <row r="3440" spans="1:29" ht="20.25" customHeight="1">
      <c r="A3440" s="217"/>
      <c r="G3440" s="202">
        <f>(G3439/G3441)-1</f>
        <v>5.8168021407842829E-3</v>
      </c>
      <c r="H3440" s="202">
        <f>(H3439/H3441)-1</f>
        <v>9.4444444444444553E-2</v>
      </c>
      <c r="I3440" s="202">
        <f>(I3439/I3441)-1</f>
        <v>0.22029250457038385</v>
      </c>
      <c r="J3440" s="202">
        <f>(J3439/J3441)-1</f>
        <v>0.22137887413029733</v>
      </c>
      <c r="K3440" s="178"/>
      <c r="L3440" s="178"/>
      <c r="M3440" s="194"/>
      <c r="N3440" s="178"/>
      <c r="O3440" s="178"/>
      <c r="P3440" s="178"/>
      <c r="Q3440" s="178"/>
      <c r="R3440" s="178"/>
      <c r="S3440" s="178"/>
      <c r="T3440" s="180"/>
      <c r="U3440" s="189" t="str">
        <f>IFERROR(IF(Tableau3[[#This Row],[Dettes]]=0,"",(Tableau3[[#This Row],[Dettes]]/Tableau3[[#This Row],[EBE]])),"")</f>
        <v/>
      </c>
      <c r="V3440" s="190" t="str">
        <f>IFERROR(Tableau3[[#This Row],[Fonds propres]]/Tableau3[[#This Row],[Total Bilan]],"")</f>
        <v/>
      </c>
      <c r="W3440" s="180"/>
      <c r="Y3440" s="180"/>
      <c r="Z3440" s="192" t="str">
        <f>IFERROR(Tableau3[[#This Row],[Chiffre d''affaires]]/Tableau3[[#This Row],[Salariés]],"")</f>
        <v/>
      </c>
      <c r="AA3440" s="177"/>
      <c r="AC3440" s="177" t="s">
        <v>4997</v>
      </c>
    </row>
    <row r="3441" spans="1:29" ht="20.25" customHeight="1">
      <c r="A3441" s="217"/>
      <c r="E3441" s="187">
        <v>78.25</v>
      </c>
      <c r="F3441" s="178">
        <v>2022</v>
      </c>
      <c r="G3441" s="188">
        <v>7959700000</v>
      </c>
      <c r="H3441" s="188">
        <v>900000000</v>
      </c>
      <c r="I3441" s="211">
        <v>547000000</v>
      </c>
      <c r="J3441" s="211">
        <v>316200000</v>
      </c>
      <c r="K3441" s="188">
        <v>1973000000</v>
      </c>
      <c r="L3441" s="188">
        <v>3168800000</v>
      </c>
      <c r="M3441" s="194">
        <f>Tableau3[[#This Row],[Fonds propres]]/Tableau3[[#This Row],[Titres]]</f>
        <v>57.262878500525048</v>
      </c>
      <c r="N3441" s="190">
        <f>J3441/L3441</f>
        <v>9.9785407725321892E-2</v>
      </c>
      <c r="O3441" s="190">
        <f>(I3441*0.7)/(K3441+L3441)</f>
        <v>7.4468085106382975E-2</v>
      </c>
      <c r="P3441" s="188">
        <v>55337770</v>
      </c>
      <c r="Q3441" s="188">
        <f>P3441*E3441</f>
        <v>4330180502.5</v>
      </c>
      <c r="R3441" s="195">
        <f>Q3441/L3441</f>
        <v>1.3665048291151225</v>
      </c>
      <c r="S3441" s="197">
        <f>(Q3441+K3441)/H3441</f>
        <v>7.0035338916666667</v>
      </c>
      <c r="T3441" s="180">
        <v>663000000</v>
      </c>
      <c r="U3441" s="189">
        <f>IFERROR(IF(Tableau3[[#This Row],[Dettes]]=0,"",(Tableau3[[#This Row],[Dettes]]/Tableau3[[#This Row],[EBE]])),"")</f>
        <v>2.1922222222222221</v>
      </c>
      <c r="V3441" s="190">
        <f>IFERROR(Tableau3[[#This Row],[Fonds propres]]/Tableau3[[#This Row],[Total Bilan]],"")</f>
        <v>0.347159227853371</v>
      </c>
      <c r="W3441" s="180">
        <v>9127800000</v>
      </c>
      <c r="Y3441" s="180"/>
      <c r="Z3441" s="192" t="str">
        <f>IFERROR(Tableau3[[#This Row],[Chiffre d''affaires]]/Tableau3[[#This Row],[Salariés]],"")</f>
        <v/>
      </c>
      <c r="AA3441" s="177"/>
      <c r="AC3441" s="177" t="s">
        <v>5001</v>
      </c>
    </row>
    <row r="3442" spans="1:29" ht="20.25" customHeight="1">
      <c r="A3442" s="217"/>
      <c r="G3442" s="202">
        <f>(G3441/G3443)-1</f>
        <v>-1.2297116195959745E-2</v>
      </c>
      <c r="H3442" s="202">
        <f>(H3441/H3443)-1</f>
        <v>-0.18181818181818177</v>
      </c>
      <c r="I3442" s="202">
        <f>(I3441/I3443)-1</f>
        <v>-0.32123889412815809</v>
      </c>
      <c r="J3442" s="202">
        <f>(J3441/J3443)-1</f>
        <v>-0.3032172763331864</v>
      </c>
      <c r="K3442" s="188"/>
      <c r="L3442" s="188"/>
      <c r="M3442" s="194"/>
      <c r="N3442" s="178"/>
      <c r="O3442" s="178"/>
      <c r="P3442" s="178"/>
      <c r="Q3442" s="178"/>
      <c r="R3442" s="178"/>
      <c r="S3442" s="178"/>
      <c r="T3442" s="180"/>
      <c r="U3442" s="189" t="str">
        <f>IFERROR(IF(Tableau3[[#This Row],[Dettes]]=0,"",(Tableau3[[#This Row],[Dettes]]/Tableau3[[#This Row],[EBE]])),"")</f>
        <v/>
      </c>
      <c r="V3442" s="190" t="str">
        <f>IFERROR(Tableau3[[#This Row],[Fonds propres]]/Tableau3[[#This Row],[Total Bilan]],"")</f>
        <v/>
      </c>
      <c r="W3442" s="180"/>
      <c r="Y3442" s="180"/>
      <c r="Z3442" s="192" t="str">
        <f>IFERROR(Tableau3[[#This Row],[Chiffre d''affaires]]/Tableau3[[#This Row],[Salariés]],"")</f>
        <v/>
      </c>
      <c r="AA3442" s="177"/>
      <c r="AC3442" s="177" t="s">
        <v>5003</v>
      </c>
    </row>
    <row r="3443" spans="1:29" ht="20.25" customHeight="1">
      <c r="A3443" s="217"/>
      <c r="E3443" s="187">
        <v>136.9</v>
      </c>
      <c r="F3443" s="178">
        <v>2021</v>
      </c>
      <c r="G3443" s="188">
        <v>8058800000</v>
      </c>
      <c r="H3443" s="188">
        <v>1100000000</v>
      </c>
      <c r="I3443" s="188">
        <f>G3443*0.1</f>
        <v>805880000</v>
      </c>
      <c r="J3443" s="188">
        <v>453800000</v>
      </c>
      <c r="K3443" s="188">
        <v>1524000000</v>
      </c>
      <c r="L3443" s="188">
        <v>2990100000</v>
      </c>
      <c r="M3443" s="194">
        <f>L3443/50169049</f>
        <v>59.600491928798569</v>
      </c>
      <c r="N3443" s="190">
        <f>J3443/L3443</f>
        <v>0.1517674994147353</v>
      </c>
      <c r="O3443" s="190">
        <f>(I3443*0.7)/(K3443+L3443)</f>
        <v>0.124967546133227</v>
      </c>
      <c r="P3443" s="188">
        <v>55337770</v>
      </c>
      <c r="Q3443" s="188">
        <f>P3443*E3443</f>
        <v>7575740713</v>
      </c>
      <c r="R3443" s="195">
        <f>Q3443/L3443</f>
        <v>2.5336078101066852</v>
      </c>
      <c r="S3443" s="197">
        <f>(Q3443+K3443)/H3443</f>
        <v>8.272491557272728</v>
      </c>
      <c r="T3443" s="180"/>
      <c r="U3443" s="189">
        <f>IFERROR(IF(Tableau3[[#This Row],[Dettes]]=0,"",(Tableau3[[#This Row],[Dettes]]/Tableau3[[#This Row],[EBE]])),"")</f>
        <v>1.3854545454545455</v>
      </c>
      <c r="V3443" s="190" t="str">
        <f>IFERROR(Tableau3[[#This Row],[Fonds propres]]/Tableau3[[#This Row],[Total Bilan]],"")</f>
        <v/>
      </c>
      <c r="W3443" s="180"/>
      <c r="Y3443" s="180"/>
      <c r="Z3443" s="192" t="str">
        <f>IFERROR(Tableau3[[#This Row],[Chiffre d''affaires]]/Tableau3[[#This Row],[Salariés]],"")</f>
        <v/>
      </c>
      <c r="AA3443" s="178"/>
      <c r="AC3443" s="177" t="s">
        <v>2423</v>
      </c>
    </row>
    <row r="3444" spans="1:29" ht="20.25" customHeight="1">
      <c r="A3444" s="217"/>
      <c r="G3444" s="202">
        <f>(G3443/G3445)-1</f>
        <v>0.1612103746397695</v>
      </c>
      <c r="H3444" s="202">
        <f>(H3443/H3445)-1</f>
        <v>0.29259694477085785</v>
      </c>
      <c r="I3444" s="202">
        <f>(I3443/I3445)-1</f>
        <v>0.60214711729622272</v>
      </c>
      <c r="J3444" s="202">
        <f>(J3443/J3445)-1</f>
        <v>0.50764119601328894</v>
      </c>
      <c r="K3444" s="178"/>
      <c r="L3444" s="178"/>
      <c r="M3444" s="194"/>
      <c r="N3444" s="178"/>
      <c r="O3444" s="178"/>
      <c r="P3444" s="178"/>
      <c r="Q3444" s="178"/>
      <c r="R3444" s="178"/>
      <c r="S3444" s="178"/>
      <c r="T3444" s="180"/>
      <c r="U3444" s="189" t="str">
        <f>IFERROR(IF(Tableau3[[#This Row],[Dettes]]=0,"",(Tableau3[[#This Row],[Dettes]]/Tableau3[[#This Row],[EBE]])),"")</f>
        <v/>
      </c>
      <c r="V3444" s="190" t="str">
        <f>IFERROR(Tableau3[[#This Row],[Fonds propres]]/Tableau3[[#This Row],[Total Bilan]],"")</f>
        <v/>
      </c>
      <c r="W3444" s="180"/>
      <c r="Y3444" s="180"/>
      <c r="Z3444" s="192" t="str">
        <f>IFERROR(Tableau3[[#This Row],[Chiffre d''affaires]]/Tableau3[[#This Row],[Salariés]],"")</f>
        <v/>
      </c>
      <c r="AA3444" s="177"/>
      <c r="AC3444" s="177" t="s">
        <v>2424</v>
      </c>
    </row>
    <row r="3445" spans="1:29" ht="20.25" customHeight="1">
      <c r="A3445" s="217"/>
      <c r="E3445" s="187">
        <v>149</v>
      </c>
      <c r="F3445" s="178">
        <v>2020</v>
      </c>
      <c r="G3445" s="188">
        <v>6940000000</v>
      </c>
      <c r="H3445" s="188">
        <v>851000000</v>
      </c>
      <c r="I3445" s="188">
        <v>503000000</v>
      </c>
      <c r="J3445" s="188">
        <v>301000000</v>
      </c>
      <c r="K3445" s="188">
        <v>1518000000</v>
      </c>
      <c r="L3445" s="188">
        <v>2467500000</v>
      </c>
      <c r="M3445" s="194">
        <f>L3445/50169049</f>
        <v>49.183710857265801</v>
      </c>
      <c r="N3445" s="190">
        <f>J3445/L3445</f>
        <v>0.12198581560283688</v>
      </c>
      <c r="O3445" s="190">
        <f>(I3445*0.7)/(K3445+L3445)</f>
        <v>8.8345251536820976E-2</v>
      </c>
      <c r="P3445" s="188">
        <v>50307064</v>
      </c>
      <c r="Q3445" s="188">
        <f>P3445*E3445</f>
        <v>7495752536</v>
      </c>
      <c r="R3445" s="195">
        <f>Q3445/L3445</f>
        <v>3.0377923144883487</v>
      </c>
      <c r="S3445" s="197">
        <f>(Q3445+K3445)/H3445</f>
        <v>10.591953626321974</v>
      </c>
      <c r="T3445" s="180"/>
      <c r="U3445" s="189">
        <f>IFERROR(IF(Tableau3[[#This Row],[Dettes]]=0,"",(Tableau3[[#This Row],[Dettes]]/Tableau3[[#This Row],[EBE]])),"")</f>
        <v>1.7837837837837838</v>
      </c>
      <c r="V3445" s="190" t="str">
        <f>IFERROR(Tableau3[[#This Row],[Fonds propres]]/Tableau3[[#This Row],[Total Bilan]],"")</f>
        <v/>
      </c>
      <c r="W3445" s="180"/>
      <c r="Y3445" s="180">
        <v>32384</v>
      </c>
      <c r="Z3445" s="192">
        <f>IFERROR(Tableau3[[#This Row],[Chiffre d''affaires]]/Tableau3[[#This Row],[Salariés]],"")</f>
        <v>214303.35968379446</v>
      </c>
      <c r="AA3445" s="177"/>
      <c r="AC3445" s="177" t="s">
        <v>2425</v>
      </c>
    </row>
    <row r="3446" spans="1:29" ht="20.25" customHeight="1">
      <c r="A3446" s="217"/>
      <c r="G3446" s="202">
        <f>(G3445/G3447)-1</f>
        <v>-5.6283060688886222E-2</v>
      </c>
      <c r="H3446" s="202">
        <f>(H3445/H3447)-1</f>
        <v>5.9775840597758423E-2</v>
      </c>
      <c r="I3446" s="202">
        <f>(I3445/I3447)-1</f>
        <v>-0.1893634165995165</v>
      </c>
      <c r="J3446" s="202">
        <f>(J3445/J3447)-1</f>
        <v>-0.29722157366332014</v>
      </c>
      <c r="K3446" s="178"/>
      <c r="L3446" s="178"/>
      <c r="M3446" s="194"/>
      <c r="N3446" s="178"/>
      <c r="O3446" s="178"/>
      <c r="P3446" s="178"/>
      <c r="Q3446" s="178"/>
      <c r="R3446" s="178"/>
      <c r="S3446" s="178"/>
      <c r="T3446" s="180"/>
      <c r="U3446" s="189" t="str">
        <f>IFERROR(IF(Tableau3[[#This Row],[Dettes]]=0,"",(Tableau3[[#This Row],[Dettes]]/Tableau3[[#This Row],[EBE]])),"")</f>
        <v/>
      </c>
      <c r="V3446" s="190" t="str">
        <f>IFERROR(Tableau3[[#This Row],[Fonds propres]]/Tableau3[[#This Row],[Total Bilan]],"")</f>
        <v/>
      </c>
      <c r="W3446" s="180"/>
      <c r="Y3446" s="180"/>
      <c r="Z3446" s="192" t="str">
        <f>IFERROR(Tableau3[[#This Row],[Chiffre d''affaires]]/Tableau3[[#This Row],[Salariés]],"")</f>
        <v/>
      </c>
      <c r="AA3446" s="177"/>
      <c r="AC3446" s="177" t="s">
        <v>2426</v>
      </c>
    </row>
    <row r="3447" spans="1:29" ht="20.25" customHeight="1">
      <c r="A3447" s="217"/>
      <c r="E3447" s="178">
        <v>132.4</v>
      </c>
      <c r="F3447" s="178">
        <v>2019</v>
      </c>
      <c r="G3447" s="188">
        <v>7353900000</v>
      </c>
      <c r="H3447" s="188">
        <v>803000000</v>
      </c>
      <c r="I3447" s="188">
        <v>620500000</v>
      </c>
      <c r="J3447" s="188">
        <v>428300000</v>
      </c>
      <c r="K3447" s="188">
        <v>1997000000</v>
      </c>
      <c r="L3447" s="188">
        <v>2392600000</v>
      </c>
      <c r="M3447" s="194">
        <f>L3447/50169049</f>
        <v>47.690758499328936</v>
      </c>
      <c r="N3447" s="190">
        <f>J3447/L3447</f>
        <v>0.17901028170191424</v>
      </c>
      <c r="O3447" s="190">
        <f>(I3447*0.7)/(K3447+L3447)</f>
        <v>9.8949790413705122E-2</v>
      </c>
      <c r="P3447" s="188">
        <v>50169049</v>
      </c>
      <c r="Q3447" s="188">
        <f>P3447*E3447</f>
        <v>6642382087.6000004</v>
      </c>
      <c r="R3447" s="195">
        <f>Q3447/L3447</f>
        <v>2.7762192124049152</v>
      </c>
      <c r="S3447" s="197">
        <f>(Q3447+K3447)/H3447</f>
        <v>10.758881802739726</v>
      </c>
      <c r="T3447" s="180"/>
      <c r="U3447" s="189">
        <f>IFERROR(IF(Tableau3[[#This Row],[Dettes]]=0,"",(Tableau3[[#This Row],[Dettes]]/Tableau3[[#This Row],[EBE]])),"")</f>
        <v>2.4869240348692405</v>
      </c>
      <c r="V3447" s="190" t="str">
        <f>IFERROR(Tableau3[[#This Row],[Fonds propres]]/Tableau3[[#This Row],[Total Bilan]],"")</f>
        <v/>
      </c>
      <c r="W3447" s="180"/>
      <c r="Y3447" s="180"/>
      <c r="Z3447" s="192" t="str">
        <f>IFERROR(Tableau3[[#This Row],[Chiffre d''affaires]]/Tableau3[[#This Row],[Salariés]],"")</f>
        <v/>
      </c>
      <c r="AA3447" s="177"/>
      <c r="AC3447" s="6" t="s">
        <v>5007</v>
      </c>
    </row>
    <row r="3448" spans="1:29" ht="20.25" customHeight="1">
      <c r="A3448" s="217"/>
      <c r="G3448" s="202">
        <f>(G3447/G3449)-1</f>
        <v>7.9519098088723261E-2</v>
      </c>
      <c r="H3448" s="202">
        <f>(H3447/H3449)-1</f>
        <v>-2.4844720496894901E-3</v>
      </c>
      <c r="I3448" s="202">
        <f>(I3447/I3449)-1</f>
        <v>-8.152173913043459E-3</v>
      </c>
      <c r="J3448" s="202">
        <f>(J3447/J3449)-1</f>
        <v>-7.3945945945945946E-2</v>
      </c>
      <c r="K3448" s="188"/>
      <c r="L3448" s="188"/>
      <c r="M3448" s="194"/>
      <c r="N3448" s="178"/>
      <c r="O3448" s="178"/>
      <c r="P3448" s="178"/>
      <c r="Q3448" s="188"/>
      <c r="R3448" s="178"/>
      <c r="S3448" s="178"/>
      <c r="T3448" s="180"/>
      <c r="U3448" s="189" t="str">
        <f>IFERROR(IF(Tableau3[[#This Row],[Dettes]]=0,"",(Tableau3[[#This Row],[Dettes]]/Tableau3[[#This Row],[EBE]])),"")</f>
        <v/>
      </c>
      <c r="V3448" s="190" t="str">
        <f>IFERROR(Tableau3[[#This Row],[Fonds propres]]/Tableau3[[#This Row],[Total Bilan]],"")</f>
        <v/>
      </c>
      <c r="W3448" s="180"/>
      <c r="Y3448" s="180"/>
      <c r="Z3448" s="192" t="str">
        <f>IFERROR(Tableau3[[#This Row],[Chiffre d''affaires]]/Tableau3[[#This Row],[Salariés]],"")</f>
        <v/>
      </c>
      <c r="AA3448" s="177"/>
      <c r="AC3448" s="10" t="s">
        <v>3155</v>
      </c>
    </row>
    <row r="3449" spans="1:29" ht="20.25" customHeight="1">
      <c r="A3449" s="217"/>
      <c r="E3449" s="178">
        <v>110.3</v>
      </c>
      <c r="F3449" s="178">
        <v>2018</v>
      </c>
      <c r="G3449" s="188">
        <v>6812200000</v>
      </c>
      <c r="H3449" s="188">
        <v>805000000</v>
      </c>
      <c r="I3449" s="188">
        <v>625600000</v>
      </c>
      <c r="J3449" s="188">
        <v>462500000</v>
      </c>
      <c r="K3449" s="188">
        <v>1578000000</v>
      </c>
      <c r="L3449" s="188">
        <v>2098000000</v>
      </c>
      <c r="M3449" s="194">
        <f>L3449/50169049</f>
        <v>41.818612108832284</v>
      </c>
      <c r="N3449" s="190">
        <f>J3449/L3449</f>
        <v>0.22044804575786464</v>
      </c>
      <c r="O3449" s="190">
        <f>(I3449*0.7)/(K3449+L3449)</f>
        <v>0.11912948857453753</v>
      </c>
      <c r="P3449" s="188">
        <v>50169049</v>
      </c>
      <c r="Q3449" s="188">
        <f>P3449*E3449</f>
        <v>5533646104.6999998</v>
      </c>
      <c r="R3449" s="195">
        <f>Q3449/L3449</f>
        <v>2.6375815561010487</v>
      </c>
      <c r="S3449" s="197">
        <f>(Q3449+K3449)/H3449</f>
        <v>8.8343429872049679</v>
      </c>
      <c r="T3449" s="180"/>
      <c r="U3449" s="189">
        <f>IFERROR(IF(Tableau3[[#This Row],[Dettes]]=0,"",(Tableau3[[#This Row],[Dettes]]/Tableau3[[#This Row],[EBE]])),"")</f>
        <v>1.960248447204969</v>
      </c>
      <c r="V3449" s="190" t="str">
        <f>IFERROR(Tableau3[[#This Row],[Fonds propres]]/Tableau3[[#This Row],[Total Bilan]],"")</f>
        <v/>
      </c>
      <c r="W3449" s="180"/>
      <c r="Y3449" s="180"/>
      <c r="Z3449" s="192" t="str">
        <f>IFERROR(Tableau3[[#This Row],[Chiffre d''affaires]]/Tableau3[[#This Row],[Salariés]],"")</f>
        <v/>
      </c>
      <c r="AA3449" s="177"/>
      <c r="AC3449" s="10" t="s">
        <v>4990</v>
      </c>
    </row>
    <row r="3450" spans="1:29" ht="20.25" customHeight="1">
      <c r="A3450" s="217"/>
      <c r="G3450" s="202">
        <f>(G3449/G3451)-1</f>
        <v>5.0519692810659045E-2</v>
      </c>
      <c r="H3450" s="202">
        <f>(H3449/H3451)-1</f>
        <v>5.2287581699346442E-2</v>
      </c>
      <c r="I3450" s="202">
        <f>(I3449/I3451)-1</f>
        <v>7.9551337359792917E-2</v>
      </c>
      <c r="J3450" s="202">
        <f>(J3449/J3451)-1</f>
        <v>0.13191385217816931</v>
      </c>
      <c r="K3450" s="188"/>
      <c r="L3450" s="188"/>
      <c r="M3450" s="194"/>
      <c r="N3450" s="178"/>
      <c r="O3450" s="178"/>
      <c r="P3450" s="188"/>
      <c r="Q3450" s="188"/>
      <c r="R3450" s="178"/>
      <c r="S3450" s="178"/>
      <c r="T3450" s="180"/>
      <c r="U3450" s="189" t="str">
        <f>IFERROR(IF(Tableau3[[#This Row],[Dettes]]=0,"",(Tableau3[[#This Row],[Dettes]]/Tableau3[[#This Row],[EBE]])),"")</f>
        <v/>
      </c>
      <c r="V3450" s="190" t="str">
        <f>IFERROR(Tableau3[[#This Row],[Fonds propres]]/Tableau3[[#This Row],[Total Bilan]],"")</f>
        <v/>
      </c>
      <c r="W3450" s="180"/>
      <c r="Y3450" s="180"/>
      <c r="Z3450" s="192" t="str">
        <f>IFERROR(Tableau3[[#This Row],[Chiffre d''affaires]]/Tableau3[[#This Row],[Salariés]],"")</f>
        <v/>
      </c>
      <c r="AA3450" s="177"/>
      <c r="AC3450" s="177" t="s">
        <v>2427</v>
      </c>
    </row>
    <row r="3451" spans="1:29" ht="20.25" customHeight="1">
      <c r="A3451" s="217"/>
      <c r="E3451" s="178">
        <v>154.19999999999999</v>
      </c>
      <c r="F3451" s="178">
        <v>2017</v>
      </c>
      <c r="G3451" s="188">
        <v>6484600000</v>
      </c>
      <c r="H3451" s="188">
        <v>765000000</v>
      </c>
      <c r="I3451" s="188">
        <v>579500000</v>
      </c>
      <c r="J3451" s="188">
        <v>408600000</v>
      </c>
      <c r="K3451" s="188">
        <v>1905000000</v>
      </c>
      <c r="L3451" s="188">
        <v>1789500000</v>
      </c>
      <c r="M3451" s="194">
        <f>L3451/50169049</f>
        <v>35.669402463658422</v>
      </c>
      <c r="N3451" s="190">
        <f>J3451/L3451</f>
        <v>0.22833193629505449</v>
      </c>
      <c r="O3451" s="190">
        <f>(I3451*0.7)/(K3451+L3451)</f>
        <v>0.10979834889700907</v>
      </c>
      <c r="P3451" s="188">
        <v>50169049</v>
      </c>
      <c r="Q3451" s="188">
        <f>P3451*E3451</f>
        <v>7736067355.7999992</v>
      </c>
      <c r="R3451" s="195">
        <f>Q3451/L3451</f>
        <v>4.3230328895222128</v>
      </c>
      <c r="S3451" s="197">
        <f>(Q3451+K3451)/H3451</f>
        <v>12.602702425882352</v>
      </c>
      <c r="T3451" s="180"/>
      <c r="U3451" s="189">
        <f>IFERROR(IF(Tableau3[[#This Row],[Dettes]]=0,"",(Tableau3[[#This Row],[Dettes]]/Tableau3[[#This Row],[EBE]])),"")</f>
        <v>2.4901960784313726</v>
      </c>
      <c r="V3451" s="190" t="str">
        <f>IFERROR(Tableau3[[#This Row],[Fonds propres]]/Tableau3[[#This Row],[Total Bilan]],"")</f>
        <v/>
      </c>
      <c r="W3451" s="180"/>
      <c r="Y3451" s="180"/>
      <c r="Z3451" s="192" t="str">
        <f>IFERROR(Tableau3[[#This Row],[Chiffre d''affaires]]/Tableau3[[#This Row],[Salariés]],"")</f>
        <v/>
      </c>
      <c r="AA3451" s="177"/>
      <c r="AC3451" s="177" t="s">
        <v>4608</v>
      </c>
    </row>
    <row r="3452" spans="1:29" ht="20.25" customHeight="1">
      <c r="A3452" s="217"/>
      <c r="G3452" s="202">
        <f>(G3451/G3453)-1</f>
        <v>0.29699781986919205</v>
      </c>
      <c r="H3452" s="202">
        <f>(H3451/H3453)-1</f>
        <v>0.39090909090909087</v>
      </c>
      <c r="I3452" s="202">
        <f>(I3451/I3453)-1</f>
        <v>0.35937133474079297</v>
      </c>
      <c r="J3452" s="202">
        <f>(J3451/J3453)-1</f>
        <v>0.40508940852819797</v>
      </c>
      <c r="K3452" s="188"/>
      <c r="L3452" s="188"/>
      <c r="M3452" s="194"/>
      <c r="N3452" s="178"/>
      <c r="O3452" s="178"/>
      <c r="P3452" s="188"/>
      <c r="Q3452" s="188"/>
      <c r="R3452" s="178"/>
      <c r="S3452" s="178"/>
      <c r="T3452" s="180"/>
      <c r="U3452" s="189" t="str">
        <f>IFERROR(IF(Tableau3[[#This Row],[Dettes]]=0,"",(Tableau3[[#This Row],[Dettes]]/Tableau3[[#This Row],[EBE]])),"")</f>
        <v/>
      </c>
      <c r="V3452" s="190" t="str">
        <f>IFERROR(Tableau3[[#This Row],[Fonds propres]]/Tableau3[[#This Row],[Total Bilan]],"")</f>
        <v/>
      </c>
      <c r="W3452" s="180"/>
      <c r="Y3452" s="180"/>
      <c r="Z3452" s="192" t="str">
        <f>IFERROR(Tableau3[[#This Row],[Chiffre d''affaires]]/Tableau3[[#This Row],[Salariés]],"")</f>
        <v/>
      </c>
      <c r="AA3452" s="177"/>
      <c r="AC3452" s="177" t="s">
        <v>5000</v>
      </c>
    </row>
    <row r="3453" spans="1:29" ht="20.25" customHeight="1">
      <c r="A3453" s="217"/>
      <c r="E3453" s="187">
        <v>128.75</v>
      </c>
      <c r="F3453" s="178">
        <v>2016</v>
      </c>
      <c r="G3453" s="188">
        <v>4999700000</v>
      </c>
      <c r="H3453" s="188">
        <v>550000000</v>
      </c>
      <c r="I3453" s="188">
        <v>426300000</v>
      </c>
      <c r="J3453" s="188">
        <v>290800000</v>
      </c>
      <c r="K3453" s="188">
        <v>2019000000</v>
      </c>
      <c r="L3453" s="188">
        <v>1671000000</v>
      </c>
      <c r="M3453" s="194">
        <f>L3453/50169049</f>
        <v>33.307388386014651</v>
      </c>
      <c r="N3453" s="190">
        <f>J3453/L3453</f>
        <v>0.17402752842609215</v>
      </c>
      <c r="O3453" s="190">
        <f>(I3453*0.7)/(K3453+L3453)</f>
        <v>8.0869918699186985E-2</v>
      </c>
      <c r="P3453" s="188">
        <v>50169049</v>
      </c>
      <c r="Q3453" s="188">
        <f>P3453*E3453</f>
        <v>6459265058.75</v>
      </c>
      <c r="R3453" s="195">
        <f>Q3453/L3453</f>
        <v>3.8655087125972472</v>
      </c>
      <c r="S3453" s="197">
        <f>(Q3453+K3453)/H3453</f>
        <v>15.415027379545455</v>
      </c>
      <c r="T3453" s="180"/>
      <c r="U3453" s="189">
        <f>IFERROR(IF(Tableau3[[#This Row],[Dettes]]=0,"",(Tableau3[[#This Row],[Dettes]]/Tableau3[[#This Row],[EBE]])),"")</f>
        <v>3.6709090909090909</v>
      </c>
      <c r="V3453" s="190" t="str">
        <f>IFERROR(Tableau3[[#This Row],[Fonds propres]]/Tableau3[[#This Row],[Total Bilan]],"")</f>
        <v/>
      </c>
      <c r="W3453" s="180"/>
      <c r="Y3453" s="180"/>
      <c r="Z3453" s="192" t="str">
        <f>IFERROR(Tableau3[[#This Row],[Chiffre d''affaires]]/Tableau3[[#This Row],[Salariés]],"")</f>
        <v/>
      </c>
      <c r="AA3453" s="177"/>
      <c r="AC3453" s="177" t="s">
        <v>4975</v>
      </c>
    </row>
    <row r="3454" spans="1:29" ht="20.25" customHeight="1">
      <c r="A3454" s="217"/>
      <c r="G3454" s="202">
        <f>(G3453/G3455)-1</f>
        <v>4.8221062121307501E-2</v>
      </c>
      <c r="H3454" s="202">
        <f>(H3453/H3455)-1</f>
        <v>8.2677165354330784E-2</v>
      </c>
      <c r="I3454" s="202">
        <f>(I3453/I3455)-1</f>
        <v>0.14812819822246159</v>
      </c>
      <c r="J3454" s="202">
        <f>(J3453/J3455)-1</f>
        <v>0.20613853172957275</v>
      </c>
      <c r="K3454" s="188"/>
      <c r="L3454" s="188"/>
      <c r="M3454" s="194"/>
      <c r="N3454" s="178"/>
      <c r="O3454" s="178"/>
      <c r="P3454" s="188"/>
      <c r="Q3454" s="188"/>
      <c r="R3454" s="178"/>
      <c r="S3454" s="178"/>
      <c r="T3454" s="180"/>
      <c r="U3454" s="189" t="str">
        <f>IFERROR(IF(Tableau3[[#This Row],[Dettes]]=0,"",(Tableau3[[#This Row],[Dettes]]/Tableau3[[#This Row],[EBE]])),"")</f>
        <v/>
      </c>
      <c r="V3454" s="190" t="str">
        <f>IFERROR(Tableau3[[#This Row],[Fonds propres]]/Tableau3[[#This Row],[Total Bilan]],"")</f>
        <v/>
      </c>
      <c r="W3454" s="180"/>
      <c r="Y3454" s="180"/>
      <c r="Z3454" s="192" t="str">
        <f>IFERROR(Tableau3[[#This Row],[Chiffre d''affaires]]/Tableau3[[#This Row],[Salariés]],"")</f>
        <v/>
      </c>
      <c r="AA3454" s="177"/>
      <c r="AC3454" s="177" t="s">
        <v>5006</v>
      </c>
    </row>
    <row r="3455" spans="1:29" ht="20.25" customHeight="1">
      <c r="A3455" s="217"/>
      <c r="E3455" s="178">
        <v>94.6</v>
      </c>
      <c r="F3455" s="178">
        <v>2015</v>
      </c>
      <c r="G3455" s="188">
        <v>4769700000</v>
      </c>
      <c r="H3455" s="188">
        <v>508000000</v>
      </c>
      <c r="I3455" s="188">
        <v>371300000</v>
      </c>
      <c r="J3455" s="188">
        <v>241100000</v>
      </c>
      <c r="K3455" s="188">
        <v>316000000</v>
      </c>
      <c r="L3455" s="188">
        <v>1707600000</v>
      </c>
      <c r="M3455" s="194">
        <f>L3455/50169049</f>
        <v>34.036921847970447</v>
      </c>
      <c r="N3455" s="190">
        <f>J3455/L3455</f>
        <v>0.14119231670180371</v>
      </c>
      <c r="O3455" s="190">
        <f>(I3455*0.7)/(K3455+L3455)</f>
        <v>0.12843941490413124</v>
      </c>
      <c r="P3455" s="188">
        <v>50169049</v>
      </c>
      <c r="Q3455" s="188">
        <f>P3455*E3455</f>
        <v>4745992035.3999996</v>
      </c>
      <c r="R3455" s="195">
        <f>Q3455/L3455</f>
        <v>2.7793347595455606</v>
      </c>
      <c r="S3455" s="197">
        <f>(Q3455+K3455)/H3455</f>
        <v>9.9645512507874017</v>
      </c>
      <c r="T3455" s="180"/>
      <c r="U3455" s="189">
        <f>IFERROR(IF(Tableau3[[#This Row],[Dettes]]=0,"",(Tableau3[[#This Row],[Dettes]]/Tableau3[[#This Row],[EBE]])),"")</f>
        <v>0.62204724409448819</v>
      </c>
      <c r="V3455" s="190" t="str">
        <f>IFERROR(Tableau3[[#This Row],[Fonds propres]]/Tableau3[[#This Row],[Total Bilan]],"")</f>
        <v/>
      </c>
      <c r="W3455" s="180"/>
      <c r="Y3455" s="180"/>
      <c r="Z3455" s="192" t="str">
        <f>IFERROR(Tableau3[[#This Row],[Chiffre d''affaires]]/Tableau3[[#This Row],[Salariés]],"")</f>
        <v/>
      </c>
      <c r="AA3455" s="177"/>
      <c r="AC3455" s="177" t="s">
        <v>5008</v>
      </c>
    </row>
    <row r="3456" spans="1:29" ht="20.25" customHeight="1">
      <c r="A3456" s="217"/>
      <c r="G3456" s="202">
        <f>(G3455/G3457)-1</f>
        <v>0.1214643436552163</v>
      </c>
      <c r="H3456" s="202">
        <f>(H3455/H3457)-1</f>
        <v>0.17050691244239635</v>
      </c>
      <c r="I3456" s="202">
        <f>(I3455/I3457)-1</f>
        <v>0.18361491871214541</v>
      </c>
      <c r="J3456" s="202">
        <f>(J3455/J3457)-1</f>
        <v>0.24599483204134365</v>
      </c>
      <c r="K3456" s="188"/>
      <c r="L3456" s="188"/>
      <c r="M3456" s="194"/>
      <c r="N3456" s="178"/>
      <c r="O3456" s="178"/>
      <c r="P3456" s="188"/>
      <c r="Q3456" s="188"/>
      <c r="R3456" s="178"/>
      <c r="S3456" s="178"/>
      <c r="T3456" s="180"/>
      <c r="U3456" s="189" t="str">
        <f>IFERROR(IF(Tableau3[[#This Row],[Dettes]]=0,"",(Tableau3[[#This Row],[Dettes]]/Tableau3[[#This Row],[EBE]])),"")</f>
        <v/>
      </c>
      <c r="V3456" s="190" t="str">
        <f>IFERROR(Tableau3[[#This Row],[Fonds propres]]/Tableau3[[#This Row],[Total Bilan]],"")</f>
        <v/>
      </c>
      <c r="W3456" s="180"/>
      <c r="Y3456" s="180"/>
      <c r="Z3456" s="192" t="str">
        <f>IFERROR(Tableau3[[#This Row],[Chiffre d''affaires]]/Tableau3[[#This Row],[Salariés]],"")</f>
        <v/>
      </c>
      <c r="AA3456" s="177"/>
      <c r="AC3456" s="177" t="s">
        <v>2428</v>
      </c>
    </row>
    <row r="3457" spans="1:29" ht="20.25" customHeight="1">
      <c r="A3457" s="217"/>
      <c r="E3457" s="187">
        <v>61.57</v>
      </c>
      <c r="F3457" s="178">
        <v>2014</v>
      </c>
      <c r="G3457" s="188">
        <v>4253100000</v>
      </c>
      <c r="H3457" s="188">
        <v>434000000</v>
      </c>
      <c r="I3457" s="188">
        <v>313700000</v>
      </c>
      <c r="J3457" s="188">
        <v>193500000</v>
      </c>
      <c r="K3457" s="188">
        <v>453000000</v>
      </c>
      <c r="L3457" s="188">
        <v>1551000000</v>
      </c>
      <c r="M3457" s="194">
        <f>L3457/50169049</f>
        <v>30.915475395995646</v>
      </c>
      <c r="N3457" s="190">
        <f>J3457/L3457</f>
        <v>0.12475822050290135</v>
      </c>
      <c r="O3457" s="190">
        <f>(I3457*0.7)/(K3457+L3457)</f>
        <v>0.10957584830339322</v>
      </c>
      <c r="P3457" s="188">
        <v>50169049</v>
      </c>
      <c r="Q3457" s="188">
        <f>P3457*E3457</f>
        <v>3088908346.9299998</v>
      </c>
      <c r="R3457" s="195">
        <f>Q3457/L3457</f>
        <v>1.9915592178787878</v>
      </c>
      <c r="S3457" s="197">
        <f>(Q3457+K3457)/H3457</f>
        <v>8.1610791403917045</v>
      </c>
      <c r="T3457" s="180"/>
      <c r="U3457" s="189">
        <f>IFERROR(IF(Tableau3[[#This Row],[Dettes]]=0,"",(Tableau3[[#This Row],[Dettes]]/Tableau3[[#This Row],[EBE]])),"")</f>
        <v>1.0437788018433181</v>
      </c>
      <c r="V3457" s="190" t="str">
        <f>IFERROR(Tableau3[[#This Row],[Fonds propres]]/Tableau3[[#This Row],[Total Bilan]],"")</f>
        <v/>
      </c>
      <c r="W3457" s="180"/>
      <c r="Y3457" s="180"/>
      <c r="Z3457" s="192" t="str">
        <f>IFERROR(Tableau3[[#This Row],[Chiffre d''affaires]]/Tableau3[[#This Row],[Salariés]],"")</f>
        <v/>
      </c>
      <c r="AA3457" s="177"/>
      <c r="AC3457" s="177" t="s">
        <v>4996</v>
      </c>
    </row>
    <row r="3458" spans="1:29" ht="20.25" customHeight="1">
      <c r="A3458" s="217"/>
      <c r="G3458" s="202">
        <f>(G3457/G3459)-1</f>
        <v>2.2060413812991175E-2</v>
      </c>
      <c r="H3458" s="202">
        <f>(H3457/H3459)-1</f>
        <v>-8.6315789473684235E-2</v>
      </c>
      <c r="I3458" s="202">
        <f>(I3457/I3459)-1</f>
        <v>-0.13771302913688843</v>
      </c>
      <c r="J3458" s="202">
        <f>(J3457/J3459)-1</f>
        <v>-0.12719891745602163</v>
      </c>
      <c r="K3458" s="188"/>
      <c r="L3458" s="188"/>
      <c r="M3458" s="194"/>
      <c r="N3458" s="178"/>
      <c r="O3458" s="178"/>
      <c r="P3458" s="188"/>
      <c r="Q3458" s="188"/>
      <c r="R3458" s="178"/>
      <c r="S3458" s="178"/>
      <c r="T3458" s="180"/>
      <c r="U3458" s="189" t="str">
        <f>IFERROR(IF(Tableau3[[#This Row],[Dettes]]=0,"",(Tableau3[[#This Row],[Dettes]]/Tableau3[[#This Row],[EBE]])),"")</f>
        <v/>
      </c>
      <c r="V3458" s="190" t="str">
        <f>IFERROR(Tableau3[[#This Row],[Fonds propres]]/Tableau3[[#This Row],[Total Bilan]],"")</f>
        <v/>
      </c>
      <c r="W3458" s="180"/>
      <c r="Y3458" s="180"/>
      <c r="Z3458" s="192" t="str">
        <f>IFERROR(Tableau3[[#This Row],[Chiffre d''affaires]]/Tableau3[[#This Row],[Salariés]],"")</f>
        <v/>
      </c>
      <c r="AA3458" s="177"/>
      <c r="AC3458" s="177" t="s">
        <v>2429</v>
      </c>
    </row>
    <row r="3459" spans="1:29" ht="20.25" customHeight="1">
      <c r="A3459" s="217"/>
      <c r="E3459" s="178">
        <v>65.7</v>
      </c>
      <c r="F3459" s="178">
        <v>2013</v>
      </c>
      <c r="G3459" s="188">
        <v>4161300000</v>
      </c>
      <c r="H3459" s="188">
        <v>475000000</v>
      </c>
      <c r="I3459" s="188">
        <v>363800000</v>
      </c>
      <c r="J3459" s="188">
        <v>221700000</v>
      </c>
      <c r="K3459" s="188">
        <v>416000000</v>
      </c>
      <c r="L3459" s="188">
        <v>1389700000</v>
      </c>
      <c r="M3459" s="194">
        <f>L3459/50169049</f>
        <v>27.7003456852451</v>
      </c>
      <c r="N3459" s="190">
        <f>J3459/L3459</f>
        <v>0.15953083399294812</v>
      </c>
      <c r="O3459" s="190">
        <f>(I3459*0.7)/(K3459+L3459)</f>
        <v>0.14103117904413798</v>
      </c>
      <c r="P3459" s="188">
        <v>50169049</v>
      </c>
      <c r="Q3459" s="188">
        <f>P3459*E3459</f>
        <v>3296106519.3000002</v>
      </c>
      <c r="R3459" s="195">
        <f>Q3459/L3459</f>
        <v>2.371811555947327</v>
      </c>
      <c r="S3459" s="197">
        <f>(Q3459+K3459)/H3459</f>
        <v>7.8149610932631584</v>
      </c>
      <c r="T3459" s="180"/>
      <c r="U3459" s="189">
        <f>IFERROR(IF(Tableau3[[#This Row],[Dettes]]=0,"",(Tableau3[[#This Row],[Dettes]]/Tableau3[[#This Row],[EBE]])),"")</f>
        <v>0.87578947368421056</v>
      </c>
      <c r="V3459" s="190" t="str">
        <f>IFERROR(Tableau3[[#This Row],[Fonds propres]]/Tableau3[[#This Row],[Total Bilan]],"")</f>
        <v/>
      </c>
      <c r="W3459" s="180"/>
      <c r="Y3459" s="180"/>
      <c r="Z3459" s="192" t="str">
        <f>IFERROR(Tableau3[[#This Row],[Chiffre d''affaires]]/Tableau3[[#This Row],[Salariés]],"")</f>
        <v/>
      </c>
      <c r="AA3459" s="177"/>
      <c r="AC3459" s="177" t="s">
        <v>5005</v>
      </c>
    </row>
    <row r="3460" spans="1:29" ht="20.25" customHeight="1">
      <c r="A3460" s="217"/>
      <c r="G3460" s="188"/>
      <c r="H3460" s="178"/>
      <c r="I3460" s="178"/>
      <c r="J3460" s="178"/>
      <c r="K3460" s="178"/>
      <c r="L3460" s="188"/>
      <c r="M3460" s="194"/>
      <c r="N3460" s="178"/>
      <c r="O3460" s="178"/>
      <c r="P3460" s="188"/>
      <c r="Q3460" s="178"/>
      <c r="R3460" s="178"/>
      <c r="S3460" s="178"/>
      <c r="T3460" s="180"/>
      <c r="U3460" s="189" t="str">
        <f>IFERROR(IF(Tableau3[[#This Row],[Dettes]]=0,"",(Tableau3[[#This Row],[Dettes]]/Tableau3[[#This Row],[EBE]])),"")</f>
        <v/>
      </c>
      <c r="V3460" s="190" t="str">
        <f>IFERROR(Tableau3[[#This Row],[Fonds propres]]/Tableau3[[#This Row],[Total Bilan]],"")</f>
        <v/>
      </c>
      <c r="W3460" s="180"/>
      <c r="Y3460" s="180"/>
      <c r="Z3460" s="192" t="str">
        <f>IFERROR(Tableau3[[#This Row],[Chiffre d''affaires]]/Tableau3[[#This Row],[Salariés]],"")</f>
        <v/>
      </c>
      <c r="AA3460" s="177"/>
    </row>
    <row r="3461" spans="1:29" ht="20.25" customHeight="1">
      <c r="A3461" s="217"/>
      <c r="G3461" s="188"/>
      <c r="H3461" s="178"/>
      <c r="I3461" s="178"/>
      <c r="J3461" s="178"/>
      <c r="K3461" s="178"/>
      <c r="L3461" s="188"/>
      <c r="M3461" s="194"/>
      <c r="N3461" s="178"/>
      <c r="O3461" s="178"/>
      <c r="P3461" s="188"/>
      <c r="Q3461" s="178"/>
      <c r="R3461" s="178"/>
      <c r="S3461" s="178"/>
      <c r="T3461" s="180"/>
      <c r="U3461" s="189" t="str">
        <f>IFERROR(IF(Tableau3[[#This Row],[Dettes]]=0,"",(Tableau3[[#This Row],[Dettes]]/Tableau3[[#This Row],[EBE]])),"")</f>
        <v/>
      </c>
      <c r="V3461" s="190" t="str">
        <f>IFERROR(Tableau3[[#This Row],[Fonds propres]]/Tableau3[[#This Row],[Total Bilan]],"")</f>
        <v/>
      </c>
      <c r="W3461" s="180"/>
      <c r="Y3461" s="180"/>
      <c r="Z3461" s="192" t="str">
        <f>IFERROR(Tableau3[[#This Row],[Chiffre d''affaires]]/Tableau3[[#This Row],[Salariés]],"")</f>
        <v/>
      </c>
      <c r="AA3461" s="177"/>
    </row>
    <row r="3462" spans="1:29" ht="20.25" customHeight="1">
      <c r="A3462" s="217"/>
      <c r="G3462" s="188"/>
      <c r="H3462" s="178"/>
      <c r="I3462" s="178"/>
      <c r="J3462" s="178"/>
      <c r="K3462" s="178"/>
      <c r="L3462" s="188"/>
      <c r="M3462" s="194"/>
      <c r="N3462" s="178"/>
      <c r="O3462" s="178"/>
      <c r="P3462" s="188"/>
      <c r="Q3462" s="178"/>
      <c r="R3462" s="178"/>
      <c r="S3462" s="178"/>
      <c r="T3462" s="180"/>
      <c r="U3462" s="189" t="str">
        <f>IFERROR(IF(Tableau3[[#This Row],[Dettes]]=0,"",(Tableau3[[#This Row],[Dettes]]/Tableau3[[#This Row],[EBE]])),"")</f>
        <v/>
      </c>
      <c r="V3462" s="190" t="str">
        <f>IFERROR(Tableau3[[#This Row],[Fonds propres]]/Tableau3[[#This Row],[Total Bilan]],"")</f>
        <v/>
      </c>
      <c r="W3462" s="180"/>
      <c r="Y3462" s="180"/>
      <c r="Z3462" s="192" t="str">
        <f>IFERROR(Tableau3[[#This Row],[Chiffre d''affaires]]/Tableau3[[#This Row],[Salariés]],"")</f>
        <v/>
      </c>
      <c r="AA3462" s="177"/>
    </row>
    <row r="3463" spans="1:29" ht="20.25" customHeight="1">
      <c r="A3463" s="217" t="s">
        <v>2430</v>
      </c>
      <c r="B3463" s="216" t="s">
        <v>2431</v>
      </c>
      <c r="C3463" s="178" t="s">
        <v>452</v>
      </c>
      <c r="D3463" s="178" t="s">
        <v>85</v>
      </c>
      <c r="F3463" s="178">
        <v>2025</v>
      </c>
      <c r="G3463" s="188"/>
      <c r="H3463" s="178"/>
      <c r="I3463" s="178"/>
      <c r="J3463" s="178"/>
      <c r="K3463" s="178"/>
      <c r="L3463" s="188"/>
      <c r="M3463" s="194"/>
      <c r="N3463" s="178"/>
      <c r="O3463" s="178"/>
      <c r="P3463" s="188"/>
      <c r="Q3463" s="178"/>
      <c r="R3463" s="178"/>
      <c r="S3463" s="178"/>
      <c r="T3463" s="180"/>
      <c r="U3463" s="189" t="str">
        <f>IFERROR(IF(Tableau3[[#This Row],[Dettes]]=0,"",(Tableau3[[#This Row],[Dettes]]/Tableau3[[#This Row],[EBE]])),"")</f>
        <v/>
      </c>
      <c r="V3463" s="190" t="str">
        <f>IFERROR(Tableau3[[#This Row],[Fonds propres]]/Tableau3[[#This Row],[Total Bilan]],"")</f>
        <v/>
      </c>
      <c r="W3463" s="180"/>
      <c r="Y3463" s="180"/>
      <c r="Z3463" s="192" t="str">
        <f>IFERROR(Tableau3[[#This Row],[Chiffre d''affaires]]/Tableau3[[#This Row],[Salariés]],"")</f>
        <v/>
      </c>
      <c r="AA3463" s="177"/>
      <c r="AC3463" s="177" t="s">
        <v>2432</v>
      </c>
    </row>
    <row r="3464" spans="1:29" ht="20.25" customHeight="1">
      <c r="A3464" s="217"/>
      <c r="G3464" s="188"/>
      <c r="H3464" s="178"/>
      <c r="I3464" s="178"/>
      <c r="J3464" s="178"/>
      <c r="K3464" s="178"/>
      <c r="L3464" s="188"/>
      <c r="M3464" s="194"/>
      <c r="N3464" s="178"/>
      <c r="O3464" s="178"/>
      <c r="P3464" s="188"/>
      <c r="Q3464" s="178"/>
      <c r="R3464" s="178"/>
      <c r="S3464" s="178"/>
      <c r="T3464" s="180"/>
      <c r="U3464" s="189" t="str">
        <f>IFERROR(IF(Tableau3[[#This Row],[Dettes]]=0,"",(Tableau3[[#This Row],[Dettes]]/Tableau3[[#This Row],[EBE]])),"")</f>
        <v/>
      </c>
      <c r="V3464" s="190" t="str">
        <f>IFERROR(Tableau3[[#This Row],[Fonds propres]]/Tableau3[[#This Row],[Total Bilan]],"")</f>
        <v/>
      </c>
      <c r="W3464" s="180"/>
      <c r="Y3464" s="180"/>
      <c r="Z3464" s="192" t="str">
        <f>IFERROR(Tableau3[[#This Row],[Chiffre d''affaires]]/Tableau3[[#This Row],[Salariés]],"")</f>
        <v/>
      </c>
      <c r="AA3464" s="177"/>
      <c r="AC3464" s="177" t="s">
        <v>2434</v>
      </c>
    </row>
    <row r="3465" spans="1:29" ht="20.25" customHeight="1">
      <c r="A3465" s="217"/>
      <c r="F3465" s="178">
        <v>2024</v>
      </c>
      <c r="G3465" s="188"/>
      <c r="H3465" s="178"/>
      <c r="I3465" s="178"/>
      <c r="J3465" s="178"/>
      <c r="K3465" s="178"/>
      <c r="L3465" s="188"/>
      <c r="M3465" s="194"/>
      <c r="N3465" s="178"/>
      <c r="O3465" s="178"/>
      <c r="P3465" s="188"/>
      <c r="Q3465" s="178"/>
      <c r="R3465" s="178"/>
      <c r="S3465" s="178"/>
      <c r="T3465" s="180"/>
      <c r="U3465" s="189" t="str">
        <f>IFERROR(IF(Tableau3[[#This Row],[Dettes]]=0,"",(Tableau3[[#This Row],[Dettes]]/Tableau3[[#This Row],[EBE]])),"")</f>
        <v/>
      </c>
      <c r="V3465" s="190" t="str">
        <f>IFERROR(Tableau3[[#This Row],[Fonds propres]]/Tableau3[[#This Row],[Total Bilan]],"")</f>
        <v/>
      </c>
      <c r="W3465" s="180"/>
      <c r="Y3465" s="180"/>
      <c r="Z3465" s="192" t="str">
        <f>IFERROR(Tableau3[[#This Row],[Chiffre d''affaires]]/Tableau3[[#This Row],[Salariés]],"")</f>
        <v/>
      </c>
      <c r="AA3465" s="177"/>
      <c r="AC3465" s="177" t="s">
        <v>2435</v>
      </c>
    </row>
    <row r="3466" spans="1:29" ht="20.25" customHeight="1">
      <c r="A3466" s="217"/>
      <c r="G3466" s="188"/>
      <c r="H3466" s="178"/>
      <c r="I3466" s="178"/>
      <c r="J3466" s="178"/>
      <c r="K3466" s="178"/>
      <c r="L3466" s="188"/>
      <c r="M3466" s="194"/>
      <c r="N3466" s="178"/>
      <c r="O3466" s="178"/>
      <c r="P3466" s="188"/>
      <c r="Q3466" s="178"/>
      <c r="R3466" s="178"/>
      <c r="S3466" s="178"/>
      <c r="T3466" s="180"/>
      <c r="U3466" s="189" t="str">
        <f>IFERROR(IF(Tableau3[[#This Row],[Dettes]]=0,"",(Tableau3[[#This Row],[Dettes]]/Tableau3[[#This Row],[EBE]])),"")</f>
        <v/>
      </c>
      <c r="V3466" s="190" t="str">
        <f>IFERROR(Tableau3[[#This Row],[Fonds propres]]/Tableau3[[#This Row],[Total Bilan]],"")</f>
        <v/>
      </c>
      <c r="W3466" s="180"/>
      <c r="Y3466" s="180"/>
      <c r="Z3466" s="192" t="str">
        <f>IFERROR(Tableau3[[#This Row],[Chiffre d''affaires]]/Tableau3[[#This Row],[Salariés]],"")</f>
        <v/>
      </c>
      <c r="AA3466" s="177"/>
      <c r="AC3466" s="177" t="s">
        <v>2436</v>
      </c>
    </row>
    <row r="3467" spans="1:29" ht="20.25" customHeight="1">
      <c r="A3467" s="217"/>
      <c r="F3467" s="178">
        <v>2023</v>
      </c>
      <c r="G3467" s="188"/>
      <c r="H3467" s="178"/>
      <c r="I3467" s="178"/>
      <c r="J3467" s="178"/>
      <c r="K3467" s="178"/>
      <c r="L3467" s="188"/>
      <c r="M3467" s="194"/>
      <c r="N3467" s="178"/>
      <c r="O3467" s="178"/>
      <c r="P3467" s="188"/>
      <c r="Q3467" s="178"/>
      <c r="R3467" s="178"/>
      <c r="S3467" s="178"/>
      <c r="T3467" s="180"/>
      <c r="U3467" s="189" t="str">
        <f>IFERROR(IF(Tableau3[[#This Row],[Dettes]]=0,"",(Tableau3[[#This Row],[Dettes]]/Tableau3[[#This Row],[EBE]])),"")</f>
        <v/>
      </c>
      <c r="V3467" s="190" t="str">
        <f>IFERROR(Tableau3[[#This Row],[Fonds propres]]/Tableau3[[#This Row],[Total Bilan]],"")</f>
        <v/>
      </c>
      <c r="W3467" s="180"/>
      <c r="Y3467" s="180"/>
      <c r="Z3467" s="192" t="str">
        <f>IFERROR(Tableau3[[#This Row],[Chiffre d''affaires]]/Tableau3[[#This Row],[Salariés]],"")</f>
        <v/>
      </c>
      <c r="AA3467" s="177"/>
      <c r="AC3467" s="177" t="s">
        <v>2437</v>
      </c>
    </row>
    <row r="3468" spans="1:29" ht="20.25" customHeight="1">
      <c r="A3468" s="217"/>
      <c r="G3468" s="188"/>
      <c r="H3468" s="178"/>
      <c r="I3468" s="178"/>
      <c r="J3468" s="178"/>
      <c r="K3468" s="178"/>
      <c r="L3468" s="188"/>
      <c r="M3468" s="194"/>
      <c r="N3468" s="178"/>
      <c r="O3468" s="178"/>
      <c r="P3468" s="188"/>
      <c r="Q3468" s="178"/>
      <c r="R3468" s="178"/>
      <c r="S3468" s="178"/>
      <c r="T3468" s="180"/>
      <c r="U3468" s="189" t="str">
        <f>IFERROR(IF(Tableau3[[#This Row],[Dettes]]=0,"",(Tableau3[[#This Row],[Dettes]]/Tableau3[[#This Row],[EBE]])),"")</f>
        <v/>
      </c>
      <c r="V3468" s="190" t="str">
        <f>IFERROR(Tableau3[[#This Row],[Fonds propres]]/Tableau3[[#This Row],[Total Bilan]],"")</f>
        <v/>
      </c>
      <c r="W3468" s="180"/>
      <c r="Y3468" s="180"/>
      <c r="Z3468" s="192" t="str">
        <f>IFERROR(Tableau3[[#This Row],[Chiffre d''affaires]]/Tableau3[[#This Row],[Salariés]],"")</f>
        <v/>
      </c>
      <c r="AA3468" s="177"/>
      <c r="AC3468" s="177" t="s">
        <v>2438</v>
      </c>
    </row>
    <row r="3469" spans="1:29" ht="20.25" customHeight="1">
      <c r="A3469" s="217"/>
      <c r="E3469" s="187">
        <v>94.46</v>
      </c>
      <c r="F3469" s="178">
        <v>2022</v>
      </c>
      <c r="G3469" s="188"/>
      <c r="H3469" s="178"/>
      <c r="I3469" s="178"/>
      <c r="J3469" s="178"/>
      <c r="K3469" s="178"/>
      <c r="L3469" s="188"/>
      <c r="M3469" s="194"/>
      <c r="N3469" s="178"/>
      <c r="O3469" s="178"/>
      <c r="P3469" s="188"/>
      <c r="Q3469" s="178"/>
      <c r="R3469" s="178"/>
      <c r="S3469" s="178"/>
      <c r="T3469" s="180"/>
      <c r="U3469" s="189" t="str">
        <f>IFERROR(IF(Tableau3[[#This Row],[Dettes]]=0,"",(Tableau3[[#This Row],[Dettes]]/Tableau3[[#This Row],[EBE]])),"")</f>
        <v/>
      </c>
      <c r="V3469" s="190" t="str">
        <f>IFERROR(Tableau3[[#This Row],[Fonds propres]]/Tableau3[[#This Row],[Total Bilan]],"")</f>
        <v/>
      </c>
      <c r="W3469" s="180"/>
      <c r="Y3469" s="180"/>
      <c r="Z3469" s="192" t="str">
        <f>IFERROR(Tableau3[[#This Row],[Chiffre d''affaires]]/Tableau3[[#This Row],[Salariés]],"")</f>
        <v/>
      </c>
      <c r="AA3469" s="177"/>
      <c r="AC3469" s="177" t="s">
        <v>2439</v>
      </c>
    </row>
    <row r="3470" spans="1:29" ht="20.25" customHeight="1">
      <c r="A3470" s="217"/>
      <c r="G3470" s="188"/>
      <c r="H3470" s="178"/>
      <c r="I3470" s="178"/>
      <c r="J3470" s="178"/>
      <c r="K3470" s="178"/>
      <c r="L3470" s="188"/>
      <c r="M3470" s="194"/>
      <c r="N3470" s="178"/>
      <c r="O3470" s="178"/>
      <c r="P3470" s="188"/>
      <c r="Q3470" s="178"/>
      <c r="R3470" s="178"/>
      <c r="S3470" s="178"/>
      <c r="T3470" s="180"/>
      <c r="U3470" s="189" t="str">
        <f>IFERROR(IF(Tableau3[[#This Row],[Dettes]]=0,"",(Tableau3[[#This Row],[Dettes]]/Tableau3[[#This Row],[EBE]])),"")</f>
        <v/>
      </c>
      <c r="V3470" s="190" t="str">
        <f>IFERROR(Tableau3[[#This Row],[Fonds propres]]/Tableau3[[#This Row],[Total Bilan]],"")</f>
        <v/>
      </c>
      <c r="W3470" s="180"/>
      <c r="Y3470" s="180"/>
      <c r="Z3470" s="192" t="str">
        <f>IFERROR(Tableau3[[#This Row],[Chiffre d''affaires]]/Tableau3[[#This Row],[Salariés]],"")</f>
        <v/>
      </c>
      <c r="AA3470" s="177"/>
      <c r="AC3470" s="177" t="s">
        <v>2440</v>
      </c>
    </row>
    <row r="3471" spans="1:29" ht="20.25" customHeight="1">
      <c r="A3471" s="217"/>
      <c r="E3471" s="178">
        <v>102.2</v>
      </c>
      <c r="F3471" s="178">
        <v>2021</v>
      </c>
      <c r="G3471" s="188"/>
      <c r="H3471" s="178"/>
      <c r="I3471" s="178"/>
      <c r="J3471" s="178"/>
      <c r="K3471" s="178"/>
      <c r="L3471" s="188"/>
      <c r="M3471" s="194"/>
      <c r="N3471" s="178"/>
      <c r="O3471" s="178"/>
      <c r="P3471" s="188">
        <v>105876416</v>
      </c>
      <c r="Q3471" s="188">
        <f>P3471*E3471</f>
        <v>10820569715.200001</v>
      </c>
      <c r="R3471" s="178"/>
      <c r="S3471" s="178"/>
      <c r="T3471" s="180"/>
      <c r="U3471" s="189" t="str">
        <f>IFERROR(IF(Tableau3[[#This Row],[Dettes]]=0,"",(Tableau3[[#This Row],[Dettes]]/Tableau3[[#This Row],[EBE]])),"")</f>
        <v/>
      </c>
      <c r="V3471" s="190" t="str">
        <f>IFERROR(Tableau3[[#This Row],[Fonds propres]]/Tableau3[[#This Row],[Total Bilan]],"")</f>
        <v/>
      </c>
      <c r="W3471" s="180"/>
      <c r="X3471" s="191" t="s">
        <v>2441</v>
      </c>
      <c r="Y3471" s="180"/>
      <c r="Z3471" s="192" t="str">
        <f>IFERROR(Tableau3[[#This Row],[Chiffre d''affaires]]/Tableau3[[#This Row],[Salariés]],"")</f>
        <v/>
      </c>
      <c r="AA3471" s="197"/>
      <c r="AB3471" s="197"/>
      <c r="AC3471" s="177" t="s">
        <v>2442</v>
      </c>
    </row>
    <row r="3472" spans="1:29" ht="20.25" customHeight="1">
      <c r="A3472" s="217"/>
      <c r="G3472" s="188"/>
      <c r="H3472" s="178"/>
      <c r="I3472" s="178"/>
      <c r="J3472" s="178"/>
      <c r="K3472" s="178"/>
      <c r="L3472" s="188"/>
      <c r="M3472" s="194"/>
      <c r="N3472" s="178"/>
      <c r="O3472" s="178"/>
      <c r="P3472" s="178"/>
      <c r="Q3472" s="178"/>
      <c r="R3472" s="178"/>
      <c r="S3472" s="178"/>
      <c r="T3472" s="180"/>
      <c r="U3472" s="189" t="str">
        <f>IFERROR(IF(Tableau3[[#This Row],[Dettes]]=0,"",(Tableau3[[#This Row],[Dettes]]/Tableau3[[#This Row],[EBE]])),"")</f>
        <v/>
      </c>
      <c r="V3472" s="190" t="str">
        <f>IFERROR(Tableau3[[#This Row],[Fonds propres]]/Tableau3[[#This Row],[Total Bilan]],"")</f>
        <v/>
      </c>
      <c r="W3472" s="180"/>
      <c r="X3472" s="192" t="s">
        <v>2443</v>
      </c>
      <c r="Y3472" s="180"/>
      <c r="Z3472" s="192" t="str">
        <f>IFERROR(Tableau3[[#This Row],[Chiffre d''affaires]]/Tableau3[[#This Row],[Salariés]],"")</f>
        <v/>
      </c>
      <c r="AA3472" s="188"/>
      <c r="AB3472" s="188"/>
      <c r="AC3472" s="177" t="s">
        <v>2444</v>
      </c>
    </row>
    <row r="3473" spans="1:29" ht="20.25" customHeight="1">
      <c r="A3473" s="217"/>
      <c r="E3473" s="187">
        <v>102.2</v>
      </c>
      <c r="F3473" s="178">
        <v>2020</v>
      </c>
      <c r="G3473" s="188">
        <f>10244000000*0.88</f>
        <v>9014720000</v>
      </c>
      <c r="H3473" s="188">
        <v>2000000000</v>
      </c>
      <c r="I3473" s="188">
        <v>1100000000</v>
      </c>
      <c r="J3473" s="188">
        <v>700000000</v>
      </c>
      <c r="K3473" s="188">
        <v>4280000000</v>
      </c>
      <c r="L3473" s="188">
        <v>7654000000</v>
      </c>
      <c r="M3473" s="194">
        <f>L3473/P3473</f>
        <v>72.291831261080844</v>
      </c>
      <c r="N3473" s="190">
        <f>J3473/L3473</f>
        <v>9.1455448131695843E-2</v>
      </c>
      <c r="O3473" s="190">
        <f>(I3473*0.7)/(K3473+L3473)</f>
        <v>6.4521535109770406E-2</v>
      </c>
      <c r="P3473" s="188">
        <v>105876416</v>
      </c>
      <c r="Q3473" s="188">
        <f>P3473*E3473</f>
        <v>10820569715.200001</v>
      </c>
      <c r="R3473" s="195">
        <f>Q3473/L3473</f>
        <v>1.4137143604912465</v>
      </c>
      <c r="S3473" s="197">
        <f>(Q3473+K3473)/H3473</f>
        <v>7.5502848576000003</v>
      </c>
      <c r="T3473" s="180"/>
      <c r="U3473" s="189">
        <f>IFERROR(IF(Tableau3[[#This Row],[Dettes]]=0,"",(Tableau3[[#This Row],[Dettes]]/Tableau3[[#This Row],[EBE]])),"")</f>
        <v>2.14</v>
      </c>
      <c r="V3473" s="190" t="str">
        <f>IFERROR(Tableau3[[#This Row],[Fonds propres]]/Tableau3[[#This Row],[Total Bilan]],"")</f>
        <v/>
      </c>
      <c r="W3473" s="180"/>
      <c r="X3473" s="191"/>
      <c r="Y3473" s="180"/>
      <c r="Z3473" s="192" t="str">
        <f>IFERROR(Tableau3[[#This Row],[Chiffre d''affaires]]/Tableau3[[#This Row],[Salariés]],"")</f>
        <v/>
      </c>
      <c r="AA3473" s="197"/>
      <c r="AB3473" s="197"/>
      <c r="AC3473" s="177" t="s">
        <v>2445</v>
      </c>
    </row>
    <row r="3474" spans="1:29" ht="20.25" customHeight="1">
      <c r="A3474" s="217"/>
      <c r="E3474" s="187"/>
      <c r="G3474" s="202">
        <f>(G3473/G3475)-1</f>
        <v>-0.19704996882515369</v>
      </c>
      <c r="H3474" s="202">
        <f>(H3473/H3475)-1</f>
        <v>-0.1386735572782084</v>
      </c>
      <c r="I3474" s="202">
        <f>(I3473/I3475)-1</f>
        <v>-0.26813040585495673</v>
      </c>
      <c r="J3474" s="202">
        <f>(J3473/J3475)-1</f>
        <v>-0.34883720930232553</v>
      </c>
      <c r="K3474" s="188"/>
      <c r="L3474" s="188"/>
      <c r="M3474" s="194"/>
      <c r="N3474" s="188"/>
      <c r="O3474" s="188"/>
      <c r="P3474" s="188"/>
      <c r="Q3474" s="188"/>
      <c r="R3474" s="188"/>
      <c r="S3474" s="188"/>
      <c r="T3474" s="180"/>
      <c r="U3474" s="189" t="str">
        <f>IFERROR(IF(Tableau3[[#This Row],[Dettes]]=0,"",(Tableau3[[#This Row],[Dettes]]/Tableau3[[#This Row],[EBE]])),"")</f>
        <v/>
      </c>
      <c r="V3474" s="190" t="str">
        <f>IFERROR(Tableau3[[#This Row],[Fonds propres]]/Tableau3[[#This Row],[Total Bilan]],"")</f>
        <v/>
      </c>
      <c r="W3474" s="180"/>
      <c r="X3474" s="192"/>
      <c r="Y3474" s="180"/>
      <c r="Z3474" s="192" t="str">
        <f>IFERROR(Tableau3[[#This Row],[Chiffre d''affaires]]/Tableau3[[#This Row],[Salariés]],"")</f>
        <v/>
      </c>
      <c r="AA3474" s="188"/>
      <c r="AB3474" s="188"/>
      <c r="AC3474" s="177" t="s">
        <v>2446</v>
      </c>
    </row>
    <row r="3475" spans="1:29" ht="20.25" customHeight="1">
      <c r="A3475" s="217"/>
      <c r="E3475" s="187">
        <v>104</v>
      </c>
      <c r="F3475" s="178">
        <v>2019</v>
      </c>
      <c r="G3475" s="188">
        <v>11227000000</v>
      </c>
      <c r="H3475" s="188">
        <v>2322000000</v>
      </c>
      <c r="I3475" s="188">
        <v>1503000000</v>
      </c>
      <c r="J3475" s="188">
        <v>1075000000</v>
      </c>
      <c r="K3475" s="188">
        <v>5386000000</v>
      </c>
      <c r="L3475" s="188">
        <v>9625000000</v>
      </c>
      <c r="M3475" s="194">
        <f>L3475/P3475</f>
        <v>90.907875083342446</v>
      </c>
      <c r="N3475" s="190">
        <f>J3475/L3475</f>
        <v>0.11168831168831168</v>
      </c>
      <c r="O3475" s="190">
        <f>(I3475*0.7)/(K3475+L3475)</f>
        <v>7.0088601692092453E-2</v>
      </c>
      <c r="P3475" s="188">
        <v>105876416</v>
      </c>
      <c r="Q3475" s="188">
        <f>P3475*E3475</f>
        <v>11011147264</v>
      </c>
      <c r="R3475" s="195">
        <f>Q3475/L3475</f>
        <v>1.1440153001558442</v>
      </c>
      <c r="S3475" s="197">
        <f>(Q3475+K3475)/H3475</f>
        <v>7.0616482618432386</v>
      </c>
      <c r="T3475" s="180"/>
      <c r="U3475" s="189">
        <f>IFERROR(IF(Tableau3[[#This Row],[Dettes]]=0,"",(Tableau3[[#This Row],[Dettes]]/Tableau3[[#This Row],[EBE]])),"")</f>
        <v>2.3195521102497847</v>
      </c>
      <c r="V3475" s="190" t="str">
        <f>IFERROR(Tableau3[[#This Row],[Fonds propres]]/Tableau3[[#This Row],[Total Bilan]],"")</f>
        <v/>
      </c>
      <c r="W3475" s="180"/>
      <c r="X3475" s="191"/>
      <c r="Y3475" s="180"/>
      <c r="Z3475" s="192" t="str">
        <f>IFERROR(Tableau3[[#This Row],[Chiffre d''affaires]]/Tableau3[[#This Row],[Salariés]],"")</f>
        <v/>
      </c>
      <c r="AA3475" s="197"/>
      <c r="AB3475" s="197"/>
      <c r="AC3475" s="177" t="s">
        <v>654</v>
      </c>
    </row>
    <row r="3476" spans="1:29" ht="20.25" customHeight="1">
      <c r="A3476" s="217"/>
      <c r="E3476" s="187"/>
      <c r="G3476" s="202">
        <f>(G3475/G3477)-1</f>
        <v>-6.3722453314453142E-3</v>
      </c>
      <c r="H3476" s="202">
        <f>(H3475/H3477)-1</f>
        <v>4.1255605381165905E-2</v>
      </c>
      <c r="I3476" s="202">
        <f>(I3475/I3477)-1</f>
        <v>-3.2818532818532864E-2</v>
      </c>
      <c r="J3476" s="202">
        <f>(J3475/J3477)-1</f>
        <v>-9.2165898617511122E-3</v>
      </c>
      <c r="K3476" s="188"/>
      <c r="L3476" s="188"/>
      <c r="M3476" s="194"/>
      <c r="N3476" s="188"/>
      <c r="O3476" s="188"/>
      <c r="P3476" s="188"/>
      <c r="Q3476" s="188"/>
      <c r="R3476" s="188"/>
      <c r="S3476" s="188"/>
      <c r="T3476" s="180"/>
      <c r="U3476" s="189" t="str">
        <f>IFERROR(IF(Tableau3[[#This Row],[Dettes]]=0,"",(Tableau3[[#This Row],[Dettes]]/Tableau3[[#This Row],[EBE]])),"")</f>
        <v/>
      </c>
      <c r="V3476" s="190" t="str">
        <f>IFERROR(Tableau3[[#This Row],[Fonds propres]]/Tableau3[[#This Row],[Total Bilan]],"")</f>
        <v/>
      </c>
      <c r="W3476" s="180"/>
      <c r="X3476" s="192"/>
      <c r="Y3476" s="180"/>
      <c r="Z3476" s="192" t="str">
        <f>IFERROR(Tableau3[[#This Row],[Chiffre d''affaires]]/Tableau3[[#This Row],[Salariés]],"")</f>
        <v/>
      </c>
      <c r="AA3476" s="188"/>
      <c r="AB3476" s="188"/>
      <c r="AC3476" s="177" t="s">
        <v>2447</v>
      </c>
    </row>
    <row r="3477" spans="1:29" ht="20.25" customHeight="1">
      <c r="A3477" s="217"/>
      <c r="E3477" s="187">
        <v>92</v>
      </c>
      <c r="F3477" s="178">
        <v>2018</v>
      </c>
      <c r="G3477" s="188">
        <v>11299000000</v>
      </c>
      <c r="H3477" s="188">
        <v>2230000000</v>
      </c>
      <c r="I3477" s="188">
        <v>1554000000</v>
      </c>
      <c r="J3477" s="188">
        <v>1085000000</v>
      </c>
      <c r="K3477" s="188">
        <v>5346000000</v>
      </c>
      <c r="L3477" s="188">
        <v>10624000000</v>
      </c>
      <c r="M3477" s="194">
        <f>L3477/P3477</f>
        <v>100.3434041439408</v>
      </c>
      <c r="N3477" s="190">
        <f>J3477/L3477</f>
        <v>0.10212725903614457</v>
      </c>
      <c r="O3477" s="190">
        <f>(I3477*0.7)/(K3477+L3477)</f>
        <v>6.8115216030056353E-2</v>
      </c>
      <c r="P3477" s="188">
        <v>105876416</v>
      </c>
      <c r="Q3477" s="188">
        <f>P3477*E3477</f>
        <v>9740630272</v>
      </c>
      <c r="R3477" s="195">
        <f>Q3477/L3477</f>
        <v>0.9168514939759036</v>
      </c>
      <c r="S3477" s="197">
        <f>(Q3477+K3477)/H3477</f>
        <v>6.7653050547085201</v>
      </c>
      <c r="T3477" s="180"/>
      <c r="U3477" s="189">
        <f>IFERROR(IF(Tableau3[[#This Row],[Dettes]]=0,"",(Tableau3[[#This Row],[Dettes]]/Tableau3[[#This Row],[EBE]])),"")</f>
        <v>2.3973094170403586</v>
      </c>
      <c r="V3477" s="190" t="str">
        <f>IFERROR(Tableau3[[#This Row],[Fonds propres]]/Tableau3[[#This Row],[Total Bilan]],"")</f>
        <v/>
      </c>
      <c r="W3477" s="180"/>
      <c r="X3477" s="191"/>
      <c r="Y3477" s="180"/>
      <c r="Z3477" s="192" t="str">
        <f>IFERROR(Tableau3[[#This Row],[Chiffre d''affaires]]/Tableau3[[#This Row],[Salariés]],"")</f>
        <v/>
      </c>
      <c r="AA3477" s="197"/>
      <c r="AB3477" s="197"/>
    </row>
    <row r="3478" spans="1:29" ht="20.25" customHeight="1">
      <c r="A3478" s="217"/>
      <c r="E3478" s="187"/>
      <c r="G3478" s="202">
        <f>(G3477/G3479)-1</f>
        <v>3.7462124690111009E-2</v>
      </c>
      <c r="H3478" s="202">
        <f>(H3477/H3479)-1</f>
        <v>0</v>
      </c>
      <c r="I3478" s="202">
        <f>(I3477/I3479)-1</f>
        <v>0.59221311475409832</v>
      </c>
      <c r="J3478" s="202">
        <f>(J3477/J3479)-1</f>
        <v>2.2620169651272448E-2</v>
      </c>
      <c r="K3478" s="188"/>
      <c r="L3478" s="188"/>
      <c r="M3478" s="194"/>
      <c r="N3478" s="188"/>
      <c r="O3478" s="188"/>
      <c r="P3478" s="188"/>
      <c r="Q3478" s="188"/>
      <c r="R3478" s="188"/>
      <c r="S3478" s="188"/>
      <c r="T3478" s="180"/>
      <c r="U3478" s="189" t="str">
        <f>IFERROR(IF(Tableau3[[#This Row],[Dettes]]=0,"",(Tableau3[[#This Row],[Dettes]]/Tableau3[[#This Row],[EBE]])),"")</f>
        <v/>
      </c>
      <c r="V3478" s="190" t="str">
        <f>IFERROR(Tableau3[[#This Row],[Fonds propres]]/Tableau3[[#This Row],[Total Bilan]],"")</f>
        <v/>
      </c>
      <c r="W3478" s="180"/>
      <c r="X3478" s="192"/>
      <c r="Y3478" s="180"/>
      <c r="Z3478" s="192" t="str">
        <f>IFERROR(Tableau3[[#This Row],[Chiffre d''affaires]]/Tableau3[[#This Row],[Salariés]],"")</f>
        <v/>
      </c>
      <c r="AA3478" s="188"/>
      <c r="AB3478" s="188"/>
    </row>
    <row r="3479" spans="1:29" ht="20.25" customHeight="1">
      <c r="A3479" s="217"/>
      <c r="E3479" s="187">
        <v>117</v>
      </c>
      <c r="F3479" s="178">
        <v>2017</v>
      </c>
      <c r="G3479" s="188">
        <v>10891000000</v>
      </c>
      <c r="H3479" s="188">
        <v>2230000000</v>
      </c>
      <c r="I3479" s="188">
        <v>976000000</v>
      </c>
      <c r="J3479" s="188">
        <v>1061000000</v>
      </c>
      <c r="K3479" s="188">
        <v>5105000000</v>
      </c>
      <c r="L3479" s="188">
        <v>9752000000</v>
      </c>
      <c r="M3479" s="194">
        <f>L3479/P3479</f>
        <v>92.107386785740843</v>
      </c>
      <c r="N3479" s="190">
        <f>J3479/L3479</f>
        <v>0.10879819524200164</v>
      </c>
      <c r="O3479" s="190">
        <f>(I3479*0.7)/(K3479+L3479)</f>
        <v>4.5985057548630276E-2</v>
      </c>
      <c r="P3479" s="188">
        <v>105876416</v>
      </c>
      <c r="Q3479" s="188">
        <f>P3479*E3479</f>
        <v>12387540672</v>
      </c>
      <c r="R3479" s="195">
        <f>Q3479/L3479</f>
        <v>1.2702564265791632</v>
      </c>
      <c r="S3479" s="197">
        <f>(Q3479+K3479)/H3479</f>
        <v>7.8441886421524663</v>
      </c>
      <c r="T3479" s="180"/>
      <c r="U3479" s="189">
        <f>IFERROR(IF(Tableau3[[#This Row],[Dettes]]=0,"",(Tableau3[[#This Row],[Dettes]]/Tableau3[[#This Row],[EBE]])),"")</f>
        <v>2.289237668161435</v>
      </c>
      <c r="V3479" s="190" t="str">
        <f>IFERROR(Tableau3[[#This Row],[Fonds propres]]/Tableau3[[#This Row],[Total Bilan]],"")</f>
        <v/>
      </c>
      <c r="W3479" s="180"/>
      <c r="X3479" s="192"/>
      <c r="Y3479" s="180"/>
      <c r="Z3479" s="192" t="str">
        <f>IFERROR(Tableau3[[#This Row],[Chiffre d''affaires]]/Tableau3[[#This Row],[Salariés]],"")</f>
        <v/>
      </c>
      <c r="AA3479" s="188"/>
      <c r="AB3479" s="188"/>
    </row>
    <row r="3480" spans="1:29" ht="20.25" customHeight="1">
      <c r="A3480" s="217"/>
      <c r="E3480" s="187"/>
      <c r="G3480" s="202">
        <f>(G3479/G3481)-1</f>
        <v>-4.4900464789967565E-2</v>
      </c>
      <c r="H3480" s="202">
        <f>(H3479/H3481)-1</f>
        <v>-2.3642732049036774E-2</v>
      </c>
      <c r="I3480" s="202">
        <f>(I3479/I3481)-1</f>
        <v>1.4553014553014609E-2</v>
      </c>
      <c r="J3480" s="202">
        <f>(J3479/J3481)-1</f>
        <v>0.70853462157809988</v>
      </c>
      <c r="K3480" s="188"/>
      <c r="L3480" s="188"/>
      <c r="M3480" s="194"/>
      <c r="N3480" s="188"/>
      <c r="O3480" s="188"/>
      <c r="P3480" s="188"/>
      <c r="Q3480" s="188"/>
      <c r="R3480" s="188"/>
      <c r="S3480" s="188"/>
      <c r="T3480" s="180"/>
      <c r="U3480" s="189" t="str">
        <f>IFERROR(IF(Tableau3[[#This Row],[Dettes]]=0,"",(Tableau3[[#This Row],[Dettes]]/Tableau3[[#This Row],[EBE]])),"")</f>
        <v/>
      </c>
      <c r="V3480" s="190" t="str">
        <f>IFERROR(Tableau3[[#This Row],[Fonds propres]]/Tableau3[[#This Row],[Total Bilan]],"")</f>
        <v/>
      </c>
      <c r="W3480" s="180"/>
      <c r="X3480" s="192"/>
      <c r="Y3480" s="180"/>
      <c r="Z3480" s="192" t="str">
        <f>IFERROR(Tableau3[[#This Row],[Chiffre d''affaires]]/Tableau3[[#This Row],[Salariés]],"")</f>
        <v/>
      </c>
      <c r="AA3480" s="188"/>
      <c r="AB3480" s="188"/>
    </row>
    <row r="3481" spans="1:29" ht="20.25" customHeight="1">
      <c r="A3481" s="217"/>
      <c r="E3481" s="187">
        <v>110.5</v>
      </c>
      <c r="F3481" s="178">
        <v>2016</v>
      </c>
      <c r="G3481" s="188">
        <v>11403000000</v>
      </c>
      <c r="H3481" s="188">
        <v>2284000000</v>
      </c>
      <c r="I3481" s="188">
        <v>962000000</v>
      </c>
      <c r="J3481" s="188">
        <v>621000000</v>
      </c>
      <c r="K3481" s="188">
        <v>4457000000</v>
      </c>
      <c r="L3481" s="188">
        <v>9956000000</v>
      </c>
      <c r="M3481" s="194">
        <f>L3481/P3481</f>
        <v>94.034161488805964</v>
      </c>
      <c r="N3481" s="190">
        <f>J3481/L3481</f>
        <v>6.2374447569304943E-2</v>
      </c>
      <c r="O3481" s="190">
        <f>(I3481*0.7)/(K3481+L3481)</f>
        <v>4.6721709567751332E-2</v>
      </c>
      <c r="P3481" s="188">
        <v>105876416</v>
      </c>
      <c r="Q3481" s="188">
        <f>P3481*E3481</f>
        <v>11699343968</v>
      </c>
      <c r="R3481" s="195">
        <f>Q3481/L3481</f>
        <v>1.1751048581759742</v>
      </c>
      <c r="S3481" s="197">
        <f>(Q3481+K3481)/H3481</f>
        <v>7.073705765323993</v>
      </c>
      <c r="T3481" s="180"/>
      <c r="U3481" s="189">
        <f>IFERROR(IF(Tableau3[[#This Row],[Dettes]]=0,"",(Tableau3[[#This Row],[Dettes]]/Tableau3[[#This Row],[EBE]])),"")</f>
        <v>1.951401050788091</v>
      </c>
      <c r="V3481" s="190" t="str">
        <f>IFERROR(Tableau3[[#This Row],[Fonds propres]]/Tableau3[[#This Row],[Total Bilan]],"")</f>
        <v/>
      </c>
      <c r="W3481" s="180"/>
      <c r="X3481" s="192"/>
      <c r="Y3481" s="180"/>
      <c r="Z3481" s="192" t="str">
        <f>IFERROR(Tableau3[[#This Row],[Chiffre d''affaires]]/Tableau3[[#This Row],[Salariés]],"")</f>
        <v/>
      </c>
      <c r="AA3481" s="188"/>
      <c r="AB3481" s="188"/>
    </row>
    <row r="3482" spans="1:29" ht="20.25" customHeight="1">
      <c r="A3482" s="217"/>
      <c r="E3482" s="187"/>
      <c r="G3482" s="202">
        <f>(G3481/G3483)-1</f>
        <v>3.2225943695120884E-2</v>
      </c>
      <c r="H3482" s="202">
        <f>(H3481/H3483)-1</f>
        <v>0.16828644501278767</v>
      </c>
      <c r="I3482" s="202">
        <f>(I3481/I3483)-1</f>
        <v>0.15486194477791115</v>
      </c>
      <c r="J3482" s="202">
        <f>(J3481/J3483)-1</f>
        <v>0.52955665024630538</v>
      </c>
      <c r="K3482" s="188"/>
      <c r="L3482" s="188"/>
      <c r="M3482" s="194"/>
      <c r="N3482" s="188"/>
      <c r="O3482" s="188"/>
      <c r="P3482" s="188"/>
      <c r="Q3482" s="188"/>
      <c r="R3482" s="188"/>
      <c r="S3482" s="188"/>
      <c r="T3482" s="180"/>
      <c r="U3482" s="189" t="str">
        <f>IFERROR(IF(Tableau3[[#This Row],[Dettes]]=0,"",(Tableau3[[#This Row],[Dettes]]/Tableau3[[#This Row],[EBE]])),"")</f>
        <v/>
      </c>
      <c r="V3482" s="190" t="str">
        <f>IFERROR(Tableau3[[#This Row],[Fonds propres]]/Tableau3[[#This Row],[Total Bilan]],"")</f>
        <v/>
      </c>
      <c r="W3482" s="180"/>
      <c r="X3482" s="192"/>
      <c r="Y3482" s="180"/>
      <c r="Z3482" s="192" t="str">
        <f>IFERROR(Tableau3[[#This Row],[Chiffre d''affaires]]/Tableau3[[#This Row],[Salariés]],"")</f>
        <v/>
      </c>
      <c r="AA3482" s="188"/>
      <c r="AB3482" s="188"/>
    </row>
    <row r="3483" spans="1:29" ht="20.25" customHeight="1">
      <c r="A3483" s="217"/>
      <c r="E3483" s="187">
        <v>98.4</v>
      </c>
      <c r="F3483" s="178">
        <v>2015</v>
      </c>
      <c r="G3483" s="188">
        <v>11047000000</v>
      </c>
      <c r="H3483" s="188">
        <v>1955000000</v>
      </c>
      <c r="I3483" s="188">
        <v>833000000</v>
      </c>
      <c r="J3483" s="188">
        <v>406000000</v>
      </c>
      <c r="K3483" s="188">
        <v>4490000000</v>
      </c>
      <c r="L3483" s="188">
        <v>9668000000</v>
      </c>
      <c r="M3483" s="194">
        <f>L3483/P3483</f>
        <v>91.314008966831665</v>
      </c>
      <c r="N3483" s="190">
        <f>J3483/L3483</f>
        <v>4.1994207695490275E-2</v>
      </c>
      <c r="O3483" s="190">
        <f>(I3483*0.7)/(K3483+L3483)</f>
        <v>4.1185195649102981E-2</v>
      </c>
      <c r="P3483" s="188">
        <v>105876416</v>
      </c>
      <c r="Q3483" s="188">
        <f>P3483*E3483</f>
        <v>10418239334.400002</v>
      </c>
      <c r="R3483" s="195">
        <f>Q3483/L3483</f>
        <v>1.0776002621431529</v>
      </c>
      <c r="S3483" s="197">
        <f>(Q3483+K3483)/H3483</f>
        <v>7.6256978692583131</v>
      </c>
      <c r="T3483" s="180"/>
      <c r="U3483" s="189">
        <f>IFERROR(IF(Tableau3[[#This Row],[Dettes]]=0,"",(Tableau3[[#This Row],[Dettes]]/Tableau3[[#This Row],[EBE]])),"")</f>
        <v>2.296675191815857</v>
      </c>
      <c r="V3483" s="190" t="str">
        <f>IFERROR(Tableau3[[#This Row],[Fonds propres]]/Tableau3[[#This Row],[Total Bilan]],"")</f>
        <v/>
      </c>
      <c r="W3483" s="180"/>
      <c r="X3483" s="192"/>
      <c r="Y3483" s="180"/>
      <c r="Z3483" s="192" t="str">
        <f>IFERROR(Tableau3[[#This Row],[Chiffre d''affaires]]/Tableau3[[#This Row],[Salariés]],"")</f>
        <v/>
      </c>
      <c r="AA3483" s="188"/>
      <c r="AB3483" s="188"/>
    </row>
    <row r="3484" spans="1:29" ht="20.25" customHeight="1">
      <c r="A3484" s="217"/>
      <c r="G3484" s="188"/>
      <c r="H3484" s="188"/>
      <c r="I3484" s="188"/>
      <c r="J3484" s="188"/>
      <c r="K3484" s="188"/>
      <c r="L3484" s="188"/>
      <c r="M3484" s="194"/>
      <c r="N3484" s="190"/>
      <c r="O3484" s="190"/>
      <c r="P3484" s="188"/>
      <c r="Q3484" s="188"/>
      <c r="R3484" s="195"/>
      <c r="S3484" s="197"/>
      <c r="T3484" s="180"/>
      <c r="U3484" s="189" t="str">
        <f>IFERROR(IF(Tableau3[[#This Row],[Dettes]]=0,"",(Tableau3[[#This Row],[Dettes]]/Tableau3[[#This Row],[EBE]])),"")</f>
        <v/>
      </c>
      <c r="V3484" s="190" t="str">
        <f>IFERROR(Tableau3[[#This Row],[Fonds propres]]/Tableau3[[#This Row],[Total Bilan]],"")</f>
        <v/>
      </c>
      <c r="W3484" s="180"/>
      <c r="X3484" s="192"/>
      <c r="Y3484" s="180"/>
      <c r="Z3484" s="192" t="str">
        <f>IFERROR(Tableau3[[#This Row],[Chiffre d''affaires]]/Tableau3[[#This Row],[Salariés]],"")</f>
        <v/>
      </c>
      <c r="AA3484" s="188"/>
      <c r="AB3484" s="188"/>
    </row>
    <row r="3485" spans="1:29" ht="20.25" customHeight="1">
      <c r="A3485" s="217"/>
      <c r="G3485" s="188"/>
      <c r="H3485" s="188"/>
      <c r="I3485" s="188"/>
      <c r="J3485" s="188"/>
      <c r="K3485" s="188"/>
      <c r="L3485" s="188"/>
      <c r="M3485" s="194"/>
      <c r="N3485" s="190"/>
      <c r="O3485" s="190"/>
      <c r="P3485" s="188"/>
      <c r="Q3485" s="188"/>
      <c r="R3485" s="195"/>
      <c r="S3485" s="197"/>
      <c r="T3485" s="180"/>
      <c r="U3485" s="189" t="str">
        <f>IFERROR(IF(Tableau3[[#This Row],[Dettes]]=0,"",(Tableau3[[#This Row],[Dettes]]/Tableau3[[#This Row],[EBE]])),"")</f>
        <v/>
      </c>
      <c r="V3485" s="190" t="str">
        <f>IFERROR(Tableau3[[#This Row],[Fonds propres]]/Tableau3[[#This Row],[Total Bilan]],"")</f>
        <v/>
      </c>
      <c r="W3485" s="180"/>
      <c r="Y3485" s="180"/>
      <c r="Z3485" s="192" t="str">
        <f>IFERROR(Tableau3[[#This Row],[Chiffre d''affaires]]/Tableau3[[#This Row],[Salariés]],"")</f>
        <v/>
      </c>
      <c r="AA3485" s="177"/>
    </row>
    <row r="3486" spans="1:29" ht="20.25" customHeight="1">
      <c r="A3486" s="217"/>
      <c r="G3486" s="188"/>
      <c r="H3486" s="188"/>
      <c r="I3486" s="188"/>
      <c r="J3486" s="188"/>
      <c r="K3486" s="188"/>
      <c r="L3486" s="188"/>
      <c r="M3486" s="194"/>
      <c r="N3486" s="190"/>
      <c r="O3486" s="190"/>
      <c r="P3486" s="188"/>
      <c r="Q3486" s="188"/>
      <c r="R3486" s="195"/>
      <c r="S3486" s="197"/>
      <c r="T3486" s="180"/>
      <c r="U3486" s="189" t="str">
        <f>IFERROR(IF(Tableau3[[#This Row],[Dettes]]=0,"",(Tableau3[[#This Row],[Dettes]]/Tableau3[[#This Row],[EBE]])),"")</f>
        <v/>
      </c>
      <c r="V3486" s="190" t="str">
        <f>IFERROR(Tableau3[[#This Row],[Fonds propres]]/Tableau3[[#This Row],[Total Bilan]],"")</f>
        <v/>
      </c>
      <c r="W3486" s="180"/>
      <c r="Y3486" s="180"/>
      <c r="Z3486" s="192" t="str">
        <f>IFERROR(Tableau3[[#This Row],[Chiffre d''affaires]]/Tableau3[[#This Row],[Salariés]],"")</f>
        <v/>
      </c>
      <c r="AA3486" s="177"/>
    </row>
    <row r="3487" spans="1:29" ht="20.25" customHeight="1">
      <c r="A3487" s="217" t="s">
        <v>2448</v>
      </c>
      <c r="B3487" s="216" t="s">
        <v>2431</v>
      </c>
      <c r="C3487" s="178" t="s">
        <v>84</v>
      </c>
      <c r="D3487" s="178" t="s">
        <v>85</v>
      </c>
      <c r="E3487" s="178">
        <v>80.099999999999994</v>
      </c>
      <c r="F3487" s="178">
        <v>2025</v>
      </c>
      <c r="G3487" s="188">
        <f>G3489</f>
        <v>9544000000</v>
      </c>
      <c r="H3487" s="188">
        <v>1530000000</v>
      </c>
      <c r="I3487" s="188"/>
      <c r="J3487" s="188"/>
      <c r="K3487" s="188"/>
      <c r="L3487" s="188"/>
      <c r="M3487" s="194"/>
      <c r="N3487" s="190"/>
      <c r="O3487" s="190"/>
      <c r="P3487" s="188">
        <v>76060831</v>
      </c>
      <c r="Q3487" s="188">
        <f>P3487*E3487</f>
        <v>6092472563.0999994</v>
      </c>
      <c r="R3487" s="195"/>
      <c r="S3487" s="197"/>
      <c r="T3487" s="180"/>
      <c r="U3487" s="189" t="str">
        <f>IFERROR(IF(Tableau3[[#This Row],[Dettes]]=0,"",(Tableau3[[#This Row],[Dettes]]/Tableau3[[#This Row],[EBE]])),"")</f>
        <v/>
      </c>
      <c r="V3487" s="190" t="str">
        <f>IFERROR(Tableau3[[#This Row],[Fonds propres]]/Tableau3[[#This Row],[Total Bilan]],"")</f>
        <v/>
      </c>
      <c r="W3487" s="180"/>
      <c r="X3487" s="191" t="s">
        <v>318</v>
      </c>
      <c r="Y3487" s="180"/>
      <c r="Z3487" s="192" t="str">
        <f>IFERROR(Tableau3[[#This Row],[Chiffre d''affaires]]/Tableau3[[#This Row],[Salariés]],"")</f>
        <v/>
      </c>
      <c r="AA3487" s="178" t="s">
        <v>5109</v>
      </c>
      <c r="AC3487" s="177" t="s">
        <v>5105</v>
      </c>
    </row>
    <row r="3488" spans="1:29" ht="20.25" customHeight="1">
      <c r="A3488" s="217"/>
      <c r="G3488" s="202">
        <f>(G3487/G3489)-1</f>
        <v>0</v>
      </c>
      <c r="H3488" s="202">
        <f>(H3487/H3489)-1</f>
        <v>-1.3054830287205776E-3</v>
      </c>
      <c r="I3488" s="188"/>
      <c r="J3488" s="188"/>
      <c r="K3488" s="188"/>
      <c r="L3488" s="188"/>
      <c r="M3488" s="194"/>
      <c r="N3488" s="190"/>
      <c r="O3488" s="190"/>
      <c r="P3488" s="188"/>
      <c r="Q3488" s="188"/>
      <c r="R3488" s="195"/>
      <c r="S3488" s="197"/>
      <c r="T3488" s="180"/>
      <c r="U3488" s="189" t="str">
        <f>IFERROR(IF(Tableau3[[#This Row],[Dettes]]=0,"",(Tableau3[[#This Row],[Dettes]]/Tableau3[[#This Row],[EBE]])),"")</f>
        <v/>
      </c>
      <c r="V3488" s="190" t="str">
        <f>IFERROR(Tableau3[[#This Row],[Fonds propres]]/Tableau3[[#This Row],[Total Bilan]],"")</f>
        <v/>
      </c>
      <c r="W3488" s="180"/>
      <c r="X3488" s="192" t="s">
        <v>5122</v>
      </c>
      <c r="Y3488" s="180"/>
      <c r="Z3488" s="192" t="str">
        <f>IFERROR(Tableau3[[#This Row],[Chiffre d''affaires]]/Tableau3[[#This Row],[Salariés]],"")</f>
        <v/>
      </c>
      <c r="AA3488" s="178" t="s">
        <v>1049</v>
      </c>
      <c r="AC3488" s="177" t="s">
        <v>5107</v>
      </c>
    </row>
    <row r="3489" spans="1:29" ht="20.25" customHeight="1">
      <c r="A3489" s="217"/>
      <c r="E3489" s="187">
        <v>73.55</v>
      </c>
      <c r="F3489" s="178">
        <v>2024</v>
      </c>
      <c r="G3489" s="188">
        <v>9544000000</v>
      </c>
      <c r="H3489" s="188">
        <v>1532000000</v>
      </c>
      <c r="I3489" s="188">
        <v>586000000</v>
      </c>
      <c r="J3489" s="188">
        <v>354000000</v>
      </c>
      <c r="K3489" s="188">
        <v>2541000000</v>
      </c>
      <c r="L3489" s="188">
        <v>7526000000</v>
      </c>
      <c r="M3489" s="194">
        <f>L3489/P3489</f>
        <v>98.947117735276919</v>
      </c>
      <c r="N3489" s="190">
        <f>J3489/L3491</f>
        <v>4.914618908788005E-2</v>
      </c>
      <c r="O3489" s="190">
        <f>(I3489*0.75)/(K3491+L3491)</f>
        <v>4.6591752358740593E-2</v>
      </c>
      <c r="P3489" s="188">
        <v>76060831</v>
      </c>
      <c r="Q3489" s="188">
        <f>P3489*E3489</f>
        <v>5594274120.0500002</v>
      </c>
      <c r="R3489" s="195">
        <f>Q3489/L3489</f>
        <v>0.74332635132208347</v>
      </c>
      <c r="S3489" s="197">
        <f>(Q3489+K3489)/H3489</f>
        <v>5.3102311488577021</v>
      </c>
      <c r="T3489" s="180"/>
      <c r="U3489" s="189">
        <f>IFERROR(IF(Tableau3[[#This Row],[Dettes]]=0,"",(Tableau3[[#This Row],[Dettes]]/Tableau3[[#This Row],[EBE]])),"")</f>
        <v>1.6586161879895562</v>
      </c>
      <c r="V3489" s="190">
        <f>IFERROR(Tableau3[[#This Row],[Fonds propres]]/Tableau3[[#This Row],[Total Bilan]],"")</f>
        <v>0.49483858241830497</v>
      </c>
      <c r="W3489" s="180">
        <v>15209000000</v>
      </c>
      <c r="X3489" s="192"/>
      <c r="Y3489" s="180">
        <v>21082</v>
      </c>
      <c r="Z3489" s="192">
        <f>IFERROR(Tableau3[[#This Row],[Chiffre d''affaires]]/Tableau3[[#This Row],[Salariés]],"")</f>
        <v>452708.47168200358</v>
      </c>
      <c r="AA3489" s="188" t="s">
        <v>5110</v>
      </c>
      <c r="AB3489" s="188"/>
      <c r="AC3489" s="177" t="s">
        <v>5115</v>
      </c>
    </row>
    <row r="3490" spans="1:29" ht="20.25" customHeight="1">
      <c r="A3490" s="217"/>
      <c r="G3490" s="202">
        <f>(G3489/G3491)-1</f>
        <v>3.1532478452807045E-3</v>
      </c>
      <c r="H3490" s="202">
        <f>(H3489/H3491)-1</f>
        <v>2.0652898067954784E-2</v>
      </c>
      <c r="I3490" s="202">
        <f>(I3489/I3491)-1</f>
        <v>-0.13950073421439058</v>
      </c>
      <c r="J3490" s="202">
        <f>(J3489/J3491)-1</f>
        <v>-0.15311004784688997</v>
      </c>
      <c r="K3490" s="188"/>
      <c r="L3490" s="188"/>
      <c r="M3490" s="194"/>
      <c r="N3490" s="188"/>
      <c r="O3490" s="190"/>
      <c r="P3490" s="188"/>
      <c r="Q3490" s="188"/>
      <c r="R3490" s="188"/>
      <c r="S3490" s="188"/>
      <c r="T3490" s="180"/>
      <c r="U3490" s="189" t="str">
        <f>IFERROR(IF(Tableau3[[#This Row],[Dettes]]=0,"",(Tableau3[[#This Row],[Dettes]]/Tableau3[[#This Row],[EBE]])),"")</f>
        <v/>
      </c>
      <c r="V3490" s="190" t="str">
        <f>IFERROR(Tableau3[[#This Row],[Fonds propres]]/Tableau3[[#This Row],[Total Bilan]],"")</f>
        <v/>
      </c>
      <c r="W3490" s="180"/>
      <c r="X3490" s="192"/>
      <c r="Y3490" s="180"/>
      <c r="Z3490" s="192" t="str">
        <f>IFERROR(Tableau3[[#This Row],[Chiffre d''affaires]]/Tableau3[[#This Row],[Salariés]],"")</f>
        <v/>
      </c>
      <c r="AA3490" s="188"/>
      <c r="AB3490" s="188"/>
      <c r="AC3490" s="177" t="s">
        <v>5108</v>
      </c>
    </row>
    <row r="3491" spans="1:29" ht="20.25" customHeight="1">
      <c r="A3491" s="217"/>
      <c r="E3491" s="187">
        <v>103</v>
      </c>
      <c r="F3491" s="178">
        <v>2023</v>
      </c>
      <c r="G3491" s="188">
        <v>9514000000</v>
      </c>
      <c r="H3491" s="188">
        <v>1501000000</v>
      </c>
      <c r="I3491" s="188">
        <v>681000000</v>
      </c>
      <c r="J3491" s="188">
        <v>418000000</v>
      </c>
      <c r="K3491" s="188">
        <v>2230000000</v>
      </c>
      <c r="L3491" s="188">
        <v>7203000000</v>
      </c>
      <c r="M3491" s="194">
        <f>L3491/P3491</f>
        <v>95.984311182442767</v>
      </c>
      <c r="N3491" s="190">
        <f>J3491/L3491</f>
        <v>5.8031375815632377E-2</v>
      </c>
      <c r="O3491" s="190">
        <f t="shared" ref="O3491:O3515" si="251">(I3491*0.75)/(K3493+L3493)</f>
        <v>5.6965201873745257E-2</v>
      </c>
      <c r="P3491" s="188">
        <v>75043514</v>
      </c>
      <c r="Q3491" s="188">
        <f>P3491*E3491</f>
        <v>7729481942</v>
      </c>
      <c r="R3491" s="195">
        <f>Q3491/L3491</f>
        <v>1.0730920369290573</v>
      </c>
      <c r="S3491" s="197">
        <f>(Q3491+K3491)/H3491</f>
        <v>6.6352311405729516</v>
      </c>
      <c r="T3491" s="180"/>
      <c r="U3491" s="189">
        <f>IFERROR(IF(Tableau3[[#This Row],[Dettes]]=0,"",(Tableau3[[#This Row],[Dettes]]/Tableau3[[#This Row],[EBE]])),"")</f>
        <v>1.4856762158560959</v>
      </c>
      <c r="V3491" s="190">
        <f>IFERROR(Tableau3[[#This Row],[Fonds propres]]/Tableau3[[#This Row],[Total Bilan]],"")</f>
        <v>0.49617689605290349</v>
      </c>
      <c r="W3491" s="180">
        <v>14517000000</v>
      </c>
      <c r="X3491" s="192"/>
      <c r="Y3491" s="180">
        <v>21125</v>
      </c>
      <c r="Z3491" s="192">
        <f>IFERROR(Tableau3[[#This Row],[Chiffre d''affaires]]/Tableau3[[#This Row],[Salariés]],"")</f>
        <v>450366.86390532542</v>
      </c>
      <c r="AA3491" s="188"/>
      <c r="AB3491" s="188"/>
      <c r="AC3491" s="177" t="s">
        <v>5112</v>
      </c>
    </row>
    <row r="3492" spans="1:29" ht="20.25" customHeight="1">
      <c r="A3492" s="217"/>
      <c r="G3492" s="202">
        <f>(G3491/G3493)-1</f>
        <v>-0.17627705627705625</v>
      </c>
      <c r="H3492" s="202">
        <f>(H3491/H3493)-1</f>
        <v>-0.28862559241706165</v>
      </c>
      <c r="I3492" s="202">
        <f>(I3491/I3493)-1</f>
        <v>-0.47086247086247091</v>
      </c>
      <c r="J3492" s="202">
        <f>(J3491/J3493)-1</f>
        <v>-0.56683937823834196</v>
      </c>
      <c r="K3492" s="188"/>
      <c r="L3492" s="188"/>
      <c r="M3492" s="194"/>
      <c r="N3492" s="188"/>
      <c r="O3492" s="190"/>
      <c r="P3492" s="188"/>
      <c r="Q3492" s="188"/>
      <c r="R3492" s="188"/>
      <c r="S3492" s="188"/>
      <c r="T3492" s="180"/>
      <c r="U3492" s="189" t="str">
        <f>IFERROR(IF(Tableau3[[#This Row],[Dettes]]=0,"",(Tableau3[[#This Row],[Dettes]]/Tableau3[[#This Row],[EBE]])),"")</f>
        <v/>
      </c>
      <c r="V3492" s="190" t="str">
        <f>IFERROR(Tableau3[[#This Row],[Fonds propres]]/Tableau3[[#This Row],[Total Bilan]],"")</f>
        <v/>
      </c>
      <c r="W3492" s="180"/>
      <c r="X3492" s="192"/>
      <c r="Y3492" s="180"/>
      <c r="Z3492" s="192" t="str">
        <f>IFERROR(Tableau3[[#This Row],[Chiffre d''affaires]]/Tableau3[[#This Row],[Salariés]],"")</f>
        <v/>
      </c>
      <c r="AA3492" s="188"/>
      <c r="AB3492" s="188"/>
      <c r="AC3492" s="6" t="s">
        <v>5117</v>
      </c>
    </row>
    <row r="3493" spans="1:29" ht="20.25" customHeight="1">
      <c r="A3493" s="217"/>
      <c r="E3493" s="187">
        <v>83.88</v>
      </c>
      <c r="F3493" s="178">
        <v>2022</v>
      </c>
      <c r="G3493" s="188">
        <v>11550000000</v>
      </c>
      <c r="H3493" s="188">
        <v>2110000000</v>
      </c>
      <c r="I3493" s="188">
        <v>1287000000</v>
      </c>
      <c r="J3493" s="188">
        <v>965000000</v>
      </c>
      <c r="K3493" s="188">
        <v>1666000000</v>
      </c>
      <c r="L3493" s="188">
        <v>7300000000</v>
      </c>
      <c r="M3493" s="194">
        <f>L3493/P3493</f>
        <v>97.276894576125528</v>
      </c>
      <c r="N3493" s="190">
        <f>J3493/L3493</f>
        <v>0.13219178082191782</v>
      </c>
      <c r="O3493" s="190">
        <f t="shared" si="251"/>
        <v>0.1359507042253521</v>
      </c>
      <c r="P3493" s="188">
        <v>75043514</v>
      </c>
      <c r="Q3493" s="188">
        <f>P3493*E3493</f>
        <v>6294649954.3199997</v>
      </c>
      <c r="R3493" s="195">
        <f>Q3493/L3493</f>
        <v>0.86228081566027392</v>
      </c>
      <c r="S3493" s="197">
        <f>(Q3493+K3493)/H3493</f>
        <v>3.7728198835639808</v>
      </c>
      <c r="T3493" s="180"/>
      <c r="U3493" s="189">
        <f>IFERROR(IF(Tableau3[[#This Row],[Dettes]]=0,"",(Tableau3[[#This Row],[Dettes]]/Tableau3[[#This Row],[EBE]])),"")</f>
        <v>0.78957345971563986</v>
      </c>
      <c r="V3493" s="190">
        <f>IFERROR(Tableau3[[#This Row],[Fonds propres]]/Tableau3[[#This Row],[Total Bilan]],"")</f>
        <v>0.54030049589223594</v>
      </c>
      <c r="W3493" s="180">
        <v>13511000000</v>
      </c>
      <c r="X3493" s="192"/>
      <c r="Y3493" s="180">
        <v>21116</v>
      </c>
      <c r="Z3493" s="192">
        <f>IFERROR(Tableau3[[#This Row],[Chiffre d''affaires]]/Tableau3[[#This Row],[Salariés]],"")</f>
        <v>546978.59443076339</v>
      </c>
      <c r="AA3493" s="188"/>
      <c r="AB3493" s="188"/>
      <c r="AC3493" s="10" t="s">
        <v>5118</v>
      </c>
    </row>
    <row r="3494" spans="1:29" ht="20.25" customHeight="1">
      <c r="A3494" s="217"/>
      <c r="G3494" s="202">
        <f>(G3493/G3495)-1</f>
        <v>0.375</v>
      </c>
      <c r="H3494" s="202">
        <f>(H3493/H3495)-1</f>
        <v>0.65287961396252436</v>
      </c>
      <c r="I3494" s="202">
        <f>(I3493/I3495)-1</f>
        <v>1.3399999999999999</v>
      </c>
      <c r="J3494" s="202">
        <f>(J3493/J3495)-1</f>
        <v>1.9242424242424243</v>
      </c>
      <c r="K3494" s="188"/>
      <c r="L3494" s="188"/>
      <c r="M3494" s="194"/>
      <c r="N3494" s="188"/>
      <c r="O3494" s="190"/>
      <c r="P3494" s="188"/>
      <c r="Q3494" s="188"/>
      <c r="R3494" s="188"/>
      <c r="S3494" s="188"/>
      <c r="T3494" s="180"/>
      <c r="U3494" s="189" t="str">
        <f>IFERROR(IF(Tableau3[[#This Row],[Dettes]]=0,"",(Tableau3[[#This Row],[Dettes]]/Tableau3[[#This Row],[EBE]])),"")</f>
        <v/>
      </c>
      <c r="V3494" s="190" t="str">
        <f>IFERROR(Tableau3[[#This Row],[Fonds propres]]/Tableau3[[#This Row],[Total Bilan]],"")</f>
        <v/>
      </c>
      <c r="W3494" s="180"/>
      <c r="X3494" s="192"/>
      <c r="Y3494" s="180"/>
      <c r="Z3494" s="192" t="str">
        <f>IFERROR(Tableau3[[#This Row],[Chiffre d''affaires]]/Tableau3[[#This Row],[Salariés]],"")</f>
        <v/>
      </c>
      <c r="AA3494" s="188"/>
      <c r="AB3494" s="188"/>
      <c r="AC3494" s="10" t="s">
        <v>5121</v>
      </c>
    </row>
    <row r="3495" spans="1:29" ht="20.25" customHeight="1">
      <c r="A3495" s="217"/>
      <c r="E3495" s="187">
        <v>123.85</v>
      </c>
      <c r="F3495" s="178">
        <v>2021</v>
      </c>
      <c r="G3495" s="188">
        <v>8400000000</v>
      </c>
      <c r="H3495" s="188">
        <f>H3497*1.08</f>
        <v>1276560000</v>
      </c>
      <c r="I3495" s="188">
        <v>550000000</v>
      </c>
      <c r="J3495" s="188">
        <v>330000000</v>
      </c>
      <c r="K3495" s="188">
        <v>1900000000</v>
      </c>
      <c r="L3495" s="188">
        <v>5200000000</v>
      </c>
      <c r="M3495" s="194">
        <f>L3495/P3495</f>
        <v>67.764383655043005</v>
      </c>
      <c r="N3495" s="190">
        <f>J3495/L3495</f>
        <v>6.3461538461538458E-2</v>
      </c>
      <c r="O3495" s="190">
        <f t="shared" si="251"/>
        <v>5.8123150627025506E-2</v>
      </c>
      <c r="P3495" s="188">
        <v>76736476</v>
      </c>
      <c r="Q3495" s="188">
        <f>P3495*E3495</f>
        <v>9503812552.6000004</v>
      </c>
      <c r="R3495" s="195">
        <f>Q3495/L3495</f>
        <v>1.8276562601153847</v>
      </c>
      <c r="S3495" s="197">
        <f>(Q3495+K3495)/H3495</f>
        <v>8.9332366301623107</v>
      </c>
      <c r="T3495" s="180"/>
      <c r="U3495" s="189">
        <f>IFERROR(IF(Tableau3[[#This Row],[Dettes]]=0,"",(Tableau3[[#This Row],[Dettes]]/Tableau3[[#This Row],[EBE]])),"")</f>
        <v>1.4883750078335527</v>
      </c>
      <c r="V3495" s="190" t="str">
        <f>IFERROR(Tableau3[[#This Row],[Fonds propres]]/Tableau3[[#This Row],[Total Bilan]],"")</f>
        <v/>
      </c>
      <c r="W3495" s="180"/>
      <c r="Y3495" s="180"/>
      <c r="Z3495" s="192" t="str">
        <f>IFERROR(Tableau3[[#This Row],[Chiffre d''affaires]]/Tableau3[[#This Row],[Salariés]],"")</f>
        <v/>
      </c>
      <c r="AA3495" s="197"/>
      <c r="AB3495" s="197"/>
      <c r="AC3495" s="177" t="s">
        <v>2450</v>
      </c>
    </row>
    <row r="3496" spans="1:29" ht="20.25" customHeight="1">
      <c r="A3496" s="217"/>
      <c r="G3496" s="202">
        <f>(G3495/G3497)-1</f>
        <v>6.5449010654490047E-2</v>
      </c>
      <c r="H3496" s="202">
        <f>(H3495/H3497)-1</f>
        <v>8.0000000000000071E-2</v>
      </c>
      <c r="I3496" s="202">
        <f>(I3495/I3497)-1</f>
        <v>-0.11147011308562194</v>
      </c>
      <c r="J3496" s="202">
        <f>(J3495/J3497)-1</f>
        <v>-6.0240963855421326E-3</v>
      </c>
      <c r="K3496" s="188"/>
      <c r="L3496" s="188"/>
      <c r="M3496" s="194"/>
      <c r="N3496" s="188"/>
      <c r="O3496" s="190"/>
      <c r="P3496" s="188"/>
      <c r="Q3496" s="188"/>
      <c r="R3496" s="188"/>
      <c r="S3496" s="188"/>
      <c r="T3496" s="180"/>
      <c r="U3496" s="189" t="str">
        <f>IFERROR(IF(Tableau3[[#This Row],[Dettes]]=0,"",(Tableau3[[#This Row],[Dettes]]/Tableau3[[#This Row],[EBE]])),"")</f>
        <v/>
      </c>
      <c r="V3496" s="190" t="str">
        <f>IFERROR(Tableau3[[#This Row],[Fonds propres]]/Tableau3[[#This Row],[Total Bilan]],"")</f>
        <v/>
      </c>
      <c r="W3496" s="180"/>
      <c r="Y3496" s="180"/>
      <c r="Z3496" s="192" t="str">
        <f>IFERROR(Tableau3[[#This Row],[Chiffre d''affaires]]/Tableau3[[#This Row],[Salariés]],"")</f>
        <v/>
      </c>
      <c r="AA3496" s="188"/>
      <c r="AB3496" s="188"/>
      <c r="AC3496" s="177" t="s">
        <v>2451</v>
      </c>
    </row>
    <row r="3497" spans="1:29" ht="20.25" customHeight="1">
      <c r="A3497" s="217"/>
      <c r="E3497" s="178">
        <v>93.5</v>
      </c>
      <c r="F3497" s="178">
        <v>2020</v>
      </c>
      <c r="G3497" s="188">
        <v>7884000000</v>
      </c>
      <c r="H3497" s="188">
        <v>1182000000</v>
      </c>
      <c r="I3497" s="188">
        <v>619000000</v>
      </c>
      <c r="J3497" s="188">
        <v>332000000</v>
      </c>
      <c r="K3497" s="188">
        <v>1910000000</v>
      </c>
      <c r="L3497" s="188">
        <v>5187000000</v>
      </c>
      <c r="M3497" s="194">
        <f>L3497/P3497</f>
        <v>67.594972695905398</v>
      </c>
      <c r="N3497" s="190">
        <f>J3497/L3497</f>
        <v>6.4006169269327159E-2</v>
      </c>
      <c r="O3497" s="190">
        <f t="shared" si="251"/>
        <v>6.1053392951078381E-2</v>
      </c>
      <c r="P3497" s="188">
        <v>76736476</v>
      </c>
      <c r="Q3497" s="188">
        <f>P3497*E3497</f>
        <v>7174860506</v>
      </c>
      <c r="R3497" s="195">
        <f>Q3497/L3497</f>
        <v>1.3832389639483325</v>
      </c>
      <c r="S3497" s="197">
        <f>(Q3497+K3497)/H3497</f>
        <v>7.6860071962774956</v>
      </c>
      <c r="T3497" s="180"/>
      <c r="U3497" s="189">
        <f>IFERROR(IF(Tableau3[[#This Row],[Dettes]]=0,"",(Tableau3[[#This Row],[Dettes]]/Tableau3[[#This Row],[EBE]])),"")</f>
        <v>1.6159052453468696</v>
      </c>
      <c r="V3497" s="190" t="str">
        <f>IFERROR(Tableau3[[#This Row],[Fonds propres]]/Tableau3[[#This Row],[Total Bilan]],"")</f>
        <v/>
      </c>
      <c r="W3497" s="180"/>
      <c r="X3497" s="191"/>
      <c r="Y3497" s="180"/>
      <c r="Z3497" s="192" t="str">
        <f>IFERROR(Tableau3[[#This Row],[Chiffre d''affaires]]/Tableau3[[#This Row],[Salariés]],"")</f>
        <v/>
      </c>
      <c r="AA3497" s="197"/>
      <c r="AB3497" s="197"/>
      <c r="AC3497" s="177" t="s">
        <v>2452</v>
      </c>
    </row>
    <row r="3498" spans="1:29" ht="20.25" customHeight="1">
      <c r="A3498" s="217"/>
      <c r="G3498" s="202">
        <f>(G3497/G3499)-1</f>
        <v>-9.7734035248340567E-2</v>
      </c>
      <c r="H3498" s="202">
        <f>(H3497/H3499)-1</f>
        <v>-0.1887439945092656</v>
      </c>
      <c r="I3498" s="202">
        <f>(I3497/I3499)-1</f>
        <v>-0.23200992555831268</v>
      </c>
      <c r="J3498" s="202">
        <f>(J3497/J3499)-1</f>
        <v>-0.38858195211786373</v>
      </c>
      <c r="K3498" s="188"/>
      <c r="L3498" s="188"/>
      <c r="M3498" s="194"/>
      <c r="N3498" s="188"/>
      <c r="O3498" s="190"/>
      <c r="P3498" s="188"/>
      <c r="Q3498" s="188"/>
      <c r="R3498" s="188"/>
      <c r="S3498" s="188"/>
      <c r="T3498" s="180"/>
      <c r="U3498" s="189" t="str">
        <f>IFERROR(IF(Tableau3[[#This Row],[Dettes]]=0,"",(Tableau3[[#This Row],[Dettes]]/Tableau3[[#This Row],[EBE]])),"")</f>
        <v/>
      </c>
      <c r="V3498" s="190" t="str">
        <f>IFERROR(Tableau3[[#This Row],[Fonds propres]]/Tableau3[[#This Row],[Total Bilan]],"")</f>
        <v/>
      </c>
      <c r="W3498" s="180"/>
      <c r="X3498" s="192"/>
      <c r="Y3498" s="180"/>
      <c r="Z3498" s="192" t="str">
        <f>IFERROR(Tableau3[[#This Row],[Chiffre d''affaires]]/Tableau3[[#This Row],[Salariés]],"")</f>
        <v/>
      </c>
      <c r="AA3498" s="188"/>
      <c r="AB3498" s="188"/>
      <c r="AC3498" s="177" t="s">
        <v>2453</v>
      </c>
    </row>
    <row r="3499" spans="1:29" ht="20.25" customHeight="1">
      <c r="A3499" s="217"/>
      <c r="E3499" s="178">
        <v>94.7</v>
      </c>
      <c r="F3499" s="178">
        <v>2019</v>
      </c>
      <c r="G3499" s="188">
        <v>8738000000</v>
      </c>
      <c r="H3499" s="188">
        <v>1457000000</v>
      </c>
      <c r="I3499" s="188">
        <v>806000000</v>
      </c>
      <c r="J3499" s="188">
        <v>543000000</v>
      </c>
      <c r="K3499" s="188">
        <v>2331000000</v>
      </c>
      <c r="L3499" s="188">
        <v>5273000000</v>
      </c>
      <c r="M3499" s="194">
        <f>L3499/P3499</f>
        <v>68.816361197543017</v>
      </c>
      <c r="N3499" s="190">
        <f>J3499/L3499</f>
        <v>0.10297743220178267</v>
      </c>
      <c r="O3499" s="190">
        <f t="shared" si="251"/>
        <v>0.11611601997694967</v>
      </c>
      <c r="P3499" s="188">
        <v>76624220</v>
      </c>
      <c r="Q3499" s="188">
        <f>P3499*E3499</f>
        <v>7256313634</v>
      </c>
      <c r="R3499" s="195">
        <f>Q3499/L3499</f>
        <v>1.3761262344016689</v>
      </c>
      <c r="S3499" s="197">
        <f>(Q3499+K3499)/H3499</f>
        <v>6.5801740796156487</v>
      </c>
      <c r="T3499" s="180"/>
      <c r="U3499" s="189">
        <f>IFERROR(IF(Tableau3[[#This Row],[Dettes]]=0,"",(Tableau3[[#This Row],[Dettes]]/Tableau3[[#This Row],[EBE]])),"")</f>
        <v>1.5998627316403569</v>
      </c>
      <c r="V3499" s="190" t="str">
        <f>IFERROR(Tableau3[[#This Row],[Fonds propres]]/Tableau3[[#This Row],[Total Bilan]],"")</f>
        <v/>
      </c>
      <c r="W3499" s="180"/>
      <c r="X3499" s="191"/>
      <c r="Y3499" s="180"/>
      <c r="Z3499" s="192" t="str">
        <f>IFERROR(Tableau3[[#This Row],[Chiffre d''affaires]]/Tableau3[[#This Row],[Salariés]],"")</f>
        <v/>
      </c>
      <c r="AA3499" s="197"/>
      <c r="AB3499" s="197"/>
      <c r="AC3499" s="177" t="s">
        <v>2454</v>
      </c>
    </row>
    <row r="3500" spans="1:29" ht="20.25" customHeight="1">
      <c r="A3500" s="217"/>
      <c r="G3500" s="202">
        <f>(G3499/G3501)-1</f>
        <v>-8.8475499092558474E-3</v>
      </c>
      <c r="H3500" s="202">
        <f>(H3499/H3501)-1</f>
        <v>-1.1533242876526462E-2</v>
      </c>
      <c r="I3500" s="202">
        <f>(I3499/I3501)-1</f>
        <v>-0.13146551724137934</v>
      </c>
      <c r="J3500" s="202">
        <f>(J3499/J3501)-1</f>
        <v>-0.23196605374823198</v>
      </c>
      <c r="K3500" s="188"/>
      <c r="L3500" s="188"/>
      <c r="M3500" s="194"/>
      <c r="N3500" s="188"/>
      <c r="O3500" s="190"/>
      <c r="P3500" s="188"/>
      <c r="Q3500" s="188"/>
      <c r="R3500" s="188"/>
      <c r="S3500" s="188"/>
      <c r="T3500" s="180"/>
      <c r="U3500" s="189" t="str">
        <f>IFERROR(IF(Tableau3[[#This Row],[Dettes]]=0,"",(Tableau3[[#This Row],[Dettes]]/Tableau3[[#This Row],[EBE]])),"")</f>
        <v/>
      </c>
      <c r="V3500" s="190" t="str">
        <f>IFERROR(Tableau3[[#This Row],[Fonds propres]]/Tableau3[[#This Row],[Total Bilan]],"")</f>
        <v/>
      </c>
      <c r="W3500" s="180"/>
      <c r="X3500" s="192"/>
      <c r="Y3500" s="180"/>
      <c r="Z3500" s="192" t="str">
        <f>IFERROR(Tableau3[[#This Row],[Chiffre d''affaires]]/Tableau3[[#This Row],[Salariés]],"")</f>
        <v/>
      </c>
      <c r="AA3500" s="188"/>
      <c r="AB3500" s="188"/>
      <c r="AC3500" s="254" t="s">
        <v>5113</v>
      </c>
    </row>
    <row r="3501" spans="1:29" ht="20.25" customHeight="1">
      <c r="A3501" s="217"/>
      <c r="E3501" s="187">
        <v>74.959999999999994</v>
      </c>
      <c r="F3501" s="178">
        <v>2018</v>
      </c>
      <c r="G3501" s="188">
        <v>8816000000</v>
      </c>
      <c r="H3501" s="188">
        <v>1474000000</v>
      </c>
      <c r="I3501" s="188">
        <v>928000000</v>
      </c>
      <c r="J3501" s="188">
        <v>707000000</v>
      </c>
      <c r="K3501" s="188">
        <v>1006000000</v>
      </c>
      <c r="L3501" s="188">
        <v>4200000000</v>
      </c>
      <c r="M3501" s="194">
        <f>L3501/P3501</f>
        <v>54.843538436153736</v>
      </c>
      <c r="N3501" s="190">
        <f>J3501/L3501</f>
        <v>0.16833333333333333</v>
      </c>
      <c r="O3501" s="190">
        <f t="shared" si="251"/>
        <v>0.12679905265075606</v>
      </c>
      <c r="P3501" s="188">
        <v>76581492</v>
      </c>
      <c r="Q3501" s="188">
        <f>P3501*E3501</f>
        <v>5740548640.3199997</v>
      </c>
      <c r="R3501" s="195">
        <f>Q3501/L3501</f>
        <v>1.3667972953142857</v>
      </c>
      <c r="S3501" s="197">
        <f>(Q3501+K3501)/H3501</f>
        <v>4.577034355712347</v>
      </c>
      <c r="T3501" s="180"/>
      <c r="U3501" s="189">
        <f>IFERROR(IF(Tableau3[[#This Row],[Dettes]]=0,"",(Tableau3[[#This Row],[Dettes]]/Tableau3[[#This Row],[EBE]])),"")</f>
        <v>0.6824966078697422</v>
      </c>
      <c r="V3501" s="190" t="str">
        <f>IFERROR(Tableau3[[#This Row],[Fonds propres]]/Tableau3[[#This Row],[Total Bilan]],"")</f>
        <v/>
      </c>
      <c r="W3501" s="180"/>
      <c r="X3501" s="191"/>
      <c r="Y3501" s="180"/>
      <c r="Z3501" s="192" t="str">
        <f>IFERROR(Tableau3[[#This Row],[Chiffre d''affaires]]/Tableau3[[#This Row],[Salariés]],"")</f>
        <v/>
      </c>
      <c r="AA3501" s="197"/>
      <c r="AB3501" s="197"/>
      <c r="AC3501" s="177" t="s">
        <v>5119</v>
      </c>
    </row>
    <row r="3502" spans="1:29" ht="20.25" customHeight="1">
      <c r="A3502" s="217"/>
      <c r="G3502" s="202">
        <f>(G3501/G3503)-1</f>
        <v>5.8851789574825952E-2</v>
      </c>
      <c r="H3502" s="202">
        <f>(H3501/H3503)-1</f>
        <v>5.9669302659956847E-2</v>
      </c>
      <c r="I3502" s="202">
        <f>(I3501/I3503)-1</f>
        <v>9.8224852071005841E-2</v>
      </c>
      <c r="J3502" s="202">
        <f>(J3501/J3503)-1</f>
        <v>0.22743055555555558</v>
      </c>
      <c r="K3502" s="188"/>
      <c r="L3502" s="188"/>
      <c r="M3502" s="194"/>
      <c r="N3502" s="188"/>
      <c r="O3502" s="190"/>
      <c r="P3502" s="188"/>
      <c r="Q3502" s="188"/>
      <c r="R3502" s="188"/>
      <c r="S3502" s="188"/>
      <c r="T3502" s="180"/>
      <c r="U3502" s="189" t="str">
        <f>IFERROR(IF(Tableau3[[#This Row],[Dettes]]=0,"",(Tableau3[[#This Row],[Dettes]]/Tableau3[[#This Row],[EBE]])),"")</f>
        <v/>
      </c>
      <c r="V3502" s="190" t="str">
        <f>IFERROR(Tableau3[[#This Row],[Fonds propres]]/Tableau3[[#This Row],[Total Bilan]],"")</f>
        <v/>
      </c>
      <c r="W3502" s="180"/>
      <c r="X3502" s="192"/>
      <c r="Y3502" s="180"/>
      <c r="Z3502" s="192" t="str">
        <f>IFERROR(Tableau3[[#This Row],[Chiffre d''affaires]]/Tableau3[[#This Row],[Salariés]],"")</f>
        <v/>
      </c>
      <c r="AA3502" s="188"/>
      <c r="AB3502" s="188"/>
      <c r="AC3502" s="177" t="s">
        <v>5114</v>
      </c>
    </row>
    <row r="3503" spans="1:29" ht="20.25" customHeight="1">
      <c r="A3503" s="217"/>
      <c r="E3503" s="178">
        <v>101.6</v>
      </c>
      <c r="F3503" s="178">
        <v>2017</v>
      </c>
      <c r="G3503" s="188">
        <v>8326000000</v>
      </c>
      <c r="H3503" s="188">
        <v>1391000000</v>
      </c>
      <c r="I3503" s="188">
        <v>845000000</v>
      </c>
      <c r="J3503" s="188">
        <v>576000000</v>
      </c>
      <c r="K3503" s="188">
        <v>1056000000</v>
      </c>
      <c r="L3503" s="188">
        <v>4433000000</v>
      </c>
      <c r="M3503" s="194">
        <f>L3503/P3503</f>
        <v>58.428501847608608</v>
      </c>
      <c r="N3503" s="190">
        <f>J3503/L3503</f>
        <v>0.12993458154748477</v>
      </c>
      <c r="O3503" s="190">
        <f t="shared" si="251"/>
        <v>0.11145796693633486</v>
      </c>
      <c r="P3503" s="188">
        <v>75870506</v>
      </c>
      <c r="Q3503" s="188">
        <f>P3503*E3503</f>
        <v>7708443409.5999994</v>
      </c>
      <c r="R3503" s="195">
        <f>Q3503/L3503</f>
        <v>1.7388773764042409</v>
      </c>
      <c r="S3503" s="197">
        <f>(Q3503+K3503)/H3503</f>
        <v>6.3008220054636936</v>
      </c>
      <c r="T3503" s="180"/>
      <c r="U3503" s="189">
        <f>IFERROR(IF(Tableau3[[#This Row],[Dettes]]=0,"",(Tableau3[[#This Row],[Dettes]]/Tableau3[[#This Row],[EBE]])),"")</f>
        <v>0.75916606757728256</v>
      </c>
      <c r="V3503" s="190" t="str">
        <f>IFERROR(Tableau3[[#This Row],[Fonds propres]]/Tableau3[[#This Row],[Total Bilan]],"")</f>
        <v/>
      </c>
      <c r="W3503" s="180"/>
      <c r="Y3503" s="180"/>
      <c r="Z3503" s="192" t="str">
        <f>IFERROR(Tableau3[[#This Row],[Chiffre d''affaires]]/Tableau3[[#This Row],[Salariés]],"")</f>
        <v/>
      </c>
      <c r="AA3503" s="177"/>
      <c r="AC3503" s="177" t="s">
        <v>5111</v>
      </c>
    </row>
    <row r="3504" spans="1:29" ht="20.25" customHeight="1">
      <c r="A3504" s="217"/>
      <c r="G3504" s="202">
        <f>(G3503/G3505)-1</f>
        <v>0.10497677504976766</v>
      </c>
      <c r="H3504" s="202">
        <f>(H3503/H3505)-1</f>
        <v>0.16989066442388556</v>
      </c>
      <c r="I3504" s="202">
        <f>(I3503/I3505)-1</f>
        <v>0.17852161785216181</v>
      </c>
      <c r="J3504" s="202">
        <f>(J3503/J3505)-1</f>
        <v>0.34894613583138168</v>
      </c>
      <c r="K3504" s="188"/>
      <c r="L3504" s="188"/>
      <c r="M3504" s="194"/>
      <c r="N3504" s="188"/>
      <c r="O3504" s="190"/>
      <c r="P3504" s="188"/>
      <c r="Q3504" s="188"/>
      <c r="R3504" s="188"/>
      <c r="S3504" s="188"/>
      <c r="T3504" s="180"/>
      <c r="U3504" s="189" t="str">
        <f>IFERROR(IF(Tableau3[[#This Row],[Dettes]]=0,"",(Tableau3[[#This Row],[Dettes]]/Tableau3[[#This Row],[EBE]])),"")</f>
        <v/>
      </c>
      <c r="V3504" s="190" t="str">
        <f>IFERROR(Tableau3[[#This Row],[Fonds propres]]/Tableau3[[#This Row],[Total Bilan]],"")</f>
        <v/>
      </c>
      <c r="W3504" s="180"/>
      <c r="Y3504" s="180"/>
      <c r="Z3504" s="192" t="str">
        <f>IFERROR(Tableau3[[#This Row],[Chiffre d''affaires]]/Tableau3[[#This Row],[Salariés]],"")</f>
        <v/>
      </c>
      <c r="AA3504" s="177"/>
      <c r="AC3504" s="177" t="s">
        <v>5106</v>
      </c>
    </row>
    <row r="3505" spans="1:29" ht="20.25" customHeight="1">
      <c r="A3505" s="217"/>
      <c r="E3505" s="187">
        <v>92.94</v>
      </c>
      <c r="F3505" s="178">
        <v>2016</v>
      </c>
      <c r="G3505" s="188">
        <v>7535000000</v>
      </c>
      <c r="H3505" s="188">
        <v>1189000000</v>
      </c>
      <c r="I3505" s="188">
        <v>717000000</v>
      </c>
      <c r="J3505" s="188">
        <v>427000000</v>
      </c>
      <c r="K3505" s="188">
        <v>1482000000</v>
      </c>
      <c r="L3505" s="188">
        <v>4204000000</v>
      </c>
      <c r="M3505" s="194">
        <f>L3505/P3505</f>
        <v>55.521843454102104</v>
      </c>
      <c r="N3505" s="190">
        <f>J3505/L3505</f>
        <v>0.10156993339676498</v>
      </c>
      <c r="O3505" s="190">
        <f t="shared" si="251"/>
        <v>0.10186588369009282</v>
      </c>
      <c r="P3505" s="188">
        <v>75717947</v>
      </c>
      <c r="Q3505" s="188">
        <f>P3505*E3505</f>
        <v>7037225994.1799994</v>
      </c>
      <c r="R3505" s="195">
        <f>Q3505/L3505</f>
        <v>1.6739357740675544</v>
      </c>
      <c r="S3505" s="197">
        <f>(Q3505+K3505)/H3505</f>
        <v>7.1650344778637507</v>
      </c>
      <c r="T3505" s="180"/>
      <c r="U3505" s="189">
        <f>IFERROR(IF(Tableau3[[#This Row],[Dettes]]=0,"",(Tableau3[[#This Row],[Dettes]]/Tableau3[[#This Row],[EBE]])),"")</f>
        <v>1.2464255677039529</v>
      </c>
      <c r="V3505" s="190" t="str">
        <f>IFERROR(Tableau3[[#This Row],[Fonds propres]]/Tableau3[[#This Row],[Total Bilan]],"")</f>
        <v/>
      </c>
      <c r="W3505" s="180"/>
      <c r="X3505" s="191"/>
      <c r="Y3505" s="180"/>
      <c r="Z3505" s="192" t="str">
        <f>IFERROR(Tableau3[[#This Row],[Chiffre d''affaires]]/Tableau3[[#This Row],[Salariés]],"")</f>
        <v/>
      </c>
      <c r="AA3505" s="197"/>
      <c r="AB3505" s="197"/>
      <c r="AC3505" s="177" t="s">
        <v>2455</v>
      </c>
    </row>
    <row r="3506" spans="1:29" ht="20.25" customHeight="1">
      <c r="A3506" s="217"/>
      <c r="G3506" s="202">
        <f>(G3505/G3507)-1</f>
        <v>-1.9263308603410079E-2</v>
      </c>
      <c r="H3506" s="202">
        <f>(H3505/H3507)-1</f>
        <v>0.12488174077578051</v>
      </c>
      <c r="I3506" s="202">
        <f>(I3505/I3507)-1</f>
        <v>0.46926229508196715</v>
      </c>
      <c r="J3506" s="202">
        <f>(J3505/J3507)-1</f>
        <v>0.49824561403508771</v>
      </c>
      <c r="K3506" s="188"/>
      <c r="L3506" s="188"/>
      <c r="M3506" s="194"/>
      <c r="N3506" s="188"/>
      <c r="O3506" s="190"/>
      <c r="P3506" s="188"/>
      <c r="Q3506" s="188"/>
      <c r="R3506" s="188"/>
      <c r="S3506" s="188"/>
      <c r="T3506" s="180"/>
      <c r="U3506" s="189" t="str">
        <f>IFERROR(IF(Tableau3[[#This Row],[Dettes]]=0,"",(Tableau3[[#This Row],[Dettes]]/Tableau3[[#This Row],[EBE]])),"")</f>
        <v/>
      </c>
      <c r="V3506" s="190" t="str">
        <f>IFERROR(Tableau3[[#This Row],[Fonds propres]]/Tableau3[[#This Row],[Total Bilan]],"")</f>
        <v/>
      </c>
      <c r="W3506" s="180"/>
      <c r="X3506" s="192"/>
      <c r="Y3506" s="180"/>
      <c r="Z3506" s="192" t="str">
        <f>IFERROR(Tableau3[[#This Row],[Chiffre d''affaires]]/Tableau3[[#This Row],[Salariés]],"")</f>
        <v/>
      </c>
      <c r="AA3506" s="188"/>
      <c r="AB3506" s="188"/>
      <c r="AC3506" s="177" t="s">
        <v>5104</v>
      </c>
    </row>
    <row r="3507" spans="1:29" ht="20.25" customHeight="1">
      <c r="A3507" s="217"/>
      <c r="E3507" s="178">
        <v>65.099999999999994</v>
      </c>
      <c r="F3507" s="178">
        <v>2015</v>
      </c>
      <c r="G3507" s="188">
        <v>7683000000</v>
      </c>
      <c r="H3507" s="188">
        <v>1057000000</v>
      </c>
      <c r="I3507" s="188">
        <v>488000000</v>
      </c>
      <c r="J3507" s="188">
        <v>285000000</v>
      </c>
      <c r="K3507" s="188">
        <v>1379000000</v>
      </c>
      <c r="L3507" s="188">
        <v>3900000000</v>
      </c>
      <c r="M3507" s="194">
        <f>L3507/P3507</f>
        <v>52.368604452290128</v>
      </c>
      <c r="N3507" s="190">
        <f>J3507/L3507</f>
        <v>7.3076923076923081E-2</v>
      </c>
      <c r="O3507" s="190">
        <f t="shared" si="251"/>
        <v>9.9375509095845777E-2</v>
      </c>
      <c r="P3507" s="188">
        <v>74472101</v>
      </c>
      <c r="Q3507" s="188">
        <f>P3507*E3507</f>
        <v>4848133775.0999994</v>
      </c>
      <c r="R3507" s="195">
        <f>Q3507/L3507</f>
        <v>1.2431112243846152</v>
      </c>
      <c r="S3507" s="197">
        <f>(Q3507+K3507)/H3507</f>
        <v>5.8913280748344361</v>
      </c>
      <c r="T3507" s="180"/>
      <c r="U3507" s="189">
        <f>IFERROR(IF(Tableau3[[#This Row],[Dettes]]=0,"",(Tableau3[[#This Row],[Dettes]]/Tableau3[[#This Row],[EBE]])),"")</f>
        <v>1.304635761589404</v>
      </c>
      <c r="V3507" s="190" t="str">
        <f>IFERROR(Tableau3[[#This Row],[Fonds propres]]/Tableau3[[#This Row],[Total Bilan]],"")</f>
        <v/>
      </c>
      <c r="W3507" s="180"/>
      <c r="X3507" s="191"/>
      <c r="Y3507" s="180"/>
      <c r="Z3507" s="192" t="str">
        <f>IFERROR(Tableau3[[#This Row],[Chiffre d''affaires]]/Tableau3[[#This Row],[Salariés]],"")</f>
        <v/>
      </c>
      <c r="AA3507" s="197"/>
      <c r="AB3507" s="197"/>
      <c r="AC3507" s="177" t="s">
        <v>5120</v>
      </c>
    </row>
    <row r="3508" spans="1:29" ht="20.25" customHeight="1">
      <c r="A3508" s="217"/>
      <c r="G3508" s="202">
        <f>(G3507/G3509)-1</f>
        <v>0.29082661290322576</v>
      </c>
      <c r="H3508" s="202">
        <f>(H3507/H3509)-1</f>
        <v>0.34821428571428581</v>
      </c>
      <c r="I3508" s="202">
        <f>(I3507/I3509)-1</f>
        <v>0.34065934065934056</v>
      </c>
      <c r="J3508" s="202">
        <f>(J3507/J3509)-1</f>
        <v>0.70658682634730541</v>
      </c>
      <c r="K3508" s="188"/>
      <c r="L3508" s="188"/>
      <c r="M3508" s="194"/>
      <c r="N3508" s="188"/>
      <c r="O3508" s="190"/>
      <c r="P3508" s="188"/>
      <c r="Q3508" s="188"/>
      <c r="R3508" s="188"/>
      <c r="S3508" s="188"/>
      <c r="T3508" s="180"/>
      <c r="U3508" s="189" t="str">
        <f>IFERROR(IF(Tableau3[[#This Row],[Dettes]]=0,"",(Tableau3[[#This Row],[Dettes]]/Tableau3[[#This Row],[EBE]])),"")</f>
        <v/>
      </c>
      <c r="V3508" s="190" t="str">
        <f>IFERROR(Tableau3[[#This Row],[Fonds propres]]/Tableau3[[#This Row],[Total Bilan]],"")</f>
        <v/>
      </c>
      <c r="W3508" s="180"/>
      <c r="X3508" s="192"/>
      <c r="Y3508" s="180"/>
      <c r="Z3508" s="192" t="str">
        <f>IFERROR(Tableau3[[#This Row],[Chiffre d''affaires]]/Tableau3[[#This Row],[Salariés]],"")</f>
        <v/>
      </c>
      <c r="AA3508" s="188"/>
      <c r="AB3508" s="188"/>
      <c r="AC3508" s="177" t="s">
        <v>3102</v>
      </c>
    </row>
    <row r="3509" spans="1:29" ht="20.25" customHeight="1">
      <c r="A3509" s="217"/>
      <c r="E3509" s="178">
        <v>54.4</v>
      </c>
      <c r="F3509" s="178">
        <v>2014</v>
      </c>
      <c r="G3509" s="188">
        <v>5952000000</v>
      </c>
      <c r="H3509" s="188">
        <v>784000000</v>
      </c>
      <c r="I3509" s="188">
        <v>364000000</v>
      </c>
      <c r="J3509" s="188">
        <v>167000000</v>
      </c>
      <c r="K3509" s="188">
        <v>154000000</v>
      </c>
      <c r="L3509" s="188">
        <v>3529000000</v>
      </c>
      <c r="M3509" s="194">
        <f>L3509/P3509</f>
        <v>48.460167534310564</v>
      </c>
      <c r="N3509" s="190">
        <f>J3509/L3509</f>
        <v>4.7322187588552E-2</v>
      </c>
      <c r="O3509" s="190">
        <f t="shared" si="251"/>
        <v>8.4389489953632144E-2</v>
      </c>
      <c r="P3509" s="188">
        <v>72822695</v>
      </c>
      <c r="Q3509" s="188">
        <f>P3509*E3509</f>
        <v>3961554608</v>
      </c>
      <c r="R3509" s="195">
        <f>Q3509/L3509</f>
        <v>1.1225714389345423</v>
      </c>
      <c r="S3509" s="197">
        <f>(Q3509+K3509)/H3509</f>
        <v>5.2494318979591839</v>
      </c>
      <c r="T3509" s="180"/>
      <c r="U3509" s="189">
        <f>IFERROR(IF(Tableau3[[#This Row],[Dettes]]=0,"",(Tableau3[[#This Row],[Dettes]]/Tableau3[[#This Row],[EBE]])),"")</f>
        <v>0.19642857142857142</v>
      </c>
      <c r="V3509" s="190" t="str">
        <f>IFERROR(Tableau3[[#This Row],[Fonds propres]]/Tableau3[[#This Row],[Total Bilan]],"")</f>
        <v/>
      </c>
      <c r="W3509" s="180"/>
      <c r="X3509" s="191"/>
      <c r="Y3509" s="180"/>
      <c r="Z3509" s="192" t="str">
        <f>IFERROR(Tableau3[[#This Row],[Chiffre d''affaires]]/Tableau3[[#This Row],[Salariés]],"")</f>
        <v/>
      </c>
      <c r="AA3509" s="197"/>
      <c r="AB3509" s="197"/>
      <c r="AC3509" s="177" t="s">
        <v>2457</v>
      </c>
    </row>
    <row r="3510" spans="1:29" ht="20.25" customHeight="1">
      <c r="A3510" s="217"/>
      <c r="G3510" s="202">
        <f>(G3509/G3511)-1</f>
        <v>-2.3942276156116771E-2</v>
      </c>
      <c r="H3510" s="202">
        <f>(H3509/H3511)-1</f>
        <v>-0.13082039911308208</v>
      </c>
      <c r="I3510" s="202">
        <f>(I3509/I3511)-1</f>
        <v>-4.9608355091383838E-2</v>
      </c>
      <c r="J3510" s="202">
        <f>(J3509/J3511)-1</f>
        <v>-5.9523809523809312E-3</v>
      </c>
      <c r="K3510" s="188"/>
      <c r="L3510" s="188"/>
      <c r="M3510" s="194"/>
      <c r="N3510" s="188"/>
      <c r="O3510" s="190"/>
      <c r="P3510" s="188"/>
      <c r="Q3510" s="188"/>
      <c r="R3510" s="188"/>
      <c r="S3510" s="188"/>
      <c r="T3510" s="180"/>
      <c r="U3510" s="189" t="str">
        <f>IFERROR(IF(Tableau3[[#This Row],[Dettes]]=0,"",(Tableau3[[#This Row],[Dettes]]/Tableau3[[#This Row],[EBE]])),"")</f>
        <v/>
      </c>
      <c r="V3510" s="190" t="str">
        <f>IFERROR(Tableau3[[#This Row],[Fonds propres]]/Tableau3[[#This Row],[Total Bilan]],"")</f>
        <v/>
      </c>
      <c r="W3510" s="180"/>
      <c r="X3510" s="192"/>
      <c r="Y3510" s="180"/>
      <c r="Z3510" s="192" t="str">
        <f>IFERROR(Tableau3[[#This Row],[Chiffre d''affaires]]/Tableau3[[#This Row],[Salariés]],"")</f>
        <v/>
      </c>
      <c r="AA3510" s="188"/>
      <c r="AB3510" s="188"/>
    </row>
    <row r="3511" spans="1:29" ht="20.25" customHeight="1">
      <c r="A3511" s="217"/>
      <c r="E3511" s="178">
        <v>77.3</v>
      </c>
      <c r="F3511" s="178">
        <v>2013</v>
      </c>
      <c r="G3511" s="188">
        <v>6098000000</v>
      </c>
      <c r="H3511" s="188">
        <v>902000000</v>
      </c>
      <c r="I3511" s="188">
        <v>383000000</v>
      </c>
      <c r="J3511" s="188">
        <v>168000000</v>
      </c>
      <c r="K3511" s="188">
        <v>923000000</v>
      </c>
      <c r="L3511" s="188">
        <v>2312000000</v>
      </c>
      <c r="M3511" s="194">
        <f>L3511/P3511</f>
        <v>36.681124826058166</v>
      </c>
      <c r="N3511" s="190">
        <f>J3511/L3511</f>
        <v>7.2664359861591699E-2</v>
      </c>
      <c r="O3511" s="190">
        <f t="shared" si="251"/>
        <v>9.0273412947831547E-2</v>
      </c>
      <c r="P3511" s="188">
        <v>63029692</v>
      </c>
      <c r="Q3511" s="188">
        <f>P3511*E3511</f>
        <v>4872195191.5999994</v>
      </c>
      <c r="R3511" s="195">
        <f>Q3511/L3511</f>
        <v>2.1073508614186847</v>
      </c>
      <c r="S3511" s="197">
        <f>(Q3511+K3511)/H3511</f>
        <v>6.424828372062084</v>
      </c>
      <c r="T3511" s="180"/>
      <c r="U3511" s="189">
        <f>IFERROR(IF(Tableau3[[#This Row],[Dettes]]=0,"",(Tableau3[[#This Row],[Dettes]]/Tableau3[[#This Row],[EBE]])),"")</f>
        <v>1.0232815964523281</v>
      </c>
      <c r="V3511" s="190" t="str">
        <f>IFERROR(Tableau3[[#This Row],[Fonds propres]]/Tableau3[[#This Row],[Total Bilan]],"")</f>
        <v/>
      </c>
      <c r="W3511" s="180"/>
      <c r="X3511" s="191"/>
      <c r="Y3511" s="180"/>
      <c r="Z3511" s="192" t="str">
        <f>IFERROR(Tableau3[[#This Row],[Chiffre d''affaires]]/Tableau3[[#This Row],[Salariés]],"")</f>
        <v/>
      </c>
      <c r="AA3511" s="197"/>
      <c r="AB3511" s="197"/>
    </row>
    <row r="3512" spans="1:29" ht="20.25" customHeight="1">
      <c r="A3512" s="217"/>
      <c r="G3512" s="202">
        <f>(G3511/G3513)-1</f>
        <v>-0.12069214131218453</v>
      </c>
      <c r="H3512" s="202">
        <f>(H3511/H3513)-1</f>
        <v>-9.4377510040160595E-2</v>
      </c>
      <c r="I3512" s="202">
        <f>(I3511/I3513)-1</f>
        <v>-0.41167434715821816</v>
      </c>
      <c r="J3512" s="202">
        <f>(J3511/J3513)-1</f>
        <v>-0.23636363636363633</v>
      </c>
      <c r="K3512" s="188"/>
      <c r="L3512" s="188"/>
      <c r="M3512" s="194"/>
      <c r="N3512" s="188"/>
      <c r="O3512" s="190"/>
      <c r="P3512" s="188"/>
      <c r="Q3512" s="188"/>
      <c r="R3512" s="188"/>
      <c r="S3512" s="188"/>
      <c r="T3512" s="180"/>
      <c r="U3512" s="189" t="str">
        <f>IFERROR(IF(Tableau3[[#This Row],[Dettes]]=0,"",(Tableau3[[#This Row],[Dettes]]/Tableau3[[#This Row],[EBE]])),"")</f>
        <v/>
      </c>
      <c r="V3512" s="190" t="str">
        <f>IFERROR(Tableau3[[#This Row],[Fonds propres]]/Tableau3[[#This Row],[Total Bilan]],"")</f>
        <v/>
      </c>
      <c r="W3512" s="180"/>
      <c r="X3512" s="192"/>
      <c r="Y3512" s="180"/>
      <c r="Z3512" s="192" t="str">
        <f>IFERROR(Tableau3[[#This Row],[Chiffre d''affaires]]/Tableau3[[#This Row],[Salariés]],"")</f>
        <v/>
      </c>
      <c r="AA3512" s="188"/>
      <c r="AB3512" s="188"/>
    </row>
    <row r="3513" spans="1:29" ht="20.25" customHeight="1">
      <c r="A3513" s="217"/>
      <c r="E3513" s="187">
        <v>78</v>
      </c>
      <c r="F3513" s="178">
        <v>2012</v>
      </c>
      <c r="G3513" s="188">
        <v>6935000000</v>
      </c>
      <c r="H3513" s="188">
        <v>996000000</v>
      </c>
      <c r="I3513" s="188">
        <v>651000000</v>
      </c>
      <c r="J3513" s="188">
        <v>220000000</v>
      </c>
      <c r="K3513" s="188">
        <v>900000000</v>
      </c>
      <c r="L3513" s="188">
        <v>2282000000</v>
      </c>
      <c r="M3513" s="194">
        <f>L3513/P3513</f>
        <v>36.292956041389559</v>
      </c>
      <c r="N3513" s="190">
        <f>J3513/L3513</f>
        <v>9.6406660823838738E-2</v>
      </c>
      <c r="O3513" s="190">
        <f t="shared" si="251"/>
        <v>0.17481203007518797</v>
      </c>
      <c r="P3513" s="188">
        <v>62877215</v>
      </c>
      <c r="Q3513" s="188">
        <f>P3513*E3513</f>
        <v>4904422770</v>
      </c>
      <c r="R3513" s="195">
        <f>Q3513/L3513</f>
        <v>2.1491773751095531</v>
      </c>
      <c r="S3513" s="197">
        <f>(Q3513+K3513)/H3513</f>
        <v>5.827733704819277</v>
      </c>
      <c r="T3513" s="180"/>
      <c r="U3513" s="189">
        <f>IFERROR(IF(Tableau3[[#This Row],[Dettes]]=0,"",(Tableau3[[#This Row],[Dettes]]/Tableau3[[#This Row],[EBE]])),"")</f>
        <v>0.90361445783132532</v>
      </c>
      <c r="V3513" s="190" t="str">
        <f>IFERROR(Tableau3[[#This Row],[Fonds propres]]/Tableau3[[#This Row],[Total Bilan]],"")</f>
        <v/>
      </c>
      <c r="W3513" s="180"/>
      <c r="X3513" s="191"/>
      <c r="Y3513" s="180"/>
      <c r="Z3513" s="192" t="str">
        <f>IFERROR(Tableau3[[#This Row],[Chiffre d''affaires]]/Tableau3[[#This Row],[Salariés]],"")</f>
        <v/>
      </c>
      <c r="AA3513" s="197"/>
      <c r="AB3513" s="197"/>
    </row>
    <row r="3514" spans="1:29" ht="20.25" customHeight="1">
      <c r="A3514" s="217"/>
      <c r="G3514" s="202">
        <f>(G3513/G3515)-1</f>
        <v>0.17542372881355939</v>
      </c>
      <c r="H3514" s="202">
        <f>(H3513/H3515)-1</f>
        <v>-3.675048355899424E-2</v>
      </c>
      <c r="I3514" s="202">
        <f>(I3513/I3515)-1</f>
        <v>-9.2050209205020939E-2</v>
      </c>
      <c r="J3514" s="202">
        <f>(J3513/J3515)-1</f>
        <v>-12.578947368421053</v>
      </c>
      <c r="K3514" s="188"/>
      <c r="L3514" s="188"/>
      <c r="M3514" s="194"/>
      <c r="N3514" s="188"/>
      <c r="O3514" s="190"/>
      <c r="P3514" s="188"/>
      <c r="Q3514" s="188"/>
      <c r="R3514" s="188"/>
      <c r="S3514" s="188"/>
      <c r="T3514" s="180"/>
      <c r="U3514" s="189" t="str">
        <f>IFERROR(IF(Tableau3[[#This Row],[Dettes]]=0,"",(Tableau3[[#This Row],[Dettes]]/Tableau3[[#This Row],[EBE]])),"")</f>
        <v/>
      </c>
      <c r="V3514" s="190" t="str">
        <f>IFERROR(Tableau3[[#This Row],[Fonds propres]]/Tableau3[[#This Row],[Total Bilan]],"")</f>
        <v/>
      </c>
      <c r="W3514" s="180"/>
      <c r="X3514" s="192"/>
      <c r="Y3514" s="180"/>
      <c r="Z3514" s="192" t="str">
        <f>IFERROR(Tableau3[[#This Row],[Chiffre d''affaires]]/Tableau3[[#This Row],[Salariés]],"")</f>
        <v/>
      </c>
      <c r="AA3514" s="188"/>
      <c r="AB3514" s="188"/>
    </row>
    <row r="3515" spans="1:29" ht="20.25" customHeight="1">
      <c r="A3515" s="217"/>
      <c r="E3515" s="178">
        <v>51.8</v>
      </c>
      <c r="F3515" s="178">
        <v>2011</v>
      </c>
      <c r="G3515" s="188">
        <v>5900000000</v>
      </c>
      <c r="H3515" s="188">
        <v>1034000000</v>
      </c>
      <c r="I3515" s="188">
        <v>717000000</v>
      </c>
      <c r="J3515" s="188">
        <v>-19000000</v>
      </c>
      <c r="K3515" s="188">
        <v>603000000</v>
      </c>
      <c r="L3515" s="188">
        <v>2190000000</v>
      </c>
      <c r="M3515" s="194">
        <f>L3515/P3515</f>
        <v>35.388461974944093</v>
      </c>
      <c r="N3515" s="190">
        <f>J3515/L3515</f>
        <v>-8.6757990867579911E-3</v>
      </c>
      <c r="O3515" s="190">
        <f t="shared" si="251"/>
        <v>0.23249027237354086</v>
      </c>
      <c r="P3515" s="188">
        <v>61884577</v>
      </c>
      <c r="Q3515" s="188">
        <f>P3515*E3515</f>
        <v>3205621088.5999999</v>
      </c>
      <c r="R3515" s="195">
        <f>Q3515/L3515</f>
        <v>1.4637539217351598</v>
      </c>
      <c r="S3515" s="197">
        <f>(Q3515+K3515)/H3515</f>
        <v>3.6833859657640233</v>
      </c>
      <c r="T3515" s="180"/>
      <c r="U3515" s="189">
        <f>IFERROR(IF(Tableau3[[#This Row],[Dettes]]=0,"",(Tableau3[[#This Row],[Dettes]]/Tableau3[[#This Row],[EBE]])),"")</f>
        <v>0.5831721470019342</v>
      </c>
      <c r="V3515" s="190" t="str">
        <f>IFERROR(Tableau3[[#This Row],[Fonds propres]]/Tableau3[[#This Row],[Total Bilan]],"")</f>
        <v/>
      </c>
      <c r="W3515" s="180"/>
      <c r="X3515" s="191"/>
      <c r="Y3515" s="180"/>
      <c r="Z3515" s="192" t="str">
        <f>IFERROR(Tableau3[[#This Row],[Chiffre d''affaires]]/Tableau3[[#This Row],[Salariés]],"")</f>
        <v/>
      </c>
      <c r="AA3515" s="197"/>
      <c r="AB3515" s="197"/>
    </row>
    <row r="3516" spans="1:29" ht="20.25" customHeight="1">
      <c r="A3516" s="217"/>
      <c r="G3516" s="202">
        <f>(G3515/G3517)-1</f>
        <v>0.21174779215444639</v>
      </c>
      <c r="H3516" s="202">
        <f>(H3515/H3517)-1</f>
        <v>0.27812113720642762</v>
      </c>
      <c r="I3516" s="202">
        <f>(I3515/I3517)-1</f>
        <v>0.29656419529837241</v>
      </c>
      <c r="J3516" s="202">
        <f>(J3515/J3517)-1</f>
        <v>-1.0547550432276658</v>
      </c>
      <c r="K3516" s="188"/>
      <c r="L3516" s="188"/>
      <c r="M3516" s="194"/>
      <c r="N3516" s="188"/>
      <c r="O3516" s="188"/>
      <c r="P3516" s="188"/>
      <c r="Q3516" s="188"/>
      <c r="R3516" s="188"/>
      <c r="S3516" s="188"/>
      <c r="T3516" s="180"/>
      <c r="U3516" s="189" t="str">
        <f>IFERROR(IF(Tableau3[[#This Row],[Dettes]]=0,"",(Tableau3[[#This Row],[Dettes]]/Tableau3[[#This Row],[EBE]])),"")</f>
        <v/>
      </c>
      <c r="V3516" s="190" t="str">
        <f>IFERROR(Tableau3[[#This Row],[Fonds propres]]/Tableau3[[#This Row],[Total Bilan]],"")</f>
        <v/>
      </c>
      <c r="W3516" s="180"/>
      <c r="X3516" s="192"/>
      <c r="Y3516" s="180"/>
      <c r="Z3516" s="192" t="str">
        <f>IFERROR(Tableau3[[#This Row],[Chiffre d''affaires]]/Tableau3[[#This Row],[Salariés]],"")</f>
        <v/>
      </c>
      <c r="AA3516" s="188"/>
      <c r="AB3516" s="188"/>
    </row>
    <row r="3517" spans="1:29" ht="20.25" customHeight="1">
      <c r="A3517" s="217"/>
      <c r="E3517" s="178">
        <v>50.8</v>
      </c>
      <c r="F3517" s="178">
        <v>2010</v>
      </c>
      <c r="G3517" s="188">
        <v>4869000000</v>
      </c>
      <c r="H3517" s="188">
        <v>809000000</v>
      </c>
      <c r="I3517" s="188">
        <v>553000000</v>
      </c>
      <c r="J3517" s="188">
        <v>347000000</v>
      </c>
      <c r="K3517" s="188">
        <v>94000000</v>
      </c>
      <c r="L3517" s="188">
        <v>2219000000</v>
      </c>
      <c r="M3517" s="194">
        <f>L3517/P3517</f>
        <v>36.084942165058152</v>
      </c>
      <c r="N3517" s="190">
        <f>J3517/L3517</f>
        <v>0.15637674628210907</v>
      </c>
      <c r="O3517" s="190">
        <f>(I3517*0.7)/(K3517+L3517)</f>
        <v>0.16735840899265023</v>
      </c>
      <c r="P3517" s="188">
        <v>61493794</v>
      </c>
      <c r="Q3517" s="188">
        <f>P3517*E3517</f>
        <v>3123884735.1999998</v>
      </c>
      <c r="R3517" s="195">
        <f>Q3517/L3517</f>
        <v>1.4077894255069849</v>
      </c>
      <c r="S3517" s="197">
        <f>(Q3517+K3517)/H3517</f>
        <v>3.9776078309023482</v>
      </c>
      <c r="T3517" s="180"/>
      <c r="U3517" s="189">
        <f>IFERROR(IF(Tableau3[[#This Row],[Dettes]]=0,"",(Tableau3[[#This Row],[Dettes]]/Tableau3[[#This Row],[EBE]])),"")</f>
        <v>0.11619283065512979</v>
      </c>
      <c r="V3517" s="190" t="str">
        <f>IFERROR(Tableau3[[#This Row],[Fonds propres]]/Tableau3[[#This Row],[Total Bilan]],"")</f>
        <v/>
      </c>
      <c r="W3517" s="180"/>
      <c r="X3517" s="191"/>
      <c r="Y3517" s="180"/>
      <c r="Z3517" s="192" t="str">
        <f>IFERROR(Tableau3[[#This Row],[Chiffre d''affaires]]/Tableau3[[#This Row],[Salariés]],"")</f>
        <v/>
      </c>
      <c r="AA3517" s="197"/>
      <c r="AB3517" s="197"/>
    </row>
    <row r="3518" spans="1:29" ht="20.25" customHeight="1">
      <c r="A3518" s="217"/>
      <c r="G3518" s="188"/>
      <c r="H3518" s="188"/>
      <c r="I3518" s="188"/>
      <c r="J3518" s="188"/>
      <c r="K3518" s="188"/>
      <c r="L3518" s="188"/>
      <c r="M3518" s="194"/>
      <c r="N3518" s="188"/>
      <c r="O3518" s="188"/>
      <c r="P3518" s="188"/>
      <c r="Q3518" s="188"/>
      <c r="R3518" s="188"/>
      <c r="S3518" s="188"/>
      <c r="T3518" s="180"/>
      <c r="U3518" s="189" t="str">
        <f>IFERROR(IF(Tableau3[[#This Row],[Dettes]]=0,"",(Tableau3[[#This Row],[Dettes]]/Tableau3[[#This Row],[EBE]])),"")</f>
        <v/>
      </c>
      <c r="V3518" s="190" t="str">
        <f>IFERROR(Tableau3[[#This Row],[Fonds propres]]/Tableau3[[#This Row],[Total Bilan]],"")</f>
        <v/>
      </c>
      <c r="W3518" s="180"/>
      <c r="X3518" s="192"/>
      <c r="Y3518" s="180"/>
      <c r="Z3518" s="192" t="str">
        <f>IFERROR(Tableau3[[#This Row],[Chiffre d''affaires]]/Tableau3[[#This Row],[Salariés]],"")</f>
        <v/>
      </c>
      <c r="AA3518" s="188"/>
      <c r="AB3518" s="188"/>
    </row>
    <row r="3519" spans="1:29" ht="20.25" customHeight="1">
      <c r="A3519" s="217"/>
      <c r="G3519" s="188"/>
      <c r="H3519" s="188"/>
      <c r="I3519" s="188"/>
      <c r="J3519" s="188"/>
      <c r="K3519" s="188"/>
      <c r="L3519" s="188"/>
      <c r="M3519" s="194"/>
      <c r="N3519" s="188"/>
      <c r="O3519" s="188"/>
      <c r="P3519" s="188"/>
      <c r="Q3519" s="188"/>
      <c r="R3519" s="188"/>
      <c r="S3519" s="188"/>
      <c r="T3519" s="180"/>
      <c r="U3519" s="189" t="str">
        <f>IFERROR(IF(Tableau3[[#This Row],[Dettes]]=0,"",(Tableau3[[#This Row],[Dettes]]/Tableau3[[#This Row],[EBE]])),"")</f>
        <v/>
      </c>
      <c r="V3519" s="190" t="str">
        <f>IFERROR(Tableau3[[#This Row],[Fonds propres]]/Tableau3[[#This Row],[Total Bilan]],"")</f>
        <v/>
      </c>
      <c r="W3519" s="180"/>
      <c r="X3519" s="192"/>
      <c r="Y3519" s="180"/>
      <c r="Z3519" s="192" t="str">
        <f>IFERROR(Tableau3[[#This Row],[Chiffre d''affaires]]/Tableau3[[#This Row],[Salariés]],"")</f>
        <v/>
      </c>
      <c r="AA3519" s="188"/>
      <c r="AB3519" s="188"/>
    </row>
    <row r="3520" spans="1:29" ht="20.25" customHeight="1">
      <c r="A3520" s="217"/>
      <c r="G3520" s="188"/>
      <c r="H3520" s="188"/>
      <c r="I3520" s="188"/>
      <c r="J3520" s="188"/>
      <c r="K3520" s="188"/>
      <c r="L3520" s="188"/>
      <c r="M3520" s="194"/>
      <c r="N3520" s="188"/>
      <c r="O3520" s="188"/>
      <c r="P3520" s="188"/>
      <c r="Q3520" s="188"/>
      <c r="R3520" s="188"/>
      <c r="S3520" s="188"/>
      <c r="T3520" s="180"/>
      <c r="U3520" s="189" t="str">
        <f>IFERROR(IF(Tableau3[[#This Row],[Dettes]]=0,"",(Tableau3[[#This Row],[Dettes]]/Tableau3[[#This Row],[EBE]])),"")</f>
        <v/>
      </c>
      <c r="V3520" s="190" t="str">
        <f>IFERROR(Tableau3[[#This Row],[Fonds propres]]/Tableau3[[#This Row],[Total Bilan]],"")</f>
        <v/>
      </c>
      <c r="W3520" s="180"/>
      <c r="X3520" s="192"/>
      <c r="Y3520" s="180"/>
      <c r="Z3520" s="192" t="str">
        <f>IFERROR(Tableau3[[#This Row],[Chiffre d''affaires]]/Tableau3[[#This Row],[Salariés]],"")</f>
        <v/>
      </c>
      <c r="AA3520" s="188"/>
      <c r="AB3520" s="188"/>
    </row>
    <row r="3521" spans="1:29" ht="20.25" customHeight="1">
      <c r="A3521" s="217" t="s">
        <v>2458</v>
      </c>
      <c r="B3521" s="216" t="s">
        <v>2459</v>
      </c>
      <c r="C3521" s="178" t="s">
        <v>84</v>
      </c>
      <c r="D3521" s="178" t="s">
        <v>85</v>
      </c>
      <c r="F3521" s="178">
        <v>2025</v>
      </c>
      <c r="G3521" s="188"/>
      <c r="H3521" s="188"/>
      <c r="I3521" s="188"/>
      <c r="J3521" s="188"/>
      <c r="K3521" s="188"/>
      <c r="L3521" s="188"/>
      <c r="M3521" s="194"/>
      <c r="N3521" s="188"/>
      <c r="O3521" s="188"/>
      <c r="P3521" s="188"/>
      <c r="Q3521" s="188"/>
      <c r="R3521" s="188"/>
      <c r="S3521" s="188"/>
      <c r="T3521" s="180"/>
      <c r="U3521" s="189" t="str">
        <f>IFERROR(IF(Tableau3[[#This Row],[Dettes]]=0,"",(Tableau3[[#This Row],[Dettes]]/Tableau3[[#This Row],[EBE]])),"")</f>
        <v/>
      </c>
      <c r="V3521" s="190" t="str">
        <f>IFERROR(Tableau3[[#This Row],[Fonds propres]]/Tableau3[[#This Row],[Total Bilan]],"")</f>
        <v/>
      </c>
      <c r="W3521" s="180"/>
      <c r="X3521" s="182" t="s">
        <v>1181</v>
      </c>
      <c r="Y3521" s="180"/>
      <c r="Z3521" s="192" t="str">
        <f>IFERROR(Tableau3[[#This Row],[Chiffre d''affaires]]/Tableau3[[#This Row],[Salariés]],"")</f>
        <v/>
      </c>
      <c r="AA3521" s="188"/>
      <c r="AB3521" s="188"/>
      <c r="AC3521" s="177" t="s">
        <v>2460</v>
      </c>
    </row>
    <row r="3522" spans="1:29" ht="20.25" customHeight="1">
      <c r="A3522" s="217"/>
      <c r="G3522" s="188"/>
      <c r="H3522" s="188"/>
      <c r="I3522" s="188"/>
      <c r="J3522" s="188"/>
      <c r="K3522" s="188"/>
      <c r="L3522" s="188"/>
      <c r="M3522" s="194"/>
      <c r="N3522" s="188"/>
      <c r="O3522" s="188"/>
      <c r="P3522" s="188"/>
      <c r="Q3522" s="188"/>
      <c r="R3522" s="188"/>
      <c r="S3522" s="188"/>
      <c r="T3522" s="180"/>
      <c r="U3522" s="189" t="str">
        <f>IFERROR(IF(Tableau3[[#This Row],[Dettes]]=0,"",(Tableau3[[#This Row],[Dettes]]/Tableau3[[#This Row],[EBE]])),"")</f>
        <v/>
      </c>
      <c r="V3522" s="190" t="str">
        <f>IFERROR(Tableau3[[#This Row],[Fonds propres]]/Tableau3[[#This Row],[Total Bilan]],"")</f>
        <v/>
      </c>
      <c r="W3522" s="180"/>
      <c r="X3522" s="192"/>
      <c r="Y3522" s="180"/>
      <c r="Z3522" s="192" t="str">
        <f>IFERROR(Tableau3[[#This Row],[Chiffre d''affaires]]/Tableau3[[#This Row],[Salariés]],"")</f>
        <v/>
      </c>
      <c r="AA3522" s="188"/>
      <c r="AB3522" s="188"/>
      <c r="AC3522" s="177" t="s">
        <v>2462</v>
      </c>
    </row>
    <row r="3523" spans="1:29" ht="20.25" customHeight="1">
      <c r="A3523" s="217"/>
      <c r="E3523" s="178">
        <v>240.9</v>
      </c>
      <c r="F3523" s="178">
        <v>2024</v>
      </c>
      <c r="G3523" s="188">
        <v>38153000000</v>
      </c>
      <c r="H3523" s="188">
        <v>7083000000</v>
      </c>
      <c r="I3523" s="188">
        <v>6677000000</v>
      </c>
      <c r="J3523" s="188">
        <v>4269000000</v>
      </c>
      <c r="K3523" s="188">
        <v>8147000000</v>
      </c>
      <c r="L3523" s="188">
        <v>30490000000</v>
      </c>
      <c r="M3523" s="268">
        <f t="shared" ref="M3523" si="252">L3523/P3523</f>
        <v>54.352282653261312</v>
      </c>
      <c r="N3523" s="189">
        <f t="shared" ref="N3523" si="253">J3523/L3523</f>
        <v>0.14001311905542801</v>
      </c>
      <c r="O3523" s="189">
        <f t="shared" ref="O3523" si="254">(I3523*0.7)/(K3523+L3523)</f>
        <v>0.12096953697233222</v>
      </c>
      <c r="P3523" s="188">
        <v>560970000</v>
      </c>
      <c r="Q3523" s="180">
        <f t="shared" ref="Q3523" si="255">P3523*E3523</f>
        <v>135137673000</v>
      </c>
      <c r="R3523" s="195">
        <f t="shared" ref="R3523" si="256">Q3523/L3523</f>
        <v>4.4321965562479502</v>
      </c>
      <c r="S3523" s="197">
        <f t="shared" ref="S3523" si="257">(Q3523+K3523)/H3523</f>
        <v>20.229376394183255</v>
      </c>
      <c r="T3523" s="180">
        <v>4216000000</v>
      </c>
      <c r="U3523" s="189">
        <f>IFERROR(IF(Tableau3[[#This Row],[Dettes]]=0,"",(Tableau3[[#This Row],[Dettes]]/Tableau3[[#This Row],[EBE]])),"")</f>
        <v>1.1502188338274741</v>
      </c>
      <c r="V3523" s="190" t="str">
        <f>IFERROR(Tableau3[[#This Row],[Fonds propres]]/Tableau3[[#This Row],[Total Bilan]],"")</f>
        <v/>
      </c>
      <c r="W3523" s="180"/>
      <c r="Y3523" s="180">
        <v>168044</v>
      </c>
      <c r="Z3523" s="192">
        <f>IFERROR(Tableau3[[#This Row],[Chiffre d''affaires]]/Tableau3[[#This Row],[Salariés]],"")</f>
        <v>227041.72716669444</v>
      </c>
      <c r="AA3523" s="188"/>
      <c r="AB3523" s="188"/>
      <c r="AC3523" s="177" t="s">
        <v>2463</v>
      </c>
    </row>
    <row r="3524" spans="1:29" ht="20.25" customHeight="1">
      <c r="A3524" s="217"/>
      <c r="G3524" s="202">
        <f>(G3523/G3525)-1</f>
        <v>6.2698456910478484E-2</v>
      </c>
      <c r="H3524" s="202">
        <f>(H3523/H3525)-1</f>
        <v>0.10464753587024322</v>
      </c>
      <c r="I3524" s="202">
        <f>(I3523/I3525)-1</f>
        <v>0.10987367021276606</v>
      </c>
      <c r="J3524" s="202">
        <f>(J3523/J3525)-1</f>
        <v>6.6450162378216326E-2</v>
      </c>
      <c r="K3524" s="188"/>
      <c r="L3524" s="188"/>
      <c r="M3524" s="268"/>
      <c r="N3524" s="180"/>
      <c r="O3524" s="180"/>
      <c r="P3524" s="188"/>
      <c r="Q3524" s="180"/>
      <c r="R3524" s="188"/>
      <c r="S3524" s="188"/>
      <c r="T3524" s="180"/>
      <c r="U3524" s="189" t="str">
        <f>IFERROR(IF(Tableau3[[#This Row],[Dettes]]=0,"",(Tableau3[[#This Row],[Dettes]]/Tableau3[[#This Row],[EBE]])),"")</f>
        <v/>
      </c>
      <c r="V3524" s="190" t="str">
        <f>IFERROR(Tableau3[[#This Row],[Fonds propres]]/Tableau3[[#This Row],[Total Bilan]],"")</f>
        <v/>
      </c>
      <c r="W3524" s="180"/>
      <c r="X3524" s="192"/>
      <c r="Y3524" s="180"/>
      <c r="Z3524" s="192" t="str">
        <f>IFERROR(Tableau3[[#This Row],[Chiffre d''affaires]]/Tableau3[[#This Row],[Salariés]],"")</f>
        <v/>
      </c>
      <c r="AA3524" s="188"/>
      <c r="AB3524" s="188"/>
      <c r="AC3524" s="177" t="s">
        <v>2464</v>
      </c>
    </row>
    <row r="3525" spans="1:29" ht="20.25" customHeight="1">
      <c r="A3525" s="217"/>
      <c r="E3525" s="187">
        <v>181.78</v>
      </c>
      <c r="F3525" s="178">
        <v>2023</v>
      </c>
      <c r="G3525" s="188">
        <v>35902000000</v>
      </c>
      <c r="H3525" s="188">
        <v>6412000000</v>
      </c>
      <c r="I3525" s="188">
        <v>6016000000</v>
      </c>
      <c r="J3525" s="188">
        <v>4003000000</v>
      </c>
      <c r="K3525" s="188">
        <v>9367000000</v>
      </c>
      <c r="L3525" s="188">
        <v>26462000000</v>
      </c>
      <c r="M3525" s="268">
        <f t="shared" ref="M3525" si="258">L3525/P3525</f>
        <v>47.171863022978059</v>
      </c>
      <c r="N3525" s="189">
        <f t="shared" ref="N3525" si="259">J3525/L3525</f>
        <v>0.15127352429899479</v>
      </c>
      <c r="O3525" s="189">
        <f t="shared" ref="O3525" si="260">(I3525*0.7)/(K3525+L3525)</f>
        <v>0.11753607412989477</v>
      </c>
      <c r="P3525" s="188">
        <v>560970000</v>
      </c>
      <c r="Q3525" s="180">
        <f t="shared" ref="Q3525" si="261">P3525*E3525</f>
        <v>101973126600</v>
      </c>
      <c r="R3525" s="195">
        <f t="shared" ref="R3525" si="262">Q3525/L3525</f>
        <v>3.8535683848537525</v>
      </c>
      <c r="S3525" s="197">
        <f t="shared" ref="S3525" si="263">(Q3525+K3525)/H3525</f>
        <v>17.364336650031191</v>
      </c>
      <c r="T3525" s="180">
        <v>4594000000</v>
      </c>
      <c r="U3525" s="189">
        <f>IFERROR(IF(Tableau3[[#This Row],[Dettes]]=0,"",(Tableau3[[#This Row],[Dettes]]/Tableau3[[#This Row],[EBE]])),"")</f>
        <v>1.4608546475358704</v>
      </c>
      <c r="V3525" s="190">
        <f>IFERROR(Tableau3[[#This Row],[Fonds propres]]/Tableau3[[#This Row],[Total Bilan]],"")</f>
        <v>0.4492775768688772</v>
      </c>
      <c r="W3525" s="180">
        <v>58899000000</v>
      </c>
      <c r="X3525" s="192"/>
      <c r="Y3525" s="180">
        <v>168044</v>
      </c>
      <c r="Z3525" s="192">
        <f>IFERROR(Tableau3[[#This Row],[Chiffre d''affaires]]/Tableau3[[#This Row],[Salariés]],"")</f>
        <v>213646.42593606436</v>
      </c>
      <c r="AA3525" s="188"/>
      <c r="AB3525" s="188"/>
      <c r="AC3525" s="177" t="s">
        <v>1435</v>
      </c>
    </row>
    <row r="3526" spans="1:29" ht="20.25" customHeight="1">
      <c r="A3526" s="217"/>
      <c r="G3526" s="202">
        <f>(G3525/G3527)-1</f>
        <v>5.0503277153558068E-2</v>
      </c>
      <c r="H3526" s="202">
        <f>(H3525/H3527)-1</f>
        <v>6.5647332557753124E-2</v>
      </c>
      <c r="I3526" s="202">
        <f>(I3525/I3527)-1</f>
        <v>0.21954186093654982</v>
      </c>
      <c r="J3526" s="202">
        <f>(J3525/J3527)-1</f>
        <v>0.15127983894161634</v>
      </c>
      <c r="K3526" s="188"/>
      <c r="L3526" s="188"/>
      <c r="M3526" s="268"/>
      <c r="N3526" s="180"/>
      <c r="O3526" s="180"/>
      <c r="P3526" s="188"/>
      <c r="Q3526" s="180"/>
      <c r="R3526" s="188"/>
      <c r="S3526" s="188"/>
      <c r="T3526" s="180"/>
      <c r="U3526" s="189" t="str">
        <f>IFERROR(IF(Tableau3[[#This Row],[Dettes]]=0,"",(Tableau3[[#This Row],[Dettes]]/Tableau3[[#This Row],[EBE]])),"")</f>
        <v/>
      </c>
      <c r="V3526" s="190" t="str">
        <f>IFERROR(Tableau3[[#This Row],[Fonds propres]]/Tableau3[[#This Row],[Total Bilan]],"")</f>
        <v/>
      </c>
      <c r="W3526" s="180"/>
      <c r="X3526" s="192"/>
      <c r="Y3526" s="180"/>
      <c r="Z3526" s="192" t="str">
        <f>IFERROR(Tableau3[[#This Row],[Chiffre d''affaires]]/Tableau3[[#This Row],[Salariés]],"")</f>
        <v/>
      </c>
      <c r="AA3526" s="188"/>
      <c r="AB3526" s="188"/>
      <c r="AC3526" s="177" t="s">
        <v>2465</v>
      </c>
    </row>
    <row r="3527" spans="1:29" ht="20.25" customHeight="1">
      <c r="A3527" s="217"/>
      <c r="E3527" s="187">
        <v>130.72</v>
      </c>
      <c r="F3527" s="178">
        <v>2022</v>
      </c>
      <c r="G3527" s="180">
        <v>34176000000</v>
      </c>
      <c r="H3527" s="180">
        <v>6017000000</v>
      </c>
      <c r="I3527" s="180">
        <v>4933000000</v>
      </c>
      <c r="J3527" s="180">
        <v>3477000000</v>
      </c>
      <c r="K3527" s="180">
        <v>11225000000</v>
      </c>
      <c r="L3527" s="180">
        <v>25439000000</v>
      </c>
      <c r="M3527" s="268">
        <f>L3527/P3527</f>
        <v>44.544414865895355</v>
      </c>
      <c r="N3527" s="189">
        <f>J3527/L3527</f>
        <v>0.13667990093950233</v>
      </c>
      <c r="O3527" s="189">
        <f>(I3527*0.7)/(K3527+L3527)</f>
        <v>9.4182304167575823E-2</v>
      </c>
      <c r="P3527" s="180">
        <v>571092921</v>
      </c>
      <c r="Q3527" s="180">
        <f>P3527*E3527</f>
        <v>74653266633.119995</v>
      </c>
      <c r="R3527" s="195">
        <f>Q3527/L3527</f>
        <v>2.9345991050402924</v>
      </c>
      <c r="S3527" s="197">
        <f>(Q3527+K3527)/H3527</f>
        <v>14.27260539024763</v>
      </c>
      <c r="T3527" s="180">
        <v>3330000000</v>
      </c>
      <c r="U3527" s="189">
        <f>IFERROR(IF(Tableau3[[#This Row],[Dettes]]=0,"",(Tableau3[[#This Row],[Dettes]]/Tableau3[[#This Row],[EBE]])),"")</f>
        <v>1.8655476150905768</v>
      </c>
      <c r="V3527" s="190">
        <f>IFERROR(Tableau3[[#This Row],[Fonds propres]]/Tableau3[[#This Row],[Total Bilan]],"")</f>
        <v>0.43583813048245612</v>
      </c>
      <c r="W3527" s="180">
        <v>58368000000</v>
      </c>
      <c r="X3527" s="192"/>
      <c r="Y3527" s="180">
        <v>162339</v>
      </c>
      <c r="Z3527" s="192">
        <f>IFERROR(Tableau3[[#This Row],[Chiffre d''affaires]]/Tableau3[[#This Row],[Salariés]],"")</f>
        <v>210522.42529521557</v>
      </c>
      <c r="AA3527" s="180"/>
      <c r="AB3527" s="188"/>
      <c r="AC3527" s="177" t="s">
        <v>2466</v>
      </c>
    </row>
    <row r="3528" spans="1:29" ht="20.25" customHeight="1">
      <c r="A3528" s="217"/>
      <c r="G3528" s="202">
        <f>(G3527/G3529)-1</f>
        <v>0.26577777777777767</v>
      </c>
      <c r="H3528" s="202">
        <f>(H3527/H3529)-1</f>
        <v>0.30804347826086964</v>
      </c>
      <c r="I3528" s="202">
        <f>(I3527/I3529)-1</f>
        <v>0.23324999999999996</v>
      </c>
      <c r="J3528" s="202">
        <f>(J3527/J3529)-1</f>
        <v>0.15900000000000003</v>
      </c>
      <c r="K3528" s="180"/>
      <c r="L3528" s="180"/>
      <c r="M3528" s="268"/>
      <c r="N3528" s="180"/>
      <c r="O3528" s="180"/>
      <c r="P3528" s="180"/>
      <c r="Q3528" s="180"/>
      <c r="R3528" s="188"/>
      <c r="S3528" s="188"/>
      <c r="T3528" s="180"/>
      <c r="U3528" s="189" t="str">
        <f>IFERROR(IF(Tableau3[[#This Row],[Dettes]]=0,"",(Tableau3[[#This Row],[Dettes]]/Tableau3[[#This Row],[EBE]])),"")</f>
        <v/>
      </c>
      <c r="V3528" s="190" t="str">
        <f>IFERROR(Tableau3[[#This Row],[Fonds propres]]/Tableau3[[#This Row],[Total Bilan]],"")</f>
        <v/>
      </c>
      <c r="W3528" s="180"/>
      <c r="X3528" s="192"/>
      <c r="Y3528" s="180"/>
      <c r="Z3528" s="192" t="str">
        <f>IFERROR(Tableau3[[#This Row],[Chiffre d''affaires]]/Tableau3[[#This Row],[Salariés]],"")</f>
        <v/>
      </c>
      <c r="AA3528" s="180"/>
      <c r="AB3528" s="188"/>
      <c r="AC3528" s="177" t="s">
        <v>2467</v>
      </c>
    </row>
    <row r="3529" spans="1:29" ht="20.25" customHeight="1">
      <c r="A3529" s="217"/>
      <c r="E3529" s="187">
        <v>172.46</v>
      </c>
      <c r="F3529" s="178">
        <v>2021</v>
      </c>
      <c r="G3529" s="180">
        <v>27000000000</v>
      </c>
      <c r="H3529" s="180">
        <v>4600000000</v>
      </c>
      <c r="I3529" s="180">
        <v>4000000000</v>
      </c>
      <c r="J3529" s="180">
        <v>3000000000</v>
      </c>
      <c r="K3529" s="180">
        <v>7873000000</v>
      </c>
      <c r="L3529" s="180">
        <v>22000000000</v>
      </c>
      <c r="M3529" s="268">
        <f>L3529/P3529</f>
        <v>38.796014707604442</v>
      </c>
      <c r="N3529" s="189">
        <f>J3529/L3529</f>
        <v>0.13636363636363635</v>
      </c>
      <c r="O3529" s="189">
        <f>(I3529*0.7)/(K3529+L3529)</f>
        <v>9.3730124192414555E-2</v>
      </c>
      <c r="P3529" s="180">
        <v>567068555</v>
      </c>
      <c r="Q3529" s="180">
        <f>P3529*E3529</f>
        <v>97796642995.300003</v>
      </c>
      <c r="R3529" s="195">
        <f>Q3529/L3529</f>
        <v>4.4453019543318186</v>
      </c>
      <c r="S3529" s="197">
        <f>(Q3529+K3529)/H3529</f>
        <v>22.97166152071739</v>
      </c>
      <c r="T3529" s="180">
        <v>2799000000</v>
      </c>
      <c r="U3529" s="189">
        <f>IFERROR(IF(Tableau3[[#This Row],[Dettes]]=0,"",(Tableau3[[#This Row],[Dettes]]/Tableau3[[#This Row],[EBE]])),"")</f>
        <v>1.7115217391304347</v>
      </c>
      <c r="V3529" s="190">
        <f>IFERROR(Tableau3[[#This Row],[Fonds propres]]/Tableau3[[#This Row],[Total Bilan]],"")</f>
        <v>0.40332190587933342</v>
      </c>
      <c r="W3529" s="180">
        <v>54547000000</v>
      </c>
      <c r="Y3529" s="180">
        <v>166025</v>
      </c>
      <c r="Z3529" s="192">
        <f>IFERROR(Tableau3[[#This Row],[Chiffre d''affaires]]/Tableau3[[#This Row],[Salariés]],"")</f>
        <v>162626.11052552325</v>
      </c>
      <c r="AC3529" s="177" t="s">
        <v>2468</v>
      </c>
    </row>
    <row r="3530" spans="1:29" ht="20.25" customHeight="1">
      <c r="A3530" s="217"/>
      <c r="G3530" s="202">
        <f>(G3529/G3531)-1</f>
        <v>0.17391304347826098</v>
      </c>
      <c r="H3530" s="202">
        <f>(H3529/H3531)-1</f>
        <v>0.53333333333333344</v>
      </c>
      <c r="I3530" s="202">
        <f>(I3529/I3531)-1</f>
        <v>0.3793103448275863</v>
      </c>
      <c r="J3530" s="202">
        <f>(J3529/J3531)-1</f>
        <v>0.5</v>
      </c>
      <c r="L3530" s="180"/>
      <c r="M3530" s="268"/>
      <c r="P3530" s="180"/>
      <c r="R3530" s="178"/>
      <c r="S3530" s="178"/>
      <c r="T3530" s="180"/>
      <c r="U3530" s="189" t="str">
        <f>IFERROR(IF(Tableau3[[#This Row],[Dettes]]=0,"",(Tableau3[[#This Row],[Dettes]]/Tableau3[[#This Row],[EBE]])),"")</f>
        <v/>
      </c>
      <c r="V3530" s="190" t="str">
        <f>IFERROR(Tableau3[[#This Row],[Fonds propres]]/Tableau3[[#This Row],[Total Bilan]],"")</f>
        <v/>
      </c>
      <c r="W3530" s="180"/>
      <c r="Y3530" s="180"/>
      <c r="Z3530" s="192" t="str">
        <f>IFERROR(Tableau3[[#This Row],[Chiffre d''affaires]]/Tableau3[[#This Row],[Salariés]],"")</f>
        <v/>
      </c>
      <c r="AC3530" s="177" t="s">
        <v>2469</v>
      </c>
    </row>
    <row r="3531" spans="1:29" ht="20.25" customHeight="1">
      <c r="A3531" s="217"/>
      <c r="E3531" s="187">
        <v>118.3</v>
      </c>
      <c r="F3531" s="178">
        <v>2020</v>
      </c>
      <c r="G3531" s="180">
        <v>23000000000</v>
      </c>
      <c r="H3531" s="180">
        <v>3000000000</v>
      </c>
      <c r="I3531" s="180">
        <v>2900000000</v>
      </c>
      <c r="J3531" s="180">
        <v>2000000000</v>
      </c>
      <c r="K3531" s="180">
        <v>4770000000</v>
      </c>
      <c r="L3531" s="180">
        <v>20623000000</v>
      </c>
      <c r="M3531" s="268">
        <f>L3531/P3531</f>
        <v>36.367736877951202</v>
      </c>
      <c r="N3531" s="189">
        <f>J3531/L3531</f>
        <v>9.6979101003733692E-2</v>
      </c>
      <c r="O3531" s="189">
        <f>(I3531*0.7)/(K3531+L3531)</f>
        <v>7.9943291458275889E-2</v>
      </c>
      <c r="P3531" s="180">
        <v>567068555</v>
      </c>
      <c r="Q3531" s="180">
        <f>P3531*E3531</f>
        <v>67084210056.5</v>
      </c>
      <c r="R3531" s="195">
        <f>Q3531/L3531</f>
        <v>3.2528831914125007</v>
      </c>
      <c r="S3531" s="197">
        <f>(Q3531+K3531)/H3531</f>
        <v>23.951403352166668</v>
      </c>
      <c r="T3531" s="180">
        <v>3673000000</v>
      </c>
      <c r="U3531" s="189">
        <f>IFERROR(IF(Tableau3[[#This Row],[Dettes]]=0,"",(Tableau3[[#This Row],[Dettes]]/Tableau3[[#This Row],[EBE]])),"")</f>
        <v>1.59</v>
      </c>
      <c r="V3531" s="190">
        <f>IFERROR(Tableau3[[#This Row],[Fonds propres]]/Tableau3[[#This Row],[Total Bilan]],"")</f>
        <v>0.41677781819651588</v>
      </c>
      <c r="W3531" s="180">
        <v>49482000000</v>
      </c>
      <c r="Y3531" s="180">
        <v>155466</v>
      </c>
      <c r="Z3531" s="192">
        <f>IFERROR(Tableau3[[#This Row],[Chiffre d''affaires]]/Tableau3[[#This Row],[Salariés]],"")</f>
        <v>147942.31536155817</v>
      </c>
      <c r="AC3531" s="177" t="s">
        <v>2470</v>
      </c>
    </row>
    <row r="3532" spans="1:29" ht="20.25" customHeight="1">
      <c r="A3532" s="217"/>
      <c r="E3532" s="187"/>
      <c r="G3532" s="202">
        <f>(G3531/G3533)-1</f>
        <v>-0.15310405773621028</v>
      </c>
      <c r="H3532" s="202">
        <f>(H3531/H3533)-1</f>
        <v>-0.16013437849944012</v>
      </c>
      <c r="I3532" s="202">
        <f>(I3531/I3533)-1</f>
        <v>-0.14680788467196237</v>
      </c>
      <c r="J3532" s="202">
        <f>(J3531/J3533)-1</f>
        <v>-0.20729290527150213</v>
      </c>
      <c r="L3532" s="180"/>
      <c r="M3532" s="268"/>
      <c r="P3532" s="180"/>
      <c r="R3532" s="178"/>
      <c r="S3532" s="178"/>
      <c r="T3532" s="180"/>
      <c r="U3532" s="189" t="str">
        <f>IFERROR(IF(Tableau3[[#This Row],[Dettes]]=0,"",(Tableau3[[#This Row],[Dettes]]/Tableau3[[#This Row],[EBE]])),"")</f>
        <v/>
      </c>
      <c r="V3532" s="190" t="str">
        <f>IFERROR(Tableau3[[#This Row],[Fonds propres]]/Tableau3[[#This Row],[Total Bilan]],"")</f>
        <v/>
      </c>
      <c r="W3532" s="180"/>
      <c r="Y3532" s="180"/>
      <c r="Z3532" s="192" t="str">
        <f>IFERROR(Tableau3[[#This Row],[Chiffre d''affaires]]/Tableau3[[#This Row],[Salariés]],"")</f>
        <v/>
      </c>
      <c r="AC3532" s="177" t="s">
        <v>1944</v>
      </c>
    </row>
    <row r="3533" spans="1:29" ht="20.25" customHeight="1">
      <c r="A3533" s="217"/>
      <c r="E3533" s="187">
        <v>91.54</v>
      </c>
      <c r="F3533" s="178">
        <v>2019</v>
      </c>
      <c r="G3533" s="180">
        <v>27158000000</v>
      </c>
      <c r="H3533" s="180">
        <v>3572000000</v>
      </c>
      <c r="I3533" s="180">
        <v>3399000000</v>
      </c>
      <c r="J3533" s="180">
        <v>2523000000</v>
      </c>
      <c r="K3533" s="180">
        <v>3792000000</v>
      </c>
      <c r="L3533" s="180">
        <v>21561000000</v>
      </c>
      <c r="M3533" s="268">
        <f>L3533/P3533</f>
        <v>37.042000175236957</v>
      </c>
      <c r="N3533" s="189">
        <f>J3533/L3533</f>
        <v>0.11701683595380548</v>
      </c>
      <c r="O3533" s="189">
        <f>(I3533*0.7)/(K3533+L3533)</f>
        <v>9.3846882025795761E-2</v>
      </c>
      <c r="P3533" s="180">
        <v>582069000</v>
      </c>
      <c r="Q3533" s="180">
        <f>P3533*E3533</f>
        <v>53282596260</v>
      </c>
      <c r="R3533" s="195">
        <f>Q3533/L3533</f>
        <v>2.4712488409628497</v>
      </c>
      <c r="S3533" s="197">
        <f>(Q3533+K3533)/H3533</f>
        <v>15.97833041993281</v>
      </c>
      <c r="T3533" s="180">
        <v>3476000000</v>
      </c>
      <c r="U3533" s="189">
        <f>IFERROR(IF(Tableau3[[#This Row],[Dettes]]=0,"",(Tableau3[[#This Row],[Dettes]]/Tableau3[[#This Row],[EBE]])),"")</f>
        <v>1.0615901455767078</v>
      </c>
      <c r="V3533" s="190">
        <f>IFERROR(Tableau3[[#This Row],[Fonds propres]]/Tableau3[[#This Row],[Total Bilan]],"")</f>
        <v>0.47910139324045065</v>
      </c>
      <c r="W3533" s="180">
        <v>45003000000</v>
      </c>
      <c r="Y3533" s="180">
        <v>146406</v>
      </c>
      <c r="Z3533" s="192">
        <f>IFERROR(Tableau3[[#This Row],[Chiffre d''affaires]]/Tableau3[[#This Row],[Salariés]],"")</f>
        <v>185497.86210947638</v>
      </c>
      <c r="AC3533" s="177" t="s">
        <v>2471</v>
      </c>
    </row>
    <row r="3534" spans="1:29" ht="20.25" customHeight="1">
      <c r="A3534" s="217"/>
      <c r="E3534" s="187"/>
      <c r="G3534" s="202">
        <f>(G3533/G3535)-1</f>
        <v>5.5909797822706109E-2</v>
      </c>
      <c r="H3534" s="202">
        <f>(H3533/H3535)-1</f>
        <v>-2.7987685418418007E-4</v>
      </c>
      <c r="I3534" s="202">
        <f>(I3533/I3535)-1</f>
        <v>8.8339222614841617E-4</v>
      </c>
      <c r="J3534" s="202">
        <f>(J3533/J3535)-1</f>
        <v>3.7844508432743673E-2</v>
      </c>
      <c r="K3534" s="180"/>
      <c r="L3534" s="180"/>
      <c r="M3534" s="268"/>
      <c r="P3534" s="180"/>
      <c r="R3534" s="178"/>
      <c r="S3534" s="178"/>
      <c r="T3534" s="180"/>
      <c r="U3534" s="189" t="str">
        <f>IFERROR(IF(Tableau3[[#This Row],[Dettes]]=0,"",(Tableau3[[#This Row],[Dettes]]/Tableau3[[#This Row],[EBE]])),"")</f>
        <v/>
      </c>
      <c r="V3534" s="190" t="str">
        <f>IFERROR(Tableau3[[#This Row],[Fonds propres]]/Tableau3[[#This Row],[Total Bilan]],"")</f>
        <v/>
      </c>
      <c r="W3534" s="180"/>
      <c r="Y3534" s="180"/>
      <c r="Z3534" s="192" t="str">
        <f>IFERROR(Tableau3[[#This Row],[Chiffre d''affaires]]/Tableau3[[#This Row],[Salariés]],"")</f>
        <v/>
      </c>
      <c r="AC3534" s="177" t="s">
        <v>2472</v>
      </c>
    </row>
    <row r="3535" spans="1:29" ht="20.25" customHeight="1">
      <c r="A3535" s="217"/>
      <c r="E3535" s="187">
        <v>59.22</v>
      </c>
      <c r="F3535" s="178">
        <v>2018</v>
      </c>
      <c r="G3535" s="180">
        <v>25720000000</v>
      </c>
      <c r="H3535" s="180">
        <v>3573000000</v>
      </c>
      <c r="I3535" s="180">
        <v>3396000000</v>
      </c>
      <c r="J3535" s="180">
        <v>2431000000</v>
      </c>
      <c r="K3535" s="180">
        <v>5136000000</v>
      </c>
      <c r="L3535" s="180">
        <v>20782000000</v>
      </c>
      <c r="M3535" s="268">
        <f>L3535/P3535</f>
        <v>35.882445365687737</v>
      </c>
      <c r="N3535" s="189">
        <f>J3535/L3535</f>
        <v>0.11697622942931384</v>
      </c>
      <c r="O3535" s="189">
        <f>(I3535*0.7)/(K3535+L3535)</f>
        <v>9.1720040126552979E-2</v>
      </c>
      <c r="P3535" s="180">
        <v>579169000</v>
      </c>
      <c r="Q3535" s="180">
        <f>P3535*E3535</f>
        <v>34298388180</v>
      </c>
      <c r="R3535" s="195">
        <f>Q3535/L3535</f>
        <v>1.6503891916081224</v>
      </c>
      <c r="S3535" s="197">
        <f>(Q3535+K3535)/H3535</f>
        <v>11.036772510495382</v>
      </c>
      <c r="T3535" s="180">
        <v>2102000000</v>
      </c>
      <c r="U3535" s="189">
        <f>IFERROR(IF(Tableau3[[#This Row],[Dettes]]=0,"",(Tableau3[[#This Row],[Dettes]]/Tableau3[[#This Row],[EBE]])),"")</f>
        <v>1.4374475230898405</v>
      </c>
      <c r="V3535" s="190">
        <f>IFERROR(Tableau3[[#This Row],[Fonds propres]]/Tableau3[[#This Row],[Total Bilan]],"")</f>
        <v>0.49177689959535248</v>
      </c>
      <c r="W3535" s="180">
        <v>42259000000</v>
      </c>
      <c r="Y3535" s="180">
        <v>141446</v>
      </c>
      <c r="Z3535" s="192">
        <f>IFERROR(Tableau3[[#This Row],[Chiffre d''affaires]]/Tableau3[[#This Row],[Salariés]],"")</f>
        <v>181836.17776395232</v>
      </c>
    </row>
    <row r="3536" spans="1:29" ht="20.25" customHeight="1">
      <c r="A3536" s="217"/>
      <c r="E3536" s="187"/>
      <c r="G3536" s="202">
        <f>(G3535/G3537)-1</f>
        <v>3.9485915208341771E-2</v>
      </c>
      <c r="H3536" s="202">
        <f>(H3535/H3537)-1</f>
        <v>6.6567164179104577E-2</v>
      </c>
      <c r="I3536" s="202">
        <f>(I3535/I3537)-1</f>
        <v>5.7943925233644888E-2</v>
      </c>
      <c r="J3536" s="202">
        <f>(J3535/J3537)-1</f>
        <v>0.10000000000000009</v>
      </c>
      <c r="K3536" s="180"/>
      <c r="L3536" s="180"/>
      <c r="M3536" s="268"/>
      <c r="P3536" s="180"/>
      <c r="R3536" s="178"/>
      <c r="S3536" s="178"/>
      <c r="T3536" s="180"/>
      <c r="U3536" s="189" t="str">
        <f>IFERROR(IF(Tableau3[[#This Row],[Dettes]]=0,"",(Tableau3[[#This Row],[Dettes]]/Tableau3[[#This Row],[EBE]])),"")</f>
        <v/>
      </c>
      <c r="V3536" s="190" t="str">
        <f>IFERROR(Tableau3[[#This Row],[Fonds propres]]/Tableau3[[#This Row],[Total Bilan]],"")</f>
        <v/>
      </c>
      <c r="W3536" s="180"/>
      <c r="Y3536" s="180"/>
      <c r="Z3536" s="192" t="str">
        <f>IFERROR(Tableau3[[#This Row],[Chiffre d''affaires]]/Tableau3[[#This Row],[Salariés]],"")</f>
        <v/>
      </c>
    </row>
    <row r="3537" spans="1:26" ht="20.25" customHeight="1">
      <c r="A3537" s="217"/>
      <c r="E3537" s="187">
        <v>70.02</v>
      </c>
      <c r="F3537" s="178">
        <v>2017</v>
      </c>
      <c r="G3537" s="180">
        <v>24743000000</v>
      </c>
      <c r="H3537" s="180">
        <v>3350000000</v>
      </c>
      <c r="I3537" s="180">
        <v>3210000000</v>
      </c>
      <c r="J3537" s="180">
        <v>2210000000</v>
      </c>
      <c r="K3537" s="180">
        <v>4296000000</v>
      </c>
      <c r="L3537" s="180">
        <v>19797000000</v>
      </c>
      <c r="M3537" s="268">
        <f>L3537/P3537</f>
        <v>33.165470518464907</v>
      </c>
      <c r="N3537" s="189">
        <f>J3537/L3537</f>
        <v>0.11163307571854321</v>
      </c>
      <c r="O3537" s="189">
        <f>(I3537*0.7)/(K3537+L3537)</f>
        <v>9.3263603536296855E-2</v>
      </c>
      <c r="P3537" s="180">
        <v>596916000</v>
      </c>
      <c r="Q3537" s="180">
        <f>P3537*E3537</f>
        <v>41796058320</v>
      </c>
      <c r="R3537" s="195">
        <f>Q3537/L3537</f>
        <v>2.1112319199878771</v>
      </c>
      <c r="S3537" s="197">
        <f>(Q3537+K3537)/H3537</f>
        <v>13.758823379104477</v>
      </c>
      <c r="T3537" s="180">
        <v>2253000000</v>
      </c>
      <c r="U3537" s="189">
        <f>IFERROR(IF(Tableau3[[#This Row],[Dettes]]=0,"",(Tableau3[[#This Row],[Dettes]]/Tableau3[[#This Row],[EBE]])),"")</f>
        <v>1.2823880597014925</v>
      </c>
      <c r="V3537" s="190">
        <f>IFERROR(Tableau3[[#This Row],[Fonds propres]]/Tableau3[[#This Row],[Total Bilan]],"")</f>
        <v>0.49680042159150795</v>
      </c>
      <c r="W3537" s="180">
        <v>39849000000</v>
      </c>
      <c r="Y3537" s="180">
        <v>153124</v>
      </c>
      <c r="Z3537" s="192">
        <f>IFERROR(Tableau3[[#This Row],[Chiffre d''affaires]]/Tableau3[[#This Row],[Salariés]],"")</f>
        <v>161587.99404404275</v>
      </c>
    </row>
    <row r="3538" spans="1:26" ht="20.25" customHeight="1">
      <c r="A3538" s="217"/>
      <c r="E3538" s="187"/>
      <c r="G3538" s="202">
        <f>(G3537/G3539)-1</f>
        <v>2.0248653464545185E-3</v>
      </c>
      <c r="H3538" s="202">
        <f>(H3537/H3539)-1</f>
        <v>7.9252577319587569E-2</v>
      </c>
      <c r="I3538" s="202">
        <f>(I3537/I3539)-1</f>
        <v>8.7766858691968874E-2</v>
      </c>
      <c r="J3538" s="202">
        <f>(J3537/J3539)-1</f>
        <v>0.22032026504693536</v>
      </c>
      <c r="K3538" s="180"/>
      <c r="L3538" s="180"/>
      <c r="M3538" s="268"/>
      <c r="P3538" s="180"/>
      <c r="R3538" s="178"/>
      <c r="S3538" s="178"/>
      <c r="T3538" s="180"/>
      <c r="U3538" s="189" t="str">
        <f>IFERROR(IF(Tableau3[[#This Row],[Dettes]]=0,"",(Tableau3[[#This Row],[Dettes]]/Tableau3[[#This Row],[EBE]])),"")</f>
        <v/>
      </c>
      <c r="V3538" s="190" t="str">
        <f>IFERROR(Tableau3[[#This Row],[Fonds propres]]/Tableau3[[#This Row],[Total Bilan]],"")</f>
        <v/>
      </c>
      <c r="W3538" s="180"/>
      <c r="Y3538" s="180"/>
      <c r="Z3538" s="192" t="str">
        <f>IFERROR(Tableau3[[#This Row],[Chiffre d''affaires]]/Tableau3[[#This Row],[Salariés]],"")</f>
        <v/>
      </c>
    </row>
    <row r="3539" spans="1:26" ht="20.25" customHeight="1">
      <c r="A3539" s="217"/>
      <c r="E3539" s="187">
        <v>66.11</v>
      </c>
      <c r="F3539" s="178">
        <v>2016</v>
      </c>
      <c r="G3539" s="180">
        <v>24693000000</v>
      </c>
      <c r="H3539" s="180">
        <v>3104000000</v>
      </c>
      <c r="I3539" s="180">
        <v>2951000000</v>
      </c>
      <c r="J3539" s="180">
        <v>1811000000</v>
      </c>
      <c r="K3539" s="180">
        <v>4824000000</v>
      </c>
      <c r="L3539" s="180">
        <v>20494000000</v>
      </c>
      <c r="M3539" s="268">
        <f>L3539/P3539</f>
        <v>34.589087914072429</v>
      </c>
      <c r="N3539" s="189">
        <f>J3539/L3539</f>
        <v>8.8367327022543185E-2</v>
      </c>
      <c r="O3539" s="189">
        <f>(I3539*0.7)/(K3539+L3539)</f>
        <v>8.1590172999447028E-2</v>
      </c>
      <c r="P3539" s="180">
        <v>592499000</v>
      </c>
      <c r="Q3539" s="180">
        <f>P3539*E3539</f>
        <v>39170108890</v>
      </c>
      <c r="R3539" s="195">
        <f>Q3539/L3539</f>
        <v>1.9112964228554699</v>
      </c>
      <c r="S3539" s="197">
        <f>(Q3539+K3539)/H3539</f>
        <v>14.173359822809278</v>
      </c>
      <c r="T3539" s="180">
        <v>2206000000</v>
      </c>
      <c r="U3539" s="189">
        <f>IFERROR(IF(Tableau3[[#This Row],[Dettes]]=0,"",(Tableau3[[#This Row],[Dettes]]/Tableau3[[#This Row],[EBE]])),"")</f>
        <v>1.5541237113402062</v>
      </c>
      <c r="V3539" s="190">
        <f>IFERROR(Tableau3[[#This Row],[Fonds propres]]/Tableau3[[#This Row],[Total Bilan]],"")</f>
        <v>0.48968961315141812</v>
      </c>
      <c r="W3539" s="180">
        <v>41851000000</v>
      </c>
      <c r="Y3539" s="180">
        <v>170866</v>
      </c>
      <c r="Z3539" s="192">
        <f>IFERROR(Tableau3[[#This Row],[Chiffre d''affaires]]/Tableau3[[#This Row],[Salariés]],"")</f>
        <v>144516.75582035046</v>
      </c>
    </row>
    <row r="3540" spans="1:26" ht="20.25" customHeight="1">
      <c r="A3540" s="217"/>
      <c r="E3540" s="187"/>
      <c r="G3540" s="202">
        <f>(G3539/G3541)-1</f>
        <v>-7.3085585585585533E-2</v>
      </c>
      <c r="H3540" s="202">
        <f>(H3539/H3541)-1</f>
        <v>0.10817565155301678</v>
      </c>
      <c r="I3540" s="202">
        <f>(I3539/I3541)-1</f>
        <v>0.32391206819201446</v>
      </c>
      <c r="J3540" s="202">
        <f>(J3539/J3541)-1</f>
        <v>0.20492348636061219</v>
      </c>
      <c r="K3540" s="180"/>
      <c r="L3540" s="180"/>
      <c r="M3540" s="268"/>
      <c r="P3540" s="180"/>
      <c r="R3540" s="178"/>
      <c r="S3540" s="178"/>
      <c r="T3540" s="180"/>
      <c r="U3540" s="189" t="str">
        <f>IFERROR(IF(Tableau3[[#This Row],[Dettes]]=0,"",(Tableau3[[#This Row],[Dettes]]/Tableau3[[#This Row],[EBE]])),"")</f>
        <v/>
      </c>
      <c r="V3540" s="190" t="str">
        <f>IFERROR(Tableau3[[#This Row],[Fonds propres]]/Tableau3[[#This Row],[Total Bilan]],"")</f>
        <v/>
      </c>
      <c r="W3540" s="180"/>
      <c r="Y3540" s="180"/>
      <c r="Z3540" s="192" t="str">
        <f>IFERROR(Tableau3[[#This Row],[Chiffre d''affaires]]/Tableau3[[#This Row],[Salariés]],"")</f>
        <v/>
      </c>
    </row>
    <row r="3541" spans="1:26" ht="20.25" customHeight="1">
      <c r="A3541" s="217"/>
      <c r="E3541" s="187">
        <v>53.1</v>
      </c>
      <c r="F3541" s="178">
        <v>2015</v>
      </c>
      <c r="G3541" s="180">
        <v>26640000000</v>
      </c>
      <c r="H3541" s="180">
        <v>2801000000</v>
      </c>
      <c r="I3541" s="180">
        <v>2229000000</v>
      </c>
      <c r="J3541" s="180">
        <v>1503000000</v>
      </c>
      <c r="K3541" s="180">
        <v>4631000000</v>
      </c>
      <c r="L3541" s="180">
        <v>20848000000</v>
      </c>
      <c r="M3541" s="268">
        <f>L3541/P3541</f>
        <v>35.411578064117244</v>
      </c>
      <c r="N3541" s="189">
        <f>J3541/L3541</f>
        <v>7.209324635456639E-2</v>
      </c>
      <c r="O3541" s="189">
        <f>(I3541*0.7)/(K3541+L3541)</f>
        <v>6.1238667137642762E-2</v>
      </c>
      <c r="P3541" s="180">
        <v>588734000</v>
      </c>
      <c r="Q3541" s="180">
        <f>P3541*E3541</f>
        <v>31261775400</v>
      </c>
      <c r="R3541" s="195">
        <f>Q3541/L3541</f>
        <v>1.4995095644666154</v>
      </c>
      <c r="S3541" s="197">
        <f>(Q3541+K3541)/H3541</f>
        <v>12.814271831488753</v>
      </c>
      <c r="T3541" s="180">
        <v>2045000000</v>
      </c>
      <c r="U3541" s="189">
        <f>IFERROR(IF(Tableau3[[#This Row],[Dettes]]=0,"",(Tableau3[[#This Row],[Dettes]]/Tableau3[[#This Row],[EBE]])),"")</f>
        <v>1.6533380935380222</v>
      </c>
      <c r="V3541" s="190">
        <f>IFERROR(Tableau3[[#This Row],[Fonds propres]]/Tableau3[[#This Row],[Total Bilan]],"")</f>
        <v>0.48965403856542267</v>
      </c>
      <c r="W3541" s="180">
        <v>42577000000</v>
      </c>
      <c r="Y3541" s="180">
        <v>160843</v>
      </c>
      <c r="Z3541" s="192">
        <f>IFERROR(Tableau3[[#This Row],[Chiffre d''affaires]]/Tableau3[[#This Row],[Salariés]],"")</f>
        <v>165627.35089497213</v>
      </c>
    </row>
    <row r="3542" spans="1:26" ht="20.25" customHeight="1">
      <c r="A3542" s="217"/>
      <c r="E3542" s="187"/>
      <c r="G3542" s="202">
        <f>(G3541/G3543)-1</f>
        <v>6.8206423673764061E-2</v>
      </c>
      <c r="H3542" s="202">
        <f>(H3541/H3543)-1</f>
        <v>-0.11220285261489704</v>
      </c>
      <c r="I3542" s="202">
        <f>(I3541/I3543)-1</f>
        <v>-0.23031767955801108</v>
      </c>
      <c r="J3542" s="202">
        <f>(J3541/J3543)-1</f>
        <v>-0.27074235807860259</v>
      </c>
      <c r="K3542" s="180"/>
      <c r="L3542" s="180"/>
      <c r="M3542" s="268"/>
      <c r="P3542" s="180"/>
      <c r="R3542" s="178"/>
      <c r="S3542" s="178"/>
      <c r="T3542" s="180"/>
      <c r="U3542" s="189" t="str">
        <f>IFERROR(IF(Tableau3[[#This Row],[Dettes]]=0,"",(Tableau3[[#This Row],[Dettes]]/Tableau3[[#This Row],[EBE]])),"")</f>
        <v/>
      </c>
      <c r="V3542" s="190" t="str">
        <f>IFERROR(Tableau3[[#This Row],[Fonds propres]]/Tableau3[[#This Row],[Total Bilan]],"")</f>
        <v/>
      </c>
      <c r="W3542" s="180"/>
      <c r="Y3542" s="180"/>
      <c r="Z3542" s="192" t="str">
        <f>IFERROR(Tableau3[[#This Row],[Chiffre d''affaires]]/Tableau3[[#This Row],[Salariés]],"")</f>
        <v/>
      </c>
    </row>
    <row r="3543" spans="1:26" ht="20.25" customHeight="1">
      <c r="A3543" s="217"/>
      <c r="E3543" s="187">
        <v>60.61</v>
      </c>
      <c r="F3543" s="178">
        <v>2014</v>
      </c>
      <c r="G3543" s="180">
        <v>24939000000</v>
      </c>
      <c r="H3543" s="180">
        <v>3155000000</v>
      </c>
      <c r="I3543" s="180">
        <v>2896000000</v>
      </c>
      <c r="J3543" s="180">
        <v>2061000000</v>
      </c>
      <c r="K3543" s="180">
        <v>5022000000</v>
      </c>
      <c r="L3543" s="180">
        <v>19732000000</v>
      </c>
      <c r="M3543" s="268">
        <f>L3543/P3543</f>
        <v>33.747740259384869</v>
      </c>
      <c r="N3543" s="189">
        <f>J3543/L3543</f>
        <v>0.10444962497466045</v>
      </c>
      <c r="O3543" s="189">
        <f>(I3543*0.7)/(K3543+L3543)</f>
        <v>8.1893835339743065E-2</v>
      </c>
      <c r="P3543" s="180">
        <v>584691000</v>
      </c>
      <c r="Q3543" s="180">
        <f>P3543*E3543</f>
        <v>35438121510</v>
      </c>
      <c r="R3543" s="195">
        <f>Q3543/L3543</f>
        <v>1.7959721016622745</v>
      </c>
      <c r="S3543" s="197">
        <f>(Q3543+K3543)/H3543</f>
        <v>12.824127261489698</v>
      </c>
      <c r="T3543" s="180">
        <v>1704000000</v>
      </c>
      <c r="U3543" s="189">
        <f>IFERROR(IF(Tableau3[[#This Row],[Dettes]]=0,"",(Tableau3[[#This Row],[Dettes]]/Tableau3[[#This Row],[EBE]])),"")</f>
        <v>1.5917591125198098</v>
      </c>
      <c r="V3543" s="190">
        <f>IFERROR(Tableau3[[#This Row],[Fonds propres]]/Tableau3[[#This Row],[Total Bilan]],"")</f>
        <v>0.47942076874483697</v>
      </c>
      <c r="W3543" s="180">
        <v>41158000000</v>
      </c>
      <c r="Y3543" s="180">
        <v>185965</v>
      </c>
      <c r="Z3543" s="192">
        <f>IFERROR(Tableau3[[#This Row],[Chiffre d''affaires]]/Tableau3[[#This Row],[Salariés]],"")</f>
        <v>134105.88013873578</v>
      </c>
    </row>
    <row r="3544" spans="1:26" ht="20.25" customHeight="1">
      <c r="A3544" s="217"/>
      <c r="E3544" s="187"/>
      <c r="G3544" s="202">
        <f>(G3543/G3545)-1</f>
        <v>6.5769230769230802E-2</v>
      </c>
      <c r="H3544" s="202">
        <f>(H3543/H3545)-1</f>
        <v>-5.9892729439809278E-2</v>
      </c>
      <c r="I3544" s="202">
        <f>(I3543/I3545)-1</f>
        <v>-4.7054952286936458E-2</v>
      </c>
      <c r="J3544" s="202">
        <f>(J3543/J3545)-1</f>
        <v>9.1631355932203284E-2</v>
      </c>
      <c r="K3544" s="180"/>
      <c r="L3544" s="180"/>
      <c r="M3544" s="268"/>
      <c r="N3544" s="189"/>
      <c r="O3544" s="189"/>
      <c r="P3544" s="180"/>
      <c r="Q3544" s="180"/>
      <c r="R3544" s="195"/>
      <c r="S3544" s="197"/>
      <c r="T3544" s="180"/>
      <c r="U3544" s="189" t="str">
        <f>IFERROR(IF(Tableau3[[#This Row],[Dettes]]=0,"",(Tableau3[[#This Row],[Dettes]]/Tableau3[[#This Row],[EBE]])),"")</f>
        <v/>
      </c>
      <c r="V3544" s="190" t="str">
        <f>IFERROR(Tableau3[[#This Row],[Fonds propres]]/Tableau3[[#This Row],[Total Bilan]],"")</f>
        <v/>
      </c>
      <c r="W3544" s="180"/>
      <c r="Y3544" s="180"/>
      <c r="Z3544" s="192" t="str">
        <f>IFERROR(Tableau3[[#This Row],[Chiffre d''affaires]]/Tableau3[[#This Row],[Salariés]],"")</f>
        <v/>
      </c>
    </row>
    <row r="3545" spans="1:26" ht="20.25" customHeight="1">
      <c r="A3545" s="217"/>
      <c r="E3545" s="187">
        <v>63.4</v>
      </c>
      <c r="F3545" s="178">
        <v>2013</v>
      </c>
      <c r="G3545" s="180">
        <v>23400000000</v>
      </c>
      <c r="H3545" s="180">
        <v>3356000000</v>
      </c>
      <c r="I3545" s="180">
        <v>3039000000</v>
      </c>
      <c r="J3545" s="180">
        <v>1888000000</v>
      </c>
      <c r="K3545" s="180">
        <v>3326000000</v>
      </c>
      <c r="L3545" s="180">
        <v>17211000000</v>
      </c>
      <c r="M3545" s="268">
        <f>L3545/P3545</f>
        <v>30.626842745512327</v>
      </c>
      <c r="N3545" s="189">
        <f>J3545/L3545</f>
        <v>0.10969728661902271</v>
      </c>
      <c r="O3545" s="189">
        <f>(I3545*0.7)/(K3545+L3545)</f>
        <v>0.10358377562448264</v>
      </c>
      <c r="P3545" s="180">
        <v>561958023</v>
      </c>
      <c r="Q3545" s="180">
        <f>P3545*E3545</f>
        <v>35628138658.199997</v>
      </c>
      <c r="R3545" s="195">
        <f>Q3545/L3545</f>
        <v>2.0700795222938817</v>
      </c>
      <c r="S3545" s="197">
        <f>(Q3545+K3545)/H3545</f>
        <v>11.60731187669845</v>
      </c>
      <c r="T3545" s="180">
        <v>2160000000</v>
      </c>
      <c r="U3545" s="189">
        <f>IFERROR(IF(Tableau3[[#This Row],[Dettes]]=0,"",(Tableau3[[#This Row],[Dettes]]/Tableau3[[#This Row],[EBE]])),"")</f>
        <v>0.99106078665077468</v>
      </c>
      <c r="V3545" s="190">
        <f>IFERROR(Tableau3[[#This Row],[Fonds propres]]/Tableau3[[#This Row],[Total Bilan]],"")</f>
        <v>0.46081555061715174</v>
      </c>
      <c r="W3545" s="180">
        <v>37349000000</v>
      </c>
      <c r="Y3545" s="180">
        <v>163033</v>
      </c>
      <c r="Z3545" s="192">
        <f>IFERROR(Tableau3[[#This Row],[Chiffre d''affaires]]/Tableau3[[#This Row],[Salariés]],"")</f>
        <v>143529.22414480505</v>
      </c>
    </row>
    <row r="3546" spans="1:26" ht="20.25" customHeight="1">
      <c r="A3546" s="217"/>
      <c r="E3546" s="187"/>
      <c r="G3546" s="202">
        <f>(G3545/G3547)-1</f>
        <v>-2.0920502092050208E-2</v>
      </c>
      <c r="H3546" s="202">
        <f>(H3545/H3547)-1</f>
        <v>-4.5234708392603129E-2</v>
      </c>
      <c r="I3546" s="202">
        <f>(I3545/I3547)-1</f>
        <v>6.0362875087229595E-2</v>
      </c>
      <c r="J3546" s="202">
        <f>(J3545/J3547)-1</f>
        <v>4.136789851075573E-2</v>
      </c>
      <c r="K3546" s="180"/>
      <c r="L3546" s="180"/>
      <c r="M3546" s="268"/>
      <c r="N3546" s="189"/>
      <c r="O3546" s="189"/>
      <c r="P3546" s="180"/>
      <c r="Q3546" s="180"/>
      <c r="R3546" s="195"/>
      <c r="S3546" s="197"/>
      <c r="T3546" s="180"/>
      <c r="U3546" s="189" t="str">
        <f>IFERROR(IF(Tableau3[[#This Row],[Dettes]]=0,"",(Tableau3[[#This Row],[Dettes]]/Tableau3[[#This Row],[EBE]])),"")</f>
        <v/>
      </c>
      <c r="V3546" s="190" t="str">
        <f>IFERROR(Tableau3[[#This Row],[Fonds propres]]/Tableau3[[#This Row],[Total Bilan]],"")</f>
        <v/>
      </c>
      <c r="W3546" s="180"/>
      <c r="Y3546" s="180"/>
      <c r="Z3546" s="192" t="str">
        <f>IFERROR(Tableau3[[#This Row],[Chiffre d''affaires]]/Tableau3[[#This Row],[Salariés]],"")</f>
        <v/>
      </c>
    </row>
    <row r="3547" spans="1:26" ht="20.25" customHeight="1">
      <c r="A3547" s="217"/>
      <c r="E3547" s="187">
        <v>54.58</v>
      </c>
      <c r="F3547" s="178">
        <v>2012</v>
      </c>
      <c r="G3547" s="180">
        <v>23900000000</v>
      </c>
      <c r="H3547" s="180">
        <v>3515000000</v>
      </c>
      <c r="I3547" s="180">
        <v>2866000000</v>
      </c>
      <c r="J3547" s="180">
        <v>1813000000</v>
      </c>
      <c r="K3547" s="180">
        <v>3331000000</v>
      </c>
      <c r="L3547" s="180">
        <v>16642000000</v>
      </c>
      <c r="M3547" s="268">
        <f>L3547/P3547</f>
        <v>29.963072035096136</v>
      </c>
      <c r="N3547" s="189">
        <f>J3547/L3547</f>
        <v>0.10894123302487682</v>
      </c>
      <c r="O3547" s="189">
        <f>(I3547*0.7)/(K3547+L3547)</f>
        <v>0.10044560156210884</v>
      </c>
      <c r="P3547" s="180">
        <v>555417014</v>
      </c>
      <c r="Q3547" s="180">
        <f>P3547*E3547</f>
        <v>30314660624.119999</v>
      </c>
      <c r="R3547" s="195">
        <f>Q3547/L3547</f>
        <v>1.8215755692897488</v>
      </c>
      <c r="S3547" s="197">
        <f>(Q3547+K3547)/H3547</f>
        <v>9.5720229371607388</v>
      </c>
      <c r="T3547" s="180">
        <v>2082000000</v>
      </c>
      <c r="U3547" s="189">
        <f>IFERROR(IF(Tableau3[[#This Row],[Dettes]]=0,"",(Tableau3[[#This Row],[Dettes]]/Tableau3[[#This Row],[EBE]])),"")</f>
        <v>0.94765291607396873</v>
      </c>
      <c r="V3547" s="190">
        <f>IFERROR(Tableau3[[#This Row],[Fonds propres]]/Tableau3[[#This Row],[Total Bilan]],"")</f>
        <v>0.46035961272475795</v>
      </c>
      <c r="W3547" s="180">
        <v>36150000000</v>
      </c>
      <c r="Y3547" s="180">
        <v>152384</v>
      </c>
      <c r="Z3547" s="192">
        <f>IFERROR(Tableau3[[#This Row],[Chiffre d''affaires]]/Tableau3[[#This Row],[Salariés]],"")</f>
        <v>156840.61318773625</v>
      </c>
    </row>
    <row r="3548" spans="1:26" ht="20.25" customHeight="1">
      <c r="A3548" s="217"/>
      <c r="E3548" s="187"/>
      <c r="G3548" s="202">
        <f>(G3547/G3549)-1</f>
        <v>7.1748878923766801E-2</v>
      </c>
      <c r="H3548" s="202">
        <f>(H3547/H3549)-1</f>
        <v>0.10188087774294674</v>
      </c>
      <c r="I3548" s="202">
        <f>(I3547/I3549)-1</f>
        <v>4.5566070802662839E-3</v>
      </c>
      <c r="J3548" s="202">
        <f>(J3547/J3549)-1</f>
        <v>1.115448968209698E-2</v>
      </c>
      <c r="K3548" s="180"/>
      <c r="L3548" s="180"/>
      <c r="M3548" s="268"/>
      <c r="N3548" s="189"/>
      <c r="O3548" s="189"/>
      <c r="P3548" s="180"/>
      <c r="Q3548" s="180"/>
      <c r="R3548" s="195"/>
      <c r="S3548" s="197"/>
      <c r="T3548" s="180"/>
      <c r="U3548" s="189" t="str">
        <f>IFERROR(IF(Tableau3[[#This Row],[Dettes]]=0,"",(Tableau3[[#This Row],[Dettes]]/Tableau3[[#This Row],[EBE]])),"")</f>
        <v/>
      </c>
      <c r="V3548" s="190" t="str">
        <f>IFERROR(Tableau3[[#This Row],[Fonds propres]]/Tableau3[[#This Row],[Total Bilan]],"")</f>
        <v/>
      </c>
      <c r="W3548" s="180"/>
      <c r="Y3548" s="180"/>
      <c r="Z3548" s="192" t="str">
        <f>IFERROR(Tableau3[[#This Row],[Chiffre d''affaires]]/Tableau3[[#This Row],[Salariés]],"")</f>
        <v/>
      </c>
    </row>
    <row r="3549" spans="1:26" ht="20.25" customHeight="1">
      <c r="A3549" s="217"/>
      <c r="E3549" s="187">
        <v>40.68</v>
      </c>
      <c r="F3549" s="178">
        <v>2011</v>
      </c>
      <c r="G3549" s="180">
        <v>22300000000</v>
      </c>
      <c r="H3549" s="180">
        <v>3190000000</v>
      </c>
      <c r="I3549" s="180">
        <v>2853000000</v>
      </c>
      <c r="J3549" s="180">
        <v>1793000000</v>
      </c>
      <c r="K3549" s="180">
        <v>5266000000</v>
      </c>
      <c r="L3549" s="180">
        <v>15898000000</v>
      </c>
      <c r="M3549" s="268">
        <f>L3549/P3549</f>
        <v>28.961111271904969</v>
      </c>
      <c r="N3549" s="189">
        <f>J3549/L3549</f>
        <v>0.11278148194741477</v>
      </c>
      <c r="O3549" s="189">
        <f>(I3549*0.7)/(K3549+L3549)</f>
        <v>9.4363069363069346E-2</v>
      </c>
      <c r="P3549" s="180">
        <v>548943024</v>
      </c>
      <c r="Q3549" s="180">
        <f>P3549*E3549</f>
        <v>22331002216.32</v>
      </c>
      <c r="R3549" s="195">
        <f>Q3549/L3549</f>
        <v>1.4046422327538055</v>
      </c>
      <c r="S3549" s="197">
        <f>(Q3549+K3549)/H3549</f>
        <v>8.6510978734545461</v>
      </c>
      <c r="T3549" s="180">
        <v>1506000000</v>
      </c>
      <c r="U3549" s="189">
        <f>IFERROR(IF(Tableau3[[#This Row],[Dettes]]=0,"",(Tableau3[[#This Row],[Dettes]]/Tableau3[[#This Row],[EBE]])),"")</f>
        <v>1.6507836990595612</v>
      </c>
      <c r="V3549" s="190">
        <f>IFERROR(Tableau3[[#This Row],[Fonds propres]]/Tableau3[[#This Row],[Total Bilan]],"")</f>
        <v>0.44373115998660267</v>
      </c>
      <c r="W3549" s="180">
        <v>35828000000</v>
      </c>
      <c r="Y3549" s="180">
        <v>140491</v>
      </c>
      <c r="Z3549" s="192">
        <f>IFERROR(Tableau3[[#This Row],[Chiffre d''affaires]]/Tableau3[[#This Row],[Salariés]],"")</f>
        <v>158729.0289057662</v>
      </c>
    </row>
    <row r="3550" spans="1:26" ht="20.25" customHeight="1">
      <c r="A3550" s="217"/>
      <c r="G3550" s="202">
        <f>(G3549/G3551)-1</f>
        <v>0.13775510204081631</v>
      </c>
      <c r="H3550" s="202">
        <f>(H3549/H3551)-1</f>
        <v>5.6641271944352534E-2</v>
      </c>
      <c r="I3550" s="202">
        <f>(I3549/I3551)-1</f>
        <v>5.5493895671476112E-2</v>
      </c>
      <c r="J3550" s="202">
        <f>(J3549/J3551)-1</f>
        <v>4.2441860465116221E-2</v>
      </c>
      <c r="K3550" s="180"/>
      <c r="L3550" s="180"/>
      <c r="M3550" s="268"/>
      <c r="N3550" s="189"/>
      <c r="O3550" s="189"/>
      <c r="P3550" s="180"/>
      <c r="Q3550" s="180"/>
      <c r="R3550" s="195"/>
      <c r="S3550" s="197"/>
      <c r="T3550" s="180"/>
      <c r="U3550" s="189" t="str">
        <f>IFERROR(IF(Tableau3[[#This Row],[Dettes]]=0,"",(Tableau3[[#This Row],[Dettes]]/Tableau3[[#This Row],[EBE]])),"")</f>
        <v/>
      </c>
      <c r="V3550" s="190" t="str">
        <f>IFERROR(Tableau3[[#This Row],[Fonds propres]]/Tableau3[[#This Row],[Total Bilan]],"")</f>
        <v/>
      </c>
      <c r="W3550" s="180"/>
      <c r="Y3550" s="180"/>
      <c r="Z3550" s="192" t="str">
        <f>IFERROR(Tableau3[[#This Row],[Chiffre d''affaires]]/Tableau3[[#This Row],[Salariés]],"")</f>
        <v/>
      </c>
    </row>
    <row r="3551" spans="1:26" ht="20.25" customHeight="1">
      <c r="A3551" s="217"/>
      <c r="E3551" s="178">
        <v>56.9</v>
      </c>
      <c r="F3551" s="178">
        <v>2010</v>
      </c>
      <c r="G3551" s="188">
        <v>19600000000</v>
      </c>
      <c r="H3551" s="188">
        <v>3019000000</v>
      </c>
      <c r="I3551" s="180">
        <v>2703000000</v>
      </c>
      <c r="J3551" s="188">
        <v>1720000000</v>
      </c>
      <c r="K3551" s="188">
        <v>2736000000</v>
      </c>
      <c r="L3551" s="188">
        <v>14785000000</v>
      </c>
      <c r="M3551" s="268">
        <f>L3551/P3551</f>
        <v>54.364794152073408</v>
      </c>
      <c r="N3551" s="189">
        <f>J3551/L3551</f>
        <v>0.11633412242137302</v>
      </c>
      <c r="O3551" s="189">
        <f>(I3551*0.7)/(K3551+L3551)</f>
        <v>0.10799041150619255</v>
      </c>
      <c r="P3551" s="188">
        <v>271959091</v>
      </c>
      <c r="Q3551" s="180">
        <f>P3551*E3551</f>
        <v>15474472277.9</v>
      </c>
      <c r="R3551" s="195">
        <f>Q3551/L3551</f>
        <v>1.0466332281298614</v>
      </c>
      <c r="S3551" s="197">
        <f>(Q3551+K3551)/H3551</f>
        <v>6.0319550440212</v>
      </c>
      <c r="T3551" s="180">
        <v>1734000000</v>
      </c>
      <c r="U3551" s="189">
        <f>IFERROR(IF(Tableau3[[#This Row],[Dettes]]=0,"",(Tableau3[[#This Row],[Dettes]]/Tableau3[[#This Row],[EBE]])),"")</f>
        <v>0.90626035110963898</v>
      </c>
      <c r="V3551" s="190">
        <f>IFERROR(Tableau3[[#This Row],[Fonds propres]]/Tableau3[[#This Row],[Total Bilan]],"")</f>
        <v>0.47615213680718815</v>
      </c>
      <c r="W3551" s="180">
        <v>31051000000</v>
      </c>
      <c r="Y3551" s="180">
        <v>123482</v>
      </c>
      <c r="Z3551" s="192">
        <f>IFERROR(Tableau3[[#This Row],[Chiffre d''affaires]]/Tableau3[[#This Row],[Salariés]],"")</f>
        <v>158727.58782656581</v>
      </c>
    </row>
    <row r="3552" spans="1:26" ht="20.25" customHeight="1">
      <c r="A3552" s="217"/>
      <c r="G3552" s="180"/>
      <c r="J3552" s="180"/>
      <c r="K3552" s="180"/>
      <c r="L3552" s="180"/>
      <c r="M3552" s="268"/>
      <c r="N3552" s="189"/>
      <c r="O3552" s="189"/>
      <c r="P3552" s="180"/>
      <c r="Q3552" s="180"/>
      <c r="R3552" s="195"/>
      <c r="S3552" s="197"/>
      <c r="T3552" s="180"/>
      <c r="U3552" s="189" t="str">
        <f>IFERROR(IF(Tableau3[[#This Row],[Dettes]]=0,"",(Tableau3[[#This Row],[Dettes]]/Tableau3[[#This Row],[EBE]])),"")</f>
        <v/>
      </c>
      <c r="V3552" s="190" t="str">
        <f>IFERROR(Tableau3[[#This Row],[Fonds propres]]/Tableau3[[#This Row],[Total Bilan]],"")</f>
        <v/>
      </c>
      <c r="W3552" s="180"/>
      <c r="Y3552" s="180"/>
      <c r="Z3552" s="192" t="str">
        <f>IFERROR(Tableau3[[#This Row],[Chiffre d''affaires]]/Tableau3[[#This Row],[Salariés]],"")</f>
        <v/>
      </c>
    </row>
    <row r="3553" spans="1:29" ht="20.25" customHeight="1">
      <c r="A3553" s="217"/>
      <c r="G3553" s="180"/>
      <c r="J3553" s="180"/>
      <c r="K3553" s="180"/>
      <c r="L3553" s="180"/>
      <c r="M3553" s="268"/>
      <c r="P3553" s="180"/>
      <c r="R3553" s="178"/>
      <c r="S3553" s="178"/>
      <c r="T3553" s="180"/>
      <c r="U3553" s="189" t="str">
        <f>IFERROR(IF(Tableau3[[#This Row],[Dettes]]=0,"",(Tableau3[[#This Row],[Dettes]]/Tableau3[[#This Row],[EBE]])),"")</f>
        <v/>
      </c>
      <c r="V3553" s="190" t="str">
        <f>IFERROR(Tableau3[[#This Row],[Fonds propres]]/Tableau3[[#This Row],[Total Bilan]],"")</f>
        <v/>
      </c>
      <c r="W3553" s="180"/>
      <c r="Y3553" s="180"/>
      <c r="Z3553" s="192" t="str">
        <f>IFERROR(Tableau3[[#This Row],[Chiffre d''affaires]]/Tableau3[[#This Row],[Salariés]],"")</f>
        <v/>
      </c>
    </row>
    <row r="3554" spans="1:29" ht="20.25" customHeight="1">
      <c r="A3554" s="217"/>
      <c r="G3554" s="180"/>
      <c r="J3554" s="180"/>
      <c r="K3554" s="180"/>
      <c r="L3554" s="180"/>
      <c r="M3554" s="268"/>
      <c r="P3554" s="180"/>
      <c r="R3554" s="178"/>
      <c r="S3554" s="178"/>
      <c r="T3554" s="180"/>
      <c r="U3554" s="189" t="str">
        <f>IFERROR(IF(Tableau3[[#This Row],[Dettes]]=0,"",(Tableau3[[#This Row],[Dettes]]/Tableau3[[#This Row],[EBE]])),"")</f>
        <v/>
      </c>
      <c r="V3554" s="190" t="str">
        <f>IFERROR(Tableau3[[#This Row],[Fonds propres]]/Tableau3[[#This Row],[Total Bilan]],"")</f>
        <v/>
      </c>
      <c r="W3554" s="180"/>
      <c r="Y3554" s="180"/>
      <c r="Z3554" s="192" t="str">
        <f>IFERROR(Tableau3[[#This Row],[Chiffre d''affaires]]/Tableau3[[#This Row],[Salariés]],"")</f>
        <v/>
      </c>
    </row>
    <row r="3555" spans="1:29" ht="20.25" customHeight="1">
      <c r="A3555" s="217" t="s">
        <v>2473</v>
      </c>
      <c r="B3555" s="216" t="s">
        <v>2474</v>
      </c>
      <c r="C3555" s="178" t="s">
        <v>47</v>
      </c>
      <c r="D3555" s="178" t="s">
        <v>383</v>
      </c>
      <c r="E3555" s="187">
        <v>33.4</v>
      </c>
      <c r="F3555" s="178">
        <v>2021</v>
      </c>
      <c r="G3555" s="188">
        <f>1.4*1673922000</f>
        <v>2343490800</v>
      </c>
      <c r="H3555" s="188">
        <v>5000000</v>
      </c>
      <c r="I3555" s="188">
        <v>-150000000</v>
      </c>
      <c r="J3555" s="188">
        <v>600000000</v>
      </c>
      <c r="K3555" s="188">
        <v>-1573400000</v>
      </c>
      <c r="L3555" s="188">
        <v>-1007058000</v>
      </c>
      <c r="M3555" s="194">
        <f>L3555/P3555</f>
        <v>-2.7435853811958411</v>
      </c>
      <c r="N3555" s="190">
        <f>J3555/L3555</f>
        <v>-0.59579487973880352</v>
      </c>
      <c r="O3555" s="190">
        <f>(I3555*0.7)/(K3555+L3555)</f>
        <v>4.0690451074964211E-2</v>
      </c>
      <c r="P3555" s="188">
        <v>367059107</v>
      </c>
      <c r="Q3555" s="188">
        <f>P3555*E3555</f>
        <v>12259774173.799999</v>
      </c>
      <c r="R3555" s="195">
        <f>Q3555/L3555</f>
        <v>-12.173851132506767</v>
      </c>
      <c r="S3555" s="197">
        <f>(Q3555+K3555)/H3555</f>
        <v>2137.27483476</v>
      </c>
      <c r="T3555" s="180"/>
      <c r="U3555" s="189">
        <f>IFERROR(IF(Tableau3[[#This Row],[Dettes]]=0,"",(Tableau3[[#This Row],[Dettes]]/Tableau3[[#This Row],[EBE]])),"")</f>
        <v>-314.68</v>
      </c>
      <c r="V3555" s="190" t="str">
        <f>IFERROR(Tableau3[[#This Row],[Fonds propres]]/Tableau3[[#This Row],[Total Bilan]],"")</f>
        <v/>
      </c>
      <c r="W3555" s="180"/>
      <c r="Y3555" s="180"/>
      <c r="Z3555" s="192" t="str">
        <f>IFERROR(Tableau3[[#This Row],[Chiffre d''affaires]]/Tableau3[[#This Row],[Salariés]],"")</f>
        <v/>
      </c>
      <c r="AA3555" s="177"/>
      <c r="AC3555" s="177" t="s">
        <v>2475</v>
      </c>
    </row>
    <row r="3556" spans="1:29" ht="20.25" customHeight="1">
      <c r="A3556" s="217"/>
      <c r="G3556" s="202">
        <f>(G3555/G3557)-1</f>
        <v>0.39999999999999991</v>
      </c>
      <c r="H3556" s="202">
        <f>(H3555/H3557)-1</f>
        <v>-1.1054140664530274</v>
      </c>
      <c r="I3556" s="202">
        <f>(I3555/I3557)-1</f>
        <v>-0.75799230415527208</v>
      </c>
      <c r="J3556" s="202">
        <f>(J3555/J3557)-1</f>
        <v>-1.180014167114952</v>
      </c>
      <c r="K3556" s="188"/>
      <c r="L3556" s="188"/>
      <c r="M3556" s="194"/>
      <c r="N3556" s="178"/>
      <c r="O3556" s="178"/>
      <c r="P3556" s="188"/>
      <c r="Q3556" s="178"/>
      <c r="R3556" s="178"/>
      <c r="S3556" s="178"/>
      <c r="T3556" s="180"/>
      <c r="U3556" s="189" t="str">
        <f>IFERROR(IF(Tableau3[[#This Row],[Dettes]]=0,"",(Tableau3[[#This Row],[Dettes]]/Tableau3[[#This Row],[EBE]])),"")</f>
        <v/>
      </c>
      <c r="V3556" s="190" t="str">
        <f>IFERROR(Tableau3[[#This Row],[Fonds propres]]/Tableau3[[#This Row],[Total Bilan]],"")</f>
        <v/>
      </c>
      <c r="W3556" s="180"/>
      <c r="Y3556" s="180"/>
      <c r="Z3556" s="192" t="str">
        <f>IFERROR(Tableau3[[#This Row],[Chiffre d''affaires]]/Tableau3[[#This Row],[Salariés]],"")</f>
        <v/>
      </c>
      <c r="AA3556" s="177"/>
      <c r="AC3556" s="177" t="s">
        <v>2477</v>
      </c>
    </row>
    <row r="3557" spans="1:29" ht="20.25" customHeight="1">
      <c r="A3557" s="217"/>
      <c r="E3557" s="187">
        <v>63.81</v>
      </c>
      <c r="F3557" s="178">
        <v>2020</v>
      </c>
      <c r="G3557" s="188">
        <v>1673922000</v>
      </c>
      <c r="H3557" s="188">
        <v>-47432000</v>
      </c>
      <c r="I3557" s="188">
        <v>-619815000</v>
      </c>
      <c r="J3557" s="188">
        <v>-3333071000</v>
      </c>
      <c r="K3557" s="188">
        <v>-1573400000</v>
      </c>
      <c r="L3557" s="188">
        <v>-1844646000</v>
      </c>
      <c r="M3557" s="194">
        <f>L3557/P3557</f>
        <v>-5.3806516132140922</v>
      </c>
      <c r="N3557" s="190">
        <f>J3557/L3557</f>
        <v>1.8068892351161143</v>
      </c>
      <c r="O3557" s="190">
        <f>(I3557*0.7)/(K3557+L3557)</f>
        <v>0.12693524311843668</v>
      </c>
      <c r="P3557" s="188">
        <v>342829481</v>
      </c>
      <c r="Q3557" s="188">
        <f>P3557*E3557</f>
        <v>21875949182.610001</v>
      </c>
      <c r="R3557" s="195">
        <f>Q3557/L3557</f>
        <v>-11.859158441570903</v>
      </c>
      <c r="S3557" s="197">
        <f>(Q3557+K3557)/H3557</f>
        <v>-428.03485374030191</v>
      </c>
      <c r="T3557" s="180"/>
      <c r="U3557" s="189">
        <f>IFERROR(IF(Tableau3[[#This Row],[Dettes]]=0,"",(Tableau3[[#This Row],[Dettes]]/Tableau3[[#This Row],[EBE]])),"")</f>
        <v>33.171698431438692</v>
      </c>
      <c r="V3557" s="190" t="str">
        <f>IFERROR(Tableau3[[#This Row],[Fonds propres]]/Tableau3[[#This Row],[Total Bilan]],"")</f>
        <v/>
      </c>
      <c r="W3557" s="180"/>
      <c r="Y3557" s="180"/>
      <c r="Z3557" s="192" t="str">
        <f>IFERROR(Tableau3[[#This Row],[Chiffre d''affaires]]/Tableau3[[#This Row],[Salariés]],"")</f>
        <v/>
      </c>
      <c r="AA3557" s="177"/>
      <c r="AC3557" s="177" t="s">
        <v>2478</v>
      </c>
    </row>
    <row r="3558" spans="1:29" ht="20.25" customHeight="1">
      <c r="A3558" s="217"/>
      <c r="G3558" s="202">
        <f>(G3557/G3559)-1</f>
        <v>0.63943324286974912</v>
      </c>
      <c r="H3558" s="202">
        <f>(H3557/H3559)-1</f>
        <v>-0.60921434220933302</v>
      </c>
      <c r="I3558" s="202">
        <f>(I3557/I3559)-1</f>
        <v>0.59879641762709057</v>
      </c>
      <c r="J3558" s="202">
        <f>(J3557/J3559)-1</f>
        <v>7.9193953244417798</v>
      </c>
      <c r="K3558" s="188"/>
      <c r="L3558" s="188"/>
      <c r="M3558" s="178"/>
      <c r="N3558" s="178"/>
      <c r="O3558" s="178"/>
      <c r="P3558" s="188"/>
      <c r="Q3558" s="178"/>
      <c r="R3558" s="178"/>
      <c r="S3558" s="178"/>
      <c r="T3558" s="180"/>
      <c r="U3558" s="189" t="str">
        <f>IFERROR(IF(Tableau3[[#This Row],[Dettes]]=0,"",(Tableau3[[#This Row],[Dettes]]/Tableau3[[#This Row],[EBE]])),"")</f>
        <v/>
      </c>
      <c r="V3558" s="190" t="str">
        <f>IFERROR(Tableau3[[#This Row],[Fonds propres]]/Tableau3[[#This Row],[Total Bilan]],"")</f>
        <v/>
      </c>
      <c r="W3558" s="180"/>
      <c r="Y3558" s="180"/>
      <c r="Z3558" s="192" t="str">
        <f>IFERROR(Tableau3[[#This Row],[Chiffre d''affaires]]/Tableau3[[#This Row],[Salariés]],"")</f>
        <v/>
      </c>
      <c r="AA3558" s="177"/>
      <c r="AC3558" s="177" t="s">
        <v>2479</v>
      </c>
    </row>
    <row r="3559" spans="1:29" ht="20.25" customHeight="1">
      <c r="A3559" s="217"/>
      <c r="E3559" s="178">
        <v>11.3</v>
      </c>
      <c r="F3559" s="178">
        <v>2019</v>
      </c>
      <c r="G3559" s="188">
        <v>1021037000</v>
      </c>
      <c r="H3559" s="188">
        <v>-121376000</v>
      </c>
      <c r="I3559" s="188">
        <v>-387676000</v>
      </c>
      <c r="J3559" s="188">
        <v>-373688000</v>
      </c>
      <c r="K3559" s="188">
        <v>-322429000</v>
      </c>
      <c r="L3559" s="188">
        <v>1167606000</v>
      </c>
      <c r="M3559" s="194">
        <f>L3559/P3559</f>
        <v>3.6620064570351452</v>
      </c>
      <c r="N3559" s="190">
        <f>J3559/L3559</f>
        <v>-0.32004631699391745</v>
      </c>
      <c r="O3559" s="190">
        <f>(I3559*0.7)/(K3559+L3559)</f>
        <v>-0.32108445923161655</v>
      </c>
      <c r="P3559" s="188">
        <v>318843239</v>
      </c>
      <c r="Q3559" s="188">
        <f>P3561*E3561</f>
        <v>4595831879.3199997</v>
      </c>
      <c r="R3559" s="195">
        <f>Q3559/L3559</f>
        <v>3.9361153328434417</v>
      </c>
      <c r="S3559" s="197">
        <f>(Q3559+K3559)/H3559</f>
        <v>-35.207972575467963</v>
      </c>
      <c r="T3559" s="180"/>
      <c r="U3559" s="189">
        <f>IFERROR(IF(Tableau3[[#This Row],[Dettes]]=0,"",(Tableau3[[#This Row],[Dettes]]/Tableau3[[#This Row],[EBE]])),"")</f>
        <v>2.6564477326654363</v>
      </c>
      <c r="V3559" s="190" t="str">
        <f>IFERROR(Tableau3[[#This Row],[Fonds propres]]/Tableau3[[#This Row],[Total Bilan]],"")</f>
        <v/>
      </c>
      <c r="W3559" s="180"/>
      <c r="Y3559" s="180"/>
      <c r="Z3559" s="192" t="str">
        <f>IFERROR(Tableau3[[#This Row],[Chiffre d''affaires]]/Tableau3[[#This Row],[Salariés]],"")</f>
        <v/>
      </c>
      <c r="AA3559" s="177"/>
      <c r="AC3559" s="177" t="s">
        <v>2480</v>
      </c>
    </row>
    <row r="3560" spans="1:29" ht="20.25" customHeight="1">
      <c r="A3560" s="217"/>
      <c r="G3560" s="202">
        <f>(G3559/G3561)-1</f>
        <v>0.69499355892586778</v>
      </c>
      <c r="H3560" s="202">
        <f>(H3559/H3561)-1</f>
        <v>0.26486035848270117</v>
      </c>
      <c r="I3560" s="202">
        <f>(I3559/I3561)-1</f>
        <v>1.2372419683408067</v>
      </c>
      <c r="J3560" s="202">
        <f>(J3559/J3561)-1</f>
        <v>1.4019797525309334</v>
      </c>
      <c r="K3560" s="188"/>
      <c r="L3560" s="188"/>
      <c r="M3560" s="178"/>
      <c r="N3560" s="178"/>
      <c r="O3560" s="178"/>
      <c r="P3560" s="188"/>
      <c r="Q3560" s="178"/>
      <c r="R3560" s="178"/>
      <c r="S3560" s="178"/>
      <c r="T3560" s="180"/>
      <c r="U3560" s="189" t="str">
        <f>IFERROR(IF(Tableau3[[#This Row],[Dettes]]=0,"",(Tableau3[[#This Row],[Dettes]]/Tableau3[[#This Row],[EBE]])),"")</f>
        <v/>
      </c>
      <c r="V3560" s="190" t="str">
        <f>IFERROR(Tableau3[[#This Row],[Fonds propres]]/Tableau3[[#This Row],[Total Bilan]],"")</f>
        <v/>
      </c>
      <c r="W3560" s="180"/>
      <c r="Y3560" s="180"/>
      <c r="Z3560" s="192" t="str">
        <f>IFERROR(Tableau3[[#This Row],[Chiffre d''affaires]]/Tableau3[[#This Row],[Salariés]],"")</f>
        <v/>
      </c>
      <c r="AA3560" s="177"/>
      <c r="AC3560" s="177" t="s">
        <v>2481</v>
      </c>
    </row>
    <row r="3561" spans="1:29" ht="20.25" customHeight="1">
      <c r="A3561" s="217"/>
      <c r="E3561" s="187">
        <v>17.38</v>
      </c>
      <c r="F3561" s="178">
        <v>2018</v>
      </c>
      <c r="G3561" s="188">
        <v>602384000</v>
      </c>
      <c r="H3561" s="188">
        <v>-95960000</v>
      </c>
      <c r="I3561" s="188">
        <v>-173283000</v>
      </c>
      <c r="J3561" s="188">
        <v>-155575000</v>
      </c>
      <c r="K3561" s="188">
        <v>-1044786000</v>
      </c>
      <c r="L3561" s="188">
        <v>1128431000</v>
      </c>
      <c r="M3561" s="194">
        <f>L3561/P3561</f>
        <v>4.2673734146475812</v>
      </c>
      <c r="N3561" s="190">
        <f>J3561/L3561</f>
        <v>-0.13786842084274537</v>
      </c>
      <c r="O3561" s="190">
        <f>(I3561*0.7)/(K3561+L3561)</f>
        <v>-1.4501536254408511</v>
      </c>
      <c r="P3561" s="188">
        <v>264432214</v>
      </c>
      <c r="Q3561" s="188">
        <f>P3561*E3561</f>
        <v>4595831879.3199997</v>
      </c>
      <c r="R3561" s="195">
        <f>Q3561/L3561</f>
        <v>4.0727628710306609</v>
      </c>
      <c r="S3561" s="197">
        <f>(Q3561+K3561)/H3561</f>
        <v>-37.005480192997076</v>
      </c>
      <c r="T3561" s="180"/>
      <c r="U3561" s="189">
        <f>IFERROR(IF(Tableau3[[#This Row],[Dettes]]=0,"",(Tableau3[[#This Row],[Dettes]]/Tableau3[[#This Row],[EBE]])),"")</f>
        <v>10.887724051688203</v>
      </c>
      <c r="V3561" s="190" t="str">
        <f>IFERROR(Tableau3[[#This Row],[Fonds propres]]/Tableau3[[#This Row],[Total Bilan]],"")</f>
        <v/>
      </c>
      <c r="W3561" s="180"/>
      <c r="Y3561" s="180"/>
      <c r="Z3561" s="192" t="str">
        <f>IFERROR(Tableau3[[#This Row],[Chiffre d''affaires]]/Tableau3[[#This Row],[Salariés]],"")</f>
        <v/>
      </c>
      <c r="AA3561" s="177"/>
      <c r="AC3561" s="177" t="s">
        <v>2482</v>
      </c>
    </row>
    <row r="3562" spans="1:29" ht="20.25" customHeight="1">
      <c r="A3562" s="217"/>
      <c r="G3562" s="202">
        <f>(G3561/G3563)-1</f>
        <v>0.5607177834317012</v>
      </c>
      <c r="H3562" s="202">
        <f>(H3561/H3563)-1</f>
        <v>0.65223230427521139</v>
      </c>
      <c r="I3562" s="202">
        <f>(I3561/I3563)-1</f>
        <v>0.83440077067211504</v>
      </c>
      <c r="J3562" s="202">
        <f>(J3561/J3563)-1</f>
        <v>0.38566020930750389</v>
      </c>
      <c r="K3562" s="188"/>
      <c r="L3562" s="188"/>
      <c r="M3562" s="178"/>
      <c r="N3562" s="178"/>
      <c r="O3562" s="178"/>
      <c r="P3562" s="188"/>
      <c r="Q3562" s="178"/>
      <c r="R3562" s="178"/>
      <c r="S3562" s="178"/>
      <c r="T3562" s="180"/>
      <c r="U3562" s="189" t="str">
        <f>IFERROR(IF(Tableau3[[#This Row],[Dettes]]=0,"",(Tableau3[[#This Row],[Dettes]]/Tableau3[[#This Row],[EBE]])),"")</f>
        <v/>
      </c>
      <c r="V3562" s="190" t="str">
        <f>IFERROR(Tableau3[[#This Row],[Fonds propres]]/Tableau3[[#This Row],[Total Bilan]],"")</f>
        <v/>
      </c>
      <c r="W3562" s="180"/>
      <c r="Y3562" s="180"/>
      <c r="Z3562" s="192" t="str">
        <f>IFERROR(Tableau3[[#This Row],[Chiffre d''affaires]]/Tableau3[[#This Row],[Salariés]],"")</f>
        <v/>
      </c>
      <c r="AA3562" s="177"/>
      <c r="AC3562" s="177" t="s">
        <v>2483</v>
      </c>
    </row>
    <row r="3563" spans="1:29" ht="20.25" customHeight="1">
      <c r="A3563" s="217"/>
      <c r="F3563" s="178">
        <v>2017</v>
      </c>
      <c r="G3563" s="188">
        <v>385966000</v>
      </c>
      <c r="H3563" s="188">
        <v>-58079000</v>
      </c>
      <c r="I3563" s="188">
        <v>-94463000</v>
      </c>
      <c r="J3563" s="188">
        <v>-112275000</v>
      </c>
      <c r="K3563" s="188">
        <v>-384002000</v>
      </c>
      <c r="L3563" s="188">
        <v>396903000</v>
      </c>
      <c r="M3563" s="194">
        <f>L3563/P3563</f>
        <v>1.7761246563197917</v>
      </c>
      <c r="N3563" s="190">
        <f>J3563/L3563</f>
        <v>-0.28287768044081302</v>
      </c>
      <c r="O3563" s="190">
        <f>(I3563*0.7)/(K3563+L3563)</f>
        <v>-5.12550189907759</v>
      </c>
      <c r="P3563" s="188">
        <v>223465734</v>
      </c>
      <c r="Q3563" s="188">
        <f>P3563*E3563</f>
        <v>0</v>
      </c>
      <c r="R3563" s="195">
        <f>Q3563/L3563</f>
        <v>0</v>
      </c>
      <c r="S3563" s="197">
        <f>(Q3563+K3563)/H3563</f>
        <v>6.611718521324403</v>
      </c>
      <c r="T3563" s="180"/>
      <c r="U3563" s="189">
        <f>IFERROR(IF(Tableau3[[#This Row],[Dettes]]=0,"",(Tableau3[[#This Row],[Dettes]]/Tableau3[[#This Row],[EBE]])),"")</f>
        <v>6.611718521324403</v>
      </c>
      <c r="V3563" s="190" t="str">
        <f>IFERROR(Tableau3[[#This Row],[Fonds propres]]/Tableau3[[#This Row],[Total Bilan]],"")</f>
        <v/>
      </c>
      <c r="W3563" s="180"/>
      <c r="Y3563" s="180"/>
      <c r="Z3563" s="192" t="str">
        <f>IFERROR(Tableau3[[#This Row],[Chiffre d''affaires]]/Tableau3[[#This Row],[Salariés]],"")</f>
        <v/>
      </c>
      <c r="AA3563" s="177"/>
      <c r="AC3563" s="177" t="s">
        <v>2484</v>
      </c>
    </row>
    <row r="3564" spans="1:29" ht="20.25" customHeight="1">
      <c r="A3564" s="217"/>
      <c r="G3564" s="202">
        <f>(G3563/G3565)-1</f>
        <v>0.59413669480744757</v>
      </c>
      <c r="H3564" s="202">
        <f>(H3563/H3565)-1</f>
        <v>8.802922442862493E-2</v>
      </c>
      <c r="I3564" s="202">
        <f>(I3563/I3565)-1</f>
        <v>6.5428255622476339E-2</v>
      </c>
      <c r="J3564" s="202">
        <f>(J3563/J3565)-1</f>
        <v>0.37830074024969607</v>
      </c>
      <c r="K3564" s="178"/>
      <c r="L3564" s="188"/>
      <c r="M3564" s="178"/>
      <c r="N3564" s="178"/>
      <c r="O3564" s="178"/>
      <c r="P3564" s="188"/>
      <c r="Q3564" s="178"/>
      <c r="R3564" s="178"/>
      <c r="S3564" s="178"/>
      <c r="T3564" s="180"/>
      <c r="U3564" s="189" t="str">
        <f>IFERROR(IF(Tableau3[[#This Row],[Dettes]]=0,"",(Tableau3[[#This Row],[Dettes]]/Tableau3[[#This Row],[EBE]])),"")</f>
        <v/>
      </c>
      <c r="V3564" s="190" t="str">
        <f>IFERROR(Tableau3[[#This Row],[Fonds propres]]/Tableau3[[#This Row],[Total Bilan]],"")</f>
        <v/>
      </c>
      <c r="W3564" s="180"/>
      <c r="Y3564" s="180"/>
      <c r="Z3564" s="192" t="str">
        <f>IFERROR(Tableau3[[#This Row],[Chiffre d''affaires]]/Tableau3[[#This Row],[Salariés]],"")</f>
        <v/>
      </c>
      <c r="AA3564" s="177"/>
      <c r="AC3564" s="177" t="s">
        <v>2485</v>
      </c>
    </row>
    <row r="3565" spans="1:29" ht="20.25" customHeight="1">
      <c r="A3565" s="217"/>
      <c r="F3565" s="178">
        <v>2016</v>
      </c>
      <c r="G3565" s="188">
        <v>242116000</v>
      </c>
      <c r="H3565" s="188">
        <v>-53380000</v>
      </c>
      <c r="I3565" s="188">
        <v>-88662000</v>
      </c>
      <c r="J3565" s="188">
        <v>-81459000</v>
      </c>
      <c r="K3565" s="178"/>
      <c r="L3565" s="188"/>
      <c r="M3565" s="194">
        <f>L3565/P3565</f>
        <v>0</v>
      </c>
      <c r="N3565" s="190" t="e">
        <f>J3565/L3565</f>
        <v>#DIV/0!</v>
      </c>
      <c r="O3565" s="190" t="e">
        <f>(I3565*0.7)/(K3565+L3565)</f>
        <v>#DIV/0!</v>
      </c>
      <c r="P3565" s="188">
        <v>188679490</v>
      </c>
      <c r="Q3565" s="188">
        <f>P3565*E3565</f>
        <v>0</v>
      </c>
      <c r="R3565" s="195" t="e">
        <f>Q3565/L3565</f>
        <v>#DIV/0!</v>
      </c>
      <c r="S3565" s="197">
        <f>(Q3565+K3565)/H3565</f>
        <v>0</v>
      </c>
      <c r="T3565" s="180"/>
      <c r="U3565" s="189" t="str">
        <f>IFERROR(IF(Tableau3[[#This Row],[Dettes]]=0,"",(Tableau3[[#This Row],[Dettes]]/Tableau3[[#This Row],[EBE]])),"")</f>
        <v/>
      </c>
      <c r="V3565" s="190" t="str">
        <f>IFERROR(Tableau3[[#This Row],[Fonds propres]]/Tableau3[[#This Row],[Total Bilan]],"")</f>
        <v/>
      </c>
      <c r="W3565" s="180"/>
      <c r="Y3565" s="180"/>
      <c r="Z3565" s="192" t="str">
        <f>IFERROR(Tableau3[[#This Row],[Chiffre d''affaires]]/Tableau3[[#This Row],[Salariés]],"")</f>
        <v/>
      </c>
      <c r="AA3565" s="177"/>
      <c r="AC3565" s="177" t="s">
        <v>2486</v>
      </c>
    </row>
    <row r="3566" spans="1:29" ht="20.25" customHeight="1">
      <c r="A3566" s="217"/>
      <c r="G3566" s="202">
        <f>(G3565/G3567)-1</f>
        <v>0.7013878640947262</v>
      </c>
      <c r="H3566" s="202">
        <f>(H3565/H3567)-1</f>
        <v>0.12675461741424798</v>
      </c>
      <c r="I3566" s="202">
        <f>(I3565/I3567)-1</f>
        <v>0.54275274056029232</v>
      </c>
      <c r="J3566" s="202">
        <f>(J3565/J3567)-1</f>
        <v>0.333055132799843</v>
      </c>
      <c r="K3566" s="178"/>
      <c r="L3566" s="188"/>
      <c r="M3566" s="178"/>
      <c r="N3566" s="178"/>
      <c r="O3566" s="178"/>
      <c r="P3566" s="188"/>
      <c r="Q3566" s="178"/>
      <c r="R3566" s="178"/>
      <c r="S3566" s="178"/>
      <c r="T3566" s="180"/>
      <c r="U3566" s="189" t="str">
        <f>IFERROR(IF(Tableau3[[#This Row],[Dettes]]=0,"",(Tableau3[[#This Row],[Dettes]]/Tableau3[[#This Row],[EBE]])),"")</f>
        <v/>
      </c>
      <c r="V3566" s="190" t="str">
        <f>IFERROR(Tableau3[[#This Row],[Fonds propres]]/Tableau3[[#This Row],[Total Bilan]],"")</f>
        <v/>
      </c>
      <c r="W3566" s="180"/>
      <c r="Y3566" s="180"/>
      <c r="Z3566" s="192" t="str">
        <f>IFERROR(Tableau3[[#This Row],[Chiffre d''affaires]]/Tableau3[[#This Row],[Salariés]],"")</f>
        <v/>
      </c>
      <c r="AA3566" s="177"/>
      <c r="AC3566" s="177" t="s">
        <v>2487</v>
      </c>
    </row>
    <row r="3567" spans="1:29" ht="20.25" customHeight="1">
      <c r="A3567" s="217"/>
      <c r="F3567" s="178">
        <v>2015</v>
      </c>
      <c r="G3567" s="188">
        <v>142305000</v>
      </c>
      <c r="H3567" s="188">
        <v>-47375000</v>
      </c>
      <c r="I3567" s="188">
        <v>-57470000</v>
      </c>
      <c r="J3567" s="188">
        <v>-61107000</v>
      </c>
      <c r="K3567" s="178"/>
      <c r="L3567" s="188"/>
      <c r="M3567" s="178"/>
      <c r="N3567" s="178"/>
      <c r="O3567" s="178"/>
      <c r="P3567" s="188"/>
      <c r="Q3567" s="178"/>
      <c r="R3567" s="178"/>
      <c r="S3567" s="178"/>
      <c r="T3567" s="180"/>
      <c r="U3567" s="189" t="str">
        <f>IFERROR(IF(Tableau3[[#This Row],[Dettes]]=0,"",(Tableau3[[#This Row],[Dettes]]/Tableau3[[#This Row],[EBE]])),"")</f>
        <v/>
      </c>
      <c r="V3567" s="190" t="str">
        <f>IFERROR(Tableau3[[#This Row],[Fonds propres]]/Tableau3[[#This Row],[Total Bilan]],"")</f>
        <v/>
      </c>
      <c r="W3567" s="180"/>
      <c r="Y3567" s="180"/>
      <c r="Z3567" s="192" t="str">
        <f>IFERROR(Tableau3[[#This Row],[Chiffre d''affaires]]/Tableau3[[#This Row],[Salariés]],"")</f>
        <v/>
      </c>
      <c r="AA3567" s="177"/>
      <c r="AC3567" s="177" t="s">
        <v>2488</v>
      </c>
    </row>
    <row r="3568" spans="1:29" ht="20.25" customHeight="1">
      <c r="A3568" s="217"/>
      <c r="G3568" s="188"/>
      <c r="H3568" s="188"/>
      <c r="I3568" s="178"/>
      <c r="J3568" s="188"/>
      <c r="K3568" s="178"/>
      <c r="L3568" s="188"/>
      <c r="M3568" s="178"/>
      <c r="N3568" s="178"/>
      <c r="O3568" s="178"/>
      <c r="P3568" s="188"/>
      <c r="Q3568" s="178"/>
      <c r="R3568" s="178"/>
      <c r="S3568" s="178"/>
      <c r="T3568" s="180"/>
      <c r="U3568" s="189" t="str">
        <f>IFERROR(IF(Tableau3[[#This Row],[Dettes]]=0,"",(Tableau3[[#This Row],[Dettes]]/Tableau3[[#This Row],[EBE]])),"")</f>
        <v/>
      </c>
      <c r="V3568" s="190" t="str">
        <f>IFERROR(Tableau3[[#This Row],[Fonds propres]]/Tableau3[[#This Row],[Total Bilan]],"")</f>
        <v/>
      </c>
      <c r="W3568" s="180"/>
      <c r="Y3568" s="180"/>
      <c r="Z3568" s="192" t="str">
        <f>IFERROR(Tableau3[[#This Row],[Chiffre d''affaires]]/Tableau3[[#This Row],[Salariés]],"")</f>
        <v/>
      </c>
      <c r="AA3568" s="177"/>
      <c r="AC3568" s="177" t="s">
        <v>2489</v>
      </c>
    </row>
    <row r="3569" spans="1:29" ht="20.25" customHeight="1">
      <c r="A3569" s="217"/>
      <c r="F3569" s="217" t="s">
        <v>2490</v>
      </c>
      <c r="G3569" s="188"/>
      <c r="H3569" s="188"/>
      <c r="I3569" s="178"/>
      <c r="J3569" s="188"/>
      <c r="K3569" s="178"/>
      <c r="L3569" s="188"/>
      <c r="M3569" s="178"/>
      <c r="N3569" s="178"/>
      <c r="O3569" s="178"/>
      <c r="P3569" s="188"/>
      <c r="Q3569" s="178"/>
      <c r="R3569" s="178"/>
      <c r="S3569" s="178"/>
      <c r="T3569" s="180"/>
      <c r="U3569" s="189" t="str">
        <f>IFERROR(IF(Tableau3[[#This Row],[Dettes]]=0,"",(Tableau3[[#This Row],[Dettes]]/Tableau3[[#This Row],[EBE]])),"")</f>
        <v/>
      </c>
      <c r="V3569" s="190" t="str">
        <f>IFERROR(Tableau3[[#This Row],[Fonds propres]]/Tableau3[[#This Row],[Total Bilan]],"")</f>
        <v/>
      </c>
      <c r="W3569" s="180"/>
      <c r="Y3569" s="180"/>
      <c r="Z3569" s="192" t="str">
        <f>IFERROR(Tableau3[[#This Row],[Chiffre d''affaires]]/Tableau3[[#This Row],[Salariés]],"")</f>
        <v/>
      </c>
      <c r="AA3569" s="177"/>
      <c r="AC3569" s="177" t="s">
        <v>2491</v>
      </c>
    </row>
    <row r="3570" spans="1:29" ht="20.25" customHeight="1">
      <c r="A3570" s="217"/>
      <c r="G3570" s="188"/>
      <c r="H3570" s="188"/>
      <c r="I3570" s="178"/>
      <c r="J3570" s="188"/>
      <c r="K3570" s="178"/>
      <c r="L3570" s="188"/>
      <c r="M3570" s="178"/>
      <c r="N3570" s="178"/>
      <c r="O3570" s="178"/>
      <c r="P3570" s="188"/>
      <c r="Q3570" s="178"/>
      <c r="R3570" s="178"/>
      <c r="S3570" s="178"/>
      <c r="T3570" s="180"/>
      <c r="U3570" s="189" t="str">
        <f>IFERROR(IF(Tableau3[[#This Row],[Dettes]]=0,"",(Tableau3[[#This Row],[Dettes]]/Tableau3[[#This Row],[EBE]])),"")</f>
        <v/>
      </c>
      <c r="V3570" s="190" t="str">
        <f>IFERROR(Tableau3[[#This Row],[Fonds propres]]/Tableau3[[#This Row],[Total Bilan]],"")</f>
        <v/>
      </c>
      <c r="W3570" s="180"/>
      <c r="Y3570" s="180"/>
      <c r="Z3570" s="192" t="str">
        <f>IFERROR(Tableau3[[#This Row],[Chiffre d''affaires]]/Tableau3[[#This Row],[Salariés]],"")</f>
        <v/>
      </c>
      <c r="AA3570" s="177"/>
      <c r="AC3570" s="177" t="s">
        <v>2492</v>
      </c>
    </row>
    <row r="3571" spans="1:29" ht="20.25" customHeight="1">
      <c r="A3571" s="217"/>
      <c r="G3571" s="188"/>
      <c r="H3571" s="188"/>
      <c r="I3571" s="178"/>
      <c r="J3571" s="188"/>
      <c r="K3571" s="178"/>
      <c r="L3571" s="188"/>
      <c r="M3571" s="178"/>
      <c r="N3571" s="178"/>
      <c r="O3571" s="178"/>
      <c r="P3571" s="188"/>
      <c r="Q3571" s="178"/>
      <c r="R3571" s="178"/>
      <c r="S3571" s="178"/>
      <c r="T3571" s="180"/>
      <c r="U3571" s="189" t="str">
        <f>IFERROR(IF(Tableau3[[#This Row],[Dettes]]=0,"",(Tableau3[[#This Row],[Dettes]]/Tableau3[[#This Row],[EBE]])),"")</f>
        <v/>
      </c>
      <c r="V3571" s="190" t="str">
        <f>IFERROR(Tableau3[[#This Row],[Fonds propres]]/Tableau3[[#This Row],[Total Bilan]],"")</f>
        <v/>
      </c>
      <c r="W3571" s="180"/>
      <c r="Y3571" s="180"/>
      <c r="Z3571" s="192" t="str">
        <f>IFERROR(Tableau3[[#This Row],[Chiffre d''affaires]]/Tableau3[[#This Row],[Salariés]],"")</f>
        <v/>
      </c>
      <c r="AA3571" s="177"/>
      <c r="AC3571" s="177" t="s">
        <v>529</v>
      </c>
    </row>
    <row r="3572" spans="1:29" ht="20.25" customHeight="1">
      <c r="A3572" s="217"/>
      <c r="G3572" s="188"/>
      <c r="H3572" s="188"/>
      <c r="I3572" s="178"/>
      <c r="J3572" s="188"/>
      <c r="K3572" s="178"/>
      <c r="L3572" s="188"/>
      <c r="M3572" s="178"/>
      <c r="N3572" s="178"/>
      <c r="O3572" s="178"/>
      <c r="P3572" s="188"/>
      <c r="Q3572" s="178"/>
      <c r="R3572" s="178"/>
      <c r="S3572" s="178"/>
      <c r="T3572" s="180"/>
      <c r="U3572" s="189" t="str">
        <f>IFERROR(IF(Tableau3[[#This Row],[Dettes]]=0,"",(Tableau3[[#This Row],[Dettes]]/Tableau3[[#This Row],[EBE]])),"")</f>
        <v/>
      </c>
      <c r="V3572" s="190" t="str">
        <f>IFERROR(Tableau3[[#This Row],[Fonds propres]]/Tableau3[[#This Row],[Total Bilan]],"")</f>
        <v/>
      </c>
      <c r="W3572" s="180"/>
      <c r="Y3572" s="180"/>
      <c r="Z3572" s="192" t="str">
        <f>IFERROR(Tableau3[[#This Row],[Chiffre d''affaires]]/Tableau3[[#This Row],[Salariés]],"")</f>
        <v/>
      </c>
      <c r="AA3572" s="177"/>
      <c r="AC3572" s="177" t="s">
        <v>2493</v>
      </c>
    </row>
    <row r="3573" spans="1:29" ht="20.25" customHeight="1">
      <c r="A3573" s="217"/>
      <c r="G3573" s="188"/>
      <c r="H3573" s="188"/>
      <c r="I3573" s="178"/>
      <c r="J3573" s="188"/>
      <c r="K3573" s="178"/>
      <c r="L3573" s="188"/>
      <c r="M3573" s="178"/>
      <c r="N3573" s="178"/>
      <c r="O3573" s="178"/>
      <c r="P3573" s="188"/>
      <c r="Q3573" s="178"/>
      <c r="R3573" s="178"/>
      <c r="S3573" s="178"/>
      <c r="T3573" s="180"/>
      <c r="U3573" s="189" t="str">
        <f>IFERROR(IF(Tableau3[[#This Row],[Dettes]]=0,"",(Tableau3[[#This Row],[Dettes]]/Tableau3[[#This Row],[EBE]])),"")</f>
        <v/>
      </c>
      <c r="V3573" s="190" t="str">
        <f>IFERROR(Tableau3[[#This Row],[Fonds propres]]/Tableau3[[#This Row],[Total Bilan]],"")</f>
        <v/>
      </c>
      <c r="W3573" s="180"/>
      <c r="Y3573" s="180"/>
      <c r="Z3573" s="192" t="str">
        <f>IFERROR(Tableau3[[#This Row],[Chiffre d''affaires]]/Tableau3[[#This Row],[Salariés]],"")</f>
        <v/>
      </c>
      <c r="AA3573" s="177"/>
    </row>
    <row r="3574" spans="1:29" ht="20.25" customHeight="1">
      <c r="A3574" s="217"/>
      <c r="G3574" s="188"/>
      <c r="H3574" s="188"/>
      <c r="I3574" s="178"/>
      <c r="J3574" s="188"/>
      <c r="K3574" s="178"/>
      <c r="L3574" s="188"/>
      <c r="M3574" s="178"/>
      <c r="N3574" s="178"/>
      <c r="O3574" s="178"/>
      <c r="P3574" s="188"/>
      <c r="Q3574" s="178"/>
      <c r="R3574" s="178"/>
      <c r="S3574" s="178"/>
      <c r="T3574" s="180"/>
      <c r="U3574" s="189" t="str">
        <f>IFERROR(IF(Tableau3[[#This Row],[Dettes]]=0,"",(Tableau3[[#This Row],[Dettes]]/Tableau3[[#This Row],[EBE]])),"")</f>
        <v/>
      </c>
      <c r="V3574" s="190" t="str">
        <f>IFERROR(Tableau3[[#This Row],[Fonds propres]]/Tableau3[[#This Row],[Total Bilan]],"")</f>
        <v/>
      </c>
      <c r="W3574" s="180"/>
      <c r="Y3574" s="180"/>
      <c r="Z3574" s="192" t="str">
        <f>IFERROR(Tableau3[[#This Row],[Chiffre d''affaires]]/Tableau3[[#This Row],[Salariés]],"")</f>
        <v/>
      </c>
      <c r="AA3574" s="177"/>
    </row>
    <row r="3575" spans="1:29" ht="20.25" customHeight="1">
      <c r="A3575" s="217" t="s">
        <v>2494</v>
      </c>
      <c r="B3575" s="216" t="s">
        <v>2495</v>
      </c>
      <c r="C3575" s="178" t="s">
        <v>382</v>
      </c>
      <c r="D3575" s="178" t="s">
        <v>383</v>
      </c>
      <c r="E3575" s="187">
        <v>112</v>
      </c>
      <c r="F3575" s="178">
        <v>2022</v>
      </c>
      <c r="G3575" s="188">
        <v>5973692000</v>
      </c>
      <c r="H3575" s="188">
        <v>3467538000</v>
      </c>
      <c r="I3575" s="188">
        <v>2280402000</v>
      </c>
      <c r="J3575" s="188">
        <v>3364856000</v>
      </c>
      <c r="K3575" s="188">
        <v>23875961000</v>
      </c>
      <c r="L3575" s="188">
        <v>53237282000</v>
      </c>
      <c r="M3575" s="194">
        <f>L3575/P3575</f>
        <v>84.263271272259914</v>
      </c>
      <c r="N3575" s="190">
        <f>J3575/L3575</f>
        <v>6.3204879618009052E-2</v>
      </c>
      <c r="O3575" s="190">
        <f>(I3575*0.7)/(K3575+L3575)</f>
        <v>2.0700483313871264E-2</v>
      </c>
      <c r="P3575" s="188">
        <v>631797000</v>
      </c>
      <c r="Q3575" s="188">
        <f>P3575*E3575</f>
        <v>70761264000</v>
      </c>
      <c r="R3575" s="195">
        <f>Q3575/L3575</f>
        <v>1.3291674807891207</v>
      </c>
      <c r="S3575" s="197">
        <f>(Q3575+K3575)/H3575</f>
        <v>27.292339694619063</v>
      </c>
      <c r="T3575" s="180"/>
      <c r="U3575" s="189">
        <f>IFERROR(IF(Tableau3[[#This Row],[Dettes]]=0,"",(Tableau3[[#This Row],[Dettes]]/Tableau3[[#This Row],[EBE]])),"")</f>
        <v>6.8855657818313745</v>
      </c>
      <c r="V3575" s="190" t="str">
        <f>IFERROR(Tableau3[[#This Row],[Fonds propres]]/Tableau3[[#This Row],[Total Bilan]],"")</f>
        <v/>
      </c>
      <c r="W3575" s="180"/>
      <c r="Y3575" s="180"/>
      <c r="Z3575" s="192" t="str">
        <f>IFERROR(Tableau3[[#This Row],[Chiffre d''affaires]]/Tableau3[[#This Row],[Salariés]],"")</f>
        <v/>
      </c>
      <c r="AA3575" s="177"/>
      <c r="AC3575" s="177" t="s">
        <v>2496</v>
      </c>
    </row>
    <row r="3576" spans="1:29" ht="20.25" customHeight="1">
      <c r="A3576" s="217"/>
      <c r="G3576" s="188"/>
      <c r="H3576" s="188"/>
      <c r="I3576" s="178"/>
      <c r="J3576" s="188"/>
      <c r="K3576" s="188"/>
      <c r="L3576" s="188"/>
      <c r="M3576" s="178"/>
      <c r="N3576" s="178"/>
      <c r="O3576" s="178"/>
      <c r="P3576" s="188"/>
      <c r="Q3576" s="178"/>
      <c r="R3576" s="178"/>
      <c r="S3576" s="178"/>
      <c r="T3576" s="180"/>
      <c r="U3576" s="189" t="str">
        <f>IFERROR(IF(Tableau3[[#This Row],[Dettes]]=0,"",(Tableau3[[#This Row],[Dettes]]/Tableau3[[#This Row],[EBE]])),"")</f>
        <v/>
      </c>
      <c r="V3576" s="190" t="str">
        <f>IFERROR(Tableau3[[#This Row],[Fonds propres]]/Tableau3[[#This Row],[Total Bilan]],"")</f>
        <v/>
      </c>
      <c r="W3576" s="180"/>
      <c r="Y3576" s="180"/>
      <c r="Z3576" s="192" t="str">
        <f>IFERROR(Tableau3[[#This Row],[Chiffre d''affaires]]/Tableau3[[#This Row],[Salariés]],"")</f>
        <v/>
      </c>
      <c r="AA3576" s="177"/>
      <c r="AC3576" s="177" t="s">
        <v>2497</v>
      </c>
    </row>
    <row r="3577" spans="1:29" ht="20.25" customHeight="1">
      <c r="A3577" s="217"/>
      <c r="E3577" s="187">
        <v>168.36</v>
      </c>
      <c r="F3577" s="178">
        <v>2021</v>
      </c>
      <c r="G3577" s="188">
        <v>4759440000</v>
      </c>
      <c r="H3577" s="188">
        <v>3206996000</v>
      </c>
      <c r="I3577" s="188">
        <v>1617409000</v>
      </c>
      <c r="J3577" s="188">
        <v>2939723000</v>
      </c>
      <c r="K3577" s="188">
        <v>17715054000</v>
      </c>
      <c r="L3577" s="188">
        <v>33426873000</v>
      </c>
      <c r="M3577" s="194">
        <f>L3577/P3577</f>
        <v>52.907615895612039</v>
      </c>
      <c r="N3577" s="190">
        <f>J3577/L3577</f>
        <v>8.7944899901345838E-2</v>
      </c>
      <c r="O3577" s="190">
        <f>(I3577*0.7)/(K3577+L3577)</f>
        <v>2.2138123579113475E-2</v>
      </c>
      <c r="P3577" s="188">
        <v>631797000</v>
      </c>
      <c r="Q3577" s="188">
        <f>P3577*E3577</f>
        <v>106369342920.00002</v>
      </c>
      <c r="R3577" s="195">
        <f>Q3577/L3577</f>
        <v>3.1821505684961919</v>
      </c>
      <c r="S3577" s="197">
        <f>(Q3577+K3577)/H3577</f>
        <v>38.691784124457911</v>
      </c>
      <c r="T3577" s="180"/>
      <c r="U3577" s="189">
        <f>IFERROR(IF(Tableau3[[#This Row],[Dettes]]=0,"",(Tableau3[[#This Row],[Dettes]]/Tableau3[[#This Row],[EBE]])),"")</f>
        <v>5.5238777971659463</v>
      </c>
      <c r="V3577" s="190" t="str">
        <f>IFERROR(Tableau3[[#This Row],[Fonds propres]]/Tableau3[[#This Row],[Total Bilan]],"")</f>
        <v/>
      </c>
      <c r="W3577" s="180"/>
      <c r="Y3577" s="180"/>
      <c r="Z3577" s="192" t="str">
        <f>IFERROR(Tableau3[[#This Row],[Chiffre d''affaires]]/Tableau3[[#This Row],[Salariés]],"")</f>
        <v/>
      </c>
      <c r="AA3577" s="177"/>
      <c r="AC3577" s="177" t="s">
        <v>572</v>
      </c>
    </row>
    <row r="3578" spans="1:29" ht="20.25" customHeight="1">
      <c r="A3578" s="217"/>
      <c r="G3578" s="188"/>
      <c r="H3578" s="188"/>
      <c r="I3578" s="178"/>
      <c r="J3578" s="188"/>
      <c r="K3578" s="178"/>
      <c r="L3578" s="188"/>
      <c r="M3578" s="178"/>
      <c r="N3578" s="178"/>
      <c r="O3578" s="178"/>
      <c r="P3578" s="188"/>
      <c r="Q3578" s="178"/>
      <c r="R3578" s="178"/>
      <c r="S3578" s="178"/>
      <c r="T3578" s="180"/>
      <c r="U3578" s="189" t="str">
        <f>IFERROR(IF(Tableau3[[#This Row],[Dettes]]=0,"",(Tableau3[[#This Row],[Dettes]]/Tableau3[[#This Row],[EBE]])),"")</f>
        <v/>
      </c>
      <c r="V3578" s="190" t="str">
        <f>IFERROR(Tableau3[[#This Row],[Fonds propres]]/Tableau3[[#This Row],[Total Bilan]],"")</f>
        <v/>
      </c>
      <c r="W3578" s="180"/>
      <c r="Y3578" s="180"/>
      <c r="Z3578" s="192" t="str">
        <f>IFERROR(Tableau3[[#This Row],[Chiffre d''affaires]]/Tableau3[[#This Row],[Salariés]],"")</f>
        <v/>
      </c>
      <c r="AA3578" s="177"/>
      <c r="AC3578" s="177" t="s">
        <v>2499</v>
      </c>
    </row>
    <row r="3579" spans="1:29" ht="20.25" customHeight="1">
      <c r="A3579" s="217"/>
      <c r="E3579" s="187">
        <v>99.66</v>
      </c>
      <c r="F3579" s="178">
        <v>2020</v>
      </c>
      <c r="G3579" s="188">
        <v>4438735000</v>
      </c>
      <c r="H3579" s="188">
        <v>2118944000</v>
      </c>
      <c r="I3579" s="188">
        <v>1401807000</v>
      </c>
      <c r="J3579" s="188">
        <v>1481814000</v>
      </c>
      <c r="K3579" s="188">
        <v>16849076000</v>
      </c>
      <c r="L3579" s="188">
        <v>31971547000</v>
      </c>
      <c r="M3579" s="194">
        <f>L3579/P3579</f>
        <v>50.604145002271302</v>
      </c>
      <c r="N3579" s="190">
        <f>J3579/L3579</f>
        <v>4.6347898023201689E-2</v>
      </c>
      <c r="O3579" s="190">
        <f>(I3579*0.7)/(K3579+L3579)</f>
        <v>2.0099393242073126E-2</v>
      </c>
      <c r="P3579" s="188">
        <v>631797000</v>
      </c>
      <c r="Q3579" s="188">
        <f>P3579*E3579</f>
        <v>62964889020</v>
      </c>
      <c r="R3579" s="195">
        <f>Q3579/L3579</f>
        <v>1.9694038896522585</v>
      </c>
      <c r="S3579" s="197">
        <f>(Q3579+K3579)/H3579</f>
        <v>37.666859067535526</v>
      </c>
      <c r="T3579" s="180"/>
      <c r="U3579" s="189">
        <f>IFERROR(IF(Tableau3[[#This Row],[Dettes]]=0,"",(Tableau3[[#This Row],[Dettes]]/Tableau3[[#This Row],[EBE]])),"")</f>
        <v>7.9516381744869147</v>
      </c>
      <c r="V3579" s="190" t="str">
        <f>IFERROR(Tableau3[[#This Row],[Fonds propres]]/Tableau3[[#This Row],[Total Bilan]],"")</f>
        <v/>
      </c>
      <c r="W3579" s="180"/>
      <c r="X3579" s="182" t="s">
        <v>1949</v>
      </c>
      <c r="Y3579" s="180"/>
      <c r="Z3579" s="192" t="str">
        <f>IFERROR(Tableau3[[#This Row],[Chiffre d''affaires]]/Tableau3[[#This Row],[Salariés]],"")</f>
        <v/>
      </c>
      <c r="AA3579" s="178"/>
      <c r="AC3579" s="177" t="s">
        <v>2500</v>
      </c>
    </row>
    <row r="3580" spans="1:29" ht="20.25" customHeight="1">
      <c r="A3580" s="217"/>
      <c r="G3580" s="188"/>
      <c r="H3580" s="188"/>
      <c r="I3580" s="188"/>
      <c r="J3580" s="188"/>
      <c r="K3580" s="188"/>
      <c r="L3580" s="188"/>
      <c r="M3580" s="178"/>
      <c r="N3580" s="178"/>
      <c r="O3580" s="178"/>
      <c r="P3580" s="188"/>
      <c r="Q3580" s="178"/>
      <c r="R3580" s="178"/>
      <c r="S3580" s="178"/>
      <c r="T3580" s="180"/>
      <c r="U3580" s="189" t="str">
        <f>IFERROR(IF(Tableau3[[#This Row],[Dettes]]=0,"",(Tableau3[[#This Row],[Dettes]]/Tableau3[[#This Row],[EBE]])),"")</f>
        <v/>
      </c>
      <c r="V3580" s="190" t="str">
        <f>IFERROR(Tableau3[[#This Row],[Fonds propres]]/Tableau3[[#This Row],[Total Bilan]],"")</f>
        <v/>
      </c>
      <c r="W3580" s="180"/>
      <c r="Y3580" s="180"/>
      <c r="Z3580" s="192" t="str">
        <f>IFERROR(Tableau3[[#This Row],[Chiffre d''affaires]]/Tableau3[[#This Row],[Salariés]],"")</f>
        <v/>
      </c>
      <c r="AA3580" s="177"/>
    </row>
    <row r="3581" spans="1:29" ht="20.25" customHeight="1">
      <c r="A3581" s="217"/>
      <c r="E3581" s="187">
        <v>88.4</v>
      </c>
      <c r="F3581" s="178">
        <v>2019</v>
      </c>
      <c r="G3581" s="188">
        <v>3330621000</v>
      </c>
      <c r="H3581" s="188">
        <v>2131827000</v>
      </c>
      <c r="I3581" s="188">
        <v>991948000</v>
      </c>
      <c r="J3581" s="188">
        <v>1572959000</v>
      </c>
      <c r="K3581" s="188">
        <v>11905877000</v>
      </c>
      <c r="L3581" s="188">
        <v>22653127000</v>
      </c>
      <c r="M3581" s="194">
        <f>L3581/P3581</f>
        <v>35.85507211968401</v>
      </c>
      <c r="N3581" s="190">
        <f>J3581/L3581</f>
        <v>6.9436727212097468E-2</v>
      </c>
      <c r="O3581" s="190">
        <f>(I3581*0.7)/(K3581+L3581)</f>
        <v>2.0092118395541723E-2</v>
      </c>
      <c r="P3581" s="188">
        <v>631797000</v>
      </c>
      <c r="Q3581" s="188">
        <f>P3581*E3581</f>
        <v>55850854800</v>
      </c>
      <c r="R3581" s="195">
        <f>Q3581/L3581</f>
        <v>2.4654810260852731</v>
      </c>
      <c r="S3581" s="197">
        <f>(Q3581+K3581)/H3581</f>
        <v>31.783410098474221</v>
      </c>
      <c r="T3581" s="180"/>
      <c r="U3581" s="189">
        <f>IFERROR(IF(Tableau3[[#This Row],[Dettes]]=0,"",(Tableau3[[#This Row],[Dettes]]/Tableau3[[#This Row],[EBE]])),"")</f>
        <v>5.584823252543476</v>
      </c>
      <c r="V3581" s="190" t="str">
        <f>IFERROR(Tableau3[[#This Row],[Fonds propres]]/Tableau3[[#This Row],[Total Bilan]],"")</f>
        <v/>
      </c>
      <c r="W3581" s="180"/>
      <c r="Y3581" s="180"/>
      <c r="Z3581" s="192" t="str">
        <f>IFERROR(Tableau3[[#This Row],[Chiffre d''affaires]]/Tableau3[[#This Row],[Salariés]],"")</f>
        <v/>
      </c>
      <c r="AA3581" s="177"/>
    </row>
    <row r="3582" spans="1:29" ht="20.25" customHeight="1">
      <c r="A3582" s="217"/>
      <c r="E3582" s="187"/>
      <c r="G3582" s="202">
        <f>(G3581/G3583)-1</f>
        <v>0.18762045592556675</v>
      </c>
      <c r="H3582" s="202">
        <f>(H3581/H3583)-1</f>
        <v>0.18816630773552356</v>
      </c>
      <c r="I3582" s="202">
        <f>(I3581/I3583)-1</f>
        <v>0.17112828541136849</v>
      </c>
      <c r="J3582" s="202">
        <f>(J3581/J3583)-1</f>
        <v>-4.6322181741898838E-2</v>
      </c>
      <c r="K3582" s="188"/>
      <c r="L3582" s="188"/>
      <c r="M3582" s="178"/>
      <c r="N3582" s="178"/>
      <c r="O3582" s="178"/>
      <c r="P3582" s="188"/>
      <c r="Q3582" s="178"/>
      <c r="R3582" s="178"/>
      <c r="S3582" s="178"/>
      <c r="T3582" s="180"/>
      <c r="U3582" s="189" t="str">
        <f>IFERROR(IF(Tableau3[[#This Row],[Dettes]]=0,"",(Tableau3[[#This Row],[Dettes]]/Tableau3[[#This Row],[EBE]])),"")</f>
        <v/>
      </c>
      <c r="V3582" s="190" t="str">
        <f>IFERROR(Tableau3[[#This Row],[Fonds propres]]/Tableau3[[#This Row],[Total Bilan]],"")</f>
        <v/>
      </c>
      <c r="W3582" s="180"/>
      <c r="Y3582" s="180"/>
      <c r="Z3582" s="192" t="str">
        <f>IFERROR(Tableau3[[#This Row],[Chiffre d''affaires]]/Tableau3[[#This Row],[Salariés]],"")</f>
        <v/>
      </c>
      <c r="AA3582" s="177"/>
    </row>
    <row r="3583" spans="1:29" ht="20.25" customHeight="1">
      <c r="A3583" s="217"/>
      <c r="E3583" s="187">
        <v>57</v>
      </c>
      <c r="F3583" s="178">
        <v>2018</v>
      </c>
      <c r="G3583" s="188">
        <v>2804449000</v>
      </c>
      <c r="H3583" s="188">
        <v>1794216000</v>
      </c>
      <c r="I3583" s="188">
        <v>847002000</v>
      </c>
      <c r="J3583" s="188">
        <v>1649361000</v>
      </c>
      <c r="K3583" s="188">
        <v>11089815000</v>
      </c>
      <c r="L3583" s="188">
        <v>22298093000</v>
      </c>
      <c r="M3583" s="194">
        <f>L3583/P3583</f>
        <v>35.415384933038553</v>
      </c>
      <c r="N3583" s="190">
        <f>J3583/L3583</f>
        <v>7.3968702166593348E-2</v>
      </c>
      <c r="O3583" s="190">
        <f>(I3583*0.7)/(K3583+L3583)</f>
        <v>1.7757967944562445E-2</v>
      </c>
      <c r="P3583" s="188">
        <v>629616000</v>
      </c>
      <c r="Q3583" s="188">
        <f>P3583*E3583</f>
        <v>35888112000</v>
      </c>
      <c r="R3583" s="195">
        <f>Q3583/L3583</f>
        <v>1.6094700116283487</v>
      </c>
      <c r="S3583" s="197">
        <f>(Q3583+K3583)/H3583</f>
        <v>26.182982985326181</v>
      </c>
      <c r="T3583" s="180"/>
      <c r="U3583" s="189">
        <f>IFERROR(IF(Tableau3[[#This Row],[Dettes]]=0,"",(Tableau3[[#This Row],[Dettes]]/Tableau3[[#This Row],[EBE]])),"")</f>
        <v>6.1808695274147594</v>
      </c>
      <c r="V3583" s="190" t="str">
        <f>IFERROR(Tableau3[[#This Row],[Fonds propres]]/Tableau3[[#This Row],[Total Bilan]],"")</f>
        <v/>
      </c>
      <c r="W3583" s="180"/>
      <c r="Y3583" s="180"/>
      <c r="Z3583" s="192" t="str">
        <f>IFERROR(Tableau3[[#This Row],[Chiffre d''affaires]]/Tableau3[[#This Row],[Salariés]],"")</f>
        <v/>
      </c>
      <c r="AA3583" s="177"/>
    </row>
    <row r="3584" spans="1:29" ht="20.25" customHeight="1">
      <c r="A3584" s="217"/>
      <c r="E3584" s="187"/>
      <c r="G3584" s="202">
        <f>(G3583/G3585)-1</f>
        <v>7.1163278884885273E-2</v>
      </c>
      <c r="H3584" s="202">
        <f>(H3583/H3585)-1</f>
        <v>8.7267892614619091E-2</v>
      </c>
      <c r="I3584" s="202">
        <f>(I3583/I3585)-1</f>
        <v>9.848184202130561E-2</v>
      </c>
      <c r="J3584" s="202">
        <f>(J3583/J3585)-1</f>
        <v>-1.7938359584221963E-3</v>
      </c>
      <c r="K3584" s="188"/>
      <c r="L3584" s="188"/>
      <c r="M3584" s="178"/>
      <c r="N3584" s="178"/>
      <c r="O3584" s="178"/>
      <c r="P3584" s="188"/>
      <c r="Q3584" s="178"/>
      <c r="R3584" s="178"/>
      <c r="S3584" s="178"/>
      <c r="T3584" s="180"/>
      <c r="U3584" s="189" t="str">
        <f>IFERROR(IF(Tableau3[[#This Row],[Dettes]]=0,"",(Tableau3[[#This Row],[Dettes]]/Tableau3[[#This Row],[EBE]])),"")</f>
        <v/>
      </c>
      <c r="V3584" s="190" t="str">
        <f>IFERROR(Tableau3[[#This Row],[Fonds propres]]/Tableau3[[#This Row],[Total Bilan]],"")</f>
        <v/>
      </c>
      <c r="W3584" s="180"/>
      <c r="Y3584" s="180"/>
      <c r="Z3584" s="192" t="str">
        <f>IFERROR(Tableau3[[#This Row],[Chiffre d''affaires]]/Tableau3[[#This Row],[Salariés]],"")</f>
        <v/>
      </c>
      <c r="AA3584" s="177"/>
    </row>
    <row r="3585" spans="1:29" ht="20.25" customHeight="1">
      <c r="A3585" s="217"/>
      <c r="E3585" s="187">
        <v>64</v>
      </c>
      <c r="F3585" s="178">
        <v>2017</v>
      </c>
      <c r="G3585" s="188">
        <v>2618134000</v>
      </c>
      <c r="H3585" s="188">
        <v>1650206000</v>
      </c>
      <c r="I3585" s="188">
        <v>771066000</v>
      </c>
      <c r="J3585" s="188">
        <v>1652325000</v>
      </c>
      <c r="K3585" s="188">
        <v>9412631000</v>
      </c>
      <c r="L3585" s="188">
        <v>15631158000</v>
      </c>
      <c r="M3585" s="194">
        <f>L3585/P3585</f>
        <v>29.371606919385329</v>
      </c>
      <c r="N3585" s="190">
        <f>J3585/L3585</f>
        <v>0.10570713954781853</v>
      </c>
      <c r="O3585" s="190">
        <f>(I3585*0.7)/(K3585+L3585)</f>
        <v>2.1552098206864784E-2</v>
      </c>
      <c r="P3585" s="188">
        <v>532186000</v>
      </c>
      <c r="Q3585" s="188">
        <f>P3585*E3585</f>
        <v>34059904000</v>
      </c>
      <c r="R3585" s="195">
        <f>Q3585/L3585</f>
        <v>2.1789750957670568</v>
      </c>
      <c r="S3585" s="197">
        <f>(Q3585+K3585)/H3585</f>
        <v>26.343701937818672</v>
      </c>
      <c r="T3585" s="180"/>
      <c r="U3585" s="189">
        <f>IFERROR(IF(Tableau3[[#This Row],[Dettes]]=0,"",(Tableau3[[#This Row],[Dettes]]/Tableau3[[#This Row],[EBE]])),"")</f>
        <v>5.7039127236235965</v>
      </c>
      <c r="V3585" s="190" t="str">
        <f>IFERROR(Tableau3[[#This Row],[Fonds propres]]/Tableau3[[#This Row],[Total Bilan]],"")</f>
        <v/>
      </c>
      <c r="W3585" s="180"/>
      <c r="Y3585" s="180"/>
      <c r="Z3585" s="192" t="str">
        <f>IFERROR(Tableau3[[#This Row],[Chiffre d''affaires]]/Tableau3[[#This Row],[Salariés]],"")</f>
        <v/>
      </c>
      <c r="AA3585" s="177"/>
    </row>
    <row r="3586" spans="1:29" ht="20.25" customHeight="1">
      <c r="A3586" s="217"/>
      <c r="E3586" s="187"/>
      <c r="G3586" s="202">
        <f>(G3585/G3587)-1</f>
        <v>3.3554863834734494E-2</v>
      </c>
      <c r="H3586" s="202">
        <f>(H3585/H3587)-1</f>
        <v>3.1789531207111921E-2</v>
      </c>
      <c r="I3586" s="202">
        <f>(I3585/I3587)-1</f>
        <v>0.1536376122493559</v>
      </c>
      <c r="J3586" s="202">
        <f>(J3585/J3587)-1</f>
        <v>0.36563459764680983</v>
      </c>
      <c r="K3586" s="188"/>
      <c r="L3586" s="188"/>
      <c r="M3586" s="178"/>
      <c r="N3586" s="178"/>
      <c r="O3586" s="178"/>
      <c r="P3586" s="188"/>
      <c r="Q3586" s="178"/>
      <c r="R3586" s="178"/>
      <c r="S3586" s="178"/>
      <c r="T3586" s="180"/>
      <c r="U3586" s="189" t="str">
        <f>IFERROR(IF(Tableau3[[#This Row],[Dettes]]=0,"",(Tableau3[[#This Row],[Dettes]]/Tableau3[[#This Row],[EBE]])),"")</f>
        <v/>
      </c>
      <c r="V3586" s="190" t="str">
        <f>IFERROR(Tableau3[[#This Row],[Fonds propres]]/Tableau3[[#This Row],[Total Bilan]],"")</f>
        <v/>
      </c>
      <c r="W3586" s="180"/>
      <c r="Y3586" s="180"/>
      <c r="Z3586" s="192" t="str">
        <f>IFERROR(Tableau3[[#This Row],[Chiffre d''affaires]]/Tableau3[[#This Row],[Salariés]],"")</f>
        <v/>
      </c>
      <c r="AA3586" s="177"/>
    </row>
    <row r="3587" spans="1:29" ht="20.25" customHeight="1">
      <c r="A3587" s="217"/>
      <c r="E3587" s="187">
        <v>52.8</v>
      </c>
      <c r="F3587" s="178">
        <v>2016</v>
      </c>
      <c r="G3587" s="188">
        <v>2533135000</v>
      </c>
      <c r="H3587" s="188">
        <v>1599363000</v>
      </c>
      <c r="I3587" s="188">
        <v>668378000</v>
      </c>
      <c r="J3587" s="188">
        <v>1209932000</v>
      </c>
      <c r="K3587" s="188">
        <v>10608294000</v>
      </c>
      <c r="L3587" s="188">
        <v>14991081000</v>
      </c>
      <c r="M3587" s="194">
        <f>L3587/P3587</f>
        <v>28.356162906609214</v>
      </c>
      <c r="N3587" s="190">
        <f>J3587/L3587</f>
        <v>8.0710123572809725E-2</v>
      </c>
      <c r="O3587" s="190">
        <f>(I3587*0.7)/(K3587+L3587)</f>
        <v>1.8276407138846162E-2</v>
      </c>
      <c r="P3587" s="188">
        <v>528671000</v>
      </c>
      <c r="Q3587" s="188">
        <f>P3587*E3587</f>
        <v>27913828800</v>
      </c>
      <c r="R3587" s="195">
        <f>Q3587/L3587</f>
        <v>1.8620290824924499</v>
      </c>
      <c r="S3587" s="197">
        <f>(Q3587+K3587)/H3587</f>
        <v>24.0859159552897</v>
      </c>
      <c r="T3587" s="180"/>
      <c r="U3587" s="189">
        <f>IFERROR(IF(Tableau3[[#This Row],[Dettes]]=0,"",(Tableau3[[#This Row],[Dettes]]/Tableau3[[#This Row],[EBE]])),"")</f>
        <v>6.6328244432314616</v>
      </c>
      <c r="V3587" s="190" t="str">
        <f>IFERROR(Tableau3[[#This Row],[Fonds propres]]/Tableau3[[#This Row],[Total Bilan]],"")</f>
        <v/>
      </c>
      <c r="W3587" s="180"/>
      <c r="Y3587" s="180"/>
      <c r="Z3587" s="192" t="str">
        <f>IFERROR(Tableau3[[#This Row],[Chiffre d''affaires]]/Tableau3[[#This Row],[Salariés]],"")</f>
        <v/>
      </c>
      <c r="AA3587" s="177"/>
    </row>
    <row r="3588" spans="1:29" ht="20.25" customHeight="1">
      <c r="A3588" s="217"/>
      <c r="E3588" s="187"/>
      <c r="G3588" s="202">
        <f>(G3587/G3589)-1</f>
        <v>0.15295843471817516</v>
      </c>
      <c r="H3588" s="202">
        <f>(H3587/H3589)-1</f>
        <v>0.26878691359689655</v>
      </c>
      <c r="I3588" s="202">
        <f>(I3587/I3589)-1</f>
        <v>0.75809370495459949</v>
      </c>
      <c r="J3588" s="202">
        <f>(J3587/J3589)-1</f>
        <v>0.39162379419372728</v>
      </c>
      <c r="K3588" s="188"/>
      <c r="L3588" s="188"/>
      <c r="M3588" s="178"/>
      <c r="N3588" s="178"/>
      <c r="O3588" s="178"/>
      <c r="P3588" s="188"/>
      <c r="Q3588" s="178"/>
      <c r="R3588" s="178"/>
      <c r="S3588" s="178"/>
      <c r="T3588" s="180"/>
      <c r="U3588" s="189" t="str">
        <f>IFERROR(IF(Tableau3[[#This Row],[Dettes]]=0,"",(Tableau3[[#This Row],[Dettes]]/Tableau3[[#This Row],[EBE]])),"")</f>
        <v/>
      </c>
      <c r="V3588" s="190" t="str">
        <f>IFERROR(Tableau3[[#This Row],[Fonds propres]]/Tableau3[[#This Row],[Total Bilan]],"")</f>
        <v/>
      </c>
      <c r="W3588" s="180"/>
      <c r="Y3588" s="180"/>
      <c r="Z3588" s="192" t="str">
        <f>IFERROR(Tableau3[[#This Row],[Chiffre d''affaires]]/Tableau3[[#This Row],[Salariés]],"")</f>
        <v/>
      </c>
      <c r="AA3588" s="177"/>
    </row>
    <row r="3589" spans="1:29" ht="20.25" customHeight="1">
      <c r="A3589" s="217"/>
      <c r="E3589" s="187">
        <v>43.2</v>
      </c>
      <c r="F3589" s="178">
        <v>2015</v>
      </c>
      <c r="G3589" s="188">
        <v>2197074000</v>
      </c>
      <c r="H3589" s="188">
        <v>1260545000</v>
      </c>
      <c r="I3589" s="188">
        <v>380172000</v>
      </c>
      <c r="J3589" s="188">
        <v>869439000</v>
      </c>
      <c r="K3589" s="188">
        <v>11626831000</v>
      </c>
      <c r="L3589" s="188">
        <v>14667935000</v>
      </c>
      <c r="M3589" s="194">
        <f>L3589/P3589</f>
        <v>27.96491786651211</v>
      </c>
      <c r="N3589" s="190">
        <f>J3589/L3589</f>
        <v>5.9274805894626616E-2</v>
      </c>
      <c r="O3589" s="190">
        <f>(I3589*0.7)/(K3589+L3589)</f>
        <v>1.0120660514719925E-2</v>
      </c>
      <c r="P3589" s="188">
        <v>524512000</v>
      </c>
      <c r="Q3589" s="188">
        <f>P3589*E3589</f>
        <v>22658918400</v>
      </c>
      <c r="R3589" s="195">
        <f>Q3589/L3589</f>
        <v>1.5447926650888486</v>
      </c>
      <c r="S3589" s="197">
        <f>(Q3589+K3589)/H3589</f>
        <v>27.199147511592209</v>
      </c>
      <c r="T3589" s="180"/>
      <c r="U3589" s="189">
        <f>IFERROR(IF(Tableau3[[#This Row],[Dettes]]=0,"",(Tableau3[[#This Row],[Dettes]]/Tableau3[[#This Row],[EBE]])),"")</f>
        <v>9.2236540543971053</v>
      </c>
      <c r="V3589" s="190" t="str">
        <f>IFERROR(Tableau3[[#This Row],[Fonds propres]]/Tableau3[[#This Row],[Total Bilan]],"")</f>
        <v/>
      </c>
      <c r="W3589" s="180"/>
      <c r="Y3589" s="180"/>
      <c r="Z3589" s="192" t="str">
        <f>IFERROR(Tableau3[[#This Row],[Chiffre d''affaires]]/Tableau3[[#This Row],[Salariés]],"")</f>
        <v/>
      </c>
      <c r="AA3589" s="177"/>
    </row>
    <row r="3590" spans="1:29" ht="20.25" customHeight="1">
      <c r="A3590" s="217"/>
      <c r="G3590" s="188"/>
      <c r="H3590" s="178"/>
      <c r="I3590" s="178"/>
      <c r="J3590" s="188"/>
      <c r="K3590" s="178"/>
      <c r="L3590" s="188"/>
      <c r="M3590" s="178"/>
      <c r="N3590" s="178"/>
      <c r="O3590" s="178"/>
      <c r="P3590" s="188"/>
      <c r="Q3590" s="178"/>
      <c r="R3590" s="178"/>
      <c r="S3590" s="178"/>
      <c r="T3590" s="180"/>
      <c r="U3590" s="189" t="str">
        <f>IFERROR(IF(Tableau3[[#This Row],[Dettes]]=0,"",(Tableau3[[#This Row],[Dettes]]/Tableau3[[#This Row],[EBE]])),"")</f>
        <v/>
      </c>
      <c r="V3590" s="190" t="str">
        <f>IFERROR(Tableau3[[#This Row],[Fonds propres]]/Tableau3[[#This Row],[Total Bilan]],"")</f>
        <v/>
      </c>
      <c r="W3590" s="180"/>
      <c r="Y3590" s="180"/>
      <c r="Z3590" s="192" t="str">
        <f>IFERROR(Tableau3[[#This Row],[Chiffre d''affaires]]/Tableau3[[#This Row],[Salariés]],"")</f>
        <v/>
      </c>
      <c r="AA3590" s="177"/>
    </row>
    <row r="3591" spans="1:29" ht="20.25" customHeight="1">
      <c r="A3591" s="217"/>
      <c r="G3591" s="188"/>
      <c r="H3591" s="178"/>
      <c r="I3591" s="178"/>
      <c r="J3591" s="188"/>
      <c r="K3591" s="178"/>
      <c r="L3591" s="178"/>
      <c r="M3591" s="178"/>
      <c r="N3591" s="178"/>
      <c r="O3591" s="178"/>
      <c r="P3591" s="178"/>
      <c r="Q3591" s="178"/>
      <c r="R3591" s="178"/>
      <c r="S3591" s="178"/>
      <c r="T3591" s="180"/>
      <c r="U3591" s="189" t="str">
        <f>IFERROR(IF(Tableau3[[#This Row],[Dettes]]=0,"",(Tableau3[[#This Row],[Dettes]]/Tableau3[[#This Row],[EBE]])),"")</f>
        <v/>
      </c>
      <c r="V3591" s="190" t="str">
        <f>IFERROR(Tableau3[[#This Row],[Fonds propres]]/Tableau3[[#This Row],[Total Bilan]],"")</f>
        <v/>
      </c>
      <c r="W3591" s="180"/>
      <c r="Y3591" s="180"/>
      <c r="Z3591" s="192" t="str">
        <f>IFERROR(Tableau3[[#This Row],[Chiffre d''affaires]]/Tableau3[[#This Row],[Salariés]],"")</f>
        <v/>
      </c>
      <c r="AA3591" s="177"/>
    </row>
    <row r="3592" spans="1:29" ht="20.25" customHeight="1">
      <c r="A3592" s="217"/>
      <c r="G3592" s="188"/>
      <c r="H3592" s="178"/>
      <c r="I3592" s="178"/>
      <c r="J3592" s="188"/>
      <c r="K3592" s="178"/>
      <c r="L3592" s="178"/>
      <c r="M3592" s="178"/>
      <c r="N3592" s="178"/>
      <c r="O3592" s="178"/>
      <c r="P3592" s="178"/>
      <c r="Q3592" s="178"/>
      <c r="R3592" s="178"/>
      <c r="S3592" s="178"/>
      <c r="T3592" s="180"/>
      <c r="U3592" s="189" t="str">
        <f>IFERROR(IF(Tableau3[[#This Row],[Dettes]]=0,"",(Tableau3[[#This Row],[Dettes]]/Tableau3[[#This Row],[EBE]])),"")</f>
        <v/>
      </c>
      <c r="V3592" s="190" t="str">
        <f>IFERROR(Tableau3[[#This Row],[Fonds propres]]/Tableau3[[#This Row],[Total Bilan]],"")</f>
        <v/>
      </c>
      <c r="W3592" s="180"/>
      <c r="Y3592" s="180"/>
      <c r="Z3592" s="192" t="str">
        <f>IFERROR(Tableau3[[#This Row],[Chiffre d''affaires]]/Tableau3[[#This Row],[Salariés]],"")</f>
        <v/>
      </c>
      <c r="AA3592" s="177"/>
    </row>
    <row r="3593" spans="1:29" ht="20.25" customHeight="1">
      <c r="A3593" s="217" t="s">
        <v>2501</v>
      </c>
      <c r="B3593" s="216" t="s">
        <v>2502</v>
      </c>
      <c r="C3593" s="178" t="s">
        <v>382</v>
      </c>
      <c r="D3593" s="178" t="s">
        <v>383</v>
      </c>
      <c r="E3593" s="187">
        <v>35.76</v>
      </c>
      <c r="F3593" s="178">
        <v>2021</v>
      </c>
      <c r="G3593" s="188"/>
      <c r="H3593" s="178"/>
      <c r="I3593" s="178"/>
      <c r="J3593" s="188"/>
      <c r="K3593" s="178"/>
      <c r="L3593" s="178"/>
      <c r="M3593" s="178"/>
      <c r="N3593" s="178"/>
      <c r="O3593" s="178"/>
      <c r="P3593" s="188">
        <v>220952237</v>
      </c>
      <c r="Q3593" s="188">
        <f>P3593*E3593</f>
        <v>7901251995.1199999</v>
      </c>
      <c r="R3593" s="178"/>
      <c r="S3593" s="178"/>
      <c r="T3593" s="180"/>
      <c r="U3593" s="189" t="str">
        <f>IFERROR(IF(Tableau3[[#This Row],[Dettes]]=0,"",(Tableau3[[#This Row],[Dettes]]/Tableau3[[#This Row],[EBE]])),"")</f>
        <v/>
      </c>
      <c r="V3593" s="190" t="str">
        <f>IFERROR(Tableau3[[#This Row],[Fonds propres]]/Tableau3[[#This Row],[Total Bilan]],"")</f>
        <v/>
      </c>
      <c r="W3593" s="180"/>
      <c r="Y3593" s="180"/>
      <c r="Z3593" s="192" t="str">
        <f>IFERROR(Tableau3[[#This Row],[Chiffre d''affaires]]/Tableau3[[#This Row],[Salariés]],"")</f>
        <v/>
      </c>
      <c r="AA3593" s="177"/>
      <c r="AC3593" s="177" t="s">
        <v>2503</v>
      </c>
    </row>
    <row r="3594" spans="1:29" ht="20.25" customHeight="1">
      <c r="A3594" s="217"/>
      <c r="G3594" s="188"/>
      <c r="H3594" s="178"/>
      <c r="I3594" s="178"/>
      <c r="J3594" s="188"/>
      <c r="K3594" s="178"/>
      <c r="L3594" s="178"/>
      <c r="M3594" s="178"/>
      <c r="N3594" s="178"/>
      <c r="O3594" s="178"/>
      <c r="P3594" s="188"/>
      <c r="Q3594" s="178"/>
      <c r="R3594" s="178"/>
      <c r="S3594" s="178"/>
      <c r="T3594" s="180"/>
      <c r="U3594" s="189" t="str">
        <f>IFERROR(IF(Tableau3[[#This Row],[Dettes]]=0,"",(Tableau3[[#This Row],[Dettes]]/Tableau3[[#This Row],[EBE]])),"")</f>
        <v/>
      </c>
      <c r="V3594" s="190" t="str">
        <f>IFERROR(Tableau3[[#This Row],[Fonds propres]]/Tableau3[[#This Row],[Total Bilan]],"")</f>
        <v/>
      </c>
      <c r="W3594" s="180"/>
      <c r="Y3594" s="180"/>
      <c r="Z3594" s="192" t="str">
        <f>IFERROR(Tableau3[[#This Row],[Chiffre d''affaires]]/Tableau3[[#This Row],[Salariés]],"")</f>
        <v/>
      </c>
      <c r="AA3594" s="177"/>
      <c r="AC3594" s="177" t="s">
        <v>2505</v>
      </c>
    </row>
    <row r="3595" spans="1:29" ht="20.25" customHeight="1">
      <c r="A3595" s="217"/>
      <c r="E3595" s="178">
        <v>151.69999999999999</v>
      </c>
      <c r="F3595" s="178">
        <v>2020</v>
      </c>
      <c r="G3595" s="188">
        <v>1825900000</v>
      </c>
      <c r="H3595" s="188">
        <v>117700000</v>
      </c>
      <c r="I3595" s="188">
        <v>-70900000</v>
      </c>
      <c r="J3595" s="188">
        <v>-71600000</v>
      </c>
      <c r="K3595" s="188">
        <f>-1037000000+580000000</f>
        <v>-457000000</v>
      </c>
      <c r="L3595" s="188">
        <v>1678000000</v>
      </c>
      <c r="M3595" s="194">
        <f>L3595/P3595</f>
        <v>7.594401499542184</v>
      </c>
      <c r="N3595" s="190">
        <f>J3595/L3595</f>
        <v>-4.2669845053635282E-2</v>
      </c>
      <c r="O3595" s="190">
        <f>(I3595*0.7)/(K3595+L3595)</f>
        <v>-4.0647010647010644E-2</v>
      </c>
      <c r="P3595" s="188">
        <v>220952237</v>
      </c>
      <c r="Q3595" s="188">
        <f>P3595*E3595</f>
        <v>33518454352.899998</v>
      </c>
      <c r="R3595" s="195">
        <f>Q3595/L3595</f>
        <v>19.975240973122762</v>
      </c>
      <c r="S3595" s="197">
        <f>(Q3595+K3595)/H3595</f>
        <v>280.89595881818178</v>
      </c>
      <c r="T3595" s="180"/>
      <c r="U3595" s="189">
        <f>IFERROR(IF(Tableau3[[#This Row],[Dettes]]=0,"",(Tableau3[[#This Row],[Dettes]]/Tableau3[[#This Row],[EBE]])),"")</f>
        <v>-3.882752761257434</v>
      </c>
      <c r="V3595" s="190" t="str">
        <f>IFERROR(Tableau3[[#This Row],[Fonds propres]]/Tableau3[[#This Row],[Total Bilan]],"")</f>
        <v/>
      </c>
      <c r="W3595" s="180"/>
      <c r="Y3595" s="180"/>
      <c r="Z3595" s="192" t="str">
        <f>IFERROR(Tableau3[[#This Row],[Chiffre d''affaires]]/Tableau3[[#This Row],[Salariés]],"")</f>
        <v/>
      </c>
      <c r="AA3595" s="177"/>
      <c r="AC3595" s="177" t="s">
        <v>2506</v>
      </c>
    </row>
    <row r="3596" spans="1:29" ht="20.25" customHeight="1">
      <c r="A3596" s="217"/>
      <c r="G3596" s="202">
        <f>(G3595/G3597)-1</f>
        <v>0.99551912568306</v>
      </c>
      <c r="H3596" s="202">
        <f>(H3595/H3597)-1</f>
        <v>-2.6507713884992987</v>
      </c>
      <c r="I3596" s="202">
        <f>(I3595/I3597)-1</f>
        <v>-0.72423181641384682</v>
      </c>
      <c r="J3596" s="202">
        <f>(J3595/J3597)-1</f>
        <v>-0.63394683026584864</v>
      </c>
      <c r="K3596" s="188"/>
      <c r="L3596" s="188"/>
      <c r="M3596" s="178"/>
      <c r="N3596" s="178"/>
      <c r="O3596" s="178"/>
      <c r="P3596" s="188"/>
      <c r="Q3596" s="178"/>
      <c r="R3596" s="178"/>
      <c r="S3596" s="178"/>
      <c r="T3596" s="180"/>
      <c r="U3596" s="189" t="str">
        <f>IFERROR(IF(Tableau3[[#This Row],[Dettes]]=0,"",(Tableau3[[#This Row],[Dettes]]/Tableau3[[#This Row],[EBE]])),"")</f>
        <v/>
      </c>
      <c r="V3596" s="190" t="str">
        <f>IFERROR(Tableau3[[#This Row],[Fonds propres]]/Tableau3[[#This Row],[Total Bilan]],"")</f>
        <v/>
      </c>
      <c r="W3596" s="180"/>
      <c r="Y3596" s="180"/>
      <c r="Z3596" s="192" t="str">
        <f>IFERROR(Tableau3[[#This Row],[Chiffre d''affaires]]/Tableau3[[#This Row],[Salariés]],"")</f>
        <v/>
      </c>
      <c r="AA3596" s="177"/>
      <c r="AC3596" s="177" t="s">
        <v>2507</v>
      </c>
    </row>
    <row r="3597" spans="1:29" ht="20.25" customHeight="1">
      <c r="A3597" s="217"/>
      <c r="E3597" s="178">
        <v>28.4</v>
      </c>
      <c r="F3597" s="178">
        <v>2019</v>
      </c>
      <c r="G3597" s="188">
        <v>915000000</v>
      </c>
      <c r="H3597" s="188">
        <v>-71300000</v>
      </c>
      <c r="I3597" s="188">
        <v>-257100000</v>
      </c>
      <c r="J3597" s="188">
        <v>-195600000</v>
      </c>
      <c r="K3597" s="188">
        <v>-163000000</v>
      </c>
      <c r="L3597" s="188">
        <v>-538600000</v>
      </c>
      <c r="M3597" s="194">
        <f>L3597/P3597</f>
        <v>-23.507574536818726</v>
      </c>
      <c r="N3597" s="190">
        <f>J3597/L3597</f>
        <v>0.36316375789082805</v>
      </c>
      <c r="O3597" s="190">
        <f>(I3597*0.7)/(K3597+L3597)</f>
        <v>0.25651368301026228</v>
      </c>
      <c r="P3597" s="188">
        <v>22911764</v>
      </c>
      <c r="Q3597" s="188">
        <f>P3597*E3597</f>
        <v>650694097.60000002</v>
      </c>
      <c r="R3597" s="195">
        <f>Q3597/L3597</f>
        <v>-1.2081212357965094</v>
      </c>
      <c r="S3597" s="197">
        <f>(Q3597+K3597)/H3597</f>
        <v>-6.8400294193548392</v>
      </c>
      <c r="T3597" s="180"/>
      <c r="U3597" s="189">
        <f>IFERROR(IF(Tableau3[[#This Row],[Dettes]]=0,"",(Tableau3[[#This Row],[Dettes]]/Tableau3[[#This Row],[EBE]])),"")</f>
        <v>2.2861150070126226</v>
      </c>
      <c r="V3597" s="190" t="str">
        <f>IFERROR(Tableau3[[#This Row],[Fonds propres]]/Tableau3[[#This Row],[Total Bilan]],"")</f>
        <v/>
      </c>
      <c r="W3597" s="180"/>
      <c r="Y3597" s="180"/>
      <c r="Z3597" s="192" t="str">
        <f>IFERROR(Tableau3[[#This Row],[Chiffre d''affaires]]/Tableau3[[#This Row],[Salariés]],"")</f>
        <v/>
      </c>
      <c r="AA3597" s="177"/>
      <c r="AC3597" s="177" t="s">
        <v>2508</v>
      </c>
    </row>
    <row r="3598" spans="1:29" ht="20.25" customHeight="1">
      <c r="A3598" s="217"/>
      <c r="G3598" s="202">
        <f>(G3597/G3599)-1</f>
        <v>1.103448275862069</v>
      </c>
      <c r="H3598" s="202">
        <f>(H3597/H3599)-1</f>
        <v>1.3453947368421053</v>
      </c>
      <c r="I3598" s="202">
        <f>(I3597/I3599)-1</f>
        <v>0.51413427561837466</v>
      </c>
      <c r="J3598" s="202">
        <f>(J3597/J3599)-1</f>
        <v>3.0920502092050208</v>
      </c>
      <c r="K3598" s="188"/>
      <c r="L3598" s="188"/>
      <c r="M3598" s="178"/>
      <c r="N3598" s="178"/>
      <c r="O3598" s="178"/>
      <c r="P3598" s="178"/>
      <c r="Q3598" s="178"/>
      <c r="R3598" s="178"/>
      <c r="S3598" s="178"/>
      <c r="T3598" s="180"/>
      <c r="U3598" s="189" t="str">
        <f>IFERROR(IF(Tableau3[[#This Row],[Dettes]]=0,"",(Tableau3[[#This Row],[Dettes]]/Tableau3[[#This Row],[EBE]])),"")</f>
        <v/>
      </c>
      <c r="V3598" s="190" t="str">
        <f>IFERROR(Tableau3[[#This Row],[Fonds propres]]/Tableau3[[#This Row],[Total Bilan]],"")</f>
        <v/>
      </c>
      <c r="W3598" s="180"/>
      <c r="Y3598" s="180"/>
      <c r="Z3598" s="192" t="str">
        <f>IFERROR(Tableau3[[#This Row],[Chiffre d''affaires]]/Tableau3[[#This Row],[Salariés]],"")</f>
        <v/>
      </c>
      <c r="AA3598" s="177"/>
      <c r="AC3598" s="177" t="s">
        <v>2509</v>
      </c>
    </row>
    <row r="3599" spans="1:29" ht="20.25" customHeight="1">
      <c r="A3599" s="217"/>
      <c r="F3599" s="178">
        <v>2018</v>
      </c>
      <c r="G3599" s="188">
        <v>435000000</v>
      </c>
      <c r="H3599" s="188">
        <v>-30400000</v>
      </c>
      <c r="I3599" s="188">
        <v>-169800000</v>
      </c>
      <c r="J3599" s="188">
        <v>-47800000</v>
      </c>
      <c r="K3599" s="188">
        <v>-151600000</v>
      </c>
      <c r="L3599" s="188"/>
      <c r="M3599" s="178"/>
      <c r="N3599" s="178"/>
      <c r="O3599" s="178"/>
      <c r="P3599" s="188">
        <v>21934228</v>
      </c>
      <c r="Q3599" s="178"/>
      <c r="R3599" s="178"/>
      <c r="S3599" s="178"/>
      <c r="T3599" s="180"/>
      <c r="U3599" s="189">
        <f>IFERROR(IF(Tableau3[[#This Row],[Dettes]]=0,"",(Tableau3[[#This Row],[Dettes]]/Tableau3[[#This Row],[EBE]])),"")</f>
        <v>4.9868421052631575</v>
      </c>
      <c r="V3599" s="190" t="str">
        <f>IFERROR(Tableau3[[#This Row],[Fonds propres]]/Tableau3[[#This Row],[Total Bilan]],"")</f>
        <v/>
      </c>
      <c r="W3599" s="180"/>
      <c r="Y3599" s="180"/>
      <c r="Z3599" s="192" t="str">
        <f>IFERROR(Tableau3[[#This Row],[Chiffre d''affaires]]/Tableau3[[#This Row],[Salariés]],"")</f>
        <v/>
      </c>
      <c r="AA3599" s="177"/>
      <c r="AC3599" s="177" t="s">
        <v>2510</v>
      </c>
    </row>
    <row r="3600" spans="1:29" ht="20.25" customHeight="1">
      <c r="A3600" s="217"/>
      <c r="G3600" s="202">
        <f>(G3599/G3601)-1</f>
        <v>0.98630136986301364</v>
      </c>
      <c r="H3600" s="202" t="e">
        <f>(H3599/H3601)-1</f>
        <v>#DIV/0!</v>
      </c>
      <c r="I3600" s="202" t="e">
        <f>(I3599/I3601)-1</f>
        <v>#DIV/0!</v>
      </c>
      <c r="J3600" s="202">
        <f>(J3599/J3601)-1</f>
        <v>-0.3277074542897328</v>
      </c>
      <c r="K3600" s="188"/>
      <c r="L3600" s="178"/>
      <c r="M3600" s="178"/>
      <c r="N3600" s="178"/>
      <c r="O3600" s="178"/>
      <c r="P3600" s="178"/>
      <c r="Q3600" s="178"/>
      <c r="R3600" s="178"/>
      <c r="S3600" s="178"/>
      <c r="T3600" s="180"/>
      <c r="U3600" s="189" t="str">
        <f>IFERROR(IF(Tableau3[[#This Row],[Dettes]]=0,"",(Tableau3[[#This Row],[Dettes]]/Tableau3[[#This Row],[EBE]])),"")</f>
        <v/>
      </c>
      <c r="V3600" s="190" t="str">
        <f>IFERROR(Tableau3[[#This Row],[Fonds propres]]/Tableau3[[#This Row],[Total Bilan]],"")</f>
        <v/>
      </c>
      <c r="W3600" s="180"/>
      <c r="Y3600" s="180"/>
      <c r="Z3600" s="192" t="str">
        <f>IFERROR(Tableau3[[#This Row],[Chiffre d''affaires]]/Tableau3[[#This Row],[Salariés]],"")</f>
        <v/>
      </c>
      <c r="AA3600" s="177"/>
      <c r="AC3600" s="177" t="s">
        <v>1727</v>
      </c>
    </row>
    <row r="3601" spans="1:29" ht="20.25" customHeight="1">
      <c r="A3601" s="217"/>
      <c r="F3601" s="178">
        <v>2017</v>
      </c>
      <c r="G3601" s="188">
        <v>219000000</v>
      </c>
      <c r="H3601" s="188"/>
      <c r="I3601" s="188"/>
      <c r="J3601" s="188">
        <v>-71100000</v>
      </c>
      <c r="K3601" s="188">
        <v>-155500000</v>
      </c>
      <c r="L3601" s="178"/>
      <c r="M3601" s="178"/>
      <c r="N3601" s="178"/>
      <c r="O3601" s="178"/>
      <c r="P3601" s="188">
        <v>27379789</v>
      </c>
      <c r="Q3601" s="178"/>
      <c r="R3601" s="178"/>
      <c r="S3601" s="178"/>
      <c r="T3601" s="180"/>
      <c r="U3601" s="189" t="str">
        <f>IFERROR(IF(Tableau3[[#This Row],[Dettes]]=0,"",(Tableau3[[#This Row],[Dettes]]/Tableau3[[#This Row],[EBE]])),"")</f>
        <v/>
      </c>
      <c r="V3601" s="190" t="str">
        <f>IFERROR(Tableau3[[#This Row],[Fonds propres]]/Tableau3[[#This Row],[Total Bilan]],"")</f>
        <v/>
      </c>
      <c r="W3601" s="180"/>
      <c r="Y3601" s="180"/>
      <c r="Z3601" s="192" t="str">
        <f>IFERROR(Tableau3[[#This Row],[Chiffre d''affaires]]/Tableau3[[#This Row],[Salariés]],"")</f>
        <v/>
      </c>
      <c r="AA3601" s="177"/>
      <c r="AC3601" s="177" t="s">
        <v>2511</v>
      </c>
    </row>
    <row r="3602" spans="1:29" ht="20.25" customHeight="1">
      <c r="A3602" s="217"/>
      <c r="G3602" s="188"/>
      <c r="H3602" s="188"/>
      <c r="I3602" s="178"/>
      <c r="J3602" s="188"/>
      <c r="K3602" s="188"/>
      <c r="L3602" s="178"/>
      <c r="M3602" s="178"/>
      <c r="N3602" s="178"/>
      <c r="O3602" s="178"/>
      <c r="P3602" s="178"/>
      <c r="Q3602" s="178"/>
      <c r="R3602" s="178"/>
      <c r="S3602" s="178"/>
      <c r="T3602" s="180"/>
      <c r="U3602" s="189" t="str">
        <f>IFERROR(IF(Tableau3[[#This Row],[Dettes]]=0,"",(Tableau3[[#This Row],[Dettes]]/Tableau3[[#This Row],[EBE]])),"")</f>
        <v/>
      </c>
      <c r="V3602" s="190" t="str">
        <f>IFERROR(Tableau3[[#This Row],[Fonds propres]]/Tableau3[[#This Row],[Total Bilan]],"")</f>
        <v/>
      </c>
      <c r="W3602" s="180"/>
      <c r="Y3602" s="180"/>
      <c r="Z3602" s="192" t="str">
        <f>IFERROR(Tableau3[[#This Row],[Chiffre d''affaires]]/Tableau3[[#This Row],[Salariés]],"")</f>
        <v/>
      </c>
      <c r="AA3602" s="177"/>
      <c r="AC3602" s="177" t="s">
        <v>2512</v>
      </c>
    </row>
    <row r="3603" spans="1:29" ht="20.25" customHeight="1">
      <c r="A3603" s="217"/>
      <c r="F3603" s="217" t="s">
        <v>2513</v>
      </c>
      <c r="G3603" s="188"/>
      <c r="H3603" s="178"/>
      <c r="I3603" s="178"/>
      <c r="J3603" s="178"/>
      <c r="K3603" s="178"/>
      <c r="L3603" s="178"/>
      <c r="M3603" s="178"/>
      <c r="N3603" s="178"/>
      <c r="O3603" s="178"/>
      <c r="P3603" s="178"/>
      <c r="Q3603" s="178"/>
      <c r="R3603" s="178"/>
      <c r="S3603" s="178"/>
      <c r="T3603" s="180"/>
      <c r="U3603" s="189" t="str">
        <f>IFERROR(IF(Tableau3[[#This Row],[Dettes]]=0,"",(Tableau3[[#This Row],[Dettes]]/Tableau3[[#This Row],[EBE]])),"")</f>
        <v/>
      </c>
      <c r="V3603" s="190" t="str">
        <f>IFERROR(Tableau3[[#This Row],[Fonds propres]]/Tableau3[[#This Row],[Total Bilan]],"")</f>
        <v/>
      </c>
      <c r="W3603" s="180"/>
      <c r="Y3603" s="180"/>
      <c r="Z3603" s="192" t="str">
        <f>IFERROR(Tableau3[[#This Row],[Chiffre d''affaires]]/Tableau3[[#This Row],[Salariés]],"")</f>
        <v/>
      </c>
      <c r="AA3603" s="177"/>
    </row>
    <row r="3604" spans="1:29" ht="20.25" customHeight="1">
      <c r="A3604" s="217"/>
      <c r="G3604" s="188"/>
      <c r="H3604" s="178"/>
      <c r="I3604" s="178"/>
      <c r="J3604" s="178"/>
      <c r="K3604" s="178"/>
      <c r="L3604" s="178"/>
      <c r="M3604" s="178"/>
      <c r="N3604" s="178"/>
      <c r="O3604" s="178"/>
      <c r="P3604" s="178"/>
      <c r="Q3604" s="178"/>
      <c r="R3604" s="178"/>
      <c r="S3604" s="178"/>
      <c r="T3604" s="180"/>
      <c r="U3604" s="189" t="str">
        <f>IFERROR(IF(Tableau3[[#This Row],[Dettes]]=0,"",(Tableau3[[#This Row],[Dettes]]/Tableau3[[#This Row],[EBE]])),"")</f>
        <v/>
      </c>
      <c r="V3604" s="190" t="str">
        <f>IFERROR(Tableau3[[#This Row],[Fonds propres]]/Tableau3[[#This Row],[Total Bilan]],"")</f>
        <v/>
      </c>
      <c r="W3604" s="180"/>
      <c r="Y3604" s="180"/>
      <c r="Z3604" s="192" t="str">
        <f>IFERROR(Tableau3[[#This Row],[Chiffre d''affaires]]/Tableau3[[#This Row],[Salariés]],"")</f>
        <v/>
      </c>
      <c r="AA3604" s="177"/>
    </row>
    <row r="3605" spans="1:29" ht="20.25" customHeight="1">
      <c r="A3605" s="217"/>
      <c r="F3605" s="234"/>
      <c r="G3605" s="188"/>
      <c r="H3605" s="178"/>
      <c r="I3605" s="178"/>
      <c r="J3605" s="178"/>
      <c r="K3605" s="178"/>
      <c r="L3605" s="178"/>
      <c r="M3605" s="178"/>
      <c r="N3605" s="178"/>
      <c r="O3605" s="178"/>
      <c r="P3605" s="178"/>
      <c r="Q3605" s="178"/>
      <c r="R3605" s="178"/>
      <c r="S3605" s="178"/>
      <c r="T3605" s="180"/>
      <c r="U3605" s="189" t="str">
        <f>IFERROR(IF(Tableau3[[#This Row],[Dettes]]=0,"",(Tableau3[[#This Row],[Dettes]]/Tableau3[[#This Row],[EBE]])),"")</f>
        <v/>
      </c>
      <c r="V3605" s="190" t="str">
        <f>IFERROR(Tableau3[[#This Row],[Fonds propres]]/Tableau3[[#This Row],[Total Bilan]],"")</f>
        <v/>
      </c>
      <c r="W3605" s="180"/>
      <c r="Y3605" s="180"/>
      <c r="Z3605" s="192" t="str">
        <f>IFERROR(Tableau3[[#This Row],[Chiffre d''affaires]]/Tableau3[[#This Row],[Salariés]],"")</f>
        <v/>
      </c>
      <c r="AA3605" s="177"/>
    </row>
    <row r="3606" spans="1:29" ht="20.25" customHeight="1">
      <c r="A3606" s="217"/>
      <c r="F3606" s="234"/>
      <c r="G3606" s="188"/>
      <c r="H3606" s="178"/>
      <c r="I3606" s="178"/>
      <c r="J3606" s="178"/>
      <c r="K3606" s="178"/>
      <c r="L3606" s="178"/>
      <c r="M3606" s="178"/>
      <c r="N3606" s="178"/>
      <c r="O3606" s="178"/>
      <c r="P3606" s="178"/>
      <c r="Q3606" s="178"/>
      <c r="R3606" s="178"/>
      <c r="S3606" s="178"/>
      <c r="T3606" s="180"/>
      <c r="U3606" s="189" t="str">
        <f>IFERROR(IF(Tableau3[[#This Row],[Dettes]]=0,"",(Tableau3[[#This Row],[Dettes]]/Tableau3[[#This Row],[EBE]])),"")</f>
        <v/>
      </c>
      <c r="V3606" s="190" t="str">
        <f>IFERROR(Tableau3[[#This Row],[Fonds propres]]/Tableau3[[#This Row],[Total Bilan]],"")</f>
        <v/>
      </c>
      <c r="W3606" s="180"/>
      <c r="Y3606" s="180"/>
      <c r="Z3606" s="192" t="str">
        <f>IFERROR(Tableau3[[#This Row],[Chiffre d''affaires]]/Tableau3[[#This Row],[Salariés]],"")</f>
        <v/>
      </c>
      <c r="AA3606" s="177"/>
    </row>
    <row r="3607" spans="1:29" ht="20.25" customHeight="1">
      <c r="A3607" s="217"/>
      <c r="F3607" s="217" t="s">
        <v>2514</v>
      </c>
      <c r="G3607" s="188"/>
      <c r="H3607" s="178"/>
      <c r="I3607" s="178"/>
      <c r="J3607" s="178"/>
      <c r="K3607" s="178"/>
      <c r="L3607" s="178"/>
      <c r="M3607" s="178"/>
      <c r="N3607" s="178"/>
      <c r="O3607" s="178"/>
      <c r="P3607" s="178"/>
      <c r="Q3607" s="178"/>
      <c r="R3607" s="178"/>
      <c r="S3607" s="178"/>
      <c r="T3607" s="180"/>
      <c r="U3607" s="189" t="str">
        <f>IFERROR(IF(Tableau3[[#This Row],[Dettes]]=0,"",(Tableau3[[#This Row],[Dettes]]/Tableau3[[#This Row],[EBE]])),"")</f>
        <v/>
      </c>
      <c r="V3607" s="190" t="str">
        <f>IFERROR(Tableau3[[#This Row],[Fonds propres]]/Tableau3[[#This Row],[Total Bilan]],"")</f>
        <v/>
      </c>
      <c r="W3607" s="180"/>
      <c r="Y3607" s="180"/>
      <c r="Z3607" s="192" t="str">
        <f>IFERROR(Tableau3[[#This Row],[Chiffre d''affaires]]/Tableau3[[#This Row],[Salariés]],"")</f>
        <v/>
      </c>
      <c r="AA3607" s="177"/>
    </row>
    <row r="3608" spans="1:29" ht="20.25" customHeight="1">
      <c r="A3608" s="217"/>
      <c r="F3608" s="234"/>
      <c r="G3608" s="188"/>
      <c r="H3608" s="178"/>
      <c r="I3608" s="178"/>
      <c r="J3608" s="178"/>
      <c r="K3608" s="178"/>
      <c r="L3608" s="178"/>
      <c r="M3608" s="178"/>
      <c r="N3608" s="178"/>
      <c r="O3608" s="178"/>
      <c r="P3608" s="178"/>
      <c r="Q3608" s="178"/>
      <c r="R3608" s="178"/>
      <c r="S3608" s="178"/>
      <c r="T3608" s="180"/>
      <c r="U3608" s="189" t="str">
        <f>IFERROR(IF(Tableau3[[#This Row],[Dettes]]=0,"",(Tableau3[[#This Row],[Dettes]]/Tableau3[[#This Row],[EBE]])),"")</f>
        <v/>
      </c>
      <c r="V3608" s="190" t="str">
        <f>IFERROR(Tableau3[[#This Row],[Fonds propres]]/Tableau3[[#This Row],[Total Bilan]],"")</f>
        <v/>
      </c>
      <c r="W3608" s="180"/>
      <c r="Y3608" s="180"/>
      <c r="Z3608" s="192" t="str">
        <f>IFERROR(Tableau3[[#This Row],[Chiffre d''affaires]]/Tableau3[[#This Row],[Salariés]],"")</f>
        <v/>
      </c>
      <c r="AA3608" s="177"/>
      <c r="AB3608" s="287" t="s">
        <v>2515</v>
      </c>
    </row>
    <row r="3609" spans="1:29" ht="20.25" customHeight="1">
      <c r="A3609" s="217" t="s">
        <v>2516</v>
      </c>
      <c r="B3609" s="216" t="s">
        <v>2517</v>
      </c>
      <c r="C3609" s="178" t="s">
        <v>84</v>
      </c>
      <c r="D3609" s="178" t="s">
        <v>85</v>
      </c>
      <c r="E3609" s="187">
        <v>39.85</v>
      </c>
      <c r="F3609" s="178">
        <v>2024</v>
      </c>
      <c r="G3609" s="188">
        <v>650000000</v>
      </c>
      <c r="H3609" s="188">
        <v>550000000</v>
      </c>
      <c r="I3609" s="188">
        <v>360000000</v>
      </c>
      <c r="J3609" s="188">
        <v>120000000</v>
      </c>
      <c r="K3609" s="188">
        <v>3000000000</v>
      </c>
      <c r="L3609" s="188">
        <v>2800000000</v>
      </c>
      <c r="M3609" s="194">
        <f>L3609/P3609</f>
        <v>18.40622484325111</v>
      </c>
      <c r="N3609" s="190">
        <f>J3609/L3611</f>
        <v>4.5253988007693181E-2</v>
      </c>
      <c r="O3609" s="190">
        <f>(I3609*0.7)/(K3611+L3611)</f>
        <v>4.5273256440659694E-2</v>
      </c>
      <c r="P3609" s="211">
        <v>152122449</v>
      </c>
      <c r="Q3609" s="188">
        <f>P3609*E3609</f>
        <v>6062079592.6500006</v>
      </c>
      <c r="R3609" s="195">
        <f>Q3609/L3609</f>
        <v>2.1650284259464287</v>
      </c>
      <c r="S3609" s="197">
        <f>(Q3609+K3609)/H3609</f>
        <v>16.476508350272731</v>
      </c>
      <c r="T3609" s="180"/>
      <c r="U3609" s="189">
        <f>IFERROR(IF(Tableau3[[#This Row],[Dettes]]=0,"",(Tableau3[[#This Row],[Dettes]]/Tableau3[[#This Row],[EBE]])),"")</f>
        <v>5.4545454545454541</v>
      </c>
      <c r="V3609" s="190">
        <f>IFERROR(Tableau3[[#This Row],[Fonds propres]]/Tableau3[[#This Row],[Total Bilan]],"")</f>
        <v>0.37826081082906665</v>
      </c>
      <c r="W3609" s="180">
        <v>7402300000</v>
      </c>
      <c r="X3609" s="182" t="s">
        <v>106</v>
      </c>
      <c r="Y3609" s="180"/>
      <c r="Z3609" s="192" t="str">
        <f>IFERROR(Tableau3[[#This Row],[Chiffre d''affaires]]/Tableau3[[#This Row],[Salariés]],"")</f>
        <v/>
      </c>
      <c r="AA3609" s="177"/>
      <c r="AB3609" s="287"/>
      <c r="AC3609" s="177" t="s">
        <v>2518</v>
      </c>
    </row>
    <row r="3610" spans="1:29" ht="20.25" customHeight="1">
      <c r="A3610" s="217"/>
      <c r="G3610" s="202">
        <f>(G3609/G3611)-1</f>
        <v>0.23951182303585039</v>
      </c>
      <c r="H3610" s="202">
        <f>(H3609/H3611)-1</f>
        <v>0.15838247683235052</v>
      </c>
      <c r="I3610" s="202">
        <f>(I3609/I3611)-1</f>
        <v>0.22158126908720743</v>
      </c>
      <c r="J3610" s="202">
        <f>(J3609/J3611)-1</f>
        <v>0.49253731343283591</v>
      </c>
      <c r="K3610" s="178"/>
      <c r="L3610" s="178"/>
      <c r="M3610" s="178"/>
      <c r="N3610" s="178"/>
      <c r="O3610" s="178"/>
      <c r="P3610" s="178"/>
      <c r="Q3610" s="178"/>
      <c r="R3610" s="178"/>
      <c r="S3610" s="178"/>
      <c r="T3610" s="180"/>
      <c r="U3610" s="189" t="str">
        <f>IFERROR(IF(Tableau3[[#This Row],[Dettes]]=0,"",(Tableau3[[#This Row],[Dettes]]/Tableau3[[#This Row],[EBE]])),"")</f>
        <v/>
      </c>
      <c r="V3610" s="190" t="str">
        <f>IFERROR(Tableau3[[#This Row],[Fonds propres]]/Tableau3[[#This Row],[Total Bilan]],"")</f>
        <v/>
      </c>
      <c r="W3610" s="180"/>
      <c r="Y3610" s="180"/>
      <c r="Z3610" s="192" t="str">
        <f>IFERROR(Tableau3[[#This Row],[Chiffre d''affaires]]/Tableau3[[#This Row],[Salariés]],"")</f>
        <v/>
      </c>
      <c r="AA3610" s="177"/>
      <c r="AB3610" s="287"/>
      <c r="AC3610" s="177" t="s">
        <v>2520</v>
      </c>
    </row>
    <row r="3611" spans="1:29" ht="20.25" customHeight="1">
      <c r="A3611" s="217"/>
      <c r="E3611" s="187">
        <v>30.3</v>
      </c>
      <c r="F3611" s="178">
        <v>2023</v>
      </c>
      <c r="G3611" s="188">
        <v>524400000</v>
      </c>
      <c r="H3611" s="188">
        <v>474800000</v>
      </c>
      <c r="I3611" s="188">
        <v>294700000</v>
      </c>
      <c r="J3611" s="188">
        <v>80400000</v>
      </c>
      <c r="K3611" s="188">
        <v>2914500000</v>
      </c>
      <c r="L3611" s="188">
        <v>2651700000</v>
      </c>
      <c r="M3611" s="194">
        <f>L3611/P3611</f>
        <v>17.431352291731773</v>
      </c>
      <c r="N3611" s="190">
        <f>J3611/L3613</f>
        <v>4.2456566510006864E-2</v>
      </c>
      <c r="O3611" s="190">
        <f>(I3611*0.7)/(K3613+L3613)</f>
        <v>4.3417590975101554E-2</v>
      </c>
      <c r="P3611" s="211">
        <v>152122449</v>
      </c>
      <c r="Q3611" s="188">
        <f>P3611*E3611</f>
        <v>4609310204.6999998</v>
      </c>
      <c r="R3611" s="195">
        <f>Q3611/L3611</f>
        <v>1.7382472393935966</v>
      </c>
      <c r="S3611" s="197">
        <f>(Q3611+K3611)/H3611</f>
        <v>15.846272545703453</v>
      </c>
      <c r="T3611" s="180"/>
      <c r="U3611" s="189">
        <f>IFERROR(IF(Tableau3[[#This Row],[Dettes]]=0,"",(Tableau3[[#This Row],[Dettes]]/Tableau3[[#This Row],[EBE]])),"")</f>
        <v>6.1383740522325185</v>
      </c>
      <c r="V3611" s="190">
        <f>IFERROR(Tableau3[[#This Row],[Fonds propres]]/Tableau3[[#This Row],[Total Bilan]],"")</f>
        <v>0.4226827129991233</v>
      </c>
      <c r="W3611" s="180">
        <v>6273500000</v>
      </c>
      <c r="Y3611" s="180">
        <v>439</v>
      </c>
      <c r="Z3611" s="192">
        <f>IFERROR(Tableau3[[#This Row],[Chiffre d''affaires]]/Tableau3[[#This Row],[Salariés]],"")</f>
        <v>1194533.0296127563</v>
      </c>
      <c r="AA3611" s="177"/>
      <c r="AB3611" s="178">
        <v>8.9</v>
      </c>
      <c r="AC3611" s="177" t="s">
        <v>2521</v>
      </c>
    </row>
    <row r="3612" spans="1:29" ht="20.25" customHeight="1">
      <c r="A3612" s="217"/>
      <c r="G3612" s="202">
        <f>(G3611/G3613)-1</f>
        <v>4.2130365659777347E-2</v>
      </c>
      <c r="H3612" s="202">
        <f>(H3611/H3613)-1</f>
        <v>0.14685990338164245</v>
      </c>
      <c r="I3612" s="202">
        <f>(I3611/I3613)-1</f>
        <v>0.13783783783783776</v>
      </c>
      <c r="J3612" s="202">
        <f>(J3611/J3613)-1</f>
        <v>0.77876106194690276</v>
      </c>
      <c r="K3612" s="178"/>
      <c r="L3612" s="178"/>
      <c r="M3612" s="178"/>
      <c r="N3612" s="178"/>
      <c r="O3612" s="178"/>
      <c r="P3612" s="178"/>
      <c r="Q3612" s="178"/>
      <c r="R3612" s="178"/>
      <c r="S3612" s="178"/>
      <c r="T3612" s="180"/>
      <c r="U3612" s="189" t="str">
        <f>IFERROR(IF(Tableau3[[#This Row],[Dettes]]=0,"",(Tableau3[[#This Row],[Dettes]]/Tableau3[[#This Row],[EBE]])),"")</f>
        <v/>
      </c>
      <c r="V3612" s="190" t="str">
        <f>IFERROR(Tableau3[[#This Row],[Fonds propres]]/Tableau3[[#This Row],[Total Bilan]],"")</f>
        <v/>
      </c>
      <c r="W3612" s="180"/>
      <c r="Y3612" s="180"/>
      <c r="Z3612" s="192" t="str">
        <f>IFERROR(Tableau3[[#This Row],[Chiffre d''affaires]]/Tableau3[[#This Row],[Salariés]],"")</f>
        <v/>
      </c>
      <c r="AA3612" s="177"/>
      <c r="AC3612" s="177" t="s">
        <v>2522</v>
      </c>
    </row>
    <row r="3613" spans="1:29" ht="20.25" customHeight="1">
      <c r="A3613" s="217"/>
      <c r="E3613" s="187">
        <v>29.54</v>
      </c>
      <c r="F3613" s="178">
        <v>2022</v>
      </c>
      <c r="G3613" s="188">
        <v>503200000</v>
      </c>
      <c r="H3613" s="188">
        <v>414000000</v>
      </c>
      <c r="I3613" s="188">
        <v>259000000</v>
      </c>
      <c r="J3613" s="188">
        <v>45200000</v>
      </c>
      <c r="K3613" s="211">
        <v>2857600000</v>
      </c>
      <c r="L3613" s="211">
        <v>1893700000</v>
      </c>
      <c r="M3613" s="194">
        <f>L3613/P3613</f>
        <v>16.514417809695129</v>
      </c>
      <c r="N3613" s="190">
        <f>J3613/L3615</f>
        <v>3.289904650993522E-2</v>
      </c>
      <c r="O3613" s="190">
        <f>(I3613*0.7)/(K3615+L3615)</f>
        <v>5.0275921355480993E-2</v>
      </c>
      <c r="P3613" s="211">
        <v>114669498</v>
      </c>
      <c r="Q3613" s="188">
        <f>P3613*E3613</f>
        <v>3387336970.9200001</v>
      </c>
      <c r="R3613" s="195">
        <f>Q3613/L3613</f>
        <v>1.7887400173839574</v>
      </c>
      <c r="S3613" s="197">
        <f>(Q3613+K3613)/H3613</f>
        <v>15.084388818647342</v>
      </c>
      <c r="T3613" s="180"/>
      <c r="U3613" s="189">
        <f>IFERROR(IF(Tableau3[[#This Row],[Dettes]]=0,"",(Tableau3[[#This Row],[Dettes]]/Tableau3[[#This Row],[EBE]])),"")</f>
        <v>6.902415458937198</v>
      </c>
      <c r="V3613" s="190">
        <f>IFERROR(Tableau3[[#This Row],[Fonds propres]]/Tableau3[[#This Row],[Total Bilan]],"")</f>
        <v>0.38256565656565655</v>
      </c>
      <c r="W3613" s="180">
        <v>4950000000</v>
      </c>
      <c r="Y3613" s="180">
        <v>361</v>
      </c>
      <c r="Z3613" s="192">
        <f>IFERROR(Tableau3[[#This Row],[Chiffre d''affaires]]/Tableau3[[#This Row],[Salariés]],"")</f>
        <v>1393905.8171745152</v>
      </c>
      <c r="AA3613" s="177"/>
      <c r="AB3613" s="178">
        <v>6.6</v>
      </c>
      <c r="AC3613" s="177" t="s">
        <v>2523</v>
      </c>
    </row>
    <row r="3614" spans="1:29" ht="20.25" customHeight="1">
      <c r="A3614" s="217"/>
      <c r="G3614" s="202">
        <f>(G3613/G3615)-1</f>
        <v>0.50839328537170259</v>
      </c>
      <c r="H3614" s="202">
        <f>(H3613/H3615)-1</f>
        <v>0.37816245006657789</v>
      </c>
      <c r="I3614" s="202">
        <f>(I3613/I3615)-1</f>
        <v>0.51285046728971961</v>
      </c>
      <c r="J3614" s="202">
        <f>(J3613/J3615)-1</f>
        <v>0.10243902439024399</v>
      </c>
      <c r="K3614" s="178"/>
      <c r="L3614" s="178"/>
      <c r="M3614" s="178"/>
      <c r="N3614" s="178"/>
      <c r="O3614" s="178"/>
      <c r="P3614" s="178"/>
      <c r="Q3614" s="178"/>
      <c r="R3614" s="178"/>
      <c r="S3614" s="178"/>
      <c r="T3614" s="180"/>
      <c r="U3614" s="189" t="str">
        <f>IFERROR(IF(Tableau3[[#This Row],[Dettes]]=0,"",(Tableau3[[#This Row],[Dettes]]/Tableau3[[#This Row],[EBE]])),"")</f>
        <v/>
      </c>
      <c r="V3614" s="190" t="str">
        <f>IFERROR(Tableau3[[#This Row],[Fonds propres]]/Tableau3[[#This Row],[Total Bilan]],"")</f>
        <v/>
      </c>
      <c r="W3614" s="180"/>
      <c r="Y3614" s="180"/>
      <c r="Z3614" s="192" t="str">
        <f>IFERROR(Tableau3[[#This Row],[Chiffre d''affaires]]/Tableau3[[#This Row],[Salariés]],"")</f>
        <v/>
      </c>
      <c r="AA3614" s="177"/>
      <c r="AC3614" s="177" t="s">
        <v>2524</v>
      </c>
    </row>
    <row r="3615" spans="1:29" ht="20.25" customHeight="1">
      <c r="A3615" s="217"/>
      <c r="E3615" s="187">
        <v>38.159999999999997</v>
      </c>
      <c r="F3615" s="178">
        <v>2021</v>
      </c>
      <c r="G3615" s="188">
        <v>333600000</v>
      </c>
      <c r="H3615" s="188">
        <v>300400000</v>
      </c>
      <c r="I3615" s="188">
        <v>171200000</v>
      </c>
      <c r="J3615" s="188">
        <v>41000000</v>
      </c>
      <c r="K3615" s="188">
        <v>2232200000</v>
      </c>
      <c r="L3615" s="211">
        <v>1373900000</v>
      </c>
      <c r="M3615" s="194">
        <f>L3615/P3615</f>
        <v>12.838787248100475</v>
      </c>
      <c r="N3615" s="190">
        <f>J3615/L3617</f>
        <v>6.3902743142144641E-2</v>
      </c>
      <c r="O3615" s="190">
        <f>(I3615*0.7)/(K3617+L3617)</f>
        <v>4.1201952829539978E-2</v>
      </c>
      <c r="P3615" s="211">
        <v>107011665</v>
      </c>
      <c r="Q3615" s="188">
        <f>P3615*E3615</f>
        <v>4083565136.3999996</v>
      </c>
      <c r="R3615" s="195">
        <f>Q3615/L3615</f>
        <v>2.9722433484241937</v>
      </c>
      <c r="S3615" s="197">
        <f>(Q3615+K3615)/H3615</f>
        <v>21.024517764314247</v>
      </c>
      <c r="T3615" s="180"/>
      <c r="U3615" s="189">
        <f>IFERROR(IF(Tableau3[[#This Row],[Dettes]]=0,"",(Tableau3[[#This Row],[Dettes]]/Tableau3[[#This Row],[EBE]])),"")</f>
        <v>7.4307589880159783</v>
      </c>
      <c r="V3615" s="190">
        <f>IFERROR(Tableau3[[#This Row],[Fonds propres]]/Tableau3[[#This Row],[Total Bilan]],"")</f>
        <v>0.36346560846560849</v>
      </c>
      <c r="W3615" s="180">
        <v>3780000000</v>
      </c>
      <c r="Y3615" s="180">
        <v>299</v>
      </c>
      <c r="Z3615" s="192">
        <f>IFERROR(Tableau3[[#This Row],[Chiffre d''affaires]]/Tableau3[[#This Row],[Salariés]],"")</f>
        <v>1115719.0635451504</v>
      </c>
      <c r="AA3615" s="178"/>
      <c r="AB3615" s="178">
        <v>5.4</v>
      </c>
      <c r="AC3615" s="177" t="s">
        <v>2525</v>
      </c>
    </row>
    <row r="3616" spans="1:29" ht="20.25" customHeight="1">
      <c r="A3616" s="217"/>
      <c r="E3616" s="187"/>
      <c r="G3616" s="202">
        <f>(G3615/G3617)-1</f>
        <v>0.1157190635451506</v>
      </c>
      <c r="H3616" s="202">
        <f>(H3615/H3617)-1</f>
        <v>0.11259259259259258</v>
      </c>
      <c r="I3616" s="202">
        <f>(I3615/I3617)-1</f>
        <v>6.6666666666666652E-2</v>
      </c>
      <c r="J3616" s="202">
        <f>(J3615/J3617)-1</f>
        <v>11.424242424242424</v>
      </c>
      <c r="K3616" s="178"/>
      <c r="L3616" s="178"/>
      <c r="M3616" s="178"/>
      <c r="N3616" s="178"/>
      <c r="O3616" s="178"/>
      <c r="P3616" s="178"/>
      <c r="Q3616" s="178"/>
      <c r="R3616" s="178"/>
      <c r="S3616" s="178"/>
      <c r="T3616" s="180"/>
      <c r="U3616" s="189" t="str">
        <f>IFERROR(IF(Tableau3[[#This Row],[Dettes]]=0,"",(Tableau3[[#This Row],[Dettes]]/Tableau3[[#This Row],[EBE]])),"")</f>
        <v/>
      </c>
      <c r="V3616" s="190" t="str">
        <f>IFERROR(Tableau3[[#This Row],[Fonds propres]]/Tableau3[[#This Row],[Total Bilan]],"")</f>
        <v/>
      </c>
      <c r="W3616" s="180"/>
      <c r="Y3616" s="180"/>
      <c r="Z3616" s="192" t="str">
        <f>IFERROR(Tableau3[[#This Row],[Chiffre d''affaires]]/Tableau3[[#This Row],[Salariés]],"")</f>
        <v/>
      </c>
      <c r="AA3616" s="177"/>
      <c r="AC3616" s="177" t="s">
        <v>2526</v>
      </c>
    </row>
    <row r="3617" spans="1:29" ht="20.25" customHeight="1">
      <c r="A3617" s="217"/>
      <c r="E3617" s="187">
        <v>57.59</v>
      </c>
      <c r="F3617" s="178">
        <v>2020</v>
      </c>
      <c r="G3617" s="188">
        <v>299000000</v>
      </c>
      <c r="H3617" s="188">
        <v>270000000</v>
      </c>
      <c r="I3617" s="188">
        <v>160500000</v>
      </c>
      <c r="J3617" s="188">
        <v>3300000</v>
      </c>
      <c r="K3617" s="188">
        <v>2267000000</v>
      </c>
      <c r="L3617" s="188">
        <v>641600000</v>
      </c>
      <c r="M3617" s="194">
        <f>L3617/P3617</f>
        <v>7.4996453565459511</v>
      </c>
      <c r="N3617" s="190">
        <f>J3617/L3619</f>
        <v>4.8493754592211606E-3</v>
      </c>
      <c r="O3617" s="190">
        <f>(I3617*0.7)/(K3619+L3619)</f>
        <v>3.6282900048441792E-2</v>
      </c>
      <c r="P3617" s="188">
        <v>85550712</v>
      </c>
      <c r="Q3617" s="188">
        <f>P3617*E3617</f>
        <v>4926865504.0799999</v>
      </c>
      <c r="R3617" s="195">
        <f>Q3617/L3617</f>
        <v>7.6790297756857857</v>
      </c>
      <c r="S3617" s="197">
        <f>(Q3617+K3617)/H3617</f>
        <v>26.643946311407408</v>
      </c>
      <c r="T3617" s="180"/>
      <c r="U3617" s="189">
        <f>IFERROR(IF(Tableau3[[#This Row],[Dettes]]=0,"",(Tableau3[[#This Row],[Dettes]]/Tableau3[[#This Row],[EBE]])),"")</f>
        <v>8.3962962962962955</v>
      </c>
      <c r="V3617" s="190">
        <f>IFERROR(Tableau3[[#This Row],[Fonds propres]]/Tableau3[[#This Row],[Total Bilan]],"")</f>
        <v>0.18926253687315633</v>
      </c>
      <c r="W3617" s="180">
        <v>3390000000</v>
      </c>
      <c r="Y3617" s="180">
        <v>255</v>
      </c>
      <c r="Z3617" s="192">
        <f>IFERROR(Tableau3[[#This Row],[Chiffre d''affaires]]/Tableau3[[#This Row],[Salariés]],"")</f>
        <v>1172549.0196078431</v>
      </c>
      <c r="AA3617" s="177"/>
      <c r="AC3617" s="177" t="s">
        <v>2527</v>
      </c>
    </row>
    <row r="3618" spans="1:29" ht="20.25" customHeight="1">
      <c r="A3618" s="217"/>
      <c r="E3618" s="187"/>
      <c r="G3618" s="202">
        <f>(G3617/G3619)-1</f>
        <v>0.18088467614533976</v>
      </c>
      <c r="H3618" s="202">
        <f>(H3617/H3619)-1</f>
        <v>0.24942156409069871</v>
      </c>
      <c r="I3618" s="202">
        <f>(I3617/I3619)-1</f>
        <v>0.18101545253863138</v>
      </c>
      <c r="J3618" s="202">
        <f>(J3617/J3619)-1</f>
        <v>-0.91081081081081083</v>
      </c>
      <c r="K3618" s="178"/>
      <c r="L3618" s="178"/>
      <c r="M3618" s="178"/>
      <c r="N3618" s="178"/>
      <c r="O3618" s="178"/>
      <c r="P3618" s="178"/>
      <c r="Q3618" s="178"/>
      <c r="R3618" s="178"/>
      <c r="S3618" s="178"/>
      <c r="T3618" s="180"/>
      <c r="U3618" s="189" t="str">
        <f>IFERROR(IF(Tableau3[[#This Row],[Dettes]]=0,"",(Tableau3[[#This Row],[Dettes]]/Tableau3[[#This Row],[EBE]])),"")</f>
        <v/>
      </c>
      <c r="V3618" s="190" t="str">
        <f>IFERROR(Tableau3[[#This Row],[Fonds propres]]/Tableau3[[#This Row],[Total Bilan]],"")</f>
        <v/>
      </c>
      <c r="W3618" s="180"/>
      <c r="Y3618" s="180"/>
      <c r="Z3618" s="192" t="str">
        <f>IFERROR(Tableau3[[#This Row],[Chiffre d''affaires]]/Tableau3[[#This Row],[Salariés]],"")</f>
        <v/>
      </c>
      <c r="AA3618" s="177"/>
      <c r="AC3618" s="177" t="s">
        <v>2528</v>
      </c>
    </row>
    <row r="3619" spans="1:29" ht="20.25" customHeight="1">
      <c r="A3619" s="217"/>
      <c r="E3619" s="187">
        <v>28.29</v>
      </c>
      <c r="F3619" s="178">
        <v>2019</v>
      </c>
      <c r="G3619" s="188">
        <v>253200000</v>
      </c>
      <c r="H3619" s="188">
        <v>216100000</v>
      </c>
      <c r="I3619" s="188">
        <v>135900000</v>
      </c>
      <c r="J3619" s="188">
        <v>37000000</v>
      </c>
      <c r="K3619" s="188">
        <v>2416000000</v>
      </c>
      <c r="L3619" s="188">
        <v>680500000</v>
      </c>
      <c r="M3619" s="194">
        <f>L3619/P3619</f>
        <v>7.9975321766398535</v>
      </c>
      <c r="N3619" s="190">
        <f>J3619/L3621</f>
        <v>5.6462688844803904E-2</v>
      </c>
      <c r="O3619" s="190">
        <f>(I3619*0.7)/(K3621+L3621)</f>
        <v>4.0544687380130416E-2</v>
      </c>
      <c r="P3619" s="188">
        <v>85088748</v>
      </c>
      <c r="Q3619" s="188">
        <f>P3619*E3619</f>
        <v>2407160680.9200001</v>
      </c>
      <c r="R3619" s="195">
        <f>Q3619/L3619</f>
        <v>3.5373411916531965</v>
      </c>
      <c r="S3619" s="197">
        <f>(Q3619+K3619)/H3619</f>
        <v>22.319114673391947</v>
      </c>
      <c r="T3619" s="180"/>
      <c r="U3619" s="189">
        <f>IFERROR(IF(Tableau3[[#This Row],[Dettes]]=0,"",(Tableau3[[#This Row],[Dettes]]/Tableau3[[#This Row],[EBE]])),"")</f>
        <v>11.180009254974548</v>
      </c>
      <c r="V3619" s="190" t="str">
        <f>IFERROR(Tableau3[[#This Row],[Fonds propres]]/Tableau3[[#This Row],[Total Bilan]],"")</f>
        <v/>
      </c>
      <c r="W3619" s="180"/>
      <c r="Y3619" s="180">
        <v>213</v>
      </c>
      <c r="Z3619" s="192">
        <f>IFERROR(Tableau3[[#This Row],[Chiffre d''affaires]]/Tableau3[[#This Row],[Salariés]],"")</f>
        <v>1188732.3943661973</v>
      </c>
      <c r="AA3619" s="177"/>
      <c r="AC3619" s="177" t="s">
        <v>2529</v>
      </c>
    </row>
    <row r="3620" spans="1:29" ht="20.25" customHeight="1">
      <c r="A3620" s="217"/>
      <c r="E3620" s="187"/>
      <c r="G3620" s="202">
        <f>(G3619/G3621)-1</f>
        <v>0.22318840579710142</v>
      </c>
      <c r="H3620" s="202">
        <f>(H3619/H3621)-1</f>
        <v>0.29789789789789789</v>
      </c>
      <c r="I3620" s="202">
        <f>(I3619/I3621)-1</f>
        <v>0.28207547169811331</v>
      </c>
      <c r="J3620" s="202">
        <f>(J3619/J3621)-1</f>
        <v>1.7407407407407409</v>
      </c>
      <c r="K3620" s="178"/>
      <c r="L3620" s="178"/>
      <c r="M3620" s="178"/>
      <c r="N3620" s="178"/>
      <c r="O3620" s="178"/>
      <c r="P3620" s="178"/>
      <c r="Q3620" s="178"/>
      <c r="R3620" s="178"/>
      <c r="S3620" s="178"/>
      <c r="T3620" s="180"/>
      <c r="U3620" s="189" t="str">
        <f>IFERROR(IF(Tableau3[[#This Row],[Dettes]]=0,"",(Tableau3[[#This Row],[Dettes]]/Tableau3[[#This Row],[EBE]])),"")</f>
        <v/>
      </c>
      <c r="V3620" s="190" t="str">
        <f>IFERROR(Tableau3[[#This Row],[Fonds propres]]/Tableau3[[#This Row],[Total Bilan]],"")</f>
        <v/>
      </c>
      <c r="W3620" s="180"/>
      <c r="Y3620" s="180"/>
      <c r="Z3620" s="192" t="str">
        <f>IFERROR(Tableau3[[#This Row],[Chiffre d''affaires]]/Tableau3[[#This Row],[Salariés]],"")</f>
        <v/>
      </c>
      <c r="AA3620" s="177"/>
      <c r="AC3620" s="177" t="s">
        <v>2530</v>
      </c>
    </row>
    <row r="3621" spans="1:29" ht="20.25" customHeight="1">
      <c r="A3621" s="217"/>
      <c r="E3621" s="187">
        <v>17.329999999999998</v>
      </c>
      <c r="F3621" s="178">
        <v>2018</v>
      </c>
      <c r="G3621" s="188">
        <v>207000000</v>
      </c>
      <c r="H3621" s="188">
        <v>166500000</v>
      </c>
      <c r="I3621" s="188">
        <v>106000000</v>
      </c>
      <c r="J3621" s="188">
        <v>13500000</v>
      </c>
      <c r="K3621" s="188">
        <v>1691000000</v>
      </c>
      <c r="L3621" s="188">
        <v>655300000</v>
      </c>
      <c r="M3621" s="194">
        <f>L3621/P3621</f>
        <v>7.7141765846947017</v>
      </c>
      <c r="N3621" s="190">
        <f>J3621/L3621</f>
        <v>2.0601251335266291E-2</v>
      </c>
      <c r="O3621" s="190">
        <f>(I3621*0.7)/(K3621+L3621)</f>
        <v>3.1624259472360736E-2</v>
      </c>
      <c r="P3621" s="188">
        <v>84947498</v>
      </c>
      <c r="Q3621" s="188">
        <f>P3621*E3621</f>
        <v>1472140140.3399999</v>
      </c>
      <c r="R3621" s="195">
        <f>Q3621/L3621</f>
        <v>2.2465132616206316</v>
      </c>
      <c r="S3621" s="197">
        <f>(Q3621+K3621)/H3621</f>
        <v>18.997838680720722</v>
      </c>
      <c r="T3621" s="180"/>
      <c r="U3621" s="189">
        <f>IFERROR(IF(Tableau3[[#This Row],[Dettes]]=0,"",(Tableau3[[#This Row],[Dettes]]/Tableau3[[#This Row],[EBE]])),"")</f>
        <v>10.156156156156156</v>
      </c>
      <c r="V3621" s="190" t="str">
        <f>IFERROR(Tableau3[[#This Row],[Fonds propres]]/Tableau3[[#This Row],[Total Bilan]],"")</f>
        <v/>
      </c>
      <c r="W3621" s="180"/>
      <c r="Y3621" s="180">
        <v>184</v>
      </c>
      <c r="Z3621" s="192">
        <f>IFERROR(Tableau3[[#This Row],[Chiffre d''affaires]]/Tableau3[[#This Row],[Salariés]],"")</f>
        <v>1125000</v>
      </c>
      <c r="AA3621" s="177"/>
      <c r="AC3621" s="177" t="s">
        <v>4557</v>
      </c>
    </row>
    <row r="3622" spans="1:29" ht="20.25" customHeight="1">
      <c r="A3622" s="217"/>
      <c r="E3622" s="187"/>
      <c r="G3622" s="188"/>
      <c r="H3622" s="178"/>
      <c r="I3622" s="178"/>
      <c r="J3622" s="178"/>
      <c r="K3622" s="178"/>
      <c r="L3622" s="178"/>
      <c r="M3622" s="178"/>
      <c r="N3622" s="178"/>
      <c r="O3622" s="178"/>
      <c r="P3622" s="178"/>
      <c r="Q3622" s="178"/>
      <c r="R3622" s="178"/>
      <c r="S3622" s="178"/>
      <c r="T3622" s="180"/>
      <c r="U3622" s="189" t="str">
        <f>IFERROR(IF(Tableau3[[#This Row],[Dettes]]=0,"",(Tableau3[[#This Row],[Dettes]]/Tableau3[[#This Row],[EBE]])),"")</f>
        <v/>
      </c>
      <c r="V3622" s="190" t="str">
        <f>IFERROR(Tableau3[[#This Row],[Fonds propres]]/Tableau3[[#This Row],[Total Bilan]],"")</f>
        <v/>
      </c>
      <c r="W3622" s="180"/>
      <c r="Y3622" s="180"/>
      <c r="Z3622" s="192" t="str">
        <f>IFERROR(Tableau3[[#This Row],[Chiffre d''affaires]]/Tableau3[[#This Row],[Salariés]],"")</f>
        <v/>
      </c>
      <c r="AA3622" s="177"/>
      <c r="AC3622" s="177" t="s">
        <v>4558</v>
      </c>
    </row>
    <row r="3623" spans="1:29" ht="20.25" customHeight="1">
      <c r="A3623" s="217"/>
      <c r="F3623" s="217" t="s">
        <v>2531</v>
      </c>
      <c r="G3623" s="188"/>
      <c r="H3623" s="178"/>
      <c r="I3623" s="178"/>
      <c r="J3623" s="178"/>
      <c r="K3623" s="178"/>
      <c r="L3623" s="178"/>
      <c r="M3623" s="178"/>
      <c r="N3623" s="178"/>
      <c r="O3623" s="178"/>
      <c r="P3623" s="178"/>
      <c r="Q3623" s="178"/>
      <c r="R3623" s="178"/>
      <c r="S3623" s="178"/>
      <c r="T3623" s="180"/>
      <c r="U3623" s="189" t="str">
        <f>IFERROR(IF(Tableau3[[#This Row],[Dettes]]=0,"",(Tableau3[[#This Row],[Dettes]]/Tableau3[[#This Row],[EBE]])),"")</f>
        <v/>
      </c>
      <c r="V3623" s="190" t="str">
        <f>IFERROR(Tableau3[[#This Row],[Fonds propres]]/Tableau3[[#This Row],[Total Bilan]],"")</f>
        <v/>
      </c>
      <c r="W3623" s="180"/>
      <c r="Y3623" s="180"/>
      <c r="Z3623" s="192" t="str">
        <f>IFERROR(Tableau3[[#This Row],[Chiffre d''affaires]]/Tableau3[[#This Row],[Salariés]],"")</f>
        <v/>
      </c>
      <c r="AA3623" s="177"/>
      <c r="AC3623" s="177" t="s">
        <v>4559</v>
      </c>
    </row>
    <row r="3624" spans="1:29" ht="20.25" customHeight="1">
      <c r="A3624" s="217"/>
      <c r="G3624" s="188"/>
      <c r="H3624" s="178"/>
      <c r="I3624" s="178"/>
      <c r="J3624" s="178"/>
      <c r="K3624" s="178"/>
      <c r="L3624" s="178"/>
      <c r="M3624" s="178"/>
      <c r="N3624" s="178"/>
      <c r="O3624" s="178"/>
      <c r="P3624" s="178"/>
      <c r="Q3624" s="178"/>
      <c r="R3624" s="178"/>
      <c r="S3624" s="178"/>
      <c r="T3624" s="180"/>
      <c r="U3624" s="189" t="str">
        <f>IFERROR(IF(Tableau3[[#This Row],[Dettes]]=0,"",(Tableau3[[#This Row],[Dettes]]/Tableau3[[#This Row],[EBE]])),"")</f>
        <v/>
      </c>
      <c r="V3624" s="190" t="str">
        <f>IFERROR(Tableau3[[#This Row],[Fonds propres]]/Tableau3[[#This Row],[Total Bilan]],"")</f>
        <v/>
      </c>
      <c r="W3624" s="180"/>
      <c r="Y3624" s="180"/>
      <c r="Z3624" s="192" t="str">
        <f>IFERROR(Tableau3[[#This Row],[Chiffre d''affaires]]/Tableau3[[#This Row],[Salariés]],"")</f>
        <v/>
      </c>
      <c r="AA3624" s="177"/>
      <c r="AC3624" s="177" t="s">
        <v>2532</v>
      </c>
    </row>
    <row r="3625" spans="1:29" ht="20.25" customHeight="1">
      <c r="A3625" s="217"/>
      <c r="G3625" s="188"/>
      <c r="H3625" s="178"/>
      <c r="I3625" s="178"/>
      <c r="J3625" s="178"/>
      <c r="K3625" s="178"/>
      <c r="L3625" s="178"/>
      <c r="M3625" s="178"/>
      <c r="N3625" s="178"/>
      <c r="O3625" s="178"/>
      <c r="P3625" s="178"/>
      <c r="Q3625" s="178"/>
      <c r="R3625" s="178"/>
      <c r="S3625" s="178"/>
      <c r="T3625" s="180"/>
      <c r="U3625" s="189" t="str">
        <f>IFERROR(IF(Tableau3[[#This Row],[Dettes]]=0,"",(Tableau3[[#This Row],[Dettes]]/Tableau3[[#This Row],[EBE]])),"")</f>
        <v/>
      </c>
      <c r="V3625" s="190" t="str">
        <f>IFERROR(Tableau3[[#This Row],[Fonds propres]]/Tableau3[[#This Row],[Total Bilan]],"")</f>
        <v/>
      </c>
      <c r="W3625" s="180"/>
      <c r="Y3625" s="180"/>
      <c r="Z3625" s="192" t="str">
        <f>IFERROR(Tableau3[[#This Row],[Chiffre d''affaires]]/Tableau3[[#This Row],[Salariés]],"")</f>
        <v/>
      </c>
      <c r="AA3625" s="177"/>
      <c r="AC3625" s="177" t="s">
        <v>4560</v>
      </c>
    </row>
    <row r="3626" spans="1:29" ht="20.25" customHeight="1">
      <c r="A3626" s="217"/>
      <c r="G3626" s="188"/>
      <c r="H3626" s="178"/>
      <c r="I3626" s="178"/>
      <c r="J3626" s="178"/>
      <c r="K3626" s="178"/>
      <c r="L3626" s="178"/>
      <c r="M3626" s="178"/>
      <c r="N3626" s="178"/>
      <c r="O3626" s="178"/>
      <c r="P3626" s="178"/>
      <c r="Q3626" s="178"/>
      <c r="R3626" s="178"/>
      <c r="S3626" s="178"/>
      <c r="T3626" s="180"/>
      <c r="U3626" s="189" t="str">
        <f>IFERROR(IF(Tableau3[[#This Row],[Dettes]]=0,"",(Tableau3[[#This Row],[Dettes]]/Tableau3[[#This Row],[EBE]])),"")</f>
        <v/>
      </c>
      <c r="V3626" s="190" t="str">
        <f>IFERROR(Tableau3[[#This Row],[Fonds propres]]/Tableau3[[#This Row],[Total Bilan]],"")</f>
        <v/>
      </c>
      <c r="W3626" s="180"/>
      <c r="Y3626" s="180"/>
      <c r="Z3626" s="192" t="str">
        <f>IFERROR(Tableau3[[#This Row],[Chiffre d''affaires]]/Tableau3[[#This Row],[Salariés]],"")</f>
        <v/>
      </c>
      <c r="AA3626" s="177"/>
      <c r="AC3626" s="177" t="s">
        <v>2533</v>
      </c>
    </row>
    <row r="3627" spans="1:29" ht="20.25" customHeight="1">
      <c r="A3627" s="217"/>
      <c r="G3627" s="188"/>
      <c r="H3627" s="178"/>
      <c r="I3627" s="178"/>
      <c r="J3627" s="178"/>
      <c r="K3627" s="178"/>
      <c r="L3627" s="178"/>
      <c r="M3627" s="178"/>
      <c r="N3627" s="178"/>
      <c r="O3627" s="178"/>
      <c r="P3627" s="178"/>
      <c r="Q3627" s="178"/>
      <c r="R3627" s="178"/>
      <c r="S3627" s="178"/>
      <c r="T3627" s="180"/>
      <c r="U3627" s="189" t="str">
        <f>IFERROR(IF(Tableau3[[#This Row],[Dettes]]=0,"",(Tableau3[[#This Row],[Dettes]]/Tableau3[[#This Row],[EBE]])),"")</f>
        <v/>
      </c>
      <c r="V3627" s="190" t="str">
        <f>IFERROR(Tableau3[[#This Row],[Fonds propres]]/Tableau3[[#This Row],[Total Bilan]],"")</f>
        <v/>
      </c>
      <c r="W3627" s="180"/>
      <c r="Y3627" s="180"/>
      <c r="Z3627" s="192" t="str">
        <f>IFERROR(Tableau3[[#This Row],[Chiffre d''affaires]]/Tableau3[[#This Row],[Salariés]],"")</f>
        <v/>
      </c>
      <c r="AA3627" s="177"/>
      <c r="AC3627" s="177" t="s">
        <v>2534</v>
      </c>
    </row>
    <row r="3628" spans="1:29" ht="20.25" customHeight="1">
      <c r="A3628" s="217"/>
      <c r="G3628" s="188"/>
      <c r="H3628" s="178"/>
      <c r="I3628" s="178"/>
      <c r="J3628" s="178"/>
      <c r="K3628" s="178"/>
      <c r="L3628" s="178"/>
      <c r="M3628" s="178"/>
      <c r="N3628" s="178"/>
      <c r="O3628" s="178"/>
      <c r="P3628" s="178"/>
      <c r="Q3628" s="178"/>
      <c r="R3628" s="178"/>
      <c r="S3628" s="178"/>
      <c r="T3628" s="180"/>
      <c r="U3628" s="189" t="str">
        <f>IFERROR(IF(Tableau3[[#This Row],[Dettes]]=0,"",(Tableau3[[#This Row],[Dettes]]/Tableau3[[#This Row],[EBE]])),"")</f>
        <v/>
      </c>
      <c r="V3628" s="190" t="str">
        <f>IFERROR(Tableau3[[#This Row],[Fonds propres]]/Tableau3[[#This Row],[Total Bilan]],"")</f>
        <v/>
      </c>
      <c r="W3628" s="180"/>
      <c r="Y3628" s="180"/>
      <c r="Z3628" s="192" t="str">
        <f>IFERROR(Tableau3[[#This Row],[Chiffre d''affaires]]/Tableau3[[#This Row],[Salariés]],"")</f>
        <v/>
      </c>
      <c r="AA3628" s="177"/>
      <c r="AC3628" s="177" t="s">
        <v>4561</v>
      </c>
    </row>
    <row r="3629" spans="1:29" ht="20.25" customHeight="1">
      <c r="A3629" s="217"/>
      <c r="G3629" s="188"/>
      <c r="H3629" s="178"/>
      <c r="I3629" s="178"/>
      <c r="J3629" s="178"/>
      <c r="K3629" s="178"/>
      <c r="L3629" s="178"/>
      <c r="M3629" s="178"/>
      <c r="N3629" s="178"/>
      <c r="O3629" s="178"/>
      <c r="P3629" s="178"/>
      <c r="Q3629" s="178"/>
      <c r="R3629" s="178"/>
      <c r="S3629" s="178"/>
      <c r="T3629" s="180"/>
      <c r="U3629" s="189" t="str">
        <f>IFERROR(IF(Tableau3[[#This Row],[Dettes]]=0,"",(Tableau3[[#This Row],[Dettes]]/Tableau3[[#This Row],[EBE]])),"")</f>
        <v/>
      </c>
      <c r="V3629" s="190" t="str">
        <f>IFERROR(Tableau3[[#This Row],[Fonds propres]]/Tableau3[[#This Row],[Total Bilan]],"")</f>
        <v/>
      </c>
      <c r="W3629" s="180"/>
      <c r="Y3629" s="180"/>
      <c r="Z3629" s="192" t="str">
        <f>IFERROR(Tableau3[[#This Row],[Chiffre d''affaires]]/Tableau3[[#This Row],[Salariés]],"")</f>
        <v/>
      </c>
      <c r="AA3629" s="177"/>
      <c r="AC3629" s="177" t="s">
        <v>2535</v>
      </c>
    </row>
    <row r="3630" spans="1:29" ht="20.25" customHeight="1">
      <c r="A3630" s="217"/>
      <c r="G3630" s="188"/>
      <c r="H3630" s="178"/>
      <c r="I3630" s="178"/>
      <c r="J3630" s="178"/>
      <c r="K3630" s="178"/>
      <c r="L3630" s="178"/>
      <c r="M3630" s="178"/>
      <c r="N3630" s="178"/>
      <c r="O3630" s="178"/>
      <c r="P3630" s="178"/>
      <c r="Q3630" s="178"/>
      <c r="R3630" s="178"/>
      <c r="S3630" s="178"/>
      <c r="T3630" s="180"/>
      <c r="U3630" s="189" t="str">
        <f>IFERROR(IF(Tableau3[[#This Row],[Dettes]]=0,"",(Tableau3[[#This Row],[Dettes]]/Tableau3[[#This Row],[EBE]])),"")</f>
        <v/>
      </c>
      <c r="V3630" s="190" t="str">
        <f>IFERROR(Tableau3[[#This Row],[Fonds propres]]/Tableau3[[#This Row],[Total Bilan]],"")</f>
        <v/>
      </c>
      <c r="W3630" s="180"/>
      <c r="Y3630" s="180"/>
      <c r="Z3630" s="192" t="str">
        <f>IFERROR(Tableau3[[#This Row],[Chiffre d''affaires]]/Tableau3[[#This Row],[Salariés]],"")</f>
        <v/>
      </c>
      <c r="AA3630" s="177"/>
      <c r="AC3630" s="177" t="s">
        <v>2536</v>
      </c>
    </row>
    <row r="3631" spans="1:29" ht="20.25" customHeight="1">
      <c r="A3631" s="217"/>
      <c r="G3631" s="188"/>
      <c r="H3631" s="178"/>
      <c r="I3631" s="178"/>
      <c r="J3631" s="178"/>
      <c r="K3631" s="178"/>
      <c r="L3631" s="178"/>
      <c r="M3631" s="178"/>
      <c r="N3631" s="178"/>
      <c r="O3631" s="178"/>
      <c r="P3631" s="178"/>
      <c r="Q3631" s="178"/>
      <c r="R3631" s="178"/>
      <c r="S3631" s="178"/>
      <c r="T3631" s="180"/>
      <c r="U3631" s="189" t="str">
        <f>IFERROR(IF(Tableau3[[#This Row],[Dettes]]=0,"",(Tableau3[[#This Row],[Dettes]]/Tableau3[[#This Row],[EBE]])),"")</f>
        <v/>
      </c>
      <c r="V3631" s="190" t="str">
        <f>IFERROR(Tableau3[[#This Row],[Fonds propres]]/Tableau3[[#This Row],[Total Bilan]],"")</f>
        <v/>
      </c>
      <c r="W3631" s="180"/>
      <c r="Y3631" s="180"/>
      <c r="Z3631" s="192" t="str">
        <f>IFERROR(Tableau3[[#This Row],[Chiffre d''affaires]]/Tableau3[[#This Row],[Salariés]],"")</f>
        <v/>
      </c>
      <c r="AA3631" s="177"/>
      <c r="AC3631" s="177" t="s">
        <v>2537</v>
      </c>
    </row>
    <row r="3632" spans="1:29" ht="20.25" customHeight="1">
      <c r="A3632" s="217"/>
      <c r="G3632" s="188"/>
      <c r="H3632" s="178"/>
      <c r="I3632" s="178"/>
      <c r="J3632" s="178"/>
      <c r="K3632" s="178"/>
      <c r="L3632" s="178"/>
      <c r="M3632" s="178"/>
      <c r="N3632" s="178"/>
      <c r="O3632" s="178"/>
      <c r="P3632" s="178"/>
      <c r="Q3632" s="178"/>
      <c r="R3632" s="178"/>
      <c r="S3632" s="178"/>
      <c r="T3632" s="180"/>
      <c r="U3632" s="189" t="str">
        <f>IFERROR(IF(Tableau3[[#This Row],[Dettes]]=0,"",(Tableau3[[#This Row],[Dettes]]/Tableau3[[#This Row],[EBE]])),"")</f>
        <v/>
      </c>
      <c r="V3632" s="190" t="str">
        <f>IFERROR(Tableau3[[#This Row],[Fonds propres]]/Tableau3[[#This Row],[Total Bilan]],"")</f>
        <v/>
      </c>
      <c r="W3632" s="180"/>
      <c r="Y3632" s="180"/>
      <c r="Z3632" s="192" t="str">
        <f>IFERROR(Tableau3[[#This Row],[Chiffre d''affaires]]/Tableau3[[#This Row],[Salariés]],"")</f>
        <v/>
      </c>
      <c r="AA3632" s="177"/>
      <c r="AC3632" s="177" t="s">
        <v>2538</v>
      </c>
    </row>
    <row r="3633" spans="1:29" ht="20.25" customHeight="1">
      <c r="A3633" s="217"/>
      <c r="G3633" s="188"/>
      <c r="H3633" s="178"/>
      <c r="I3633" s="178"/>
      <c r="J3633" s="178"/>
      <c r="K3633" s="178"/>
      <c r="L3633" s="178"/>
      <c r="M3633" s="178"/>
      <c r="N3633" s="178"/>
      <c r="O3633" s="178"/>
      <c r="P3633" s="178"/>
      <c r="Q3633" s="178"/>
      <c r="R3633" s="178"/>
      <c r="S3633" s="178"/>
      <c r="T3633" s="180"/>
      <c r="U3633" s="189" t="str">
        <f>IFERROR(IF(Tableau3[[#This Row],[Dettes]]=0,"",(Tableau3[[#This Row],[Dettes]]/Tableau3[[#This Row],[EBE]])),"")</f>
        <v/>
      </c>
      <c r="V3633" s="190" t="str">
        <f>IFERROR(Tableau3[[#This Row],[Fonds propres]]/Tableau3[[#This Row],[Total Bilan]],"")</f>
        <v/>
      </c>
      <c r="W3633" s="180"/>
      <c r="Y3633" s="180"/>
      <c r="Z3633" s="192" t="str">
        <f>IFERROR(Tableau3[[#This Row],[Chiffre d''affaires]]/Tableau3[[#This Row],[Salariés]],"")</f>
        <v/>
      </c>
      <c r="AA3633" s="177"/>
      <c r="AC3633" s="177" t="s">
        <v>2539</v>
      </c>
    </row>
    <row r="3634" spans="1:29" ht="20.25" customHeight="1">
      <c r="A3634" s="217"/>
      <c r="G3634" s="188"/>
      <c r="H3634" s="178"/>
      <c r="I3634" s="178"/>
      <c r="J3634" s="178"/>
      <c r="K3634" s="178"/>
      <c r="L3634" s="178"/>
      <c r="M3634" s="178"/>
      <c r="N3634" s="178"/>
      <c r="O3634" s="178"/>
      <c r="P3634" s="178"/>
      <c r="Q3634" s="178"/>
      <c r="R3634" s="178"/>
      <c r="S3634" s="178"/>
      <c r="T3634" s="180"/>
      <c r="U3634" s="189" t="str">
        <f>IFERROR(IF(Tableau3[[#This Row],[Dettes]]=0,"",(Tableau3[[#This Row],[Dettes]]/Tableau3[[#This Row],[EBE]])),"")</f>
        <v/>
      </c>
      <c r="V3634" s="190" t="str">
        <f>IFERROR(Tableau3[[#This Row],[Fonds propres]]/Tableau3[[#This Row],[Total Bilan]],"")</f>
        <v/>
      </c>
      <c r="W3634" s="180"/>
      <c r="Y3634" s="180"/>
      <c r="Z3634" s="192" t="str">
        <f>IFERROR(Tableau3[[#This Row],[Chiffre d''affaires]]/Tableau3[[#This Row],[Salariés]],"")</f>
        <v/>
      </c>
      <c r="AA3634" s="177"/>
    </row>
    <row r="3635" spans="1:29" ht="20.25" customHeight="1">
      <c r="A3635" s="217"/>
      <c r="G3635" s="188"/>
      <c r="H3635" s="178"/>
      <c r="I3635" s="178"/>
      <c r="J3635" s="178"/>
      <c r="K3635" s="178"/>
      <c r="L3635" s="178"/>
      <c r="M3635" s="178"/>
      <c r="N3635" s="178"/>
      <c r="O3635" s="178"/>
      <c r="P3635" s="178"/>
      <c r="Q3635" s="178"/>
      <c r="R3635" s="178"/>
      <c r="S3635" s="178"/>
      <c r="T3635" s="180"/>
      <c r="U3635" s="189" t="str">
        <f>IFERROR(IF(Tableau3[[#This Row],[Dettes]]=0,"",(Tableau3[[#This Row],[Dettes]]/Tableau3[[#This Row],[EBE]])),"")</f>
        <v/>
      </c>
      <c r="V3635" s="190" t="str">
        <f>IFERROR(Tableau3[[#This Row],[Fonds propres]]/Tableau3[[#This Row],[Total Bilan]],"")</f>
        <v/>
      </c>
      <c r="W3635" s="180"/>
      <c r="Y3635" s="180"/>
      <c r="Z3635" s="192" t="str">
        <f>IFERROR(Tableau3[[#This Row],[Chiffre d''affaires]]/Tableau3[[#This Row],[Salariés]],"")</f>
        <v/>
      </c>
      <c r="AA3635" s="177"/>
    </row>
    <row r="3636" spans="1:29" ht="20.25" customHeight="1">
      <c r="A3636" s="217"/>
      <c r="G3636" s="188"/>
      <c r="H3636" s="178"/>
      <c r="I3636" s="178"/>
      <c r="J3636" s="178"/>
      <c r="K3636" s="178"/>
      <c r="L3636" s="178"/>
      <c r="M3636" s="178"/>
      <c r="N3636" s="178"/>
      <c r="O3636" s="178"/>
      <c r="P3636" s="178"/>
      <c r="Q3636" s="178"/>
      <c r="R3636" s="178"/>
      <c r="S3636" s="178"/>
      <c r="T3636" s="180"/>
      <c r="U3636" s="189" t="str">
        <f>IFERROR(IF(Tableau3[[#This Row],[Dettes]]=0,"",(Tableau3[[#This Row],[Dettes]]/Tableau3[[#This Row],[EBE]])),"")</f>
        <v/>
      </c>
      <c r="V3636" s="190" t="str">
        <f>IFERROR(Tableau3[[#This Row],[Fonds propres]]/Tableau3[[#This Row],[Total Bilan]],"")</f>
        <v/>
      </c>
      <c r="W3636" s="180"/>
      <c r="Y3636" s="180"/>
      <c r="Z3636" s="192" t="str">
        <f>IFERROR(Tableau3[[#This Row],[Chiffre d''affaires]]/Tableau3[[#This Row],[Salariés]],"")</f>
        <v/>
      </c>
      <c r="AA3636" s="177"/>
    </row>
    <row r="3637" spans="1:29" ht="20.25" customHeight="1">
      <c r="A3637" s="217" t="s">
        <v>2540</v>
      </c>
      <c r="B3637" s="216" t="s">
        <v>2517</v>
      </c>
      <c r="C3637" s="178" t="s">
        <v>84</v>
      </c>
      <c r="D3637" s="178" t="s">
        <v>85</v>
      </c>
      <c r="E3637" s="187">
        <v>7.13</v>
      </c>
      <c r="F3637" s="178">
        <v>2024</v>
      </c>
      <c r="G3637" s="188">
        <v>539000000</v>
      </c>
      <c r="H3637" s="188">
        <v>230000000</v>
      </c>
      <c r="I3637" s="188">
        <v>93000000</v>
      </c>
      <c r="J3637" s="188">
        <v>0</v>
      </c>
      <c r="K3637" s="188">
        <v>1852000000</v>
      </c>
      <c r="L3637" s="188">
        <v>1184000000</v>
      </c>
      <c r="M3637" s="194">
        <f>L3637/P3637</f>
        <v>9.0284541493006181</v>
      </c>
      <c r="N3637" s="190">
        <f>J3637/L3639</f>
        <v>0</v>
      </c>
      <c r="O3637" s="190">
        <f>(I3637*0.7)/(K3639+L3639)</f>
        <v>2.280335556105887E-2</v>
      </c>
      <c r="P3637" s="188">
        <v>131140944</v>
      </c>
      <c r="Q3637" s="188">
        <f>P3637*E3637</f>
        <v>935034930.72000003</v>
      </c>
      <c r="R3637" s="195">
        <f>Q3637/L3637</f>
        <v>0.78972544824324331</v>
      </c>
      <c r="S3637" s="197">
        <f>(Q3637+K3637)/H3637</f>
        <v>12.11754317704348</v>
      </c>
      <c r="T3637" s="180"/>
      <c r="U3637" s="189">
        <f>IFERROR(IF(Tableau3[[#This Row],[Dettes]]=0,"",(Tableau3[[#This Row],[Dettes]]/Tableau3[[#This Row],[EBE]])),"")</f>
        <v>8.0521739130434788</v>
      </c>
      <c r="V3637" s="190">
        <f>IFERROR(Tableau3[[#This Row],[Fonds propres]]/Tableau3[[#This Row],[Total Bilan]],"")</f>
        <v>0.30296827021494371</v>
      </c>
      <c r="W3637" s="180">
        <v>3908000000</v>
      </c>
      <c r="Y3637" s="180"/>
      <c r="Z3637" s="192"/>
      <c r="AB3637" s="178">
        <v>2.5</v>
      </c>
      <c r="AC3637" s="177" t="s">
        <v>2541</v>
      </c>
    </row>
    <row r="3638" spans="1:29" ht="20.25" customHeight="1">
      <c r="A3638" s="217"/>
      <c r="E3638" s="187"/>
      <c r="G3638" s="202">
        <f>(G3637/G3639)-1</f>
        <v>8.8495271406905385E-2</v>
      </c>
      <c r="H3638" s="202">
        <f>(H3637/H3639)-1</f>
        <v>-0.1512915129151291</v>
      </c>
      <c r="I3638" s="202">
        <f>(I3637/I3639)-1</f>
        <v>-0.22030232148695894</v>
      </c>
      <c r="J3638" s="202">
        <f>(J3637/J3639)-1</f>
        <v>-1</v>
      </c>
      <c r="K3638" s="178"/>
      <c r="L3638" s="178"/>
      <c r="M3638" s="178"/>
      <c r="N3638" s="178"/>
      <c r="O3638" s="178"/>
      <c r="P3638" s="178"/>
      <c r="Q3638" s="178"/>
      <c r="R3638" s="178"/>
      <c r="S3638" s="178"/>
      <c r="T3638" s="180"/>
      <c r="U3638" s="189"/>
      <c r="V3638" s="190"/>
      <c r="W3638" s="180"/>
      <c r="Y3638" s="180"/>
      <c r="Z3638" s="192"/>
      <c r="AC3638" s="177" t="s">
        <v>2542</v>
      </c>
    </row>
    <row r="3639" spans="1:29" ht="20.25" customHeight="1">
      <c r="A3639" s="217"/>
      <c r="E3639" s="187">
        <v>10.42</v>
      </c>
      <c r="F3639" s="178">
        <v>2023</v>
      </c>
      <c r="G3639" s="188">
        <v>495179000</v>
      </c>
      <c r="H3639" s="188">
        <v>271000000</v>
      </c>
      <c r="I3639" s="188">
        <v>119277000</v>
      </c>
      <c r="J3639" s="188">
        <v>29632000</v>
      </c>
      <c r="K3639" s="188">
        <v>1590000000</v>
      </c>
      <c r="L3639" s="188">
        <v>1264843000</v>
      </c>
      <c r="M3639" s="194">
        <f>L3639/P3639</f>
        <v>9.6318562846746083</v>
      </c>
      <c r="N3639" s="190">
        <f>J3639/L3641</f>
        <v>2.404390739460505E-2</v>
      </c>
      <c r="O3639" s="190">
        <f>(I3639*0.7)/(K3641+L3641)</f>
        <v>3.8629331196458609E-2</v>
      </c>
      <c r="P3639" s="188">
        <v>131318716</v>
      </c>
      <c r="Q3639" s="188">
        <f>P3639*E3639</f>
        <v>1368341020.72</v>
      </c>
      <c r="R3639" s="195">
        <f>Q3639/L3639</f>
        <v>1.0818267727457085</v>
      </c>
      <c r="S3639" s="197">
        <f>(Q3639+K3639)/H3639</f>
        <v>10.916387530332104</v>
      </c>
      <c r="T3639" s="180"/>
      <c r="U3639" s="189">
        <f>IFERROR(IF(Tableau3[[#This Row],[Dettes]]=0,"",(Tableau3[[#This Row],[Dettes]]/Tableau3[[#This Row],[EBE]])),"")</f>
        <v>5.8671586715867159</v>
      </c>
      <c r="V3639" s="190">
        <f>IFERROR(Tableau3[[#This Row],[Fonds propres]]/Tableau3[[#This Row],[Total Bilan]],"")</f>
        <v>0.33127376824196203</v>
      </c>
      <c r="W3639" s="180">
        <v>3818120000</v>
      </c>
      <c r="Y3639" s="180">
        <v>1880</v>
      </c>
      <c r="Z3639" s="192">
        <f>IFERROR(Tableau3[[#This Row],[Chiffre d''affaires]]/Tableau3[[#This Row],[Salariés]],"")</f>
        <v>263393.08510638296</v>
      </c>
      <c r="AC3639" s="177" t="s">
        <v>2543</v>
      </c>
    </row>
    <row r="3640" spans="1:29" ht="20.25" customHeight="1">
      <c r="A3640" s="217"/>
      <c r="G3640" s="202">
        <f>(G3639/G3641)-1</f>
        <v>6.2764119458722734E-2</v>
      </c>
      <c r="H3640" s="202">
        <f>(H3639/H3641)-1</f>
        <v>0.97810218978102181</v>
      </c>
      <c r="I3640" s="202">
        <f>(I3639/I3641)-1</f>
        <v>1.1429572403880703</v>
      </c>
      <c r="J3640" s="202">
        <f>(J3639/J3641)-1</f>
        <v>-5.1304711458042931</v>
      </c>
      <c r="K3640" s="178"/>
      <c r="L3640" s="178"/>
      <c r="M3640" s="178"/>
      <c r="N3640" s="178"/>
      <c r="O3640" s="178"/>
      <c r="P3640" s="178"/>
      <c r="Q3640" s="178"/>
      <c r="R3640" s="178"/>
      <c r="S3640" s="178"/>
      <c r="T3640" s="180"/>
      <c r="U3640" s="189"/>
      <c r="V3640" s="190"/>
      <c r="W3640" s="180"/>
      <c r="Y3640" s="180"/>
      <c r="Z3640" s="192"/>
      <c r="AC3640" s="177" t="s">
        <v>2544</v>
      </c>
    </row>
    <row r="3641" spans="1:29" ht="20.25" customHeight="1">
      <c r="A3641" s="217"/>
      <c r="E3641" s="187">
        <v>17.059999999999999</v>
      </c>
      <c r="F3641" s="178">
        <v>2022</v>
      </c>
      <c r="G3641" s="188">
        <v>465935000</v>
      </c>
      <c r="H3641" s="188">
        <v>137000000</v>
      </c>
      <c r="I3641" s="188">
        <v>55660000</v>
      </c>
      <c r="J3641" s="188">
        <v>-7174000</v>
      </c>
      <c r="K3641" s="188">
        <v>929000000</v>
      </c>
      <c r="L3641" s="188">
        <v>1232412000</v>
      </c>
      <c r="M3641" s="194">
        <f>L3641/P3641</f>
        <v>9.3976142187904337</v>
      </c>
      <c r="N3641" s="190">
        <f>J3641/L3643</f>
        <v>-1.0678837027907281E-2</v>
      </c>
      <c r="O3641" s="190">
        <f>(I3641*0.7)/(K3643+L3643)</f>
        <v>2.723807766088936E-2</v>
      </c>
      <c r="P3641" s="188">
        <v>131140944</v>
      </c>
      <c r="Q3641" s="188">
        <f>P3641*E3641</f>
        <v>2237264504.6399999</v>
      </c>
      <c r="R3641" s="195">
        <f>Q3641/L3641</f>
        <v>1.8153543657802746</v>
      </c>
      <c r="S3641" s="197">
        <f>(Q3641+K3641)/H3641</f>
        <v>23.111419741897809</v>
      </c>
      <c r="T3641" s="180"/>
      <c r="U3641" s="189">
        <f>IFERROR(IF(Tableau3[[#This Row],[Dettes]]=0,"",(Tableau3[[#This Row],[Dettes]]/Tableau3[[#This Row],[EBE]])),"")</f>
        <v>6.781021897810219</v>
      </c>
      <c r="V3641" s="190">
        <f>IFERROR(Tableau3[[#This Row],[Fonds propres]]/Tableau3[[#This Row],[Total Bilan]],"")</f>
        <v>0.40605946584787811</v>
      </c>
      <c r="W3641" s="180">
        <v>3035053000</v>
      </c>
      <c r="Y3641" s="180">
        <v>1552</v>
      </c>
      <c r="Z3641" s="192">
        <f>IFERROR(Tableau3[[#This Row],[Chiffre d''affaires]]/Tableau3[[#This Row],[Salariés]],"")</f>
        <v>300215.85051546391</v>
      </c>
      <c r="AA3641" s="177"/>
      <c r="AC3641" s="177" t="s">
        <v>2545</v>
      </c>
    </row>
    <row r="3642" spans="1:29" ht="20.25" customHeight="1">
      <c r="A3642" s="217"/>
      <c r="E3642" s="187"/>
      <c r="G3642" s="202">
        <f>(G3641/G3643)-1</f>
        <v>9.9951444104360299E-3</v>
      </c>
      <c r="H3642" s="202">
        <f>(H3641/H3643)-1</f>
        <v>-4.3387573856987771E-3</v>
      </c>
      <c r="I3642" s="202">
        <f>(I3641/I3643)-1</f>
        <v>-0.10054620083384502</v>
      </c>
      <c r="J3642" s="202">
        <f>(J3641/J3643)-1</f>
        <v>4.4225245653817078</v>
      </c>
      <c r="K3642" s="178"/>
      <c r="L3642" s="178"/>
      <c r="M3642" s="178"/>
      <c r="N3642" s="178"/>
      <c r="O3642" s="178"/>
      <c r="P3642" s="178"/>
      <c r="Q3642" s="178"/>
      <c r="R3642" s="178"/>
      <c r="S3642" s="178"/>
      <c r="T3642" s="180"/>
      <c r="U3642" s="189" t="str">
        <f>IFERROR(IF(Tableau3[[#This Row],[Dettes]]=0,"",(Tableau3[[#This Row],[Dettes]]/Tableau3[[#This Row],[EBE]])),"")</f>
        <v/>
      </c>
      <c r="V3642" s="190" t="str">
        <f>IFERROR(Tableau3[[#This Row],[Fonds propres]]/Tableau3[[#This Row],[Total Bilan]],"")</f>
        <v/>
      </c>
      <c r="W3642" s="180"/>
      <c r="Y3642" s="180"/>
      <c r="Z3642" s="192" t="str">
        <f>IFERROR(Tableau3[[#This Row],[Chiffre d''affaires]]/Tableau3[[#This Row],[Salariés]],"")</f>
        <v/>
      </c>
      <c r="AA3642" s="177"/>
      <c r="AC3642" s="177" t="s">
        <v>2546</v>
      </c>
    </row>
    <row r="3643" spans="1:29" ht="20.25" customHeight="1">
      <c r="A3643" s="217"/>
      <c r="E3643" s="187">
        <v>19.66</v>
      </c>
      <c r="F3643" s="178">
        <v>2021</v>
      </c>
      <c r="G3643" s="188">
        <v>461324000</v>
      </c>
      <c r="H3643" s="188">
        <v>137597000</v>
      </c>
      <c r="I3643" s="188">
        <v>61882000</v>
      </c>
      <c r="J3643" s="188">
        <v>-1323000</v>
      </c>
      <c r="K3643" s="188">
        <v>758628000</v>
      </c>
      <c r="L3643" s="188">
        <v>671796000</v>
      </c>
      <c r="M3643" s="194">
        <f>L3643/P3643</f>
        <v>7.0437155004771048</v>
      </c>
      <c r="N3643" s="190">
        <f>J3643/L3645</f>
        <v>-2.0659769666211206E-3</v>
      </c>
      <c r="O3643" s="190">
        <f>(I3643*0.7)/(K3645+L3645)</f>
        <v>3.4395950372208439E-2</v>
      </c>
      <c r="P3643" s="188">
        <v>95375232</v>
      </c>
      <c r="Q3643" s="188">
        <f>P3643*E3643</f>
        <v>1875077061.1200001</v>
      </c>
      <c r="R3643" s="195">
        <f>Q3643/L3643</f>
        <v>2.7911405562402876</v>
      </c>
      <c r="S3643" s="197">
        <f>(Q3643+K3643)/H3643</f>
        <v>19.140715721418346</v>
      </c>
      <c r="T3643" s="180"/>
      <c r="U3643" s="189">
        <f>IFERROR(IF(Tableau3[[#This Row],[Dettes]]=0,"",(Tableau3[[#This Row],[Dettes]]/Tableau3[[#This Row],[EBE]])),"")</f>
        <v>5.5134050887737374</v>
      </c>
      <c r="V3643" s="190" t="str">
        <f>IFERROR(Tableau3[[#This Row],[Fonds propres]]/Tableau3[[#This Row],[Total Bilan]],"")</f>
        <v/>
      </c>
      <c r="W3643" s="180"/>
      <c r="Y3643" s="180">
        <v>1300</v>
      </c>
      <c r="Z3643" s="192">
        <f>IFERROR(Tableau3[[#This Row],[Chiffre d''affaires]]/Tableau3[[#This Row],[Salariés]],"")</f>
        <v>354864.61538461538</v>
      </c>
      <c r="AA3643" s="177"/>
      <c r="AC3643" s="177" t="s">
        <v>2547</v>
      </c>
    </row>
    <row r="3644" spans="1:29" ht="20.25" customHeight="1">
      <c r="A3644" s="217"/>
      <c r="E3644" s="187"/>
      <c r="G3644" s="202">
        <f>(G3643/G3645)-1</f>
        <v>0.97605554770257474</v>
      </c>
      <c r="H3644" s="202">
        <f>(H3643/H3645)-1</f>
        <v>0.41177255191660511</v>
      </c>
      <c r="I3644" s="202">
        <f>(I3643/I3645)-1</f>
        <v>0.41457504686142732</v>
      </c>
      <c r="J3644" s="202">
        <f>(J3643/J3645)-1</f>
        <v>-1.1669611307420495</v>
      </c>
      <c r="K3644" s="178"/>
      <c r="L3644" s="178"/>
      <c r="M3644" s="178"/>
      <c r="N3644" s="178"/>
      <c r="O3644" s="178"/>
      <c r="P3644" s="188"/>
      <c r="Q3644" s="178"/>
      <c r="R3644" s="178"/>
      <c r="S3644" s="178"/>
      <c r="T3644" s="180"/>
      <c r="U3644" s="189" t="str">
        <f>IFERROR(IF(Tableau3[[#This Row],[Dettes]]=0,"",(Tableau3[[#This Row],[Dettes]]/Tableau3[[#This Row],[EBE]])),"")</f>
        <v/>
      </c>
      <c r="V3644" s="190" t="str">
        <f>IFERROR(Tableau3[[#This Row],[Fonds propres]]/Tableau3[[#This Row],[Total Bilan]],"")</f>
        <v/>
      </c>
      <c r="W3644" s="180"/>
      <c r="Y3644" s="180"/>
      <c r="Z3644" s="192" t="str">
        <f>IFERROR(Tableau3[[#This Row],[Chiffre d''affaires]]/Tableau3[[#This Row],[Salariés]],"")</f>
        <v/>
      </c>
      <c r="AA3644" s="177"/>
      <c r="AC3644" s="177" t="s">
        <v>2548</v>
      </c>
    </row>
    <row r="3645" spans="1:29" ht="20.25" customHeight="1">
      <c r="A3645" s="217"/>
      <c r="E3645" s="187">
        <v>25.85</v>
      </c>
      <c r="F3645" s="178">
        <v>2020</v>
      </c>
      <c r="G3645" s="188">
        <v>233457000</v>
      </c>
      <c r="H3645" s="188">
        <v>97464000</v>
      </c>
      <c r="I3645" s="188">
        <v>43746000</v>
      </c>
      <c r="J3645" s="188">
        <v>7924000</v>
      </c>
      <c r="K3645" s="188">
        <v>619000000</v>
      </c>
      <c r="L3645" s="188">
        <v>640375000</v>
      </c>
      <c r="M3645" s="194">
        <f>L3645/P3645</f>
        <v>6.7162671803504139</v>
      </c>
      <c r="N3645" s="190">
        <f>J3645/L3647</f>
        <v>1.1177928528403986E-2</v>
      </c>
      <c r="O3645" s="190">
        <f>(I3645*0.7)/(K3647+L3647)</f>
        <v>2.7968110242333293E-2</v>
      </c>
      <c r="P3645" s="188">
        <v>95346862</v>
      </c>
      <c r="Q3645" s="188">
        <f>P3645*E3645</f>
        <v>2464716382.7000003</v>
      </c>
      <c r="R3645" s="195">
        <f>Q3645/L3645</f>
        <v>3.848864154128441</v>
      </c>
      <c r="S3645" s="197">
        <f>(Q3645+K3645)/H3645</f>
        <v>31.63954262804728</v>
      </c>
      <c r="T3645" s="180"/>
      <c r="U3645" s="189">
        <f>IFERROR(IF(Tableau3[[#This Row],[Dettes]]=0,"",(Tableau3[[#This Row],[Dettes]]/Tableau3[[#This Row],[EBE]])),"")</f>
        <v>6.351062956578839</v>
      </c>
      <c r="V3645" s="190" t="str">
        <f>IFERROR(Tableau3[[#This Row],[Fonds propres]]/Tableau3[[#This Row],[Total Bilan]],"")</f>
        <v/>
      </c>
      <c r="W3645" s="180"/>
      <c r="Y3645" s="180"/>
      <c r="Z3645" s="192" t="str">
        <f>IFERROR(Tableau3[[#This Row],[Chiffre d''affaires]]/Tableau3[[#This Row],[Salariés]],"")</f>
        <v/>
      </c>
      <c r="AA3645" s="177"/>
      <c r="AC3645" s="177" t="s">
        <v>2549</v>
      </c>
    </row>
    <row r="3646" spans="1:29" ht="20.25" customHeight="1">
      <c r="A3646" s="217"/>
      <c r="E3646" s="187"/>
      <c r="G3646" s="202">
        <f>(G3645/G3647)-1</f>
        <v>0.33046674645238494</v>
      </c>
      <c r="H3646" s="202">
        <f>(H3645/H3647)-1</f>
        <v>0.4973268604436798</v>
      </c>
      <c r="I3646" s="202">
        <f>(I3645/I3647)-1</f>
        <v>0.2275444060947891</v>
      </c>
      <c r="J3646" s="202">
        <f>(J3645/J3647)-1</f>
        <v>0.71255673222390326</v>
      </c>
      <c r="K3646" s="178"/>
      <c r="L3646" s="188"/>
      <c r="M3646" s="178"/>
      <c r="N3646" s="178"/>
      <c r="O3646" s="178"/>
      <c r="P3646" s="188"/>
      <c r="Q3646" s="178"/>
      <c r="R3646" s="178"/>
      <c r="S3646" s="178"/>
      <c r="T3646" s="180"/>
      <c r="U3646" s="189" t="str">
        <f>IFERROR(IF(Tableau3[[#This Row],[Dettes]]=0,"",(Tableau3[[#This Row],[Dettes]]/Tableau3[[#This Row],[EBE]])),"")</f>
        <v/>
      </c>
      <c r="V3646" s="190" t="str">
        <f>IFERROR(Tableau3[[#This Row],[Fonds propres]]/Tableau3[[#This Row],[Total Bilan]],"")</f>
        <v/>
      </c>
      <c r="W3646" s="180"/>
      <c r="Y3646" s="180"/>
      <c r="Z3646" s="192" t="str">
        <f>IFERROR(Tableau3[[#This Row],[Chiffre d''affaires]]/Tableau3[[#This Row],[Salariés]],"")</f>
        <v/>
      </c>
      <c r="AA3646" s="177"/>
      <c r="AC3646" s="177" t="s">
        <v>2550</v>
      </c>
    </row>
    <row r="3647" spans="1:29" ht="20.25" customHeight="1">
      <c r="A3647" s="217"/>
      <c r="E3647" s="187">
        <v>13.05</v>
      </c>
      <c r="F3647" s="178">
        <v>2019</v>
      </c>
      <c r="G3647" s="188">
        <v>175470000</v>
      </c>
      <c r="H3647" s="188">
        <v>65092000</v>
      </c>
      <c r="I3647" s="188">
        <v>35637000</v>
      </c>
      <c r="J3647" s="188">
        <v>4627000</v>
      </c>
      <c r="K3647" s="188">
        <v>386000000</v>
      </c>
      <c r="L3647" s="188">
        <v>708897000</v>
      </c>
      <c r="M3647" s="194">
        <f>L3647/P3647</f>
        <v>7.440318662356658</v>
      </c>
      <c r="N3647" s="190">
        <f>J3647/L3649</f>
        <v>1.4567538976903509E-2</v>
      </c>
      <c r="O3647" s="190">
        <f>(I3647*0.7)/(K3649+L3649)</f>
        <v>3.4907727700161206E-2</v>
      </c>
      <c r="P3647" s="188">
        <v>95277774</v>
      </c>
      <c r="Q3647" s="188">
        <f>P3647*E3647</f>
        <v>1243374950.7</v>
      </c>
      <c r="R3647" s="195">
        <f>Q3647/L3647</f>
        <v>1.7539571343932898</v>
      </c>
      <c r="S3647" s="197">
        <f>(Q3647+K3647)/H3647</f>
        <v>25.03187719996313</v>
      </c>
      <c r="T3647" s="180"/>
      <c r="U3647" s="189">
        <f>IFERROR(IF(Tableau3[[#This Row],[Dettes]]=0,"",(Tableau3[[#This Row],[Dettes]]/Tableau3[[#This Row],[EBE]])),"")</f>
        <v>5.9300682111472991</v>
      </c>
      <c r="V3647" s="190" t="str">
        <f>IFERROR(Tableau3[[#This Row],[Fonds propres]]/Tableau3[[#This Row],[Total Bilan]],"")</f>
        <v/>
      </c>
      <c r="W3647" s="180"/>
      <c r="Y3647" s="180"/>
      <c r="Z3647" s="192" t="str">
        <f>IFERROR(Tableau3[[#This Row],[Chiffre d''affaires]]/Tableau3[[#This Row],[Salariés]],"")</f>
        <v/>
      </c>
      <c r="AA3647" s="177"/>
      <c r="AC3647" s="177" t="s">
        <v>876</v>
      </c>
    </row>
    <row r="3648" spans="1:29" ht="20.25" customHeight="1">
      <c r="A3648" s="217"/>
      <c r="E3648" s="187"/>
      <c r="G3648" s="202">
        <f>(G3647/G3649)-1</f>
        <v>-2.8727997343075407E-2</v>
      </c>
      <c r="H3648" s="202">
        <f>(H3647/H3649)-1</f>
        <v>-0.14587515910194337</v>
      </c>
      <c r="I3648" s="202">
        <f>(I3647/I3649)-1</f>
        <v>-0.24552229326332731</v>
      </c>
      <c r="J3648" s="202">
        <f>(J3647/J3649)-1</f>
        <v>-0.45724340175953082</v>
      </c>
      <c r="K3648" s="188"/>
      <c r="L3648" s="188"/>
      <c r="M3648" s="178"/>
      <c r="N3648" s="178"/>
      <c r="O3648" s="178"/>
      <c r="P3648" s="188"/>
      <c r="Q3648" s="178"/>
      <c r="R3648" s="178"/>
      <c r="S3648" s="178"/>
      <c r="T3648" s="180"/>
      <c r="U3648" s="189" t="str">
        <f>IFERROR(IF(Tableau3[[#This Row],[Dettes]]=0,"",(Tableau3[[#This Row],[Dettes]]/Tableau3[[#This Row],[EBE]])),"")</f>
        <v/>
      </c>
      <c r="V3648" s="190" t="str">
        <f>IFERROR(Tableau3[[#This Row],[Fonds propres]]/Tableau3[[#This Row],[Total Bilan]],"")</f>
        <v/>
      </c>
      <c r="W3648" s="180"/>
      <c r="Y3648" s="180"/>
      <c r="Z3648" s="192" t="str">
        <f>IFERROR(Tableau3[[#This Row],[Chiffre d''affaires]]/Tableau3[[#This Row],[Salariés]],"")</f>
        <v/>
      </c>
      <c r="AA3648" s="177"/>
      <c r="AC3648" s="177" t="s">
        <v>2551</v>
      </c>
    </row>
    <row r="3649" spans="1:29" ht="20.25" customHeight="1">
      <c r="A3649" s="217"/>
      <c r="E3649" s="187">
        <v>7.99</v>
      </c>
      <c r="F3649" s="178">
        <v>2018</v>
      </c>
      <c r="G3649" s="188">
        <v>180660000</v>
      </c>
      <c r="H3649" s="188">
        <v>76209000</v>
      </c>
      <c r="I3649" s="188">
        <v>47234000</v>
      </c>
      <c r="J3649" s="188">
        <v>8525000</v>
      </c>
      <c r="K3649" s="188">
        <v>397000000</v>
      </c>
      <c r="L3649" s="188">
        <v>317624000</v>
      </c>
      <c r="M3649" s="194"/>
      <c r="N3649" s="190">
        <f>J3649/L3649</f>
        <v>2.6839911341712212E-2</v>
      </c>
      <c r="O3649" s="190">
        <f>(I3649*0.7)/(K3649+L3649)</f>
        <v>4.6267407755686898E-2</v>
      </c>
      <c r="P3649" s="188"/>
      <c r="Q3649" s="178"/>
      <c r="R3649" s="178"/>
      <c r="S3649" s="178"/>
      <c r="T3649" s="180"/>
      <c r="U3649" s="189">
        <f>IFERROR(IF(Tableau3[[#This Row],[Dettes]]=0,"",(Tableau3[[#This Row],[Dettes]]/Tableau3[[#This Row],[EBE]])),"")</f>
        <v>5.2093584747208332</v>
      </c>
      <c r="V3649" s="190" t="str">
        <f>IFERROR(Tableau3[[#This Row],[Fonds propres]]/Tableau3[[#This Row],[Total Bilan]],"")</f>
        <v/>
      </c>
      <c r="W3649" s="180"/>
      <c r="Y3649" s="180"/>
      <c r="Z3649" s="192" t="str">
        <f>IFERROR(Tableau3[[#This Row],[Chiffre d''affaires]]/Tableau3[[#This Row],[Salariés]],"")</f>
        <v/>
      </c>
      <c r="AA3649" s="177"/>
      <c r="AC3649" s="177" t="s">
        <v>2552</v>
      </c>
    </row>
    <row r="3650" spans="1:29" ht="20.25" customHeight="1">
      <c r="A3650" s="217"/>
      <c r="G3650" s="188"/>
      <c r="H3650" s="178"/>
      <c r="I3650" s="178"/>
      <c r="J3650" s="178"/>
      <c r="K3650" s="178"/>
      <c r="L3650" s="188"/>
      <c r="M3650" s="178"/>
      <c r="N3650" s="178"/>
      <c r="O3650" s="178"/>
      <c r="P3650" s="178"/>
      <c r="Q3650" s="178"/>
      <c r="R3650" s="178"/>
      <c r="S3650" s="178"/>
      <c r="T3650" s="180"/>
      <c r="U3650" s="189" t="str">
        <f>IFERROR(IF(Tableau3[[#This Row],[Dettes]]=0,"",(Tableau3[[#This Row],[Dettes]]/Tableau3[[#This Row],[EBE]])),"")</f>
        <v/>
      </c>
      <c r="V3650" s="190" t="str">
        <f>IFERROR(Tableau3[[#This Row],[Fonds propres]]/Tableau3[[#This Row],[Total Bilan]],"")</f>
        <v/>
      </c>
      <c r="W3650" s="180"/>
      <c r="Y3650" s="180"/>
      <c r="Z3650" s="192" t="str">
        <f>IFERROR(Tableau3[[#This Row],[Chiffre d''affaires]]/Tableau3[[#This Row],[Salariés]],"")</f>
        <v/>
      </c>
      <c r="AA3650" s="177"/>
    </row>
    <row r="3651" spans="1:29" ht="20.25" customHeight="1">
      <c r="A3651" s="217"/>
      <c r="F3651" s="217" t="s">
        <v>2553</v>
      </c>
      <c r="G3651" s="188"/>
      <c r="H3651" s="178"/>
      <c r="I3651" s="178"/>
      <c r="J3651" s="178"/>
      <c r="K3651" s="178"/>
      <c r="L3651" s="188"/>
      <c r="M3651" s="178"/>
      <c r="N3651" s="178"/>
      <c r="O3651" s="178"/>
      <c r="P3651" s="178"/>
      <c r="Q3651" s="178"/>
      <c r="R3651" s="178"/>
      <c r="S3651" s="178"/>
      <c r="T3651" s="180"/>
      <c r="U3651" s="189" t="str">
        <f>IFERROR(IF(Tableau3[[#This Row],[Dettes]]=0,"",(Tableau3[[#This Row],[Dettes]]/Tableau3[[#This Row],[EBE]])),"")</f>
        <v/>
      </c>
      <c r="V3651" s="190" t="str">
        <f>IFERROR(Tableau3[[#This Row],[Fonds propres]]/Tableau3[[#This Row],[Total Bilan]],"")</f>
        <v/>
      </c>
      <c r="W3651" s="180"/>
      <c r="Y3651" s="180"/>
      <c r="Z3651" s="192" t="str">
        <f>IFERROR(Tableau3[[#This Row],[Chiffre d''affaires]]/Tableau3[[#This Row],[Salariés]],"")</f>
        <v/>
      </c>
      <c r="AA3651" s="177"/>
    </row>
    <row r="3652" spans="1:29" ht="20.25" customHeight="1">
      <c r="A3652" s="217"/>
      <c r="G3652" s="188"/>
      <c r="H3652" s="178"/>
      <c r="I3652" s="178"/>
      <c r="J3652" s="178"/>
      <c r="K3652" s="178"/>
      <c r="L3652" s="178"/>
      <c r="M3652" s="178"/>
      <c r="N3652" s="178"/>
      <c r="O3652" s="178"/>
      <c r="P3652" s="178"/>
      <c r="Q3652" s="178"/>
      <c r="R3652" s="178"/>
      <c r="S3652" s="178"/>
      <c r="T3652" s="180"/>
      <c r="U3652" s="189" t="str">
        <f>IFERROR(IF(Tableau3[[#This Row],[Dettes]]=0,"",(Tableau3[[#This Row],[Dettes]]/Tableau3[[#This Row],[EBE]])),"")</f>
        <v/>
      </c>
      <c r="V3652" s="190" t="str">
        <f>IFERROR(Tableau3[[#This Row],[Fonds propres]]/Tableau3[[#This Row],[Total Bilan]],"")</f>
        <v/>
      </c>
      <c r="W3652" s="180"/>
      <c r="Y3652" s="180"/>
      <c r="Z3652" s="192" t="str">
        <f>IFERROR(Tableau3[[#This Row],[Chiffre d''affaires]]/Tableau3[[#This Row],[Salariés]],"")</f>
        <v/>
      </c>
      <c r="AA3652" s="177"/>
    </row>
    <row r="3653" spans="1:29" ht="20.25" customHeight="1">
      <c r="A3653" s="217"/>
      <c r="G3653" s="188"/>
      <c r="H3653" s="178"/>
      <c r="I3653" s="178"/>
      <c r="J3653" s="178"/>
      <c r="K3653" s="178"/>
      <c r="L3653" s="178"/>
      <c r="M3653" s="178"/>
      <c r="N3653" s="178"/>
      <c r="O3653" s="178"/>
      <c r="P3653" s="178"/>
      <c r="Q3653" s="178"/>
      <c r="R3653" s="178"/>
      <c r="S3653" s="178"/>
      <c r="T3653" s="180"/>
      <c r="U3653" s="189" t="str">
        <f>IFERROR(IF(Tableau3[[#This Row],[Dettes]]=0,"",(Tableau3[[#This Row],[Dettes]]/Tableau3[[#This Row],[EBE]])),"")</f>
        <v/>
      </c>
      <c r="V3653" s="190" t="str">
        <f>IFERROR(Tableau3[[#This Row],[Fonds propres]]/Tableau3[[#This Row],[Total Bilan]],"")</f>
        <v/>
      </c>
      <c r="W3653" s="180"/>
      <c r="Y3653" s="180"/>
      <c r="Z3653" s="192" t="str">
        <f>IFERROR(Tableau3[[#This Row],[Chiffre d''affaires]]/Tableau3[[#This Row],[Salariés]],"")</f>
        <v/>
      </c>
      <c r="AA3653" s="177"/>
      <c r="AC3653" s="199"/>
    </row>
    <row r="3654" spans="1:29" ht="20.25" customHeight="1">
      <c r="A3654" s="217"/>
      <c r="G3654" s="188"/>
      <c r="H3654" s="178"/>
      <c r="I3654" s="178"/>
      <c r="J3654" s="178"/>
      <c r="K3654" s="178"/>
      <c r="L3654" s="178"/>
      <c r="M3654" s="178"/>
      <c r="N3654" s="178"/>
      <c r="O3654" s="178"/>
      <c r="P3654" s="178"/>
      <c r="Q3654" s="178"/>
      <c r="R3654" s="178"/>
      <c r="S3654" s="178"/>
      <c r="T3654" s="180"/>
      <c r="U3654" s="189" t="str">
        <f>IFERROR(IF(Tableau3[[#This Row],[Dettes]]=0,"",(Tableau3[[#This Row],[Dettes]]/Tableau3[[#This Row],[EBE]])),"")</f>
        <v/>
      </c>
      <c r="V3654" s="190" t="str">
        <f>IFERROR(Tableau3[[#This Row],[Fonds propres]]/Tableau3[[#This Row],[Total Bilan]],"")</f>
        <v/>
      </c>
      <c r="W3654" s="180"/>
      <c r="Y3654" s="180"/>
      <c r="Z3654" s="192" t="str">
        <f>IFERROR(Tableau3[[#This Row],[Chiffre d''affaires]]/Tableau3[[#This Row],[Salariés]],"")</f>
        <v/>
      </c>
      <c r="AA3654" s="178" t="s">
        <v>540</v>
      </c>
      <c r="AB3654" s="178" t="s">
        <v>2554</v>
      </c>
    </row>
    <row r="3655" spans="1:29" ht="20.25" customHeight="1">
      <c r="A3655" s="217" t="s">
        <v>2555</v>
      </c>
      <c r="B3655" s="216" t="s">
        <v>2083</v>
      </c>
      <c r="C3655" s="178" t="s">
        <v>84</v>
      </c>
      <c r="D3655" s="178" t="s">
        <v>85</v>
      </c>
      <c r="F3655" s="178">
        <v>2025</v>
      </c>
      <c r="G3655" s="188"/>
      <c r="H3655" s="178"/>
      <c r="I3655" s="178"/>
      <c r="J3655" s="178"/>
      <c r="K3655" s="178"/>
      <c r="L3655" s="178"/>
      <c r="M3655" s="178"/>
      <c r="N3655" s="178"/>
      <c r="O3655" s="178"/>
      <c r="P3655" s="178"/>
      <c r="Q3655" s="178"/>
      <c r="R3655" s="178"/>
      <c r="S3655" s="178"/>
      <c r="T3655" s="180"/>
      <c r="U3655" s="189" t="str">
        <f>IFERROR(IF(Tableau3[[#This Row],[Dettes]]=0,"",(Tableau3[[#This Row],[Dettes]]/Tableau3[[#This Row],[EBE]])),"")</f>
        <v/>
      </c>
      <c r="V3655" s="190">
        <f>IFERROR(Tableau3[[#This Row],[Fonds propres]]/Tableau3[[#This Row],[Total Bilan]],"")</f>
        <v>0</v>
      </c>
      <c r="W3655" s="180">
        <v>3310000000</v>
      </c>
      <c r="Y3655" s="180"/>
      <c r="Z3655" s="192" t="str">
        <f>IFERROR(Tableau3[[#This Row],[Chiffre d''affaires]]/Tableau3[[#This Row],[Salariés]],"")</f>
        <v/>
      </c>
      <c r="AA3655" s="178" t="s">
        <v>168</v>
      </c>
      <c r="AC3655" s="177" t="s">
        <v>2556</v>
      </c>
    </row>
    <row r="3656" spans="1:29" ht="20.25" customHeight="1">
      <c r="A3656" s="217"/>
      <c r="G3656" s="188"/>
      <c r="H3656" s="178"/>
      <c r="I3656" s="178"/>
      <c r="J3656" s="178"/>
      <c r="K3656" s="178"/>
      <c r="L3656" s="178"/>
      <c r="M3656" s="178"/>
      <c r="N3656" s="178"/>
      <c r="O3656" s="178"/>
      <c r="P3656" s="178"/>
      <c r="Q3656" s="178"/>
      <c r="R3656" s="178"/>
      <c r="S3656" s="178"/>
      <c r="T3656" s="180"/>
      <c r="U3656" s="189" t="str">
        <f>IFERROR(IF(Tableau3[[#This Row],[Dettes]]=0,"",(Tableau3[[#This Row],[Dettes]]/Tableau3[[#This Row],[EBE]])),"")</f>
        <v/>
      </c>
      <c r="V3656" s="190" t="str">
        <f>IFERROR(Tableau3[[#This Row],[Fonds propres]]/Tableau3[[#This Row],[Total Bilan]],"")</f>
        <v/>
      </c>
      <c r="W3656" s="180"/>
      <c r="Y3656" s="180"/>
      <c r="Z3656" s="192" t="str">
        <f>IFERROR(Tableau3[[#This Row],[Chiffre d''affaires]]/Tableau3[[#This Row],[Salariés]],"")</f>
        <v/>
      </c>
      <c r="AA3656" s="178" t="s">
        <v>107</v>
      </c>
      <c r="AC3656" s="177" t="s">
        <v>2558</v>
      </c>
    </row>
    <row r="3657" spans="1:29" ht="20.25" customHeight="1">
      <c r="A3657" s="217"/>
      <c r="E3657" s="187">
        <v>13</v>
      </c>
      <c r="F3657" s="178">
        <v>2024</v>
      </c>
      <c r="G3657" s="188">
        <v>3535000000</v>
      </c>
      <c r="H3657" s="188">
        <v>89000000</v>
      </c>
      <c r="I3657" s="188">
        <v>-4000000</v>
      </c>
      <c r="J3657" s="188">
        <v>-62000000</v>
      </c>
      <c r="K3657" s="188">
        <v>1360000000</v>
      </c>
      <c r="L3657" s="188">
        <v>1811000000</v>
      </c>
      <c r="M3657" s="194">
        <f>L3657/P3657</f>
        <v>32.264544896034053</v>
      </c>
      <c r="N3657" s="190">
        <f>J3657/L3657</f>
        <v>-3.4235229155162895E-2</v>
      </c>
      <c r="O3657" s="190">
        <f>(I3657*0.7)/(K3657+L3657)</f>
        <v>-8.8300220750551876E-4</v>
      </c>
      <c r="P3657" s="188">
        <v>56129724</v>
      </c>
      <c r="Q3657" s="188">
        <f>P3657*E3657</f>
        <v>729686412</v>
      </c>
      <c r="R3657" s="195">
        <f>Q3657/L3657</f>
        <v>0.4029190568746549</v>
      </c>
      <c r="S3657" s="197">
        <f>(Q3657+K3657)/H3657</f>
        <v>23.479622606741572</v>
      </c>
      <c r="T3657" s="180">
        <v>7900000</v>
      </c>
      <c r="U3657" s="189">
        <f>IFERROR(IF(Tableau3[[#This Row],[Dettes]]=0,"",(Tableau3[[#This Row],[Dettes]]/Tableau3[[#This Row],[EBE]])),"")</f>
        <v>15.280898876404494</v>
      </c>
      <c r="V3657" s="190">
        <f>IFERROR(Tableau3[[#This Row],[Fonds propres]]/Tableau3[[#This Row],[Total Bilan]],"")</f>
        <v>0.5266218849050569</v>
      </c>
      <c r="W3657" s="180">
        <v>3438900000</v>
      </c>
      <c r="Y3657" s="180">
        <v>4619</v>
      </c>
      <c r="Z3657" s="192">
        <f>IFERROR(Tableau3[[#This Row],[Chiffre d''affaires]]/Tableau3[[#This Row],[Salariés]],"")</f>
        <v>765317.16821822908</v>
      </c>
      <c r="AA3657" s="178"/>
      <c r="AC3657" s="177" t="s">
        <v>2559</v>
      </c>
    </row>
    <row r="3658" spans="1:29" ht="20.25" customHeight="1">
      <c r="A3658" s="217"/>
      <c r="G3658" s="202">
        <f>(G3657/G3659)-1</f>
        <v>-0.10829397592671208</v>
      </c>
      <c r="H3658" s="202">
        <f>(H3657/H3659)-1</f>
        <v>-0.78398058252427183</v>
      </c>
      <c r="I3658" s="202">
        <f>(I3657/I3659)-1</f>
        <v>-1.0168997422789303</v>
      </c>
      <c r="J3658" s="202">
        <f>(J3657/J3659)-1</f>
        <v>-4.2281578673331257</v>
      </c>
      <c r="K3658" s="178"/>
      <c r="L3658" s="178"/>
      <c r="M3658" s="178"/>
      <c r="N3658" s="178"/>
      <c r="O3658" s="178"/>
      <c r="P3658" s="178"/>
      <c r="Q3658" s="178"/>
      <c r="R3658" s="178"/>
      <c r="S3658" s="178"/>
      <c r="T3658" s="180"/>
      <c r="U3658" s="189" t="str">
        <f>IFERROR(IF(Tableau3[[#This Row],[Dettes]]=0,"",(Tableau3[[#This Row],[Dettes]]/Tableau3[[#This Row],[EBE]])),"")</f>
        <v/>
      </c>
      <c r="V3658" s="190" t="str">
        <f>IFERROR(Tableau3[[#This Row],[Fonds propres]]/Tableau3[[#This Row],[Total Bilan]],"")</f>
        <v/>
      </c>
      <c r="W3658" s="180"/>
      <c r="Y3658" s="180"/>
      <c r="Z3658" s="192" t="str">
        <f>IFERROR(Tableau3[[#This Row],[Chiffre d''affaires]]/Tableau3[[#This Row],[Salariés]],"")</f>
        <v/>
      </c>
      <c r="AA3658" s="178"/>
      <c r="AC3658" s="177" t="s">
        <v>2560</v>
      </c>
    </row>
    <row r="3659" spans="1:29" ht="20.25" customHeight="1">
      <c r="A3659" s="217"/>
      <c r="E3659" s="187">
        <v>16.850000000000001</v>
      </c>
      <c r="F3659" s="178">
        <v>2023</v>
      </c>
      <c r="G3659" s="188">
        <v>3964311000</v>
      </c>
      <c r="H3659" s="188">
        <v>412000000</v>
      </c>
      <c r="I3659" s="188">
        <v>236690000</v>
      </c>
      <c r="J3659" s="188">
        <v>19206000</v>
      </c>
      <c r="K3659" s="188">
        <v>1620000000</v>
      </c>
      <c r="L3659" s="188">
        <v>1877466000</v>
      </c>
      <c r="M3659" s="194">
        <f>L3659/P3659</f>
        <v>33.448694670224995</v>
      </c>
      <c r="N3659" s="190">
        <f>J3659/L3659</f>
        <v>1.0229745838273503E-2</v>
      </c>
      <c r="O3659" s="190">
        <f>(I3659*0.7)/(K3659+L3659)</f>
        <v>4.7372297543421441E-2</v>
      </c>
      <c r="P3659" s="188">
        <v>56129724</v>
      </c>
      <c r="Q3659" s="188">
        <f>P3659*E3659</f>
        <v>945785849.4000001</v>
      </c>
      <c r="R3659" s="195">
        <f>Q3659/L3659</f>
        <v>0.50375657902726334</v>
      </c>
      <c r="S3659" s="197">
        <f>(Q3659+K3659)/H3659</f>
        <v>6.227635556796117</v>
      </c>
      <c r="T3659" s="180">
        <v>36600000</v>
      </c>
      <c r="U3659" s="189">
        <f>IFERROR(IF(Tableau3[[#This Row],[Dettes]]=0,"",(Tableau3[[#This Row],[Dettes]]/Tableau3[[#This Row],[EBE]])),"")</f>
        <v>3.9320388349514563</v>
      </c>
      <c r="V3659" s="190">
        <f>IFERROR(Tableau3[[#This Row],[Fonds propres]]/Tableau3[[#This Row],[Total Bilan]],"")</f>
        <v>0.2209674158078303</v>
      </c>
      <c r="W3659" s="180">
        <v>8496574000</v>
      </c>
      <c r="Y3659" s="180">
        <v>8185</v>
      </c>
      <c r="Z3659" s="192">
        <f>IFERROR(Tableau3[[#This Row],[Chiffre d''affaires]]/Tableau3[[#This Row],[Salariés]],"")</f>
        <v>484338.54612095299</v>
      </c>
      <c r="AA3659" s="177"/>
      <c r="AC3659" s="177" t="s">
        <v>2561</v>
      </c>
    </row>
    <row r="3660" spans="1:29" ht="20.25" customHeight="1">
      <c r="A3660" s="217"/>
      <c r="G3660" s="202">
        <f>(G3659/G3661)-1</f>
        <v>-0.1572468112244898</v>
      </c>
      <c r="H3660" s="202">
        <f>(H3659/H3661)-1</f>
        <v>-0.20769230769230773</v>
      </c>
      <c r="I3660" s="202">
        <f>(I3659/I3661)-1</f>
        <v>-0.34414918673279948</v>
      </c>
      <c r="J3660" s="202">
        <f>(J3659/J3661)-1</f>
        <v>-0.8978404255319149</v>
      </c>
      <c r="K3660" s="178"/>
      <c r="L3660" s="178"/>
      <c r="M3660" s="178"/>
      <c r="N3660" s="178"/>
      <c r="O3660" s="178"/>
      <c r="P3660" s="178"/>
      <c r="Q3660" s="178"/>
      <c r="R3660" s="178"/>
      <c r="S3660" s="178"/>
      <c r="T3660" s="180"/>
      <c r="U3660" s="189" t="str">
        <f>IFERROR(IF(Tableau3[[#This Row],[Dettes]]=0,"",(Tableau3[[#This Row],[Dettes]]/Tableau3[[#This Row],[EBE]])),"")</f>
        <v/>
      </c>
      <c r="V3660" s="190" t="str">
        <f>IFERROR(Tableau3[[#This Row],[Fonds propres]]/Tableau3[[#This Row],[Total Bilan]],"")</f>
        <v/>
      </c>
      <c r="W3660" s="180"/>
      <c r="Y3660" s="180"/>
      <c r="Z3660" s="192" t="str">
        <f>IFERROR(Tableau3[[#This Row],[Chiffre d''affaires]]/Tableau3[[#This Row],[Salariés]],"")</f>
        <v/>
      </c>
      <c r="AA3660" s="177"/>
      <c r="AC3660" s="177" t="s">
        <v>2562</v>
      </c>
    </row>
    <row r="3661" spans="1:29" ht="20.25" customHeight="1">
      <c r="A3661" s="217"/>
      <c r="E3661" s="187">
        <v>26.06</v>
      </c>
      <c r="F3661" s="178">
        <v>2022</v>
      </c>
      <c r="G3661" s="188">
        <v>4704000000</v>
      </c>
      <c r="H3661" s="188">
        <v>520000000</v>
      </c>
      <c r="I3661" s="188">
        <v>360890000</v>
      </c>
      <c r="J3661" s="188">
        <v>188000000</v>
      </c>
      <c r="K3661" s="188">
        <v>1627100000</v>
      </c>
      <c r="L3661" s="188">
        <v>1974000000</v>
      </c>
      <c r="M3661" s="194">
        <f>L3661/P3661</f>
        <v>35.168532095401005</v>
      </c>
      <c r="N3661" s="190">
        <f>J3661/L3661</f>
        <v>9.5238095238095233E-2</v>
      </c>
      <c r="O3661" s="190">
        <f>(I3661*0.7)/(K3661+L3661)</f>
        <v>7.0151620338229984E-2</v>
      </c>
      <c r="P3661" s="188">
        <v>56129724</v>
      </c>
      <c r="Q3661" s="188">
        <f>P3661*E3661</f>
        <v>1462740607.4399998</v>
      </c>
      <c r="R3661" s="195">
        <f>Q3661/L3661</f>
        <v>0.74100334723404249</v>
      </c>
      <c r="S3661" s="197">
        <f>(Q3661+K3661)/H3661</f>
        <v>5.9420011681538449</v>
      </c>
      <c r="T3661" s="180"/>
      <c r="U3661" s="189">
        <f>IFERROR(IF(Tableau3[[#This Row],[Dettes]]=0,"",(Tableau3[[#This Row],[Dettes]]/Tableau3[[#This Row],[EBE]])),"")</f>
        <v>3.1290384615384617</v>
      </c>
      <c r="V3661" s="190">
        <f>IFERROR(Tableau3[[#This Row],[Fonds propres]]/Tableau3[[#This Row],[Total Bilan]],"")</f>
        <v>0.21515776655774713</v>
      </c>
      <c r="W3661" s="180">
        <v>9174663000</v>
      </c>
      <c r="Y3661" s="180">
        <v>8508</v>
      </c>
      <c r="Z3661" s="192">
        <f>IFERROR(Tableau3[[#This Row],[Chiffre d''affaires]]/Tableau3[[#This Row],[Salariés]],"")</f>
        <v>552891.39633286314</v>
      </c>
      <c r="AB3661" s="188">
        <v>120000</v>
      </c>
      <c r="AC3661" s="177" t="s">
        <v>2563</v>
      </c>
    </row>
    <row r="3662" spans="1:29" ht="20.25" customHeight="1">
      <c r="A3662" s="217"/>
      <c r="E3662" s="187"/>
      <c r="G3662" s="202">
        <f>(G3661/G3663)-1</f>
        <v>-2.7496382054992718E-2</v>
      </c>
      <c r="H3662" s="202">
        <f>(H3661/H3663)-1</f>
        <v>-7.6212471131639759E-2</v>
      </c>
      <c r="I3662" s="202">
        <f>(I3661/I3663)-1</f>
        <v>-2.725067385444746E-2</v>
      </c>
      <c r="J3662" s="202">
        <f>(J3661/J3663)-1</f>
        <v>-0.42153846153846153</v>
      </c>
      <c r="K3662" s="178"/>
      <c r="L3662" s="178"/>
      <c r="M3662" s="178"/>
      <c r="N3662" s="178"/>
      <c r="O3662" s="178"/>
      <c r="P3662" s="178"/>
      <c r="Q3662" s="178"/>
      <c r="R3662" s="178"/>
      <c r="S3662" s="178"/>
      <c r="T3662" s="180"/>
      <c r="U3662" s="189" t="str">
        <f>IFERROR(IF(Tableau3[[#This Row],[Dettes]]=0,"",(Tableau3[[#This Row],[Dettes]]/Tableau3[[#This Row],[EBE]])),"")</f>
        <v/>
      </c>
      <c r="V3662" s="190" t="str">
        <f>IFERROR(Tableau3[[#This Row],[Fonds propres]]/Tableau3[[#This Row],[Total Bilan]],"")</f>
        <v/>
      </c>
      <c r="W3662" s="180"/>
      <c r="Y3662" s="180"/>
      <c r="Z3662" s="192" t="str">
        <f>IFERROR(Tableau3[[#This Row],[Chiffre d''affaires]]/Tableau3[[#This Row],[Salariés]],"")</f>
        <v/>
      </c>
      <c r="AB3662" s="188"/>
      <c r="AC3662" s="177" t="s">
        <v>4562</v>
      </c>
    </row>
    <row r="3663" spans="1:29" ht="20.25" customHeight="1">
      <c r="A3663" s="217"/>
      <c r="E3663" s="187">
        <v>41.16</v>
      </c>
      <c r="F3663" s="178">
        <v>2021</v>
      </c>
      <c r="G3663" s="188">
        <v>4837000000</v>
      </c>
      <c r="H3663" s="188">
        <v>562900000</v>
      </c>
      <c r="I3663" s="188">
        <v>371000000</v>
      </c>
      <c r="J3663" s="188">
        <v>325000000</v>
      </c>
      <c r="K3663" s="188">
        <v>1223800000</v>
      </c>
      <c r="L3663" s="188">
        <v>1928600000</v>
      </c>
      <c r="M3663" s="194">
        <f>L3663/P3663</f>
        <v>34.359691488951555</v>
      </c>
      <c r="N3663" s="190">
        <f>J3663/L3663</f>
        <v>0.16851602198485949</v>
      </c>
      <c r="O3663" s="190">
        <f>(I3663*0.7)/(K3663+L3663)</f>
        <v>8.2381677452099983E-2</v>
      </c>
      <c r="P3663" s="188">
        <v>56129724</v>
      </c>
      <c r="Q3663" s="188">
        <f>P3663*E3663</f>
        <v>2310299439.8399997</v>
      </c>
      <c r="R3663" s="195">
        <f>Q3663/L3663</f>
        <v>1.1979152959867259</v>
      </c>
      <c r="S3663" s="197">
        <f>(Q3663+K3663)/H3663</f>
        <v>6.2783788236631723</v>
      </c>
      <c r="T3663" s="180">
        <v>-219000000</v>
      </c>
      <c r="U3663" s="189">
        <f>IFERROR(IF(Tableau3[[#This Row],[Dettes]]=0,"",(Tableau3[[#This Row],[Dettes]]/Tableau3[[#This Row],[EBE]])),"")</f>
        <v>2.1740984189021142</v>
      </c>
      <c r="V3663" s="190" t="str">
        <f>IFERROR(Tableau3[[#This Row],[Fonds propres]]/Tableau3[[#This Row],[Total Bilan]],"")</f>
        <v/>
      </c>
      <c r="W3663" s="180"/>
      <c r="Y3663" s="180">
        <v>8296</v>
      </c>
      <c r="Z3663" s="192">
        <f>IFERROR(Tableau3[[#This Row],[Chiffre d''affaires]]/Tableau3[[#This Row],[Salariés]],"")</f>
        <v>583052.07328833174</v>
      </c>
      <c r="AB3663" s="188">
        <v>165000</v>
      </c>
      <c r="AC3663" s="177" t="s">
        <v>4563</v>
      </c>
    </row>
    <row r="3664" spans="1:29" ht="20.25" customHeight="1">
      <c r="A3664" s="217"/>
      <c r="E3664" s="187"/>
      <c r="G3664" s="202">
        <f>(G3663/G3665)-1</f>
        <v>-3.6338423376723883E-3</v>
      </c>
      <c r="H3664" s="202">
        <f>(H3663/H3665)-1</f>
        <v>7.076279246718653E-2</v>
      </c>
      <c r="I3664" s="202">
        <f>(I3663/I3665)-1</f>
        <v>0.30038555906063791</v>
      </c>
      <c r="J3664" s="202">
        <f>(J3663/J3665)-1</f>
        <v>1.75190516511431</v>
      </c>
      <c r="K3664" s="178"/>
      <c r="L3664" s="178"/>
      <c r="M3664" s="178"/>
      <c r="N3664" s="178"/>
      <c r="O3664" s="178"/>
      <c r="P3664" s="178"/>
      <c r="Q3664" s="178"/>
      <c r="R3664" s="178"/>
      <c r="S3664" s="178"/>
      <c r="T3664" s="180"/>
      <c r="U3664" s="189" t="str">
        <f>IFERROR(IF(Tableau3[[#This Row],[Dettes]]=0,"",(Tableau3[[#This Row],[Dettes]]/Tableau3[[#This Row],[EBE]])),"")</f>
        <v/>
      </c>
      <c r="V3664" s="190" t="str">
        <f>IFERROR(Tableau3[[#This Row],[Fonds propres]]/Tableau3[[#This Row],[Total Bilan]],"")</f>
        <v/>
      </c>
      <c r="W3664" s="180"/>
      <c r="Y3664" s="180"/>
      <c r="Z3664" s="192" t="str">
        <f>IFERROR(Tableau3[[#This Row],[Chiffre d''affaires]]/Tableau3[[#This Row],[Salariés]],"")</f>
        <v/>
      </c>
      <c r="AA3664" s="177"/>
      <c r="AB3664" s="188"/>
      <c r="AC3664" s="177" t="s">
        <v>4564</v>
      </c>
    </row>
    <row r="3665" spans="1:29" ht="20.25" customHeight="1">
      <c r="A3665" s="217"/>
      <c r="E3665" s="187">
        <v>35.64</v>
      </c>
      <c r="F3665" s="178">
        <v>2020</v>
      </c>
      <c r="G3665" s="188">
        <v>4854641000</v>
      </c>
      <c r="H3665" s="188">
        <v>525700000</v>
      </c>
      <c r="I3665" s="188">
        <v>285300000</v>
      </c>
      <c r="J3665" s="188">
        <v>118100000</v>
      </c>
      <c r="K3665" s="188">
        <v>1015400000</v>
      </c>
      <c r="L3665" s="188">
        <v>1729700000</v>
      </c>
      <c r="M3665" s="194">
        <f>L3665/P3665</f>
        <v>30.816114470828325</v>
      </c>
      <c r="N3665" s="190">
        <f>J3665/L3665</f>
        <v>6.8277736023587901E-2</v>
      </c>
      <c r="O3665" s="190">
        <f>(I3665*0.7)/(K3665+L3665)</f>
        <v>7.2751448034679977E-2</v>
      </c>
      <c r="P3665" s="188">
        <v>56129724</v>
      </c>
      <c r="Q3665" s="188">
        <f>P3665*E3665</f>
        <v>2000463363.3600001</v>
      </c>
      <c r="R3665" s="195">
        <f>Q3665/L3665</f>
        <v>1.1565377599352489</v>
      </c>
      <c r="S3665" s="197">
        <f>(Q3665+K3665)/H3665</f>
        <v>5.7368525078181474</v>
      </c>
      <c r="T3665" s="180">
        <v>559000000</v>
      </c>
      <c r="U3665" s="189">
        <f>IFERROR(IF(Tableau3[[#This Row],[Dettes]]=0,"",(Tableau3[[#This Row],[Dettes]]/Tableau3[[#This Row],[EBE]])),"")</f>
        <v>1.9315198782575613</v>
      </c>
      <c r="V3665" s="190" t="str">
        <f>IFERROR(Tableau3[[#This Row],[Fonds propres]]/Tableau3[[#This Row],[Total Bilan]],"")</f>
        <v/>
      </c>
      <c r="W3665" s="180"/>
      <c r="Y3665" s="180">
        <v>10093</v>
      </c>
      <c r="Z3665" s="192">
        <f>IFERROR(Tableau3[[#This Row],[Chiffre d''affaires]]/Tableau3[[#This Row],[Salariés]],"")</f>
        <v>480990.88477162388</v>
      </c>
      <c r="AA3665" s="177"/>
      <c r="AB3665" s="188"/>
      <c r="AC3665" s="177" t="s">
        <v>2564</v>
      </c>
    </row>
    <row r="3666" spans="1:29" ht="20.25" customHeight="1">
      <c r="A3666" s="217"/>
      <c r="E3666" s="187"/>
      <c r="G3666" s="202">
        <f>(G3665/G3667)-1</f>
        <v>7.9096870276518239E-2</v>
      </c>
      <c r="H3666" s="202">
        <f>(H3665/H3667)-1</f>
        <v>-8.2387851282946456E-2</v>
      </c>
      <c r="I3666" s="202">
        <f>(I3665/I3667)-1</f>
        <v>-0.19224235560588898</v>
      </c>
      <c r="J3666" s="202">
        <f>(J3665/J3667)-1</f>
        <v>-0.26509023024268819</v>
      </c>
      <c r="K3666" s="178"/>
      <c r="L3666" s="178"/>
      <c r="M3666" s="178"/>
      <c r="N3666" s="178"/>
      <c r="O3666" s="178"/>
      <c r="P3666" s="178"/>
      <c r="Q3666" s="178"/>
      <c r="R3666" s="178"/>
      <c r="S3666" s="178"/>
      <c r="T3666" s="180"/>
      <c r="U3666" s="189" t="str">
        <f>IFERROR(IF(Tableau3[[#This Row],[Dettes]]=0,"",(Tableau3[[#This Row],[Dettes]]/Tableau3[[#This Row],[EBE]])),"")</f>
        <v/>
      </c>
      <c r="V3666" s="190" t="str">
        <f>IFERROR(Tableau3[[#This Row],[Fonds propres]]/Tableau3[[#This Row],[Total Bilan]],"")</f>
        <v/>
      </c>
      <c r="W3666" s="180"/>
      <c r="Y3666" s="180"/>
      <c r="Z3666" s="192" t="str">
        <f>IFERROR(Tableau3[[#This Row],[Chiffre d''affaires]]/Tableau3[[#This Row],[Salariés]],"")</f>
        <v/>
      </c>
      <c r="AA3666" s="177"/>
      <c r="AB3666" s="188"/>
      <c r="AC3666" s="177" t="s">
        <v>4565</v>
      </c>
    </row>
    <row r="3667" spans="1:29" ht="20.25" customHeight="1">
      <c r="A3667" s="217"/>
      <c r="E3667" s="187">
        <v>44</v>
      </c>
      <c r="F3667" s="178">
        <v>2019</v>
      </c>
      <c r="G3667" s="188">
        <v>4498800000</v>
      </c>
      <c r="H3667" s="188">
        <v>572900000</v>
      </c>
      <c r="I3667" s="188">
        <v>353200000</v>
      </c>
      <c r="J3667" s="188">
        <v>160700000</v>
      </c>
      <c r="K3667" s="188">
        <v>1700400000</v>
      </c>
      <c r="L3667" s="188">
        <v>1746700000</v>
      </c>
      <c r="M3667" s="194">
        <f>L3667/P3667</f>
        <v>31.118984301437148</v>
      </c>
      <c r="N3667" s="190">
        <f>J3667/L3667</f>
        <v>9.2002061029369669E-2</v>
      </c>
      <c r="O3667" s="190">
        <f>(I3667*0.7)/(K3667+L3667)</f>
        <v>7.172405790374517E-2</v>
      </c>
      <c r="P3667" s="188">
        <v>56129724</v>
      </c>
      <c r="Q3667" s="188">
        <f>P3667*E3667</f>
        <v>2469707856</v>
      </c>
      <c r="R3667" s="195">
        <f>Q3667/L3667</f>
        <v>1.4139278960325186</v>
      </c>
      <c r="S3667" s="197">
        <f>(Q3667+K3667)/H3667</f>
        <v>7.278945463431663</v>
      </c>
      <c r="T3667" s="180">
        <v>229700000</v>
      </c>
      <c r="U3667" s="189">
        <f>IFERROR(IF(Tableau3[[#This Row],[Dettes]]=0,"",(Tableau3[[#This Row],[Dettes]]/Tableau3[[#This Row],[EBE]])),"")</f>
        <v>2.9680572525746203</v>
      </c>
      <c r="V3667" s="190" t="str">
        <f>IFERROR(Tableau3[[#This Row],[Fonds propres]]/Tableau3[[#This Row],[Total Bilan]],"")</f>
        <v/>
      </c>
      <c r="W3667" s="180"/>
      <c r="Y3667" s="180">
        <v>11003</v>
      </c>
      <c r="Z3667" s="192">
        <f>IFERROR(Tableau3[[#This Row],[Chiffre d''affaires]]/Tableau3[[#This Row],[Salariés]],"")</f>
        <v>408870.30809779151</v>
      </c>
      <c r="AA3667" s="177"/>
      <c r="AB3667" s="188"/>
      <c r="AC3667" s="177" t="s">
        <v>2565</v>
      </c>
    </row>
    <row r="3668" spans="1:29" ht="20.25" customHeight="1">
      <c r="A3668" s="217"/>
      <c r="E3668" s="187"/>
      <c r="G3668" s="202">
        <f>(G3667/G3669)-1</f>
        <v>8.7980652962515116E-2</v>
      </c>
      <c r="H3668" s="202">
        <f>(H3667/H3669)-1</f>
        <v>9.5411089866156873E-2</v>
      </c>
      <c r="I3668" s="202">
        <f>(I3667/I3669)-1</f>
        <v>-0.21841115290993585</v>
      </c>
      <c r="J3668" s="202">
        <f>(J3667/J3669)-1</f>
        <v>-0.41964608161791261</v>
      </c>
      <c r="K3668" s="178"/>
      <c r="L3668" s="178"/>
      <c r="M3668" s="178"/>
      <c r="N3668" s="178"/>
      <c r="O3668" s="178"/>
      <c r="P3668" s="178"/>
      <c r="Q3668" s="178"/>
      <c r="R3668" s="178"/>
      <c r="S3668" s="178"/>
      <c r="T3668" s="180"/>
      <c r="U3668" s="189" t="str">
        <f>IFERROR(IF(Tableau3[[#This Row],[Dettes]]=0,"",(Tableau3[[#This Row],[Dettes]]/Tableau3[[#This Row],[EBE]])),"")</f>
        <v/>
      </c>
      <c r="V3668" s="190" t="str">
        <f>IFERROR(Tableau3[[#This Row],[Fonds propres]]/Tableau3[[#This Row],[Total Bilan]],"")</f>
        <v/>
      </c>
      <c r="W3668" s="180"/>
      <c r="Y3668" s="180"/>
      <c r="Z3668" s="192" t="str">
        <f>IFERROR(Tableau3[[#This Row],[Chiffre d''affaires]]/Tableau3[[#This Row],[Salariés]],"")</f>
        <v/>
      </c>
      <c r="AA3668" s="177"/>
      <c r="AB3668" s="188"/>
      <c r="AC3668" s="177" t="s">
        <v>4566</v>
      </c>
    </row>
    <row r="3669" spans="1:29" ht="20.25" customHeight="1">
      <c r="A3669" s="217"/>
      <c r="E3669" s="187">
        <v>39.299999999999997</v>
      </c>
      <c r="F3669" s="178">
        <v>2018</v>
      </c>
      <c r="G3669" s="188">
        <v>4135000000</v>
      </c>
      <c r="H3669" s="188">
        <v>523000000</v>
      </c>
      <c r="I3669" s="188">
        <v>451900000</v>
      </c>
      <c r="J3669" s="188">
        <v>276900000</v>
      </c>
      <c r="K3669" s="188">
        <v>1566000000</v>
      </c>
      <c r="L3669" s="188">
        <v>1754858000</v>
      </c>
      <c r="M3669" s="194">
        <f>L3669/P3669</f>
        <v>31.264326188384608</v>
      </c>
      <c r="N3669" s="190">
        <f>J3669/L3669</f>
        <v>0.15779054487599567</v>
      </c>
      <c r="O3669" s="190">
        <f>(I3669*0.7)/(K3669+L3669)</f>
        <v>9.5255503246450171E-2</v>
      </c>
      <c r="P3669" s="188">
        <v>56129724</v>
      </c>
      <c r="Q3669" s="188">
        <f>P3669*E3669</f>
        <v>2205898153.1999998</v>
      </c>
      <c r="R3669" s="195">
        <f>Q3669/L3669</f>
        <v>1.2570237325185285</v>
      </c>
      <c r="S3669" s="197">
        <f>(Q3669+K3669)/H3669</f>
        <v>7.2120423579349904</v>
      </c>
      <c r="T3669" s="180">
        <v>234400000</v>
      </c>
      <c r="U3669" s="189">
        <f>IFERROR(IF(Tableau3[[#This Row],[Dettes]]=0,"",(Tableau3[[#This Row],[Dettes]]/Tableau3[[#This Row],[EBE]])),"")</f>
        <v>2.994263862332696</v>
      </c>
      <c r="V3669" s="190" t="str">
        <f>IFERROR(Tableau3[[#This Row],[Fonds propres]]/Tableau3[[#This Row],[Total Bilan]],"")</f>
        <v/>
      </c>
      <c r="W3669" s="180"/>
      <c r="Y3669" s="180">
        <v>10093</v>
      </c>
      <c r="Z3669" s="192">
        <f>IFERROR(Tableau3[[#This Row],[Chiffre d''affaires]]/Tableau3[[#This Row],[Salariés]],"")</f>
        <v>409689.8840780739</v>
      </c>
      <c r="AA3669" s="177"/>
      <c r="AB3669" s="188"/>
      <c r="AC3669" s="177" t="s">
        <v>2566</v>
      </c>
    </row>
    <row r="3670" spans="1:29" ht="20.25" customHeight="1">
      <c r="A3670" s="217"/>
      <c r="G3670" s="202">
        <f>(G3669/G3671)-1</f>
        <v>0.1579389526743209</v>
      </c>
      <c r="H3670" s="202">
        <f>(H3669/H3671)-1</f>
        <v>0.13547546678245759</v>
      </c>
      <c r="I3670" s="202">
        <f>(I3669/I3671)-1</f>
        <v>0.33737792246226683</v>
      </c>
      <c r="J3670" s="202">
        <f>(J3669/J3671)-1</f>
        <v>0.51559934318555012</v>
      </c>
      <c r="K3670" s="178"/>
      <c r="L3670" s="178"/>
      <c r="M3670" s="178"/>
      <c r="N3670" s="178"/>
      <c r="O3670" s="178"/>
      <c r="P3670" s="178"/>
      <c r="Q3670" s="178"/>
      <c r="R3670" s="178"/>
      <c r="S3670" s="178"/>
      <c r="T3670" s="180"/>
      <c r="U3670" s="189" t="str">
        <f>IFERROR(IF(Tableau3[[#This Row],[Dettes]]=0,"",(Tableau3[[#This Row],[Dettes]]/Tableau3[[#This Row],[EBE]])),"")</f>
        <v/>
      </c>
      <c r="V3670" s="190" t="str">
        <f>IFERROR(Tableau3[[#This Row],[Fonds propres]]/Tableau3[[#This Row],[Total Bilan]],"")</f>
        <v/>
      </c>
      <c r="W3670" s="180"/>
      <c r="Y3670" s="180"/>
      <c r="Z3670" s="192" t="str">
        <f>IFERROR(Tableau3[[#This Row],[Chiffre d''affaires]]/Tableau3[[#This Row],[Salariés]],"")</f>
        <v/>
      </c>
      <c r="AA3670" s="177"/>
      <c r="AB3670" s="188"/>
      <c r="AC3670" s="177" t="s">
        <v>2567</v>
      </c>
    </row>
    <row r="3671" spans="1:29" ht="20.25" customHeight="1">
      <c r="A3671" s="217"/>
      <c r="D3671" s="188"/>
      <c r="E3671" s="178">
        <v>49.6</v>
      </c>
      <c r="F3671" s="178">
        <v>2017</v>
      </c>
      <c r="G3671" s="188">
        <v>3571000000</v>
      </c>
      <c r="H3671" s="188">
        <v>460600000</v>
      </c>
      <c r="I3671" s="188">
        <v>337900000</v>
      </c>
      <c r="J3671" s="188">
        <v>182700000</v>
      </c>
      <c r="K3671" s="188">
        <v>305500000</v>
      </c>
      <c r="L3671" s="188">
        <v>1666523000</v>
      </c>
      <c r="M3671" s="194">
        <f>L3671/P3671</f>
        <v>29.739836325906563</v>
      </c>
      <c r="N3671" s="190">
        <f>J3671/L3671</f>
        <v>0.10962945005859505</v>
      </c>
      <c r="O3671" s="190">
        <f>(I3671*0.7)/(K3671+L3671)</f>
        <v>0.11994282013952168</v>
      </c>
      <c r="P3671" s="188">
        <v>56036724</v>
      </c>
      <c r="Q3671" s="188">
        <f>P3671*E3671</f>
        <v>2779421510.4000001</v>
      </c>
      <c r="R3671" s="195">
        <f>Q3671/L3671</f>
        <v>1.667796670312981</v>
      </c>
      <c r="S3671" s="197">
        <f>(Q3671+K3671)/H3671</f>
        <v>6.6976150898827616</v>
      </c>
      <c r="T3671" s="180">
        <v>188700000</v>
      </c>
      <c r="U3671" s="189">
        <f>IFERROR(IF(Tableau3[[#This Row],[Dettes]]=0,"",(Tableau3[[#This Row],[Dettes]]/Tableau3[[#This Row],[EBE]])),"")</f>
        <v>0.66326530612244894</v>
      </c>
      <c r="V3671" s="190" t="str">
        <f>IFERROR(Tableau3[[#This Row],[Fonds propres]]/Tableau3[[#This Row],[Total Bilan]],"")</f>
        <v/>
      </c>
      <c r="W3671" s="180"/>
      <c r="Y3671" s="180">
        <v>7276</v>
      </c>
      <c r="Z3671" s="192">
        <f>IFERROR(Tableau3[[#This Row],[Chiffre d''affaires]]/Tableau3[[#This Row],[Salariés]],"")</f>
        <v>490791.64376030787</v>
      </c>
      <c r="AA3671" s="177"/>
      <c r="AC3671" s="177" t="s">
        <v>2568</v>
      </c>
    </row>
    <row r="3672" spans="1:29" ht="20.25" customHeight="1">
      <c r="A3672" s="217"/>
      <c r="G3672" s="202">
        <f>(G3671/G3673)-1</f>
        <v>0.20033613445378151</v>
      </c>
      <c r="H3672" s="202">
        <f>(H3671/H3673)-1</f>
        <v>0.49313727397091522</v>
      </c>
      <c r="I3672" s="202">
        <f>(I3671/I3673)-1</f>
        <v>0.3575733226195259</v>
      </c>
      <c r="J3672" s="202">
        <f>(J3671/J3673)-1</f>
        <v>0.28300561797752799</v>
      </c>
      <c r="K3672" s="178"/>
      <c r="L3672" s="178"/>
      <c r="M3672" s="178"/>
      <c r="N3672" s="178"/>
      <c r="O3672" s="178"/>
      <c r="P3672" s="178"/>
      <c r="Q3672" s="178"/>
      <c r="R3672" s="178"/>
      <c r="S3672" s="178"/>
      <c r="T3672" s="180"/>
      <c r="U3672" s="189" t="str">
        <f>IFERROR(IF(Tableau3[[#This Row],[Dettes]]=0,"",(Tableau3[[#This Row],[Dettes]]/Tableau3[[#This Row],[EBE]])),"")</f>
        <v/>
      </c>
      <c r="V3672" s="190" t="str">
        <f>IFERROR(Tableau3[[#This Row],[Fonds propres]]/Tableau3[[#This Row],[Total Bilan]],"")</f>
        <v/>
      </c>
      <c r="W3672" s="180"/>
      <c r="Y3672" s="180"/>
      <c r="Z3672" s="192" t="str">
        <f>IFERROR(Tableau3[[#This Row],[Chiffre d''affaires]]/Tableau3[[#This Row],[Salariés]],"")</f>
        <v/>
      </c>
      <c r="AA3672" s="177"/>
      <c r="AC3672" s="177" t="s">
        <v>4567</v>
      </c>
    </row>
    <row r="3673" spans="1:29" ht="20.25" customHeight="1">
      <c r="A3673" s="217"/>
      <c r="E3673" s="178">
        <v>44.5</v>
      </c>
      <c r="F3673" s="178">
        <v>2016</v>
      </c>
      <c r="G3673" s="188">
        <v>2975000000</v>
      </c>
      <c r="H3673" s="188">
        <v>308478000</v>
      </c>
      <c r="I3673" s="188">
        <v>248900000</v>
      </c>
      <c r="J3673" s="188">
        <v>142400000</v>
      </c>
      <c r="K3673" s="188">
        <v>311803000</v>
      </c>
      <c r="L3673" s="188">
        <v>1594138000</v>
      </c>
      <c r="M3673" s="194">
        <f>L3673/P3673</f>
        <v>29.085309351500456</v>
      </c>
      <c r="N3673" s="190">
        <f>J3673/L3673</f>
        <v>8.9327272795705265E-2</v>
      </c>
      <c r="O3673" s="190">
        <f>(I3673*0.7)/(K3673+L3673)</f>
        <v>9.1414162348152431E-2</v>
      </c>
      <c r="P3673" s="188">
        <v>54809044</v>
      </c>
      <c r="Q3673" s="188">
        <f>P3673*E3673</f>
        <v>2439002458</v>
      </c>
      <c r="R3673" s="195">
        <f>Q3673/L3673</f>
        <v>1.5299820078311914</v>
      </c>
      <c r="S3673" s="197">
        <f>(Q3673+K3673)/H3673</f>
        <v>8.9173472921893939</v>
      </c>
      <c r="T3673" s="180">
        <v>185500000</v>
      </c>
      <c r="U3673" s="189">
        <f>IFERROR(IF(Tableau3[[#This Row],[Dettes]]=0,"",(Tableau3[[#This Row],[Dettes]]/Tableau3[[#This Row],[EBE]])),"")</f>
        <v>1.0107787265218264</v>
      </c>
      <c r="V3673" s="190" t="str">
        <f>IFERROR(Tableau3[[#This Row],[Fonds propres]]/Tableau3[[#This Row],[Total Bilan]],"")</f>
        <v/>
      </c>
      <c r="W3673" s="180"/>
      <c r="Y3673" s="180">
        <v>7032</v>
      </c>
      <c r="Z3673" s="192">
        <f>IFERROR(Tableau3[[#This Row],[Chiffre d''affaires]]/Tableau3[[#This Row],[Salariés]],"")</f>
        <v>423065.98407281004</v>
      </c>
      <c r="AA3673" s="177"/>
      <c r="AC3673" s="177" t="s">
        <v>2569</v>
      </c>
    </row>
    <row r="3674" spans="1:29" ht="20.25" customHeight="1">
      <c r="A3674" s="217"/>
      <c r="G3674" s="202">
        <f>(G3673/G3675)-1</f>
        <v>-2.6855516666121515E-2</v>
      </c>
      <c r="H3674" s="202">
        <f>(H3673/H3675)-1</f>
        <v>0.26012254901960774</v>
      </c>
      <c r="I3674" s="202">
        <f>(I3673/I3675)-1</f>
        <v>0.13084961381190374</v>
      </c>
      <c r="J3674" s="202">
        <f>(J3673/J3675)-1</f>
        <v>0.15303643724696347</v>
      </c>
      <c r="K3674" s="178"/>
      <c r="L3674" s="178"/>
      <c r="M3674" s="178"/>
      <c r="N3674" s="178"/>
      <c r="O3674" s="178"/>
      <c r="P3674" s="178"/>
      <c r="Q3674" s="178"/>
      <c r="R3674" s="178"/>
      <c r="S3674" s="178"/>
      <c r="T3674" s="180"/>
      <c r="U3674" s="189" t="str">
        <f>IFERROR(IF(Tableau3[[#This Row],[Dettes]]=0,"",(Tableau3[[#This Row],[Dettes]]/Tableau3[[#This Row],[EBE]])),"")</f>
        <v/>
      </c>
      <c r="V3674" s="190" t="str">
        <f>IFERROR(Tableau3[[#This Row],[Fonds propres]]/Tableau3[[#This Row],[Total Bilan]],"")</f>
        <v/>
      </c>
      <c r="W3674" s="180"/>
      <c r="Y3674" s="180"/>
      <c r="Z3674" s="192" t="str">
        <f>IFERROR(Tableau3[[#This Row],[Chiffre d''affaires]]/Tableau3[[#This Row],[Salariés]],"")</f>
        <v/>
      </c>
      <c r="AA3674" s="177"/>
      <c r="AC3674" s="177" t="s">
        <v>4568</v>
      </c>
    </row>
    <row r="3675" spans="1:29" ht="20.25" customHeight="1">
      <c r="A3675" s="217"/>
      <c r="E3675" s="187">
        <v>40.67</v>
      </c>
      <c r="F3675" s="178">
        <v>2015</v>
      </c>
      <c r="G3675" s="188">
        <v>3057100000</v>
      </c>
      <c r="H3675" s="188">
        <v>244800000</v>
      </c>
      <c r="I3675" s="188">
        <v>220100000</v>
      </c>
      <c r="J3675" s="188">
        <v>123500000</v>
      </c>
      <c r="K3675" s="188">
        <v>102300000</v>
      </c>
      <c r="L3675" s="188">
        <v>1579100000</v>
      </c>
      <c r="M3675" s="194">
        <f>L3675/P3675</f>
        <v>28.810938574298067</v>
      </c>
      <c r="N3675" s="190">
        <f>J3675/L3675</f>
        <v>7.8209106453042868E-2</v>
      </c>
      <c r="O3675" s="190">
        <f>(I3675*0.7)/(K3675+L3675)</f>
        <v>9.163197335553705E-2</v>
      </c>
      <c r="P3675" s="188">
        <v>54809044</v>
      </c>
      <c r="Q3675" s="188">
        <f>P3675*E3675</f>
        <v>2229083819.48</v>
      </c>
      <c r="R3675" s="195">
        <f>Q3675/L3675</f>
        <v>1.4116166293964918</v>
      </c>
      <c r="S3675" s="197">
        <f>(Q3675+K3675)/H3675</f>
        <v>9.5236267135620913</v>
      </c>
      <c r="T3675" s="180"/>
      <c r="U3675" s="189">
        <f>IFERROR(IF(Tableau3[[#This Row],[Dettes]]=0,"",(Tableau3[[#This Row],[Dettes]]/Tableau3[[#This Row],[EBE]])),"")</f>
        <v>0.41789215686274511</v>
      </c>
      <c r="V3675" s="190" t="str">
        <f>IFERROR(Tableau3[[#This Row],[Fonds propres]]/Tableau3[[#This Row],[Total Bilan]],"")</f>
        <v/>
      </c>
      <c r="W3675" s="180"/>
      <c r="Y3675" s="180">
        <v>6913</v>
      </c>
      <c r="Z3675" s="192">
        <f>IFERROR(Tableau3[[#This Row],[Chiffre d''affaires]]/Tableau3[[#This Row],[Salariés]],"")</f>
        <v>442224.79386662808</v>
      </c>
      <c r="AA3675" s="177"/>
      <c r="AC3675" s="177" t="s">
        <v>2570</v>
      </c>
    </row>
    <row r="3676" spans="1:29" ht="20.25" customHeight="1">
      <c r="A3676" s="217"/>
      <c r="E3676" s="187"/>
      <c r="G3676" s="202">
        <f>(G3675/G3677)-1</f>
        <v>0.16155629013260375</v>
      </c>
      <c r="H3676" s="202">
        <f>(H3675/H3677)-1</f>
        <v>0.20591133004926099</v>
      </c>
      <c r="I3676" s="202">
        <f>(I3675/I3677)-1</f>
        <v>0.64499252615844549</v>
      </c>
      <c r="J3676" s="202">
        <f>(J3675/J3677)-1</f>
        <v>2.4593837535014007</v>
      </c>
      <c r="K3676" s="188"/>
      <c r="L3676" s="188"/>
      <c r="M3676" s="178"/>
      <c r="N3676" s="178"/>
      <c r="O3676" s="178"/>
      <c r="P3676" s="178"/>
      <c r="Q3676" s="178"/>
      <c r="R3676" s="178"/>
      <c r="S3676" s="178"/>
      <c r="T3676" s="180"/>
      <c r="U3676" s="189" t="str">
        <f>IFERROR(IF(Tableau3[[#This Row],[Dettes]]=0,"",(Tableau3[[#This Row],[Dettes]]/Tableau3[[#This Row],[EBE]])),"")</f>
        <v/>
      </c>
      <c r="V3676" s="190" t="str">
        <f>IFERROR(Tableau3[[#This Row],[Fonds propres]]/Tableau3[[#This Row],[Total Bilan]],"")</f>
        <v/>
      </c>
      <c r="W3676" s="180"/>
      <c r="Y3676" s="180"/>
      <c r="Z3676" s="192" t="str">
        <f>IFERROR(Tableau3[[#This Row],[Chiffre d''affaires]]/Tableau3[[#This Row],[Salariés]],"")</f>
        <v/>
      </c>
      <c r="AA3676" s="177"/>
      <c r="AC3676" s="177" t="s">
        <v>2571</v>
      </c>
    </row>
    <row r="3677" spans="1:29" ht="20.25" customHeight="1">
      <c r="A3677" s="217"/>
      <c r="E3677" s="187">
        <v>31.39</v>
      </c>
      <c r="F3677" s="178">
        <v>2014</v>
      </c>
      <c r="G3677" s="188">
        <v>2631900000</v>
      </c>
      <c r="H3677" s="188">
        <v>203000000</v>
      </c>
      <c r="I3677" s="188">
        <v>133800000</v>
      </c>
      <c r="J3677" s="188">
        <v>35700000</v>
      </c>
      <c r="K3677" s="188">
        <v>166500000</v>
      </c>
      <c r="L3677" s="188">
        <v>1558700000</v>
      </c>
      <c r="M3677" s="194">
        <f>L3677/P3677</f>
        <v>28.438737227381672</v>
      </c>
      <c r="N3677" s="190">
        <f>J3677/L3677</f>
        <v>2.2903701802784372E-2</v>
      </c>
      <c r="O3677" s="190">
        <f>(I3677*0.7)/(K3677+L3677)</f>
        <v>5.4289357755622533E-2</v>
      </c>
      <c r="P3677" s="188">
        <v>54809044</v>
      </c>
      <c r="Q3677" s="188">
        <f>P3677*E3677</f>
        <v>1720455891.1600001</v>
      </c>
      <c r="R3677" s="195">
        <f>Q3677/L3677</f>
        <v>1.1037761539488036</v>
      </c>
      <c r="S3677" s="197">
        <f>(Q3677+K3677)/H3677</f>
        <v>9.2953492175369465</v>
      </c>
      <c r="T3677" s="180"/>
      <c r="U3677" s="189">
        <f>IFERROR(IF(Tableau3[[#This Row],[Dettes]]=0,"",(Tableau3[[#This Row],[Dettes]]/Tableau3[[#This Row],[EBE]])),"")</f>
        <v>0.82019704433497542</v>
      </c>
      <c r="V3677" s="190" t="str">
        <f>IFERROR(Tableau3[[#This Row],[Fonds propres]]/Tableau3[[#This Row],[Total Bilan]],"")</f>
        <v/>
      </c>
      <c r="W3677" s="180"/>
      <c r="Y3677" s="180">
        <v>6949</v>
      </c>
      <c r="Z3677" s="192">
        <f>IFERROR(Tableau3[[#This Row],[Chiffre d''affaires]]/Tableau3[[#This Row],[Salariés]],"")</f>
        <v>378745.14318606997</v>
      </c>
      <c r="AA3677" s="177"/>
      <c r="AC3677" s="177" t="s">
        <v>2572</v>
      </c>
    </row>
    <row r="3678" spans="1:29" ht="20.25" customHeight="1">
      <c r="A3678" s="217"/>
      <c r="E3678" s="187"/>
      <c r="G3678" s="202">
        <f>(G3677/G3679)-1</f>
        <v>-3.8469969311705432E-2</v>
      </c>
      <c r="H3678" s="202">
        <f>(H3677/H3679)-1</f>
        <v>-2.0742884708152443E-2</v>
      </c>
      <c r="I3678" s="202">
        <f>(I3677/I3679)-1</f>
        <v>-0.30457380457380456</v>
      </c>
      <c r="J3678" s="202">
        <f>(J3677/J3679)-1</f>
        <v>-0.64335664335664333</v>
      </c>
      <c r="K3678" s="188"/>
      <c r="L3678" s="188"/>
      <c r="M3678" s="178"/>
      <c r="N3678" s="178"/>
      <c r="O3678" s="178"/>
      <c r="P3678" s="178"/>
      <c r="Q3678" s="178"/>
      <c r="R3678" s="178"/>
      <c r="S3678" s="178"/>
      <c r="T3678" s="180"/>
      <c r="U3678" s="189" t="str">
        <f>IFERROR(IF(Tableau3[[#This Row],[Dettes]]=0,"",(Tableau3[[#This Row],[Dettes]]/Tableau3[[#This Row],[EBE]])),"")</f>
        <v/>
      </c>
      <c r="V3678" s="190" t="str">
        <f>IFERROR(Tableau3[[#This Row],[Fonds propres]]/Tableau3[[#This Row],[Total Bilan]],"")</f>
        <v/>
      </c>
      <c r="W3678" s="180"/>
      <c r="Y3678" s="180"/>
      <c r="Z3678" s="192" t="str">
        <f>IFERROR(Tableau3[[#This Row],[Chiffre d''affaires]]/Tableau3[[#This Row],[Salariés]],"")</f>
        <v/>
      </c>
      <c r="AA3678" s="177"/>
      <c r="AC3678" s="177" t="s">
        <v>4950</v>
      </c>
    </row>
    <row r="3679" spans="1:29" ht="20.25" customHeight="1">
      <c r="A3679" s="217"/>
      <c r="E3679" s="187">
        <v>27.41</v>
      </c>
      <c r="F3679" s="178">
        <v>2013</v>
      </c>
      <c r="G3679" s="188">
        <v>2737200000</v>
      </c>
      <c r="H3679" s="188">
        <v>207300000</v>
      </c>
      <c r="I3679" s="188">
        <v>192400000</v>
      </c>
      <c r="J3679" s="188">
        <v>100100000</v>
      </c>
      <c r="K3679" s="188">
        <v>252100000</v>
      </c>
      <c r="L3679" s="188">
        <v>1612100000</v>
      </c>
      <c r="M3679" s="194">
        <f>L3679/P3679</f>
        <v>30.089637667082322</v>
      </c>
      <c r="N3679" s="190">
        <f>J3679/L3679</f>
        <v>6.2092922275293096E-2</v>
      </c>
      <c r="O3679" s="190">
        <f>(I3679*0.7)/(K3679+L3679)</f>
        <v>7.2245467224546722E-2</v>
      </c>
      <c r="P3679" s="188">
        <v>53576584</v>
      </c>
      <c r="Q3679" s="188">
        <f>P3679*E3679</f>
        <v>1468534167.4400001</v>
      </c>
      <c r="R3679" s="195">
        <f>Q3679/L3679</f>
        <v>0.91094483434030149</v>
      </c>
      <c r="S3679" s="197">
        <f>(Q3679+K3679)/H3679</f>
        <v>8.300213060492041</v>
      </c>
      <c r="T3679" s="180"/>
      <c r="U3679" s="189">
        <f>IFERROR(IF(Tableau3[[#This Row],[Dettes]]=0,"",(Tableau3[[#This Row],[Dettes]]/Tableau3[[#This Row],[EBE]])),"")</f>
        <v>1.2161119150988906</v>
      </c>
      <c r="V3679" s="190" t="str">
        <f>IFERROR(Tableau3[[#This Row],[Fonds propres]]/Tableau3[[#This Row],[Total Bilan]],"")</f>
        <v/>
      </c>
      <c r="W3679" s="180"/>
      <c r="Y3679" s="180">
        <v>6252</v>
      </c>
      <c r="Z3679" s="192">
        <f>IFERROR(Tableau3[[#This Row],[Chiffre d''affaires]]/Tableau3[[#This Row],[Salariés]],"")</f>
        <v>437811.90019193856</v>
      </c>
      <c r="AA3679" s="177"/>
      <c r="AC3679" s="177" t="s">
        <v>4947</v>
      </c>
    </row>
    <row r="3680" spans="1:29" ht="20.25" customHeight="1">
      <c r="A3680" s="217"/>
      <c r="E3680" s="187"/>
      <c r="G3680" s="202">
        <f>(G3679/G3681)-1</f>
        <v>-3.3235616148059144E-2</v>
      </c>
      <c r="H3680" s="202">
        <f>(H3679/H3681)-1</f>
        <v>-3.0402245088868129E-2</v>
      </c>
      <c r="I3680" s="202">
        <f>(I3679/I3681)-1</f>
        <v>0.32324621733149939</v>
      </c>
      <c r="J3680" s="202">
        <f>(J3679/J3681)-1</f>
        <v>1.3947368421052633</v>
      </c>
      <c r="K3680" s="188"/>
      <c r="L3680" s="188"/>
      <c r="M3680" s="178"/>
      <c r="N3680" s="178"/>
      <c r="O3680" s="178"/>
      <c r="P3680" s="188"/>
      <c r="Q3680" s="188"/>
      <c r="R3680" s="178"/>
      <c r="S3680" s="178"/>
      <c r="T3680" s="180"/>
      <c r="U3680" s="189" t="str">
        <f>IFERROR(IF(Tableau3[[#This Row],[Dettes]]=0,"",(Tableau3[[#This Row],[Dettes]]/Tableau3[[#This Row],[EBE]])),"")</f>
        <v/>
      </c>
      <c r="V3680" s="190" t="str">
        <f>IFERROR(Tableau3[[#This Row],[Fonds propres]]/Tableau3[[#This Row],[Total Bilan]],"")</f>
        <v/>
      </c>
      <c r="W3680" s="180"/>
      <c r="Y3680" s="180"/>
      <c r="Z3680" s="192" t="str">
        <f>IFERROR(Tableau3[[#This Row],[Chiffre d''affaires]]/Tableau3[[#This Row],[Salariés]],"")</f>
        <v/>
      </c>
      <c r="AA3680" s="177"/>
      <c r="AC3680" s="177" t="s">
        <v>4949</v>
      </c>
    </row>
    <row r="3681" spans="1:29" ht="20.25" customHeight="1">
      <c r="A3681" s="217"/>
      <c r="E3681" s="187">
        <v>25.7</v>
      </c>
      <c r="F3681" s="178">
        <v>2012</v>
      </c>
      <c r="G3681" s="188">
        <v>2831300000</v>
      </c>
      <c r="H3681" s="188">
        <v>213800000</v>
      </c>
      <c r="I3681" s="188">
        <v>145400000</v>
      </c>
      <c r="J3681" s="188">
        <v>41800000</v>
      </c>
      <c r="K3681" s="188">
        <v>321900000</v>
      </c>
      <c r="L3681" s="188">
        <v>1604000000</v>
      </c>
      <c r="M3681" s="194">
        <f>L3681/P3681</f>
        <v>30.359212511553867</v>
      </c>
      <c r="N3681" s="190">
        <f>J3681/L3681</f>
        <v>2.6059850374064837E-2</v>
      </c>
      <c r="O3681" s="190">
        <f>(I3681*0.7)/(K3681+L3681)</f>
        <v>5.2848019107949527E-2</v>
      </c>
      <c r="P3681" s="188">
        <v>52834045</v>
      </c>
      <c r="Q3681" s="188">
        <f>P3681*E3681</f>
        <v>1357834956.5</v>
      </c>
      <c r="R3681" s="195">
        <f>Q3681/L3681</f>
        <v>0.84653052150872821</v>
      </c>
      <c r="S3681" s="197">
        <f>(Q3681+K3681)/H3681</f>
        <v>7.8565713587464918</v>
      </c>
      <c r="T3681" s="180"/>
      <c r="U3681" s="189">
        <f>IFERROR(IF(Tableau3[[#This Row],[Dettes]]=0,"",(Tableau3[[#This Row],[Dettes]]/Tableau3[[#This Row],[EBE]])),"")</f>
        <v>1.5056127221702527</v>
      </c>
      <c r="V3681" s="190" t="str">
        <f>IFERROR(Tableau3[[#This Row],[Fonds propres]]/Tableau3[[#This Row],[Total Bilan]],"")</f>
        <v/>
      </c>
      <c r="W3681" s="180"/>
      <c r="Y3681" s="180">
        <v>6306</v>
      </c>
      <c r="Z3681" s="192">
        <f>IFERROR(Tableau3[[#This Row],[Chiffre d''affaires]]/Tableau3[[#This Row],[Salariés]],"")</f>
        <v>448985.09356168727</v>
      </c>
      <c r="AA3681" s="177"/>
      <c r="AC3681" s="177" t="s">
        <v>2185</v>
      </c>
    </row>
    <row r="3682" spans="1:29" ht="20.25" customHeight="1">
      <c r="A3682" s="217"/>
      <c r="E3682" s="187"/>
      <c r="G3682" s="202">
        <f>(G3681/G3683)-1</f>
        <v>8.7748280763763509E-2</v>
      </c>
      <c r="H3682" s="202">
        <f>(H3681/H3683)-1</f>
        <v>2.8142589118198558E-3</v>
      </c>
      <c r="I3682" s="202">
        <f>(I3681/I3683)-1</f>
        <v>0.28105726872246706</v>
      </c>
      <c r="J3682" s="202">
        <f>(J3681/J3683)-1</f>
        <v>-0.22878228782287824</v>
      </c>
      <c r="K3682" s="188"/>
      <c r="L3682" s="188"/>
      <c r="M3682" s="178"/>
      <c r="N3682" s="178"/>
      <c r="O3682" s="178"/>
      <c r="P3682" s="188"/>
      <c r="Q3682" s="188"/>
      <c r="R3682" s="178"/>
      <c r="S3682" s="178"/>
      <c r="T3682" s="180"/>
      <c r="U3682" s="189" t="str">
        <f>IFERROR(IF(Tableau3[[#This Row],[Dettes]]=0,"",(Tableau3[[#This Row],[Dettes]]/Tableau3[[#This Row],[EBE]])),"")</f>
        <v/>
      </c>
      <c r="V3682" s="190" t="str">
        <f>IFERROR(Tableau3[[#This Row],[Fonds propres]]/Tableau3[[#This Row],[Total Bilan]],"")</f>
        <v/>
      </c>
      <c r="W3682" s="180"/>
      <c r="Y3682" s="180"/>
      <c r="Z3682" s="192" t="str">
        <f>IFERROR(Tableau3[[#This Row],[Chiffre d''affaires]]/Tableau3[[#This Row],[Salariés]],"")</f>
        <v/>
      </c>
      <c r="AA3682" s="177"/>
      <c r="AC3682" s="177" t="s">
        <v>2573</v>
      </c>
    </row>
    <row r="3683" spans="1:29" ht="20.25" customHeight="1">
      <c r="A3683" s="217"/>
      <c r="E3683" s="187">
        <v>17.510000000000002</v>
      </c>
      <c r="F3683" s="178">
        <v>2011</v>
      </c>
      <c r="G3683" s="188">
        <v>2602900000</v>
      </c>
      <c r="H3683" s="188">
        <v>213200000</v>
      </c>
      <c r="I3683" s="188">
        <v>113500000</v>
      </c>
      <c r="J3683" s="188">
        <v>54200000</v>
      </c>
      <c r="K3683" s="188">
        <v>336200000</v>
      </c>
      <c r="L3683" s="188">
        <v>1659000000</v>
      </c>
      <c r="M3683" s="194">
        <f>L3683/P3683</f>
        <v>31.659009378337469</v>
      </c>
      <c r="N3683" s="190">
        <f>J3683/L3683</f>
        <v>3.2670283303194693E-2</v>
      </c>
      <c r="O3683" s="190">
        <f>(I3683*0.7)/(K3683+L3683)</f>
        <v>3.9820569366479548E-2</v>
      </c>
      <c r="P3683" s="188">
        <v>52402145</v>
      </c>
      <c r="Q3683" s="188">
        <f>P3683*E3683</f>
        <v>917561558.95000005</v>
      </c>
      <c r="R3683" s="195">
        <f>Q3683/L3683</f>
        <v>0.55308110846895719</v>
      </c>
      <c r="S3683" s="197">
        <f>(Q3683+K3683)/H3683</f>
        <v>5.8806827342870545</v>
      </c>
      <c r="T3683" s="180"/>
      <c r="U3683" s="189">
        <f>IFERROR(IF(Tableau3[[#This Row],[Dettes]]=0,"",(Tableau3[[#This Row],[Dettes]]/Tableau3[[#This Row],[EBE]])),"")</f>
        <v>1.5769230769230769</v>
      </c>
      <c r="V3683" s="190" t="str">
        <f>IFERROR(Tableau3[[#This Row],[Fonds propres]]/Tableau3[[#This Row],[Total Bilan]],"")</f>
        <v/>
      </c>
      <c r="W3683" s="180"/>
      <c r="Y3683" s="180">
        <v>6494</v>
      </c>
      <c r="Z3683" s="192">
        <f>IFERROR(Tableau3[[#This Row],[Chiffre d''affaires]]/Tableau3[[#This Row],[Salariés]],"")</f>
        <v>400816.13797351404</v>
      </c>
      <c r="AA3683" s="177"/>
      <c r="AC3683" s="177" t="s">
        <v>4948</v>
      </c>
    </row>
    <row r="3684" spans="1:29" ht="20.25" customHeight="1">
      <c r="A3684" s="217"/>
      <c r="E3684" s="187"/>
      <c r="G3684" s="202">
        <f>(G3683/G3685)-1</f>
        <v>-5.252620850320322E-2</v>
      </c>
      <c r="H3684" s="202">
        <f>(H3683/H3685)-1</f>
        <v>-9.2936802973977439E-3</v>
      </c>
      <c r="I3684" s="202">
        <f>(I3683/I3685)-1</f>
        <v>-0.3162650602409639</v>
      </c>
      <c r="J3684" s="202">
        <f>(J3683/J3685)-1</f>
        <v>-0.54757929883138567</v>
      </c>
      <c r="K3684" s="188"/>
      <c r="L3684" s="188"/>
      <c r="M3684" s="178"/>
      <c r="N3684" s="178"/>
      <c r="O3684" s="178"/>
      <c r="P3684" s="188"/>
      <c r="Q3684" s="188"/>
      <c r="R3684" s="178"/>
      <c r="S3684" s="178"/>
      <c r="T3684" s="180"/>
      <c r="U3684" s="189" t="str">
        <f>IFERROR(IF(Tableau3[[#This Row],[Dettes]]=0,"",(Tableau3[[#This Row],[Dettes]]/Tableau3[[#This Row],[EBE]])),"")</f>
        <v/>
      </c>
      <c r="V3684" s="190" t="str">
        <f>IFERROR(Tableau3[[#This Row],[Fonds propres]]/Tableau3[[#This Row],[Total Bilan]],"")</f>
        <v/>
      </c>
      <c r="W3684" s="180"/>
      <c r="Y3684" s="180"/>
      <c r="Z3684" s="192" t="str">
        <f>IFERROR(Tableau3[[#This Row],[Chiffre d''affaires]]/Tableau3[[#This Row],[Salariés]],"")</f>
        <v/>
      </c>
      <c r="AA3684" s="177"/>
      <c r="AC3684" s="177" t="s">
        <v>2574</v>
      </c>
    </row>
    <row r="3685" spans="1:29" ht="20.25" customHeight="1">
      <c r="A3685" s="217"/>
      <c r="E3685" s="187">
        <v>34.24</v>
      </c>
      <c r="F3685" s="178">
        <v>2010</v>
      </c>
      <c r="G3685" s="188">
        <v>2747200000</v>
      </c>
      <c r="H3685" s="188">
        <v>215200000</v>
      </c>
      <c r="I3685" s="188">
        <v>166000000</v>
      </c>
      <c r="J3685" s="188">
        <v>119800000</v>
      </c>
      <c r="K3685" s="188">
        <v>291100000</v>
      </c>
      <c r="L3685" s="188">
        <v>1880800000</v>
      </c>
      <c r="M3685" s="194">
        <f>L3685/P3685</f>
        <v>36.174178979520796</v>
      </c>
      <c r="N3685" s="190">
        <f>J3685/L3685</f>
        <v>6.3696299447043817E-2</v>
      </c>
      <c r="O3685" s="190">
        <f>(I3685*0.7)/(K3685+L3685)</f>
        <v>5.3501542428288598E-2</v>
      </c>
      <c r="P3685" s="188">
        <v>51992887</v>
      </c>
      <c r="Q3685" s="188">
        <f>P3685*E3685</f>
        <v>1780236450.8800001</v>
      </c>
      <c r="R3685" s="195">
        <f>Q3685/L3685</f>
        <v>0.94653150301999156</v>
      </c>
      <c r="S3685" s="197">
        <f>(Q3685+K3685)/H3685</f>
        <v>9.6251693814126398</v>
      </c>
      <c r="T3685" s="180"/>
      <c r="U3685" s="189">
        <f>IFERROR(IF(Tableau3[[#This Row],[Dettes]]=0,"",(Tableau3[[#This Row],[Dettes]]/Tableau3[[#This Row],[EBE]])),"")</f>
        <v>1.3526951672862453</v>
      </c>
      <c r="V3685" s="190" t="str">
        <f>IFERROR(Tableau3[[#This Row],[Fonds propres]]/Tableau3[[#This Row],[Total Bilan]],"")</f>
        <v/>
      </c>
      <c r="W3685" s="180"/>
      <c r="Y3685" s="180">
        <v>6361</v>
      </c>
      <c r="Z3685" s="192">
        <f>IFERROR(Tableau3[[#This Row],[Chiffre d''affaires]]/Tableau3[[#This Row],[Salariés]],"")</f>
        <v>431881.7795944034</v>
      </c>
      <c r="AA3685" s="177"/>
    </row>
    <row r="3686" spans="1:29" ht="20.25" customHeight="1">
      <c r="A3686" s="217"/>
      <c r="G3686" s="188"/>
      <c r="H3686" s="188"/>
      <c r="I3686" s="188"/>
      <c r="J3686" s="188"/>
      <c r="K3686" s="188"/>
      <c r="L3686" s="188"/>
      <c r="M3686" s="178"/>
      <c r="N3686" s="178"/>
      <c r="O3686" s="178"/>
      <c r="P3686" s="188"/>
      <c r="Q3686" s="188"/>
      <c r="R3686" s="178"/>
      <c r="S3686" s="178"/>
      <c r="T3686" s="180"/>
      <c r="U3686" s="189" t="str">
        <f>IFERROR(IF(Tableau3[[#This Row],[Dettes]]=0,"",(Tableau3[[#This Row],[Dettes]]/Tableau3[[#This Row],[EBE]])),"")</f>
        <v/>
      </c>
      <c r="V3686" s="190" t="str">
        <f>IFERROR(Tableau3[[#This Row],[Fonds propres]]/Tableau3[[#This Row],[Total Bilan]],"")</f>
        <v/>
      </c>
      <c r="W3686" s="180"/>
      <c r="Y3686" s="180"/>
      <c r="Z3686" s="192" t="str">
        <f>IFERROR(Tableau3[[#This Row],[Chiffre d''affaires]]/Tableau3[[#This Row],[Salariés]],"")</f>
        <v/>
      </c>
      <c r="AA3686" s="177"/>
    </row>
    <row r="3687" spans="1:29" ht="20.25" customHeight="1">
      <c r="A3687" s="217"/>
      <c r="G3687" s="188"/>
      <c r="H3687" s="188"/>
      <c r="I3687" s="188"/>
      <c r="J3687" s="188"/>
      <c r="K3687" s="188"/>
      <c r="L3687" s="188"/>
      <c r="M3687" s="178"/>
      <c r="N3687" s="178"/>
      <c r="O3687" s="178"/>
      <c r="P3687" s="188"/>
      <c r="Q3687" s="188"/>
      <c r="R3687" s="178"/>
      <c r="S3687" s="178"/>
      <c r="T3687" s="180"/>
      <c r="U3687" s="189" t="str">
        <f>IFERROR(IF(Tableau3[[#This Row],[Dettes]]=0,"",(Tableau3[[#This Row],[Dettes]]/Tableau3[[#This Row],[EBE]])),"")</f>
        <v/>
      </c>
      <c r="V3687" s="190" t="str">
        <f>IFERROR(Tableau3[[#This Row],[Fonds propres]]/Tableau3[[#This Row],[Total Bilan]],"")</f>
        <v/>
      </c>
      <c r="W3687" s="180"/>
      <c r="Y3687" s="180"/>
      <c r="Z3687" s="192" t="str">
        <f>IFERROR(Tableau3[[#This Row],[Chiffre d''affaires]]/Tableau3[[#This Row],[Salariés]],"")</f>
        <v/>
      </c>
      <c r="AA3687" s="177"/>
    </row>
    <row r="3688" spans="1:29" ht="20.25" customHeight="1">
      <c r="A3688" s="217"/>
      <c r="F3688" s="217" t="s">
        <v>2575</v>
      </c>
      <c r="G3688" s="188"/>
      <c r="H3688" s="178"/>
      <c r="I3688" s="178"/>
      <c r="J3688" s="178"/>
      <c r="K3688" s="178"/>
      <c r="L3688" s="178"/>
      <c r="M3688" s="178"/>
      <c r="N3688" s="178"/>
      <c r="O3688" s="178"/>
      <c r="P3688" s="188"/>
      <c r="Q3688" s="188"/>
      <c r="R3688" s="178"/>
      <c r="S3688" s="178"/>
      <c r="T3688" s="180"/>
      <c r="U3688" s="189" t="str">
        <f>IFERROR(IF(Tableau3[[#This Row],[Dettes]]=0,"",(Tableau3[[#This Row],[Dettes]]/Tableau3[[#This Row],[EBE]])),"")</f>
        <v/>
      </c>
      <c r="V3688" s="190" t="str">
        <f>IFERROR(Tableau3[[#This Row],[Fonds propres]]/Tableau3[[#This Row],[Total Bilan]],"")</f>
        <v/>
      </c>
      <c r="W3688" s="180"/>
      <c r="Y3688" s="180"/>
      <c r="Z3688" s="192" t="str">
        <f>IFERROR(Tableau3[[#This Row],[Chiffre d''affaires]]/Tableau3[[#This Row],[Salariés]],"")</f>
        <v/>
      </c>
      <c r="AA3688" s="177"/>
    </row>
    <row r="3689" spans="1:29" ht="20.25" customHeight="1">
      <c r="A3689" s="217"/>
      <c r="G3689" s="188"/>
      <c r="H3689" s="178"/>
      <c r="I3689" s="178"/>
      <c r="J3689" s="178"/>
      <c r="K3689" s="178"/>
      <c r="L3689" s="178"/>
      <c r="M3689" s="178"/>
      <c r="N3689" s="178"/>
      <c r="O3689" s="178"/>
      <c r="P3689" s="188"/>
      <c r="Q3689" s="188"/>
      <c r="R3689" s="178"/>
      <c r="S3689" s="178"/>
      <c r="T3689" s="180"/>
      <c r="U3689" s="189" t="str">
        <f>IFERROR(IF(Tableau3[[#This Row],[Dettes]]=0,"",(Tableau3[[#This Row],[Dettes]]/Tableau3[[#This Row],[EBE]])),"")</f>
        <v/>
      </c>
      <c r="V3689" s="190" t="str">
        <f>IFERROR(Tableau3[[#This Row],[Fonds propres]]/Tableau3[[#This Row],[Total Bilan]],"")</f>
        <v/>
      </c>
      <c r="W3689" s="180"/>
      <c r="Y3689" s="180"/>
      <c r="Z3689" s="192" t="str">
        <f>IFERROR(Tableau3[[#This Row],[Chiffre d''affaires]]/Tableau3[[#This Row],[Salariés]],"")</f>
        <v/>
      </c>
      <c r="AA3689" s="177"/>
    </row>
    <row r="3690" spans="1:29" ht="20.25" customHeight="1">
      <c r="A3690" s="217"/>
      <c r="G3690" s="188"/>
      <c r="H3690" s="178"/>
      <c r="I3690" s="178"/>
      <c r="J3690" s="178"/>
      <c r="K3690" s="178"/>
      <c r="L3690" s="178"/>
      <c r="M3690" s="178"/>
      <c r="N3690" s="178"/>
      <c r="O3690" s="178"/>
      <c r="P3690" s="188"/>
      <c r="Q3690" s="188"/>
      <c r="R3690" s="178"/>
      <c r="S3690" s="178"/>
      <c r="T3690" s="180"/>
      <c r="U3690" s="189" t="str">
        <f>IFERROR(IF(Tableau3[[#This Row],[Dettes]]=0,"",(Tableau3[[#This Row],[Dettes]]/Tableau3[[#This Row],[EBE]])),"")</f>
        <v/>
      </c>
      <c r="V3690" s="190" t="str">
        <f>IFERROR(Tableau3[[#This Row],[Fonds propres]]/Tableau3[[#This Row],[Total Bilan]],"")</f>
        <v/>
      </c>
      <c r="W3690" s="180"/>
      <c r="Y3690" s="180"/>
      <c r="Z3690" s="192" t="str">
        <f>IFERROR(Tableau3[[#This Row],[Chiffre d''affaires]]/Tableau3[[#This Row],[Salariés]],"")</f>
        <v/>
      </c>
      <c r="AA3690" s="177"/>
    </row>
    <row r="3691" spans="1:29" ht="20.25" customHeight="1">
      <c r="A3691" s="217"/>
      <c r="G3691" s="188"/>
      <c r="H3691" s="178"/>
      <c r="I3691" s="178"/>
      <c r="J3691" s="178"/>
      <c r="K3691" s="178"/>
      <c r="L3691" s="178"/>
      <c r="M3691" s="178"/>
      <c r="N3691" s="178"/>
      <c r="O3691" s="178"/>
      <c r="P3691" s="178"/>
      <c r="Q3691" s="178"/>
      <c r="R3691" s="178"/>
      <c r="S3691" s="178"/>
      <c r="T3691" s="180"/>
      <c r="U3691" s="189" t="str">
        <f>IFERROR(IF(Tableau3[[#This Row],[Dettes]]=0,"",(Tableau3[[#This Row],[Dettes]]/Tableau3[[#This Row],[EBE]])),"")</f>
        <v/>
      </c>
      <c r="V3691" s="190" t="str">
        <f>IFERROR(Tableau3[[#This Row],[Fonds propres]]/Tableau3[[#This Row],[Total Bilan]],"")</f>
        <v/>
      </c>
      <c r="W3691" s="180"/>
      <c r="Y3691" s="180"/>
      <c r="Z3691" s="192" t="str">
        <f>IFERROR(Tableau3[[#This Row],[Chiffre d''affaires]]/Tableau3[[#This Row],[Salariés]],"")</f>
        <v/>
      </c>
      <c r="AA3691" s="177"/>
    </row>
    <row r="3692" spans="1:29" ht="20.25" customHeight="1">
      <c r="A3692" s="217" t="s">
        <v>2576</v>
      </c>
      <c r="B3692" s="216" t="s">
        <v>2083</v>
      </c>
      <c r="C3692" s="178" t="s">
        <v>84</v>
      </c>
      <c r="D3692" s="178" t="s">
        <v>85</v>
      </c>
      <c r="F3692" s="178">
        <v>2025</v>
      </c>
      <c r="G3692" s="188"/>
      <c r="H3692" s="178"/>
      <c r="I3692" s="178"/>
      <c r="J3692" s="178"/>
      <c r="K3692" s="178"/>
      <c r="L3692" s="178"/>
      <c r="M3692" s="178"/>
      <c r="N3692" s="178"/>
      <c r="O3692" s="178"/>
      <c r="P3692" s="178"/>
      <c r="Q3692" s="178"/>
      <c r="R3692" s="178"/>
      <c r="S3692" s="178"/>
      <c r="T3692" s="180"/>
      <c r="U3692" s="189" t="str">
        <f>IFERROR(IF(Tableau3[[#This Row],[Dettes]]=0,"",(Tableau3[[#This Row],[Dettes]]/Tableau3[[#This Row],[EBE]])),"")</f>
        <v/>
      </c>
      <c r="V3692" s="190" t="str">
        <f>IFERROR(Tableau3[[#This Row],[Fonds propres]]/Tableau3[[#This Row],[Total Bilan]],"")</f>
        <v/>
      </c>
      <c r="W3692" s="180"/>
      <c r="Y3692" s="180"/>
      <c r="Z3692" s="192" t="str">
        <f>IFERROR(Tableau3[[#This Row],[Chiffre d''affaires]]/Tableau3[[#This Row],[Salariés]],"")</f>
        <v/>
      </c>
      <c r="AA3692" s="177"/>
      <c r="AC3692" s="177" t="s">
        <v>2577</v>
      </c>
    </row>
    <row r="3693" spans="1:29" ht="20.25" customHeight="1">
      <c r="A3693" s="217"/>
      <c r="G3693" s="188"/>
      <c r="H3693" s="178"/>
      <c r="I3693" s="178"/>
      <c r="J3693" s="178"/>
      <c r="K3693" s="178"/>
      <c r="L3693" s="178"/>
      <c r="M3693" s="178"/>
      <c r="N3693" s="178"/>
      <c r="O3693" s="178"/>
      <c r="P3693" s="178"/>
      <c r="Q3693" s="178"/>
      <c r="R3693" s="178"/>
      <c r="S3693" s="178"/>
      <c r="T3693" s="180"/>
      <c r="U3693" s="189" t="str">
        <f>IFERROR(IF(Tableau3[[#This Row],[Dettes]]=0,"",(Tableau3[[#This Row],[Dettes]]/Tableau3[[#This Row],[EBE]])),"")</f>
        <v/>
      </c>
      <c r="V3693" s="190" t="str">
        <f>IFERROR(Tableau3[[#This Row],[Fonds propres]]/Tableau3[[#This Row],[Total Bilan]],"")</f>
        <v/>
      </c>
      <c r="W3693" s="180"/>
      <c r="Y3693" s="180"/>
      <c r="Z3693" s="192" t="str">
        <f>IFERROR(Tableau3[[#This Row],[Chiffre d''affaires]]/Tableau3[[#This Row],[Salariés]],"")</f>
        <v/>
      </c>
      <c r="AA3693" s="177"/>
      <c r="AC3693" s="177" t="s">
        <v>2579</v>
      </c>
    </row>
    <row r="3694" spans="1:29" ht="20.25" customHeight="1">
      <c r="A3694" s="217"/>
      <c r="E3694" s="187">
        <v>32.65</v>
      </c>
      <c r="F3694" s="178">
        <v>2024</v>
      </c>
      <c r="G3694" s="188">
        <v>1100000000</v>
      </c>
      <c r="H3694" s="188">
        <v>75000000</v>
      </c>
      <c r="I3694" s="188">
        <v>75000000</v>
      </c>
      <c r="J3694" s="188">
        <v>45000000</v>
      </c>
      <c r="K3694" s="188">
        <v>-100000000</v>
      </c>
      <c r="L3694" s="188">
        <v>240000000</v>
      </c>
      <c r="M3694" s="194">
        <f>L3694/P3694</f>
        <v>12.083361905449506</v>
      </c>
      <c r="N3694" s="190">
        <f>J3694/L3694</f>
        <v>0.1875</v>
      </c>
      <c r="O3694" s="190">
        <f>(I3694*0.7)/(K3694+L3694)</f>
        <v>0.375</v>
      </c>
      <c r="P3694" s="188">
        <v>19862022</v>
      </c>
      <c r="Q3694" s="211">
        <f>Tableau3[[#This Row],[Cours]]*Tableau3[[#This Row],[Titres]]</f>
        <v>648495018.29999995</v>
      </c>
      <c r="R3694" s="195">
        <f>Q3694/L3694</f>
        <v>2.7020625762499999</v>
      </c>
      <c r="S3694" s="197">
        <f>(Q3694+K3694)/H3694</f>
        <v>7.3132669106666661</v>
      </c>
      <c r="T3694" s="180"/>
      <c r="U3694" s="189">
        <f>IFERROR(IF(Tableau3[[#This Row],[Dettes]]=0,"",(Tableau3[[#This Row],[Dettes]]/Tableau3[[#This Row],[EBE]])),"")</f>
        <v>-1.3333333333333333</v>
      </c>
      <c r="V3694" s="190">
        <f>IFERROR(Tableau3[[#This Row],[Fonds propres]]/Tableau3[[#This Row],[Total Bilan]],"")</f>
        <v>0.14038297645835979</v>
      </c>
      <c r="W3694" s="180">
        <v>1709609000</v>
      </c>
      <c r="X3694" s="182" t="s">
        <v>197</v>
      </c>
      <c r="Y3694" s="180"/>
      <c r="Z3694" s="192" t="str">
        <f>IFERROR(Tableau3[[#This Row],[Chiffre d''affaires]]/Tableau3[[#This Row],[Salariés]],"")</f>
        <v/>
      </c>
      <c r="AA3694" s="177"/>
      <c r="AB3694" s="178" t="s">
        <v>2580</v>
      </c>
      <c r="AC3694" s="177" t="s">
        <v>2581</v>
      </c>
    </row>
    <row r="3695" spans="1:29" ht="20.25" customHeight="1">
      <c r="A3695" s="217"/>
      <c r="G3695" s="202">
        <f>(G3694/G3696)-1</f>
        <v>-0.21933494434212997</v>
      </c>
      <c r="H3695" s="202">
        <f>(H3694/H3696)-1</f>
        <v>-0.31401602458566569</v>
      </c>
      <c r="I3695" s="202">
        <f>(I3694/I3696)-1</f>
        <v>-0.31401602458566569</v>
      </c>
      <c r="J3695" s="202">
        <f>(J3694/J3696)-1</f>
        <v>-0.25192007181567311</v>
      </c>
      <c r="K3695" s="178"/>
      <c r="L3695" s="188"/>
      <c r="M3695" s="178"/>
      <c r="N3695" s="178"/>
      <c r="O3695" s="178"/>
      <c r="P3695" s="178"/>
      <c r="Q3695" s="178"/>
      <c r="R3695" s="195"/>
      <c r="S3695" s="197"/>
      <c r="T3695" s="180"/>
      <c r="U3695" s="189" t="str">
        <f>IFERROR(IF(Tableau3[[#This Row],[Dettes]]=0,"",(Tableau3[[#This Row],[Dettes]]/Tableau3[[#This Row],[EBE]])),"")</f>
        <v/>
      </c>
      <c r="V3695" s="190" t="str">
        <f>IFERROR(Tableau3[[#This Row],[Fonds propres]]/Tableau3[[#This Row],[Total Bilan]],"")</f>
        <v/>
      </c>
      <c r="W3695" s="180"/>
      <c r="Y3695" s="180"/>
      <c r="Z3695" s="192" t="str">
        <f>IFERROR(Tableau3[[#This Row],[Chiffre d''affaires]]/Tableau3[[#This Row],[Salariés]],"")</f>
        <v/>
      </c>
      <c r="AA3695" s="177"/>
      <c r="AC3695" s="177" t="s">
        <v>2582</v>
      </c>
    </row>
    <row r="3696" spans="1:29" ht="20.25" customHeight="1">
      <c r="A3696" s="217"/>
      <c r="E3696" s="178">
        <v>30.1</v>
      </c>
      <c r="F3696" s="178">
        <v>2023</v>
      </c>
      <c r="G3696" s="188">
        <v>1409055000</v>
      </c>
      <c r="H3696" s="188">
        <v>109332000</v>
      </c>
      <c r="I3696" s="188">
        <v>109332000</v>
      </c>
      <c r="J3696" s="188">
        <v>60154000</v>
      </c>
      <c r="K3696" s="188">
        <v>-202123000</v>
      </c>
      <c r="L3696" s="188">
        <v>220803000</v>
      </c>
      <c r="M3696" s="194">
        <f>L3696/P3696</f>
        <v>11.116843995037364</v>
      </c>
      <c r="N3696" s="190">
        <f>J3696/L3696</f>
        <v>0.27243289266903076</v>
      </c>
      <c r="O3696" s="190">
        <f>(I3696*0.7)/(K3696+L3696)</f>
        <v>4.0970235546038545</v>
      </c>
      <c r="P3696" s="188">
        <v>19862022</v>
      </c>
      <c r="Q3696" s="211">
        <f>Tableau3[[#This Row],[Cours]]*Tableau3[[#This Row],[Titres]]</f>
        <v>597846862.20000005</v>
      </c>
      <c r="R3696" s="195">
        <f>Q3696/L3696</f>
        <v>2.7076029863724678</v>
      </c>
      <c r="S3696" s="197">
        <f>(Q3696+K3696)/H3696</f>
        <v>3.6194697087769367</v>
      </c>
      <c r="T3696" s="180"/>
      <c r="U3696" s="189">
        <f>IFERROR(IF(Tableau3[[#This Row],[Dettes]]=0,"",(Tableau3[[#This Row],[Dettes]]/Tableau3[[#This Row],[EBE]])),"")</f>
        <v>-1.84870852083562</v>
      </c>
      <c r="V3696" s="190">
        <f>IFERROR(Tableau3[[#This Row],[Fonds propres]]/Tableau3[[#This Row],[Total Bilan]],"")</f>
        <v>0.12915409312889672</v>
      </c>
      <c r="W3696" s="180">
        <v>1709609000</v>
      </c>
      <c r="Y3696" s="180">
        <v>701</v>
      </c>
      <c r="Z3696" s="192">
        <f>IFERROR(Tableau3[[#This Row],[Chiffre d''affaires]]/Tableau3[[#This Row],[Salariés]],"")</f>
        <v>2010064.1940085592</v>
      </c>
      <c r="AA3696" s="177"/>
      <c r="AB3696" s="178" t="s">
        <v>2583</v>
      </c>
      <c r="AC3696" s="177" t="s">
        <v>4719</v>
      </c>
    </row>
    <row r="3697" spans="1:29" ht="20.25" customHeight="1">
      <c r="A3697" s="217"/>
      <c r="G3697" s="202">
        <f>(G3696/G3698)-1</f>
        <v>7.160620579511745E-2</v>
      </c>
      <c r="H3697" s="202">
        <f>(H3696/H3698)-1</f>
        <v>8.3567888999009021E-2</v>
      </c>
      <c r="I3697" s="202">
        <f>(I3696/I3698)-1</f>
        <v>0.11322445322363861</v>
      </c>
      <c r="J3697" s="202">
        <f>(J3696/J3698)-1</f>
        <v>0.22763265306122449</v>
      </c>
      <c r="K3697" s="188"/>
      <c r="L3697" s="188"/>
      <c r="M3697" s="178"/>
      <c r="N3697" s="178"/>
      <c r="O3697" s="178"/>
      <c r="P3697" s="188"/>
      <c r="Q3697" s="178"/>
      <c r="R3697" s="195"/>
      <c r="S3697" s="197"/>
      <c r="T3697" s="180"/>
      <c r="U3697" s="189" t="str">
        <f>IFERROR(IF(Tableau3[[#This Row],[Dettes]]=0,"",(Tableau3[[#This Row],[Dettes]]/Tableau3[[#This Row],[EBE]])),"")</f>
        <v/>
      </c>
      <c r="V3697" s="190" t="str">
        <f>IFERROR(Tableau3[[#This Row],[Fonds propres]]/Tableau3[[#This Row],[Total Bilan]],"")</f>
        <v/>
      </c>
      <c r="W3697" s="180"/>
      <c r="Y3697" s="180"/>
      <c r="Z3697" s="192" t="str">
        <f>IFERROR(Tableau3[[#This Row],[Chiffre d''affaires]]/Tableau3[[#This Row],[Salariés]],"")</f>
        <v/>
      </c>
      <c r="AA3697" s="177"/>
      <c r="AC3697" s="177" t="s">
        <v>2584</v>
      </c>
    </row>
    <row r="3698" spans="1:29" ht="20.25" customHeight="1">
      <c r="A3698" s="217"/>
      <c r="E3698" s="187">
        <v>27.45</v>
      </c>
      <c r="F3698" s="178">
        <v>2022</v>
      </c>
      <c r="G3698" s="188">
        <v>1314900000</v>
      </c>
      <c r="H3698" s="188">
        <v>100900000</v>
      </c>
      <c r="I3698" s="188">
        <v>98212000</v>
      </c>
      <c r="J3698" s="188">
        <v>49000000</v>
      </c>
      <c r="K3698" s="188">
        <v>67800000</v>
      </c>
      <c r="L3698" s="188">
        <v>241667000</v>
      </c>
      <c r="M3698" s="194">
        <f>L3698/P3698</f>
        <v>11.181546014250113</v>
      </c>
      <c r="N3698" s="190">
        <f>J3698/L3698</f>
        <v>0.20275834102297791</v>
      </c>
      <c r="O3698" s="190">
        <f>(I3698*0.7)/(K3698+L3698)</f>
        <v>0.22215098863529875</v>
      </c>
      <c r="P3698" s="188">
        <v>21613022</v>
      </c>
      <c r="Q3698" s="211">
        <f>Tableau3[[#This Row],[Cours]]*Tableau3[[#This Row],[Titres]]</f>
        <v>593277453.89999998</v>
      </c>
      <c r="R3698" s="195">
        <f>Q3698/L3698</f>
        <v>2.4549378024306172</v>
      </c>
      <c r="S3698" s="197">
        <f>(Q3698+K3698)/H3698</f>
        <v>6.5518082646184341</v>
      </c>
      <c r="T3698" s="180">
        <v>168136000</v>
      </c>
      <c r="U3698" s="189">
        <f>IFERROR(IF(Tableau3[[#This Row],[Dettes]]=0,"",(Tableau3[[#This Row],[Dettes]]/Tableau3[[#This Row],[EBE]])),"")</f>
        <v>0.67195242814667988</v>
      </c>
      <c r="V3698" s="190">
        <f>IFERROR(Tableau3[[#This Row],[Fonds propres]]/Tableau3[[#This Row],[Total Bilan]],"")</f>
        <v>0.15879452126803273</v>
      </c>
      <c r="W3698" s="180">
        <v>1521885000</v>
      </c>
      <c r="Y3698" s="180">
        <v>784</v>
      </c>
      <c r="Z3698" s="192">
        <f>IFERROR(Tableau3[[#This Row],[Chiffre d''affaires]]/Tableau3[[#This Row],[Salariés]],"")</f>
        <v>1677168.3673469387</v>
      </c>
      <c r="AA3698" s="177"/>
      <c r="AB3698" s="178" t="s">
        <v>2585</v>
      </c>
      <c r="AC3698" s="177" t="s">
        <v>2586</v>
      </c>
    </row>
    <row r="3699" spans="1:29" ht="20.25" customHeight="1">
      <c r="A3699" s="217"/>
      <c r="E3699" s="187"/>
      <c r="G3699" s="202">
        <f>(G3698/G3700)-1</f>
        <v>2.582306132001877E-2</v>
      </c>
      <c r="H3699" s="202">
        <f>(H3698/H3700)-1</f>
        <v>9.9206349206348854E-4</v>
      </c>
      <c r="I3699" s="202">
        <f>(I3698/I3700)-1</f>
        <v>-1.7583981297961682E-3</v>
      </c>
      <c r="J3699" s="202">
        <f>(J3698/J3700)-1</f>
        <v>0.11706371822637629</v>
      </c>
      <c r="K3699" s="188"/>
      <c r="L3699" s="188"/>
      <c r="M3699" s="178"/>
      <c r="N3699" s="178"/>
      <c r="O3699" s="178"/>
      <c r="P3699" s="178"/>
      <c r="Q3699" s="178"/>
      <c r="R3699" s="195"/>
      <c r="S3699" s="197"/>
      <c r="T3699" s="180"/>
      <c r="U3699" s="189" t="str">
        <f>IFERROR(IF(Tableau3[[#This Row],[Dettes]]=0,"",(Tableau3[[#This Row],[Dettes]]/Tableau3[[#This Row],[EBE]])),"")</f>
        <v/>
      </c>
      <c r="V3699" s="190" t="str">
        <f>IFERROR(Tableau3[[#This Row],[Fonds propres]]/Tableau3[[#This Row],[Total Bilan]],"")</f>
        <v/>
      </c>
      <c r="W3699" s="180"/>
      <c r="Y3699" s="180"/>
      <c r="Z3699" s="192" t="str">
        <f>IFERROR(Tableau3[[#This Row],[Chiffre d''affaires]]/Tableau3[[#This Row],[Salariés]],"")</f>
        <v/>
      </c>
      <c r="AA3699" s="177"/>
      <c r="AC3699" s="177" t="s">
        <v>2587</v>
      </c>
    </row>
    <row r="3700" spans="1:29" ht="20.25" customHeight="1">
      <c r="A3700" s="217"/>
      <c r="E3700" s="187">
        <v>36.799999999999997</v>
      </c>
      <c r="F3700" s="178">
        <v>2021</v>
      </c>
      <c r="G3700" s="188">
        <v>1281800000</v>
      </c>
      <c r="H3700" s="188">
        <v>100800000</v>
      </c>
      <c r="I3700" s="188">
        <v>98385000</v>
      </c>
      <c r="J3700" s="188">
        <v>43865000</v>
      </c>
      <c r="K3700" s="188">
        <v>-35890000</v>
      </c>
      <c r="L3700" s="188">
        <v>255141000</v>
      </c>
      <c r="M3700" s="194">
        <f>L3700/P3700</f>
        <v>11.23324711113972</v>
      </c>
      <c r="N3700" s="190">
        <f>J3700/L3700</f>
        <v>0.17192454368368862</v>
      </c>
      <c r="O3700" s="190">
        <f>(I3700*0.7)/(K3700+L3700)</f>
        <v>0.31411259241691031</v>
      </c>
      <c r="P3700" s="188">
        <v>22713023</v>
      </c>
      <c r="Q3700" s="211">
        <f>Tableau3[[#This Row],[Cours]]*Tableau3[[#This Row],[Titres]]</f>
        <v>835839246.39999998</v>
      </c>
      <c r="R3700" s="195">
        <f>Q3700/L3700</f>
        <v>3.2759895367659451</v>
      </c>
      <c r="S3700" s="197">
        <f>(Q3700+K3700)/H3700</f>
        <v>7.9360044285714286</v>
      </c>
      <c r="T3700" s="180">
        <v>168136000</v>
      </c>
      <c r="U3700" s="189">
        <f>IFERROR(IF(Tableau3[[#This Row],[Dettes]]=0,"",(Tableau3[[#This Row],[Dettes]]/Tableau3[[#This Row],[EBE]])),"")</f>
        <v>-0.35605158730158731</v>
      </c>
      <c r="V3700" s="190">
        <f>IFERROR(Tableau3[[#This Row],[Fonds propres]]/Tableau3[[#This Row],[Total Bilan]],"")</f>
        <v>0.17356530612244897</v>
      </c>
      <c r="W3700" s="180">
        <v>1470000000</v>
      </c>
      <c r="Y3700" s="180">
        <v>778</v>
      </c>
      <c r="Z3700" s="192">
        <f>IFERROR(Tableau3[[#This Row],[Chiffre d''affaires]]/Tableau3[[#This Row],[Salariés]],"")</f>
        <v>1647557.8406169666</v>
      </c>
      <c r="AA3700" s="177"/>
      <c r="AB3700" s="178" t="s">
        <v>2588</v>
      </c>
      <c r="AC3700" s="177" t="s">
        <v>2589</v>
      </c>
    </row>
    <row r="3701" spans="1:29" ht="20.25" customHeight="1">
      <c r="A3701" s="217"/>
      <c r="E3701" s="187"/>
      <c r="G3701" s="202">
        <f>(G3700/G3702)-1</f>
        <v>0.10210223120244177</v>
      </c>
      <c r="H3701" s="202">
        <f>(H3700/H3702)-1</f>
        <v>0.21153846153846145</v>
      </c>
      <c r="I3701" s="202">
        <f>(I3700/I3702)-1</f>
        <v>0.22775600868545176</v>
      </c>
      <c r="J3701" s="202">
        <f>(J3700/J3702)-1</f>
        <v>9.2854651452488834E-2</v>
      </c>
      <c r="K3701" s="188"/>
      <c r="L3701" s="188"/>
      <c r="M3701" s="178"/>
      <c r="N3701" s="178"/>
      <c r="O3701" s="178"/>
      <c r="P3701" s="188"/>
      <c r="Q3701" s="178"/>
      <c r="R3701" s="195"/>
      <c r="S3701" s="197"/>
      <c r="T3701" s="180"/>
      <c r="U3701" s="189" t="str">
        <f>IFERROR(IF(Tableau3[[#This Row],[Dettes]]=0,"",(Tableau3[[#This Row],[Dettes]]/Tableau3[[#This Row],[EBE]])),"")</f>
        <v/>
      </c>
      <c r="V3701" s="190" t="str">
        <f>IFERROR(Tableau3[[#This Row],[Fonds propres]]/Tableau3[[#This Row],[Total Bilan]],"")</f>
        <v/>
      </c>
      <c r="W3701" s="180"/>
      <c r="Y3701" s="180"/>
      <c r="Z3701" s="192" t="str">
        <f>IFERROR(Tableau3[[#This Row],[Chiffre d''affaires]]/Tableau3[[#This Row],[Salariés]],"")</f>
        <v/>
      </c>
      <c r="AA3701" s="177"/>
      <c r="AC3701" s="177" t="s">
        <v>2590</v>
      </c>
    </row>
    <row r="3702" spans="1:29" ht="20.25" customHeight="1">
      <c r="A3702" s="217"/>
      <c r="E3702" s="187">
        <v>37.1</v>
      </c>
      <c r="F3702" s="178">
        <v>2020</v>
      </c>
      <c r="G3702" s="188">
        <v>1163050000</v>
      </c>
      <c r="H3702" s="188">
        <v>83200000</v>
      </c>
      <c r="I3702" s="188">
        <v>80134000</v>
      </c>
      <c r="J3702" s="188">
        <v>40138000</v>
      </c>
      <c r="K3702" s="188">
        <v>-62500000</v>
      </c>
      <c r="L3702" s="188">
        <v>266420000</v>
      </c>
      <c r="M3702" s="194">
        <f>L3702/P3702</f>
        <v>12.061740428285502</v>
      </c>
      <c r="N3702" s="190">
        <f>J3702/L3702</f>
        <v>0.15065685759327377</v>
      </c>
      <c r="O3702" s="190">
        <f>(I3702*0.7)/(K3702+L3702)</f>
        <v>0.27507748136524129</v>
      </c>
      <c r="P3702" s="188">
        <v>22088023</v>
      </c>
      <c r="Q3702" s="211">
        <f>Tableau3[[#This Row],[Cours]]*Tableau3[[#This Row],[Titres]]</f>
        <v>819465653.30000007</v>
      </c>
      <c r="R3702" s="195">
        <f>Q3702/L3702</f>
        <v>3.0758413531266422</v>
      </c>
      <c r="S3702" s="197">
        <f>(Q3702+K3702)/H3702</f>
        <v>9.098144871394231</v>
      </c>
      <c r="T3702" s="180">
        <v>168136000</v>
      </c>
      <c r="U3702" s="189">
        <f>IFERROR(IF(Tableau3[[#This Row],[Dettes]]=0,"",(Tableau3[[#This Row],[Dettes]]/Tableau3[[#This Row],[EBE]])),"")</f>
        <v>-0.75120192307692313</v>
      </c>
      <c r="V3702" s="190">
        <f>IFERROR(Tableau3[[#This Row],[Fonds propres]]/Tableau3[[#This Row],[Total Bilan]],"")</f>
        <v>0.18501388888888889</v>
      </c>
      <c r="W3702" s="180">
        <v>1440000000</v>
      </c>
      <c r="Y3702" s="180"/>
      <c r="Z3702" s="192" t="str">
        <f>IFERROR(Tableau3[[#This Row],[Chiffre d''affaires]]/Tableau3[[#This Row],[Salariés]],"")</f>
        <v/>
      </c>
      <c r="AA3702" s="177"/>
      <c r="AC3702" s="177" t="s">
        <v>2456</v>
      </c>
    </row>
    <row r="3703" spans="1:29" ht="20.25" customHeight="1">
      <c r="A3703" s="217"/>
      <c r="E3703" s="187"/>
      <c r="G3703" s="202">
        <f>(G3702/G3704)-1</f>
        <v>-0.20996716376140001</v>
      </c>
      <c r="H3703" s="202">
        <f>(H3702/H3704)-1</f>
        <v>-0.44496330887258173</v>
      </c>
      <c r="I3703" s="202">
        <f>(I3702/I3704)-1</f>
        <v>-0.44128290047062924</v>
      </c>
      <c r="J3703" s="202">
        <f>(J3702/J3704)-1</f>
        <v>-0.4846901439190664</v>
      </c>
      <c r="K3703" s="188"/>
      <c r="L3703" s="188"/>
      <c r="M3703" s="178"/>
      <c r="N3703" s="178"/>
      <c r="O3703" s="178"/>
      <c r="P3703" s="188"/>
      <c r="Q3703" s="178"/>
      <c r="R3703" s="195"/>
      <c r="S3703" s="197"/>
      <c r="T3703" s="180"/>
      <c r="U3703" s="189" t="str">
        <f>IFERROR(IF(Tableau3[[#This Row],[Dettes]]=0,"",(Tableau3[[#This Row],[Dettes]]/Tableau3[[#This Row],[EBE]])),"")</f>
        <v/>
      </c>
      <c r="V3703" s="190" t="str">
        <f>IFERROR(Tableau3[[#This Row],[Fonds propres]]/Tableau3[[#This Row],[Total Bilan]],"")</f>
        <v/>
      </c>
      <c r="W3703" s="180"/>
      <c r="Y3703" s="180"/>
      <c r="Z3703" s="192" t="str">
        <f>IFERROR(Tableau3[[#This Row],[Chiffre d''affaires]]/Tableau3[[#This Row],[Salariés]],"")</f>
        <v/>
      </c>
      <c r="AA3703" s="177"/>
      <c r="AC3703" s="177" t="s">
        <v>1625</v>
      </c>
    </row>
    <row r="3704" spans="1:29" ht="20.25" customHeight="1">
      <c r="A3704" s="217"/>
      <c r="E3704" s="187">
        <v>37</v>
      </c>
      <c r="F3704" s="178">
        <v>2019</v>
      </c>
      <c r="G3704" s="188">
        <v>1472154000</v>
      </c>
      <c r="H3704" s="188">
        <v>149900000</v>
      </c>
      <c r="I3704" s="188">
        <v>143425000</v>
      </c>
      <c r="J3704" s="188">
        <v>77891000</v>
      </c>
      <c r="K3704" s="188">
        <v>-56000000</v>
      </c>
      <c r="L3704" s="188">
        <v>282160000</v>
      </c>
      <c r="M3704" s="194">
        <f>L3704/P3704</f>
        <v>12.774343815197946</v>
      </c>
      <c r="N3704" s="190">
        <f>J3704/L3704</f>
        <v>0.27605259427275303</v>
      </c>
      <c r="O3704" s="190">
        <f>(I3704*0.7)/(K3704+L3704)</f>
        <v>0.44392244428723027</v>
      </c>
      <c r="P3704" s="188">
        <v>22088023</v>
      </c>
      <c r="Q3704" s="211">
        <f>Tableau3[[#This Row],[Cours]]*Tableau3[[#This Row],[Titres]]</f>
        <v>817256851</v>
      </c>
      <c r="R3704" s="195">
        <f>Q3704/L3704</f>
        <v>2.8964305748511481</v>
      </c>
      <c r="S3704" s="197">
        <f>(Q3704+K3704)/H3704</f>
        <v>5.0784312941961307</v>
      </c>
      <c r="T3704" s="180">
        <v>168136000</v>
      </c>
      <c r="U3704" s="189">
        <f>IFERROR(IF(Tableau3[[#This Row],[Dettes]]=0,"",(Tableau3[[#This Row],[Dettes]]/Tableau3[[#This Row],[EBE]])),"")</f>
        <v>-0.37358238825883922</v>
      </c>
      <c r="V3704" s="190">
        <f>IFERROR(Tableau3[[#This Row],[Fonds propres]]/Tableau3[[#This Row],[Total Bilan]],"")</f>
        <v>0.17971974522292994</v>
      </c>
      <c r="W3704" s="180">
        <v>1570000000</v>
      </c>
      <c r="Y3704" s="180"/>
      <c r="Z3704" s="192" t="str">
        <f>IFERROR(Tableau3[[#This Row],[Chiffre d''affaires]]/Tableau3[[#This Row],[Salariés]],"")</f>
        <v/>
      </c>
      <c r="AA3704" s="177"/>
      <c r="AC3704" s="177" t="s">
        <v>2591</v>
      </c>
    </row>
    <row r="3705" spans="1:29" ht="20.25" customHeight="1">
      <c r="A3705" s="217"/>
      <c r="E3705" s="187"/>
      <c r="G3705" s="202">
        <f>(G3704/G3706)-1</f>
        <v>-5.5238992471581483E-2</v>
      </c>
      <c r="H3705" s="202">
        <f>(H3704/H3706)-1</f>
        <v>5.4149085794655383E-2</v>
      </c>
      <c r="I3705" s="202">
        <f>(I3704/I3706)-1</f>
        <v>4.548602252432854E-2</v>
      </c>
      <c r="J3705" s="202">
        <f>(J3704/J3706)-1</f>
        <v>6.7409417310749342E-2</v>
      </c>
      <c r="K3705" s="188"/>
      <c r="L3705" s="188"/>
      <c r="M3705" s="178"/>
      <c r="N3705" s="178"/>
      <c r="O3705" s="178"/>
      <c r="P3705" s="188"/>
      <c r="Q3705" s="178"/>
      <c r="R3705" s="195"/>
      <c r="S3705" s="197"/>
      <c r="T3705" s="180"/>
      <c r="U3705" s="189" t="str">
        <f>IFERROR(IF(Tableau3[[#This Row],[Dettes]]=0,"",(Tableau3[[#This Row],[Dettes]]/Tableau3[[#This Row],[EBE]])),"")</f>
        <v/>
      </c>
      <c r="V3705" s="190" t="str">
        <f>IFERROR(Tableau3[[#This Row],[Fonds propres]]/Tableau3[[#This Row],[Total Bilan]],"")</f>
        <v/>
      </c>
      <c r="W3705" s="180"/>
      <c r="Y3705" s="180"/>
      <c r="Z3705" s="192" t="str">
        <f>IFERROR(Tableau3[[#This Row],[Chiffre d''affaires]]/Tableau3[[#This Row],[Salariés]],"")</f>
        <v/>
      </c>
      <c r="AA3705" s="177"/>
      <c r="AC3705" s="177" t="s">
        <v>2592</v>
      </c>
    </row>
    <row r="3706" spans="1:29" ht="20.25" customHeight="1">
      <c r="A3706" s="217"/>
      <c r="E3706" s="187">
        <v>33.4</v>
      </c>
      <c r="F3706" s="178">
        <v>2018</v>
      </c>
      <c r="G3706" s="188">
        <v>1558229000</v>
      </c>
      <c r="H3706" s="188">
        <v>142200000</v>
      </c>
      <c r="I3706" s="188">
        <v>137185000</v>
      </c>
      <c r="J3706" s="188">
        <v>72972000</v>
      </c>
      <c r="K3706" s="188">
        <v>-50000000</v>
      </c>
      <c r="L3706" s="188">
        <v>247473000</v>
      </c>
      <c r="M3706" s="194">
        <f>L3706/P3706</f>
        <v>11.318704830581895</v>
      </c>
      <c r="N3706" s="190">
        <f>J3706/L3706</f>
        <v>0.29486853111248501</v>
      </c>
      <c r="O3706" s="190">
        <f>(I3706*0.7)/(K3706+L3706)</f>
        <v>0.4862917968532407</v>
      </c>
      <c r="P3706" s="188">
        <v>21864074</v>
      </c>
      <c r="Q3706" s="211">
        <f>Tableau3[[#This Row],[Cours]]*Tableau3[[#This Row],[Titres]]</f>
        <v>730260071.60000002</v>
      </c>
      <c r="R3706" s="195">
        <f>Q3706/L3706</f>
        <v>2.9508676566736574</v>
      </c>
      <c r="S3706" s="197">
        <f>(Q3706+K3706)/H3706</f>
        <v>4.7838261012658228</v>
      </c>
      <c r="T3706" s="180">
        <v>168136000</v>
      </c>
      <c r="U3706" s="189">
        <f>IFERROR(IF(Tableau3[[#This Row],[Dettes]]=0,"",(Tableau3[[#This Row],[Dettes]]/Tableau3[[#This Row],[EBE]])),"")</f>
        <v>-0.35161744022503516</v>
      </c>
      <c r="V3706" s="190">
        <f>IFERROR(Tableau3[[#This Row],[Fonds propres]]/Tableau3[[#This Row],[Total Bilan]],"")</f>
        <v>0.1755127659574468</v>
      </c>
      <c r="W3706" s="180">
        <v>1410000000</v>
      </c>
      <c r="Y3706" s="180"/>
      <c r="Z3706" s="192" t="str">
        <f>IFERROR(Tableau3[[#This Row],[Chiffre d''affaires]]/Tableau3[[#This Row],[Salariés]],"")</f>
        <v/>
      </c>
      <c r="AA3706" s="177"/>
    </row>
    <row r="3707" spans="1:29" ht="20.25" customHeight="1">
      <c r="A3707" s="217"/>
      <c r="G3707" s="188"/>
      <c r="H3707" s="188"/>
      <c r="I3707" s="188"/>
      <c r="J3707" s="188"/>
      <c r="K3707" s="188"/>
      <c r="L3707" s="188"/>
      <c r="M3707" s="178"/>
      <c r="N3707" s="178"/>
      <c r="O3707" s="178"/>
      <c r="P3707" s="188"/>
      <c r="Q3707" s="178"/>
      <c r="R3707" s="195"/>
      <c r="S3707" s="197"/>
      <c r="T3707" s="180"/>
      <c r="U3707" s="189" t="str">
        <f>IFERROR(IF(Tableau3[[#This Row],[Dettes]]=0,"",(Tableau3[[#This Row],[Dettes]]/Tableau3[[#This Row],[EBE]])),"")</f>
        <v/>
      </c>
      <c r="V3707" s="190" t="str">
        <f>IFERROR(Tableau3[[#This Row],[Fonds propres]]/Tableau3[[#This Row],[Total Bilan]],"")</f>
        <v/>
      </c>
      <c r="W3707" s="180"/>
      <c r="Y3707" s="180"/>
      <c r="Z3707" s="192" t="str">
        <f>IFERROR(Tableau3[[#This Row],[Chiffre d''affaires]]/Tableau3[[#This Row],[Salariés]],"")</f>
        <v/>
      </c>
      <c r="AA3707" s="177"/>
    </row>
    <row r="3708" spans="1:29" ht="20.25" customHeight="1">
      <c r="A3708" s="217"/>
      <c r="G3708" s="188"/>
      <c r="H3708" s="178"/>
      <c r="I3708" s="178"/>
      <c r="J3708" s="178"/>
      <c r="K3708" s="188"/>
      <c r="L3708" s="188"/>
      <c r="M3708" s="178"/>
      <c r="N3708" s="178"/>
      <c r="O3708" s="178"/>
      <c r="P3708" s="188"/>
      <c r="Q3708" s="178"/>
      <c r="R3708" s="178"/>
      <c r="S3708" s="178"/>
      <c r="T3708" s="180"/>
      <c r="U3708" s="189" t="str">
        <f>IFERROR(IF(Tableau3[[#This Row],[Dettes]]=0,"",(Tableau3[[#This Row],[Dettes]]/Tableau3[[#This Row],[EBE]])),"")</f>
        <v/>
      </c>
      <c r="V3708" s="190" t="str">
        <f>IFERROR(Tableau3[[#This Row],[Fonds propres]]/Tableau3[[#This Row],[Total Bilan]],"")</f>
        <v/>
      </c>
      <c r="W3708" s="180"/>
      <c r="Y3708" s="180"/>
      <c r="Z3708" s="192" t="str">
        <f>IFERROR(Tableau3[[#This Row],[Chiffre d''affaires]]/Tableau3[[#This Row],[Salariés]],"")</f>
        <v/>
      </c>
      <c r="AA3708" s="177"/>
    </row>
    <row r="3709" spans="1:29" ht="20.25" customHeight="1">
      <c r="A3709" s="217"/>
      <c r="G3709" s="188"/>
      <c r="H3709" s="178"/>
      <c r="I3709" s="178"/>
      <c r="J3709" s="178"/>
      <c r="K3709" s="188"/>
      <c r="L3709" s="188"/>
      <c r="M3709" s="178"/>
      <c r="N3709" s="178"/>
      <c r="O3709" s="178"/>
      <c r="P3709" s="188"/>
      <c r="Q3709" s="178"/>
      <c r="R3709" s="178"/>
      <c r="S3709" s="178"/>
      <c r="T3709" s="180"/>
      <c r="U3709" s="189" t="str">
        <f>IFERROR(IF(Tableau3[[#This Row],[Dettes]]=0,"",(Tableau3[[#This Row],[Dettes]]/Tableau3[[#This Row],[EBE]])),"")</f>
        <v/>
      </c>
      <c r="V3709" s="190" t="str">
        <f>IFERROR(Tableau3[[#This Row],[Fonds propres]]/Tableau3[[#This Row],[Total Bilan]],"")</f>
        <v/>
      </c>
      <c r="W3709" s="180"/>
      <c r="Y3709" s="180"/>
      <c r="Z3709" s="192" t="str">
        <f>IFERROR(Tableau3[[#This Row],[Chiffre d''affaires]]/Tableau3[[#This Row],[Salariés]],"")</f>
        <v/>
      </c>
      <c r="AA3709" s="177"/>
    </row>
    <row r="3710" spans="1:29" ht="20.25" customHeight="1">
      <c r="A3710" s="217"/>
      <c r="G3710" s="188"/>
      <c r="H3710" s="178"/>
      <c r="I3710" s="178"/>
      <c r="J3710" s="178"/>
      <c r="K3710" s="178"/>
      <c r="L3710" s="178"/>
      <c r="M3710" s="178"/>
      <c r="N3710" s="178"/>
      <c r="O3710" s="178"/>
      <c r="P3710" s="178"/>
      <c r="Q3710" s="178"/>
      <c r="R3710" s="178"/>
      <c r="S3710" s="178"/>
      <c r="T3710" s="180"/>
      <c r="U3710" s="189" t="str">
        <f>IFERROR(IF(Tableau3[[#This Row],[Dettes]]=0,"",(Tableau3[[#This Row],[Dettes]]/Tableau3[[#This Row],[EBE]])),"")</f>
        <v/>
      </c>
      <c r="V3710" s="190" t="str">
        <f>IFERROR(Tableau3[[#This Row],[Fonds propres]]/Tableau3[[#This Row],[Total Bilan]],"")</f>
        <v/>
      </c>
      <c r="W3710" s="180"/>
      <c r="Y3710" s="180"/>
      <c r="Z3710" s="192" t="str">
        <f>IFERROR(Tableau3[[#This Row],[Chiffre d''affaires]]/Tableau3[[#This Row],[Salariés]],"")</f>
        <v/>
      </c>
      <c r="AA3710" s="177"/>
    </row>
    <row r="3711" spans="1:29" ht="20.25" customHeight="1">
      <c r="A3711" s="217"/>
      <c r="G3711" s="188"/>
      <c r="H3711" s="178"/>
      <c r="I3711" s="178"/>
      <c r="J3711" s="178"/>
      <c r="K3711" s="178"/>
      <c r="L3711" s="178"/>
      <c r="M3711" s="178"/>
      <c r="N3711" s="178"/>
      <c r="O3711" s="178"/>
      <c r="P3711" s="178"/>
      <c r="Q3711" s="178"/>
      <c r="R3711" s="178"/>
      <c r="S3711" s="178"/>
      <c r="T3711" s="180"/>
      <c r="U3711" s="189" t="str">
        <f>IFERROR(IF(Tableau3[[#This Row],[Dettes]]=0,"",(Tableau3[[#This Row],[Dettes]]/Tableau3[[#This Row],[EBE]])),"")</f>
        <v/>
      </c>
      <c r="V3711" s="190" t="str">
        <f>IFERROR(Tableau3[[#This Row],[Fonds propres]]/Tableau3[[#This Row],[Total Bilan]],"")</f>
        <v/>
      </c>
      <c r="W3711" s="180"/>
      <c r="Y3711" s="180"/>
      <c r="Z3711" s="192" t="str">
        <f>IFERROR(Tableau3[[#This Row],[Chiffre d''affaires]]/Tableau3[[#This Row],[Salariés]],"")</f>
        <v/>
      </c>
      <c r="AA3711" s="177"/>
    </row>
    <row r="3712" spans="1:29" ht="20.25" customHeight="1">
      <c r="A3712" s="217"/>
      <c r="G3712" s="188"/>
      <c r="H3712" s="178"/>
      <c r="I3712" s="178"/>
      <c r="J3712" s="178"/>
      <c r="K3712" s="178"/>
      <c r="L3712" s="178"/>
      <c r="M3712" s="178"/>
      <c r="N3712" s="178"/>
      <c r="O3712" s="178"/>
      <c r="P3712" s="178"/>
      <c r="Q3712" s="178"/>
      <c r="R3712" s="178"/>
      <c r="S3712" s="178"/>
      <c r="T3712" s="180"/>
      <c r="U3712" s="189" t="str">
        <f>IFERROR(IF(Tableau3[[#This Row],[Dettes]]=0,"",(Tableau3[[#This Row],[Dettes]]/Tableau3[[#This Row],[EBE]])),"")</f>
        <v/>
      </c>
      <c r="V3712" s="190" t="str">
        <f>IFERROR(Tableau3[[#This Row],[Fonds propres]]/Tableau3[[#This Row],[Total Bilan]],"")</f>
        <v/>
      </c>
      <c r="W3712" s="180"/>
      <c r="Y3712" s="180"/>
      <c r="Z3712" s="192" t="str">
        <f>IFERROR(Tableau3[[#This Row],[Chiffre d''affaires]]/Tableau3[[#This Row],[Salariés]],"")</f>
        <v/>
      </c>
      <c r="AA3712" s="177"/>
    </row>
    <row r="3713" spans="1:29" ht="20.25" customHeight="1">
      <c r="A3713" s="217"/>
      <c r="F3713" s="178">
        <v>2013</v>
      </c>
      <c r="G3713" s="188"/>
      <c r="H3713" s="178"/>
      <c r="I3713" s="178"/>
      <c r="J3713" s="178"/>
      <c r="K3713" s="178"/>
      <c r="L3713" s="178"/>
      <c r="M3713" s="178"/>
      <c r="N3713" s="178"/>
      <c r="O3713" s="178"/>
      <c r="P3713" s="178"/>
      <c r="Q3713" s="178"/>
      <c r="R3713" s="178"/>
      <c r="S3713" s="178"/>
      <c r="T3713" s="180"/>
      <c r="U3713" s="189" t="str">
        <f>IFERROR(IF(Tableau3[[#This Row],[Dettes]]=0,"",(Tableau3[[#This Row],[Dettes]]/Tableau3[[#This Row],[EBE]])),"")</f>
        <v/>
      </c>
      <c r="V3713" s="190" t="str">
        <f>IFERROR(Tableau3[[#This Row],[Fonds propres]]/Tableau3[[#This Row],[Total Bilan]],"")</f>
        <v/>
      </c>
      <c r="W3713" s="180"/>
      <c r="Y3713" s="180"/>
      <c r="Z3713" s="192" t="str">
        <f>IFERROR(Tableau3[[#This Row],[Chiffre d''affaires]]/Tableau3[[#This Row],[Salariés]],"")</f>
        <v/>
      </c>
      <c r="AA3713" s="177"/>
    </row>
    <row r="3714" spans="1:29" ht="20.25" customHeight="1">
      <c r="A3714" s="217"/>
      <c r="G3714" s="188"/>
      <c r="H3714" s="178"/>
      <c r="I3714" s="178"/>
      <c r="J3714" s="178"/>
      <c r="K3714" s="178"/>
      <c r="L3714" s="178"/>
      <c r="M3714" s="178"/>
      <c r="N3714" s="178"/>
      <c r="O3714" s="178"/>
      <c r="P3714" s="178"/>
      <c r="Q3714" s="178"/>
      <c r="R3714" s="178"/>
      <c r="S3714" s="178"/>
      <c r="T3714" s="180"/>
      <c r="U3714" s="189" t="str">
        <f>IFERROR(IF(Tableau3[[#This Row],[Dettes]]=0,"",(Tableau3[[#This Row],[Dettes]]/Tableau3[[#This Row],[EBE]])),"")</f>
        <v/>
      </c>
      <c r="V3714" s="190" t="str">
        <f>IFERROR(Tableau3[[#This Row],[Fonds propres]]/Tableau3[[#This Row],[Total Bilan]],"")</f>
        <v/>
      </c>
      <c r="W3714" s="180"/>
      <c r="Y3714" s="180"/>
      <c r="Z3714" s="192" t="str">
        <f>IFERROR(Tableau3[[#This Row],[Chiffre d''affaires]]/Tableau3[[#This Row],[Salariés]],"")</f>
        <v/>
      </c>
      <c r="AA3714" s="177"/>
    </row>
    <row r="3715" spans="1:29" ht="20.25" customHeight="1">
      <c r="A3715" s="217"/>
      <c r="F3715" s="178">
        <v>2012</v>
      </c>
      <c r="G3715" s="188"/>
      <c r="H3715" s="178"/>
      <c r="I3715" s="178"/>
      <c r="J3715" s="178"/>
      <c r="K3715" s="178"/>
      <c r="L3715" s="178"/>
      <c r="M3715" s="178"/>
      <c r="N3715" s="178"/>
      <c r="O3715" s="178"/>
      <c r="P3715" s="178"/>
      <c r="Q3715" s="178"/>
      <c r="R3715" s="178"/>
      <c r="S3715" s="178"/>
      <c r="T3715" s="180"/>
      <c r="U3715" s="189" t="str">
        <f>IFERROR(IF(Tableau3[[#This Row],[Dettes]]=0,"",(Tableau3[[#This Row],[Dettes]]/Tableau3[[#This Row],[EBE]])),"")</f>
        <v/>
      </c>
      <c r="V3715" s="190" t="str">
        <f>IFERROR(Tableau3[[#This Row],[Fonds propres]]/Tableau3[[#This Row],[Total Bilan]],"")</f>
        <v/>
      </c>
      <c r="W3715" s="180"/>
      <c r="Y3715" s="180"/>
      <c r="Z3715" s="192" t="str">
        <f>IFERROR(Tableau3[[#This Row],[Chiffre d''affaires]]/Tableau3[[#This Row],[Salariés]],"")</f>
        <v/>
      </c>
      <c r="AA3715" s="177"/>
    </row>
    <row r="3716" spans="1:29" ht="20.25" customHeight="1">
      <c r="A3716" s="217"/>
      <c r="G3716" s="188"/>
      <c r="H3716" s="178"/>
      <c r="I3716" s="178"/>
      <c r="J3716" s="178"/>
      <c r="K3716" s="178"/>
      <c r="L3716" s="178"/>
      <c r="M3716" s="178"/>
      <c r="N3716" s="178"/>
      <c r="O3716" s="178"/>
      <c r="P3716" s="178"/>
      <c r="Q3716" s="178"/>
      <c r="R3716" s="178"/>
      <c r="S3716" s="178"/>
      <c r="T3716" s="180"/>
      <c r="U3716" s="189" t="str">
        <f>IFERROR(IF(Tableau3[[#This Row],[Dettes]]=0,"",(Tableau3[[#This Row],[Dettes]]/Tableau3[[#This Row],[EBE]])),"")</f>
        <v/>
      </c>
      <c r="V3716" s="190" t="str">
        <f>IFERROR(Tableau3[[#This Row],[Fonds propres]]/Tableau3[[#This Row],[Total Bilan]],"")</f>
        <v/>
      </c>
      <c r="W3716" s="180"/>
      <c r="Y3716" s="180"/>
      <c r="Z3716" s="192" t="str">
        <f>IFERROR(Tableau3[[#This Row],[Chiffre d''affaires]]/Tableau3[[#This Row],[Salariés]],"")</f>
        <v/>
      </c>
      <c r="AA3716" s="177"/>
    </row>
    <row r="3717" spans="1:29" ht="20.25" customHeight="1">
      <c r="A3717" s="217"/>
      <c r="F3717" s="217" t="s">
        <v>2593</v>
      </c>
      <c r="G3717" s="188"/>
      <c r="H3717" s="178"/>
      <c r="I3717" s="178"/>
      <c r="J3717" s="178"/>
      <c r="K3717" s="178"/>
      <c r="L3717" s="178"/>
      <c r="M3717" s="178"/>
      <c r="N3717" s="178"/>
      <c r="O3717" s="178"/>
      <c r="P3717" s="178"/>
      <c r="Q3717" s="178"/>
      <c r="R3717" s="178"/>
      <c r="S3717" s="178"/>
      <c r="T3717" s="180"/>
      <c r="U3717" s="189" t="str">
        <f>IFERROR(IF(Tableau3[[#This Row],[Dettes]]=0,"",(Tableau3[[#This Row],[Dettes]]/Tableau3[[#This Row],[EBE]])),"")</f>
        <v/>
      </c>
      <c r="V3717" s="190" t="str">
        <f>IFERROR(Tableau3[[#This Row],[Fonds propres]]/Tableau3[[#This Row],[Total Bilan]],"")</f>
        <v/>
      </c>
      <c r="W3717" s="180"/>
      <c r="Y3717" s="180"/>
      <c r="Z3717" s="192" t="str">
        <f>IFERROR(Tableau3[[#This Row],[Chiffre d''affaires]]/Tableau3[[#This Row],[Salariés]],"")</f>
        <v/>
      </c>
      <c r="AA3717" s="177"/>
    </row>
    <row r="3718" spans="1:29" ht="20.25" customHeight="1">
      <c r="A3718" s="217"/>
      <c r="G3718" s="188"/>
      <c r="H3718" s="178"/>
      <c r="I3718" s="178"/>
      <c r="J3718" s="178"/>
      <c r="K3718" s="178"/>
      <c r="L3718" s="178"/>
      <c r="M3718" s="178"/>
      <c r="N3718" s="178"/>
      <c r="O3718" s="178"/>
      <c r="P3718" s="178"/>
      <c r="Q3718" s="178"/>
      <c r="R3718" s="178"/>
      <c r="S3718" s="178"/>
      <c r="T3718" s="180"/>
      <c r="U3718" s="189" t="str">
        <f>IFERROR(IF(Tableau3[[#This Row],[Dettes]]=0,"",(Tableau3[[#This Row],[Dettes]]/Tableau3[[#This Row],[EBE]])),"")</f>
        <v/>
      </c>
      <c r="V3718" s="190" t="str">
        <f>IFERROR(Tableau3[[#This Row],[Fonds propres]]/Tableau3[[#This Row],[Total Bilan]],"")</f>
        <v/>
      </c>
      <c r="W3718" s="180"/>
      <c r="Y3718" s="180"/>
      <c r="Z3718" s="192" t="str">
        <f>IFERROR(Tableau3[[#This Row],[Chiffre d''affaires]]/Tableau3[[#This Row],[Salariés]],"")</f>
        <v/>
      </c>
      <c r="AA3718" s="177"/>
    </row>
    <row r="3719" spans="1:29" ht="20.25" customHeight="1">
      <c r="A3719" s="217"/>
      <c r="G3719" s="188"/>
      <c r="H3719" s="178"/>
      <c r="I3719" s="178"/>
      <c r="J3719" s="178"/>
      <c r="K3719" s="178"/>
      <c r="L3719" s="178"/>
      <c r="M3719" s="178"/>
      <c r="N3719" s="178"/>
      <c r="O3719" s="178"/>
      <c r="P3719" s="178"/>
      <c r="Q3719" s="178"/>
      <c r="R3719" s="178"/>
      <c r="S3719" s="178"/>
      <c r="T3719" s="180"/>
      <c r="U3719" s="189" t="str">
        <f>IFERROR(IF(Tableau3[[#This Row],[Dettes]]=0,"",(Tableau3[[#This Row],[Dettes]]/Tableau3[[#This Row],[EBE]])),"")</f>
        <v/>
      </c>
      <c r="V3719" s="190" t="str">
        <f>IFERROR(Tableau3[[#This Row],[Fonds propres]]/Tableau3[[#This Row],[Total Bilan]],"")</f>
        <v/>
      </c>
      <c r="W3719" s="180"/>
      <c r="Y3719" s="180"/>
      <c r="Z3719" s="192" t="str">
        <f>IFERROR(Tableau3[[#This Row],[Chiffre d''affaires]]/Tableau3[[#This Row],[Salariés]],"")</f>
        <v/>
      </c>
      <c r="AA3719" s="177"/>
    </row>
    <row r="3720" spans="1:29" ht="20.25" customHeight="1">
      <c r="A3720" s="217"/>
      <c r="G3720" s="188"/>
      <c r="H3720" s="178"/>
      <c r="I3720" s="178"/>
      <c r="J3720" s="178"/>
      <c r="K3720" s="178"/>
      <c r="L3720" s="178"/>
      <c r="M3720" s="178"/>
      <c r="N3720" s="178"/>
      <c r="O3720" s="178"/>
      <c r="P3720" s="178"/>
      <c r="Q3720" s="178"/>
      <c r="R3720" s="178"/>
      <c r="S3720" s="178"/>
      <c r="T3720" s="180"/>
      <c r="U3720" s="189" t="str">
        <f>IFERROR(IF(Tableau3[[#This Row],[Dettes]]=0,"",(Tableau3[[#This Row],[Dettes]]/Tableau3[[#This Row],[EBE]])),"")</f>
        <v/>
      </c>
      <c r="V3720" s="190" t="str">
        <f>IFERROR(Tableau3[[#This Row],[Fonds propres]]/Tableau3[[#This Row],[Total Bilan]],"")</f>
        <v/>
      </c>
      <c r="W3720" s="180"/>
      <c r="Y3720" s="180"/>
      <c r="Z3720" s="192" t="str">
        <f>IFERROR(Tableau3[[#This Row],[Chiffre d''affaires]]/Tableau3[[#This Row],[Salariés]],"")</f>
        <v/>
      </c>
      <c r="AA3720" s="177"/>
    </row>
    <row r="3721" spans="1:29" ht="20.25" customHeight="1">
      <c r="A3721" s="217" t="s">
        <v>2594</v>
      </c>
      <c r="B3721" s="216" t="s">
        <v>2595</v>
      </c>
      <c r="C3721" s="178" t="s">
        <v>427</v>
      </c>
      <c r="D3721" s="178" t="s">
        <v>85</v>
      </c>
      <c r="F3721" s="178">
        <v>2025</v>
      </c>
      <c r="G3721" s="188"/>
      <c r="H3721" s="178"/>
      <c r="I3721" s="178"/>
      <c r="J3721" s="178"/>
      <c r="K3721" s="178"/>
      <c r="L3721" s="178"/>
      <c r="M3721" s="178"/>
      <c r="N3721" s="178"/>
      <c r="O3721" s="178"/>
      <c r="P3721" s="178"/>
      <c r="Q3721" s="178"/>
      <c r="R3721" s="178"/>
      <c r="S3721" s="178"/>
      <c r="T3721" s="180"/>
      <c r="U3721" s="189" t="str">
        <f>IFERROR(IF(Tableau3[[#This Row],[Dettes]]=0,"",(Tableau3[[#This Row],[Dettes]]/Tableau3[[#This Row],[EBE]])),"")</f>
        <v/>
      </c>
      <c r="V3721" s="190" t="str">
        <f>IFERROR(Tableau3[[#This Row],[Fonds propres]]/Tableau3[[#This Row],[Total Bilan]],"")</f>
        <v/>
      </c>
      <c r="W3721" s="180"/>
      <c r="Y3721" s="180"/>
      <c r="Z3721" s="192" t="str">
        <f>IFERROR(Tableau3[[#This Row],[Chiffre d''affaires]]/Tableau3[[#This Row],[Salariés]],"")</f>
        <v/>
      </c>
      <c r="AA3721" s="177"/>
      <c r="AC3721" s="177" t="s">
        <v>2596</v>
      </c>
    </row>
    <row r="3722" spans="1:29" ht="20.25" customHeight="1">
      <c r="A3722" s="217"/>
      <c r="G3722" s="188"/>
      <c r="H3722" s="178"/>
      <c r="I3722" s="178"/>
      <c r="J3722" s="178"/>
      <c r="K3722" s="178"/>
      <c r="L3722" s="178"/>
      <c r="M3722" s="178"/>
      <c r="N3722" s="178"/>
      <c r="O3722" s="178"/>
      <c r="P3722" s="178"/>
      <c r="Q3722" s="178"/>
      <c r="R3722" s="178"/>
      <c r="S3722" s="178"/>
      <c r="T3722" s="180"/>
      <c r="U3722" s="189" t="str">
        <f>IFERROR(IF(Tableau3[[#This Row],[Dettes]]=0,"",(Tableau3[[#This Row],[Dettes]]/Tableau3[[#This Row],[EBE]])),"")</f>
        <v/>
      </c>
      <c r="V3722" s="190" t="str">
        <f>IFERROR(Tableau3[[#This Row],[Fonds propres]]/Tableau3[[#This Row],[Total Bilan]],"")</f>
        <v/>
      </c>
      <c r="W3722" s="180"/>
      <c r="Y3722" s="180"/>
      <c r="Z3722" s="192" t="str">
        <f>IFERROR(Tableau3[[#This Row],[Chiffre d''affaires]]/Tableau3[[#This Row],[Salariés]],"")</f>
        <v/>
      </c>
      <c r="AA3722" s="177"/>
      <c r="AC3722" s="177" t="s">
        <v>2598</v>
      </c>
    </row>
    <row r="3723" spans="1:29" ht="20.25" customHeight="1">
      <c r="A3723" s="217"/>
      <c r="E3723" s="187">
        <v>5.04</v>
      </c>
      <c r="F3723" s="178">
        <v>2024</v>
      </c>
      <c r="G3723" s="188"/>
      <c r="H3723" s="178"/>
      <c r="I3723" s="178"/>
      <c r="J3723" s="178"/>
      <c r="K3723" s="178"/>
      <c r="L3723" s="178"/>
      <c r="M3723" s="178"/>
      <c r="N3723" s="178"/>
      <c r="O3723" s="178"/>
      <c r="P3723" s="178"/>
      <c r="Q3723" s="178"/>
      <c r="R3723" s="178"/>
      <c r="S3723" s="178"/>
      <c r="T3723" s="180"/>
      <c r="U3723" s="189" t="str">
        <f>IFERROR(IF(Tableau3[[#This Row],[Dettes]]=0,"",(Tableau3[[#This Row],[Dettes]]/Tableau3[[#This Row],[EBE]])),"")</f>
        <v/>
      </c>
      <c r="V3723" s="190" t="str">
        <f>IFERROR(Tableau3[[#This Row],[Fonds propres]]/Tableau3[[#This Row],[Total Bilan]],"")</f>
        <v/>
      </c>
      <c r="W3723" s="180"/>
      <c r="Y3723" s="180"/>
      <c r="Z3723" s="192" t="str">
        <f>IFERROR(Tableau3[[#This Row],[Chiffre d''affaires]]/Tableau3[[#This Row],[Salariés]],"")</f>
        <v/>
      </c>
      <c r="AA3723" s="177"/>
      <c r="AC3723" s="177" t="s">
        <v>2599</v>
      </c>
    </row>
    <row r="3724" spans="1:29" ht="20.25" customHeight="1">
      <c r="A3724" s="217"/>
      <c r="G3724" s="188"/>
      <c r="H3724" s="178"/>
      <c r="I3724" s="178"/>
      <c r="J3724" s="178"/>
      <c r="K3724" s="178"/>
      <c r="L3724" s="178"/>
      <c r="M3724" s="178"/>
      <c r="N3724" s="178"/>
      <c r="O3724" s="178"/>
      <c r="P3724" s="178"/>
      <c r="Q3724" s="178"/>
      <c r="R3724" s="178"/>
      <c r="S3724" s="178"/>
      <c r="T3724" s="180"/>
      <c r="U3724" s="189" t="str">
        <f>IFERROR(IF(Tableau3[[#This Row],[Dettes]]=0,"",(Tableau3[[#This Row],[Dettes]]/Tableau3[[#This Row],[EBE]])),"")</f>
        <v/>
      </c>
      <c r="V3724" s="190" t="str">
        <f>IFERROR(Tableau3[[#This Row],[Fonds propres]]/Tableau3[[#This Row],[Total Bilan]],"")</f>
        <v/>
      </c>
      <c r="W3724" s="180"/>
      <c r="Y3724" s="180"/>
      <c r="Z3724" s="192" t="str">
        <f>IFERROR(Tableau3[[#This Row],[Chiffre d''affaires]]/Tableau3[[#This Row],[Salariés]],"")</f>
        <v/>
      </c>
      <c r="AA3724" s="177"/>
      <c r="AC3724" s="177" t="s">
        <v>2600</v>
      </c>
    </row>
    <row r="3725" spans="1:29" ht="20.25" customHeight="1">
      <c r="A3725" s="217"/>
      <c r="E3725" s="187">
        <v>8.75</v>
      </c>
      <c r="F3725" s="178">
        <v>2023</v>
      </c>
      <c r="G3725" s="188"/>
      <c r="H3725" s="178"/>
      <c r="I3725" s="178"/>
      <c r="J3725" s="178"/>
      <c r="K3725" s="178"/>
      <c r="L3725" s="178"/>
      <c r="M3725" s="178"/>
      <c r="N3725" s="178"/>
      <c r="O3725" s="178"/>
      <c r="P3725" s="178"/>
      <c r="Q3725" s="178"/>
      <c r="R3725" s="178"/>
      <c r="S3725" s="178"/>
      <c r="T3725" s="180"/>
      <c r="U3725" s="189" t="str">
        <f>IFERROR(IF(Tableau3[[#This Row],[Dettes]]=0,"",(Tableau3[[#This Row],[Dettes]]/Tableau3[[#This Row],[EBE]])),"")</f>
        <v/>
      </c>
      <c r="V3725" s="190" t="str">
        <f>IFERROR(Tableau3[[#This Row],[Fonds propres]]/Tableau3[[#This Row],[Total Bilan]],"")</f>
        <v/>
      </c>
      <c r="W3725" s="180"/>
      <c r="Y3725" s="180"/>
      <c r="Z3725" s="192" t="str">
        <f>IFERROR(Tableau3[[#This Row],[Chiffre d''affaires]]/Tableau3[[#This Row],[Salariés]],"")</f>
        <v/>
      </c>
      <c r="AA3725" s="177"/>
      <c r="AC3725" s="177" t="s">
        <v>2601</v>
      </c>
    </row>
    <row r="3726" spans="1:29" ht="20.25" customHeight="1">
      <c r="A3726" s="217"/>
      <c r="G3726" s="188"/>
      <c r="H3726" s="178"/>
      <c r="I3726" s="178"/>
      <c r="J3726" s="178"/>
      <c r="K3726" s="178"/>
      <c r="L3726" s="178"/>
      <c r="M3726" s="178"/>
      <c r="N3726" s="178"/>
      <c r="O3726" s="178"/>
      <c r="P3726" s="178"/>
      <c r="Q3726" s="178"/>
      <c r="R3726" s="178"/>
      <c r="S3726" s="178"/>
      <c r="T3726" s="180"/>
      <c r="U3726" s="189" t="str">
        <f>IFERROR(IF(Tableau3[[#This Row],[Dettes]]=0,"",(Tableau3[[#This Row],[Dettes]]/Tableau3[[#This Row],[EBE]])),"")</f>
        <v/>
      </c>
      <c r="V3726" s="190" t="str">
        <f>IFERROR(Tableau3[[#This Row],[Fonds propres]]/Tableau3[[#This Row],[Total Bilan]],"")</f>
        <v/>
      </c>
      <c r="W3726" s="180"/>
      <c r="Y3726" s="180"/>
      <c r="Z3726" s="192" t="str">
        <f>IFERROR(Tableau3[[#This Row],[Chiffre d''affaires]]/Tableau3[[#This Row],[Salariés]],"")</f>
        <v/>
      </c>
      <c r="AA3726" s="177"/>
      <c r="AC3726" s="177" t="s">
        <v>2602</v>
      </c>
    </row>
    <row r="3727" spans="1:29" ht="20.25" customHeight="1">
      <c r="A3727" s="217"/>
      <c r="E3727" s="187">
        <v>6.52</v>
      </c>
      <c r="F3727" s="178">
        <v>2022</v>
      </c>
      <c r="G3727" s="188"/>
      <c r="H3727" s="178"/>
      <c r="I3727" s="178"/>
      <c r="J3727" s="178"/>
      <c r="K3727" s="178"/>
      <c r="L3727" s="178"/>
      <c r="M3727" s="178"/>
      <c r="N3727" s="178"/>
      <c r="O3727" s="178"/>
      <c r="P3727" s="188">
        <v>621428000</v>
      </c>
      <c r="Q3727" s="188">
        <f>P3727*E3727</f>
        <v>4051710559.9999995</v>
      </c>
      <c r="R3727" s="178"/>
      <c r="S3727" s="178"/>
      <c r="T3727" s="180"/>
      <c r="U3727" s="189" t="str">
        <f>IFERROR(IF(Tableau3[[#This Row],[Dettes]]=0,"",(Tableau3[[#This Row],[Dettes]]/Tableau3[[#This Row],[EBE]])),"")</f>
        <v/>
      </c>
      <c r="V3727" s="190" t="str">
        <f>IFERROR(Tableau3[[#This Row],[Fonds propres]]/Tableau3[[#This Row],[Total Bilan]],"")</f>
        <v/>
      </c>
      <c r="W3727" s="180"/>
      <c r="Y3727" s="180"/>
      <c r="Z3727" s="192" t="str">
        <f>IFERROR(Tableau3[[#This Row],[Chiffre d''affaires]]/Tableau3[[#This Row],[Salariés]],"")</f>
        <v/>
      </c>
      <c r="AA3727" s="177"/>
      <c r="AC3727" s="177" t="s">
        <v>2603</v>
      </c>
    </row>
    <row r="3728" spans="1:29" ht="20.25" customHeight="1">
      <c r="A3728" s="217"/>
      <c r="G3728" s="188"/>
      <c r="H3728" s="178"/>
      <c r="I3728" s="178"/>
      <c r="J3728" s="178"/>
      <c r="K3728" s="178"/>
      <c r="L3728" s="178"/>
      <c r="M3728" s="178"/>
      <c r="N3728" s="178"/>
      <c r="O3728" s="178"/>
      <c r="P3728" s="178"/>
      <c r="Q3728" s="178"/>
      <c r="R3728" s="178"/>
      <c r="S3728" s="178"/>
      <c r="T3728" s="180"/>
      <c r="U3728" s="189" t="str">
        <f>IFERROR(IF(Tableau3[[#This Row],[Dettes]]=0,"",(Tableau3[[#This Row],[Dettes]]/Tableau3[[#This Row],[EBE]])),"")</f>
        <v/>
      </c>
      <c r="V3728" s="190" t="str">
        <f>IFERROR(Tableau3[[#This Row],[Fonds propres]]/Tableau3[[#This Row],[Total Bilan]],"")</f>
        <v/>
      </c>
      <c r="W3728" s="180"/>
      <c r="Y3728" s="180"/>
      <c r="Z3728" s="192" t="str">
        <f>IFERROR(Tableau3[[#This Row],[Chiffre d''affaires]]/Tableau3[[#This Row],[Salariés]],"")</f>
        <v/>
      </c>
      <c r="AA3728" s="177"/>
      <c r="AC3728" s="177" t="s">
        <v>2604</v>
      </c>
    </row>
    <row r="3729" spans="1:29" ht="20.25" customHeight="1">
      <c r="A3729" s="217"/>
      <c r="E3729" s="178">
        <v>17.3</v>
      </c>
      <c r="F3729" s="178">
        <v>2021</v>
      </c>
      <c r="G3729" s="188">
        <v>506000000</v>
      </c>
      <c r="H3729" s="188">
        <v>367356000</v>
      </c>
      <c r="I3729" s="178"/>
      <c r="J3729" s="178"/>
      <c r="K3729" s="178"/>
      <c r="L3729" s="178"/>
      <c r="M3729" s="194">
        <f>L3729/P3729</f>
        <v>0</v>
      </c>
      <c r="N3729" s="190" t="e">
        <f>J3729/L3729</f>
        <v>#DIV/0!</v>
      </c>
      <c r="O3729" s="190" t="e">
        <f>(I3729*0.7)/(K3729+L3729)</f>
        <v>#DIV/0!</v>
      </c>
      <c r="P3729" s="188">
        <v>621428000</v>
      </c>
      <c r="Q3729" s="188">
        <f>P3729*E3729</f>
        <v>10750704400</v>
      </c>
      <c r="R3729" s="195" t="e">
        <f>Q3729/L3729</f>
        <v>#DIV/0!</v>
      </c>
      <c r="S3729" s="197">
        <f>(Q3729+K3729)/H3729</f>
        <v>29.265084550136653</v>
      </c>
      <c r="T3729" s="180">
        <v>228000000</v>
      </c>
      <c r="U3729" s="189" t="str">
        <f>IFERROR(IF(Tableau3[[#This Row],[Dettes]]=0,"",(Tableau3[[#This Row],[Dettes]]/Tableau3[[#This Row],[EBE]])),"")</f>
        <v/>
      </c>
      <c r="V3729" s="190" t="str">
        <f>IFERROR(Tableau3[[#This Row],[Fonds propres]]/Tableau3[[#This Row],[Total Bilan]],"")</f>
        <v/>
      </c>
      <c r="W3729" s="180"/>
      <c r="Y3729" s="180"/>
      <c r="Z3729" s="192" t="str">
        <f>IFERROR(Tableau3[[#This Row],[Chiffre d''affaires]]/Tableau3[[#This Row],[Salariés]],"")</f>
        <v/>
      </c>
      <c r="AA3729" s="177"/>
      <c r="AC3729" s="177" t="s">
        <v>2605</v>
      </c>
    </row>
    <row r="3730" spans="1:29" ht="20.25" customHeight="1">
      <c r="A3730" s="217"/>
      <c r="G3730" s="188"/>
      <c r="H3730" s="178"/>
      <c r="I3730" s="178"/>
      <c r="J3730" s="178"/>
      <c r="K3730" s="178"/>
      <c r="L3730" s="178"/>
      <c r="M3730" s="178"/>
      <c r="N3730" s="178"/>
      <c r="O3730" s="178"/>
      <c r="P3730" s="178"/>
      <c r="Q3730" s="178"/>
      <c r="R3730" s="178"/>
      <c r="S3730" s="178"/>
      <c r="T3730" s="180"/>
      <c r="U3730" s="189" t="str">
        <f>IFERROR(IF(Tableau3[[#This Row],[Dettes]]=0,"",(Tableau3[[#This Row],[Dettes]]/Tableau3[[#This Row],[EBE]])),"")</f>
        <v/>
      </c>
      <c r="V3730" s="190" t="str">
        <f>IFERROR(Tableau3[[#This Row],[Fonds propres]]/Tableau3[[#This Row],[Total Bilan]],"")</f>
        <v/>
      </c>
      <c r="W3730" s="180"/>
      <c r="Y3730" s="180"/>
      <c r="Z3730" s="192" t="str">
        <f>IFERROR(Tableau3[[#This Row],[Chiffre d''affaires]]/Tableau3[[#This Row],[Salariés]],"")</f>
        <v/>
      </c>
      <c r="AA3730" s="177"/>
      <c r="AC3730" s="177" t="s">
        <v>2606</v>
      </c>
    </row>
    <row r="3731" spans="1:29" ht="20.25" customHeight="1">
      <c r="A3731" s="217"/>
      <c r="F3731" s="178">
        <v>2020</v>
      </c>
      <c r="G3731" s="188">
        <v>370000000</v>
      </c>
      <c r="H3731" s="188">
        <v>263000000</v>
      </c>
      <c r="I3731" s="188"/>
      <c r="J3731" s="188">
        <v>136000000</v>
      </c>
      <c r="K3731" s="188"/>
      <c r="L3731" s="188"/>
      <c r="M3731" s="194"/>
      <c r="N3731" s="190"/>
      <c r="O3731" s="190"/>
      <c r="P3731" s="178"/>
      <c r="Q3731" s="188"/>
      <c r="R3731" s="195"/>
      <c r="S3731" s="178"/>
      <c r="T3731" s="180">
        <v>171000000</v>
      </c>
      <c r="U3731" s="189" t="str">
        <f>IFERROR(IF(Tableau3[[#This Row],[Dettes]]=0,"",(Tableau3[[#This Row],[Dettes]]/Tableau3[[#This Row],[EBE]])),"")</f>
        <v/>
      </c>
      <c r="V3731" s="190" t="str">
        <f>IFERROR(Tableau3[[#This Row],[Fonds propres]]/Tableau3[[#This Row],[Total Bilan]],"")</f>
        <v/>
      </c>
      <c r="W3731" s="180"/>
      <c r="Y3731" s="180"/>
      <c r="Z3731" s="192" t="str">
        <f>IFERROR(Tableau3[[#This Row],[Chiffre d''affaires]]/Tableau3[[#This Row],[Salariés]],"")</f>
        <v/>
      </c>
      <c r="AA3731" s="177"/>
      <c r="AC3731" s="177" t="s">
        <v>2607</v>
      </c>
    </row>
    <row r="3732" spans="1:29" ht="20.25" customHeight="1">
      <c r="A3732" s="217"/>
      <c r="G3732" s="202">
        <f>(G3731/G3733)-1</f>
        <v>0.62280701754385959</v>
      </c>
      <c r="H3732" s="202">
        <f>(H3731/H3733)-1</f>
        <v>0.83916083916083917</v>
      </c>
      <c r="I3732" s="202"/>
      <c r="J3732" s="202"/>
      <c r="K3732" s="178"/>
      <c r="L3732" s="178"/>
      <c r="M3732" s="178"/>
      <c r="N3732" s="178"/>
      <c r="O3732" s="178"/>
      <c r="P3732" s="178"/>
      <c r="Q3732" s="178"/>
      <c r="R3732" s="178"/>
      <c r="S3732" s="178"/>
      <c r="T3732" s="180"/>
      <c r="U3732" s="189" t="str">
        <f>IFERROR(IF(Tableau3[[#This Row],[Dettes]]=0,"",(Tableau3[[#This Row],[Dettes]]/Tableau3[[#This Row],[EBE]])),"")</f>
        <v/>
      </c>
      <c r="V3732" s="190" t="str">
        <f>IFERROR(Tableau3[[#This Row],[Fonds propres]]/Tableau3[[#This Row],[Total Bilan]],"")</f>
        <v/>
      </c>
      <c r="W3732" s="180"/>
      <c r="Y3732" s="180"/>
      <c r="Z3732" s="192" t="str">
        <f>IFERROR(Tableau3[[#This Row],[Chiffre d''affaires]]/Tableau3[[#This Row],[Salariés]],"")</f>
        <v/>
      </c>
      <c r="AA3732" s="177"/>
    </row>
    <row r="3733" spans="1:29" ht="20.25" customHeight="1">
      <c r="A3733" s="217"/>
      <c r="F3733" s="178">
        <v>2019</v>
      </c>
      <c r="G3733" s="188">
        <v>228000000</v>
      </c>
      <c r="H3733" s="188">
        <v>143000000</v>
      </c>
      <c r="I3733" s="188"/>
      <c r="J3733" s="188">
        <v>89000000</v>
      </c>
      <c r="K3733" s="188"/>
      <c r="L3733" s="188"/>
      <c r="M3733" s="194"/>
      <c r="N3733" s="190"/>
      <c r="O3733" s="190"/>
      <c r="P3733" s="188"/>
      <c r="Q3733" s="188"/>
      <c r="R3733" s="195"/>
      <c r="S3733" s="197"/>
      <c r="T3733" s="180">
        <v>155000000</v>
      </c>
      <c r="U3733" s="189" t="str">
        <f>IFERROR(IF(Tableau3[[#This Row],[Dettes]]=0,"",(Tableau3[[#This Row],[Dettes]]/Tableau3[[#This Row],[EBE]])),"")</f>
        <v/>
      </c>
      <c r="V3733" s="190" t="str">
        <f>IFERROR(Tableau3[[#This Row],[Fonds propres]]/Tableau3[[#This Row],[Total Bilan]],"")</f>
        <v/>
      </c>
      <c r="W3733" s="180"/>
      <c r="Y3733" s="180"/>
      <c r="Z3733" s="192" t="str">
        <f>IFERROR(Tableau3[[#This Row],[Chiffre d''affaires]]/Tableau3[[#This Row],[Salariés]],"")</f>
        <v/>
      </c>
      <c r="AA3733" s="177"/>
    </row>
    <row r="3734" spans="1:29" ht="20.25" customHeight="1">
      <c r="A3734" s="217"/>
      <c r="G3734" s="202">
        <f>(G3733/G3735)-1</f>
        <v>3.6363636363636376E-2</v>
      </c>
      <c r="H3734" s="202">
        <f>(H3733/H3735)-1</f>
        <v>5.9259259259259345E-2</v>
      </c>
      <c r="I3734" s="202"/>
      <c r="J3734" s="202"/>
      <c r="K3734" s="178"/>
      <c r="L3734" s="178"/>
      <c r="M3734" s="178"/>
      <c r="N3734" s="178"/>
      <c r="O3734" s="178"/>
      <c r="P3734" s="178"/>
      <c r="Q3734" s="178"/>
      <c r="R3734" s="178"/>
      <c r="S3734" s="178"/>
      <c r="T3734" s="180"/>
      <c r="U3734" s="189" t="str">
        <f>IFERROR(IF(Tableau3[[#This Row],[Dettes]]=0,"",(Tableau3[[#This Row],[Dettes]]/Tableau3[[#This Row],[EBE]])),"")</f>
        <v/>
      </c>
      <c r="V3734" s="190" t="str">
        <f>IFERROR(Tableau3[[#This Row],[Fonds propres]]/Tableau3[[#This Row],[Total Bilan]],"")</f>
        <v/>
      </c>
      <c r="W3734" s="180"/>
      <c r="Y3734" s="180"/>
      <c r="Z3734" s="192" t="str">
        <f>IFERROR(Tableau3[[#This Row],[Chiffre d''affaires]]/Tableau3[[#This Row],[Salariés]],"")</f>
        <v/>
      </c>
      <c r="AA3734" s="177"/>
    </row>
    <row r="3735" spans="1:29" ht="20.25" customHeight="1">
      <c r="A3735" s="217"/>
      <c r="F3735" s="178">
        <v>2018</v>
      </c>
      <c r="G3735" s="188">
        <v>220000000</v>
      </c>
      <c r="H3735" s="188">
        <v>135000000</v>
      </c>
      <c r="I3735" s="188"/>
      <c r="J3735" s="188">
        <v>85000000</v>
      </c>
      <c r="K3735" s="188"/>
      <c r="L3735" s="242"/>
      <c r="M3735" s="194"/>
      <c r="N3735" s="190"/>
      <c r="O3735" s="190"/>
      <c r="P3735" s="188"/>
      <c r="Q3735" s="188"/>
      <c r="R3735" s="195"/>
      <c r="S3735" s="197"/>
      <c r="T3735" s="180"/>
      <c r="U3735" s="189" t="str">
        <f>IFERROR(IF(Tableau3[[#This Row],[Dettes]]=0,"",(Tableau3[[#This Row],[Dettes]]/Tableau3[[#This Row],[EBE]])),"")</f>
        <v/>
      </c>
      <c r="V3735" s="190" t="str">
        <f>IFERROR(Tableau3[[#This Row],[Fonds propres]]/Tableau3[[#This Row],[Total Bilan]],"")</f>
        <v/>
      </c>
      <c r="W3735" s="180"/>
      <c r="Y3735" s="180"/>
      <c r="Z3735" s="192" t="str">
        <f>IFERROR(Tableau3[[#This Row],[Chiffre d''affaires]]/Tableau3[[#This Row],[Salariés]],"")</f>
        <v/>
      </c>
      <c r="AA3735" s="177"/>
    </row>
    <row r="3736" spans="1:29" ht="20.25" customHeight="1">
      <c r="A3736" s="217"/>
      <c r="G3736" s="202"/>
      <c r="H3736" s="178"/>
      <c r="I3736" s="202"/>
      <c r="J3736" s="202"/>
      <c r="K3736" s="178"/>
      <c r="L3736" s="178"/>
      <c r="M3736" s="178"/>
      <c r="N3736" s="190"/>
      <c r="O3736" s="190"/>
      <c r="P3736" s="178"/>
      <c r="Q3736" s="188"/>
      <c r="R3736" s="195"/>
      <c r="S3736" s="178"/>
      <c r="T3736" s="180"/>
      <c r="U3736" s="189" t="str">
        <f>IFERROR(IF(Tableau3[[#This Row],[Dettes]]=0,"",(Tableau3[[#This Row],[Dettes]]/Tableau3[[#This Row],[EBE]])),"")</f>
        <v/>
      </c>
      <c r="V3736" s="190" t="str">
        <f>IFERROR(Tableau3[[#This Row],[Fonds propres]]/Tableau3[[#This Row],[Total Bilan]],"")</f>
        <v/>
      </c>
      <c r="W3736" s="180"/>
      <c r="Y3736" s="180"/>
      <c r="Z3736" s="192" t="str">
        <f>IFERROR(Tableau3[[#This Row],[Chiffre d''affaires]]/Tableau3[[#This Row],[Salariés]],"")</f>
        <v/>
      </c>
      <c r="AA3736" s="177"/>
    </row>
    <row r="3737" spans="1:29" ht="20.25" customHeight="1">
      <c r="A3737" s="217"/>
      <c r="F3737" s="217" t="s">
        <v>2608</v>
      </c>
      <c r="G3737" s="188"/>
      <c r="H3737" s="178"/>
      <c r="I3737" s="188"/>
      <c r="J3737" s="188"/>
      <c r="K3737" s="188"/>
      <c r="L3737" s="242"/>
      <c r="M3737" s="194"/>
      <c r="N3737" s="190"/>
      <c r="O3737" s="190"/>
      <c r="P3737" s="188"/>
      <c r="Q3737" s="188"/>
      <c r="R3737" s="195"/>
      <c r="S3737" s="178"/>
      <c r="T3737" s="180"/>
      <c r="U3737" s="189" t="str">
        <f>IFERROR(IF(Tableau3[[#This Row],[Dettes]]=0,"",(Tableau3[[#This Row],[Dettes]]/Tableau3[[#This Row],[EBE]])),"")</f>
        <v/>
      </c>
      <c r="V3737" s="190" t="str">
        <f>IFERROR(Tableau3[[#This Row],[Fonds propres]]/Tableau3[[#This Row],[Total Bilan]],"")</f>
        <v/>
      </c>
      <c r="W3737" s="180"/>
      <c r="Y3737" s="180"/>
      <c r="Z3737" s="192" t="str">
        <f>IFERROR(Tableau3[[#This Row],[Chiffre d''affaires]]/Tableau3[[#This Row],[Salariés]],"")</f>
        <v/>
      </c>
      <c r="AA3737" s="177"/>
    </row>
    <row r="3738" spans="1:29" ht="20.25" customHeight="1">
      <c r="A3738" s="217"/>
      <c r="G3738" s="202"/>
      <c r="H3738" s="178"/>
      <c r="I3738" s="202"/>
      <c r="J3738" s="202"/>
      <c r="K3738" s="178"/>
      <c r="L3738" s="178"/>
      <c r="M3738" s="178"/>
      <c r="N3738" s="190"/>
      <c r="O3738" s="190"/>
      <c r="P3738" s="178"/>
      <c r="Q3738" s="188"/>
      <c r="R3738" s="195"/>
      <c r="S3738" s="178"/>
      <c r="T3738" s="180"/>
      <c r="U3738" s="189" t="str">
        <f>IFERROR(IF(Tableau3[[#This Row],[Dettes]]=0,"",(Tableau3[[#This Row],[Dettes]]/Tableau3[[#This Row],[EBE]])),"")</f>
        <v/>
      </c>
      <c r="V3738" s="190" t="str">
        <f>IFERROR(Tableau3[[#This Row],[Fonds propres]]/Tableau3[[#This Row],[Total Bilan]],"")</f>
        <v/>
      </c>
      <c r="W3738" s="180"/>
      <c r="Y3738" s="180"/>
      <c r="Z3738" s="192" t="str">
        <f>IFERROR(Tableau3[[#This Row],[Chiffre d''affaires]]/Tableau3[[#This Row],[Salariés]],"")</f>
        <v/>
      </c>
      <c r="AA3738" s="177"/>
    </row>
    <row r="3739" spans="1:29" ht="20.25" customHeight="1">
      <c r="A3739" s="217"/>
      <c r="G3739" s="188"/>
      <c r="H3739" s="178"/>
      <c r="I3739" s="188"/>
      <c r="J3739" s="188"/>
      <c r="K3739" s="188"/>
      <c r="L3739" s="242"/>
      <c r="M3739" s="194"/>
      <c r="N3739" s="190"/>
      <c r="O3739" s="190"/>
      <c r="P3739" s="188"/>
      <c r="Q3739" s="188"/>
      <c r="R3739" s="195"/>
      <c r="S3739" s="178"/>
      <c r="T3739" s="180"/>
      <c r="U3739" s="189" t="str">
        <f>IFERROR(IF(Tableau3[[#This Row],[Dettes]]=0,"",(Tableau3[[#This Row],[Dettes]]/Tableau3[[#This Row],[EBE]])),"")</f>
        <v/>
      </c>
      <c r="V3739" s="190" t="str">
        <f>IFERROR(Tableau3[[#This Row],[Fonds propres]]/Tableau3[[#This Row],[Total Bilan]],"")</f>
        <v/>
      </c>
      <c r="W3739" s="180"/>
      <c r="Y3739" s="180"/>
      <c r="Z3739" s="192" t="str">
        <f>IFERROR(Tableau3[[#This Row],[Chiffre d''affaires]]/Tableau3[[#This Row],[Salariés]],"")</f>
        <v/>
      </c>
      <c r="AA3739" s="177"/>
    </row>
    <row r="3740" spans="1:29" ht="20.25" customHeight="1">
      <c r="A3740" s="217"/>
      <c r="G3740" s="202"/>
      <c r="H3740" s="178"/>
      <c r="I3740" s="202"/>
      <c r="J3740" s="202"/>
      <c r="K3740" s="178"/>
      <c r="L3740" s="178"/>
      <c r="M3740" s="178"/>
      <c r="N3740" s="190"/>
      <c r="O3740" s="190"/>
      <c r="P3740" s="178"/>
      <c r="Q3740" s="188"/>
      <c r="R3740" s="195"/>
      <c r="S3740" s="178"/>
      <c r="T3740" s="180"/>
      <c r="U3740" s="189" t="str">
        <f>IFERROR(IF(Tableau3[[#This Row],[Dettes]]=0,"",(Tableau3[[#This Row],[Dettes]]/Tableau3[[#This Row],[EBE]])),"")</f>
        <v/>
      </c>
      <c r="V3740" s="190" t="str">
        <f>IFERROR(Tableau3[[#This Row],[Fonds propres]]/Tableau3[[#This Row],[Total Bilan]],"")</f>
        <v/>
      </c>
      <c r="W3740" s="180"/>
      <c r="Y3740" s="180"/>
      <c r="Z3740" s="192" t="str">
        <f>IFERROR(Tableau3[[#This Row],[Chiffre d''affaires]]/Tableau3[[#This Row],[Salariés]],"")</f>
        <v/>
      </c>
      <c r="AA3740" s="177"/>
    </row>
    <row r="3741" spans="1:29" ht="20.25" customHeight="1">
      <c r="A3741" s="217" t="s">
        <v>2609</v>
      </c>
      <c r="B3741" s="216" t="s">
        <v>2610</v>
      </c>
      <c r="C3741" s="178" t="s">
        <v>382</v>
      </c>
      <c r="D3741" s="178" t="s">
        <v>383</v>
      </c>
      <c r="F3741" s="178">
        <v>2025</v>
      </c>
      <c r="G3741" s="202"/>
      <c r="H3741" s="178"/>
      <c r="I3741" s="202"/>
      <c r="J3741" s="202"/>
      <c r="K3741" s="178"/>
      <c r="L3741" s="178"/>
      <c r="M3741" s="178"/>
      <c r="N3741" s="190"/>
      <c r="O3741" s="190"/>
      <c r="P3741" s="178"/>
      <c r="Q3741" s="188"/>
      <c r="R3741" s="195"/>
      <c r="S3741" s="178"/>
      <c r="T3741" s="180"/>
      <c r="U3741" s="189" t="str">
        <f>IFERROR(IF(Tableau3[[#This Row],[Dettes]]=0,"",(Tableau3[[#This Row],[Dettes]]/Tableau3[[#This Row],[EBE]])),"")</f>
        <v/>
      </c>
      <c r="V3741" s="190" t="str">
        <f>IFERROR(Tableau3[[#This Row],[Fonds propres]]/Tableau3[[#This Row],[Total Bilan]],"")</f>
        <v/>
      </c>
      <c r="W3741" s="180"/>
      <c r="Y3741" s="180"/>
      <c r="Z3741" s="192" t="str">
        <f>IFERROR(Tableau3[[#This Row],[Chiffre d''affaires]]/Tableau3[[#This Row],[Salariés]],"")</f>
        <v/>
      </c>
      <c r="AA3741" s="177"/>
    </row>
    <row r="3742" spans="1:29" ht="20.25" customHeight="1">
      <c r="A3742" s="217"/>
      <c r="G3742" s="202"/>
      <c r="H3742" s="178"/>
      <c r="I3742" s="202"/>
      <c r="J3742" s="202"/>
      <c r="K3742" s="178"/>
      <c r="L3742" s="178"/>
      <c r="M3742" s="178"/>
      <c r="N3742" s="190"/>
      <c r="O3742" s="190"/>
      <c r="P3742" s="178"/>
      <c r="Q3742" s="188"/>
      <c r="R3742" s="195"/>
      <c r="S3742" s="178"/>
      <c r="T3742" s="180"/>
      <c r="U3742" s="189" t="str">
        <f>IFERROR(IF(Tableau3[[#This Row],[Dettes]]=0,"",(Tableau3[[#This Row],[Dettes]]/Tableau3[[#This Row],[EBE]])),"")</f>
        <v/>
      </c>
      <c r="V3742" s="190" t="str">
        <f>IFERROR(Tableau3[[#This Row],[Fonds propres]]/Tableau3[[#This Row],[Total Bilan]],"")</f>
        <v/>
      </c>
      <c r="W3742" s="180"/>
      <c r="Y3742" s="180"/>
      <c r="Z3742" s="192" t="str">
        <f>IFERROR(Tableau3[[#This Row],[Chiffre d''affaires]]/Tableau3[[#This Row],[Salariés]],"")</f>
        <v/>
      </c>
      <c r="AA3742" s="177"/>
    </row>
    <row r="3743" spans="1:29" ht="20.25" customHeight="1">
      <c r="A3743" s="217"/>
      <c r="E3743" s="187">
        <v>153.62</v>
      </c>
      <c r="F3743" s="178">
        <v>2024</v>
      </c>
      <c r="G3743" s="188"/>
      <c r="H3743" s="178"/>
      <c r="I3743" s="188"/>
      <c r="J3743" s="188"/>
      <c r="K3743" s="188"/>
      <c r="L3743" s="242"/>
      <c r="M3743" s="194"/>
      <c r="N3743" s="190"/>
      <c r="O3743" s="190"/>
      <c r="P3743" s="188">
        <v>1114000000</v>
      </c>
      <c r="Q3743" s="211">
        <f>Tableau3[[#This Row],[Cours]]*Tableau3[[#This Row],[Titres]]</f>
        <v>171132680000</v>
      </c>
      <c r="R3743" s="195"/>
      <c r="S3743" s="178"/>
      <c r="T3743" s="180"/>
      <c r="U3743" s="189" t="str">
        <f>IFERROR(IF(Tableau3[[#This Row],[Dettes]]=0,"",(Tableau3[[#This Row],[Dettes]]/Tableau3[[#This Row],[EBE]])),"")</f>
        <v/>
      </c>
      <c r="V3743" s="190" t="str">
        <f>IFERROR(Tableau3[[#This Row],[Fonds propres]]/Tableau3[[#This Row],[Total Bilan]],"")</f>
        <v/>
      </c>
      <c r="W3743" s="180"/>
      <c r="Y3743" s="180"/>
      <c r="Z3743" s="192" t="str">
        <f>IFERROR(Tableau3[[#This Row],[Chiffre d''affaires]]/Tableau3[[#This Row],[Salariés]],"")</f>
        <v/>
      </c>
      <c r="AA3743" s="177"/>
    </row>
    <row r="3744" spans="1:29" ht="20.25" customHeight="1">
      <c r="A3744" s="217"/>
      <c r="G3744" s="188"/>
      <c r="H3744" s="178"/>
      <c r="I3744" s="188"/>
      <c r="J3744" s="188"/>
      <c r="K3744" s="188"/>
      <c r="L3744" s="242"/>
      <c r="M3744" s="194"/>
      <c r="N3744" s="190"/>
      <c r="O3744" s="190"/>
      <c r="P3744" s="188"/>
      <c r="Q3744" s="188"/>
      <c r="R3744" s="195"/>
      <c r="S3744" s="178"/>
      <c r="T3744" s="180"/>
      <c r="U3744" s="189" t="str">
        <f>IFERROR(IF(Tableau3[[#This Row],[Dettes]]=0,"",(Tableau3[[#This Row],[Dettes]]/Tableau3[[#This Row],[EBE]])),"")</f>
        <v/>
      </c>
      <c r="V3744" s="190" t="str">
        <f>IFERROR(Tableau3[[#This Row],[Fonds propres]]/Tableau3[[#This Row],[Total Bilan]],"")</f>
        <v/>
      </c>
      <c r="W3744" s="180"/>
      <c r="Y3744" s="180"/>
      <c r="Z3744" s="192" t="str">
        <f>IFERROR(Tableau3[[#This Row],[Chiffre d''affaires]]/Tableau3[[#This Row],[Salariés]],"")</f>
        <v/>
      </c>
      <c r="AA3744" s="177"/>
    </row>
    <row r="3745" spans="1:29" ht="20.25" customHeight="1">
      <c r="A3745" s="217"/>
      <c r="E3745" s="178">
        <v>144.6</v>
      </c>
      <c r="F3745" s="178">
        <v>2023</v>
      </c>
      <c r="G3745" s="188">
        <v>35820000000</v>
      </c>
      <c r="H3745" s="188">
        <v>9946000000</v>
      </c>
      <c r="I3745" s="188">
        <v>7788000000</v>
      </c>
      <c r="J3745" s="188">
        <v>7339000000</v>
      </c>
      <c r="K3745" s="188"/>
      <c r="L3745" s="188">
        <v>21581000000</v>
      </c>
      <c r="M3745" s="194">
        <f>L3745/P3745</f>
        <v>19.372531418312388</v>
      </c>
      <c r="N3745" s="190">
        <f>J3745/L3745</f>
        <v>0.34006765210138545</v>
      </c>
      <c r="O3745" s="190">
        <f>(I3745*0.7)/(K3745+L3745)</f>
        <v>0.25261109309114499</v>
      </c>
      <c r="P3745" s="188">
        <v>1114000000</v>
      </c>
      <c r="Q3745" s="211">
        <f>Tableau3[[#This Row],[Cours]]*Tableau3[[#This Row],[Titres]]</f>
        <v>161084400000</v>
      </c>
      <c r="R3745" s="195">
        <f>Q3745/L3745</f>
        <v>7.4641768222047169</v>
      </c>
      <c r="S3745" s="197">
        <f>(Q3745+K3745)/H3745</f>
        <v>16.195897848381257</v>
      </c>
      <c r="T3745" s="180"/>
      <c r="U3745" s="189" t="str">
        <f>IFERROR(IF(Tableau3[[#This Row],[Dettes]]=0,"",(Tableau3[[#This Row],[Dettes]]/Tableau3[[#This Row],[EBE]])),"")</f>
        <v/>
      </c>
      <c r="V3745" s="190">
        <f>IFERROR(Tableau3[[#This Row],[Fonds propres]]/Tableau3[[#This Row],[Total Bilan]],"")</f>
        <v>0.42282523510971787</v>
      </c>
      <c r="W3745" s="180">
        <v>51040000000</v>
      </c>
      <c r="Y3745" s="180">
        <v>50000</v>
      </c>
      <c r="Z3745" s="192">
        <f>IFERROR(Tableau3[[#This Row],[Chiffre d''affaires]]/Tableau3[[#This Row],[Salariés]],"")</f>
        <v>716400</v>
      </c>
      <c r="AA3745" s="177"/>
    </row>
    <row r="3746" spans="1:29" ht="20.25" customHeight="1">
      <c r="A3746" s="217"/>
      <c r="G3746" s="202">
        <f>(G3745/G3747)-1</f>
        <v>-0.18959276018099547</v>
      </c>
      <c r="H3746" s="202">
        <f>(H3745/H3747)-1</f>
        <v>-0.42342028985507252</v>
      </c>
      <c r="I3746" s="202">
        <f>(I3745/I3747)-1</f>
        <v>-0.50895334174022699</v>
      </c>
      <c r="J3746" s="202">
        <f>(J3745/J3747)-1</f>
        <v>-0.43485291852764518</v>
      </c>
      <c r="K3746" s="188"/>
      <c r="L3746" s="188"/>
      <c r="M3746" s="178"/>
      <c r="N3746" s="178"/>
      <c r="O3746" s="178"/>
      <c r="P3746" s="188"/>
      <c r="Q3746" s="178"/>
      <c r="R3746" s="195"/>
      <c r="S3746" s="197"/>
      <c r="T3746" s="180"/>
      <c r="U3746" s="189" t="str">
        <f>IFERROR(IF(Tableau3[[#This Row],[Dettes]]=0,"",(Tableau3[[#This Row],[Dettes]]/Tableau3[[#This Row],[EBE]])),"")</f>
        <v/>
      </c>
      <c r="V3746" s="190" t="str">
        <f>IFERROR(Tableau3[[#This Row],[Fonds propres]]/Tableau3[[#This Row],[Total Bilan]],"")</f>
        <v/>
      </c>
      <c r="W3746" s="180"/>
      <c r="Y3746" s="180"/>
      <c r="Z3746" s="192" t="str">
        <f>IFERROR(Tableau3[[#This Row],[Chiffre d''affaires]]/Tableau3[[#This Row],[Salariés]],"")</f>
        <v/>
      </c>
      <c r="AA3746" s="177"/>
    </row>
    <row r="3747" spans="1:29" ht="20.25" customHeight="1">
      <c r="A3747" s="217"/>
      <c r="E3747" s="187">
        <v>110.01</v>
      </c>
      <c r="F3747" s="178">
        <v>2022</v>
      </c>
      <c r="G3747" s="188">
        <v>44200000000</v>
      </c>
      <c r="H3747" s="188">
        <v>17250000000</v>
      </c>
      <c r="I3747" s="188">
        <v>15860000000</v>
      </c>
      <c r="J3747" s="188">
        <v>12986000000</v>
      </c>
      <c r="K3747" s="188"/>
      <c r="L3747" s="188">
        <v>18013000000</v>
      </c>
      <c r="M3747" s="194">
        <f>L3747/P3747</f>
        <v>16.068688670829616</v>
      </c>
      <c r="N3747" s="190">
        <f>J3747/L3747</f>
        <v>0.72092377727197021</v>
      </c>
      <c r="O3747" s="190">
        <f>(I3747*0.7)/(K3747+L3747)</f>
        <v>0.61633264864264703</v>
      </c>
      <c r="P3747" s="188">
        <v>1121000000</v>
      </c>
      <c r="Q3747" s="211">
        <f>Tableau3[[#This Row],[Cours]]*Tableau3[[#This Row],[Titres]]</f>
        <v>123321210000</v>
      </c>
      <c r="R3747" s="195">
        <f>Q3747/L3747</f>
        <v>6.8462338311219675</v>
      </c>
      <c r="S3747" s="197">
        <f>(Q3747+K3747)/H3747</f>
        <v>7.1490556521739128</v>
      </c>
      <c r="T3747" s="180"/>
      <c r="U3747" s="189" t="str">
        <f>IFERROR(IF(Tableau3[[#This Row],[Dettes]]=0,"",(Tableau3[[#This Row],[Dettes]]/Tableau3[[#This Row],[EBE]])),"")</f>
        <v/>
      </c>
      <c r="V3747" s="190">
        <f>IFERROR(Tableau3[[#This Row],[Fonds propres]]/Tableau3[[#This Row],[Total Bilan]],"")</f>
        <v>0.36750724282857961</v>
      </c>
      <c r="W3747" s="180">
        <v>49014000000</v>
      </c>
      <c r="Y3747" s="180">
        <v>51000</v>
      </c>
      <c r="Z3747" s="192">
        <f>IFERROR(Tableau3[[#This Row],[Chiffre d''affaires]]/Tableau3[[#This Row],[Salariés]],"")</f>
        <v>866666.66666666663</v>
      </c>
      <c r="AA3747" s="177"/>
    </row>
    <row r="3748" spans="1:29" ht="20.25" customHeight="1">
      <c r="A3748" s="217"/>
      <c r="G3748" s="202">
        <f>(G3747/G3749)-1</f>
        <v>0.31680867544539115</v>
      </c>
      <c r="H3748" s="202">
        <f>(H3747/H3749)-1</f>
        <v>0.38944824808699163</v>
      </c>
      <c r="I3748" s="202">
        <f>(I3747/I3749)-1</f>
        <v>0.62018592297476749</v>
      </c>
      <c r="J3748" s="202">
        <f>(J3747/J3749)-1</f>
        <v>0.43602786685834349</v>
      </c>
      <c r="K3748" s="188"/>
      <c r="L3748" s="188"/>
      <c r="M3748" s="178"/>
      <c r="N3748" s="178"/>
      <c r="O3748" s="178"/>
      <c r="P3748" s="188"/>
      <c r="Q3748" s="178"/>
      <c r="R3748" s="195"/>
      <c r="S3748" s="197"/>
      <c r="T3748" s="180"/>
      <c r="U3748" s="189" t="str">
        <f>IFERROR(IF(Tableau3[[#This Row],[Dettes]]=0,"",(Tableau3[[#This Row],[Dettes]]/Tableau3[[#This Row],[EBE]])),"")</f>
        <v/>
      </c>
      <c r="V3748" s="190" t="str">
        <f>IFERROR(Tableau3[[#This Row],[Fonds propres]]/Tableau3[[#This Row],[Total Bilan]],"")</f>
        <v/>
      </c>
      <c r="W3748" s="180"/>
      <c r="Y3748" s="180"/>
      <c r="Z3748" s="192" t="str">
        <f>IFERROR(Tableau3[[#This Row],[Chiffre d''affaires]]/Tableau3[[#This Row],[Salariés]],"")</f>
        <v/>
      </c>
      <c r="AA3748" s="177"/>
    </row>
    <row r="3749" spans="1:29" ht="20.25" customHeight="1">
      <c r="A3749" s="217"/>
      <c r="E3749" s="178">
        <v>182.8</v>
      </c>
      <c r="F3749" s="178">
        <v>2021</v>
      </c>
      <c r="G3749" s="188">
        <v>33566000000</v>
      </c>
      <c r="H3749" s="188">
        <v>12415000000</v>
      </c>
      <c r="I3749" s="188">
        <v>9789000000</v>
      </c>
      <c r="J3749" s="188">
        <v>9043000000</v>
      </c>
      <c r="K3749" s="188"/>
      <c r="L3749" s="188">
        <v>9950000000</v>
      </c>
      <c r="M3749" s="194">
        <f>L3749/P3749</f>
        <v>8.844444444444445</v>
      </c>
      <c r="N3749" s="190">
        <f>J3749/L3749</f>
        <v>0.90884422110552765</v>
      </c>
      <c r="O3749" s="190">
        <f>(I3749*0.7)/(K3749+L3749)</f>
        <v>0.68867336683417091</v>
      </c>
      <c r="P3749" s="188">
        <v>1125000000</v>
      </c>
      <c r="Q3749" s="211">
        <f>Tableau3[[#This Row],[Cours]]*Tableau3[[#This Row],[Titres]]</f>
        <v>205650000000</v>
      </c>
      <c r="R3749" s="195">
        <f>Q3749/L3749</f>
        <v>20.668341708542712</v>
      </c>
      <c r="S3749" s="197">
        <f>(Q3749+K3749)/H3749</f>
        <v>16.564639548932742</v>
      </c>
      <c r="T3749" s="180"/>
      <c r="U3749" s="189" t="str">
        <f>IFERROR(IF(Tableau3[[#This Row],[Dettes]]=0,"",(Tableau3[[#This Row],[Dettes]]/Tableau3[[#This Row],[EBE]])),"")</f>
        <v/>
      </c>
      <c r="V3749" s="190">
        <f>IFERROR(Tableau3[[#This Row],[Fonds propres]]/Tableau3[[#This Row],[Total Bilan]],"")</f>
        <v>0.241270611057226</v>
      </c>
      <c r="W3749" s="180">
        <v>41240000000</v>
      </c>
      <c r="Y3749" s="180">
        <v>45000</v>
      </c>
      <c r="Z3749" s="192">
        <f>IFERROR(Tableau3[[#This Row],[Chiffre d''affaires]]/Tableau3[[#This Row],[Salariés]],"")</f>
        <v>745911.11111111112</v>
      </c>
      <c r="AA3749" s="177"/>
    </row>
    <row r="3750" spans="1:29" ht="20.25" customHeight="1">
      <c r="A3750" s="217"/>
      <c r="G3750" s="202">
        <f>(G3749/G3751)-1</f>
        <v>0.42645871403680258</v>
      </c>
      <c r="H3750" s="202">
        <f>(H3749/H3751)-1</f>
        <v>0.60941145968369193</v>
      </c>
      <c r="I3750" s="202">
        <f>(I3749/I3751)-1</f>
        <v>0.56498800959232609</v>
      </c>
      <c r="J3750" s="202">
        <f>(J3749/J3751)-1</f>
        <v>0.73970757983839941</v>
      </c>
      <c r="K3750" s="188"/>
      <c r="L3750" s="188"/>
      <c r="M3750" s="178"/>
      <c r="N3750" s="178"/>
      <c r="O3750" s="178"/>
      <c r="P3750" s="188"/>
      <c r="Q3750" s="178"/>
      <c r="R3750" s="195"/>
      <c r="S3750" s="197"/>
      <c r="T3750" s="180"/>
      <c r="U3750" s="189" t="str">
        <f>IFERROR(IF(Tableau3[[#This Row],[Dettes]]=0,"",(Tableau3[[#This Row],[Dettes]]/Tableau3[[#This Row],[EBE]])),"")</f>
        <v/>
      </c>
      <c r="V3750" s="190" t="str">
        <f>IFERROR(Tableau3[[#This Row],[Fonds propres]]/Tableau3[[#This Row],[Total Bilan]],"")</f>
        <v/>
      </c>
      <c r="W3750" s="180"/>
      <c r="Y3750" s="180"/>
      <c r="Z3750" s="192" t="str">
        <f>IFERROR(Tableau3[[#This Row],[Chiffre d''affaires]]/Tableau3[[#This Row],[Salariés]],"")</f>
        <v/>
      </c>
      <c r="AA3750" s="177"/>
    </row>
    <row r="3751" spans="1:29" ht="20.25" customHeight="1">
      <c r="A3751" s="217"/>
      <c r="E3751" s="178">
        <v>152.30000000000001</v>
      </c>
      <c r="F3751" s="178">
        <v>2020</v>
      </c>
      <c r="G3751" s="188">
        <v>23531000000</v>
      </c>
      <c r="H3751" s="188">
        <v>7714000000</v>
      </c>
      <c r="I3751" s="188">
        <v>6255000000</v>
      </c>
      <c r="J3751" s="188">
        <v>5198000000</v>
      </c>
      <c r="K3751" s="188"/>
      <c r="L3751" s="188">
        <v>6077000000</v>
      </c>
      <c r="M3751" s="194">
        <f>L3751/P3751</f>
        <v>5.3731211317418213</v>
      </c>
      <c r="N3751" s="190">
        <f>J3751/L3751</f>
        <v>0.8553562613131479</v>
      </c>
      <c r="O3751" s="190">
        <f>(I3751*0.7)/(K3751+L3751)</f>
        <v>0.72050353792989963</v>
      </c>
      <c r="P3751" s="188">
        <v>1131000000</v>
      </c>
      <c r="Q3751" s="211">
        <f>Tableau3[[#This Row],[Cours]]*Tableau3[[#This Row],[Titres]]</f>
        <v>172251300000</v>
      </c>
      <c r="R3751" s="195">
        <f>Q3751/L3751</f>
        <v>28.344791838077999</v>
      </c>
      <c r="S3751" s="197">
        <f>(Q3751+K3751)/H3751</f>
        <v>22.329699248120299</v>
      </c>
      <c r="T3751" s="180"/>
      <c r="U3751" s="189" t="str">
        <f>IFERROR(IF(Tableau3[[#This Row],[Dettes]]=0,"",(Tableau3[[#This Row],[Dettes]]/Tableau3[[#This Row],[EBE]])),"")</f>
        <v/>
      </c>
      <c r="V3751" s="190">
        <f>IFERROR(Tableau3[[#This Row],[Fonds propres]]/Tableau3[[#This Row],[Total Bilan]],"")</f>
        <v>0.17073102208237342</v>
      </c>
      <c r="W3751" s="180">
        <v>35594000000</v>
      </c>
      <c r="Y3751" s="180">
        <v>41000</v>
      </c>
      <c r="Z3751" s="192">
        <f>IFERROR(Tableau3[[#This Row],[Chiffre d''affaires]]/Tableau3[[#This Row],[Salariés]],"")</f>
        <v>573926.82926829264</v>
      </c>
      <c r="AA3751" s="177"/>
    </row>
    <row r="3752" spans="1:29" ht="20.25" customHeight="1">
      <c r="A3752" s="217"/>
      <c r="G3752" s="202">
        <f>(G3751/G3753)-1</f>
        <v>-3.056894491822193E-2</v>
      </c>
      <c r="H3752" s="202">
        <f>(H3751/H3753)-1</f>
        <v>-0.18876853507203706</v>
      </c>
      <c r="I3752" s="202">
        <f>(I3751/I3753)-1</f>
        <v>-0.18416590583018133</v>
      </c>
      <c r="J3752" s="202">
        <f>(J3751/J3753)-1</f>
        <v>0.18513451892384869</v>
      </c>
      <c r="K3752" s="188"/>
      <c r="L3752" s="188"/>
      <c r="M3752" s="178"/>
      <c r="N3752" s="178"/>
      <c r="O3752" s="178"/>
      <c r="P3752" s="188"/>
      <c r="Q3752" s="178"/>
      <c r="R3752" s="195"/>
      <c r="S3752" s="197"/>
      <c r="T3752" s="180"/>
      <c r="U3752" s="189" t="str">
        <f>IFERROR(IF(Tableau3[[#This Row],[Dettes]]=0,"",(Tableau3[[#This Row],[Dettes]]/Tableau3[[#This Row],[EBE]])),"")</f>
        <v/>
      </c>
      <c r="V3752" s="190" t="str">
        <f>IFERROR(Tableau3[[#This Row],[Fonds propres]]/Tableau3[[#This Row],[Total Bilan]],"")</f>
        <v/>
      </c>
      <c r="W3752" s="180"/>
      <c r="Y3752" s="180"/>
      <c r="Z3752" s="192" t="str">
        <f>IFERROR(Tableau3[[#This Row],[Chiffre d''affaires]]/Tableau3[[#This Row],[Salariés]],"")</f>
        <v/>
      </c>
      <c r="AA3752" s="177"/>
    </row>
    <row r="3753" spans="1:29" ht="20.25" customHeight="1">
      <c r="A3753" s="217"/>
      <c r="E3753" s="178">
        <v>88.23</v>
      </c>
      <c r="F3753" s="178">
        <v>2019</v>
      </c>
      <c r="G3753" s="188">
        <v>24273000000</v>
      </c>
      <c r="H3753" s="188">
        <v>9509000000</v>
      </c>
      <c r="I3753" s="188">
        <v>7667000000</v>
      </c>
      <c r="J3753" s="188">
        <v>4386000000</v>
      </c>
      <c r="K3753" s="188"/>
      <c r="L3753" s="188">
        <v>4909000000</v>
      </c>
      <c r="M3753" s="194">
        <f>L3753/P3753</f>
        <v>4.2873362445414847</v>
      </c>
      <c r="N3753" s="190">
        <f>J3753/L3753</f>
        <v>0.89346099001833368</v>
      </c>
      <c r="O3753" s="190">
        <f>(I3753*0.7)/(K3753+L3753)</f>
        <v>1.0932776532898758</v>
      </c>
      <c r="P3753" s="188">
        <v>1145000000</v>
      </c>
      <c r="Q3753" s="211">
        <f>Tableau3[[#This Row],[Cours]]*Tableau3[[#This Row],[Titres]]</f>
        <v>101023350000</v>
      </c>
      <c r="R3753" s="195">
        <f>Q3753/L3753</f>
        <v>20.579211652067631</v>
      </c>
      <c r="S3753" s="197">
        <f>(Q3753+K3753)/H3753</f>
        <v>10.623972026501209</v>
      </c>
      <c r="T3753" s="180"/>
      <c r="U3753" s="189" t="str">
        <f>IFERROR(IF(Tableau3[[#This Row],[Dettes]]=0,"",(Tableau3[[#This Row],[Dettes]]/Tableau3[[#This Row],[EBE]])),"")</f>
        <v/>
      </c>
      <c r="V3753" s="190">
        <f>IFERROR(Tableau3[[#This Row],[Fonds propres]]/Tableau3[[#This Row],[Total Bilan]],"")</f>
        <v>0.1489516642898322</v>
      </c>
      <c r="W3753" s="180">
        <v>32957000000</v>
      </c>
      <c r="Y3753" s="180">
        <v>37000</v>
      </c>
      <c r="Z3753" s="192">
        <f>IFERROR(Tableau3[[#This Row],[Chiffre d''affaires]]/Tableau3[[#This Row],[Salariés]],"")</f>
        <v>656027.02702702698</v>
      </c>
      <c r="AA3753" s="177"/>
    </row>
    <row r="3754" spans="1:29" ht="20.25" customHeight="1">
      <c r="A3754" s="217"/>
      <c r="G3754" s="188"/>
      <c r="H3754" s="188"/>
      <c r="I3754" s="188"/>
      <c r="J3754" s="188"/>
      <c r="K3754" s="188"/>
      <c r="L3754" s="188"/>
      <c r="M3754" s="178"/>
      <c r="N3754" s="178"/>
      <c r="O3754" s="178"/>
      <c r="P3754" s="188"/>
      <c r="Q3754" s="178"/>
      <c r="R3754" s="195"/>
      <c r="S3754" s="197"/>
      <c r="T3754" s="180"/>
      <c r="U3754" s="189" t="str">
        <f>IFERROR(IF(Tableau3[[#This Row],[Dettes]]=0,"",(Tableau3[[#This Row],[Dettes]]/Tableau3[[#This Row],[EBE]])),"")</f>
        <v/>
      </c>
      <c r="V3754" s="190" t="str">
        <f>IFERROR(Tableau3[[#This Row],[Fonds propres]]/Tableau3[[#This Row],[Total Bilan]],"")</f>
        <v/>
      </c>
      <c r="W3754" s="180"/>
      <c r="Y3754" s="180"/>
      <c r="Z3754" s="192" t="str">
        <f>IFERROR(Tableau3[[#This Row],[Chiffre d''affaires]]/Tableau3[[#This Row],[Salariés]],"")</f>
        <v/>
      </c>
      <c r="AA3754" s="177"/>
    </row>
    <row r="3755" spans="1:29" ht="20.25" customHeight="1">
      <c r="A3755" s="217"/>
      <c r="G3755" s="188"/>
      <c r="H3755" s="178"/>
      <c r="I3755" s="188"/>
      <c r="J3755" s="188"/>
      <c r="K3755" s="188"/>
      <c r="L3755" s="242"/>
      <c r="M3755" s="194"/>
      <c r="N3755" s="190"/>
      <c r="O3755" s="190"/>
      <c r="P3755" s="188"/>
      <c r="Q3755" s="188"/>
      <c r="R3755" s="195"/>
      <c r="S3755" s="234" t="s">
        <v>2611</v>
      </c>
      <c r="T3755" s="180"/>
      <c r="U3755" s="189" t="str">
        <f>IFERROR(IF(Tableau3[[#This Row],[Dettes]]=0,"",(Tableau3[[#This Row],[Dettes]]/Tableau3[[#This Row],[EBE]])),"")</f>
        <v/>
      </c>
      <c r="V3755" s="190" t="str">
        <f>IFERROR(Tableau3[[#This Row],[Fonds propres]]/Tableau3[[#This Row],[Total Bilan]],"")</f>
        <v/>
      </c>
      <c r="W3755" s="180"/>
      <c r="Y3755" s="180"/>
      <c r="Z3755" s="192" t="str">
        <f>IFERROR(Tableau3[[#This Row],[Chiffre d''affaires]]/Tableau3[[#This Row],[Salariés]],"")</f>
        <v/>
      </c>
      <c r="AA3755" s="177"/>
    </row>
    <row r="3756" spans="1:29" ht="20.25" customHeight="1">
      <c r="A3756" s="217"/>
      <c r="G3756" s="188"/>
      <c r="H3756" s="178"/>
      <c r="I3756" s="188"/>
      <c r="J3756" s="188"/>
      <c r="K3756" s="188"/>
      <c r="L3756" s="242"/>
      <c r="M3756" s="194"/>
      <c r="N3756" s="190"/>
      <c r="O3756" s="190"/>
      <c r="P3756" s="188"/>
      <c r="Q3756" s="188"/>
      <c r="R3756" s="195"/>
      <c r="S3756" s="178"/>
      <c r="T3756" s="180"/>
      <c r="U3756" s="189" t="str">
        <f>IFERROR(IF(Tableau3[[#This Row],[Dettes]]=0,"",(Tableau3[[#This Row],[Dettes]]/Tableau3[[#This Row],[EBE]])),"")</f>
        <v/>
      </c>
      <c r="V3756" s="190" t="str">
        <f>IFERROR(Tableau3[[#This Row],[Fonds propres]]/Tableau3[[#This Row],[Total Bilan]],"")</f>
        <v/>
      </c>
      <c r="W3756" s="180"/>
      <c r="Y3756" s="180"/>
      <c r="Z3756" s="192" t="str">
        <f>IFERROR(Tableau3[[#This Row],[Chiffre d''affaires]]/Tableau3[[#This Row],[Salariés]],"")</f>
        <v/>
      </c>
      <c r="AA3756" s="177"/>
    </row>
    <row r="3757" spans="1:29" ht="20.25" customHeight="1">
      <c r="A3757" s="217" t="s">
        <v>2612</v>
      </c>
      <c r="B3757" s="216" t="s">
        <v>2610</v>
      </c>
      <c r="C3757" s="178" t="s">
        <v>382</v>
      </c>
      <c r="D3757" s="178" t="s">
        <v>383</v>
      </c>
      <c r="E3757" s="187">
        <v>120</v>
      </c>
      <c r="F3757" s="178">
        <v>2026</v>
      </c>
      <c r="G3757" s="188">
        <v>172000000000</v>
      </c>
      <c r="H3757" s="178"/>
      <c r="I3757" s="188">
        <v>120000000000</v>
      </c>
      <c r="J3757" s="188">
        <v>110000000000</v>
      </c>
      <c r="K3757" s="188">
        <v>-95000000000</v>
      </c>
      <c r="L3757" s="242">
        <v>166000000000</v>
      </c>
      <c r="M3757" s="194">
        <f>L3757/P3757</f>
        <v>6.7810457516339868</v>
      </c>
      <c r="N3757" s="190">
        <f>J3757/L3757</f>
        <v>0.66265060240963858</v>
      </c>
      <c r="O3757" s="190">
        <f>(I3757*0.7)/(K3757+L3757)</f>
        <v>1.1830985915492958</v>
      </c>
      <c r="P3757" s="188">
        <v>24480000000</v>
      </c>
      <c r="Q3757" s="188">
        <f>P3757*E3757</f>
        <v>2937600000000</v>
      </c>
      <c r="R3757" s="195">
        <f>Q3757/L3757</f>
        <v>17.696385542168674</v>
      </c>
      <c r="S3757" s="197">
        <f>(Q3757+K3757)/I3757</f>
        <v>23.688333333333333</v>
      </c>
      <c r="T3757" s="180"/>
      <c r="U3757" s="189" t="str">
        <f>IFERROR(IF(Tableau3[[#This Row],[Dettes]]=0,"",(Tableau3[[#This Row],[Dettes]]/Tableau3[[#This Row],[EBE]])),"")</f>
        <v/>
      </c>
      <c r="V3757" s="190" t="str">
        <f>IFERROR(Tableau3[[#This Row],[Fonds propres]]/Tableau3[[#This Row],[Total Bilan]],"")</f>
        <v/>
      </c>
      <c r="W3757" s="180"/>
      <c r="Y3757" s="180"/>
      <c r="Z3757" s="192" t="str">
        <f>IFERROR(Tableau3[[#This Row],[Chiffre d''affaires]]/Tableau3[[#This Row],[Salariés]],"")</f>
        <v/>
      </c>
      <c r="AA3757" s="177"/>
      <c r="AC3757" s="177" t="s">
        <v>2613</v>
      </c>
    </row>
    <row r="3758" spans="1:29" ht="20.25" customHeight="1">
      <c r="A3758" s="217"/>
      <c r="G3758" s="202">
        <f>(G3757/G3759)-1</f>
        <v>0.31800766283524906</v>
      </c>
      <c r="H3758" s="202"/>
      <c r="I3758" s="202">
        <f>(I3757/I3759)-1</f>
        <v>0.47329650092081033</v>
      </c>
      <c r="J3758" s="202">
        <f>(J3757/J3759)-1</f>
        <v>0.50933040614709113</v>
      </c>
      <c r="K3758" s="188"/>
      <c r="L3758" s="242"/>
      <c r="M3758" s="194"/>
      <c r="N3758" s="190"/>
      <c r="O3758" s="190"/>
      <c r="P3758" s="188"/>
      <c r="Q3758" s="188"/>
      <c r="R3758" s="195"/>
      <c r="S3758" s="178"/>
      <c r="T3758" s="180"/>
      <c r="U3758" s="189" t="str">
        <f>IFERROR(IF(Tableau3[[#This Row],[Dettes]]=0,"",(Tableau3[[#This Row],[Dettes]]/Tableau3[[#This Row],[EBE]])),"")</f>
        <v/>
      </c>
      <c r="V3758" s="190" t="str">
        <f>IFERROR(Tableau3[[#This Row],[Fonds propres]]/Tableau3[[#This Row],[Total Bilan]],"")</f>
        <v/>
      </c>
      <c r="W3758" s="180"/>
      <c r="Y3758" s="180"/>
      <c r="Z3758" s="192" t="str">
        <f>IFERROR(Tableau3[[#This Row],[Chiffre d''affaires]]/Tableau3[[#This Row],[Salariés]],"")</f>
        <v/>
      </c>
      <c r="AA3758" s="177"/>
      <c r="AC3758" s="177" t="s">
        <v>4722</v>
      </c>
    </row>
    <row r="3759" spans="1:29" ht="20.25" customHeight="1">
      <c r="A3759" s="217"/>
      <c r="E3759" s="187">
        <v>134.29</v>
      </c>
      <c r="F3759" s="178">
        <v>2025</v>
      </c>
      <c r="G3759" s="188">
        <v>130500000000</v>
      </c>
      <c r="H3759" s="178"/>
      <c r="I3759" s="188">
        <v>81450000000</v>
      </c>
      <c r="J3759" s="188">
        <v>72880000000</v>
      </c>
      <c r="K3759" s="188">
        <v>-32940000000</v>
      </c>
      <c r="L3759" s="242">
        <v>65899000000</v>
      </c>
      <c r="M3759" s="194">
        <f>L3759/P3759</f>
        <v>2.6919526143790851</v>
      </c>
      <c r="N3759" s="190">
        <f>J3759/L3759</f>
        <v>1.1059348396789026</v>
      </c>
      <c r="O3759" s="190">
        <f>(I3759*0.7)/(K3759+L3759)</f>
        <v>1.729876513243727</v>
      </c>
      <c r="P3759" s="188">
        <v>24480000000</v>
      </c>
      <c r="Q3759" s="188">
        <f>P3759*E3759</f>
        <v>3287419200000</v>
      </c>
      <c r="R3759" s="195">
        <f>Q3759/L3759</f>
        <v>49.885722089864792</v>
      </c>
      <c r="S3759" s="197">
        <f>(Q3759+K3759)/I3759</f>
        <v>39.956773480662982</v>
      </c>
      <c r="T3759" s="180">
        <v>43668000000</v>
      </c>
      <c r="U3759" s="189" t="str">
        <f>IFERROR(IF(Tableau3[[#This Row],[Dettes]]=0,"",(Tableau3[[#This Row],[Dettes]]/Tableau3[[#This Row],[EBE]])),"")</f>
        <v/>
      </c>
      <c r="V3759" s="190">
        <f>IFERROR(Tableau3[[#This Row],[Fonds propres]]/Tableau3[[#This Row],[Total Bilan]],"")</f>
        <v>0.59049283154121868</v>
      </c>
      <c r="W3759" s="180">
        <v>111600000000</v>
      </c>
      <c r="Y3759" s="180">
        <v>36000</v>
      </c>
      <c r="Z3759" s="192">
        <f>IFERROR(Tableau3[[#This Row],[Chiffre d''affaires]]/Tableau3[[#This Row],[Salariés]],"")</f>
        <v>3625000</v>
      </c>
      <c r="AA3759" s="177"/>
      <c r="AC3759" s="177" t="s">
        <v>2614</v>
      </c>
    </row>
    <row r="3760" spans="1:29" ht="20.25" customHeight="1">
      <c r="A3760" s="217"/>
      <c r="G3760" s="202">
        <f>(G3759/G3761)-1</f>
        <v>1.1420833196546405</v>
      </c>
      <c r="H3760" s="202"/>
      <c r="I3760" s="202">
        <f>(I3759/I3761)-1</f>
        <v>1.327142857142857</v>
      </c>
      <c r="J3760" s="202">
        <f>(J3759/J3761)-1</f>
        <v>1.4489247311827955</v>
      </c>
      <c r="K3760" s="188"/>
      <c r="L3760" s="242"/>
      <c r="M3760" s="194"/>
      <c r="N3760" s="190"/>
      <c r="O3760" s="190"/>
      <c r="P3760" s="188"/>
      <c r="Q3760" s="188"/>
      <c r="R3760" s="195"/>
      <c r="S3760" s="178"/>
      <c r="T3760" s="180"/>
      <c r="U3760" s="189" t="str">
        <f>IFERROR(IF(Tableau3[[#This Row],[Dettes]]=0,"",(Tableau3[[#This Row],[Dettes]]/Tableau3[[#This Row],[EBE]])),"")</f>
        <v/>
      </c>
      <c r="V3760" s="190" t="str">
        <f>IFERROR(Tableau3[[#This Row],[Fonds propres]]/Tableau3[[#This Row],[Total Bilan]],"")</f>
        <v/>
      </c>
      <c r="W3760" s="180"/>
      <c r="Y3760" s="180"/>
      <c r="Z3760" s="192" t="str">
        <f>IFERROR(Tableau3[[#This Row],[Chiffre d''affaires]]/Tableau3[[#This Row],[Salariés]],"")</f>
        <v/>
      </c>
      <c r="AA3760" s="177"/>
      <c r="AC3760" s="177" t="s">
        <v>2616</v>
      </c>
    </row>
    <row r="3761" spans="1:29" ht="20.25" customHeight="1">
      <c r="A3761" s="217"/>
      <c r="E3761" s="178">
        <v>49.1</v>
      </c>
      <c r="F3761" s="178">
        <v>2024</v>
      </c>
      <c r="G3761" s="188">
        <v>60922000000</v>
      </c>
      <c r="H3761" s="178"/>
      <c r="I3761" s="188">
        <v>35000000000</v>
      </c>
      <c r="J3761" s="188">
        <v>29760000000</v>
      </c>
      <c r="K3761" s="188">
        <v>-14930000000</v>
      </c>
      <c r="L3761" s="242">
        <v>42978000000</v>
      </c>
      <c r="M3761" s="194">
        <f>L3761/P3761</f>
        <v>1.7414100486223663</v>
      </c>
      <c r="N3761" s="190">
        <f>J3761/L3761</f>
        <v>0.69244729861789756</v>
      </c>
      <c r="O3761" s="190">
        <f>(I3761*0.7)/(K3761+L3761)</f>
        <v>0.87350256702795204</v>
      </c>
      <c r="P3761" s="188">
        <v>24680000000</v>
      </c>
      <c r="Q3761" s="188">
        <f>P3761*E3761</f>
        <v>1211788000000</v>
      </c>
      <c r="R3761" s="195">
        <f>Q3761/L3761</f>
        <v>28.195541905160781</v>
      </c>
      <c r="S3761" s="197">
        <f>(Q3761+K3761)/I3761</f>
        <v>34.19594285714286</v>
      </c>
      <c r="T3761" s="180">
        <v>17524000000</v>
      </c>
      <c r="U3761" s="189" t="str">
        <f>IFERROR(IF(Tableau3[[#This Row],[Dettes]]=0,"",(Tableau3[[#This Row],[Dettes]]/Tableau3[[#This Row],[EBE]])),"")</f>
        <v/>
      </c>
      <c r="V3761" s="190">
        <f>IFERROR(Tableau3[[#This Row],[Fonds propres]]/Tableau3[[#This Row],[Total Bilan]],"")</f>
        <v>0.653876582278481</v>
      </c>
      <c r="W3761" s="180">
        <v>65728000000</v>
      </c>
      <c r="Y3761" s="180">
        <v>29600</v>
      </c>
      <c r="Z3761" s="192">
        <f>IFERROR(Tableau3[[#This Row],[Chiffre d''affaires]]/Tableau3[[#This Row],[Salariés]],"")</f>
        <v>2058175.6756756757</v>
      </c>
      <c r="AA3761" s="177"/>
      <c r="AC3761" s="177" t="s">
        <v>2617</v>
      </c>
    </row>
    <row r="3762" spans="1:29" ht="20.25" customHeight="1">
      <c r="A3762" s="217"/>
      <c r="G3762" s="202">
        <f>(G3761/G3763)-1</f>
        <v>1.2585452658115224</v>
      </c>
      <c r="H3762" s="202"/>
      <c r="I3762" s="202">
        <f>(I3761/I3763)-1</f>
        <v>7.2859848484848477</v>
      </c>
      <c r="J3762" s="202">
        <f>(J3761/J3763)-1</f>
        <v>5.813186813186813</v>
      </c>
      <c r="K3762" s="188"/>
      <c r="L3762" s="242"/>
      <c r="M3762" s="194"/>
      <c r="N3762" s="190"/>
      <c r="O3762" s="190"/>
      <c r="P3762" s="188"/>
      <c r="Q3762" s="188"/>
      <c r="R3762" s="195"/>
      <c r="S3762" s="178"/>
      <c r="T3762" s="180"/>
      <c r="U3762" s="189" t="str">
        <f>IFERROR(IF(Tableau3[[#This Row],[Dettes]]=0,"",(Tableau3[[#This Row],[Dettes]]/Tableau3[[#This Row],[EBE]])),"")</f>
        <v/>
      </c>
      <c r="V3762" s="190" t="str">
        <f>IFERROR(Tableau3[[#This Row],[Fonds propres]]/Tableau3[[#This Row],[Total Bilan]],"")</f>
        <v/>
      </c>
      <c r="W3762" s="180"/>
      <c r="Y3762" s="180"/>
      <c r="Z3762" s="192" t="str">
        <f>IFERROR(Tableau3[[#This Row],[Chiffre d''affaires]]/Tableau3[[#This Row],[Salariés]],"")</f>
        <v/>
      </c>
      <c r="AA3762" s="177"/>
      <c r="AC3762" s="177" t="s">
        <v>2618</v>
      </c>
    </row>
    <row r="3763" spans="1:29" ht="20.25" customHeight="1">
      <c r="A3763" s="217"/>
      <c r="E3763" s="187">
        <v>490</v>
      </c>
      <c r="F3763" s="178">
        <v>2023</v>
      </c>
      <c r="G3763" s="188">
        <v>26974000000</v>
      </c>
      <c r="H3763" s="178"/>
      <c r="I3763" s="188">
        <v>4224000000</v>
      </c>
      <c r="J3763" s="188">
        <v>4368000000</v>
      </c>
      <c r="K3763" s="188">
        <v>-1260000000</v>
      </c>
      <c r="L3763" s="242">
        <v>26612000000</v>
      </c>
      <c r="M3763" s="194">
        <f>L3763/P3763</f>
        <v>10.700442299959791</v>
      </c>
      <c r="N3763" s="190">
        <f>J3763/L3763</f>
        <v>0.16413647978355628</v>
      </c>
      <c r="O3763" s="190">
        <f>(I3763*0.7)/(K3763+L3763)</f>
        <v>0.11662985168822973</v>
      </c>
      <c r="P3763" s="211">
        <v>2487000000</v>
      </c>
      <c r="Q3763" s="188">
        <f>P3763*E3763</f>
        <v>1218630000000</v>
      </c>
      <c r="R3763" s="195">
        <f>Q3763/L3763</f>
        <v>45.79249962422967</v>
      </c>
      <c r="S3763" s="197">
        <f>(Q3763+K3763)/I3763</f>
        <v>288.203125</v>
      </c>
      <c r="T3763" s="180"/>
      <c r="U3763" s="189" t="str">
        <f>IFERROR(IF(Tableau3[[#This Row],[Dettes]]=0,"",(Tableau3[[#This Row],[Dettes]]/Tableau3[[#This Row],[EBE]])),"")</f>
        <v/>
      </c>
      <c r="V3763" s="190">
        <f>IFERROR(Tableau3[[#This Row],[Fonds propres]]/Tableau3[[#This Row],[Total Bilan]],"")</f>
        <v>0.64620465251809045</v>
      </c>
      <c r="W3763" s="180">
        <v>41182000000</v>
      </c>
      <c r="Y3763" s="180">
        <v>26200</v>
      </c>
      <c r="Z3763" s="192">
        <f>IFERROR(Tableau3[[#This Row],[Chiffre d''affaires]]/Tableau3[[#This Row],[Salariés]],"")</f>
        <v>1029541.9847328244</v>
      </c>
      <c r="AA3763" s="177"/>
      <c r="AC3763" s="177" t="s">
        <v>4925</v>
      </c>
    </row>
    <row r="3764" spans="1:29" ht="20.25" customHeight="1">
      <c r="A3764" s="217"/>
      <c r="G3764" s="202">
        <f>(G3763/G3765)-1</f>
        <v>2.2293230289069932E-3</v>
      </c>
      <c r="H3764" s="202"/>
      <c r="I3764" s="202">
        <f>(I3763/I3765)-1</f>
        <v>-0.57932476844935765</v>
      </c>
      <c r="J3764" s="202">
        <f>(J3763/J3765)-1</f>
        <v>-0.55209187858900743</v>
      </c>
      <c r="K3764" s="188"/>
      <c r="L3764" s="242"/>
      <c r="M3764" s="194"/>
      <c r="N3764" s="190"/>
      <c r="O3764" s="190"/>
      <c r="P3764" s="188"/>
      <c r="Q3764" s="188"/>
      <c r="R3764" s="195"/>
      <c r="S3764" s="178"/>
      <c r="T3764" s="180"/>
      <c r="U3764" s="189" t="str">
        <f>IFERROR(IF(Tableau3[[#This Row],[Dettes]]=0,"",(Tableau3[[#This Row],[Dettes]]/Tableau3[[#This Row],[EBE]])),"")</f>
        <v/>
      </c>
      <c r="V3764" s="190" t="str">
        <f>IFERROR(Tableau3[[#This Row],[Fonds propres]]/Tableau3[[#This Row],[Total Bilan]],"")</f>
        <v/>
      </c>
      <c r="W3764" s="180"/>
      <c r="Y3764" s="180"/>
      <c r="Z3764" s="192" t="str">
        <f>IFERROR(Tableau3[[#This Row],[Chiffre d''affaires]]/Tableau3[[#This Row],[Salariés]],"")</f>
        <v/>
      </c>
      <c r="AA3764" s="177"/>
      <c r="AC3764" s="177" t="s">
        <v>2619</v>
      </c>
    </row>
    <row r="3765" spans="1:29" ht="20.25" customHeight="1">
      <c r="A3765" s="217"/>
      <c r="E3765" s="187">
        <v>146.13999999999999</v>
      </c>
      <c r="F3765" s="178">
        <v>2022</v>
      </c>
      <c r="G3765" s="188">
        <v>26914000000</v>
      </c>
      <c r="H3765" s="178"/>
      <c r="I3765" s="188">
        <v>10041000000</v>
      </c>
      <c r="J3765" s="188">
        <v>9752000000</v>
      </c>
      <c r="K3765" s="188">
        <v>-9380000000</v>
      </c>
      <c r="L3765" s="242">
        <v>22101000000</v>
      </c>
      <c r="M3765" s="194">
        <f>L3765/P3765</f>
        <v>8.8545673076923084</v>
      </c>
      <c r="N3765" s="190">
        <f>J3765/L3765</f>
        <v>0.44124700239808151</v>
      </c>
      <c r="O3765" s="190">
        <f>(I3765*0.7)/(K3765+L3765)</f>
        <v>0.55252731703482427</v>
      </c>
      <c r="P3765" s="211">
        <v>2496000000</v>
      </c>
      <c r="Q3765" s="188">
        <f>P3765*E3765</f>
        <v>364765439999.99994</v>
      </c>
      <c r="R3765" s="195">
        <f>Q3765/L3765</f>
        <v>16.504476720510382</v>
      </c>
      <c r="S3765" s="197">
        <f>(Q3765+K3761)/I3765</f>
        <v>34.840697141718948</v>
      </c>
      <c r="T3765" s="180"/>
      <c r="U3765" s="189" t="str">
        <f>IFERROR(IF(Tableau3[[#This Row],[Dettes]]=0,"",(Tableau3[[#This Row],[Dettes]]/Tableau3[[#This Row],[EBE]])),"")</f>
        <v/>
      </c>
      <c r="V3765" s="190">
        <f>IFERROR(Tableau3[[#This Row],[Fonds propres]]/Tableau3[[#This Row],[Total Bilan]],"")</f>
        <v>0.50016973317944191</v>
      </c>
      <c r="W3765" s="180">
        <v>44187000000</v>
      </c>
      <c r="Y3765" s="180">
        <v>18975</v>
      </c>
      <c r="Z3765" s="192">
        <f>IFERROR(Tableau3[[#This Row],[Chiffre d''affaires]]/Tableau3[[#This Row],[Salariés]],"")</f>
        <v>1418392.6218708828</v>
      </c>
      <c r="AA3765" s="177"/>
      <c r="AC3765" s="177" t="s">
        <v>2620</v>
      </c>
    </row>
    <row r="3766" spans="1:29" ht="20.25" customHeight="1">
      <c r="A3766" s="217"/>
      <c r="G3766" s="202">
        <f>(G3765/G3767)-1</f>
        <v>0.61403298350824587</v>
      </c>
      <c r="H3766" s="202"/>
      <c r="I3766" s="202">
        <f>(I3765/I3767)-1</f>
        <v>1.215578111209179</v>
      </c>
      <c r="J3766" s="202">
        <f>(J3765/J3767)-1</f>
        <v>1.2511542012927053</v>
      </c>
      <c r="K3766" s="188"/>
      <c r="L3766" s="178"/>
      <c r="M3766" s="178"/>
      <c r="N3766" s="178"/>
      <c r="O3766" s="178"/>
      <c r="P3766" s="178"/>
      <c r="Q3766" s="178"/>
      <c r="R3766" s="178"/>
      <c r="S3766" s="178"/>
      <c r="T3766" s="180"/>
      <c r="U3766" s="189" t="str">
        <f>IFERROR(IF(Tableau3[[#This Row],[Dettes]]=0,"",(Tableau3[[#This Row],[Dettes]]/Tableau3[[#This Row],[EBE]])),"")</f>
        <v/>
      </c>
      <c r="V3766" s="190" t="str">
        <f>IFERROR(Tableau3[[#This Row],[Fonds propres]]/Tableau3[[#This Row],[Total Bilan]],"")</f>
        <v/>
      </c>
      <c r="W3766" s="180"/>
      <c r="Y3766" s="180"/>
      <c r="Z3766" s="192" t="str">
        <f>IFERROR(Tableau3[[#This Row],[Chiffre d''affaires]]/Tableau3[[#This Row],[Salariés]],"")</f>
        <v/>
      </c>
      <c r="AA3766" s="177"/>
      <c r="AC3766" s="177" t="s">
        <v>2621</v>
      </c>
    </row>
    <row r="3767" spans="1:29" ht="20.25" customHeight="1">
      <c r="A3767" s="217"/>
      <c r="E3767" s="178">
        <v>294.10000000000002</v>
      </c>
      <c r="F3767" s="178">
        <v>2021</v>
      </c>
      <c r="G3767" s="188">
        <v>16675000000</v>
      </c>
      <c r="H3767" s="178"/>
      <c r="I3767" s="188">
        <v>4532000000</v>
      </c>
      <c r="J3767" s="188">
        <v>4332000000</v>
      </c>
      <c r="K3767" s="188">
        <v>-3840000000</v>
      </c>
      <c r="L3767" s="188">
        <v>16893000000</v>
      </c>
      <c r="M3767" s="194">
        <f>L3767/P3767</f>
        <v>11.515337423312884</v>
      </c>
      <c r="N3767" s="190">
        <f>J3767/L3767</f>
        <v>0.25643757769490322</v>
      </c>
      <c r="O3767" s="190">
        <f>(I3767*0.7)/(K3767+L3767)</f>
        <v>0.24303991419597026</v>
      </c>
      <c r="P3767" s="188">
        <f>1467000000</f>
        <v>1467000000</v>
      </c>
      <c r="Q3767" s="188">
        <f>P3767*E3767</f>
        <v>431444700000.00006</v>
      </c>
      <c r="R3767" s="195">
        <f>Q3767/L3767</f>
        <v>25.53985082578583</v>
      </c>
      <c r="S3767" s="197">
        <f>(Q3767+K3767)/I3767</f>
        <v>94.352316857899396</v>
      </c>
      <c r="T3767" s="180"/>
      <c r="U3767" s="189" t="str">
        <f>IFERROR(IF(Tableau3[[#This Row],[Dettes]]=0,"",(Tableau3[[#This Row],[Dettes]]/Tableau3[[#This Row],[EBE]])),"")</f>
        <v/>
      </c>
      <c r="V3767" s="190" t="str">
        <f>IFERROR(Tableau3[[#This Row],[Fonds propres]]/Tableau3[[#This Row],[Total Bilan]],"")</f>
        <v/>
      </c>
      <c r="W3767" s="180"/>
      <c r="Y3767" s="180">
        <v>13780</v>
      </c>
      <c r="Z3767" s="192">
        <f>IFERROR(Tableau3[[#This Row],[Chiffre d''affaires]]/Tableau3[[#This Row],[Salariés]],"")</f>
        <v>1210087.0827285922</v>
      </c>
      <c r="AA3767" s="177"/>
      <c r="AC3767" s="177" t="s">
        <v>2622</v>
      </c>
    </row>
    <row r="3768" spans="1:29" ht="20.25" customHeight="1">
      <c r="A3768" s="217"/>
      <c r="E3768" s="187"/>
      <c r="G3768" s="202">
        <f>(G3767/G3769)-1</f>
        <v>0.52729437625938824</v>
      </c>
      <c r="H3768" s="202"/>
      <c r="I3768" s="202">
        <f>(I3767/I3769)-1</f>
        <v>0.59241040056219263</v>
      </c>
      <c r="J3768" s="202">
        <f>(J3767/J3769)-1</f>
        <v>0.54935622317596566</v>
      </c>
      <c r="K3768" s="188"/>
      <c r="L3768" s="242"/>
      <c r="M3768" s="194"/>
      <c r="N3768" s="190"/>
      <c r="O3768" s="190"/>
      <c r="P3768" s="188"/>
      <c r="Q3768" s="188"/>
      <c r="R3768" s="195"/>
      <c r="S3768" s="178"/>
      <c r="T3768" s="180"/>
      <c r="U3768" s="189" t="str">
        <f>IFERROR(IF(Tableau3[[#This Row],[Dettes]]=0,"",(Tableau3[[#This Row],[Dettes]]/Tableau3[[#This Row],[EBE]])),"")</f>
        <v/>
      </c>
      <c r="V3768" s="190" t="str">
        <f>IFERROR(Tableau3[[#This Row],[Fonds propres]]/Tableau3[[#This Row],[Total Bilan]],"")</f>
        <v/>
      </c>
      <c r="W3768" s="180"/>
      <c r="Y3768" s="180"/>
      <c r="Z3768" s="192" t="str">
        <f>IFERROR(Tableau3[[#This Row],[Chiffre d''affaires]]/Tableau3[[#This Row],[Salariés]],"")</f>
        <v/>
      </c>
      <c r="AA3768" s="177"/>
      <c r="AC3768" s="177" t="s">
        <v>2623</v>
      </c>
    </row>
    <row r="3769" spans="1:29" ht="20.25" customHeight="1">
      <c r="A3769" s="217"/>
      <c r="E3769" s="178">
        <v>522.20000000000005</v>
      </c>
      <c r="F3769" s="178">
        <v>2020</v>
      </c>
      <c r="G3769" s="188">
        <v>10918000000</v>
      </c>
      <c r="H3769" s="178"/>
      <c r="I3769" s="188">
        <v>2846000000</v>
      </c>
      <c r="J3769" s="188">
        <v>2796000000</v>
      </c>
      <c r="K3769" s="188">
        <v>-8250000000</v>
      </c>
      <c r="L3769" s="188">
        <v>12204000000</v>
      </c>
      <c r="M3769" s="194">
        <f>L3769/P3769</f>
        <v>19.747572815533982</v>
      </c>
      <c r="N3769" s="190">
        <f>J3769/L3769</f>
        <v>0.22910521140609635</v>
      </c>
      <c r="O3769" s="190">
        <f>(I3769*0.7)/(K3769+L3769)</f>
        <v>0.50384420839656041</v>
      </c>
      <c r="P3769" s="188">
        <v>618000000</v>
      </c>
      <c r="Q3769" s="188">
        <f>P3769*E3769</f>
        <v>322719600000</v>
      </c>
      <c r="R3769" s="195">
        <f>Q3769/L3769</f>
        <v>26.443756145526056</v>
      </c>
      <c r="S3769" s="197">
        <f>(Q3769+K3769)/I3769</f>
        <v>110.4952916373858</v>
      </c>
      <c r="T3769" s="180"/>
      <c r="U3769" s="189" t="str">
        <f>IFERROR(IF(Tableau3[[#This Row],[Dettes]]=0,"",(Tableau3[[#This Row],[Dettes]]/Tableau3[[#This Row],[EBE]])),"")</f>
        <v/>
      </c>
      <c r="V3769" s="190" t="str">
        <f>IFERROR(Tableau3[[#This Row],[Fonds propres]]/Tableau3[[#This Row],[Total Bilan]],"")</f>
        <v/>
      </c>
      <c r="W3769" s="180"/>
      <c r="Y3769" s="180">
        <v>13280</v>
      </c>
      <c r="Z3769" s="192">
        <f>IFERROR(Tableau3[[#This Row],[Chiffre d''affaires]]/Tableau3[[#This Row],[Salariés]],"")</f>
        <v>822138.55421686743</v>
      </c>
      <c r="AA3769" s="177"/>
      <c r="AC3769" s="177" t="s">
        <v>4923</v>
      </c>
    </row>
    <row r="3770" spans="1:29" ht="20.25" customHeight="1">
      <c r="A3770" s="217"/>
      <c r="G3770" s="202">
        <f>(G3769/G3771)-1</f>
        <v>-6.8111983612154314E-2</v>
      </c>
      <c r="H3770" s="202"/>
      <c r="I3770" s="202">
        <f>(I3769/I3771)-1</f>
        <v>-0.25184016824395372</v>
      </c>
      <c r="J3770" s="202">
        <f>(J3769/J3771)-1</f>
        <v>-0.3248007727602028</v>
      </c>
      <c r="K3770" s="178"/>
      <c r="L3770" s="178"/>
      <c r="M3770" s="178"/>
      <c r="N3770" s="178"/>
      <c r="O3770" s="178"/>
      <c r="P3770" s="178"/>
      <c r="Q3770" s="178"/>
      <c r="R3770" s="178"/>
      <c r="S3770" s="178"/>
      <c r="T3770" s="180"/>
      <c r="U3770" s="189" t="str">
        <f>IFERROR(IF(Tableau3[[#This Row],[Dettes]]=0,"",(Tableau3[[#This Row],[Dettes]]/Tableau3[[#This Row],[EBE]])),"")</f>
        <v/>
      </c>
      <c r="V3770" s="190" t="str">
        <f>IFERROR(Tableau3[[#This Row],[Fonds propres]]/Tableau3[[#This Row],[Total Bilan]],"")</f>
        <v/>
      </c>
      <c r="W3770" s="180"/>
      <c r="Y3770" s="180"/>
      <c r="Z3770" s="192" t="str">
        <f>IFERROR(Tableau3[[#This Row],[Chiffre d''affaires]]/Tableau3[[#This Row],[Salariés]],"")</f>
        <v/>
      </c>
      <c r="AA3770" s="178"/>
      <c r="AC3770" s="177" t="s">
        <v>2624</v>
      </c>
    </row>
    <row r="3771" spans="1:29" ht="20.25" customHeight="1">
      <c r="A3771" s="217"/>
      <c r="E3771" s="178">
        <v>239.4</v>
      </c>
      <c r="F3771" s="178">
        <v>2019</v>
      </c>
      <c r="G3771" s="188">
        <v>11716000000</v>
      </c>
      <c r="H3771" s="178"/>
      <c r="I3771" s="188">
        <v>3804000000</v>
      </c>
      <c r="J3771" s="188">
        <v>4141000000</v>
      </c>
      <c r="K3771" s="188">
        <v>-5430000000</v>
      </c>
      <c r="L3771" s="188">
        <v>9342000000</v>
      </c>
      <c r="M3771" s="194">
        <f>L3771/P3771</f>
        <v>14.9472</v>
      </c>
      <c r="N3771" s="190">
        <f>J3771/L3771</f>
        <v>0.44326696638835367</v>
      </c>
      <c r="O3771" s="190">
        <f>(I3771*0.7)/(K3771+L3771)</f>
        <v>0.68067484662576683</v>
      </c>
      <c r="P3771" s="188">
        <v>625000000</v>
      </c>
      <c r="Q3771" s="188">
        <f>P3771*E3771</f>
        <v>149625000000</v>
      </c>
      <c r="R3771" s="195">
        <f>Q3771/L3771</f>
        <v>16.016377649325626</v>
      </c>
      <c r="S3771" s="197">
        <f>(Q3771+K3771)/I3771</f>
        <v>37.906151419558363</v>
      </c>
      <c r="T3771" s="180"/>
      <c r="U3771" s="189" t="str">
        <f>IFERROR(IF(Tableau3[[#This Row],[Dettes]]=0,"",(Tableau3[[#This Row],[Dettes]]/Tableau3[[#This Row],[EBE]])),"")</f>
        <v/>
      </c>
      <c r="V3771" s="190" t="str">
        <f>IFERROR(Tableau3[[#This Row],[Fonds propres]]/Tableau3[[#This Row],[Total Bilan]],"")</f>
        <v/>
      </c>
      <c r="W3771" s="180"/>
      <c r="Y3771" s="180">
        <v>11530</v>
      </c>
      <c r="Z3771" s="192">
        <f>IFERROR(Tableau3[[#This Row],[Chiffre d''affaires]]/Tableau3[[#This Row],[Salariés]],"")</f>
        <v>1016131.830008673</v>
      </c>
      <c r="AA3771" s="177"/>
      <c r="AC3771" s="177" t="s">
        <v>2625</v>
      </c>
    </row>
    <row r="3772" spans="1:29" ht="20.25" customHeight="1">
      <c r="A3772" s="217"/>
      <c r="E3772" s="187"/>
      <c r="G3772" s="202">
        <f>(G3771/G3773)-1</f>
        <v>0.20609429689108505</v>
      </c>
      <c r="H3772" s="202"/>
      <c r="I3772" s="202">
        <f>(I3771/I3773)-1</f>
        <v>0.18504672897196262</v>
      </c>
      <c r="J3772" s="202">
        <f>(J3771/J3773)-1</f>
        <v>0.35904168034131922</v>
      </c>
      <c r="K3772" s="178"/>
      <c r="L3772" s="178"/>
      <c r="M3772" s="178"/>
      <c r="N3772" s="178"/>
      <c r="O3772" s="178"/>
      <c r="P3772" s="178"/>
      <c r="Q3772" s="178"/>
      <c r="R3772" s="178"/>
      <c r="S3772" s="178"/>
      <c r="T3772" s="180"/>
      <c r="U3772" s="189" t="str">
        <f>IFERROR(IF(Tableau3[[#This Row],[Dettes]]=0,"",(Tableau3[[#This Row],[Dettes]]/Tableau3[[#This Row],[EBE]])),"")</f>
        <v/>
      </c>
      <c r="V3772" s="190" t="str">
        <f>IFERROR(Tableau3[[#This Row],[Fonds propres]]/Tableau3[[#This Row],[Total Bilan]],"")</f>
        <v/>
      </c>
      <c r="W3772" s="180"/>
      <c r="Y3772" s="180"/>
      <c r="Z3772" s="192" t="str">
        <f>IFERROR(Tableau3[[#This Row],[Chiffre d''affaires]]/Tableau3[[#This Row],[Salariés]],"")</f>
        <v/>
      </c>
      <c r="AA3772" s="177"/>
      <c r="AC3772" s="177" t="s">
        <v>4926</v>
      </c>
    </row>
    <row r="3773" spans="1:29" ht="20.25" customHeight="1">
      <c r="A3773" s="217"/>
      <c r="E3773" s="178">
        <v>133.6</v>
      </c>
      <c r="F3773" s="178">
        <v>2018</v>
      </c>
      <c r="G3773" s="188">
        <v>9714000000</v>
      </c>
      <c r="H3773" s="178"/>
      <c r="I3773" s="188">
        <v>3210000000</v>
      </c>
      <c r="J3773" s="188">
        <v>3047000000</v>
      </c>
      <c r="K3773" s="188">
        <v>-5100000000</v>
      </c>
      <c r="L3773" s="188">
        <v>7471000000</v>
      </c>
      <c r="M3773" s="194">
        <f>L3773/P3773</f>
        <v>11.82120253164557</v>
      </c>
      <c r="N3773" s="190">
        <f>J3773/L3773</f>
        <v>0.40784366216035339</v>
      </c>
      <c r="O3773" s="190">
        <f>(I3773*0.7)/(K3773+L3773)</f>
        <v>0.94770139181779844</v>
      </c>
      <c r="P3773" s="188">
        <v>632000000</v>
      </c>
      <c r="Q3773" s="188">
        <f>P3773*E3773</f>
        <v>84435200000</v>
      </c>
      <c r="R3773" s="195">
        <f>Q3773/L3773</f>
        <v>11.301726676482399</v>
      </c>
      <c r="S3773" s="197">
        <f>(Q3773+K3773)/I3773</f>
        <v>24.715015576323989</v>
      </c>
      <c r="T3773" s="180"/>
      <c r="U3773" s="189" t="str">
        <f>IFERROR(IF(Tableau3[[#This Row],[Dettes]]=0,"",(Tableau3[[#This Row],[Dettes]]/Tableau3[[#This Row],[EBE]])),"")</f>
        <v/>
      </c>
      <c r="V3773" s="190" t="str">
        <f>IFERROR(Tableau3[[#This Row],[Fonds propres]]/Tableau3[[#This Row],[Total Bilan]],"")</f>
        <v/>
      </c>
      <c r="W3773" s="180"/>
      <c r="Y3773" s="180">
        <v>10300</v>
      </c>
      <c r="Z3773" s="192">
        <f>IFERROR(Tableau3[[#This Row],[Chiffre d''affaires]]/Tableau3[[#This Row],[Salariés]],"")</f>
        <v>943106.79611650482</v>
      </c>
      <c r="AA3773" s="177"/>
      <c r="AC3773" s="177" t="s">
        <v>4569</v>
      </c>
    </row>
    <row r="3774" spans="1:29" ht="20.25" customHeight="1">
      <c r="A3774" s="217"/>
      <c r="E3774" s="187"/>
      <c r="G3774" s="202">
        <f>(G3773/G3775)-1</f>
        <v>0.40578871201157751</v>
      </c>
      <c r="H3774" s="202"/>
      <c r="I3774" s="202">
        <f>(I3773/I3775)-1</f>
        <v>0.65977249224405377</v>
      </c>
      <c r="J3774" s="202">
        <f>(J3773/J3775)-1</f>
        <v>0.82893157262905159</v>
      </c>
      <c r="K3774" s="188"/>
      <c r="L3774" s="242"/>
      <c r="M3774" s="194"/>
      <c r="N3774" s="190"/>
      <c r="O3774" s="190"/>
      <c r="P3774" s="188"/>
      <c r="Q3774" s="188"/>
      <c r="R3774" s="195"/>
      <c r="S3774" s="197"/>
      <c r="T3774" s="180"/>
      <c r="U3774" s="189" t="str">
        <f>IFERROR(IF(Tableau3[[#This Row],[Dettes]]=0,"",(Tableau3[[#This Row],[Dettes]]/Tableau3[[#This Row],[EBE]])),"")</f>
        <v/>
      </c>
      <c r="V3774" s="190" t="str">
        <f>IFERROR(Tableau3[[#This Row],[Fonds propres]]/Tableau3[[#This Row],[Total Bilan]],"")</f>
        <v/>
      </c>
      <c r="W3774" s="180"/>
      <c r="Y3774" s="180"/>
      <c r="Z3774" s="192" t="str">
        <f>IFERROR(Tableau3[[#This Row],[Chiffre d''affaires]]/Tableau3[[#This Row],[Salariés]],"")</f>
        <v/>
      </c>
      <c r="AA3774" s="177"/>
      <c r="AC3774" s="177" t="s">
        <v>2626</v>
      </c>
    </row>
    <row r="3775" spans="1:29" ht="20.25" customHeight="1">
      <c r="A3775" s="217"/>
      <c r="E3775" s="187">
        <v>193.5</v>
      </c>
      <c r="F3775" s="178">
        <v>2017</v>
      </c>
      <c r="G3775" s="188">
        <v>6910000000</v>
      </c>
      <c r="H3775" s="202"/>
      <c r="I3775" s="188">
        <v>1934000000</v>
      </c>
      <c r="J3775" s="188">
        <v>1666000000</v>
      </c>
      <c r="K3775" s="188">
        <v>-3980000000</v>
      </c>
      <c r="L3775" s="188">
        <v>5762000000</v>
      </c>
      <c r="M3775" s="194">
        <f>L3775/P3775</f>
        <v>8.8782742681047768</v>
      </c>
      <c r="N3775" s="190">
        <f>J3775/L3775</f>
        <v>0.28913571676501215</v>
      </c>
      <c r="O3775" s="190">
        <f>(I3775*0.7)/(K3775+L3775)</f>
        <v>0.75970819304152637</v>
      </c>
      <c r="P3775" s="188">
        <v>649000000</v>
      </c>
      <c r="Q3775" s="188">
        <f>P3775*E3775</f>
        <v>125581500000</v>
      </c>
      <c r="R3775" s="195">
        <f>Q3775/L3775</f>
        <v>21.794776119402986</v>
      </c>
      <c r="S3775" s="197">
        <f>(Q3775+K3775)/I3775</f>
        <v>62.87564632885212</v>
      </c>
      <c r="T3775" s="180"/>
      <c r="U3775" s="189" t="str">
        <f>IFERROR(IF(Tableau3[[#This Row],[Dettes]]=0,"",(Tableau3[[#This Row],[Dettes]]/Tableau3[[#This Row],[EBE]])),"")</f>
        <v/>
      </c>
      <c r="V3775" s="190" t="str">
        <f>IFERROR(Tableau3[[#This Row],[Fonds propres]]/Tableau3[[#This Row],[Total Bilan]],"")</f>
        <v/>
      </c>
      <c r="W3775" s="180"/>
      <c r="Y3775" s="180">
        <v>9230</v>
      </c>
      <c r="Z3775" s="192">
        <f>IFERROR(Tableau3[[#This Row],[Chiffre d''affaires]]/Tableau3[[#This Row],[Salariés]],"")</f>
        <v>748645.7204767064</v>
      </c>
      <c r="AA3775" s="177"/>
      <c r="AC3775" s="177" t="s">
        <v>2627</v>
      </c>
    </row>
    <row r="3776" spans="1:29" ht="20.25" customHeight="1">
      <c r="A3776" s="217"/>
      <c r="E3776" s="187"/>
      <c r="G3776" s="202">
        <f>(G3775/G3777)-1</f>
        <v>0.37924151696606789</v>
      </c>
      <c r="H3776" s="202"/>
      <c r="I3776" s="202">
        <f>(I3775/I3777)-1</f>
        <v>1.5890227576974567</v>
      </c>
      <c r="J3776" s="202">
        <f>(J3775/J3777)-1</f>
        <v>1.7133550488599347</v>
      </c>
      <c r="K3776" s="188"/>
      <c r="L3776" s="242"/>
      <c r="M3776" s="194"/>
      <c r="N3776" s="190"/>
      <c r="O3776" s="190"/>
      <c r="P3776" s="188"/>
      <c r="Q3776" s="188"/>
      <c r="R3776" s="195"/>
      <c r="S3776" s="197"/>
      <c r="T3776" s="180"/>
      <c r="U3776" s="189" t="str">
        <f>IFERROR(IF(Tableau3[[#This Row],[Dettes]]=0,"",(Tableau3[[#This Row],[Dettes]]/Tableau3[[#This Row],[EBE]])),"")</f>
        <v/>
      </c>
      <c r="V3776" s="190" t="str">
        <f>IFERROR(Tableau3[[#This Row],[Fonds propres]]/Tableau3[[#This Row],[Total Bilan]],"")</f>
        <v/>
      </c>
      <c r="W3776" s="180"/>
      <c r="Y3776" s="180"/>
      <c r="Z3776" s="192" t="str">
        <f>IFERROR(Tableau3[[#This Row],[Chiffre d''affaires]]/Tableau3[[#This Row],[Salariés]],"")</f>
        <v/>
      </c>
      <c r="AA3776" s="177"/>
      <c r="AC3776" s="177" t="s">
        <v>2628</v>
      </c>
    </row>
    <row r="3777" spans="1:29" ht="20.25" customHeight="1">
      <c r="A3777" s="217"/>
      <c r="E3777" s="187">
        <v>109.8</v>
      </c>
      <c r="F3777" s="178">
        <v>2016</v>
      </c>
      <c r="G3777" s="188">
        <v>5010000000</v>
      </c>
      <c r="H3777" s="202"/>
      <c r="I3777" s="188">
        <v>747000000</v>
      </c>
      <c r="J3777" s="188">
        <v>614000000</v>
      </c>
      <c r="K3777" s="188">
        <v>-3530000000</v>
      </c>
      <c r="L3777" s="188">
        <v>4469000000</v>
      </c>
      <c r="M3777" s="194">
        <f>L3777/P3777</f>
        <v>7.8541300527240772</v>
      </c>
      <c r="N3777" s="190">
        <f>J3777/L3777</f>
        <v>0.13739091519355562</v>
      </c>
      <c r="O3777" s="190">
        <f>(I3777*0.7)/(K3777+L3777)</f>
        <v>0.55686900958466445</v>
      </c>
      <c r="P3777" s="188">
        <v>569000000</v>
      </c>
      <c r="Q3777" s="188">
        <f>P3777*E3777</f>
        <v>62476200000</v>
      </c>
      <c r="R3777" s="195">
        <f>Q3777/L3777</f>
        <v>13.979906019243678</v>
      </c>
      <c r="S3777" s="197">
        <f>(Q3777+K3777)/I3777</f>
        <v>78.910575635876839</v>
      </c>
      <c r="T3777" s="180"/>
      <c r="U3777" s="189" t="str">
        <f>IFERROR(IF(Tableau3[[#This Row],[Dettes]]=0,"",(Tableau3[[#This Row],[Dettes]]/Tableau3[[#This Row],[EBE]])),"")</f>
        <v/>
      </c>
      <c r="V3777" s="190" t="str">
        <f>IFERROR(Tableau3[[#This Row],[Fonds propres]]/Tableau3[[#This Row],[Total Bilan]],"")</f>
        <v/>
      </c>
      <c r="W3777" s="180"/>
      <c r="Y3777" s="180">
        <v>9230</v>
      </c>
      <c r="Z3777" s="192">
        <f>IFERROR(Tableau3[[#This Row],[Chiffre d''affaires]]/Tableau3[[#This Row],[Salariés]],"")</f>
        <v>542795.23293607798</v>
      </c>
      <c r="AA3777" s="177"/>
      <c r="AC3777" s="177" t="s">
        <v>2629</v>
      </c>
    </row>
    <row r="3778" spans="1:29" ht="20.25" customHeight="1">
      <c r="A3778" s="217"/>
      <c r="E3778" s="187"/>
      <c r="G3778" s="188"/>
      <c r="H3778" s="188"/>
      <c r="I3778" s="188"/>
      <c r="J3778" s="188"/>
      <c r="K3778" s="188"/>
      <c r="L3778" s="242"/>
      <c r="M3778" s="194"/>
      <c r="N3778" s="190"/>
      <c r="O3778" s="190"/>
      <c r="P3778" s="188"/>
      <c r="Q3778" s="188"/>
      <c r="R3778" s="195"/>
      <c r="S3778" s="197"/>
      <c r="T3778" s="180"/>
      <c r="U3778" s="189" t="str">
        <f>IFERROR(IF(Tableau3[[#This Row],[Dettes]]=0,"",(Tableau3[[#This Row],[Dettes]]/Tableau3[[#This Row],[EBE]])),"")</f>
        <v/>
      </c>
      <c r="V3778" s="190" t="str">
        <f>IFERROR(Tableau3[[#This Row],[Fonds propres]]/Tableau3[[#This Row],[Total Bilan]],"")</f>
        <v/>
      </c>
      <c r="W3778" s="180"/>
      <c r="Y3778" s="180"/>
      <c r="Z3778" s="192" t="str">
        <f>IFERROR(Tableau3[[#This Row],[Chiffre d''affaires]]/Tableau3[[#This Row],[Salariés]],"")</f>
        <v/>
      </c>
      <c r="AA3778" s="177"/>
      <c r="AC3778" s="177" t="s">
        <v>4924</v>
      </c>
    </row>
    <row r="3779" spans="1:29" ht="20.25" customHeight="1">
      <c r="A3779" s="217"/>
      <c r="F3779" s="220" t="s">
        <v>2630</v>
      </c>
      <c r="G3779" s="202"/>
      <c r="H3779" s="202"/>
      <c r="I3779" s="202"/>
      <c r="J3779" s="202"/>
      <c r="K3779" s="178"/>
      <c r="L3779" s="178"/>
      <c r="M3779" s="178"/>
      <c r="N3779" s="178"/>
      <c r="O3779" s="178"/>
      <c r="P3779" s="178"/>
      <c r="Q3779" s="178"/>
      <c r="R3779" s="178"/>
      <c r="S3779" s="178"/>
      <c r="T3779" s="180"/>
      <c r="U3779" s="189" t="str">
        <f>IFERROR(IF(Tableau3[[#This Row],[Dettes]]=0,"",(Tableau3[[#This Row],[Dettes]]/Tableau3[[#This Row],[EBE]])),"")</f>
        <v/>
      </c>
      <c r="V3779" s="190" t="str">
        <f>IFERROR(Tableau3[[#This Row],[Fonds propres]]/Tableau3[[#This Row],[Total Bilan]],"")</f>
        <v/>
      </c>
      <c r="W3779" s="180"/>
      <c r="Y3779" s="180"/>
      <c r="Z3779" s="192" t="str">
        <f>IFERROR(Tableau3[[#This Row],[Chiffre d''affaires]]/Tableau3[[#This Row],[Salariés]],"")</f>
        <v/>
      </c>
      <c r="AA3779" s="177"/>
    </row>
    <row r="3780" spans="1:29" ht="20.25" customHeight="1">
      <c r="A3780" s="217"/>
      <c r="E3780" s="187"/>
      <c r="G3780" s="202"/>
      <c r="H3780" s="202"/>
      <c r="I3780" s="202"/>
      <c r="J3780" s="202"/>
      <c r="K3780" s="178"/>
      <c r="L3780" s="178"/>
      <c r="M3780" s="178"/>
      <c r="N3780" s="178"/>
      <c r="O3780" s="178"/>
      <c r="P3780" s="178"/>
      <c r="Q3780" s="178"/>
      <c r="R3780" s="178"/>
      <c r="S3780" s="178"/>
      <c r="T3780" s="180"/>
      <c r="U3780" s="189" t="str">
        <f>IFERROR(IF(Tableau3[[#This Row],[Dettes]]=0,"",(Tableau3[[#This Row],[Dettes]]/Tableau3[[#This Row],[EBE]])),"")</f>
        <v/>
      </c>
      <c r="V3780" s="190" t="str">
        <f>IFERROR(Tableau3[[#This Row],[Fonds propres]]/Tableau3[[#This Row],[Total Bilan]],"")</f>
        <v/>
      </c>
      <c r="W3780" s="180"/>
      <c r="Y3780" s="180"/>
      <c r="Z3780" s="192" t="str">
        <f>IFERROR(Tableau3[[#This Row],[Chiffre d''affaires]]/Tableau3[[#This Row],[Salariés]],"")</f>
        <v/>
      </c>
      <c r="AA3780" s="177"/>
    </row>
    <row r="3781" spans="1:29" ht="20.25" customHeight="1">
      <c r="A3781" s="217"/>
      <c r="E3781" s="187"/>
      <c r="G3781" s="188"/>
      <c r="H3781" s="272"/>
      <c r="I3781" s="272"/>
      <c r="J3781" s="272"/>
      <c r="K3781" s="178"/>
      <c r="L3781" s="178"/>
      <c r="M3781" s="178"/>
      <c r="N3781" s="178"/>
      <c r="O3781" s="178"/>
      <c r="P3781" s="178"/>
      <c r="Q3781" s="178"/>
      <c r="R3781" s="178"/>
      <c r="S3781" s="178"/>
      <c r="T3781" s="180"/>
      <c r="U3781" s="189" t="str">
        <f>IFERROR(IF(Tableau3[[#This Row],[Dettes]]=0,"",(Tableau3[[#This Row],[Dettes]]/Tableau3[[#This Row],[EBE]])),"")</f>
        <v/>
      </c>
      <c r="V3781" s="190" t="str">
        <f>IFERROR(Tableau3[[#This Row],[Fonds propres]]/Tableau3[[#This Row],[Total Bilan]],"")</f>
        <v/>
      </c>
      <c r="W3781" s="180"/>
      <c r="Y3781" s="180"/>
      <c r="Z3781" s="192" t="str">
        <f>IFERROR(Tableau3[[#This Row],[Chiffre d''affaires]]/Tableau3[[#This Row],[Salariés]],"")</f>
        <v/>
      </c>
      <c r="AA3781" s="177"/>
    </row>
    <row r="3782" spans="1:29" ht="20.25" customHeight="1">
      <c r="A3782" s="217"/>
      <c r="E3782" s="187"/>
      <c r="G3782" s="202"/>
      <c r="H3782" s="202"/>
      <c r="I3782" s="202"/>
      <c r="J3782" s="202"/>
      <c r="K3782" s="178"/>
      <c r="L3782" s="178"/>
      <c r="M3782" s="178"/>
      <c r="N3782" s="178"/>
      <c r="O3782" s="178"/>
      <c r="P3782" s="178"/>
      <c r="Q3782" s="178"/>
      <c r="R3782" s="178"/>
      <c r="S3782" s="178"/>
      <c r="T3782" s="180"/>
      <c r="U3782" s="189" t="str">
        <f>IFERROR(IF(Tableau3[[#This Row],[Dettes]]=0,"",(Tableau3[[#This Row],[Dettes]]/Tableau3[[#This Row],[EBE]])),"")</f>
        <v/>
      </c>
      <c r="V3782" s="190" t="str">
        <f>IFERROR(Tableau3[[#This Row],[Fonds propres]]/Tableau3[[#This Row],[Total Bilan]],"")</f>
        <v/>
      </c>
      <c r="W3782" s="180"/>
      <c r="Y3782" s="180"/>
      <c r="Z3782" s="192" t="str">
        <f>IFERROR(Tableau3[[#This Row],[Chiffre d''affaires]]/Tableau3[[#This Row],[Salariés]],"")</f>
        <v/>
      </c>
      <c r="AA3782" s="177"/>
    </row>
    <row r="3783" spans="1:29" ht="20.25" customHeight="1">
      <c r="A3783" s="217" t="s">
        <v>2632</v>
      </c>
      <c r="B3783" s="216" t="s">
        <v>2633</v>
      </c>
      <c r="C3783" s="178" t="s">
        <v>2634</v>
      </c>
      <c r="D3783" s="178" t="s">
        <v>85</v>
      </c>
      <c r="E3783" s="187"/>
      <c r="F3783" s="178">
        <v>2025</v>
      </c>
      <c r="G3783" s="202"/>
      <c r="H3783" s="202"/>
      <c r="I3783" s="202"/>
      <c r="J3783" s="202"/>
      <c r="K3783" s="178"/>
      <c r="L3783" s="178"/>
      <c r="M3783" s="178"/>
      <c r="N3783" s="178"/>
      <c r="O3783" s="178"/>
      <c r="P3783" s="178"/>
      <c r="Q3783" s="178"/>
      <c r="R3783" s="178"/>
      <c r="S3783" s="178"/>
      <c r="T3783" s="180"/>
      <c r="U3783" s="189" t="str">
        <f>IFERROR(IF(Tableau3[[#This Row],[Dettes]]=0,"",(Tableau3[[#This Row],[Dettes]]/Tableau3[[#This Row],[EBE]])),"")</f>
        <v/>
      </c>
      <c r="V3783" s="190" t="str">
        <f>IFERROR(Tableau3[[#This Row],[Fonds propres]]/Tableau3[[#This Row],[Total Bilan]],"")</f>
        <v/>
      </c>
      <c r="W3783" s="180"/>
      <c r="X3783" s="182" t="s">
        <v>372</v>
      </c>
      <c r="Y3783" s="180"/>
      <c r="Z3783" s="192" t="str">
        <f>IFERROR(Tableau3[[#This Row],[Chiffre d''affaires]]/Tableau3[[#This Row],[Salariés]],"")</f>
        <v/>
      </c>
      <c r="AA3783" s="177"/>
      <c r="AC3783" s="177" t="s">
        <v>2635</v>
      </c>
    </row>
    <row r="3784" spans="1:29" ht="20.25" customHeight="1">
      <c r="A3784" s="217"/>
      <c r="E3784" s="187"/>
      <c r="G3784" s="202"/>
      <c r="H3784" s="202"/>
      <c r="I3784" s="202"/>
      <c r="J3784" s="202"/>
      <c r="K3784" s="178"/>
      <c r="L3784" s="178"/>
      <c r="M3784" s="178"/>
      <c r="N3784" s="178"/>
      <c r="O3784" s="178"/>
      <c r="P3784" s="178"/>
      <c r="Q3784" s="178"/>
      <c r="R3784" s="178"/>
      <c r="S3784" s="178"/>
      <c r="T3784" s="180"/>
      <c r="U3784" s="189" t="str">
        <f>IFERROR(IF(Tableau3[[#This Row],[Dettes]]=0,"",(Tableau3[[#This Row],[Dettes]]/Tableau3[[#This Row],[EBE]])),"")</f>
        <v/>
      </c>
      <c r="V3784" s="190" t="str">
        <f>IFERROR(Tableau3[[#This Row],[Fonds propres]]/Tableau3[[#This Row],[Total Bilan]],"")</f>
        <v/>
      </c>
      <c r="W3784" s="180"/>
      <c r="Y3784" s="180"/>
      <c r="Z3784" s="192" t="str">
        <f>IFERROR(Tableau3[[#This Row],[Chiffre d''affaires]]/Tableau3[[#This Row],[Salariés]],"")</f>
        <v/>
      </c>
      <c r="AA3784" s="177"/>
      <c r="AC3784" s="177" t="s">
        <v>2637</v>
      </c>
    </row>
    <row r="3785" spans="1:29" ht="20.25" customHeight="1">
      <c r="A3785" s="217"/>
      <c r="E3785" s="187">
        <v>24.28</v>
      </c>
      <c r="F3785" s="178">
        <v>2024</v>
      </c>
      <c r="G3785" s="188">
        <f>13217000000/1.04</f>
        <v>12708653846.153845</v>
      </c>
      <c r="H3785" s="272"/>
      <c r="I3785" s="188">
        <f>1676000000/1.04</f>
        <v>1611538461.5384614</v>
      </c>
      <c r="J3785" s="188">
        <f>1557000000/1.04</f>
        <v>1497115384.6153846</v>
      </c>
      <c r="K3785" s="188">
        <f>-3231000000/1.08</f>
        <v>-2991666666.6666665</v>
      </c>
      <c r="L3785" s="188">
        <f>17679000000/1.04</f>
        <v>16999038461.538462</v>
      </c>
      <c r="M3785" s="194">
        <f>L3785/P3785</f>
        <v>18.855334050224617</v>
      </c>
      <c r="N3785" s="190">
        <f>J3785/L3785</f>
        <v>8.8070592228067193E-2</v>
      </c>
      <c r="O3785" s="190">
        <f>(I3785*0.7)/(K3785+L3785)</f>
        <v>8.0534517081207221E-2</v>
      </c>
      <c r="P3785" s="188">
        <v>901550639</v>
      </c>
      <c r="Q3785" s="188">
        <f>P3785*E3785</f>
        <v>21889649514.920002</v>
      </c>
      <c r="R3785" s="195">
        <f>Q3785/L3785</f>
        <v>1.287699275723559</v>
      </c>
      <c r="S3785" s="197" t="e">
        <f>(Q3785+K3785)/H3785</f>
        <v>#DIV/0!</v>
      </c>
      <c r="T3785" s="180">
        <f>288000000/1.04</f>
        <v>276923076.92307693</v>
      </c>
      <c r="U3785" s="189" t="str">
        <f>IFERROR(IF(Tableau3[[#This Row],[Dettes]]=0,"",(Tableau3[[#This Row],[Dettes]]/Tableau3[[#This Row],[EBE]])),"")</f>
        <v/>
      </c>
      <c r="V3785" s="190">
        <f>IFERROR(Tableau3[[#This Row],[Fonds propres]]/Tableau3[[#This Row],[Total Bilan]],"")</f>
        <v>0.71450511255708693</v>
      </c>
      <c r="W3785" s="180">
        <f>24743000000/1.04</f>
        <v>23791346153.846153</v>
      </c>
      <c r="Y3785" s="180"/>
      <c r="Z3785" s="192" t="str">
        <f>IFERROR(Tableau3[[#This Row],[Chiffre d''affaires]]/Tableau3[[#This Row],[Salariés]],"")</f>
        <v/>
      </c>
      <c r="AA3785" s="177"/>
      <c r="AC3785" s="177" t="s">
        <v>2638</v>
      </c>
    </row>
    <row r="3786" spans="1:29" ht="20.25" customHeight="1">
      <c r="A3786" s="217"/>
      <c r="E3786" s="187"/>
      <c r="G3786" s="202">
        <f>(G3785/G3787)-1</f>
        <v>-0.19863284205092613</v>
      </c>
      <c r="H3786" s="272"/>
      <c r="I3786" s="202">
        <f>(I3785/I3787)-1</f>
        <v>-0.61904642743940075</v>
      </c>
      <c r="J3786" s="202">
        <f>(J3785/J3787)-1</f>
        <v>-0.6124778510494493</v>
      </c>
      <c r="K3786" s="178"/>
      <c r="L3786" s="178"/>
      <c r="M3786" s="178"/>
      <c r="N3786" s="178"/>
      <c r="O3786" s="178"/>
      <c r="P3786" s="178"/>
      <c r="Q3786" s="178"/>
      <c r="R3786" s="178"/>
      <c r="S3786" s="178"/>
      <c r="T3786" s="180"/>
      <c r="U3786" s="189" t="str">
        <f>IFERROR(IF(Tableau3[[#This Row],[Dettes]]=0,"",(Tableau3[[#This Row],[Dettes]]/Tableau3[[#This Row],[EBE]])),"")</f>
        <v/>
      </c>
      <c r="V3786" s="190" t="str">
        <f>IFERROR(Tableau3[[#This Row],[Fonds propres]]/Tableau3[[#This Row],[Total Bilan]],"")</f>
        <v/>
      </c>
      <c r="W3786" s="180"/>
      <c r="Y3786" s="180"/>
      <c r="Z3786" s="192" t="str">
        <f>IFERROR(Tableau3[[#This Row],[Chiffre d''affaires]]/Tableau3[[#This Row],[Salariés]],"")</f>
        <v/>
      </c>
      <c r="AA3786" s="177"/>
      <c r="AC3786" s="177" t="s">
        <v>2639</v>
      </c>
    </row>
    <row r="3787" spans="1:29" ht="20.25" customHeight="1">
      <c r="A3787" s="217"/>
      <c r="E3787" s="187">
        <v>45.24</v>
      </c>
      <c r="F3787" s="178">
        <v>2023</v>
      </c>
      <c r="G3787" s="188">
        <f>17286000000/1.09</f>
        <v>15858715596.330275</v>
      </c>
      <c r="H3787" s="272"/>
      <c r="I3787" s="188">
        <f>4611000000/1.09</f>
        <v>4230275229.3577976</v>
      </c>
      <c r="J3787" s="188">
        <f>4211000000/1.09</f>
        <v>3863302752.2935777</v>
      </c>
      <c r="K3787" s="188">
        <f>-3004000000/1.09</f>
        <v>-2755963302.7522936</v>
      </c>
      <c r="L3787" s="188">
        <f>16729000000/1.09</f>
        <v>15347706422.018347</v>
      </c>
      <c r="M3787" s="194">
        <f>L3787/P3787</f>
        <v>16.842671549033327</v>
      </c>
      <c r="N3787" s="190">
        <f>J3787/L3787</f>
        <v>0.25171857253870528</v>
      </c>
      <c r="O3787" s="190">
        <f>(I3787*0.7)/(K3787+L3787)</f>
        <v>0.23516939890710381</v>
      </c>
      <c r="P3787" s="188">
        <v>911239430</v>
      </c>
      <c r="Q3787" s="188">
        <f>P3787*E3787</f>
        <v>41224471813.200005</v>
      </c>
      <c r="R3787" s="195">
        <f>Q3787/L3787</f>
        <v>2.6860346868544451</v>
      </c>
      <c r="S3787" s="197" t="e">
        <f>(Q3787+K3787)/H3787</f>
        <v>#DIV/0!</v>
      </c>
      <c r="T3787" s="180">
        <f>1774000000/1.09</f>
        <v>1627522935.7798164</v>
      </c>
      <c r="U3787" s="189" t="str">
        <f>IFERROR(IF(Tableau3[[#This Row],[Dettes]]=0,"",(Tableau3[[#This Row],[Dettes]]/Tableau3[[#This Row],[EBE]])),"")</f>
        <v/>
      </c>
      <c r="V3787" s="190">
        <f>IFERROR(Tableau3[[#This Row],[Fonds propres]]/Tableau3[[#This Row],[Total Bilan]],"")</f>
        <v>0.68412873676031571</v>
      </c>
      <c r="W3787" s="180">
        <f>24453000000/1.09</f>
        <v>22433944954.128437</v>
      </c>
      <c r="Y3787" s="180"/>
      <c r="Z3787" s="192" t="str">
        <f>IFERROR(Tableau3[[#This Row],[Chiffre d''affaires]]/Tableau3[[#This Row],[Salariés]],"")</f>
        <v/>
      </c>
      <c r="AA3787" s="177"/>
      <c r="AC3787" s="177" t="s">
        <v>2640</v>
      </c>
    </row>
    <row r="3788" spans="1:29" ht="20.25" customHeight="1">
      <c r="A3788" s="217"/>
      <c r="E3788" s="187"/>
      <c r="G3788" s="202">
        <f>(G3787/G3789)-1</f>
        <v>4.230149628658797E-2</v>
      </c>
      <c r="H3788" s="202"/>
      <c r="I3788" s="202">
        <f>(I3787/I3789)-1</f>
        <v>1.0158085857009613E-2</v>
      </c>
      <c r="J3788" s="202">
        <f>(J3787/J3789)-1</f>
        <v>3.4116393290705149E-2</v>
      </c>
      <c r="K3788" s="178"/>
      <c r="L3788" s="178"/>
      <c r="M3788" s="178"/>
      <c r="N3788" s="178"/>
      <c r="O3788" s="178"/>
      <c r="P3788" s="178"/>
      <c r="Q3788" s="178"/>
      <c r="R3788" s="178"/>
      <c r="S3788" s="178"/>
      <c r="T3788" s="180"/>
      <c r="U3788" s="189" t="str">
        <f>IFERROR(IF(Tableau3[[#This Row],[Dettes]]=0,"",(Tableau3[[#This Row],[Dettes]]/Tableau3[[#This Row],[EBE]])),"")</f>
        <v/>
      </c>
      <c r="V3788" s="190" t="str">
        <f>IFERROR(Tableau3[[#This Row],[Fonds propres]]/Tableau3[[#This Row],[Total Bilan]],"")</f>
        <v/>
      </c>
      <c r="W3788" s="180"/>
      <c r="Y3788" s="180"/>
      <c r="Z3788" s="192" t="str">
        <f>IFERROR(Tableau3[[#This Row],[Chiffre d''affaires]]/Tableau3[[#This Row],[Salariés]],"")</f>
        <v/>
      </c>
      <c r="AA3788" s="177"/>
      <c r="AC3788" s="177" t="s">
        <v>2641</v>
      </c>
    </row>
    <row r="3789" spans="1:29" ht="20.25" customHeight="1">
      <c r="A3789" s="217"/>
      <c r="E3789" s="187">
        <v>33</v>
      </c>
      <c r="F3789" s="178">
        <v>2022</v>
      </c>
      <c r="G3789" s="188">
        <f>16128000000/1.06</f>
        <v>15215094339.622641</v>
      </c>
      <c r="H3789" s="188"/>
      <c r="I3789" s="188">
        <f>4439000000/1.06</f>
        <v>4187735849.0566034</v>
      </c>
      <c r="J3789" s="188">
        <f>3960000000/1.06</f>
        <v>3735849056.6037736</v>
      </c>
      <c r="K3789" s="188">
        <f>-1801000000/1.06</f>
        <v>-1699056603.7735848</v>
      </c>
      <c r="L3789" s="188">
        <f>12769300000/1.06</f>
        <v>12046509433.962263</v>
      </c>
      <c r="M3789" s="194">
        <f>L3789/P3789</f>
        <v>13.219916782971367</v>
      </c>
      <c r="N3789" s="190">
        <f>J3789/L3789</f>
        <v>0.31011880056071989</v>
      </c>
      <c r="O3789" s="190">
        <f>(I3789*0.7)/(K3789+L3789)</f>
        <v>0.28329823217818617</v>
      </c>
      <c r="P3789" s="188">
        <v>911239430</v>
      </c>
      <c r="Q3789" s="188">
        <f>P3789*E3789</f>
        <v>30070901190</v>
      </c>
      <c r="R3789" s="195">
        <f>Q3789/L3789</f>
        <v>2.4962335649879011</v>
      </c>
      <c r="S3789" s="197" t="e">
        <f>(Q3789+K3789)/H3789</f>
        <v>#DIV/0!</v>
      </c>
      <c r="T3789" s="180">
        <f>1591000000/1.06</f>
        <v>1500943396.2264149</v>
      </c>
      <c r="U3789" s="189" t="str">
        <f>IFERROR(IF(Tableau3[[#This Row],[Dettes]]=0,"",(Tableau3[[#This Row],[Dettes]]/Tableau3[[#This Row],[EBE]])),"")</f>
        <v/>
      </c>
      <c r="V3789" s="190">
        <f>IFERROR(Tableau3[[#This Row],[Fonds propres]]/Tableau3[[#This Row],[Total Bilan]],"")</f>
        <v>0.63904013612251021</v>
      </c>
      <c r="W3789" s="180">
        <f>19982000000/1.06</f>
        <v>18850943396.226414</v>
      </c>
      <c r="Y3789" s="180"/>
      <c r="Z3789" s="192" t="str">
        <f>IFERROR(Tableau3[[#This Row],[Chiffre d''affaires]]/Tableau3[[#This Row],[Salariés]],"")</f>
        <v/>
      </c>
      <c r="AA3789" s="177"/>
      <c r="AC3789" s="177" t="s">
        <v>2642</v>
      </c>
    </row>
    <row r="3790" spans="1:29" ht="20.25" customHeight="1">
      <c r="A3790" s="217"/>
      <c r="E3790" s="187"/>
      <c r="G3790" s="202">
        <f>(G3789/G3791)-1</f>
        <v>0.34731264037094145</v>
      </c>
      <c r="H3790" s="202"/>
      <c r="I3790" s="202">
        <f>(I3789/I3791)-1</f>
        <v>0.95623873891441136</v>
      </c>
      <c r="J3790" s="202">
        <f>(J3789/J3791)-1</f>
        <v>1.1107547169811318</v>
      </c>
      <c r="K3790" s="188"/>
      <c r="L3790" s="242"/>
      <c r="M3790" s="194"/>
      <c r="N3790" s="190"/>
      <c r="O3790" s="190"/>
      <c r="P3790" s="188"/>
      <c r="Q3790" s="188"/>
      <c r="R3790" s="195"/>
      <c r="S3790" s="178"/>
      <c r="T3790" s="180"/>
      <c r="U3790" s="189" t="str">
        <f>IFERROR(IF(Tableau3[[#This Row],[Dettes]]=0,"",(Tableau3[[#This Row],[Dettes]]/Tableau3[[#This Row],[EBE]])),"")</f>
        <v/>
      </c>
      <c r="V3790" s="190" t="str">
        <f>IFERROR(Tableau3[[#This Row],[Fonds propres]]/Tableau3[[#This Row],[Total Bilan]],"")</f>
        <v/>
      </c>
      <c r="W3790" s="180"/>
      <c r="Y3790" s="180"/>
      <c r="Z3790" s="192" t="str">
        <f>IFERROR(Tableau3[[#This Row],[Chiffre d''affaires]]/Tableau3[[#This Row],[Salariés]],"")</f>
        <v/>
      </c>
      <c r="AA3790" s="177"/>
      <c r="AC3790" s="177" t="s">
        <v>2643</v>
      </c>
    </row>
    <row r="3791" spans="1:29" ht="20.25" customHeight="1">
      <c r="A3791" s="217"/>
      <c r="E3791" s="187">
        <v>43.3</v>
      </c>
      <c r="F3791" s="178">
        <v>2021</v>
      </c>
      <c r="G3791" s="188">
        <f>12761000000/1.13</f>
        <v>11292920353.982302</v>
      </c>
      <c r="H3791" s="188"/>
      <c r="I3791" s="188">
        <f>2419000000/1.13</f>
        <v>2140707964.6017702</v>
      </c>
      <c r="J3791" s="188">
        <f>2000000000/1.13</f>
        <v>1769911504.4247789</v>
      </c>
      <c r="K3791" s="188">
        <f>-977000000/1.13</f>
        <v>-864601769.91150451</v>
      </c>
      <c r="L3791" s="188">
        <f>10978000000/1.13</f>
        <v>9715044247.787611</v>
      </c>
      <c r="M3791" s="194">
        <f>L3791/P3791</f>
        <v>10.661351921292093</v>
      </c>
      <c r="N3791" s="190">
        <f>J3791/L3791</f>
        <v>0.18218254691200583</v>
      </c>
      <c r="O3791" s="190">
        <f>(I3791*0.7)/(K3791+L3791)</f>
        <v>0.1693130686931307</v>
      </c>
      <c r="P3791" s="188">
        <v>911239430</v>
      </c>
      <c r="Q3791" s="188">
        <f>P3791*E3791</f>
        <v>39456667319</v>
      </c>
      <c r="R3791" s="195">
        <f>Q3791/L3791</f>
        <v>4.0613986218318452</v>
      </c>
      <c r="S3791" s="197" t="e">
        <f>(Q3791+K3791)/H3791</f>
        <v>#DIV/0!</v>
      </c>
      <c r="T3791" s="180">
        <f>1120000000/1.13</f>
        <v>991150442.47787619</v>
      </c>
      <c r="U3791" s="189" t="str">
        <f>IFERROR(IF(Tableau3[[#This Row],[Dettes]]=0,"",(Tableau3[[#This Row],[Dettes]]/Tableau3[[#This Row],[EBE]])),"")</f>
        <v/>
      </c>
      <c r="V3791" s="190" t="str">
        <f>IFERROR(Tableau3[[#This Row],[Fonds propres]]/Tableau3[[#This Row],[Total Bilan]],"")</f>
        <v/>
      </c>
      <c r="W3791" s="180"/>
      <c r="Y3791" s="180"/>
      <c r="Z3791" s="192" t="str">
        <f>IFERROR(Tableau3[[#This Row],[Chiffre d''affaires]]/Tableau3[[#This Row],[Salariés]],"")</f>
        <v/>
      </c>
      <c r="AA3791" s="178"/>
      <c r="AC3791" s="177" t="s">
        <v>2644</v>
      </c>
    </row>
    <row r="3792" spans="1:29" ht="20.25" customHeight="1">
      <c r="A3792" s="217"/>
      <c r="E3792" s="187"/>
      <c r="G3792" s="202">
        <f>(G3791/G3793)-1</f>
        <v>0.10509055230279896</v>
      </c>
      <c r="H3792" s="202"/>
      <c r="I3792" s="202">
        <f>(I3791/I3793)-1</f>
        <v>0.61807102388644752</v>
      </c>
      <c r="J3792" s="202">
        <f>(J3791/J3793)-1</f>
        <v>0.60028164957032448</v>
      </c>
      <c r="K3792" s="188"/>
      <c r="L3792" s="242"/>
      <c r="M3792" s="194"/>
      <c r="N3792" s="190"/>
      <c r="O3792" s="190"/>
      <c r="P3792" s="188"/>
      <c r="Q3792" s="188"/>
      <c r="R3792" s="195"/>
      <c r="S3792" s="178"/>
      <c r="T3792" s="180"/>
      <c r="U3792" s="189" t="str">
        <f>IFERROR(IF(Tableau3[[#This Row],[Dettes]]=0,"",(Tableau3[[#This Row],[Dettes]]/Tableau3[[#This Row],[EBE]])),"")</f>
        <v/>
      </c>
      <c r="V3792" s="190" t="str">
        <f>IFERROR(Tableau3[[#This Row],[Fonds propres]]/Tableau3[[#This Row],[Total Bilan]],"")</f>
        <v/>
      </c>
      <c r="W3792" s="180"/>
      <c r="Y3792" s="180"/>
      <c r="Z3792" s="192" t="str">
        <f>IFERROR(Tableau3[[#This Row],[Chiffre d''affaires]]/Tableau3[[#This Row],[Salariés]],"")</f>
        <v/>
      </c>
      <c r="AA3792" s="177"/>
      <c r="AC3792" s="177" t="s">
        <v>2645</v>
      </c>
    </row>
    <row r="3793" spans="1:29" ht="20.25" customHeight="1">
      <c r="A3793" s="217"/>
      <c r="E3793" s="187">
        <v>30.28</v>
      </c>
      <c r="F3793" s="178">
        <v>2020</v>
      </c>
      <c r="G3793" s="188">
        <v>10219000000</v>
      </c>
      <c r="H3793" s="188">
        <f>G3793*0.22</f>
        <v>2248180000</v>
      </c>
      <c r="I3793" s="188">
        <v>1323000000</v>
      </c>
      <c r="J3793" s="188">
        <v>1106000000</v>
      </c>
      <c r="K3793" s="188">
        <v>-1099000000</v>
      </c>
      <c r="L3793" s="188">
        <v>8448000000</v>
      </c>
      <c r="M3793" s="194">
        <f>L3793/P3793</f>
        <v>9.2708894302345985</v>
      </c>
      <c r="N3793" s="190">
        <f>J3793/L3793</f>
        <v>0.13091856060606061</v>
      </c>
      <c r="O3793" s="190">
        <f>(I3793*0.7)/(K3793+L3793)</f>
        <v>0.12601714518982174</v>
      </c>
      <c r="P3793" s="188">
        <v>911239430</v>
      </c>
      <c r="Q3793" s="188">
        <f>P3793*E3793</f>
        <v>27592329940.400002</v>
      </c>
      <c r="R3793" s="195">
        <f>Q3793/L3793</f>
        <v>3.2661375402935606</v>
      </c>
      <c r="S3793" s="197">
        <f>(Q3793+K3793)/H3793</f>
        <v>11.784345533008924</v>
      </c>
      <c r="T3793" s="180"/>
      <c r="U3793" s="189">
        <f>IFERROR(IF(Tableau3[[#This Row],[Dettes]]=0,"",(Tableau3[[#This Row],[Dettes]]/Tableau3[[#This Row],[EBE]])),"")</f>
        <v>-0.48883986157692</v>
      </c>
      <c r="V3793" s="190" t="str">
        <f>IFERROR(Tableau3[[#This Row],[Fonds propres]]/Tableau3[[#This Row],[Total Bilan]],"")</f>
        <v/>
      </c>
      <c r="W3793" s="180"/>
      <c r="Y3793" s="180"/>
      <c r="Z3793" s="192" t="str">
        <f>IFERROR(Tableau3[[#This Row],[Chiffre d''affaires]]/Tableau3[[#This Row],[Salariés]],"")</f>
        <v/>
      </c>
      <c r="AA3793" s="177"/>
      <c r="AC3793" s="177" t="s">
        <v>2646</v>
      </c>
    </row>
    <row r="3794" spans="1:29" ht="20.25" customHeight="1">
      <c r="A3794" s="217"/>
      <c r="E3794" s="187"/>
      <c r="G3794" s="202">
        <f>(G3793/G3795)-1</f>
        <v>6.938049393051493E-2</v>
      </c>
      <c r="H3794" s="202">
        <f>(H3793/H3795)-1</f>
        <v>9.4249807742852409E-2</v>
      </c>
      <c r="I3794" s="202">
        <f>(I3793/I3795)-1</f>
        <v>9.9750623441396513E-2</v>
      </c>
      <c r="J3794" s="202">
        <f>(J3793/J3795)-1</f>
        <v>7.1705426356589053E-2</v>
      </c>
      <c r="K3794" s="188"/>
      <c r="L3794" s="242"/>
      <c r="M3794" s="178"/>
      <c r="N3794" s="178"/>
      <c r="O3794" s="178"/>
      <c r="P3794" s="188"/>
      <c r="Q3794" s="178"/>
      <c r="R3794" s="178"/>
      <c r="S3794" s="178"/>
      <c r="T3794" s="180"/>
      <c r="U3794" s="189" t="str">
        <f>IFERROR(IF(Tableau3[[#This Row],[Dettes]]=0,"",(Tableau3[[#This Row],[Dettes]]/Tableau3[[#This Row],[EBE]])),"")</f>
        <v/>
      </c>
      <c r="V3794" s="190" t="str">
        <f>IFERROR(Tableau3[[#This Row],[Fonds propres]]/Tableau3[[#This Row],[Total Bilan]],"")</f>
        <v/>
      </c>
      <c r="W3794" s="180"/>
      <c r="Y3794" s="180"/>
      <c r="Z3794" s="192" t="str">
        <f>IFERROR(Tableau3[[#This Row],[Chiffre d''affaires]]/Tableau3[[#This Row],[Salariés]],"")</f>
        <v/>
      </c>
      <c r="AA3794" s="177"/>
      <c r="AC3794" s="177" t="s">
        <v>2647</v>
      </c>
    </row>
    <row r="3795" spans="1:29" ht="20.25" customHeight="1">
      <c r="A3795" s="217"/>
      <c r="E3795" s="187">
        <v>24.34</v>
      </c>
      <c r="F3795" s="178">
        <v>2019</v>
      </c>
      <c r="G3795" s="188">
        <v>9556000000</v>
      </c>
      <c r="H3795" s="211">
        <f>G3795*0.215</f>
        <v>2054540000</v>
      </c>
      <c r="I3795" s="188">
        <v>1203000000</v>
      </c>
      <c r="J3795" s="188">
        <v>1032000000</v>
      </c>
      <c r="K3795" s="188">
        <v>-672000000</v>
      </c>
      <c r="L3795" s="188">
        <v>7043000000</v>
      </c>
      <c r="M3795" s="194">
        <f>L3795/P3795</f>
        <v>7.808548259808421</v>
      </c>
      <c r="N3795" s="190">
        <f>J3795/L3795</f>
        <v>0.14652846798239386</v>
      </c>
      <c r="O3795" s="190">
        <f>(I3795*0.7)/(K3795+L3795)</f>
        <v>0.13217705226808979</v>
      </c>
      <c r="P3795" s="188">
        <v>901960232</v>
      </c>
      <c r="Q3795" s="188">
        <f>P3795*E3795</f>
        <v>21953712046.880001</v>
      </c>
      <c r="R3795" s="195">
        <f>Q3795/L3795</f>
        <v>3.1170966984069288</v>
      </c>
      <c r="S3795" s="197">
        <f>(Q3795+K3795)/H3795</f>
        <v>10.358382921179437</v>
      </c>
      <c r="T3795" s="180"/>
      <c r="U3795" s="189">
        <f>IFERROR(IF(Tableau3[[#This Row],[Dettes]]=0,"",(Tableau3[[#This Row],[Dettes]]/Tableau3[[#This Row],[EBE]])),"")</f>
        <v>-0.32708051437304703</v>
      </c>
      <c r="V3795" s="190" t="str">
        <f>IFERROR(Tableau3[[#This Row],[Fonds propres]]/Tableau3[[#This Row],[Total Bilan]],"")</f>
        <v/>
      </c>
      <c r="W3795" s="180"/>
      <c r="Y3795" s="180"/>
      <c r="Z3795" s="192" t="str">
        <f>IFERROR(Tableau3[[#This Row],[Chiffre d''affaires]]/Tableau3[[#This Row],[Salariés]],"")</f>
        <v/>
      </c>
      <c r="AA3795" s="177"/>
      <c r="AC3795" s="177" t="s">
        <v>2648</v>
      </c>
    </row>
    <row r="3796" spans="1:29" ht="20.25" customHeight="1">
      <c r="A3796" s="217"/>
      <c r="E3796" s="187"/>
      <c r="G3796" s="202">
        <f>(G3795/G3797)-1</f>
        <v>-1.1175496688741737E-2</v>
      </c>
      <c r="H3796" s="202">
        <f>(H3795/H3797)-1</f>
        <v>-6.3448157656737725E-2</v>
      </c>
      <c r="I3796" s="202">
        <f>(I3795/I3797)-1</f>
        <v>-0.14071428571428568</v>
      </c>
      <c r="J3796" s="202">
        <f>(J3795/J3797)-1</f>
        <v>-0.19813519813519809</v>
      </c>
      <c r="K3796" s="178"/>
      <c r="L3796" s="178"/>
      <c r="M3796" s="178"/>
      <c r="N3796" s="178"/>
      <c r="O3796" s="178"/>
      <c r="P3796" s="178"/>
      <c r="Q3796" s="178"/>
      <c r="R3796" s="178"/>
      <c r="S3796" s="178"/>
      <c r="T3796" s="180"/>
      <c r="U3796" s="189" t="str">
        <f>IFERROR(IF(Tableau3[[#This Row],[Dettes]]=0,"",(Tableau3[[#This Row],[Dettes]]/Tableau3[[#This Row],[EBE]])),"")</f>
        <v/>
      </c>
      <c r="V3796" s="190" t="str">
        <f>IFERROR(Tableau3[[#This Row],[Fonds propres]]/Tableau3[[#This Row],[Total Bilan]],"")</f>
        <v/>
      </c>
      <c r="W3796" s="180"/>
      <c r="Y3796" s="180"/>
      <c r="Z3796" s="192" t="str">
        <f>IFERROR(Tableau3[[#This Row],[Chiffre d''affaires]]/Tableau3[[#This Row],[Salariés]],"")</f>
        <v/>
      </c>
      <c r="AA3796" s="177"/>
      <c r="AC3796" s="177" t="s">
        <v>2649</v>
      </c>
    </row>
    <row r="3797" spans="1:29" ht="20.25" customHeight="1">
      <c r="A3797" s="217"/>
      <c r="E3797" s="187">
        <v>12.24</v>
      </c>
      <c r="F3797" s="178">
        <v>2018</v>
      </c>
      <c r="G3797" s="188">
        <v>9664000000</v>
      </c>
      <c r="H3797" s="211">
        <f>G3797*0.227</f>
        <v>2193728000</v>
      </c>
      <c r="I3797" s="188">
        <v>1400000000</v>
      </c>
      <c r="J3797" s="188">
        <v>1287000000</v>
      </c>
      <c r="K3797" s="188">
        <v>-686000000</v>
      </c>
      <c r="L3797" s="188">
        <v>6459000000</v>
      </c>
      <c r="M3797" s="194">
        <f>L3797/P3797</f>
        <v>7.1229794881283359</v>
      </c>
      <c r="N3797" s="190">
        <f>J3797/L3797</f>
        <v>0.19925685090571296</v>
      </c>
      <c r="O3797" s="190">
        <f>(I3797*0.7)/(K3797+L3797)</f>
        <v>0.16975575957041397</v>
      </c>
      <c r="P3797" s="188">
        <v>906783462</v>
      </c>
      <c r="Q3797" s="188">
        <f>P3797*E3797</f>
        <v>11099029574.880001</v>
      </c>
      <c r="R3797" s="195">
        <f>Q3797/L3797</f>
        <v>1.718382036674408</v>
      </c>
      <c r="S3797" s="197">
        <f>(Q3797+K3797)/H3797</f>
        <v>4.7467277506053627</v>
      </c>
      <c r="T3797" s="180"/>
      <c r="U3797" s="189">
        <f>IFERROR(IF(Tableau3[[#This Row],[Dettes]]=0,"",(Tableau3[[#This Row],[Dettes]]/Tableau3[[#This Row],[EBE]])),"")</f>
        <v>-0.31270968871254778</v>
      </c>
      <c r="V3797" s="190" t="str">
        <f>IFERROR(Tableau3[[#This Row],[Fonds propres]]/Tableau3[[#This Row],[Total Bilan]],"")</f>
        <v/>
      </c>
      <c r="W3797" s="180"/>
      <c r="Y3797" s="180"/>
      <c r="Z3797" s="192" t="str">
        <f>IFERROR(Tableau3[[#This Row],[Chiffre d''affaires]]/Tableau3[[#This Row],[Salariés]],"")</f>
        <v/>
      </c>
      <c r="AA3797" s="177"/>
      <c r="AC3797" s="177" t="s">
        <v>2650</v>
      </c>
    </row>
    <row r="3798" spans="1:29" ht="20.25" customHeight="1">
      <c r="A3798" s="217"/>
      <c r="E3798" s="187"/>
      <c r="G3798" s="202">
        <f>(G3797/G3799)-1</f>
        <v>0.15778123876841987</v>
      </c>
      <c r="H3798" s="202">
        <f>(H3797/H3799)-1</f>
        <v>0.33409310254026048</v>
      </c>
      <c r="I3798" s="202">
        <f>(I3797/I3799)-1</f>
        <v>0.39303482587064686</v>
      </c>
      <c r="J3798" s="202">
        <f>(J3797/J3799)-1</f>
        <v>0.60473815461346625</v>
      </c>
      <c r="K3798" s="178"/>
      <c r="L3798" s="178"/>
      <c r="M3798" s="194"/>
      <c r="N3798" s="190"/>
      <c r="O3798" s="190"/>
      <c r="P3798" s="178"/>
      <c r="Q3798" s="188"/>
      <c r="R3798" s="195"/>
      <c r="S3798" s="197"/>
      <c r="T3798" s="180"/>
      <c r="U3798" s="189" t="str">
        <f>IFERROR(IF(Tableau3[[#This Row],[Dettes]]=0,"",(Tableau3[[#This Row],[Dettes]]/Tableau3[[#This Row],[EBE]])),"")</f>
        <v/>
      </c>
      <c r="V3798" s="190" t="str">
        <f>IFERROR(Tableau3[[#This Row],[Fonds propres]]/Tableau3[[#This Row],[Total Bilan]],"")</f>
        <v/>
      </c>
      <c r="W3798" s="180"/>
      <c r="Y3798" s="180"/>
      <c r="Z3798" s="192" t="str">
        <f>IFERROR(Tableau3[[#This Row],[Chiffre d''affaires]]/Tableau3[[#This Row],[Salariés]],"")</f>
        <v/>
      </c>
      <c r="AA3798" s="177"/>
      <c r="AC3798" s="177" t="s">
        <v>2651</v>
      </c>
    </row>
    <row r="3799" spans="1:29" ht="20.25" customHeight="1">
      <c r="A3799" s="217"/>
      <c r="E3799" s="187">
        <v>18.2</v>
      </c>
      <c r="F3799" s="178">
        <v>2017</v>
      </c>
      <c r="G3799" s="188">
        <v>8347000000</v>
      </c>
      <c r="H3799" s="211">
        <f>G3799*0.197</f>
        <v>1644359000</v>
      </c>
      <c r="I3799" s="188">
        <v>1005000000</v>
      </c>
      <c r="J3799" s="188">
        <v>802000000</v>
      </c>
      <c r="K3799" s="188">
        <v>-489000000</v>
      </c>
      <c r="L3799" s="188">
        <v>5404000000</v>
      </c>
      <c r="M3799" s="194">
        <f>L3799/P3799</f>
        <v>5.972340664711945</v>
      </c>
      <c r="N3799" s="190">
        <f>J3799/L3799</f>
        <v>0.14840858623242043</v>
      </c>
      <c r="O3799" s="190">
        <f>(I3799*0.7)/(K3799+L3799)</f>
        <v>0.14313326551373348</v>
      </c>
      <c r="P3799" s="188">
        <v>904837869</v>
      </c>
      <c r="Q3799" s="188">
        <f>P3799*E3799</f>
        <v>16468049215.799999</v>
      </c>
      <c r="R3799" s="195">
        <f>Q3799/L3799</f>
        <v>3.0473814240932642</v>
      </c>
      <c r="S3799" s="197">
        <f>(Q3799+K3799)/H3799</f>
        <v>9.7174943037378085</v>
      </c>
      <c r="T3799" s="180"/>
      <c r="U3799" s="189">
        <f>IFERROR(IF(Tableau3[[#This Row],[Dettes]]=0,"",(Tableau3[[#This Row],[Dettes]]/Tableau3[[#This Row],[EBE]])),"")</f>
        <v>-0.29738031658536851</v>
      </c>
      <c r="V3799" s="190" t="str">
        <f>IFERROR(Tableau3[[#This Row],[Fonds propres]]/Tableau3[[#This Row],[Total Bilan]],"")</f>
        <v/>
      </c>
      <c r="W3799" s="180"/>
      <c r="Y3799" s="180"/>
      <c r="Z3799" s="192" t="str">
        <f>IFERROR(Tableau3[[#This Row],[Chiffre d''affaires]]/Tableau3[[#This Row],[Salariés]],"")</f>
        <v/>
      </c>
      <c r="AA3799" s="177"/>
      <c r="AC3799" s="177" t="s">
        <v>2652</v>
      </c>
    </row>
    <row r="3800" spans="1:29" ht="20.25" customHeight="1">
      <c r="A3800" s="217"/>
      <c r="E3800" s="187"/>
      <c r="G3800" s="202">
        <f>(G3799/G3801)-1</f>
        <v>0.19704574788469809</v>
      </c>
      <c r="H3800" s="202">
        <f>(H3799/H3801)-1</f>
        <v>0.80013749872737039</v>
      </c>
      <c r="I3800" s="202">
        <f>(I3799/I3801)-1</f>
        <v>3.4273127753303969</v>
      </c>
      <c r="J3800" s="202">
        <f>(J3799/J3801)-1</f>
        <v>3.8606060606060604</v>
      </c>
      <c r="K3800" s="178"/>
      <c r="L3800" s="242"/>
      <c r="M3800" s="194"/>
      <c r="N3800" s="190"/>
      <c r="O3800" s="190"/>
      <c r="P3800" s="178"/>
      <c r="Q3800" s="188"/>
      <c r="R3800" s="195"/>
      <c r="S3800" s="197"/>
      <c r="T3800" s="180"/>
      <c r="U3800" s="189" t="str">
        <f>IFERROR(IF(Tableau3[[#This Row],[Dettes]]=0,"",(Tableau3[[#This Row],[Dettes]]/Tableau3[[#This Row],[EBE]])),"")</f>
        <v/>
      </c>
      <c r="V3800" s="190" t="str">
        <f>IFERROR(Tableau3[[#This Row],[Fonds propres]]/Tableau3[[#This Row],[Total Bilan]],"")</f>
        <v/>
      </c>
      <c r="W3800" s="180"/>
      <c r="Y3800" s="180"/>
      <c r="Z3800" s="192" t="str">
        <f>IFERROR(Tableau3[[#This Row],[Chiffre d''affaires]]/Tableau3[[#This Row],[Salariés]],"")</f>
        <v/>
      </c>
      <c r="AA3800" s="177"/>
      <c r="AC3800" s="177" t="s">
        <v>2653</v>
      </c>
    </row>
    <row r="3801" spans="1:29" ht="20.25" customHeight="1">
      <c r="A3801" s="217"/>
      <c r="E3801" s="187">
        <v>10.78</v>
      </c>
      <c r="F3801" s="178">
        <v>2016</v>
      </c>
      <c r="G3801" s="188">
        <v>6973000000</v>
      </c>
      <c r="H3801" s="211">
        <f>G3801*0.131</f>
        <v>913463000</v>
      </c>
      <c r="I3801" s="188">
        <v>227000000</v>
      </c>
      <c r="J3801" s="188">
        <v>165000000</v>
      </c>
      <c r="K3801" s="188">
        <v>-513000000</v>
      </c>
      <c r="L3801" s="188">
        <v>4535000000</v>
      </c>
      <c r="M3801" s="194">
        <f>L3801/P3801</f>
        <v>5.1040108096893917</v>
      </c>
      <c r="N3801" s="190">
        <f>J3801/L3801</f>
        <v>3.6383682469680267E-2</v>
      </c>
      <c r="O3801" s="190">
        <f>(I3801*0.7)/(K3801+L3801)</f>
        <v>3.9507707608155147E-2</v>
      </c>
      <c r="P3801" s="188">
        <v>888516927</v>
      </c>
      <c r="Q3801" s="188">
        <f>P3801*E3801</f>
        <v>9578212473.0599995</v>
      </c>
      <c r="R3801" s="195">
        <f>Q3801/L3801</f>
        <v>2.1120644924057332</v>
      </c>
      <c r="S3801" s="197">
        <f>(Q3801+K3801)/H3801</f>
        <v>9.924006197361031</v>
      </c>
      <c r="T3801" s="180"/>
      <c r="U3801" s="189">
        <f>IFERROR(IF(Tableau3[[#This Row],[Dettes]]=0,"",(Tableau3[[#This Row],[Dettes]]/Tableau3[[#This Row],[EBE]])),"")</f>
        <v>-0.56159910144143765</v>
      </c>
      <c r="V3801" s="190" t="str">
        <f>IFERROR(Tableau3[[#This Row],[Fonds propres]]/Tableau3[[#This Row],[Total Bilan]],"")</f>
        <v/>
      </c>
      <c r="W3801" s="180"/>
      <c r="Y3801" s="180"/>
      <c r="Z3801" s="192" t="str">
        <f>IFERROR(Tableau3[[#This Row],[Chiffre d''affaires]]/Tableau3[[#This Row],[Salariés]],"")</f>
        <v/>
      </c>
      <c r="AA3801" s="177"/>
      <c r="AC3801" s="177" t="s">
        <v>2654</v>
      </c>
    </row>
    <row r="3802" spans="1:29" ht="20.25" customHeight="1">
      <c r="A3802" s="217"/>
      <c r="G3802" s="202">
        <f>(G3801/G3803)-1</f>
        <v>1.1019283746556363E-2</v>
      </c>
      <c r="H3802" s="202">
        <f>(H3801/H3803)-1</f>
        <v>7.6776635534950399E-2</v>
      </c>
      <c r="I3802" s="202">
        <f>(I3801/I3803)-1</f>
        <v>1.0570537915035523</v>
      </c>
      <c r="J3802" s="202">
        <f>(J3801/J3803)-1</f>
        <v>0.58653846153846145</v>
      </c>
      <c r="K3802" s="178"/>
      <c r="L3802" s="242"/>
      <c r="M3802" s="178"/>
      <c r="N3802" s="178"/>
      <c r="O3802" s="178"/>
      <c r="P3802" s="178"/>
      <c r="Q3802" s="178"/>
      <c r="R3802" s="178"/>
      <c r="S3802" s="178"/>
      <c r="T3802" s="180"/>
      <c r="U3802" s="189" t="str">
        <f>IFERROR(IF(Tableau3[[#This Row],[Dettes]]=0,"",(Tableau3[[#This Row],[Dettes]]/Tableau3[[#This Row],[EBE]])),"")</f>
        <v/>
      </c>
      <c r="V3802" s="190" t="str">
        <f>IFERROR(Tableau3[[#This Row],[Fonds propres]]/Tableau3[[#This Row],[Total Bilan]],"")</f>
        <v/>
      </c>
      <c r="W3802" s="180"/>
      <c r="Y3802" s="180"/>
      <c r="Z3802" s="192" t="str">
        <f>IFERROR(Tableau3[[#This Row],[Chiffre d''affaires]]/Tableau3[[#This Row],[Salariés]],"")</f>
        <v/>
      </c>
      <c r="AA3802" s="177"/>
      <c r="AC3802" s="177" t="s">
        <v>2655</v>
      </c>
    </row>
    <row r="3803" spans="1:29" ht="20.25" customHeight="1">
      <c r="A3803" s="217"/>
      <c r="E3803" s="187">
        <v>6.22</v>
      </c>
      <c r="F3803" s="178">
        <v>2015</v>
      </c>
      <c r="G3803" s="188">
        <v>6897000000</v>
      </c>
      <c r="H3803" s="211">
        <f>G3803*0.123</f>
        <v>848331000</v>
      </c>
      <c r="I3803" s="211">
        <f>G3803*0.016</f>
        <v>110352000</v>
      </c>
      <c r="J3803" s="188">
        <v>104000000</v>
      </c>
      <c r="K3803" s="188">
        <v>-494000000</v>
      </c>
      <c r="L3803" s="188">
        <v>5396000000</v>
      </c>
      <c r="M3803" s="194">
        <f>L3803/P3803</f>
        <v>6.1420269355222024</v>
      </c>
      <c r="N3803" s="190">
        <f>J3803/L3803</f>
        <v>1.9273535952557451E-2</v>
      </c>
      <c r="O3803" s="190">
        <f>(I3803*0.7)/(K3803+L3803)</f>
        <v>1.5758139534883722E-2</v>
      </c>
      <c r="P3803" s="188">
        <v>878537339</v>
      </c>
      <c r="Q3803" s="188">
        <f>P3803*E3803</f>
        <v>5464502248.5799999</v>
      </c>
      <c r="R3803" s="195">
        <f>Q3803/L3803</f>
        <v>1.012695005296516</v>
      </c>
      <c r="S3803" s="197">
        <f>(Q3803+K3803)/H3803</f>
        <v>5.8591543260590502</v>
      </c>
      <c r="T3803" s="180"/>
      <c r="U3803" s="189">
        <f>IFERROR(IF(Tableau3[[#This Row],[Dettes]]=0,"",(Tableau3[[#This Row],[Dettes]]/Tableau3[[#This Row],[EBE]])),"")</f>
        <v>-0.58231987278550468</v>
      </c>
      <c r="V3803" s="190" t="str">
        <f>IFERROR(Tableau3[[#This Row],[Fonds propres]]/Tableau3[[#This Row],[Total Bilan]],"")</f>
        <v/>
      </c>
      <c r="W3803" s="180"/>
      <c r="Y3803" s="180"/>
      <c r="Z3803" s="192" t="str">
        <f>IFERROR(Tableau3[[#This Row],[Chiffre d''affaires]]/Tableau3[[#This Row],[Salariés]],"")</f>
        <v/>
      </c>
      <c r="AA3803" s="177"/>
      <c r="AC3803" s="177" t="s">
        <v>2656</v>
      </c>
    </row>
    <row r="3804" spans="1:29" ht="20.25" customHeight="1">
      <c r="A3804" s="217"/>
      <c r="G3804" s="202">
        <f>(G3803/G3805)-1</f>
        <v>-5.9713701431492794E-2</v>
      </c>
      <c r="H3804" s="202">
        <f>(H3803/H3805)-1</f>
        <v>-0.22896523517382417</v>
      </c>
      <c r="I3804" s="202">
        <f>(I3803/I3805)-1</f>
        <v>-0.2543783783783784</v>
      </c>
      <c r="J3804" s="202">
        <f>(J3803/J3805)-1</f>
        <v>-0.26760563380281688</v>
      </c>
      <c r="K3804" s="178"/>
      <c r="L3804" s="178"/>
      <c r="M3804" s="178"/>
      <c r="N3804" s="178"/>
      <c r="O3804" s="178"/>
      <c r="P3804" s="178"/>
      <c r="Q3804" s="178"/>
      <c r="R3804" s="178"/>
      <c r="S3804" s="178"/>
      <c r="T3804" s="180"/>
      <c r="U3804" s="189" t="str">
        <f>IFERROR(IF(Tableau3[[#This Row],[Dettes]]=0,"",(Tableau3[[#This Row],[Dettes]]/Tableau3[[#This Row],[EBE]])),"")</f>
        <v/>
      </c>
      <c r="V3804" s="190" t="str">
        <f>IFERROR(Tableau3[[#This Row],[Fonds propres]]/Tableau3[[#This Row],[Total Bilan]],"")</f>
        <v/>
      </c>
      <c r="W3804" s="180"/>
      <c r="Y3804" s="180"/>
      <c r="Z3804" s="192" t="str">
        <f>IFERROR(Tableau3[[#This Row],[Chiffre d''affaires]]/Tableau3[[#This Row],[Salariés]],"")</f>
        <v/>
      </c>
      <c r="AA3804" s="177"/>
      <c r="AC3804" s="177" t="s">
        <v>2657</v>
      </c>
    </row>
    <row r="3805" spans="1:29" ht="20.25" customHeight="1">
      <c r="A3805" s="217"/>
      <c r="E3805" s="187">
        <v>6.19</v>
      </c>
      <c r="F3805" s="178">
        <v>2014</v>
      </c>
      <c r="G3805" s="188">
        <v>7335000000</v>
      </c>
      <c r="H3805" s="211">
        <f>G3805*0.15</f>
        <v>1100250000</v>
      </c>
      <c r="I3805" s="188">
        <v>148000000</v>
      </c>
      <c r="J3805" s="188">
        <v>142000000</v>
      </c>
      <c r="K3805" s="188">
        <v>-548000000</v>
      </c>
      <c r="L3805" s="188">
        <v>5646000000</v>
      </c>
      <c r="M3805" s="194">
        <f>L3805/P3805</f>
        <v>6.4604008215519864</v>
      </c>
      <c r="N3805" s="190">
        <f>J3805/L3805</f>
        <v>2.5150549061282324E-2</v>
      </c>
      <c r="O3805" s="190">
        <f>(I3805*0.7)/(K3805+L3805)</f>
        <v>2.0321694782267558E-2</v>
      </c>
      <c r="P3805" s="188">
        <v>873939583</v>
      </c>
      <c r="Q3805" s="188">
        <f>P3805*E3805</f>
        <v>5409686018.7700005</v>
      </c>
      <c r="R3805" s="195">
        <f>Q3805/L3805</f>
        <v>0.95814488465639402</v>
      </c>
      <c r="S3805" s="197">
        <f>(Q3805+K3805)/H3805</f>
        <v>4.4187103101749603</v>
      </c>
      <c r="T3805" s="180"/>
      <c r="U3805" s="189">
        <f>IFERROR(IF(Tableau3[[#This Row],[Dettes]]=0,"",(Tableau3[[#This Row],[Dettes]]/Tableau3[[#This Row],[EBE]])),"")</f>
        <v>-0.49806862076800729</v>
      </c>
      <c r="V3805" s="190" t="str">
        <f>IFERROR(Tableau3[[#This Row],[Fonds propres]]/Tableau3[[#This Row],[Total Bilan]],"")</f>
        <v/>
      </c>
      <c r="W3805" s="180"/>
      <c r="Y3805" s="180"/>
      <c r="Z3805" s="192" t="str">
        <f>IFERROR(Tableau3[[#This Row],[Chiffre d''affaires]]/Tableau3[[#This Row],[Salariés]],"")</f>
        <v/>
      </c>
      <c r="AA3805" s="177"/>
      <c r="AC3805" s="177" t="s">
        <v>2358</v>
      </c>
    </row>
    <row r="3806" spans="1:29" ht="20.25" customHeight="1">
      <c r="A3806" s="217"/>
      <c r="G3806" s="202">
        <f>(G3805/G3807)-1</f>
        <v>-8.8819875776397494E-2</v>
      </c>
      <c r="H3806" s="202">
        <f>(H3805/H3807)-1</f>
        <v>0.36677018633540381</v>
      </c>
      <c r="I3806" s="202">
        <f>(I3805/I3807)-1</f>
        <v>-1.2610229276895943</v>
      </c>
      <c r="J3806" s="202">
        <f>(J3805/J3807)-1</f>
        <v>-1.2091310751104565</v>
      </c>
      <c r="K3806" s="178"/>
      <c r="L3806" s="178"/>
      <c r="M3806" s="178"/>
      <c r="N3806" s="178"/>
      <c r="O3806" s="178"/>
      <c r="P3806" s="178"/>
      <c r="Q3806" s="178"/>
      <c r="R3806" s="178"/>
      <c r="S3806" s="178"/>
      <c r="T3806" s="180"/>
      <c r="U3806" s="189" t="str">
        <f>IFERROR(IF(Tableau3[[#This Row],[Dettes]]=0,"",(Tableau3[[#This Row],[Dettes]]/Tableau3[[#This Row],[EBE]])),"")</f>
        <v/>
      </c>
      <c r="V3806" s="190" t="str">
        <f>IFERROR(Tableau3[[#This Row],[Fonds propres]]/Tableau3[[#This Row],[Total Bilan]],"")</f>
        <v/>
      </c>
      <c r="W3806" s="180"/>
      <c r="Y3806" s="180"/>
      <c r="Z3806" s="192" t="str">
        <f>IFERROR(Tableau3[[#This Row],[Chiffre d''affaires]]/Tableau3[[#This Row],[Salariés]],"")</f>
        <v/>
      </c>
      <c r="AA3806" s="177"/>
      <c r="AC3806" s="177" t="s">
        <v>2658</v>
      </c>
    </row>
    <row r="3807" spans="1:29" ht="20.25" customHeight="1">
      <c r="A3807" s="217"/>
      <c r="E3807" s="187">
        <v>5.59</v>
      </c>
      <c r="F3807" s="178">
        <v>2013</v>
      </c>
      <c r="G3807" s="188">
        <v>8050000000</v>
      </c>
      <c r="H3807" s="211">
        <f>G3807*0.1</f>
        <v>805000000</v>
      </c>
      <c r="I3807" s="188">
        <v>-567000000</v>
      </c>
      <c r="J3807" s="188">
        <v>-679000000</v>
      </c>
      <c r="K3807" s="188">
        <v>-784000000</v>
      </c>
      <c r="L3807" s="188">
        <v>6453000000</v>
      </c>
      <c r="M3807" s="194">
        <f>L3807/P3807</f>
        <v>7.2456220501438073</v>
      </c>
      <c r="N3807" s="190">
        <f>J3807/L3807</f>
        <v>-0.10522237718890438</v>
      </c>
      <c r="O3807" s="190">
        <f>(I3807*0.7)/(K3807+L3807)</f>
        <v>-7.0012347856764856E-2</v>
      </c>
      <c r="P3807" s="188">
        <v>890606763</v>
      </c>
      <c r="Q3807" s="188">
        <f>P3807*E3807</f>
        <v>4978491805.1700001</v>
      </c>
      <c r="R3807" s="195">
        <f>Q3807/L3807</f>
        <v>0.77150035722454668</v>
      </c>
      <c r="S3807" s="197">
        <f>(Q3807+K3807)/H3807</f>
        <v>5.2105488262981368</v>
      </c>
      <c r="T3807" s="180"/>
      <c r="U3807" s="189">
        <f>IFERROR(IF(Tableau3[[#This Row],[Dettes]]=0,"",(Tableau3[[#This Row],[Dettes]]/Tableau3[[#This Row],[EBE]])),"")</f>
        <v>-0.97391304347826091</v>
      </c>
      <c r="V3807" s="190" t="str">
        <f>IFERROR(Tableau3[[#This Row],[Fonds propres]]/Tableau3[[#This Row],[Total Bilan]],"")</f>
        <v/>
      </c>
      <c r="W3807" s="180"/>
      <c r="Y3807" s="180"/>
      <c r="Z3807" s="192" t="str">
        <f>IFERROR(Tableau3[[#This Row],[Chiffre d''affaires]]/Tableau3[[#This Row],[Salariés]],"")</f>
        <v/>
      </c>
      <c r="AA3807" s="177"/>
    </row>
    <row r="3808" spans="1:29" ht="20.25" customHeight="1">
      <c r="A3808" s="217"/>
      <c r="G3808" s="202">
        <f>(G3807/G3809)-1</f>
        <v>-3.9379474940334114E-2</v>
      </c>
      <c r="H3808" s="202">
        <f>(H3807/H3809)-1</f>
        <v>-0.23150357995226734</v>
      </c>
      <c r="I3808" s="202">
        <f>(I3807/I3809)-1</f>
        <v>-0.75496974935177186</v>
      </c>
      <c r="J3808" s="202">
        <f>(J3807/J3809)-1</f>
        <v>-0.72676056338028161</v>
      </c>
      <c r="K3808" s="178"/>
      <c r="L3808" s="178"/>
      <c r="M3808" s="178"/>
      <c r="N3808" s="178"/>
      <c r="O3808" s="178"/>
      <c r="P3808" s="178"/>
      <c r="Q3808" s="178"/>
      <c r="R3808" s="178"/>
      <c r="S3808" s="178"/>
      <c r="T3808" s="180"/>
      <c r="U3808" s="189" t="str">
        <f>IFERROR(IF(Tableau3[[#This Row],[Dettes]]=0,"",(Tableau3[[#This Row],[Dettes]]/Tableau3[[#This Row],[EBE]])),"")</f>
        <v/>
      </c>
      <c r="V3808" s="190" t="str">
        <f>IFERROR(Tableau3[[#This Row],[Fonds propres]]/Tableau3[[#This Row],[Total Bilan]],"")</f>
        <v/>
      </c>
      <c r="W3808" s="180"/>
      <c r="Y3808" s="180"/>
      <c r="Z3808" s="192" t="str">
        <f>IFERROR(Tableau3[[#This Row],[Chiffre d''affaires]]/Tableau3[[#This Row],[Salariés]],"")</f>
        <v/>
      </c>
      <c r="AA3808" s="177"/>
    </row>
    <row r="3809" spans="1:29" ht="20.25" customHeight="1">
      <c r="A3809" s="217"/>
      <c r="E3809" s="187">
        <v>5.28</v>
      </c>
      <c r="F3809" s="178">
        <v>2012</v>
      </c>
      <c r="G3809" s="188">
        <v>8380000000</v>
      </c>
      <c r="H3809" s="211">
        <f>G3809*0.125</f>
        <v>1047500000</v>
      </c>
      <c r="I3809" s="188">
        <v>-2314000000</v>
      </c>
      <c r="J3809" s="188">
        <v>-2485000000</v>
      </c>
      <c r="K3809" s="188">
        <v>-1230000000</v>
      </c>
      <c r="L3809" s="188">
        <v>7357000000</v>
      </c>
      <c r="M3809" s="194">
        <f>L3809/P3809</f>
        <v>8.2892299989471319</v>
      </c>
      <c r="N3809" s="190">
        <f>J3809/L3809</f>
        <v>-0.33777354900095147</v>
      </c>
      <c r="O3809" s="190">
        <f>(I3809*0.7)/(K3809+L3809)</f>
        <v>-0.26437081769218213</v>
      </c>
      <c r="P3809" s="188">
        <v>887537202</v>
      </c>
      <c r="Q3809" s="188">
        <f>P3809*E3809</f>
        <v>4686196426.5600004</v>
      </c>
      <c r="R3809" s="195">
        <f>Q3809/L3809</f>
        <v>0.63697110596166917</v>
      </c>
      <c r="S3809" s="197">
        <f>(Q3809+K3809)/H3809</f>
        <v>3.2994715289355612</v>
      </c>
      <c r="T3809" s="180"/>
      <c r="U3809" s="189">
        <f>IFERROR(IF(Tableau3[[#This Row],[Dettes]]=0,"",(Tableau3[[#This Row],[Dettes]]/Tableau3[[#This Row],[EBE]])),"")</f>
        <v>-1.1742243436754176</v>
      </c>
      <c r="V3809" s="190" t="str">
        <f>IFERROR(Tableau3[[#This Row],[Fonds propres]]/Tableau3[[#This Row],[Total Bilan]],"")</f>
        <v/>
      </c>
      <c r="W3809" s="180"/>
      <c r="Y3809" s="180"/>
      <c r="Z3809" s="192" t="str">
        <f>IFERROR(Tableau3[[#This Row],[Chiffre d''affaires]]/Tableau3[[#This Row],[Salariés]],"")</f>
        <v/>
      </c>
      <c r="AA3809" s="177"/>
    </row>
    <row r="3810" spans="1:29" ht="20.25" customHeight="1">
      <c r="A3810" s="217"/>
      <c r="G3810" s="188"/>
      <c r="H3810" s="178"/>
      <c r="I3810" s="178"/>
      <c r="J3810" s="178"/>
      <c r="K3810" s="178"/>
      <c r="L3810" s="178"/>
      <c r="M3810" s="178"/>
      <c r="N3810" s="178"/>
      <c r="O3810" s="178"/>
      <c r="P3810" s="178"/>
      <c r="Q3810" s="178"/>
      <c r="R3810" s="178"/>
      <c r="S3810" s="178"/>
      <c r="T3810" s="180"/>
      <c r="U3810" s="189" t="str">
        <f>IFERROR(IF(Tableau3[[#This Row],[Dettes]]=0,"",(Tableau3[[#This Row],[Dettes]]/Tableau3[[#This Row],[EBE]])),"")</f>
        <v/>
      </c>
      <c r="V3810" s="190" t="str">
        <f>IFERROR(Tableau3[[#This Row],[Fonds propres]]/Tableau3[[#This Row],[Total Bilan]],"")</f>
        <v/>
      </c>
      <c r="W3810" s="180"/>
      <c r="Y3810" s="180"/>
      <c r="Z3810" s="192" t="str">
        <f>IFERROR(Tableau3[[#This Row],[Chiffre d''affaires]]/Tableau3[[#This Row],[Salariés]],"")</f>
        <v/>
      </c>
      <c r="AA3810" s="177"/>
    </row>
    <row r="3811" spans="1:29" ht="20.25" customHeight="1">
      <c r="A3811" s="217"/>
      <c r="G3811" s="188"/>
      <c r="H3811" s="178"/>
      <c r="I3811" s="178"/>
      <c r="J3811" s="178"/>
      <c r="K3811" s="178"/>
      <c r="L3811" s="178"/>
      <c r="M3811" s="178"/>
      <c r="N3811" s="178"/>
      <c r="O3811" s="178"/>
      <c r="P3811" s="178"/>
      <c r="Q3811" s="178"/>
      <c r="R3811" s="178"/>
      <c r="S3811" s="178"/>
      <c r="T3811" s="180"/>
      <c r="U3811" s="189" t="str">
        <f>IFERROR(IF(Tableau3[[#This Row],[Dettes]]=0,"",(Tableau3[[#This Row],[Dettes]]/Tableau3[[#This Row],[EBE]])),"")</f>
        <v/>
      </c>
      <c r="V3811" s="190" t="str">
        <f>IFERROR(Tableau3[[#This Row],[Fonds propres]]/Tableau3[[#This Row],[Total Bilan]],"")</f>
        <v/>
      </c>
      <c r="W3811" s="180"/>
      <c r="Y3811" s="180"/>
      <c r="Z3811" s="192" t="str">
        <f>IFERROR(Tableau3[[#This Row],[Chiffre d''affaires]]/Tableau3[[#This Row],[Salariés]],"")</f>
        <v/>
      </c>
      <c r="AA3811" s="177"/>
    </row>
    <row r="3812" spans="1:29" ht="20.25" customHeight="1">
      <c r="A3812" s="217"/>
      <c r="G3812" s="188"/>
      <c r="H3812" s="178"/>
      <c r="I3812" s="178"/>
      <c r="J3812" s="178"/>
      <c r="K3812" s="178"/>
      <c r="L3812" s="188"/>
      <c r="M3812" s="178"/>
      <c r="N3812" s="178"/>
      <c r="O3812" s="178"/>
      <c r="P3812" s="188"/>
      <c r="Q3812" s="178"/>
      <c r="R3812" s="178"/>
      <c r="S3812" s="178"/>
      <c r="T3812" s="180"/>
      <c r="U3812" s="189" t="str">
        <f>IFERROR(IF(Tableau3[[#This Row],[Dettes]]=0,"",(Tableau3[[#This Row],[Dettes]]/Tableau3[[#This Row],[EBE]])),"")</f>
        <v/>
      </c>
      <c r="V3812" s="190" t="str">
        <f>IFERROR(Tableau3[[#This Row],[Fonds propres]]/Tableau3[[#This Row],[Total Bilan]],"")</f>
        <v/>
      </c>
      <c r="W3812" s="180"/>
      <c r="Y3812" s="180"/>
      <c r="Z3812" s="192" t="str">
        <f>IFERROR(Tableau3[[#This Row],[Chiffre d''affaires]]/Tableau3[[#This Row],[Salariés]],"")</f>
        <v/>
      </c>
      <c r="AA3812" s="177"/>
    </row>
    <row r="3813" spans="1:29" ht="20.25" customHeight="1">
      <c r="A3813" s="217" t="s">
        <v>2659</v>
      </c>
      <c r="B3813" s="216" t="s">
        <v>2660</v>
      </c>
      <c r="C3813" s="178" t="s">
        <v>84</v>
      </c>
      <c r="D3813" s="178" t="s">
        <v>85</v>
      </c>
      <c r="E3813" s="187">
        <v>87.15</v>
      </c>
      <c r="F3813" s="178">
        <v>2025</v>
      </c>
      <c r="G3813" s="188">
        <v>828000000</v>
      </c>
      <c r="H3813" s="178"/>
      <c r="I3813" s="211">
        <f>Tableau3[[#This Row],[Chiffre d''affaires]]*0.35</f>
        <v>289800000</v>
      </c>
      <c r="J3813" s="188">
        <v>125000000</v>
      </c>
      <c r="K3813" s="178"/>
      <c r="L3813" s="188"/>
      <c r="M3813" s="178"/>
      <c r="N3813" s="178"/>
      <c r="O3813" s="178"/>
      <c r="P3813" s="188">
        <v>35655679</v>
      </c>
      <c r="Q3813" s="188">
        <f>P3813*E3815</f>
        <v>4079009677.6000004</v>
      </c>
      <c r="R3813" s="178"/>
      <c r="S3813" s="178"/>
      <c r="T3813" s="180"/>
      <c r="U3813" s="189" t="str">
        <f>IFERROR(IF(Tableau3[[#This Row],[Dettes]]=0,"",(Tableau3[[#This Row],[Dettes]]/Tableau3[[#This Row],[EBE]])),"")</f>
        <v/>
      </c>
      <c r="V3813" s="190" t="str">
        <f>IFERROR(Tableau3[[#This Row],[Fonds propres]]/Tableau3[[#This Row],[Total Bilan]],"")</f>
        <v/>
      </c>
      <c r="W3813" s="180"/>
      <c r="Y3813" s="180"/>
      <c r="Z3813" s="192" t="str">
        <f>IFERROR(Tableau3[[#This Row],[Chiffre d''affaires]]/Tableau3[[#This Row],[Salariés]],"")</f>
        <v/>
      </c>
      <c r="AA3813" s="177"/>
      <c r="AC3813" s="177" t="s">
        <v>2661</v>
      </c>
    </row>
    <row r="3814" spans="1:29" ht="20.25" customHeight="1">
      <c r="A3814" s="217"/>
      <c r="G3814" s="202">
        <f>(G3813/G3815)-1</f>
        <v>-0.15337423312883436</v>
      </c>
      <c r="H3814" s="178"/>
      <c r="I3814" s="178"/>
      <c r="J3814" s="202">
        <f>(J3813/J3815)-1</f>
        <v>-0.297752808988764</v>
      </c>
      <c r="K3814" s="178"/>
      <c r="L3814" s="188"/>
      <c r="M3814" s="178"/>
      <c r="N3814" s="178"/>
      <c r="O3814" s="178"/>
      <c r="P3814" s="188"/>
      <c r="Q3814" s="178"/>
      <c r="R3814" s="178"/>
      <c r="S3814" s="178"/>
      <c r="T3814" s="180"/>
      <c r="U3814" s="189" t="str">
        <f>IFERROR(IF(Tableau3[[#This Row],[Dettes]]=0,"",(Tableau3[[#This Row],[Dettes]]/Tableau3[[#This Row],[EBE]])),"")</f>
        <v/>
      </c>
      <c r="V3814" s="190" t="str">
        <f>IFERROR(Tableau3[[#This Row],[Fonds propres]]/Tableau3[[#This Row],[Total Bilan]],"")</f>
        <v/>
      </c>
      <c r="W3814" s="180"/>
      <c r="Y3814" s="180"/>
      <c r="Z3814" s="192" t="str">
        <f>IFERROR(Tableau3[[#This Row],[Chiffre d''affaires]]/Tableau3[[#This Row],[Salariés]],"")</f>
        <v/>
      </c>
      <c r="AA3814" s="177"/>
      <c r="AC3814" s="177" t="s">
        <v>2663</v>
      </c>
    </row>
    <row r="3815" spans="1:29" ht="20.25" customHeight="1">
      <c r="A3815" s="217"/>
      <c r="E3815" s="178">
        <v>114.4</v>
      </c>
      <c r="F3815" s="178">
        <v>2024</v>
      </c>
      <c r="G3815" s="188">
        <v>978000000</v>
      </c>
      <c r="H3815" s="188">
        <v>332000000</v>
      </c>
      <c r="I3815" s="188">
        <v>208000000</v>
      </c>
      <c r="J3815" s="188">
        <v>178000000</v>
      </c>
      <c r="K3815" s="188">
        <v>39000000</v>
      </c>
      <c r="L3815" s="188">
        <v>1495000000</v>
      </c>
      <c r="M3815" s="250">
        <f>L3815/P3815</f>
        <v>41.928804665310118</v>
      </c>
      <c r="N3815" s="190">
        <f>J3815/L3815</f>
        <v>0.11906354515050167</v>
      </c>
      <c r="O3815" s="190">
        <f>(I3815*0.7)/(K3815+L3815)</f>
        <v>9.4915254237288138E-2</v>
      </c>
      <c r="P3815" s="188">
        <v>35655679</v>
      </c>
      <c r="Q3815" s="188">
        <f>P3815*E3817</f>
        <v>5769088862.2000008</v>
      </c>
      <c r="R3815" s="195">
        <f>Q3815/L3815</f>
        <v>3.8589223158528432</v>
      </c>
      <c r="S3815" s="197">
        <f>(Q3815+K3815)/H3815</f>
        <v>17.494243560843376</v>
      </c>
      <c r="T3815" s="180">
        <v>-43000000</v>
      </c>
      <c r="U3815" s="189">
        <f>IFERROR(IF(Tableau3[[#This Row],[Dettes]]=0,"",(Tableau3[[#This Row],[Dettes]]/Tableau3[[#This Row],[EBE]])),"")</f>
        <v>0.11746987951807229</v>
      </c>
      <c r="V3815" s="190">
        <f>IFERROR(Tableau3[[#This Row],[Fonds propres]]/Tableau3[[#This Row],[Total Bilan]],"")</f>
        <v>0.55534918276374445</v>
      </c>
      <c r="W3815" s="180">
        <v>2692000000</v>
      </c>
      <c r="Y3815" s="180">
        <v>2300</v>
      </c>
      <c r="Z3815" s="192">
        <f>IFERROR(Tableau3[[#This Row],[Chiffre d''affaires]]/Tableau3[[#This Row],[Salariés]],"")</f>
        <v>425217.39130434784</v>
      </c>
      <c r="AA3815" s="177"/>
      <c r="AC3815" s="177" t="s">
        <v>2664</v>
      </c>
    </row>
    <row r="3816" spans="1:29" ht="20.25" customHeight="1">
      <c r="A3816" s="217"/>
      <c r="G3816" s="202">
        <f>(G3815/G3817)-1</f>
        <v>-0.10170565704995727</v>
      </c>
      <c r="H3816" s="202">
        <f>(H3815/H3817)-1</f>
        <v>-0.15089514066496168</v>
      </c>
      <c r="I3816" s="202">
        <f>(I3815/I3817)-1</f>
        <v>-0.22293536167128669</v>
      </c>
      <c r="J3816" s="202">
        <f>(J3815/J3817)-1</f>
        <v>-0.23616624112257811</v>
      </c>
      <c r="K3816" s="178"/>
      <c r="L3816" s="188"/>
      <c r="M3816" s="178"/>
      <c r="N3816" s="178"/>
      <c r="O3816" s="178"/>
      <c r="P3816" s="188"/>
      <c r="Q3816" s="178"/>
      <c r="R3816" s="178"/>
      <c r="S3816" s="178"/>
      <c r="T3816" s="180"/>
      <c r="U3816" s="189" t="str">
        <f>IFERROR(IF(Tableau3[[#This Row],[Dettes]]=0,"",(Tableau3[[#This Row],[Dettes]]/Tableau3[[#This Row],[EBE]])),"")</f>
        <v/>
      </c>
      <c r="V3816" s="190" t="str">
        <f>IFERROR(Tableau3[[#This Row],[Fonds propres]]/Tableau3[[#This Row],[Total Bilan]],"")</f>
        <v/>
      </c>
      <c r="W3816" s="180"/>
      <c r="Y3816" s="180"/>
      <c r="Z3816" s="192" t="str">
        <f>IFERROR(Tableau3[[#This Row],[Chiffre d''affaires]]/Tableau3[[#This Row],[Salariés]],"")</f>
        <v/>
      </c>
      <c r="AA3816" s="177"/>
      <c r="AC3816" s="177" t="s">
        <v>2665</v>
      </c>
    </row>
    <row r="3817" spans="1:29" ht="20.25" customHeight="1">
      <c r="A3817" s="217"/>
      <c r="E3817" s="178">
        <v>161.80000000000001</v>
      </c>
      <c r="F3817" s="178">
        <v>2023</v>
      </c>
      <c r="G3817" s="188">
        <v>1088730000</v>
      </c>
      <c r="H3817" s="188">
        <v>391000000</v>
      </c>
      <c r="I3817" s="188">
        <v>267674000</v>
      </c>
      <c r="J3817" s="188">
        <v>233035000</v>
      </c>
      <c r="K3817" s="188">
        <v>-140000000</v>
      </c>
      <c r="L3817" s="188">
        <v>1305620000</v>
      </c>
      <c r="M3817" s="194">
        <f>L3817/P3817</f>
        <v>36.685624830550047</v>
      </c>
      <c r="N3817" s="190">
        <f>J3817/L3817</f>
        <v>0.17848608324014645</v>
      </c>
      <c r="O3817" s="190">
        <f>(I3817*0.7)/(K3817+L3817)</f>
        <v>0.16074861447126851</v>
      </c>
      <c r="P3817" s="188">
        <v>35589417</v>
      </c>
      <c r="Q3817" s="188">
        <f>P3817*E3819</f>
        <v>5439842388.4499998</v>
      </c>
      <c r="R3817" s="195">
        <f>Q3817/L3817</f>
        <v>4.1664821222484338</v>
      </c>
      <c r="S3817" s="197">
        <f>(Q3817+K3817)/H3817</f>
        <v>13.554584113682864</v>
      </c>
      <c r="T3817" s="180">
        <v>34000000</v>
      </c>
      <c r="U3817" s="189">
        <f>IFERROR(IF(Tableau3[[#This Row],[Dettes]]=0,"",(Tableau3[[#This Row],[Dettes]]/Tableau3[[#This Row],[EBE]])),"")</f>
        <v>-0.35805626598465473</v>
      </c>
      <c r="V3817" s="190">
        <f>IFERROR(Tableau3[[#This Row],[Fonds propres]]/Tableau3[[#This Row],[Total Bilan]],"")</f>
        <v>0.53951239669421491</v>
      </c>
      <c r="W3817" s="180">
        <v>2420000000</v>
      </c>
      <c r="Y3817" s="180">
        <v>2157</v>
      </c>
      <c r="Z3817" s="192">
        <f>IFERROR(Tableau3[[#This Row],[Chiffre d''affaires]]/Tableau3[[#This Row],[Salariés]],"")</f>
        <v>504742.69819193322</v>
      </c>
      <c r="AA3817" s="177"/>
      <c r="AC3817" s="177" t="s">
        <v>2666</v>
      </c>
    </row>
    <row r="3818" spans="1:29" ht="20.25" customHeight="1">
      <c r="A3818" s="217"/>
      <c r="G3818" s="202">
        <f>(G3817/G3819)-1</f>
        <v>0.26194011426345964</v>
      </c>
      <c r="H3818" s="202">
        <f>(H3817/H3819)-1</f>
        <v>0.2653721682847896</v>
      </c>
      <c r="I3818" s="202">
        <f>(I3817/I3819)-1</f>
        <v>0.3084842204059286</v>
      </c>
      <c r="J3818" s="202">
        <f>(J3817/J3819)-1</f>
        <v>0.15385567582020387</v>
      </c>
      <c r="K3818" s="188"/>
      <c r="L3818" s="188"/>
      <c r="M3818" s="178"/>
      <c r="N3818" s="178"/>
      <c r="O3818" s="178"/>
      <c r="P3818" s="188"/>
      <c r="Q3818" s="178"/>
      <c r="R3818" s="178"/>
      <c r="S3818" s="178"/>
      <c r="T3818" s="180"/>
      <c r="U3818" s="189" t="str">
        <f>IFERROR(IF(Tableau3[[#This Row],[Dettes]]=0,"",(Tableau3[[#This Row],[Dettes]]/Tableau3[[#This Row],[EBE]])),"")</f>
        <v/>
      </c>
      <c r="V3818" s="190" t="str">
        <f>IFERROR(Tableau3[[#This Row],[Fonds propres]]/Tableau3[[#This Row],[Total Bilan]],"")</f>
        <v/>
      </c>
      <c r="W3818" s="180"/>
      <c r="Y3818" s="180"/>
      <c r="Z3818" s="192" t="str">
        <f>IFERROR(Tableau3[[#This Row],[Chiffre d''affaires]]/Tableau3[[#This Row],[Salariés]],"")</f>
        <v/>
      </c>
      <c r="AA3818" s="177"/>
      <c r="AC3818" s="177" t="s">
        <v>2667</v>
      </c>
    </row>
    <row r="3819" spans="1:29" ht="20.25" customHeight="1">
      <c r="A3819" s="217"/>
      <c r="E3819" s="187">
        <v>152.85</v>
      </c>
      <c r="F3819" s="178">
        <v>2022</v>
      </c>
      <c r="G3819" s="188">
        <v>862743000</v>
      </c>
      <c r="H3819" s="188">
        <v>309000000</v>
      </c>
      <c r="I3819" s="188">
        <v>204568000</v>
      </c>
      <c r="J3819" s="188">
        <v>201962000</v>
      </c>
      <c r="K3819" s="188">
        <v>-142000000</v>
      </c>
      <c r="L3819" s="188">
        <v>1043934000</v>
      </c>
      <c r="M3819" s="194">
        <f>L3819/P3819</f>
        <v>29.914709319104187</v>
      </c>
      <c r="N3819" s="190">
        <f>J3819/L3819</f>
        <v>0.19346242195387831</v>
      </c>
      <c r="O3819" s="190">
        <f>(I3819*0.7)/(K3819+L3819)</f>
        <v>0.15876727121940187</v>
      </c>
      <c r="P3819" s="188">
        <v>34897013</v>
      </c>
      <c r="Q3819" s="188">
        <f>P3819*E3821</f>
        <v>7509837197.5999994</v>
      </c>
      <c r="R3819" s="195">
        <f>Q3819/L3819</f>
        <v>7.1937854285807337</v>
      </c>
      <c r="S3819" s="197">
        <f>(Q3819+K3819)/H3819</f>
        <v>23.844133325566339</v>
      </c>
      <c r="T3819" s="180">
        <v>42000000</v>
      </c>
      <c r="U3819" s="189">
        <f>IFERROR(IF(Tableau3[[#This Row],[Dettes]]=0,"",(Tableau3[[#This Row],[Dettes]]/Tableau3[[#This Row],[EBE]])),"")</f>
        <v>-0.45954692556634302</v>
      </c>
      <c r="V3819" s="190" t="str">
        <f>IFERROR(Tableau3[[#This Row],[Fonds propres]]/Tableau3[[#This Row],[Total Bilan]],"")</f>
        <v/>
      </c>
      <c r="W3819" s="180"/>
      <c r="Y3819" s="180">
        <v>2033</v>
      </c>
      <c r="Z3819" s="192">
        <f>IFERROR(Tableau3[[#This Row],[Chiffre d''affaires]]/Tableau3[[#This Row],[Salariés]],"")</f>
        <v>424369.4048204624</v>
      </c>
      <c r="AA3819" s="177"/>
      <c r="AC3819" s="177" t="s">
        <v>2668</v>
      </c>
    </row>
    <row r="3820" spans="1:29" ht="20.25" customHeight="1">
      <c r="A3820" s="217"/>
      <c r="G3820" s="202">
        <f>(G3819/G3821)-1</f>
        <v>0.47790448488336845</v>
      </c>
      <c r="H3820" s="202">
        <f>(H3819/H3821)-1</f>
        <v>0.72624733940033859</v>
      </c>
      <c r="I3820" s="202">
        <f>(I3819/I3821)-1</f>
        <v>1.2641225429431557</v>
      </c>
      <c r="J3820" s="202">
        <f>(J3819/J3821)-1</f>
        <v>1.7791278501740724</v>
      </c>
      <c r="K3820" s="188"/>
      <c r="L3820" s="188"/>
      <c r="M3820" s="178"/>
      <c r="N3820" s="178"/>
      <c r="O3820" s="178"/>
      <c r="P3820" s="188"/>
      <c r="Q3820" s="178"/>
      <c r="R3820" s="178"/>
      <c r="S3820" s="178"/>
      <c r="T3820" s="180"/>
      <c r="U3820" s="189" t="str">
        <f>IFERROR(IF(Tableau3[[#This Row],[Dettes]]=0,"",(Tableau3[[#This Row],[Dettes]]/Tableau3[[#This Row],[EBE]])),"")</f>
        <v/>
      </c>
      <c r="V3820" s="190" t="str">
        <f>IFERROR(Tableau3[[#This Row],[Fonds propres]]/Tableau3[[#This Row],[Total Bilan]],"")</f>
        <v/>
      </c>
      <c r="W3820" s="180"/>
      <c r="Y3820" s="180"/>
      <c r="Z3820" s="192" t="str">
        <f>IFERROR(Tableau3[[#This Row],[Chiffre d''affaires]]/Tableau3[[#This Row],[Salariés]],"")</f>
        <v/>
      </c>
      <c r="AA3820" s="177"/>
      <c r="AC3820" s="216" t="s">
        <v>2669</v>
      </c>
    </row>
    <row r="3821" spans="1:29" ht="20.25" customHeight="1">
      <c r="A3821" s="217"/>
      <c r="E3821" s="178">
        <v>215.2</v>
      </c>
      <c r="F3821" s="178">
        <v>2021</v>
      </c>
      <c r="G3821" s="188">
        <v>583761000</v>
      </c>
      <c r="H3821" s="188">
        <v>179001000</v>
      </c>
      <c r="I3821" s="188">
        <v>90352000</v>
      </c>
      <c r="J3821" s="188">
        <v>72671000</v>
      </c>
      <c r="K3821" s="188">
        <v>4100000</v>
      </c>
      <c r="L3821" s="188">
        <v>675500000</v>
      </c>
      <c r="M3821" s="194">
        <f>L3821/P3821</f>
        <v>20.358084695720169</v>
      </c>
      <c r="N3821" s="190">
        <f>J3821/L3821</f>
        <v>0.10758105107327905</v>
      </c>
      <c r="O3821" s="190">
        <f>(I3821*0.7)/(K3821+L3821)</f>
        <v>9.3064155385520889E-2</v>
      </c>
      <c r="P3821" s="188">
        <v>33180921</v>
      </c>
      <c r="Q3821" s="188">
        <f>P3821*E3823</f>
        <v>5305629267.9000006</v>
      </c>
      <c r="R3821" s="195">
        <f>Q3821/L3821</f>
        <v>7.8543734535899343</v>
      </c>
      <c r="S3821" s="197">
        <f>(Q3821+K3821)/H3821</f>
        <v>29.663126283652051</v>
      </c>
      <c r="T3821" s="180">
        <v>40000000</v>
      </c>
      <c r="U3821" s="189">
        <f>IFERROR(IF(Tableau3[[#This Row],[Dettes]]=0,"",(Tableau3[[#This Row],[Dettes]]/Tableau3[[#This Row],[EBE]])),"")</f>
        <v>2.2904899972625851E-2</v>
      </c>
      <c r="V3821" s="190" t="str">
        <f>IFERROR(Tableau3[[#This Row],[Fonds propres]]/Tableau3[[#This Row],[Total Bilan]],"")</f>
        <v/>
      </c>
      <c r="W3821" s="180"/>
      <c r="Y3821" s="180">
        <v>1588</v>
      </c>
      <c r="Z3821" s="192">
        <f>IFERROR(Tableau3[[#This Row],[Chiffre d''affaires]]/Tableau3[[#This Row],[Salariés]],"")</f>
        <v>367607.68261964736</v>
      </c>
      <c r="AA3821" s="177"/>
      <c r="AC3821" s="216" t="s">
        <v>2670</v>
      </c>
    </row>
    <row r="3822" spans="1:29" ht="20.25" customHeight="1">
      <c r="A3822" s="217"/>
      <c r="G3822" s="202">
        <f>(G3821/G3823)-1</f>
        <v>-2.3074258345340715E-2</v>
      </c>
      <c r="H3822" s="202">
        <f>(H3821/H3823)-1</f>
        <v>-3.4728026703911175E-2</v>
      </c>
      <c r="I3822" s="202">
        <f>(I3821/I3823)-1</f>
        <v>-0.24395427844627049</v>
      </c>
      <c r="J3822" s="202">
        <f>(J3821/J3823)-1</f>
        <v>-0.33743310144874683</v>
      </c>
      <c r="K3822" s="188"/>
      <c r="L3822" s="188"/>
      <c r="M3822" s="178"/>
      <c r="N3822" s="178"/>
      <c r="O3822" s="178"/>
      <c r="P3822" s="178"/>
      <c r="Q3822" s="178"/>
      <c r="R3822" s="178"/>
      <c r="S3822" s="178"/>
      <c r="T3822" s="180"/>
      <c r="U3822" s="189" t="str">
        <f>IFERROR(IF(Tableau3[[#This Row],[Dettes]]=0,"",(Tableau3[[#This Row],[Dettes]]/Tableau3[[#This Row],[EBE]])),"")</f>
        <v/>
      </c>
      <c r="V3822" s="190" t="str">
        <f>IFERROR(Tableau3[[#This Row],[Fonds propres]]/Tableau3[[#This Row],[Total Bilan]],"")</f>
        <v/>
      </c>
      <c r="W3822" s="180"/>
      <c r="Y3822" s="180"/>
      <c r="Z3822" s="192" t="str">
        <f>IFERROR(Tableau3[[#This Row],[Chiffre d''affaires]]/Tableau3[[#This Row],[Salariés]],"")</f>
        <v/>
      </c>
      <c r="AA3822" s="177"/>
      <c r="AC3822" s="177" t="s">
        <v>2671</v>
      </c>
    </row>
    <row r="3823" spans="1:29" ht="20.25" customHeight="1">
      <c r="A3823" s="217"/>
      <c r="E3823" s="178">
        <v>159.9</v>
      </c>
      <c r="F3823" s="178">
        <v>2020</v>
      </c>
      <c r="G3823" s="188">
        <v>597549000</v>
      </c>
      <c r="H3823" s="188">
        <v>185441000</v>
      </c>
      <c r="I3823" s="188">
        <v>119506000</v>
      </c>
      <c r="J3823" s="188">
        <v>109681000</v>
      </c>
      <c r="K3823" s="188">
        <v>53700000</v>
      </c>
      <c r="L3823" s="188">
        <v>551726000</v>
      </c>
      <c r="M3823" s="194">
        <f>L3823/P3823</f>
        <v>16.627808492717847</v>
      </c>
      <c r="N3823" s="190">
        <f>J3823/L3823</f>
        <v>0.19879614156302222</v>
      </c>
      <c r="O3823" s="190">
        <f>(I3823*0.7)/(K3823+L3823)</f>
        <v>0.13817411211279332</v>
      </c>
      <c r="P3823" s="188">
        <v>33180921</v>
      </c>
      <c r="Q3823" s="188">
        <f>P3823*E3825</f>
        <v>3109052297.7000003</v>
      </c>
      <c r="R3823" s="195">
        <f>Q3823/L3823</f>
        <v>5.6351382709895859</v>
      </c>
      <c r="S3823" s="197">
        <f>(Q3823+K3823)/H3823</f>
        <v>17.05530221310282</v>
      </c>
      <c r="T3823" s="180"/>
      <c r="U3823" s="189">
        <f>IFERROR(IF(Tableau3[[#This Row],[Dettes]]=0,"",(Tableau3[[#This Row],[Dettes]]/Tableau3[[#This Row],[EBE]])),"")</f>
        <v>0.28957997422360748</v>
      </c>
      <c r="V3823" s="190" t="str">
        <f>IFERROR(Tableau3[[#This Row],[Fonds propres]]/Tableau3[[#This Row],[Total Bilan]],"")</f>
        <v/>
      </c>
      <c r="W3823" s="180"/>
      <c r="Y3823" s="180">
        <v>1484</v>
      </c>
      <c r="Z3823" s="192">
        <f>IFERROR(Tableau3[[#This Row],[Chiffre d''affaires]]/Tableau3[[#This Row],[Salariés]],"")</f>
        <v>402661.05121293798</v>
      </c>
      <c r="AA3823" s="177"/>
      <c r="AC3823" s="177" t="s">
        <v>2672</v>
      </c>
    </row>
    <row r="3824" spans="1:29" ht="20.25" customHeight="1">
      <c r="A3824" s="217"/>
      <c r="G3824" s="202">
        <f>(G3823/G3825)-1</f>
        <v>0.34599478314930199</v>
      </c>
      <c r="H3824" s="202">
        <f>(H3823/H3825)-1</f>
        <v>0.21760341431385433</v>
      </c>
      <c r="I3824" s="202">
        <f>(I3823/I3825)-1</f>
        <v>9.7744913424884006E-2</v>
      </c>
      <c r="J3824" s="202">
        <f>(J3823/J3825)-1</f>
        <v>0.21615088649140124</v>
      </c>
      <c r="K3824" s="178"/>
      <c r="L3824" s="178"/>
      <c r="M3824" s="178"/>
      <c r="N3824" s="178"/>
      <c r="O3824" s="178"/>
      <c r="P3824" s="178"/>
      <c r="Q3824" s="178"/>
      <c r="R3824" s="178"/>
      <c r="S3824" s="178"/>
      <c r="T3824" s="180"/>
      <c r="U3824" s="189" t="str">
        <f>IFERROR(IF(Tableau3[[#This Row],[Dettes]]=0,"",(Tableau3[[#This Row],[Dettes]]/Tableau3[[#This Row],[EBE]])),"")</f>
        <v/>
      </c>
      <c r="V3824" s="190" t="str">
        <f>IFERROR(Tableau3[[#This Row],[Fonds propres]]/Tableau3[[#This Row],[Total Bilan]],"")</f>
        <v/>
      </c>
      <c r="W3824" s="180"/>
      <c r="Y3824" s="180"/>
      <c r="Z3824" s="192" t="str">
        <f>IFERROR(Tableau3[[#This Row],[Chiffre d''affaires]]/Tableau3[[#This Row],[Salariés]],"")</f>
        <v/>
      </c>
      <c r="AA3824" s="177"/>
      <c r="AC3824" s="177" t="s">
        <v>2673</v>
      </c>
    </row>
    <row r="3825" spans="1:29" ht="20.25" customHeight="1">
      <c r="A3825" s="217"/>
      <c r="E3825" s="178">
        <v>93.7</v>
      </c>
      <c r="F3825" s="178">
        <v>2019</v>
      </c>
      <c r="G3825" s="188">
        <v>443946000</v>
      </c>
      <c r="H3825" s="188">
        <v>152300000</v>
      </c>
      <c r="I3825" s="188">
        <v>108865000</v>
      </c>
      <c r="J3825" s="188">
        <v>90187000</v>
      </c>
      <c r="K3825" s="188">
        <v>46500000</v>
      </c>
      <c r="L3825" s="188">
        <v>398317000</v>
      </c>
      <c r="M3825" s="194">
        <f>L3825/P3825</f>
        <v>12.590253694637648</v>
      </c>
      <c r="N3825" s="190">
        <f>J3825/L3825</f>
        <v>0.22642016283512881</v>
      </c>
      <c r="O3825" s="190">
        <f>(I3825*0.7)/(K3825+L3825)</f>
        <v>0.17131876704352578</v>
      </c>
      <c r="P3825" s="188">
        <v>31636932</v>
      </c>
      <c r="Q3825" s="188">
        <f>P3825*E3827</f>
        <v>1600828759.2</v>
      </c>
      <c r="R3825" s="195">
        <f>Q3825/L3825</f>
        <v>4.018981763771067</v>
      </c>
      <c r="S3825" s="197">
        <f>(Q3825+K3825)/H3825</f>
        <v>10.816341163493107</v>
      </c>
      <c r="T3825" s="180"/>
      <c r="U3825" s="189">
        <f>IFERROR(IF(Tableau3[[#This Row],[Dettes]]=0,"",(Tableau3[[#This Row],[Dettes]]/Tableau3[[#This Row],[EBE]])),"")</f>
        <v>0.30531845042678923</v>
      </c>
      <c r="V3825" s="190" t="str">
        <f>IFERROR(Tableau3[[#This Row],[Fonds propres]]/Tableau3[[#This Row],[Total Bilan]],"")</f>
        <v/>
      </c>
      <c r="W3825" s="180"/>
      <c r="Y3825" s="180">
        <v>1332</v>
      </c>
      <c r="Z3825" s="192">
        <f>IFERROR(Tableau3[[#This Row],[Chiffre d''affaires]]/Tableau3[[#This Row],[Salariés]],"")</f>
        <v>333292.79279279278</v>
      </c>
      <c r="AA3825" s="177"/>
      <c r="AC3825" s="177" t="s">
        <v>2674</v>
      </c>
    </row>
    <row r="3826" spans="1:29" ht="20.25" customHeight="1">
      <c r="A3826" s="217"/>
      <c r="G3826" s="188"/>
      <c r="H3826" s="188"/>
      <c r="I3826" s="178"/>
      <c r="J3826" s="178"/>
      <c r="K3826" s="178"/>
      <c r="L3826" s="178"/>
      <c r="M3826" s="178"/>
      <c r="N3826" s="178"/>
      <c r="O3826" s="178"/>
      <c r="P3826" s="178"/>
      <c r="Q3826" s="178"/>
      <c r="R3826" s="178"/>
      <c r="S3826" s="178"/>
      <c r="T3826" s="180"/>
      <c r="U3826" s="189"/>
      <c r="V3826" s="190"/>
      <c r="W3826" s="180"/>
      <c r="Y3826" s="180"/>
      <c r="Z3826" s="192"/>
      <c r="AA3826" s="177"/>
      <c r="AC3826" s="177" t="s">
        <v>2675</v>
      </c>
    </row>
    <row r="3827" spans="1:29" ht="20.25" customHeight="1">
      <c r="A3827" s="217"/>
      <c r="E3827" s="178">
        <v>50.6</v>
      </c>
      <c r="F3827" s="178">
        <v>2018</v>
      </c>
      <c r="G3827" s="188"/>
      <c r="H3827" s="188"/>
      <c r="I3827" s="178"/>
      <c r="J3827" s="178"/>
      <c r="K3827" s="178"/>
      <c r="L3827" s="178"/>
      <c r="M3827" s="178"/>
      <c r="N3827" s="178"/>
      <c r="O3827" s="178"/>
      <c r="P3827" s="178"/>
      <c r="Q3827" s="178"/>
      <c r="R3827" s="178"/>
      <c r="S3827" s="178"/>
      <c r="T3827" s="180"/>
      <c r="U3827" s="189"/>
      <c r="V3827" s="190"/>
      <c r="W3827" s="180"/>
      <c r="Y3827" s="180"/>
      <c r="Z3827" s="192"/>
      <c r="AA3827" s="177"/>
      <c r="AC3827" s="177" t="s">
        <v>572</v>
      </c>
    </row>
    <row r="3828" spans="1:29" ht="20.25" customHeight="1">
      <c r="A3828" s="217"/>
      <c r="G3828" s="188"/>
      <c r="H3828" s="188"/>
      <c r="I3828" s="188"/>
      <c r="J3828" s="188"/>
      <c r="K3828" s="188"/>
      <c r="L3828" s="188"/>
      <c r="M3828" s="178"/>
      <c r="N3828" s="178"/>
      <c r="O3828" s="178"/>
      <c r="P3828" s="188"/>
      <c r="Q3828" s="178"/>
      <c r="R3828" s="178"/>
      <c r="S3828" s="178"/>
      <c r="T3828" s="180"/>
      <c r="U3828" s="189" t="str">
        <f>IFERROR(IF(Tableau3[[#This Row],[Dettes]]=0,"",(Tableau3[[#This Row],[Dettes]]/Tableau3[[#This Row],[EBE]])),"")</f>
        <v/>
      </c>
      <c r="V3828" s="190" t="str">
        <f>IFERROR(Tableau3[[#This Row],[Fonds propres]]/Tableau3[[#This Row],[Total Bilan]],"")</f>
        <v/>
      </c>
      <c r="W3828" s="180"/>
      <c r="Y3828" s="180"/>
      <c r="Z3828" s="192" t="str">
        <f>IFERROR(Tableau3[[#This Row],[Chiffre d''affaires]]/Tableau3[[#This Row],[Salariés]],"")</f>
        <v/>
      </c>
      <c r="AA3828" s="177"/>
      <c r="AC3828" s="177" t="s">
        <v>2676</v>
      </c>
    </row>
    <row r="3829" spans="1:29" ht="20.25" customHeight="1">
      <c r="A3829" s="217"/>
      <c r="G3829" s="188"/>
      <c r="H3829" s="188"/>
      <c r="I3829" s="188"/>
      <c r="J3829" s="188"/>
      <c r="K3829" s="188"/>
      <c r="L3829" s="188"/>
      <c r="M3829" s="178"/>
      <c r="N3829" s="178"/>
      <c r="O3829" s="178"/>
      <c r="P3829" s="188"/>
      <c r="Q3829" s="178"/>
      <c r="R3829" s="178"/>
      <c r="S3829" s="178"/>
      <c r="T3829" s="180"/>
      <c r="U3829" s="189" t="str">
        <f>IFERROR(IF(Tableau3[[#This Row],[Dettes]]=0,"",(Tableau3[[#This Row],[Dettes]]/Tableau3[[#This Row],[EBE]])),"")</f>
        <v/>
      </c>
      <c r="V3829" s="190" t="str">
        <f>IFERROR(Tableau3[[#This Row],[Fonds propres]]/Tableau3[[#This Row],[Total Bilan]],"")</f>
        <v/>
      </c>
      <c r="W3829" s="180"/>
      <c r="Y3829" s="180"/>
      <c r="Z3829" s="192" t="str">
        <f>IFERROR(Tableau3[[#This Row],[Chiffre d''affaires]]/Tableau3[[#This Row],[Salariés]],"")</f>
        <v/>
      </c>
      <c r="AA3829" s="177"/>
      <c r="AC3829" s="177" t="s">
        <v>155</v>
      </c>
    </row>
    <row r="3830" spans="1:29" ht="20.25" customHeight="1">
      <c r="A3830" s="217"/>
      <c r="G3830" s="188"/>
      <c r="H3830" s="188"/>
      <c r="I3830" s="188"/>
      <c r="J3830" s="188"/>
      <c r="K3830" s="188"/>
      <c r="L3830" s="188"/>
      <c r="M3830" s="178"/>
      <c r="N3830" s="178"/>
      <c r="O3830" s="178"/>
      <c r="P3830" s="188"/>
      <c r="Q3830" s="178"/>
      <c r="R3830" s="178"/>
      <c r="S3830" s="178"/>
      <c r="T3830" s="180"/>
      <c r="U3830" s="189" t="str">
        <f>IFERROR(IF(Tableau3[[#This Row],[Dettes]]=0,"",(Tableau3[[#This Row],[Dettes]]/Tableau3[[#This Row],[EBE]])),"")</f>
        <v/>
      </c>
      <c r="V3830" s="190" t="str">
        <f>IFERROR(Tableau3[[#This Row],[Fonds propres]]/Tableau3[[#This Row],[Total Bilan]],"")</f>
        <v/>
      </c>
      <c r="W3830" s="180"/>
      <c r="Y3830" s="180"/>
      <c r="Z3830" s="192" t="str">
        <f>IFERROR(Tableau3[[#This Row],[Chiffre d''affaires]]/Tableau3[[#This Row],[Salariés]],"")</f>
        <v/>
      </c>
      <c r="AA3830" s="177"/>
      <c r="AC3830" s="177" t="s">
        <v>2677</v>
      </c>
    </row>
    <row r="3831" spans="1:29" ht="20.25" customHeight="1">
      <c r="A3831" s="217"/>
      <c r="G3831" s="188"/>
      <c r="H3831" s="178"/>
      <c r="I3831" s="178"/>
      <c r="J3831" s="178"/>
      <c r="K3831" s="178"/>
      <c r="L3831" s="178"/>
      <c r="M3831" s="178"/>
      <c r="N3831" s="178"/>
      <c r="O3831" s="178"/>
      <c r="P3831" s="178"/>
      <c r="Q3831" s="178"/>
      <c r="R3831" s="178"/>
      <c r="S3831" s="178"/>
      <c r="T3831" s="180"/>
      <c r="U3831" s="189" t="str">
        <f>IFERROR(IF(Tableau3[[#This Row],[Dettes]]=0,"",(Tableau3[[#This Row],[Dettes]]/Tableau3[[#This Row],[EBE]])),"")</f>
        <v/>
      </c>
      <c r="V3831" s="190" t="str">
        <f>IFERROR(Tableau3[[#This Row],[Fonds propres]]/Tableau3[[#This Row],[Total Bilan]],"")</f>
        <v/>
      </c>
      <c r="W3831" s="180"/>
      <c r="Y3831" s="180"/>
      <c r="Z3831" s="192" t="str">
        <f>IFERROR(Tableau3[[#This Row],[Chiffre d''affaires]]/Tableau3[[#This Row],[Salariés]],"")</f>
        <v/>
      </c>
      <c r="AA3831" s="177"/>
    </row>
    <row r="3832" spans="1:29" ht="20.25" customHeight="1">
      <c r="A3832" s="217"/>
      <c r="G3832" s="188"/>
      <c r="H3832" s="178"/>
      <c r="I3832" s="178"/>
      <c r="J3832" s="178"/>
      <c r="K3832" s="178"/>
      <c r="L3832" s="178"/>
      <c r="M3832" s="178"/>
      <c r="N3832" s="178"/>
      <c r="O3832" s="178"/>
      <c r="P3832" s="178"/>
      <c r="Q3832" s="178"/>
      <c r="R3832" s="178"/>
      <c r="S3832" s="178"/>
      <c r="T3832" s="180"/>
      <c r="U3832" s="189" t="str">
        <f>IFERROR(IF(Tableau3[[#This Row],[Dettes]]=0,"",(Tableau3[[#This Row],[Dettes]]/Tableau3[[#This Row],[EBE]])),"")</f>
        <v/>
      </c>
      <c r="V3832" s="190" t="str">
        <f>IFERROR(Tableau3[[#This Row],[Fonds propres]]/Tableau3[[#This Row],[Total Bilan]],"")</f>
        <v/>
      </c>
      <c r="W3832" s="180"/>
      <c r="Y3832" s="180"/>
      <c r="Z3832" s="192" t="str">
        <f>IFERROR(Tableau3[[#This Row],[Chiffre d''affaires]]/Tableau3[[#This Row],[Salariés]],"")</f>
        <v/>
      </c>
      <c r="AA3832" s="177"/>
    </row>
    <row r="3833" spans="1:29" ht="20.25" customHeight="1">
      <c r="A3833" s="217" t="s">
        <v>2678</v>
      </c>
      <c r="B3833" s="216" t="s">
        <v>2679</v>
      </c>
      <c r="C3833" s="178" t="s">
        <v>427</v>
      </c>
      <c r="D3833" s="178" t="s">
        <v>85</v>
      </c>
      <c r="E3833" s="187">
        <v>715</v>
      </c>
      <c r="F3833" s="178">
        <v>2025</v>
      </c>
      <c r="G3833" s="188">
        <v>30000000000</v>
      </c>
      <c r="H3833" s="178"/>
      <c r="I3833" s="178"/>
      <c r="J3833" s="178"/>
      <c r="K3833" s="178"/>
      <c r="L3833" s="178"/>
      <c r="M3833" s="178"/>
      <c r="N3833" s="178"/>
      <c r="O3833" s="178"/>
      <c r="P3833" s="178"/>
      <c r="Q3833" s="178"/>
      <c r="R3833" s="178"/>
      <c r="S3833" s="178"/>
      <c r="T3833" s="180"/>
      <c r="U3833" s="189" t="str">
        <f>IFERROR(IF(Tableau3[[#This Row],[Dettes]]=0,"",(Tableau3[[#This Row],[Dettes]]/Tableau3[[#This Row],[EBE]])),"")</f>
        <v/>
      </c>
      <c r="V3833" s="190" t="str">
        <f>IFERROR(Tableau3[[#This Row],[Fonds propres]]/Tableau3[[#This Row],[Total Bilan]],"")</f>
        <v/>
      </c>
      <c r="W3833" s="180"/>
      <c r="Y3833" s="180">
        <v>44000</v>
      </c>
      <c r="Z3833" s="192">
        <f>IFERROR(Tableau3[[#This Row],[Chiffre d''affaires]]/Tableau3[[#This Row],[Salariés]],"")</f>
        <v>681818.18181818177</v>
      </c>
      <c r="AA3833" s="177"/>
      <c r="AC3833" s="6" t="s">
        <v>2680</v>
      </c>
    </row>
    <row r="3834" spans="1:29" ht="20.25" customHeight="1">
      <c r="A3834" s="217"/>
      <c r="G3834" s="202">
        <f>(G3833/G3835)-1</f>
        <v>6.1458443901921234E-2</v>
      </c>
      <c r="H3834" s="178"/>
      <c r="I3834" s="178"/>
      <c r="J3834" s="178"/>
      <c r="K3834" s="178"/>
      <c r="L3834" s="178"/>
      <c r="M3834" s="178"/>
      <c r="N3834" s="178"/>
      <c r="O3834" s="178"/>
      <c r="P3834" s="178"/>
      <c r="Q3834" s="178"/>
      <c r="R3834" s="178"/>
      <c r="S3834" s="178"/>
      <c r="T3834" s="180"/>
      <c r="U3834" s="189" t="str">
        <f>IFERROR(IF(Tableau3[[#This Row],[Dettes]]=0,"",(Tableau3[[#This Row],[Dettes]]/Tableau3[[#This Row],[EBE]])),"")</f>
        <v/>
      </c>
      <c r="V3834" s="190" t="str">
        <f>IFERROR(Tableau3[[#This Row],[Fonds propres]]/Tableau3[[#This Row],[Total Bilan]],"")</f>
        <v/>
      </c>
      <c r="W3834" s="180"/>
      <c r="Y3834" s="180"/>
      <c r="Z3834" s="192" t="str">
        <f>IFERROR(Tableau3[[#This Row],[Chiffre d''affaires]]/Tableau3[[#This Row],[Salariés]],"")</f>
        <v/>
      </c>
      <c r="AA3834" s="177"/>
      <c r="AC3834" s="6" t="s">
        <v>2682</v>
      </c>
    </row>
    <row r="3835" spans="1:29" ht="20.25" customHeight="1">
      <c r="A3835" s="217"/>
      <c r="E3835" s="187">
        <v>678.7</v>
      </c>
      <c r="F3835" s="178">
        <v>2024</v>
      </c>
      <c r="G3835" s="188">
        <v>28263000000</v>
      </c>
      <c r="H3835" s="188">
        <v>10000000000</v>
      </c>
      <c r="I3835" s="188">
        <v>9000000000</v>
      </c>
      <c r="J3835" s="188">
        <v>7572000000</v>
      </c>
      <c r="K3835" s="178"/>
      <c r="L3835" s="188">
        <v>15000000000</v>
      </c>
      <c r="M3835" s="194">
        <f>L3835/P3835</f>
        <v>38.11944091486658</v>
      </c>
      <c r="N3835" s="190">
        <f>J3835/L3835</f>
        <v>0.50480000000000003</v>
      </c>
      <c r="O3835" s="190">
        <f>(I3835*0.7)/(K3835+L3835)</f>
        <v>0.42</v>
      </c>
      <c r="P3835" s="188">
        <v>393500000</v>
      </c>
      <c r="Q3835" s="188">
        <f>P3835*E3835</f>
        <v>267068450000.00003</v>
      </c>
      <c r="R3835" s="178"/>
      <c r="S3835" s="178"/>
      <c r="T3835" s="180"/>
      <c r="U3835" s="189" t="str">
        <f>IFERROR(IF(Tableau3[[#This Row],[Dettes]]=0,"",(Tableau3[[#This Row],[Dettes]]/Tableau3[[#This Row],[EBE]])),"")</f>
        <v/>
      </c>
      <c r="V3835" s="190" t="str">
        <f>IFERROR(Tableau3[[#This Row],[Fonds propres]]/Tableau3[[#This Row],[Total Bilan]],"")</f>
        <v/>
      </c>
      <c r="W3835" s="180"/>
      <c r="Y3835" s="180">
        <v>42416</v>
      </c>
      <c r="Z3835" s="192">
        <f>IFERROR(Tableau3[[#This Row],[Chiffre d''affaires]]/Tableau3[[#This Row],[Salariés]],"")</f>
        <v>666328.74387023761</v>
      </c>
      <c r="AA3835" s="177"/>
      <c r="AC3835" s="6" t="s">
        <v>2683</v>
      </c>
    </row>
    <row r="3836" spans="1:29" ht="20.25" customHeight="1">
      <c r="A3836" s="217"/>
      <c r="G3836" s="202">
        <f>(G3835/G3837)-1</f>
        <v>2.5545193947530853E-2</v>
      </c>
      <c r="H3836" s="202">
        <f>(H3835/H3837)-1</f>
        <v>2.4057738572573761E-3</v>
      </c>
      <c r="I3836" s="202">
        <f>(I3835/I3837)-1</f>
        <v>-2.5552187093980105E-2</v>
      </c>
      <c r="J3836" s="202">
        <f>(J3835/J3837)-1</f>
        <v>-3.4060466896287833E-2</v>
      </c>
      <c r="K3836" s="178"/>
      <c r="L3836" s="178"/>
      <c r="M3836" s="178"/>
      <c r="N3836" s="178"/>
      <c r="O3836" s="178"/>
      <c r="P3836" s="178"/>
      <c r="Q3836" s="178"/>
      <c r="R3836" s="178"/>
      <c r="S3836" s="178"/>
      <c r="T3836" s="180"/>
      <c r="U3836" s="189" t="str">
        <f>IFERROR(IF(Tableau3[[#This Row],[Dettes]]=0,"",(Tableau3[[#This Row],[Dettes]]/Tableau3[[#This Row],[EBE]])),"")</f>
        <v/>
      </c>
      <c r="V3836" s="190" t="str">
        <f>IFERROR(Tableau3[[#This Row],[Fonds propres]]/Tableau3[[#This Row],[Total Bilan]],"")</f>
        <v/>
      </c>
      <c r="W3836" s="180"/>
      <c r="Y3836" s="180"/>
      <c r="Z3836" s="192" t="str">
        <f>IFERROR(Tableau3[[#This Row],[Chiffre d''affaires]]/Tableau3[[#This Row],[Salariés]],"")</f>
        <v/>
      </c>
      <c r="AA3836" s="177"/>
      <c r="AC3836" s="177" t="s">
        <v>2684</v>
      </c>
    </row>
    <row r="3837" spans="1:29" ht="20.25" customHeight="1">
      <c r="A3837" s="217"/>
      <c r="E3837" s="187">
        <v>681.7</v>
      </c>
      <c r="F3837" s="178">
        <v>2023</v>
      </c>
      <c r="G3837" s="188">
        <v>27559000000</v>
      </c>
      <c r="H3837" s="188">
        <v>9976000000</v>
      </c>
      <c r="I3837" s="188">
        <v>9236000000</v>
      </c>
      <c r="J3837" s="188">
        <v>7839000000</v>
      </c>
      <c r="K3837" s="188">
        <v>-2372000000</v>
      </c>
      <c r="L3837" s="188">
        <v>13452400000</v>
      </c>
      <c r="M3837" s="194">
        <f>L3837/P3837</f>
        <v>34.186531130876745</v>
      </c>
      <c r="N3837" s="190">
        <f>J3837/L3837</f>
        <v>0.58272129880170076</v>
      </c>
      <c r="O3837" s="190">
        <f>(I3837*0.7)/(K3837+L3837)</f>
        <v>0.58348074076748135</v>
      </c>
      <c r="P3837" s="188">
        <v>393500000</v>
      </c>
      <c r="Q3837" s="188">
        <f>P3837*E3837</f>
        <v>268248950000.00003</v>
      </c>
      <c r="R3837" s="178"/>
      <c r="S3837" s="178"/>
      <c r="T3837" s="180">
        <v>5443400000</v>
      </c>
      <c r="U3837" s="189">
        <f>IFERROR(IF(Tableau3[[#This Row],[Dettes]]=0,"",(Tableau3[[#This Row],[Dettes]]/Tableau3[[#This Row],[EBE]])),"")</f>
        <v>-0.23777064955894145</v>
      </c>
      <c r="V3837" s="190">
        <f>IFERROR(Tableau3[[#This Row],[Fonds propres]]/Tableau3[[#This Row],[Total Bilan]],"")</f>
        <v>0.33666770944128138</v>
      </c>
      <c r="W3837" s="180">
        <v>39957500000</v>
      </c>
      <c r="Y3837" s="180">
        <v>38805</v>
      </c>
      <c r="Z3837" s="192">
        <f>IFERROR(Tableau3[[#This Row],[Chiffre d''affaires]]/Tableau3[[#This Row],[Salariés]],"")</f>
        <v>710191.98556886998</v>
      </c>
      <c r="AA3837" s="177"/>
      <c r="AC3837" s="177" t="s">
        <v>2685</v>
      </c>
    </row>
    <row r="3838" spans="1:29" ht="20.25" customHeight="1">
      <c r="A3838" s="217"/>
      <c r="E3838" s="187"/>
      <c r="G3838" s="202">
        <f>(G3837/G3839)-1</f>
        <v>0.30158595218528905</v>
      </c>
      <c r="H3838" s="202"/>
      <c r="I3838" s="202">
        <f>(I3837/I3839)-1</f>
        <v>0.26157628739243277</v>
      </c>
      <c r="J3838" s="202">
        <f>(J3837/J3839)-1</f>
        <v>0.39379822908146944</v>
      </c>
      <c r="K3838" s="178"/>
      <c r="L3838" s="178"/>
      <c r="M3838" s="178"/>
      <c r="N3838" s="178"/>
      <c r="O3838" s="178"/>
      <c r="P3838" s="178"/>
      <c r="Q3838" s="178"/>
      <c r="R3838" s="178"/>
      <c r="S3838" s="178"/>
      <c r="T3838" s="180"/>
      <c r="U3838" s="189" t="str">
        <f>IFERROR(IF(Tableau3[[#This Row],[Dettes]]=0,"",(Tableau3[[#This Row],[Dettes]]/Tableau3[[#This Row],[EBE]])),"")</f>
        <v/>
      </c>
      <c r="V3838" s="190" t="str">
        <f>IFERROR(Tableau3[[#This Row],[Fonds propres]]/Tableau3[[#This Row],[Total Bilan]],"")</f>
        <v/>
      </c>
      <c r="W3838" s="180"/>
      <c r="Y3838" s="180"/>
      <c r="Z3838" s="192" t="str">
        <f>IFERROR(Tableau3[[#This Row],[Chiffre d''affaires]]/Tableau3[[#This Row],[Salariés]],"")</f>
        <v/>
      </c>
      <c r="AA3838" s="177"/>
      <c r="AC3838" s="177" t="s">
        <v>2686</v>
      </c>
    </row>
    <row r="3839" spans="1:29" ht="20.25" customHeight="1">
      <c r="A3839" s="217"/>
      <c r="E3839" s="187">
        <v>500.1</v>
      </c>
      <c r="F3839" s="178">
        <v>2022</v>
      </c>
      <c r="G3839" s="188">
        <v>21173400000</v>
      </c>
      <c r="H3839" s="178"/>
      <c r="I3839" s="188">
        <v>7321000000</v>
      </c>
      <c r="J3839" s="188">
        <v>5624200000</v>
      </c>
      <c r="K3839" s="188">
        <v>-3007000000</v>
      </c>
      <c r="L3839" s="188">
        <v>8810800000</v>
      </c>
      <c r="M3839" s="194">
        <f>L3839/P3839</f>
        <v>21.855540986131992</v>
      </c>
      <c r="N3839" s="190">
        <f>J3839/L3839</f>
        <v>0.63833023108003817</v>
      </c>
      <c r="O3839" s="190">
        <f>(I3839*0.7)/(K3839+L3839)</f>
        <v>0.88299045452979086</v>
      </c>
      <c r="P3839" s="188">
        <v>403138042</v>
      </c>
      <c r="Q3839" s="188">
        <f>P3839*E3839</f>
        <v>201609334804.20001</v>
      </c>
      <c r="R3839" s="178"/>
      <c r="S3839" s="178"/>
      <c r="T3839" s="180">
        <v>8486800000</v>
      </c>
      <c r="U3839" s="189" t="str">
        <f>IFERROR(IF(Tableau3[[#This Row],[Dettes]]=0,"",(Tableau3[[#This Row],[Dettes]]/Tableau3[[#This Row],[EBE]])),"")</f>
        <v/>
      </c>
      <c r="V3839" s="190">
        <f>IFERROR(Tableau3[[#This Row],[Fonds propres]]/Tableau3[[#This Row],[Total Bilan]],"")</f>
        <v>0.24272176308539944</v>
      </c>
      <c r="W3839" s="180">
        <v>36300000000</v>
      </c>
      <c r="Y3839" s="180">
        <v>33071</v>
      </c>
      <c r="Z3839" s="192">
        <f>IFERROR(Tableau3[[#This Row],[Chiffre d''affaires]]/Tableau3[[#This Row],[Salariés]],"")</f>
        <v>640240.69426385651</v>
      </c>
      <c r="AA3839" s="177"/>
      <c r="AC3839" s="177" t="s">
        <v>2687</v>
      </c>
    </row>
    <row r="3840" spans="1:29" ht="20.25" customHeight="1">
      <c r="A3840" s="217"/>
      <c r="E3840" s="187"/>
      <c r="G3840" s="202">
        <f>(G3839/G3841)-1</f>
        <v>0.137682016012036</v>
      </c>
      <c r="H3840" s="202"/>
      <c r="I3840" s="202">
        <f>(I3839/I3841)-1</f>
        <v>3.9339002541205925E-2</v>
      </c>
      <c r="J3840" s="202">
        <f>(J3839/J3841)-1</f>
        <v>-4.4023660592874658E-2</v>
      </c>
      <c r="K3840" s="188"/>
      <c r="L3840" s="188"/>
      <c r="M3840" s="178"/>
      <c r="N3840" s="178"/>
      <c r="O3840" s="178"/>
      <c r="P3840" s="188"/>
      <c r="Q3840" s="178"/>
      <c r="R3840" s="178"/>
      <c r="S3840" s="178"/>
      <c r="T3840" s="180"/>
      <c r="U3840" s="189" t="str">
        <f>IFERROR(IF(Tableau3[[#This Row],[Dettes]]=0,"",(Tableau3[[#This Row],[Dettes]]/Tableau3[[#This Row],[EBE]])),"")</f>
        <v/>
      </c>
      <c r="V3840" s="190" t="str">
        <f>IFERROR(Tableau3[[#This Row],[Fonds propres]]/Tableau3[[#This Row],[Total Bilan]],"")</f>
        <v/>
      </c>
      <c r="W3840" s="180"/>
      <c r="Y3840" s="180"/>
      <c r="Z3840" s="192" t="str">
        <f>IFERROR(Tableau3[[#This Row],[Chiffre d''affaires]]/Tableau3[[#This Row],[Salariés]],"")</f>
        <v/>
      </c>
      <c r="AA3840" s="177"/>
      <c r="AC3840" s="177" t="s">
        <v>4726</v>
      </c>
    </row>
    <row r="3841" spans="1:29" ht="20.25" customHeight="1">
      <c r="A3841" s="217"/>
      <c r="E3841" s="187">
        <v>710.4</v>
      </c>
      <c r="F3841" s="178">
        <v>2021</v>
      </c>
      <c r="G3841" s="188">
        <v>18611000000</v>
      </c>
      <c r="H3841" s="178"/>
      <c r="I3841" s="188">
        <v>7043900000</v>
      </c>
      <c r="J3841" s="188">
        <v>5883200000</v>
      </c>
      <c r="K3841" s="188">
        <v>-2876000000</v>
      </c>
      <c r="L3841" s="188">
        <v>11843800000</v>
      </c>
      <c r="M3841" s="194">
        <f>L3841/P3841</f>
        <v>29.137811570118721</v>
      </c>
      <c r="N3841" s="190">
        <f>J3841/L3841</f>
        <v>0.49673246762018947</v>
      </c>
      <c r="O3841" s="190">
        <f>(I3841*0.7)/(K3841+L3841)</f>
        <v>0.5498260442917996</v>
      </c>
      <c r="P3841" s="188">
        <v>406475276</v>
      </c>
      <c r="Q3841" s="188">
        <f>P3841*E3841</f>
        <v>288760036070.39996</v>
      </c>
      <c r="R3841" s="178"/>
      <c r="S3841" s="178"/>
      <c r="T3841" s="180">
        <v>9900000000</v>
      </c>
      <c r="U3841" s="189" t="str">
        <f>IFERROR(IF(Tableau3[[#This Row],[Dettes]]=0,"",(Tableau3[[#This Row],[Dettes]]/Tableau3[[#This Row],[EBE]])),"")</f>
        <v/>
      </c>
      <c r="V3841" s="190">
        <f>IFERROR(Tableau3[[#This Row],[Fonds propres]]/Tableau3[[#This Row],[Total Bilan]],"")</f>
        <v>0.39177665310442922</v>
      </c>
      <c r="W3841" s="180">
        <v>30231000000</v>
      </c>
      <c r="Y3841" s="180">
        <v>28223</v>
      </c>
      <c r="Z3841" s="192">
        <f>IFERROR(Tableau3[[#This Row],[Chiffre d''affaires]]/Tableau3[[#This Row],[Salariés]],"")</f>
        <v>659426.70871275198</v>
      </c>
      <c r="AA3841" s="177"/>
      <c r="AC3841" s="177" t="s">
        <v>2688</v>
      </c>
    </row>
    <row r="3842" spans="1:29" ht="20.25" customHeight="1">
      <c r="A3842" s="217"/>
      <c r="E3842" s="187"/>
      <c r="G3842" s="202">
        <f>(G3841/G3843)-1</f>
        <v>0.33140179561469396</v>
      </c>
      <c r="H3842" s="202"/>
      <c r="I3842" s="202">
        <f>(I3841/I3843)-1</f>
        <v>0.65980960459965132</v>
      </c>
      <c r="J3842" s="202">
        <f>(J3841/J3843)-1</f>
        <v>0.59143042631465059</v>
      </c>
      <c r="K3842" s="188"/>
      <c r="L3842" s="188"/>
      <c r="M3842" s="178"/>
      <c r="N3842" s="178"/>
      <c r="O3842" s="178"/>
      <c r="P3842" s="188"/>
      <c r="Q3842" s="178"/>
      <c r="R3842" s="178"/>
      <c r="S3842" s="178"/>
      <c r="T3842" s="180"/>
      <c r="U3842" s="189" t="str">
        <f>IFERROR(IF(Tableau3[[#This Row],[Dettes]]=0,"",(Tableau3[[#This Row],[Dettes]]/Tableau3[[#This Row],[EBE]])),"")</f>
        <v/>
      </c>
      <c r="V3842" s="190" t="str">
        <f>IFERROR(Tableau3[[#This Row],[Fonds propres]]/Tableau3[[#This Row],[Total Bilan]],"")</f>
        <v/>
      </c>
      <c r="W3842" s="180"/>
      <c r="Y3842" s="180"/>
      <c r="Z3842" s="192" t="str">
        <f>IFERROR(Tableau3[[#This Row],[Chiffre d''affaires]]/Tableau3[[#This Row],[Salariés]],"")</f>
        <v/>
      </c>
      <c r="AA3842" s="177"/>
      <c r="AC3842" s="216" t="s">
        <v>4724</v>
      </c>
    </row>
    <row r="3843" spans="1:29" ht="20.25" customHeight="1">
      <c r="A3843" s="217"/>
      <c r="E3843" s="187">
        <v>398.5</v>
      </c>
      <c r="F3843" s="178">
        <v>2020</v>
      </c>
      <c r="G3843" s="188">
        <v>13978500000</v>
      </c>
      <c r="H3843" s="178"/>
      <c r="I3843" s="188">
        <v>4243800000</v>
      </c>
      <c r="J3843" s="188">
        <v>3696800000</v>
      </c>
      <c r="K3843" s="188">
        <v>-1386000000</v>
      </c>
      <c r="L3843" s="188">
        <v>15300900000</v>
      </c>
      <c r="M3843" s="194">
        <f>L3843/P3843</f>
        <v>36.47435428743259</v>
      </c>
      <c r="N3843" s="190">
        <f>J3843/L3843</f>
        <v>0.24160670287368716</v>
      </c>
      <c r="O3843" s="190">
        <f>(I3843*0.7)/(K3843+L3843)</f>
        <v>0.21348770023499988</v>
      </c>
      <c r="P3843" s="188">
        <v>419497488</v>
      </c>
      <c r="Q3843" s="188">
        <f>P3843*E3843</f>
        <v>167169748968</v>
      </c>
      <c r="R3843" s="178"/>
      <c r="S3843" s="178"/>
      <c r="T3843" s="180"/>
      <c r="U3843" s="189" t="str">
        <f>IFERROR(IF(Tableau3[[#This Row],[Dettes]]=0,"",(Tableau3[[#This Row],[Dettes]]/Tableau3[[#This Row],[EBE]])),"")</f>
        <v/>
      </c>
      <c r="V3843" s="190">
        <f>IFERROR(Tableau3[[#This Row],[Fonds propres]]/Tableau3[[#This Row],[Total Bilan]],"")</f>
        <v>0.53006651423820417</v>
      </c>
      <c r="W3843" s="180">
        <v>28866000000</v>
      </c>
      <c r="Y3843" s="180">
        <v>24727</v>
      </c>
      <c r="Z3843" s="192">
        <f>IFERROR(Tableau3[[#This Row],[Chiffre d''affaires]]/Tableau3[[#This Row],[Salariés]],"")</f>
        <v>565313.22036640113</v>
      </c>
      <c r="AA3843" s="177"/>
      <c r="AC3843" s="216" t="s">
        <v>2689</v>
      </c>
    </row>
    <row r="3844" spans="1:29" ht="20.25" customHeight="1">
      <c r="A3844" s="217"/>
      <c r="E3844" s="187"/>
      <c r="G3844" s="202">
        <f>(G3843/G3845)-1</f>
        <v>0.18261421319796955</v>
      </c>
      <c r="H3844" s="202"/>
      <c r="I3844" s="202">
        <f>(I3843/I3845)-1</f>
        <v>0.56211580226009494</v>
      </c>
      <c r="J3844" s="202">
        <f>(J3843/J3845)-1</f>
        <v>0.43225756460423859</v>
      </c>
      <c r="K3844" s="188"/>
      <c r="L3844" s="188"/>
      <c r="M3844" s="178"/>
      <c r="N3844" s="178"/>
      <c r="O3844" s="178"/>
      <c r="P3844" s="188"/>
      <c r="Q3844" s="178"/>
      <c r="R3844" s="178"/>
      <c r="S3844" s="178"/>
      <c r="T3844" s="180"/>
      <c r="U3844" s="189" t="str">
        <f>IFERROR(IF(Tableau3[[#This Row],[Dettes]]=0,"",(Tableau3[[#This Row],[Dettes]]/Tableau3[[#This Row],[EBE]])),"")</f>
        <v/>
      </c>
      <c r="V3844" s="190" t="str">
        <f>IFERROR(Tableau3[[#This Row],[Fonds propres]]/Tableau3[[#This Row],[Total Bilan]],"")</f>
        <v/>
      </c>
      <c r="W3844" s="180"/>
      <c r="Y3844" s="180"/>
      <c r="Z3844" s="192" t="str">
        <f>IFERROR(Tableau3[[#This Row],[Chiffre d''affaires]]/Tableau3[[#This Row],[Salariés]],"")</f>
        <v/>
      </c>
      <c r="AA3844" s="177"/>
      <c r="AC3844" s="177" t="s">
        <v>2690</v>
      </c>
    </row>
    <row r="3845" spans="1:29" ht="20.25" customHeight="1">
      <c r="A3845" s="217"/>
      <c r="E3845" s="187">
        <v>267.95</v>
      </c>
      <c r="F3845" s="178">
        <v>2019</v>
      </c>
      <c r="G3845" s="188">
        <v>11820000000</v>
      </c>
      <c r="H3845" s="178"/>
      <c r="I3845" s="188">
        <v>2716700000</v>
      </c>
      <c r="J3845" s="188">
        <v>2581100000</v>
      </c>
      <c r="K3845" s="188">
        <v>-1609000000</v>
      </c>
      <c r="L3845" s="188">
        <v>13876900000</v>
      </c>
      <c r="M3845" s="194">
        <f>L3845/P3845</f>
        <v>32.544324577861161</v>
      </c>
      <c r="N3845" s="190">
        <f>J3845/L3845</f>
        <v>0.18599975498850607</v>
      </c>
      <c r="O3845" s="190">
        <f>(I3845*0.7)/(K3845+L3845)</f>
        <v>0.15501349049144514</v>
      </c>
      <c r="P3845" s="188">
        <v>426400000</v>
      </c>
      <c r="Q3845" s="188">
        <f>P3845*E3845</f>
        <v>114253880000</v>
      </c>
      <c r="R3845" s="178"/>
      <c r="S3845" s="178"/>
      <c r="T3845" s="180"/>
      <c r="U3845" s="189" t="str">
        <f>IFERROR(IF(Tableau3[[#This Row],[Dettes]]=0,"",(Tableau3[[#This Row],[Dettes]]/Tableau3[[#This Row],[EBE]])),"")</f>
        <v/>
      </c>
      <c r="V3845" s="190">
        <f>IFERROR(Tableau3[[#This Row],[Fonds propres]]/Tableau3[[#This Row],[Total Bilan]],"")</f>
        <v>0.57735977799135429</v>
      </c>
      <c r="W3845" s="180">
        <v>24035100000</v>
      </c>
      <c r="Y3845" s="180">
        <v>22192</v>
      </c>
      <c r="Z3845" s="192">
        <f>IFERROR(Tableau3[[#This Row],[Chiffre d''affaires]]/Tableau3[[#This Row],[Salariés]],"")</f>
        <v>532624.36914203316</v>
      </c>
      <c r="AA3845" s="177"/>
      <c r="AC3845" s="177" t="s">
        <v>4725</v>
      </c>
    </row>
    <row r="3846" spans="1:29" ht="20.25" customHeight="1">
      <c r="A3846" s="217"/>
      <c r="E3846" s="187"/>
      <c r="G3846" s="202">
        <f>(G3845/G3847)-1</f>
        <v>8.0043859649122862E-2</v>
      </c>
      <c r="H3846" s="202"/>
      <c r="I3846" s="202">
        <f>(I3845/I3847)-1</f>
        <v>-5.7781014809419773E-2</v>
      </c>
      <c r="J3846" s="202">
        <f>(J3845/J3847)-1</f>
        <v>2.2217821782178238E-2</v>
      </c>
      <c r="K3846" s="178"/>
      <c r="L3846" s="188"/>
      <c r="M3846" s="178"/>
      <c r="N3846" s="178"/>
      <c r="O3846" s="178"/>
      <c r="P3846" s="178"/>
      <c r="Q3846" s="178"/>
      <c r="R3846" s="178"/>
      <c r="S3846" s="178"/>
      <c r="T3846" s="180"/>
      <c r="U3846" s="189" t="str">
        <f>IFERROR(IF(Tableau3[[#This Row],[Dettes]]=0,"",(Tableau3[[#This Row],[Dettes]]/Tableau3[[#This Row],[EBE]])),"")</f>
        <v/>
      </c>
      <c r="V3846" s="190" t="str">
        <f>IFERROR(Tableau3[[#This Row],[Fonds propres]]/Tableau3[[#This Row],[Total Bilan]],"")</f>
        <v/>
      </c>
      <c r="W3846" s="180"/>
      <c r="Y3846" s="180"/>
      <c r="Z3846" s="192" t="str">
        <f>IFERROR(Tableau3[[#This Row],[Chiffre d''affaires]]/Tableau3[[#This Row],[Salariés]],"")</f>
        <v/>
      </c>
      <c r="AA3846" s="177"/>
      <c r="AC3846" s="177" t="s">
        <v>2691</v>
      </c>
    </row>
    <row r="3847" spans="1:29" ht="20.25" customHeight="1">
      <c r="A3847" s="217"/>
      <c r="E3847" s="187">
        <v>133.69999999999999</v>
      </c>
      <c r="F3847" s="178">
        <v>2018</v>
      </c>
      <c r="G3847" s="188">
        <v>10944000000</v>
      </c>
      <c r="H3847" s="178"/>
      <c r="I3847" s="188">
        <v>2883300000</v>
      </c>
      <c r="J3847" s="188">
        <v>2525000000</v>
      </c>
      <c r="K3847" s="188">
        <v>-1007500000</v>
      </c>
      <c r="L3847" s="188">
        <v>12942400000</v>
      </c>
      <c r="M3847" s="194">
        <f>L3847/P3847</f>
        <v>30.352720450281424</v>
      </c>
      <c r="N3847" s="190">
        <f>J3847/L3847</f>
        <v>0.19509519100012362</v>
      </c>
      <c r="O3847" s="190">
        <f>(I3847*0.7)/(K3847+L3847)</f>
        <v>0.16910992132317823</v>
      </c>
      <c r="P3847" s="188">
        <v>426400000</v>
      </c>
      <c r="Q3847" s="188">
        <f>P3847*E3847</f>
        <v>57009679999.999992</v>
      </c>
      <c r="R3847" s="178"/>
      <c r="S3847" s="178"/>
      <c r="T3847" s="180"/>
      <c r="U3847" s="189" t="str">
        <f>IFERROR(IF(Tableau3[[#This Row],[Dettes]]=0,"",(Tableau3[[#This Row],[Dettes]]/Tableau3[[#This Row],[EBE]])),"")</f>
        <v/>
      </c>
      <c r="V3847" s="190">
        <f>IFERROR(Tableau3[[#This Row],[Fonds propres]]/Tableau3[[#This Row],[Total Bilan]],"")</f>
        <v>0.59708708750271033</v>
      </c>
      <c r="W3847" s="180">
        <v>21675900000</v>
      </c>
      <c r="Y3847" s="180">
        <v>18204</v>
      </c>
      <c r="Z3847" s="192">
        <f>IFERROR(Tableau3[[#This Row],[Chiffre d''affaires]]/Tableau3[[#This Row],[Salariés]],"")</f>
        <v>601186.55240606458</v>
      </c>
      <c r="AA3847" s="177"/>
      <c r="AC3847" s="177" t="s">
        <v>2692</v>
      </c>
    </row>
    <row r="3848" spans="1:29" ht="20.25" customHeight="1">
      <c r="A3848" s="217"/>
      <c r="G3848" s="202">
        <f>(G3847/G3849)-1</f>
        <v>0.22106061789416143</v>
      </c>
      <c r="H3848" s="202"/>
      <c r="I3848" s="202">
        <f>(I3847/I3849)-1</f>
        <v>0.14822189478714498</v>
      </c>
      <c r="J3848" s="202">
        <f>(J3847/J3849)-1</f>
        <v>0.16177417870617461</v>
      </c>
      <c r="K3848" s="178"/>
      <c r="L3848" s="188"/>
      <c r="M3848" s="178"/>
      <c r="N3848" s="178"/>
      <c r="O3848" s="178"/>
      <c r="P3848" s="188"/>
      <c r="Q3848" s="178"/>
      <c r="R3848" s="178"/>
      <c r="S3848" s="178"/>
      <c r="T3848" s="180"/>
      <c r="U3848" s="189" t="str">
        <f>IFERROR(IF(Tableau3[[#This Row],[Dettes]]=0,"",(Tableau3[[#This Row],[Dettes]]/Tableau3[[#This Row],[EBE]])),"")</f>
        <v/>
      </c>
      <c r="V3848" s="190" t="str">
        <f>IFERROR(Tableau3[[#This Row],[Fonds propres]]/Tableau3[[#This Row],[Total Bilan]],"")</f>
        <v/>
      </c>
      <c r="W3848" s="180"/>
      <c r="Y3848" s="180"/>
      <c r="Z3848" s="192" t="str">
        <f>IFERROR(Tableau3[[#This Row],[Chiffre d''affaires]]/Tableau3[[#This Row],[Salariés]],"")</f>
        <v/>
      </c>
      <c r="AA3848" s="177"/>
      <c r="AC3848" s="177" t="s">
        <v>2693</v>
      </c>
    </row>
    <row r="3849" spans="1:29" ht="20.25" customHeight="1">
      <c r="A3849" s="217"/>
      <c r="E3849" s="187">
        <v>151.85</v>
      </c>
      <c r="F3849" s="178">
        <v>2017</v>
      </c>
      <c r="G3849" s="188">
        <v>8962700000</v>
      </c>
      <c r="H3849" s="178"/>
      <c r="I3849" s="188">
        <v>2511100000</v>
      </c>
      <c r="J3849" s="188">
        <v>2173400000</v>
      </c>
      <c r="K3849" s="188">
        <v>-288000000</v>
      </c>
      <c r="L3849" s="188">
        <v>12056300000</v>
      </c>
      <c r="M3849" s="194">
        <f>L3849/P3849</f>
        <v>28.050953932061425</v>
      </c>
      <c r="N3849" s="190">
        <f>J3849/L3849</f>
        <v>0.18027089571427388</v>
      </c>
      <c r="O3849" s="190">
        <f>(I3849*0.7)/(K3849+L3849)</f>
        <v>0.1493648190477809</v>
      </c>
      <c r="P3849" s="188">
        <v>429800000</v>
      </c>
      <c r="Q3849" s="188">
        <f>P3849*E3849</f>
        <v>65265130000</v>
      </c>
      <c r="R3849" s="178"/>
      <c r="S3849" s="178"/>
      <c r="T3849" s="180"/>
      <c r="U3849" s="189" t="str">
        <f>IFERROR(IF(Tableau3[[#This Row],[Dettes]]=0,"",(Tableau3[[#This Row],[Dettes]]/Tableau3[[#This Row],[EBE]])),"")</f>
        <v/>
      </c>
      <c r="V3849" s="190">
        <f>IFERROR(Tableau3[[#This Row],[Fonds propres]]/Tableau3[[#This Row],[Total Bilan]],"")</f>
        <v>0.61517698144207855</v>
      </c>
      <c r="W3849" s="180">
        <v>19598100000</v>
      </c>
      <c r="Y3849" s="180"/>
      <c r="Z3849" s="192" t="str">
        <f>IFERROR(Tableau3[[#This Row],[Chiffre d''affaires]]/Tableau3[[#This Row],[Salariés]],"")</f>
        <v/>
      </c>
      <c r="AA3849" s="177"/>
      <c r="AC3849" s="177" t="s">
        <v>1443</v>
      </c>
    </row>
    <row r="3850" spans="1:29" ht="20.25" customHeight="1">
      <c r="A3850" s="217"/>
      <c r="G3850" s="202">
        <f>(G3849/G3851)-1</f>
        <v>0.3036464924146558</v>
      </c>
      <c r="H3850" s="202"/>
      <c r="I3850" s="202">
        <f>(I3849/I3851)-1</f>
        <v>0.25617808904452222</v>
      </c>
      <c r="J3850" s="202">
        <f>(J3849/J3851)-1</f>
        <v>0.32298514730947159</v>
      </c>
      <c r="K3850" s="178"/>
      <c r="L3850" s="188"/>
      <c r="M3850" s="178"/>
      <c r="N3850" s="178"/>
      <c r="O3850" s="178"/>
      <c r="P3850" s="188"/>
      <c r="Q3850" s="178"/>
      <c r="R3850" s="178"/>
      <c r="S3850" s="178"/>
      <c r="T3850" s="180"/>
      <c r="U3850" s="189" t="str">
        <f>IFERROR(IF(Tableau3[[#This Row],[Dettes]]=0,"",(Tableau3[[#This Row],[Dettes]]/Tableau3[[#This Row],[EBE]])),"")</f>
        <v/>
      </c>
      <c r="V3850" s="190" t="str">
        <f>IFERROR(Tableau3[[#This Row],[Fonds propres]]/Tableau3[[#This Row],[Total Bilan]],"")</f>
        <v/>
      </c>
      <c r="W3850" s="180"/>
      <c r="Y3850" s="180"/>
      <c r="Z3850" s="192" t="str">
        <f>IFERROR(Tableau3[[#This Row],[Chiffre d''affaires]]/Tableau3[[#This Row],[Salariés]],"")</f>
        <v/>
      </c>
      <c r="AA3850" s="177"/>
      <c r="AC3850" s="177" t="s">
        <v>2694</v>
      </c>
    </row>
    <row r="3851" spans="1:29" ht="20.25" customHeight="1">
      <c r="A3851" s="217"/>
      <c r="E3851" s="187">
        <v>105</v>
      </c>
      <c r="F3851" s="178">
        <v>2016</v>
      </c>
      <c r="G3851" s="188">
        <v>6875100000</v>
      </c>
      <c r="H3851" s="178"/>
      <c r="I3851" s="188">
        <v>1999000000</v>
      </c>
      <c r="J3851" s="188">
        <v>1642800000</v>
      </c>
      <c r="K3851" s="188">
        <v>-985000000</v>
      </c>
      <c r="L3851" s="188">
        <v>11180700000</v>
      </c>
      <c r="M3851" s="194">
        <f>L3851/P3851</f>
        <v>26.270441729323309</v>
      </c>
      <c r="N3851" s="190">
        <f>J3851/L3851</f>
        <v>0.14693176634736643</v>
      </c>
      <c r="O3851" s="190">
        <f>(I3851*0.7)/(K3851+L3851)</f>
        <v>0.13724413233029611</v>
      </c>
      <c r="P3851" s="188">
        <v>425600000</v>
      </c>
      <c r="Q3851" s="188">
        <f>P3851*E3851</f>
        <v>44688000000</v>
      </c>
      <c r="R3851" s="178"/>
      <c r="S3851" s="178"/>
      <c r="T3851" s="180"/>
      <c r="U3851" s="189" t="str">
        <f>IFERROR(IF(Tableau3[[#This Row],[Dettes]]=0,"",(Tableau3[[#This Row],[Dettes]]/Tableau3[[#This Row],[EBE]])),"")</f>
        <v/>
      </c>
      <c r="V3851" s="190">
        <f>IFERROR(Tableau3[[#This Row],[Fonds propres]]/Tableau3[[#This Row],[Total Bilan]],"")</f>
        <v>0.59899067283120555</v>
      </c>
      <c r="W3851" s="180">
        <v>18665900000</v>
      </c>
      <c r="Y3851" s="180"/>
      <c r="Z3851" s="192" t="str">
        <f>IFERROR(Tableau3[[#This Row],[Chiffre d''affaires]]/Tableau3[[#This Row],[Salariés]],"")</f>
        <v/>
      </c>
      <c r="AA3851" s="177"/>
      <c r="AC3851" s="177" t="s">
        <v>2695</v>
      </c>
    </row>
    <row r="3852" spans="1:29" ht="20.25" customHeight="1">
      <c r="A3852" s="217"/>
      <c r="G3852" s="188"/>
      <c r="H3852" s="178"/>
      <c r="I3852" s="188"/>
      <c r="J3852" s="188"/>
      <c r="K3852" s="178"/>
      <c r="L3852" s="188"/>
      <c r="M3852" s="178"/>
      <c r="N3852" s="178"/>
      <c r="O3852" s="178"/>
      <c r="P3852" s="188"/>
      <c r="Q3852" s="178"/>
      <c r="R3852" s="178"/>
      <c r="S3852" s="178"/>
      <c r="T3852" s="180"/>
      <c r="U3852" s="189" t="str">
        <f>IFERROR(IF(Tableau3[[#This Row],[Dettes]]=0,"",(Tableau3[[#This Row],[Dettes]]/Tableau3[[#This Row],[EBE]])),"")</f>
        <v/>
      </c>
      <c r="V3852" s="190" t="str">
        <f>IFERROR(Tableau3[[#This Row],[Fonds propres]]/Tableau3[[#This Row],[Total Bilan]],"")</f>
        <v/>
      </c>
      <c r="W3852" s="180"/>
      <c r="Y3852" s="180"/>
      <c r="Z3852" s="192" t="str">
        <f>IFERROR(Tableau3[[#This Row],[Chiffre d''affaires]]/Tableau3[[#This Row],[Salariés]],"")</f>
        <v/>
      </c>
      <c r="AA3852" s="177"/>
      <c r="AC3852" s="177" t="s">
        <v>4727</v>
      </c>
    </row>
    <row r="3853" spans="1:29" ht="20.25" customHeight="1">
      <c r="A3853" s="217"/>
      <c r="G3853" s="188"/>
      <c r="H3853" s="178"/>
      <c r="I3853" s="178"/>
      <c r="J3853" s="178"/>
      <c r="K3853" s="178"/>
      <c r="L3853" s="178"/>
      <c r="M3853" s="178"/>
      <c r="N3853" s="178"/>
      <c r="O3853" s="178"/>
      <c r="P3853" s="178"/>
      <c r="Q3853" s="178"/>
      <c r="R3853" s="178"/>
      <c r="S3853" s="178"/>
      <c r="T3853" s="180"/>
      <c r="U3853" s="189" t="str">
        <f>IFERROR(IF(Tableau3[[#This Row],[Dettes]]=0,"",(Tableau3[[#This Row],[Dettes]]/Tableau3[[#This Row],[EBE]])),"")</f>
        <v/>
      </c>
      <c r="V3853" s="190" t="str">
        <f>IFERROR(Tableau3[[#This Row],[Fonds propres]]/Tableau3[[#This Row],[Total Bilan]],"")</f>
        <v/>
      </c>
      <c r="W3853" s="180"/>
      <c r="Y3853" s="180"/>
      <c r="Z3853" s="192" t="str">
        <f>IFERROR(Tableau3[[#This Row],[Chiffre d''affaires]]/Tableau3[[#This Row],[Salariés]],"")</f>
        <v/>
      </c>
      <c r="AA3853" s="177"/>
    </row>
    <row r="3854" spans="1:29" ht="20.25" customHeight="1">
      <c r="A3854" s="217"/>
      <c r="G3854" s="188"/>
      <c r="H3854" s="178"/>
      <c r="I3854" s="178"/>
      <c r="J3854" s="178"/>
      <c r="K3854" s="178"/>
      <c r="L3854" s="178"/>
      <c r="M3854" s="178"/>
      <c r="N3854" s="178"/>
      <c r="O3854" s="178"/>
      <c r="P3854" s="178"/>
      <c r="Q3854" s="178"/>
      <c r="R3854" s="178"/>
      <c r="S3854" s="178"/>
      <c r="T3854" s="180"/>
      <c r="U3854" s="189" t="str">
        <f>IFERROR(IF(Tableau3[[#This Row],[Dettes]]=0,"",(Tableau3[[#This Row],[Dettes]]/Tableau3[[#This Row],[EBE]])),"")</f>
        <v/>
      </c>
      <c r="V3854" s="190" t="str">
        <f>IFERROR(Tableau3[[#This Row],[Fonds propres]]/Tableau3[[#This Row],[Total Bilan]],"")</f>
        <v/>
      </c>
      <c r="W3854" s="180"/>
      <c r="Y3854" s="180"/>
      <c r="Z3854" s="192" t="str">
        <f>IFERROR(Tableau3[[#This Row],[Chiffre d''affaires]]/Tableau3[[#This Row],[Salariés]],"")</f>
        <v/>
      </c>
      <c r="AA3854" s="177"/>
    </row>
    <row r="3855" spans="1:29" ht="20.25" customHeight="1">
      <c r="A3855" s="217" t="s">
        <v>2697</v>
      </c>
      <c r="B3855" s="216" t="s">
        <v>2633</v>
      </c>
      <c r="D3855" s="178" t="s">
        <v>383</v>
      </c>
      <c r="F3855" s="178">
        <v>2025</v>
      </c>
      <c r="G3855" s="188"/>
      <c r="H3855" s="178"/>
      <c r="I3855" s="178"/>
      <c r="J3855" s="178"/>
      <c r="K3855" s="178"/>
      <c r="L3855" s="178"/>
      <c r="M3855" s="178"/>
      <c r="N3855" s="178"/>
      <c r="O3855" s="178"/>
      <c r="P3855" s="178"/>
      <c r="Q3855" s="178"/>
      <c r="R3855" s="178"/>
      <c r="S3855" s="178"/>
      <c r="T3855" s="180"/>
      <c r="U3855" s="189" t="str">
        <f>IFERROR(IF(Tableau3[[#This Row],[Dettes]]=0,"",(Tableau3[[#This Row],[Dettes]]/Tableau3[[#This Row],[EBE]])),"")</f>
        <v/>
      </c>
      <c r="V3855" s="190" t="str">
        <f>IFERROR(Tableau3[[#This Row],[Fonds propres]]/Tableau3[[#This Row],[Total Bilan]],"")</f>
        <v/>
      </c>
      <c r="W3855" s="180"/>
      <c r="Y3855" s="180"/>
      <c r="Z3855" s="192" t="str">
        <f>IFERROR(Tableau3[[#This Row],[Chiffre d''affaires]]/Tableau3[[#This Row],[Salariés]],"")</f>
        <v/>
      </c>
      <c r="AA3855" s="177"/>
      <c r="AC3855" s="177" t="s">
        <v>2698</v>
      </c>
    </row>
    <row r="3856" spans="1:29" ht="20.25" customHeight="1">
      <c r="A3856" s="217"/>
      <c r="G3856" s="188"/>
      <c r="H3856" s="178"/>
      <c r="I3856" s="178"/>
      <c r="J3856" s="178"/>
      <c r="K3856" s="178"/>
      <c r="L3856" s="178"/>
      <c r="M3856" s="178"/>
      <c r="N3856" s="178"/>
      <c r="O3856" s="178"/>
      <c r="P3856" s="178"/>
      <c r="Q3856" s="178"/>
      <c r="R3856" s="178"/>
      <c r="S3856" s="178"/>
      <c r="T3856" s="180"/>
      <c r="U3856" s="189" t="str">
        <f>IFERROR(IF(Tableau3[[#This Row],[Dettes]]=0,"",(Tableau3[[#This Row],[Dettes]]/Tableau3[[#This Row],[EBE]])),"")</f>
        <v/>
      </c>
      <c r="V3856" s="190" t="str">
        <f>IFERROR(Tableau3[[#This Row],[Fonds propres]]/Tableau3[[#This Row],[Total Bilan]],"")</f>
        <v/>
      </c>
      <c r="W3856" s="180"/>
      <c r="Y3856" s="180"/>
      <c r="Z3856" s="192" t="str">
        <f>IFERROR(Tableau3[[#This Row],[Chiffre d''affaires]]/Tableau3[[#This Row],[Salariés]],"")</f>
        <v/>
      </c>
      <c r="AA3856" s="177"/>
      <c r="AC3856" s="177" t="s">
        <v>2699</v>
      </c>
    </row>
    <row r="3857" spans="1:29" ht="20.25" customHeight="1">
      <c r="A3857" s="217"/>
      <c r="E3857" s="187">
        <v>5.03</v>
      </c>
      <c r="F3857" s="178">
        <v>2024</v>
      </c>
      <c r="G3857" s="188">
        <v>850000000</v>
      </c>
      <c r="H3857" s="188">
        <v>200000000</v>
      </c>
      <c r="I3857" s="178"/>
      <c r="J3857" s="178"/>
      <c r="K3857" s="178"/>
      <c r="L3857" s="178"/>
      <c r="M3857" s="178"/>
      <c r="N3857" s="178"/>
      <c r="O3857" s="178"/>
      <c r="P3857" s="178"/>
      <c r="Q3857" s="178"/>
      <c r="R3857" s="178"/>
      <c r="S3857" s="178"/>
      <c r="T3857" s="180"/>
      <c r="U3857" s="189" t="str">
        <f>IFERROR(IF(Tableau3[[#This Row],[Dettes]]=0,"",(Tableau3[[#This Row],[Dettes]]/Tableau3[[#This Row],[EBE]])),"")</f>
        <v/>
      </c>
      <c r="V3857" s="190" t="str">
        <f>IFERROR(Tableau3[[#This Row],[Fonds propres]]/Tableau3[[#This Row],[Total Bilan]],"")</f>
        <v/>
      </c>
      <c r="W3857" s="180"/>
      <c r="Y3857" s="180"/>
      <c r="Z3857" s="192" t="str">
        <f>IFERROR(Tableau3[[#This Row],[Chiffre d''affaires]]/Tableau3[[#This Row],[Salariés]],"")</f>
        <v/>
      </c>
      <c r="AA3857" s="177"/>
      <c r="AC3857" s="177" t="s">
        <v>2700</v>
      </c>
    </row>
    <row r="3858" spans="1:29" ht="20.25" customHeight="1">
      <c r="A3858" s="217"/>
      <c r="E3858" s="187"/>
      <c r="G3858" s="188"/>
      <c r="H3858" s="178"/>
      <c r="I3858" s="178"/>
      <c r="J3858" s="178"/>
      <c r="K3858" s="178"/>
      <c r="L3858" s="178"/>
      <c r="M3858" s="178"/>
      <c r="N3858" s="178"/>
      <c r="O3858" s="178"/>
      <c r="P3858" s="178"/>
      <c r="Q3858" s="178"/>
      <c r="R3858" s="178"/>
      <c r="S3858" s="178"/>
      <c r="T3858" s="180"/>
      <c r="U3858" s="189" t="str">
        <f>IFERROR(IF(Tableau3[[#This Row],[Dettes]]=0,"",(Tableau3[[#This Row],[Dettes]]/Tableau3[[#This Row],[EBE]])),"")</f>
        <v/>
      </c>
      <c r="V3858" s="190" t="str">
        <f>IFERROR(Tableau3[[#This Row],[Fonds propres]]/Tableau3[[#This Row],[Total Bilan]],"")</f>
        <v/>
      </c>
      <c r="W3858" s="180"/>
      <c r="Y3858" s="180"/>
      <c r="Z3858" s="192" t="str">
        <f>IFERROR(Tableau3[[#This Row],[Chiffre d''affaires]]/Tableau3[[#This Row],[Salariés]],"")</f>
        <v/>
      </c>
      <c r="AA3858" s="177"/>
      <c r="AC3858" s="177" t="s">
        <v>2701</v>
      </c>
    </row>
    <row r="3859" spans="1:29" ht="20.25" customHeight="1">
      <c r="A3859" s="217"/>
      <c r="E3859" s="187">
        <v>10.18</v>
      </c>
      <c r="F3859" s="178">
        <v>2023</v>
      </c>
      <c r="G3859" s="188">
        <v>906786000</v>
      </c>
      <c r="H3859" s="188">
        <v>245614000</v>
      </c>
      <c r="I3859" s="188">
        <v>157674000</v>
      </c>
      <c r="J3859" s="188">
        <v>161895000</v>
      </c>
      <c r="K3859" s="188">
        <v>-144724000</v>
      </c>
      <c r="L3859" s="188">
        <v>960542000</v>
      </c>
      <c r="M3859" s="194">
        <f>L3859/P3859</f>
        <v>7.3446225862127514</v>
      </c>
      <c r="N3859" s="190">
        <f>J3859/L3859</f>
        <v>0.16854546703840123</v>
      </c>
      <c r="O3859" s="190">
        <f>(I3859*0.7)/(K3859+L3859)</f>
        <v>0.1352897337396331</v>
      </c>
      <c r="P3859" s="188">
        <v>130781669</v>
      </c>
      <c r="Q3859" s="211">
        <f>P3859*E3859</f>
        <v>1331357390.4200001</v>
      </c>
      <c r="R3859" s="195">
        <f>Q3859/L3859</f>
        <v>1.386048075378276</v>
      </c>
      <c r="S3859" s="197">
        <f>Q3859/H3859</f>
        <v>5.4205272924996137</v>
      </c>
      <c r="T3859" s="180"/>
      <c r="U3859" s="189">
        <f>IFERROR(IF(Tableau3[[#This Row],[Dettes]]=0,"",(Tableau3[[#This Row],[Dettes]]/Tableau3[[#This Row],[EBE]])),"")</f>
        <v>-0.58923351274764468</v>
      </c>
      <c r="V3859" s="190">
        <f>IFERROR(Tableau3[[#This Row],[Fonds propres]]/Tableau3[[#This Row],[Total Bilan]],"")</f>
        <v>0.56375989397903759</v>
      </c>
      <c r="W3859" s="180">
        <v>1703814000</v>
      </c>
      <c r="Y3859" s="180">
        <v>4411</v>
      </c>
      <c r="Z3859" s="192">
        <f>IFERROR(Tableau3[[#This Row],[Chiffre d''affaires]]/Tableau3[[#This Row],[Salariés]],"")</f>
        <v>205573.79279075039</v>
      </c>
      <c r="AA3859" s="177"/>
      <c r="AC3859" s="177" t="s">
        <v>2702</v>
      </c>
    </row>
    <row r="3860" spans="1:29" ht="20.25" customHeight="1">
      <c r="A3860" s="217"/>
      <c r="E3860" s="187"/>
      <c r="G3860" s="202">
        <f>(G3859/G3861)-1</f>
        <v>0.22621501014198775</v>
      </c>
      <c r="H3860" s="202">
        <f>(H3859/H3861)-1</f>
        <v>0.82113013368527987</v>
      </c>
      <c r="I3860" s="202">
        <f>(I3859/I3861)-1</f>
        <v>1.7500479637219848</v>
      </c>
      <c r="J3860" s="202">
        <f>(J3859/J3861)-1</f>
        <v>2.0842430130879581</v>
      </c>
      <c r="K3860" s="178"/>
      <c r="L3860" s="178"/>
      <c r="M3860" s="178"/>
      <c r="N3860" s="178"/>
      <c r="O3860" s="178"/>
      <c r="P3860" s="178"/>
      <c r="Q3860" s="178"/>
      <c r="R3860" s="178"/>
      <c r="S3860" s="178"/>
      <c r="T3860" s="180"/>
      <c r="U3860" s="189" t="str">
        <f>IFERROR(IF(Tableau3[[#This Row],[Dettes]]=0,"",(Tableau3[[#This Row],[Dettes]]/Tableau3[[#This Row],[EBE]])),"")</f>
        <v/>
      </c>
      <c r="V3860" s="190" t="str">
        <f>IFERROR(Tableau3[[#This Row],[Fonds propres]]/Tableau3[[#This Row],[Total Bilan]],"")</f>
        <v/>
      </c>
      <c r="W3860" s="180"/>
      <c r="Y3860" s="180"/>
      <c r="Z3860" s="192" t="str">
        <f>IFERROR(Tableau3[[#This Row],[Chiffre d''affaires]]/Tableau3[[#This Row],[Salariés]],"")</f>
        <v/>
      </c>
      <c r="AA3860" s="177"/>
      <c r="AC3860" s="177" t="s">
        <v>572</v>
      </c>
    </row>
    <row r="3861" spans="1:29" ht="20.25" customHeight="1">
      <c r="A3861" s="217"/>
      <c r="E3861" s="187">
        <v>6.61</v>
      </c>
      <c r="F3861" s="178">
        <v>2022</v>
      </c>
      <c r="G3861" s="188">
        <v>739500000</v>
      </c>
      <c r="H3861" s="188">
        <v>134869000</v>
      </c>
      <c r="I3861" s="188">
        <v>57335000</v>
      </c>
      <c r="J3861" s="188">
        <v>52491000</v>
      </c>
      <c r="K3861" s="188">
        <v>-72480000</v>
      </c>
      <c r="L3861" s="188">
        <v>797000000</v>
      </c>
      <c r="M3861" s="194">
        <f>L3861/P3861</f>
        <v>6.0941262341590088</v>
      </c>
      <c r="N3861" s="190">
        <f>J3861/L3861</f>
        <v>6.5860727728983687E-2</v>
      </c>
      <c r="O3861" s="190">
        <f>(I3861*0.7)/(K3861+L3861)</f>
        <v>5.5394606084028047E-2</v>
      </c>
      <c r="P3861" s="188">
        <v>130781669</v>
      </c>
      <c r="Q3861" s="211">
        <f>P3861*E3861</f>
        <v>864466832.09000003</v>
      </c>
      <c r="R3861" s="195">
        <f>Q3861/L3861</f>
        <v>1.0846509812923464</v>
      </c>
      <c r="S3861" s="197">
        <f>Q3861/H3861</f>
        <v>6.4096777768797875</v>
      </c>
      <c r="T3861" s="180"/>
      <c r="U3861" s="189">
        <f>IFERROR(IF(Tableau3[[#This Row],[Dettes]]=0,"",(Tableau3[[#This Row],[Dettes]]/Tableau3[[#This Row],[EBE]])),"")</f>
        <v>-0.53741037599448349</v>
      </c>
      <c r="V3861" s="190">
        <f>IFERROR(Tableau3[[#This Row],[Fonds propres]]/Tableau3[[#This Row],[Total Bilan]],"")</f>
        <v>0.63503091891443975</v>
      </c>
      <c r="W3861" s="180">
        <v>1255057000</v>
      </c>
      <c r="Y3861" s="180"/>
      <c r="Z3861" s="192" t="str">
        <f>IFERROR(Tableau3[[#This Row],[Chiffre d''affaires]]/Tableau3[[#This Row],[Salariés]],"")</f>
        <v/>
      </c>
      <c r="AA3861" s="177"/>
      <c r="AC3861" s="177" t="s">
        <v>2703</v>
      </c>
    </row>
    <row r="3862" spans="1:29" ht="20.25" customHeight="1">
      <c r="A3862" s="217"/>
      <c r="E3862" s="187"/>
      <c r="G3862" s="202">
        <f>(G3861/G3863)-1</f>
        <v>0.12420188507145036</v>
      </c>
      <c r="H3862" s="202">
        <f>(H3861/H3863)-1</f>
        <v>-0.10445551128818065</v>
      </c>
      <c r="I3862" s="202">
        <f>(I3861/I3863)-1</f>
        <v>-0.2572416830759664</v>
      </c>
      <c r="J3862" s="202">
        <f>(J3861/J3863)-1</f>
        <v>-0.37216979439520614</v>
      </c>
      <c r="K3862" s="188"/>
      <c r="L3862" s="188"/>
      <c r="M3862" s="178"/>
      <c r="N3862" s="178"/>
      <c r="O3862" s="178"/>
      <c r="P3862" s="178"/>
      <c r="Q3862" s="178"/>
      <c r="R3862" s="178"/>
      <c r="S3862" s="178"/>
      <c r="T3862" s="180"/>
      <c r="U3862" s="189" t="str">
        <f>IFERROR(IF(Tableau3[[#This Row],[Dettes]]=0,"",(Tableau3[[#This Row],[Dettes]]/Tableau3[[#This Row],[EBE]])),"")</f>
        <v/>
      </c>
      <c r="V3862" s="190" t="str">
        <f>IFERROR(Tableau3[[#This Row],[Fonds propres]]/Tableau3[[#This Row],[Total Bilan]],"")</f>
        <v/>
      </c>
      <c r="W3862" s="180"/>
      <c r="Y3862" s="180"/>
      <c r="Z3862" s="192" t="str">
        <f>IFERROR(Tableau3[[#This Row],[Chiffre d''affaires]]/Tableau3[[#This Row],[Salariés]],"")</f>
        <v/>
      </c>
      <c r="AA3862" s="177"/>
      <c r="AC3862" s="177" t="s">
        <v>2695</v>
      </c>
    </row>
    <row r="3863" spans="1:29" ht="20.25" customHeight="1">
      <c r="A3863" s="217"/>
      <c r="E3863" s="187">
        <v>9.14</v>
      </c>
      <c r="F3863" s="178">
        <v>2021</v>
      </c>
      <c r="G3863" s="188">
        <v>657800000</v>
      </c>
      <c r="H3863" s="188">
        <v>150600000</v>
      </c>
      <c r="I3863" s="188">
        <v>77192000</v>
      </c>
      <c r="J3863" s="188">
        <v>83607000</v>
      </c>
      <c r="K3863" s="188"/>
      <c r="L3863" s="188">
        <v>743971000</v>
      </c>
      <c r="M3863" s="194">
        <f>L3863/P3863</f>
        <v>5.68864891913866</v>
      </c>
      <c r="N3863" s="190">
        <f>J3863/L3863</f>
        <v>0.11237938037907391</v>
      </c>
      <c r="O3863" s="190">
        <f>(I3863*0.7)/(K3863+L3863)</f>
        <v>7.2629712717296777E-2</v>
      </c>
      <c r="P3863" s="188">
        <v>130781669</v>
      </c>
      <c r="Q3863" s="211">
        <f>P3863*E3863</f>
        <v>1195344454.6600001</v>
      </c>
      <c r="R3863" s="195">
        <f>Q3863/L3863</f>
        <v>1.6067083994671836</v>
      </c>
      <c r="S3863" s="197">
        <f>Q3863/H3863</f>
        <v>7.9372141743691902</v>
      </c>
      <c r="T3863" s="180"/>
      <c r="U3863" s="189" t="str">
        <f>IFERROR(IF(Tableau3[[#This Row],[Dettes]]=0,"",(Tableau3[[#This Row],[Dettes]]/Tableau3[[#This Row],[EBE]])),"")</f>
        <v/>
      </c>
      <c r="V3863" s="190">
        <f>IFERROR(Tableau3[[#This Row],[Fonds propres]]/Tableau3[[#This Row],[Total Bilan]],"")</f>
        <v>0.7409715471770274</v>
      </c>
      <c r="W3863" s="180">
        <v>1004048000</v>
      </c>
      <c r="Y3863" s="180">
        <v>3886</v>
      </c>
      <c r="Z3863" s="192">
        <f>IFERROR(Tableau3[[#This Row],[Chiffre d''affaires]]/Tableau3[[#This Row],[Salariés]],"")</f>
        <v>169274.31806484816</v>
      </c>
      <c r="AA3863" s="177"/>
      <c r="AC3863" s="177" t="s">
        <v>2696</v>
      </c>
    </row>
    <row r="3864" spans="1:29" ht="20.25" customHeight="1">
      <c r="A3864" s="217"/>
      <c r="E3864" s="187"/>
      <c r="G3864" s="202">
        <f>(G3863/G3865)-1</f>
        <v>0.37730318257956452</v>
      </c>
      <c r="H3864" s="202">
        <f>(H3863/H3865)-1</f>
        <v>0.55884484007866675</v>
      </c>
      <c r="I3864" s="202">
        <f>(I3863/I3865)-1</f>
        <v>-6.2809742081138404</v>
      </c>
      <c r="J3864" s="202">
        <f>(J3863/J3865)-1</f>
        <v>5.1793791574279382</v>
      </c>
      <c r="K3864" s="188"/>
      <c r="L3864" s="188"/>
      <c r="M3864" s="178"/>
      <c r="N3864" s="178"/>
      <c r="O3864" s="178"/>
      <c r="P3864" s="178"/>
      <c r="Q3864" s="178"/>
      <c r="R3864" s="178"/>
      <c r="S3864" s="178"/>
      <c r="T3864" s="180"/>
      <c r="U3864" s="189" t="str">
        <f>IFERROR(IF(Tableau3[[#This Row],[Dettes]]=0,"",(Tableau3[[#This Row],[Dettes]]/Tableau3[[#This Row],[EBE]])),"")</f>
        <v/>
      </c>
      <c r="V3864" s="190" t="str">
        <f>IFERROR(Tableau3[[#This Row],[Fonds propres]]/Tableau3[[#This Row],[Total Bilan]],"")</f>
        <v/>
      </c>
      <c r="W3864" s="180"/>
      <c r="Y3864" s="180"/>
      <c r="Z3864" s="192" t="str">
        <f>IFERROR(Tableau3[[#This Row],[Chiffre d''affaires]]/Tableau3[[#This Row],[Salariés]],"")</f>
        <v/>
      </c>
      <c r="AA3864" s="177"/>
    </row>
    <row r="3865" spans="1:29" ht="20.25" customHeight="1">
      <c r="A3865" s="217"/>
      <c r="E3865" s="187">
        <v>4.92</v>
      </c>
      <c r="F3865" s="178">
        <v>2020</v>
      </c>
      <c r="G3865" s="188">
        <v>477600000</v>
      </c>
      <c r="H3865" s="188">
        <v>96610000</v>
      </c>
      <c r="I3865" s="188">
        <v>-14617000</v>
      </c>
      <c r="J3865" s="188">
        <v>13530000</v>
      </c>
      <c r="K3865" s="188"/>
      <c r="L3865" s="188">
        <v>659334000</v>
      </c>
      <c r="M3865" s="194">
        <f>L3865/P3865</f>
        <v>5.0414863569297319</v>
      </c>
      <c r="N3865" s="190">
        <f>J3865/L3865</f>
        <v>2.0520707259143317E-2</v>
      </c>
      <c r="O3865" s="190">
        <f>(I3865*0.7)/(K3865+L3865)</f>
        <v>-1.5518538403904545E-2</v>
      </c>
      <c r="P3865" s="188">
        <v>130781669</v>
      </c>
      <c r="Q3865" s="211">
        <f>P3865*E3865</f>
        <v>643445811.48000002</v>
      </c>
      <c r="R3865" s="195">
        <f>Q3865/L3865</f>
        <v>0.97590267069497405</v>
      </c>
      <c r="S3865" s="197">
        <f>Q3865/H3865</f>
        <v>6.6602402596004557</v>
      </c>
      <c r="T3865" s="180"/>
      <c r="U3865" s="189" t="str">
        <f>IFERROR(IF(Tableau3[[#This Row],[Dettes]]=0,"",(Tableau3[[#This Row],[Dettes]]/Tableau3[[#This Row],[EBE]])),"")</f>
        <v/>
      </c>
      <c r="V3865" s="190">
        <f>IFERROR(Tableau3[[#This Row],[Fonds propres]]/Tableau3[[#This Row],[Total Bilan]],"")</f>
        <v>0.69690704650528601</v>
      </c>
      <c r="W3865" s="180">
        <v>946086000</v>
      </c>
      <c r="Y3865" s="180">
        <v>4089</v>
      </c>
      <c r="Z3865" s="192">
        <f>IFERROR(Tableau3[[#This Row],[Chiffre d''affaires]]/Tableau3[[#This Row],[Salariés]],"")</f>
        <v>116801.17388114454</v>
      </c>
      <c r="AA3865" s="177"/>
    </row>
    <row r="3866" spans="1:29" ht="20.25" customHeight="1">
      <c r="A3866" s="217"/>
      <c r="E3866" s="187"/>
      <c r="G3866" s="202">
        <f>(G3865/G3867)-1</f>
        <v>-5.6872037914691975E-2</v>
      </c>
      <c r="H3866" s="202">
        <f>(H3865/H3867)-1</f>
        <v>2.0640659689184901</v>
      </c>
      <c r="I3866" s="202" t="e">
        <f>(I3865/I3867)-1</f>
        <v>#DIV/0!</v>
      </c>
      <c r="J3866" s="202">
        <f>(J3865/J3867)-1</f>
        <v>-1.2787391841779976</v>
      </c>
      <c r="K3866" s="188"/>
      <c r="L3866" s="188"/>
      <c r="M3866" s="178"/>
      <c r="N3866" s="178"/>
      <c r="O3866" s="178"/>
      <c r="P3866" s="188"/>
      <c r="Q3866" s="178"/>
      <c r="R3866" s="178"/>
      <c r="S3866" s="178"/>
      <c r="T3866" s="180"/>
      <c r="U3866" s="189" t="str">
        <f>IFERROR(IF(Tableau3[[#This Row],[Dettes]]=0,"",(Tableau3[[#This Row],[Dettes]]/Tableau3[[#This Row],[EBE]])),"")</f>
        <v/>
      </c>
      <c r="V3866" s="190" t="str">
        <f>IFERROR(Tableau3[[#This Row],[Fonds propres]]/Tableau3[[#This Row],[Total Bilan]],"")</f>
        <v/>
      </c>
      <c r="W3866" s="180"/>
      <c r="Y3866" s="180"/>
      <c r="Z3866" s="192" t="str">
        <f>IFERROR(Tableau3[[#This Row],[Chiffre d''affaires]]/Tableau3[[#This Row],[Salariés]],"")</f>
        <v/>
      </c>
      <c r="AA3866" s="177"/>
    </row>
    <row r="3867" spans="1:29" ht="20.25" customHeight="1">
      <c r="A3867" s="217"/>
      <c r="E3867" s="187">
        <v>4.2</v>
      </c>
      <c r="F3867" s="178">
        <v>2019</v>
      </c>
      <c r="G3867" s="188">
        <v>506400000</v>
      </c>
      <c r="H3867" s="188">
        <v>31530000</v>
      </c>
      <c r="I3867" s="188"/>
      <c r="J3867" s="188">
        <v>-48540000</v>
      </c>
      <c r="K3867" s="188"/>
      <c r="L3867" s="188">
        <v>646400000</v>
      </c>
      <c r="M3867" s="194">
        <f>L3867/P3867</f>
        <v>4.9425887048436428</v>
      </c>
      <c r="N3867" s="190">
        <f>J3867/L3867</f>
        <v>-7.5092821782178215E-2</v>
      </c>
      <c r="O3867" s="190">
        <f>(I3867*0.7)/(K3867+L3867)</f>
        <v>0</v>
      </c>
      <c r="P3867" s="188">
        <v>130781669</v>
      </c>
      <c r="Q3867" s="211">
        <f>P3867*E3867</f>
        <v>549283009.80000007</v>
      </c>
      <c r="R3867" s="195">
        <f>Q3867/L3867</f>
        <v>0.84975713149752485</v>
      </c>
      <c r="S3867" s="197">
        <f>Q3867/H3867</f>
        <v>17.420964471931494</v>
      </c>
      <c r="T3867" s="180"/>
      <c r="U3867" s="189" t="str">
        <f>IFERROR(IF(Tableau3[[#This Row],[Dettes]]=0,"",(Tableau3[[#This Row],[Dettes]]/Tableau3[[#This Row],[EBE]])),"")</f>
        <v/>
      </c>
      <c r="V3867" s="190">
        <f>IFERROR(Tableau3[[#This Row],[Fonds propres]]/Tableau3[[#This Row],[Total Bilan]],"")</f>
        <v>0.74607571560480146</v>
      </c>
      <c r="W3867" s="180">
        <v>866400000</v>
      </c>
      <c r="Y3867" s="180">
        <v>4081</v>
      </c>
      <c r="Z3867" s="192">
        <f>IFERROR(Tableau3[[#This Row],[Chiffre d''affaires]]/Tableau3[[#This Row],[Salariés]],"")</f>
        <v>124087.23352119578</v>
      </c>
      <c r="AA3867" s="177"/>
    </row>
    <row r="3868" spans="1:29" ht="20.25" customHeight="1">
      <c r="A3868" s="217"/>
      <c r="E3868" s="187"/>
      <c r="G3868" s="202">
        <f>(G3867/G3869)-1</f>
        <v>-0.13862901854056808</v>
      </c>
      <c r="H3868" s="202">
        <f>(H3867/H3869)-1</f>
        <v>-0.65473061760841</v>
      </c>
      <c r="I3868" s="202">
        <f>(I3867/I3869)-1</f>
        <v>-1</v>
      </c>
      <c r="J3868" s="202">
        <f>(J3867/J3869)-1</f>
        <v>-3.1525498891352548</v>
      </c>
      <c r="K3868" s="188"/>
      <c r="L3868" s="178"/>
      <c r="M3868" s="178"/>
      <c r="N3868" s="178"/>
      <c r="O3868" s="178"/>
      <c r="P3868" s="178"/>
      <c r="Q3868" s="178"/>
      <c r="R3868" s="178"/>
      <c r="S3868" s="178"/>
      <c r="T3868" s="180"/>
      <c r="U3868" s="189" t="str">
        <f>IFERROR(IF(Tableau3[[#This Row],[Dettes]]=0,"",(Tableau3[[#This Row],[Dettes]]/Tableau3[[#This Row],[EBE]])),"")</f>
        <v/>
      </c>
      <c r="V3868" s="190" t="str">
        <f>IFERROR(Tableau3[[#This Row],[Fonds propres]]/Tableau3[[#This Row],[Total Bilan]],"")</f>
        <v/>
      </c>
      <c r="W3868" s="180"/>
      <c r="Y3868" s="180"/>
      <c r="Z3868" s="192" t="str">
        <f>IFERROR(Tableau3[[#This Row],[Chiffre d''affaires]]/Tableau3[[#This Row],[Salariés]],"")</f>
        <v/>
      </c>
      <c r="AA3868" s="177"/>
    </row>
    <row r="3869" spans="1:29" ht="20.25" customHeight="1">
      <c r="A3869" s="217"/>
      <c r="E3869" s="187">
        <v>4.26</v>
      </c>
      <c r="F3869" s="178">
        <v>2018</v>
      </c>
      <c r="G3869" s="188">
        <v>587900000</v>
      </c>
      <c r="H3869" s="188">
        <v>91320000</v>
      </c>
      <c r="I3869" s="188">
        <v>32918000</v>
      </c>
      <c r="J3869" s="188">
        <v>22550000</v>
      </c>
      <c r="K3869" s="188"/>
      <c r="L3869" s="188">
        <v>695400000</v>
      </c>
      <c r="M3869" s="194">
        <f>L3869/P3869</f>
        <v>5.3172589501056144</v>
      </c>
      <c r="N3869" s="190">
        <f>J3869/L3869</f>
        <v>3.2427379925222891E-2</v>
      </c>
      <c r="O3869" s="190">
        <f>(I3869*0.7)/(K3869+L3869)</f>
        <v>3.3135749209088294E-2</v>
      </c>
      <c r="P3869" s="188">
        <v>130781669</v>
      </c>
      <c r="Q3869" s="211">
        <f>P3869*E3869</f>
        <v>557129909.93999994</v>
      </c>
      <c r="R3869" s="195">
        <f>Q3869/L3869</f>
        <v>0.8011646677308023</v>
      </c>
      <c r="S3869" s="197">
        <f>Q3869/H3869</f>
        <v>6.1008531530880417</v>
      </c>
      <c r="T3869" s="180"/>
      <c r="U3869" s="189" t="str">
        <f>IFERROR(IF(Tableau3[[#This Row],[Dettes]]=0,"",(Tableau3[[#This Row],[Dettes]]/Tableau3[[#This Row],[EBE]])),"")</f>
        <v/>
      </c>
      <c r="V3869" s="190">
        <f>IFERROR(Tableau3[[#This Row],[Fonds propres]]/Tableau3[[#This Row],[Total Bilan]],"")</f>
        <v>0.76644990631544141</v>
      </c>
      <c r="W3869" s="180">
        <v>907300000</v>
      </c>
      <c r="Y3869" s="180">
        <v>3965</v>
      </c>
      <c r="Z3869" s="192">
        <f>IFERROR(Tableau3[[#This Row],[Chiffre d''affaires]]/Tableau3[[#This Row],[Salariés]],"")</f>
        <v>148272.38335435058</v>
      </c>
      <c r="AA3869" s="177"/>
    </row>
    <row r="3870" spans="1:29" ht="20.25" customHeight="1">
      <c r="A3870" s="217"/>
      <c r="G3870" s="188"/>
      <c r="H3870" s="178"/>
      <c r="I3870" s="188"/>
      <c r="J3870" s="178"/>
      <c r="K3870" s="178"/>
      <c r="L3870" s="178"/>
      <c r="M3870" s="178"/>
      <c r="N3870" s="178"/>
      <c r="O3870" s="178"/>
      <c r="P3870" s="178"/>
      <c r="Q3870" s="178"/>
      <c r="R3870" s="178"/>
      <c r="S3870" s="178"/>
      <c r="T3870" s="180"/>
      <c r="U3870" s="189" t="str">
        <f>IFERROR(IF(Tableau3[[#This Row],[Dettes]]=0,"",(Tableau3[[#This Row],[Dettes]]/Tableau3[[#This Row],[EBE]])),"")</f>
        <v/>
      </c>
      <c r="V3870" s="190" t="str">
        <f>IFERROR(Tableau3[[#This Row],[Fonds propres]]/Tableau3[[#This Row],[Total Bilan]],"")</f>
        <v/>
      </c>
      <c r="W3870" s="180"/>
      <c r="Y3870" s="180"/>
      <c r="Z3870" s="192" t="str">
        <f>IFERROR(Tableau3[[#This Row],[Chiffre d''affaires]]/Tableau3[[#This Row],[Salariés]],"")</f>
        <v/>
      </c>
      <c r="AA3870" s="177"/>
    </row>
    <row r="3871" spans="1:29" ht="20.25" customHeight="1">
      <c r="A3871" s="217"/>
      <c r="G3871" s="188"/>
      <c r="H3871" s="178"/>
      <c r="I3871" s="178"/>
      <c r="J3871" s="178"/>
      <c r="K3871" s="178"/>
      <c r="L3871" s="178"/>
      <c r="M3871" s="178"/>
      <c r="N3871" s="178"/>
      <c r="O3871" s="178"/>
      <c r="P3871" s="178"/>
      <c r="Q3871" s="178"/>
      <c r="R3871" s="178"/>
      <c r="S3871" s="178"/>
      <c r="T3871" s="180"/>
      <c r="U3871" s="189" t="str">
        <f>IFERROR(IF(Tableau3[[#This Row],[Dettes]]=0,"",(Tableau3[[#This Row],[Dettes]]/Tableau3[[#This Row],[EBE]])),"")</f>
        <v/>
      </c>
      <c r="V3871" s="190" t="str">
        <f>IFERROR(Tableau3[[#This Row],[Fonds propres]]/Tableau3[[#This Row],[Total Bilan]],"")</f>
        <v/>
      </c>
      <c r="W3871" s="180"/>
      <c r="Y3871" s="180"/>
      <c r="Z3871" s="192" t="str">
        <f>IFERROR(Tableau3[[#This Row],[Chiffre d''affaires]]/Tableau3[[#This Row],[Salariés]],"")</f>
        <v/>
      </c>
      <c r="AA3871" s="177"/>
    </row>
    <row r="3872" spans="1:29" ht="20.25" customHeight="1">
      <c r="A3872" s="217"/>
      <c r="G3872" s="188"/>
      <c r="H3872" s="178"/>
      <c r="I3872" s="178"/>
      <c r="J3872" s="178"/>
      <c r="K3872" s="178"/>
      <c r="L3872" s="178"/>
      <c r="M3872" s="178"/>
      <c r="N3872" s="178"/>
      <c r="O3872" s="178"/>
      <c r="P3872" s="178"/>
      <c r="Q3872" s="178"/>
      <c r="R3872" s="178"/>
      <c r="S3872" s="178"/>
      <c r="T3872" s="180"/>
      <c r="U3872" s="189" t="str">
        <f>IFERROR(IF(Tableau3[[#This Row],[Dettes]]=0,"",(Tableau3[[#This Row],[Dettes]]/Tableau3[[#This Row],[EBE]])),"")</f>
        <v/>
      </c>
      <c r="V3872" s="190" t="str">
        <f>IFERROR(Tableau3[[#This Row],[Fonds propres]]/Tableau3[[#This Row],[Total Bilan]],"")</f>
        <v/>
      </c>
      <c r="W3872" s="180"/>
      <c r="Y3872" s="180"/>
      <c r="Z3872" s="192" t="str">
        <f>IFERROR(Tableau3[[#This Row],[Chiffre d''affaires]]/Tableau3[[#This Row],[Salariés]],"")</f>
        <v/>
      </c>
      <c r="AA3872" s="177"/>
    </row>
    <row r="3873" spans="1:29" ht="20.25" customHeight="1">
      <c r="A3873" s="217" t="s">
        <v>2704</v>
      </c>
      <c r="B3873" s="216" t="s">
        <v>2633</v>
      </c>
      <c r="C3873" s="178" t="s">
        <v>452</v>
      </c>
      <c r="D3873" s="178" t="s">
        <v>85</v>
      </c>
      <c r="E3873" s="178">
        <v>54.5</v>
      </c>
      <c r="F3873" s="178">
        <v>2025</v>
      </c>
      <c r="G3873" s="188"/>
      <c r="H3873" s="178"/>
      <c r="I3873" s="178"/>
      <c r="J3873" s="178"/>
      <c r="K3873" s="178"/>
      <c r="L3873" s="178"/>
      <c r="M3873" s="178"/>
      <c r="N3873" s="178"/>
      <c r="O3873" s="178"/>
      <c r="P3873" s="178"/>
      <c r="Q3873" s="178"/>
      <c r="R3873" s="178"/>
      <c r="S3873" s="178"/>
      <c r="T3873" s="180"/>
      <c r="U3873" s="189" t="str">
        <f>IFERROR(IF(Tableau3[[#This Row],[Dettes]]=0,"",(Tableau3[[#This Row],[Dettes]]/Tableau3[[#This Row],[EBE]])),"")</f>
        <v/>
      </c>
      <c r="V3873" s="190" t="str">
        <f>IFERROR(Tableau3[[#This Row],[Fonds propres]]/Tableau3[[#This Row],[Total Bilan]],"")</f>
        <v/>
      </c>
      <c r="W3873" s="180"/>
      <c r="X3873" s="182" t="s">
        <v>106</v>
      </c>
      <c r="Y3873" s="180"/>
      <c r="Z3873" s="192" t="str">
        <f>IFERROR(Tableau3[[#This Row],[Chiffre d''affaires]]/Tableau3[[#This Row],[Salariés]],"")</f>
        <v/>
      </c>
      <c r="AA3873" s="177"/>
      <c r="AC3873" s="177" t="s">
        <v>4706</v>
      </c>
    </row>
    <row r="3874" spans="1:29" ht="20.25" customHeight="1">
      <c r="A3874" s="217"/>
      <c r="G3874" s="188"/>
      <c r="H3874" s="178"/>
      <c r="I3874" s="178"/>
      <c r="J3874" s="178"/>
      <c r="K3874" s="178"/>
      <c r="L3874" s="178"/>
      <c r="M3874" s="178"/>
      <c r="N3874" s="178"/>
      <c r="O3874" s="178"/>
      <c r="P3874" s="178"/>
      <c r="Q3874" s="178"/>
      <c r="R3874" s="178"/>
      <c r="S3874" s="178"/>
      <c r="T3874" s="180"/>
      <c r="U3874" s="189" t="str">
        <f>IFERROR(IF(Tableau3[[#This Row],[Dettes]]=0,"",(Tableau3[[#This Row],[Dettes]]/Tableau3[[#This Row],[EBE]])),"")</f>
        <v/>
      </c>
      <c r="V3874" s="190" t="str">
        <f>IFERROR(Tableau3[[#This Row],[Fonds propres]]/Tableau3[[#This Row],[Total Bilan]],"")</f>
        <v/>
      </c>
      <c r="W3874" s="180"/>
      <c r="Y3874" s="180"/>
      <c r="Z3874" s="192" t="str">
        <f>IFERROR(Tableau3[[#This Row],[Chiffre d''affaires]]/Tableau3[[#This Row],[Salariés]],"")</f>
        <v/>
      </c>
      <c r="AA3874" s="177"/>
      <c r="AC3874" s="177" t="s">
        <v>2706</v>
      </c>
    </row>
    <row r="3875" spans="1:29" ht="20.25" customHeight="1">
      <c r="A3875" s="217"/>
      <c r="E3875" s="187">
        <v>56.5</v>
      </c>
      <c r="F3875" s="178">
        <v>2024</v>
      </c>
      <c r="G3875" s="188">
        <v>932808000</v>
      </c>
      <c r="H3875" s="188">
        <v>267630000</v>
      </c>
      <c r="I3875" s="188">
        <v>219889000</v>
      </c>
      <c r="J3875" s="188">
        <v>171446000</v>
      </c>
      <c r="K3875" s="188"/>
      <c r="L3875" s="188">
        <v>567501000</v>
      </c>
      <c r="M3875" s="194">
        <f>L3875/P3875</f>
        <v>14.047054455445545</v>
      </c>
      <c r="N3875" s="190">
        <f>J3875/L3875</f>
        <v>0.30210695663972398</v>
      </c>
      <c r="O3875" s="190">
        <f>(I3875*0.7)/(K3875+L3875)</f>
        <v>0.27122824453172772</v>
      </c>
      <c r="P3875" s="188">
        <v>40400000</v>
      </c>
      <c r="Q3875" s="211">
        <f>P3875*E3875</f>
        <v>2282600000</v>
      </c>
      <c r="R3875" s="195">
        <f>Q3875/L3875</f>
        <v>4.0221955556025453</v>
      </c>
      <c r="S3875" s="197">
        <f>Q3875/H3875</f>
        <v>8.5289392071143002</v>
      </c>
      <c r="T3875" s="180">
        <v>125440000</v>
      </c>
      <c r="U3875" s="189" t="str">
        <f>IFERROR(IF(Tableau3[[#This Row],[Dettes]]=0,"",(Tableau3[[#This Row],[Dettes]]/Tableau3[[#This Row],[EBE]])),"")</f>
        <v/>
      </c>
      <c r="V3875" s="190">
        <f>IFERROR(Tableau3[[#This Row],[Fonds propres]]/Tableau3[[#This Row],[Total Bilan]],"")</f>
        <v>0.63460757837529569</v>
      </c>
      <c r="W3875" s="180">
        <v>894255000</v>
      </c>
      <c r="Y3875" s="180">
        <v>2000</v>
      </c>
      <c r="Z3875" s="192">
        <f>IFERROR(Tableau3[[#This Row],[Chiffre d''affaires]]/Tableau3[[#This Row],[Salariés]],"")</f>
        <v>466404</v>
      </c>
      <c r="AA3875" s="177"/>
      <c r="AC3875" s="177" t="s">
        <v>2707</v>
      </c>
    </row>
    <row r="3876" spans="1:29" ht="20.25" customHeight="1">
      <c r="A3876" s="217"/>
      <c r="G3876" s="202">
        <f>(G3875/G3877)-1</f>
        <v>-3.2655880236192592E-2</v>
      </c>
      <c r="H3876" s="202">
        <f>(H3875/H3877)-1</f>
        <v>-0.12659095359310746</v>
      </c>
      <c r="I3876" s="202">
        <f>(I3875/I3877)-1</f>
        <v>-0.15831961722488042</v>
      </c>
      <c r="J3876" s="202">
        <f>(J3875/J3877)-1</f>
        <v>-0.18149744823668146</v>
      </c>
      <c r="K3876" s="178"/>
      <c r="L3876" s="178"/>
      <c r="M3876" s="178"/>
      <c r="N3876" s="178"/>
      <c r="O3876" s="178"/>
      <c r="P3876" s="178"/>
      <c r="Q3876" s="178"/>
      <c r="R3876" s="178"/>
      <c r="S3876" s="178"/>
      <c r="T3876" s="180"/>
      <c r="U3876" s="189" t="str">
        <f>IFERROR(IF(Tableau3[[#This Row],[Dettes]]=0,"",(Tableau3[[#This Row],[Dettes]]/Tableau3[[#This Row],[EBE]])),"")</f>
        <v/>
      </c>
      <c r="V3876" s="190" t="str">
        <f>IFERROR(Tableau3[[#This Row],[Fonds propres]]/Tableau3[[#This Row],[Total Bilan]],"")</f>
        <v/>
      </c>
      <c r="W3876" s="189"/>
      <c r="Y3876" s="180"/>
      <c r="Z3876" s="192" t="str">
        <f>IFERROR(Tableau3[[#This Row],[Chiffre d''affaires]]/Tableau3[[#This Row],[Salariés]],"")</f>
        <v/>
      </c>
      <c r="AA3876" s="177"/>
      <c r="AC3876" s="177" t="s">
        <v>4701</v>
      </c>
    </row>
    <row r="3877" spans="1:29" ht="20.25" customHeight="1">
      <c r="A3877" s="217"/>
      <c r="E3877" s="187">
        <v>91.25</v>
      </c>
      <c r="F3877" s="178">
        <v>2023</v>
      </c>
      <c r="G3877" s="188">
        <v>964298000</v>
      </c>
      <c r="H3877" s="188">
        <v>306420000</v>
      </c>
      <c r="I3877" s="188">
        <v>261250000</v>
      </c>
      <c r="J3877" s="188">
        <v>209463000</v>
      </c>
      <c r="K3877" s="188">
        <v>-50000000</v>
      </c>
      <c r="L3877" s="188">
        <v>551067000</v>
      </c>
      <c r="M3877" s="194">
        <f>L3877/P3877</f>
        <v>13.640272277227723</v>
      </c>
      <c r="N3877" s="190">
        <f>J3877/L3877</f>
        <v>0.38010441561552405</v>
      </c>
      <c r="O3877" s="190">
        <f>(I3877*0.7)/(K3877+L3877)</f>
        <v>0.36497115156256549</v>
      </c>
      <c r="P3877" s="188">
        <v>40400000</v>
      </c>
      <c r="Q3877" s="211">
        <f>P3877*E3877</f>
        <v>3686500000</v>
      </c>
      <c r="R3877" s="195">
        <f>Q3877/L3877</f>
        <v>6.6897491593581178</v>
      </c>
      <c r="S3877" s="197">
        <f>Q3877/H3877</f>
        <v>12.030872658442661</v>
      </c>
      <c r="T3877" s="180">
        <v>-88668000</v>
      </c>
      <c r="U3877" s="189">
        <f>IFERROR(IF(Tableau3[[#This Row],[Dettes]]=0,"",(Tableau3[[#This Row],[Dettes]]/Tableau3[[#This Row],[EBE]])),"")</f>
        <v>-0.16317472749820508</v>
      </c>
      <c r="V3877" s="190">
        <f>IFERROR(Tableau3[[#This Row],[Fonds propres]]/Tableau3[[#This Row],[Total Bilan]],"")</f>
        <v>0.63627651455233403</v>
      </c>
      <c r="W3877" s="180">
        <v>866081000</v>
      </c>
      <c r="Y3877" s="180">
        <v>1820</v>
      </c>
      <c r="Z3877" s="192">
        <f>IFERROR(Tableau3[[#This Row],[Chiffre d''affaires]]/Tableau3[[#This Row],[Salariés]],"")</f>
        <v>529834.06593406596</v>
      </c>
      <c r="AA3877" s="177"/>
      <c r="AC3877" s="177" t="s">
        <v>2708</v>
      </c>
    </row>
    <row r="3878" spans="1:29" ht="20.25" customHeight="1">
      <c r="A3878" s="217"/>
      <c r="G3878" s="202">
        <f>(G3877/G3879)-1</f>
        <v>0.1532492659157938</v>
      </c>
      <c r="H3878" s="202">
        <f>(H3877/H3879)-1</f>
        <v>0.1355197331851028</v>
      </c>
      <c r="I3878" s="202">
        <f>(I3877/I3879)-1</f>
        <v>0.15327872373536833</v>
      </c>
      <c r="J3878" s="202">
        <f>(J3877/J3879)-1</f>
        <v>6.244062722885646E-2</v>
      </c>
      <c r="K3878" s="178"/>
      <c r="L3878" s="178"/>
      <c r="M3878" s="178"/>
      <c r="N3878" s="178"/>
      <c r="O3878" s="178"/>
      <c r="P3878" s="178"/>
      <c r="Q3878" s="178"/>
      <c r="R3878" s="178"/>
      <c r="S3878" s="178"/>
      <c r="T3878" s="180"/>
      <c r="U3878" s="189" t="str">
        <f>IFERROR(IF(Tableau3[[#This Row],[Dettes]]=0,"",(Tableau3[[#This Row],[Dettes]]/Tableau3[[#This Row],[EBE]])),"")</f>
        <v/>
      </c>
      <c r="V3878" s="190" t="str">
        <f>IFERROR(Tableau3[[#This Row],[Fonds propres]]/Tableau3[[#This Row],[Total Bilan]],"")</f>
        <v/>
      </c>
      <c r="W3878" s="180"/>
      <c r="Y3878" s="180"/>
      <c r="Z3878" s="192" t="str">
        <f>IFERROR(Tableau3[[#This Row],[Chiffre d''affaires]]/Tableau3[[#This Row],[Salariés]],"")</f>
        <v/>
      </c>
      <c r="AA3878" s="177"/>
      <c r="AC3878" s="177" t="s">
        <v>4705</v>
      </c>
    </row>
    <row r="3879" spans="1:29" ht="20.25" customHeight="1">
      <c r="A3879" s="217"/>
      <c r="E3879" s="187">
        <v>81</v>
      </c>
      <c r="F3879" s="178">
        <v>2022</v>
      </c>
      <c r="G3879" s="188">
        <v>836157480</v>
      </c>
      <c r="H3879" s="188">
        <v>269850000</v>
      </c>
      <c r="I3879" s="188">
        <v>226528067</v>
      </c>
      <c r="J3879" s="188">
        <v>197152664</v>
      </c>
      <c r="K3879" s="188">
        <v>-80830000</v>
      </c>
      <c r="L3879" s="188">
        <v>482082821</v>
      </c>
      <c r="M3879" s="194">
        <f>L3879/P3879</f>
        <v>11.932743094059406</v>
      </c>
      <c r="N3879" s="190">
        <f>J3879/L3879</f>
        <v>0.4089601525128812</v>
      </c>
      <c r="O3879" s="190">
        <f>(I3879*0.7)/(K3879+L3879)</f>
        <v>0.39518637278315849</v>
      </c>
      <c r="P3879" s="188">
        <v>40400000</v>
      </c>
      <c r="Q3879" s="211">
        <f>P3879*E3879</f>
        <v>3272400000</v>
      </c>
      <c r="R3879" s="195">
        <f>Q3879/L3879</f>
        <v>6.7880452433711591</v>
      </c>
      <c r="S3879" s="197">
        <f>Q3879/H3879</f>
        <v>12.126737076153418</v>
      </c>
      <c r="T3879" s="180">
        <v>160550000</v>
      </c>
      <c r="U3879" s="189">
        <f>IFERROR(IF(Tableau3[[#This Row],[Dettes]]=0,"",(Tableau3[[#This Row],[Dettes]]/Tableau3[[#This Row],[EBE]])),"")</f>
        <v>-0.29953677969242171</v>
      </c>
      <c r="V3879" s="190">
        <f>IFERROR(Tableau3[[#This Row],[Fonds propres]]/Tableau3[[#This Row],[Total Bilan]],"")</f>
        <v>0.83084780345724973</v>
      </c>
      <c r="W3879" s="180">
        <v>580230000</v>
      </c>
      <c r="Y3879" s="180">
        <v>1820</v>
      </c>
      <c r="Z3879" s="192">
        <f>IFERROR(Tableau3[[#This Row],[Chiffre d''affaires]]/Tableau3[[#This Row],[Salariés]],"")</f>
        <v>459427.1868131868</v>
      </c>
      <c r="AA3879" s="177"/>
      <c r="AC3879" s="177" t="s">
        <v>2709</v>
      </c>
    </row>
    <row r="3880" spans="1:29" ht="20.25" customHeight="1">
      <c r="A3880" s="217"/>
      <c r="E3880" s="187"/>
      <c r="G3880" s="202">
        <f>(G3879/G3881)-1</f>
        <v>0.29881273082193882</v>
      </c>
      <c r="H3880" s="202">
        <f>(H3879/H3881)-1</f>
        <v>0.40950639853747717</v>
      </c>
      <c r="I3880" s="202">
        <f>(I3879/I3881)-1</f>
        <v>0.52597166247856753</v>
      </c>
      <c r="J3880" s="202">
        <f>(J3879/J3881)-1</f>
        <v>0.50373996393940712</v>
      </c>
      <c r="K3880" s="188"/>
      <c r="L3880" s="188"/>
      <c r="M3880" s="178"/>
      <c r="N3880" s="178"/>
      <c r="O3880" s="178"/>
      <c r="P3880" s="188"/>
      <c r="Q3880" s="178"/>
      <c r="R3880" s="178"/>
      <c r="S3880" s="178"/>
      <c r="T3880" s="180"/>
      <c r="U3880" s="189" t="str">
        <f>IFERROR(IF(Tableau3[[#This Row],[Dettes]]=0,"",(Tableau3[[#This Row],[Dettes]]/Tableau3[[#This Row],[EBE]])),"")</f>
        <v/>
      </c>
      <c r="V3880" s="190" t="str">
        <f>IFERROR(Tableau3[[#This Row],[Fonds propres]]/Tableau3[[#This Row],[Total Bilan]],"")</f>
        <v/>
      </c>
      <c r="W3880" s="180"/>
      <c r="Y3880" s="180"/>
      <c r="Z3880" s="192" t="str">
        <f>IFERROR(Tableau3[[#This Row],[Chiffre d''affaires]]/Tableau3[[#This Row],[Salariés]],"")</f>
        <v/>
      </c>
      <c r="AA3880" s="177"/>
      <c r="AC3880" s="177" t="s">
        <v>2710</v>
      </c>
    </row>
    <row r="3881" spans="1:29" ht="20.25" customHeight="1">
      <c r="A3881" s="217"/>
      <c r="E3881" s="187">
        <v>104.8</v>
      </c>
      <c r="F3881" s="178">
        <v>2021</v>
      </c>
      <c r="G3881" s="188">
        <v>643786021</v>
      </c>
      <c r="H3881" s="188">
        <v>191450000</v>
      </c>
      <c r="I3881" s="188">
        <v>148448410</v>
      </c>
      <c r="J3881" s="188">
        <v>131108216</v>
      </c>
      <c r="K3881" s="188">
        <v>-30320000</v>
      </c>
      <c r="L3881" s="188">
        <v>389056038</v>
      </c>
      <c r="M3881" s="194">
        <f>L3881/P3881</f>
        <v>9.6300999504950493</v>
      </c>
      <c r="N3881" s="190">
        <f>J3881/L3881</f>
        <v>0.33699056998056409</v>
      </c>
      <c r="O3881" s="190">
        <f>(I3881*0.7)/(K3881+L3881)</f>
        <v>0.28966670753051021</v>
      </c>
      <c r="P3881" s="188">
        <v>40400000</v>
      </c>
      <c r="Q3881" s="211">
        <f>P3881*E3881</f>
        <v>4233920000</v>
      </c>
      <c r="R3881" s="195">
        <f>Q3881/L3881</f>
        <v>10.882545408535723</v>
      </c>
      <c r="S3881" s="197">
        <f>Q3881/H3881</f>
        <v>22.115016975711676</v>
      </c>
      <c r="T3881" s="180">
        <v>103390000</v>
      </c>
      <c r="U3881" s="189">
        <f>IFERROR(IF(Tableau3[[#This Row],[Dettes]]=0,"",(Tableau3[[#This Row],[Dettes]]/Tableau3[[#This Row],[EBE]])),"")</f>
        <v>-0.15837033167928963</v>
      </c>
      <c r="V3881" s="190">
        <f>IFERROR(Tableau3[[#This Row],[Fonds propres]]/Tableau3[[#This Row],[Total Bilan]],"")</f>
        <v>0.84360995272995365</v>
      </c>
      <c r="W3881" s="180">
        <v>461180000</v>
      </c>
      <c r="Y3881" s="180">
        <v>1580</v>
      </c>
      <c r="Z3881" s="192">
        <f>IFERROR(Tableau3[[#This Row],[Chiffre d''affaires]]/Tableau3[[#This Row],[Salariés]],"")</f>
        <v>407459.50696202531</v>
      </c>
      <c r="AA3881" s="177"/>
      <c r="AC3881" s="177" t="s">
        <v>4704</v>
      </c>
    </row>
    <row r="3882" spans="1:29" ht="20.25" customHeight="1">
      <c r="A3882" s="217"/>
      <c r="E3882" s="187"/>
      <c r="G3882" s="202">
        <f>(G3881/G3883)-1</f>
        <v>0.26849389383669608</v>
      </c>
      <c r="H3882" s="202">
        <f>(H3881/H3883)-1</f>
        <v>0.59554962913576137</v>
      </c>
      <c r="I3882" s="202">
        <f>(I3881/I3883)-1</f>
        <v>0.96542314312193822</v>
      </c>
      <c r="J3882" s="202">
        <f>(J3881/J3883)-1</f>
        <v>0.89189344877344867</v>
      </c>
      <c r="K3882" s="188"/>
      <c r="L3882" s="188"/>
      <c r="M3882" s="178"/>
      <c r="N3882" s="178"/>
      <c r="O3882" s="178"/>
      <c r="P3882" s="178"/>
      <c r="Q3882" s="178"/>
      <c r="R3882" s="178"/>
      <c r="S3882" s="178"/>
      <c r="T3882" s="180"/>
      <c r="U3882" s="189" t="str">
        <f>IFERROR(IF(Tableau3[[#This Row],[Dettes]]=0,"",(Tableau3[[#This Row],[Dettes]]/Tableau3[[#This Row],[EBE]])),"")</f>
        <v/>
      </c>
      <c r="V3882" s="190" t="str">
        <f>IFERROR(Tableau3[[#This Row],[Fonds propres]]/Tableau3[[#This Row],[Total Bilan]],"")</f>
        <v/>
      </c>
      <c r="W3882" s="180"/>
      <c r="Y3882" s="180"/>
      <c r="Z3882" s="192" t="str">
        <f>IFERROR(Tableau3[[#This Row],[Chiffre d''affaires]]/Tableau3[[#This Row],[Salariés]],"")</f>
        <v/>
      </c>
      <c r="AA3882" s="177"/>
      <c r="AC3882" s="177" t="s">
        <v>2711</v>
      </c>
    </row>
    <row r="3883" spans="1:29" ht="20.25" customHeight="1">
      <c r="A3883" s="217"/>
      <c r="E3883" s="187">
        <v>80</v>
      </c>
      <c r="F3883" s="178">
        <v>2020</v>
      </c>
      <c r="G3883" s="188">
        <v>507520000</v>
      </c>
      <c r="H3883" s="188">
        <v>119990000</v>
      </c>
      <c r="I3883" s="188">
        <v>75530000</v>
      </c>
      <c r="J3883" s="188">
        <v>69300000</v>
      </c>
      <c r="K3883" s="188">
        <v>6870000</v>
      </c>
      <c r="L3883" s="188">
        <v>314780000</v>
      </c>
      <c r="M3883" s="194">
        <f>L3883/P3883</f>
        <v>7.7915841584158416</v>
      </c>
      <c r="N3883" s="190">
        <f>J3883/L3883</f>
        <v>0.22015375818031641</v>
      </c>
      <c r="O3883" s="190">
        <f>(I3883*0.7)/(K3883+L3883)</f>
        <v>0.16437431991294885</v>
      </c>
      <c r="P3883" s="188">
        <v>40400000</v>
      </c>
      <c r="Q3883" s="211">
        <f>P3883*E3883</f>
        <v>3232000000</v>
      </c>
      <c r="R3883" s="195">
        <f>Q3883/L3883</f>
        <v>10.267488404600039</v>
      </c>
      <c r="S3883" s="197">
        <f>Q3883/H3883</f>
        <v>26.935577964830401</v>
      </c>
      <c r="T3883" s="180">
        <v>70810000</v>
      </c>
      <c r="U3883" s="189">
        <f>IFERROR(IF(Tableau3[[#This Row],[Dettes]]=0,"",(Tableau3[[#This Row],[Dettes]]/Tableau3[[#This Row],[EBE]])),"")</f>
        <v>5.7254771230935912E-2</v>
      </c>
      <c r="V3883" s="190">
        <f>IFERROR(Tableau3[[#This Row],[Fonds propres]]/Tableau3[[#This Row],[Total Bilan]],"")</f>
        <v>0.72628688770448302</v>
      </c>
      <c r="W3883" s="180">
        <v>433410000</v>
      </c>
      <c r="Y3883" s="180">
        <v>1440</v>
      </c>
      <c r="Z3883" s="192">
        <f>IFERROR(Tableau3[[#This Row],[Chiffre d''affaires]]/Tableau3[[#This Row],[Salariés]],"")</f>
        <v>352444.44444444444</v>
      </c>
      <c r="AA3883" s="177"/>
      <c r="AC3883" s="177" t="s">
        <v>2712</v>
      </c>
    </row>
    <row r="3884" spans="1:29" ht="20.25" customHeight="1">
      <c r="A3884" s="217"/>
      <c r="E3884" s="187"/>
      <c r="G3884" s="202">
        <f>(G3883/G3885)-1</f>
        <v>4.2435196976543521E-2</v>
      </c>
      <c r="H3884" s="202">
        <f>(H3883/H3885)-1</f>
        <v>2.2148394241417568E-2</v>
      </c>
      <c r="I3884" s="202">
        <f>(I3883/I3885)-1</f>
        <v>6.937561942517334E-2</v>
      </c>
      <c r="J3884" s="202">
        <f>(J3883/J3885)-1</f>
        <v>0.150016594756057</v>
      </c>
      <c r="K3884" s="188"/>
      <c r="L3884" s="188"/>
      <c r="M3884" s="178"/>
      <c r="N3884" s="178"/>
      <c r="O3884" s="178"/>
      <c r="P3884" s="178"/>
      <c r="Q3884" s="178"/>
      <c r="R3884" s="178"/>
      <c r="S3884" s="178"/>
      <c r="T3884" s="180"/>
      <c r="U3884" s="189" t="str">
        <f>IFERROR(IF(Tableau3[[#This Row],[Dettes]]=0,"",(Tableau3[[#This Row],[Dettes]]/Tableau3[[#This Row],[EBE]])),"")</f>
        <v/>
      </c>
      <c r="V3884" s="190" t="str">
        <f>IFERROR(Tableau3[[#This Row],[Fonds propres]]/Tableau3[[#This Row],[Total Bilan]],"")</f>
        <v/>
      </c>
      <c r="W3884" s="180"/>
      <c r="Y3884" s="180"/>
      <c r="Z3884" s="192" t="str">
        <f>IFERROR(Tableau3[[#This Row],[Chiffre d''affaires]]/Tableau3[[#This Row],[Salariés]],"")</f>
        <v/>
      </c>
      <c r="AA3884" s="177"/>
      <c r="AC3884" s="177" t="s">
        <v>2713</v>
      </c>
    </row>
    <row r="3885" spans="1:29" ht="20.25" customHeight="1">
      <c r="A3885" s="217"/>
      <c r="E3885" s="187">
        <v>67.5</v>
      </c>
      <c r="F3885" s="178">
        <v>2019</v>
      </c>
      <c r="G3885" s="188">
        <v>486860000</v>
      </c>
      <c r="H3885" s="188">
        <v>117390000</v>
      </c>
      <c r="I3885" s="188">
        <v>70630000</v>
      </c>
      <c r="J3885" s="188">
        <v>60260000</v>
      </c>
      <c r="K3885" s="188">
        <v>28080000</v>
      </c>
      <c r="L3885" s="188">
        <v>299070000</v>
      </c>
      <c r="M3885" s="194">
        <f>L3885/P3885</f>
        <v>7.4027227722772277</v>
      </c>
      <c r="N3885" s="190">
        <f>J3885/L3885</f>
        <v>0.20149128966462701</v>
      </c>
      <c r="O3885" s="190">
        <f>(I3885*0.7)/(K3885+L3885)</f>
        <v>0.1511263946202048</v>
      </c>
      <c r="P3885" s="188">
        <v>40400000</v>
      </c>
      <c r="Q3885" s="211">
        <f>P3885*E3885</f>
        <v>2727000000</v>
      </c>
      <c r="R3885" s="195">
        <f>Q3885/L3885</f>
        <v>9.1182666265422814</v>
      </c>
      <c r="S3885" s="197">
        <f>Q3885/H3885</f>
        <v>23.230258113979044</v>
      </c>
      <c r="T3885" s="180">
        <v>67880000</v>
      </c>
      <c r="U3885" s="189">
        <f>IFERROR(IF(Tableau3[[#This Row],[Dettes]]=0,"",(Tableau3[[#This Row],[Dettes]]/Tableau3[[#This Row],[EBE]])),"")</f>
        <v>0.23920265780730898</v>
      </c>
      <c r="V3885" s="190">
        <f>IFERROR(Tableau3[[#This Row],[Fonds propres]]/Tableau3[[#This Row],[Total Bilan]],"")</f>
        <v>0.71443587109720263</v>
      </c>
      <c r="W3885" s="180">
        <v>418610000</v>
      </c>
      <c r="Y3885" s="180">
        <v>1480</v>
      </c>
      <c r="Z3885" s="192">
        <f>IFERROR(Tableau3[[#This Row],[Chiffre d''affaires]]/Tableau3[[#This Row],[Salariés]],"")</f>
        <v>328959.45945945947</v>
      </c>
      <c r="AA3885" s="177"/>
      <c r="AC3885" s="177" t="s">
        <v>4703</v>
      </c>
    </row>
    <row r="3886" spans="1:29" ht="20.25" customHeight="1">
      <c r="A3886" s="217"/>
      <c r="E3886" s="187"/>
      <c r="G3886" s="202">
        <f>(G3885/G3887)-1</f>
        <v>-0.14491455468324643</v>
      </c>
      <c r="H3886" s="202">
        <f>(H3885/H3887)-1</f>
        <v>-0.33905748550194248</v>
      </c>
      <c r="I3886" s="202">
        <f>(I3885/I3887)-1</f>
        <v>-0.48999927792620401</v>
      </c>
      <c r="J3886" s="202">
        <f>(J3885/J3887)-1</f>
        <v>-0.47804244261585105</v>
      </c>
      <c r="K3886" s="188"/>
      <c r="L3886" s="188"/>
      <c r="M3886" s="178"/>
      <c r="N3886" s="178"/>
      <c r="O3886" s="178"/>
      <c r="P3886" s="178"/>
      <c r="Q3886" s="178"/>
      <c r="R3886" s="178"/>
      <c r="S3886" s="178"/>
      <c r="T3886" s="180"/>
      <c r="U3886" s="189" t="str">
        <f>IFERROR(IF(Tableau3[[#This Row],[Dettes]]=0,"",(Tableau3[[#This Row],[Dettes]]/Tableau3[[#This Row],[EBE]])),"")</f>
        <v/>
      </c>
      <c r="V3886" s="190" t="str">
        <f>IFERROR(Tableau3[[#This Row],[Fonds propres]]/Tableau3[[#This Row],[Total Bilan]],"")</f>
        <v/>
      </c>
      <c r="W3886" s="180"/>
      <c r="Y3886" s="180"/>
      <c r="Z3886" s="192" t="str">
        <f>IFERROR(Tableau3[[#This Row],[Chiffre d''affaires]]/Tableau3[[#This Row],[Salariés]],"")</f>
        <v/>
      </c>
      <c r="AA3886" s="177"/>
      <c r="AC3886" s="177" t="s">
        <v>4702</v>
      </c>
    </row>
    <row r="3887" spans="1:29" ht="20.25" customHeight="1">
      <c r="A3887" s="217"/>
      <c r="E3887" s="187">
        <v>43</v>
      </c>
      <c r="F3887" s="178">
        <v>2018</v>
      </c>
      <c r="G3887" s="188">
        <v>569370000</v>
      </c>
      <c r="H3887" s="188">
        <v>177610000</v>
      </c>
      <c r="I3887" s="188">
        <v>138490000</v>
      </c>
      <c r="J3887" s="188">
        <v>115450000</v>
      </c>
      <c r="K3887" s="188">
        <v>518280</v>
      </c>
      <c r="L3887" s="188">
        <v>326010000</v>
      </c>
      <c r="M3887" s="194">
        <f>L3887/P3887</f>
        <v>8.0695544554455445</v>
      </c>
      <c r="N3887" s="190">
        <f>J3887/L3887</f>
        <v>0.35413024140363791</v>
      </c>
      <c r="O3887" s="190">
        <f>(I3887*0.7)/(K3887+L3887)</f>
        <v>0.29689005803723956</v>
      </c>
      <c r="P3887" s="188">
        <v>40400000</v>
      </c>
      <c r="Q3887" s="211">
        <f>P3887*E3887</f>
        <v>1737200000</v>
      </c>
      <c r="R3887" s="195">
        <f>Q3887/L3887</f>
        <v>5.3286708996656547</v>
      </c>
      <c r="S3887" s="197">
        <f>Q3887/H3887</f>
        <v>9.7809808006305943</v>
      </c>
      <c r="T3887" s="180">
        <v>23740000</v>
      </c>
      <c r="U3887" s="189">
        <f>IFERROR(IF(Tableau3[[#This Row],[Dettes]]=0,"",(Tableau3[[#This Row],[Dettes]]/Tableau3[[#This Row],[EBE]])),"")</f>
        <v>2.9180789369967907E-3</v>
      </c>
      <c r="V3887" s="190">
        <f>IFERROR(Tableau3[[#This Row],[Fonds propres]]/Tableau3[[#This Row],[Total Bilan]],"")</f>
        <v>0.76167001541984014</v>
      </c>
      <c r="W3887" s="180">
        <v>428020000</v>
      </c>
      <c r="Y3887" s="180">
        <v>1510</v>
      </c>
      <c r="Z3887" s="192">
        <f>IFERROR(Tableau3[[#This Row],[Chiffre d''affaires]]/Tableau3[[#This Row],[Salariés]],"")</f>
        <v>377066.22516556294</v>
      </c>
      <c r="AA3887" s="177"/>
      <c r="AC3887" s="177" t="s">
        <v>2714</v>
      </c>
    </row>
    <row r="3888" spans="1:29" ht="20.25" customHeight="1">
      <c r="A3888" s="217"/>
      <c r="E3888" s="187"/>
      <c r="G3888" s="202">
        <f>(G3887/G3889)-1</f>
        <v>0.11278974318883628</v>
      </c>
      <c r="H3888" s="202">
        <f>(H3887/H3889)-1</f>
        <v>9.1104558299545335E-2</v>
      </c>
      <c r="I3888" s="202">
        <f>(I3887/I3889)-1</f>
        <v>6.1877012728109193E-2</v>
      </c>
      <c r="J3888" s="202">
        <f>(J3887/J3889)-1</f>
        <v>4.0558810274898605E-2</v>
      </c>
      <c r="K3888" s="188"/>
      <c r="L3888" s="188"/>
      <c r="M3888" s="178"/>
      <c r="N3888" s="178"/>
      <c r="O3888" s="178"/>
      <c r="P3888" s="178"/>
      <c r="Q3888" s="178"/>
      <c r="R3888" s="178"/>
      <c r="S3888" s="178"/>
      <c r="T3888" s="180"/>
      <c r="U3888" s="189" t="str">
        <f>IFERROR(IF(Tableau3[[#This Row],[Dettes]]=0,"",(Tableau3[[#This Row],[Dettes]]/Tableau3[[#This Row],[EBE]])),"")</f>
        <v/>
      </c>
      <c r="V3888" s="190" t="str">
        <f>IFERROR(Tableau3[[#This Row],[Fonds propres]]/Tableau3[[#This Row],[Total Bilan]],"")</f>
        <v/>
      </c>
      <c r="W3888" s="180"/>
      <c r="Y3888" s="180"/>
      <c r="Z3888" s="192" t="str">
        <f>IFERROR(Tableau3[[#This Row],[Chiffre d''affaires]]/Tableau3[[#This Row],[Salariés]],"")</f>
        <v/>
      </c>
      <c r="AA3888" s="177"/>
      <c r="AC3888" s="177" t="s">
        <v>710</v>
      </c>
    </row>
    <row r="3889" spans="1:29" ht="20.25" customHeight="1">
      <c r="A3889" s="217"/>
      <c r="E3889" s="187">
        <v>83.6</v>
      </c>
      <c r="F3889" s="178">
        <v>2017</v>
      </c>
      <c r="G3889" s="188">
        <v>511660000</v>
      </c>
      <c r="H3889" s="188">
        <v>162780000</v>
      </c>
      <c r="I3889" s="188">
        <v>130420000</v>
      </c>
      <c r="J3889" s="188">
        <v>110950000</v>
      </c>
      <c r="K3889" s="188">
        <v>-60320000</v>
      </c>
      <c r="L3889" s="188">
        <v>294300000</v>
      </c>
      <c r="M3889" s="194">
        <f>L3889/P3889</f>
        <v>7.2846534653465342</v>
      </c>
      <c r="N3889" s="190">
        <f>J3889/L3889</f>
        <v>0.37699626231736322</v>
      </c>
      <c r="O3889" s="190">
        <f>(I3889*0.7)/(K3889+L3889)</f>
        <v>0.39017864774767075</v>
      </c>
      <c r="P3889" s="188">
        <v>40400000</v>
      </c>
      <c r="Q3889" s="211">
        <f>P3889*E3889</f>
        <v>3377440000</v>
      </c>
      <c r="R3889" s="195">
        <f>Q3889/L3889</f>
        <v>11.476180767923887</v>
      </c>
      <c r="S3889" s="197">
        <f>Q3889/H3889</f>
        <v>20.748494901093501</v>
      </c>
      <c r="T3889" s="180">
        <v>68930000</v>
      </c>
      <c r="U3889" s="189">
        <f>IFERROR(IF(Tableau3[[#This Row],[Dettes]]=0,"",(Tableau3[[#This Row],[Dettes]]/Tableau3[[#This Row],[EBE]])),"")</f>
        <v>-0.370561494041037</v>
      </c>
      <c r="V3889" s="190">
        <f>IFERROR(Tableau3[[#This Row],[Fonds propres]]/Tableau3[[#This Row],[Total Bilan]],"")</f>
        <v>0.72962118207060689</v>
      </c>
      <c r="W3889" s="180">
        <v>403360000</v>
      </c>
      <c r="Y3889" s="180">
        <v>1230</v>
      </c>
      <c r="Z3889" s="192">
        <f>IFERROR(Tableau3[[#This Row],[Chiffre d''affaires]]/Tableau3[[#This Row],[Salariés]],"")</f>
        <v>415983.73983739835</v>
      </c>
      <c r="AA3889" s="177"/>
      <c r="AC3889" s="177" t="s">
        <v>2715</v>
      </c>
    </row>
    <row r="3890" spans="1:29" ht="20.25" customHeight="1">
      <c r="A3890" s="217"/>
      <c r="E3890" s="187"/>
      <c r="G3890" s="202">
        <f>(G3889/G3891)-1</f>
        <v>0.12137284123783632</v>
      </c>
      <c r="H3890" s="202">
        <f>(H3889/H3891)-1</f>
        <v>0.16329593368112638</v>
      </c>
      <c r="I3890" s="202">
        <f>(I3889/I3891)-1</f>
        <v>0.14343328072944073</v>
      </c>
      <c r="J3890" s="202">
        <f>(J3889/J3891)-1</f>
        <v>0.15260752129648858</v>
      </c>
      <c r="K3890" s="188"/>
      <c r="L3890" s="188"/>
      <c r="M3890" s="178"/>
      <c r="N3890" s="178"/>
      <c r="O3890" s="178"/>
      <c r="P3890" s="178"/>
      <c r="Q3890" s="178"/>
      <c r="R3890" s="178"/>
      <c r="S3890" s="178"/>
      <c r="T3890" s="180"/>
      <c r="U3890" s="189" t="str">
        <f>IFERROR(IF(Tableau3[[#This Row],[Dettes]]=0,"",(Tableau3[[#This Row],[Dettes]]/Tableau3[[#This Row],[EBE]])),"")</f>
        <v/>
      </c>
      <c r="V3890" s="190" t="str">
        <f>IFERROR(Tableau3[[#This Row],[Fonds propres]]/Tableau3[[#This Row],[Total Bilan]],"")</f>
        <v/>
      </c>
      <c r="W3890" s="180"/>
      <c r="Y3890" s="180"/>
      <c r="Z3890" s="192" t="str">
        <f>IFERROR(Tableau3[[#This Row],[Chiffre d''affaires]]/Tableau3[[#This Row],[Salariés]],"")</f>
        <v/>
      </c>
      <c r="AA3890" s="177"/>
      <c r="AC3890" s="177" t="s">
        <v>2695</v>
      </c>
    </row>
    <row r="3891" spans="1:29" ht="20.25" customHeight="1">
      <c r="A3891" s="217"/>
      <c r="E3891" s="187">
        <v>50.07</v>
      </c>
      <c r="F3891" s="178">
        <v>2016</v>
      </c>
      <c r="G3891" s="188">
        <v>456280000</v>
      </c>
      <c r="H3891" s="188">
        <v>139930000</v>
      </c>
      <c r="I3891" s="188">
        <v>114060000</v>
      </c>
      <c r="J3891" s="188">
        <v>96260000</v>
      </c>
      <c r="K3891" s="188">
        <v>-60310000</v>
      </c>
      <c r="L3891" s="188">
        <v>262460000</v>
      </c>
      <c r="M3891" s="194">
        <f>L3891/P3891</f>
        <v>6.4965346534653463</v>
      </c>
      <c r="N3891" s="190">
        <f>J3891/L3891</f>
        <v>0.36676064924178925</v>
      </c>
      <c r="O3891" s="190">
        <f>(I3891*0.7)/(K3891+L3891)</f>
        <v>0.39496413554291365</v>
      </c>
      <c r="P3891" s="188">
        <v>40400000</v>
      </c>
      <c r="Q3891" s="211">
        <f>P3891*E3891</f>
        <v>2022828000</v>
      </c>
      <c r="R3891" s="195">
        <f>Q3891/L3891</f>
        <v>7.7071858568924787</v>
      </c>
      <c r="S3891" s="197">
        <f>Q3891/H3891</f>
        <v>14.455999428285571</v>
      </c>
      <c r="T3891" s="180">
        <v>79240000</v>
      </c>
      <c r="U3891" s="189">
        <f>IFERROR(IF(Tableau3[[#This Row],[Dettes]]=0,"",(Tableau3[[#This Row],[Dettes]]/Tableau3[[#This Row],[EBE]])),"")</f>
        <v>-0.43100121489316084</v>
      </c>
      <c r="V3891" s="190">
        <f>IFERROR(Tableau3[[#This Row],[Fonds propres]]/Tableau3[[#This Row],[Total Bilan]],"")</f>
        <v>0.73278052321523302</v>
      </c>
      <c r="W3891" s="180">
        <v>358170000</v>
      </c>
      <c r="Y3891" s="180">
        <v>1100</v>
      </c>
      <c r="Z3891" s="192">
        <f>IFERROR(Tableau3[[#This Row],[Chiffre d''affaires]]/Tableau3[[#This Row],[Salariés]],"")</f>
        <v>414800</v>
      </c>
      <c r="AA3891" s="177"/>
      <c r="AC3891" s="177" t="s">
        <v>4700</v>
      </c>
    </row>
    <row r="3892" spans="1:29" ht="20.25" customHeight="1">
      <c r="A3892" s="217"/>
      <c r="E3892" s="187"/>
      <c r="G3892" s="202">
        <f>(G3891/G3893)-1</f>
        <v>0.14030089468685958</v>
      </c>
      <c r="H3892" s="202">
        <f>(H3891/H3893)-1</f>
        <v>7.3000536768652813E-2</v>
      </c>
      <c r="I3892" s="202">
        <f>(I3891/I3893)-1</f>
        <v>6.0037174721189634E-2</v>
      </c>
      <c r="J3892" s="202">
        <f>(J3891/J3893)-1</f>
        <v>-2.8363783183607549E-2</v>
      </c>
      <c r="K3892" s="188"/>
      <c r="L3892" s="188"/>
      <c r="M3892" s="178"/>
      <c r="N3892" s="178"/>
      <c r="O3892" s="178"/>
      <c r="P3892" s="178"/>
      <c r="Q3892" s="178"/>
      <c r="R3892" s="178"/>
      <c r="S3892" s="178"/>
      <c r="T3892" s="180"/>
      <c r="U3892" s="189" t="str">
        <f>IFERROR(IF(Tableau3[[#This Row],[Dettes]]=0,"",(Tableau3[[#This Row],[Dettes]]/Tableau3[[#This Row],[EBE]])),"")</f>
        <v/>
      </c>
      <c r="V3892" s="190" t="str">
        <f>IFERROR(Tableau3[[#This Row],[Fonds propres]]/Tableau3[[#This Row],[Total Bilan]],"")</f>
        <v/>
      </c>
      <c r="W3892" s="180"/>
      <c r="Y3892" s="180"/>
      <c r="Z3892" s="192" t="str">
        <f>IFERROR(Tableau3[[#This Row],[Chiffre d''affaires]]/Tableau3[[#This Row],[Salariés]],"")</f>
        <v/>
      </c>
      <c r="AA3892" s="177"/>
    </row>
    <row r="3893" spans="1:29" ht="20.25" customHeight="1">
      <c r="A3893" s="217"/>
      <c r="E3893" s="187">
        <v>38.56</v>
      </c>
      <c r="F3893" s="178">
        <v>2015</v>
      </c>
      <c r="G3893" s="188">
        <v>400140000</v>
      </c>
      <c r="H3893" s="188">
        <v>130410000</v>
      </c>
      <c r="I3893" s="188">
        <v>107600000</v>
      </c>
      <c r="J3893" s="188">
        <v>99070000</v>
      </c>
      <c r="K3893" s="188">
        <v>-58090000</v>
      </c>
      <c r="L3893" s="188">
        <v>242510000</v>
      </c>
      <c r="M3893" s="194">
        <f>L3893/P3893</f>
        <v>6.0027227722772274</v>
      </c>
      <c r="N3893" s="190">
        <f>J3893/L3893</f>
        <v>0.40851923632015175</v>
      </c>
      <c r="O3893" s="190">
        <f>(I3893*0.7)/(K3893+L3893)</f>
        <v>0.40841557314824856</v>
      </c>
      <c r="P3893" s="188">
        <v>40400000</v>
      </c>
      <c r="Q3893" s="211">
        <f>P3893*E3893</f>
        <v>1557824000</v>
      </c>
      <c r="R3893" s="195">
        <f>Q3893/L3893</f>
        <v>6.4237515978722524</v>
      </c>
      <c r="S3893" s="197">
        <f>Q3893/H3893</f>
        <v>11.945586994862357</v>
      </c>
      <c r="T3893" s="180">
        <v>75050000</v>
      </c>
      <c r="U3893" s="189">
        <f>IFERROR(IF(Tableau3[[#This Row],[Dettes]]=0,"",(Tableau3[[#This Row],[Dettes]]/Tableau3[[#This Row],[EBE]])),"")</f>
        <v>-0.44544130051376429</v>
      </c>
      <c r="V3893" s="190">
        <f>IFERROR(Tableau3[[#This Row],[Fonds propres]]/Tableau3[[#This Row],[Total Bilan]],"")</f>
        <v>0.79052710499722922</v>
      </c>
      <c r="W3893" s="180">
        <v>306770000</v>
      </c>
      <c r="Y3893" s="180">
        <v>1050</v>
      </c>
      <c r="Z3893" s="192">
        <f>IFERROR(Tableau3[[#This Row],[Chiffre d''affaires]]/Tableau3[[#This Row],[Salariés]],"")</f>
        <v>381085.71428571426</v>
      </c>
      <c r="AA3893" s="177"/>
    </row>
    <row r="3894" spans="1:29" ht="20.25" customHeight="1">
      <c r="A3894" s="217"/>
      <c r="E3894" s="187"/>
      <c r="G3894" s="202">
        <f>(G3893/G3895)-1</f>
        <v>0.20375439968713338</v>
      </c>
      <c r="H3894" s="202">
        <f>(H3893/H3895)-1</f>
        <v>0.17180339653158416</v>
      </c>
      <c r="I3894" s="202">
        <f>(I3893/I3895)-1</f>
        <v>0.17569930069930062</v>
      </c>
      <c r="J3894" s="202">
        <f>(J3893/J3895)-1</f>
        <v>0.16566654900576538</v>
      </c>
      <c r="K3894" s="188"/>
      <c r="L3894" s="188"/>
      <c r="M3894" s="178"/>
      <c r="N3894" s="178"/>
      <c r="O3894" s="178"/>
      <c r="P3894" s="178"/>
      <c r="Q3894" s="178"/>
      <c r="R3894" s="178"/>
      <c r="S3894" s="178"/>
      <c r="T3894" s="180"/>
      <c r="U3894" s="189" t="str">
        <f>IFERROR(IF(Tableau3[[#This Row],[Dettes]]=0,"",(Tableau3[[#This Row],[Dettes]]/Tableau3[[#This Row],[EBE]])),"")</f>
        <v/>
      </c>
      <c r="V3894" s="190" t="str">
        <f>IFERROR(Tableau3[[#This Row],[Fonds propres]]/Tableau3[[#This Row],[Total Bilan]],"")</f>
        <v/>
      </c>
      <c r="W3894" s="180"/>
      <c r="Y3894" s="180"/>
      <c r="Z3894" s="192" t="str">
        <f>IFERROR(Tableau3[[#This Row],[Chiffre d''affaires]]/Tableau3[[#This Row],[Salariés]],"")</f>
        <v/>
      </c>
      <c r="AA3894" s="177"/>
    </row>
    <row r="3895" spans="1:29" ht="20.25" customHeight="1">
      <c r="A3895" s="217"/>
      <c r="E3895" s="187">
        <v>37.51</v>
      </c>
      <c r="F3895" s="178">
        <v>2014</v>
      </c>
      <c r="G3895" s="188">
        <v>332410000</v>
      </c>
      <c r="H3895" s="188">
        <v>111290000</v>
      </c>
      <c r="I3895" s="188">
        <v>91520000</v>
      </c>
      <c r="J3895" s="188">
        <v>84990000</v>
      </c>
      <c r="K3895" s="188">
        <v>-40740000</v>
      </c>
      <c r="L3895" s="188">
        <v>201360000</v>
      </c>
      <c r="M3895" s="194">
        <f>L3895/P3895</f>
        <v>4.9841584158415841</v>
      </c>
      <c r="N3895" s="190">
        <f>J3895/L3895</f>
        <v>0.42207985697258643</v>
      </c>
      <c r="O3895" s="190">
        <f>(I3895*0.7)/(K3895+L3895)</f>
        <v>0.39885443904868628</v>
      </c>
      <c r="P3895" s="188">
        <v>40400000</v>
      </c>
      <c r="Q3895" s="211">
        <f>P3895*E3895</f>
        <v>1515404000</v>
      </c>
      <c r="R3895" s="195">
        <f>Q3895/L3895</f>
        <v>7.5258442590385384</v>
      </c>
      <c r="S3895" s="197">
        <f>Q3895/H3895</f>
        <v>13.616713091922005</v>
      </c>
      <c r="T3895" s="180">
        <v>76080000</v>
      </c>
      <c r="U3895" s="189">
        <f>IFERROR(IF(Tableau3[[#This Row],[Dettes]]=0,"",(Tableau3[[#This Row],[Dettes]]/Tableau3[[#This Row],[EBE]])),"")</f>
        <v>-0.36607062629167042</v>
      </c>
      <c r="V3895" s="190">
        <f>IFERROR(Tableau3[[#This Row],[Fonds propres]]/Tableau3[[#This Row],[Total Bilan]],"")</f>
        <v>0.78420376212174314</v>
      </c>
      <c r="W3895" s="180">
        <v>256770000</v>
      </c>
      <c r="Y3895" s="180">
        <v>915</v>
      </c>
      <c r="Z3895" s="192">
        <f>IFERROR(Tableau3[[#This Row],[Chiffre d''affaires]]/Tableau3[[#This Row],[Salariés]],"")</f>
        <v>363289.61748633877</v>
      </c>
      <c r="AA3895" s="177"/>
    </row>
    <row r="3896" spans="1:29" ht="20.25" customHeight="1">
      <c r="A3896" s="217"/>
      <c r="E3896" s="187"/>
      <c r="G3896" s="202">
        <f>(G3895/G3897)-1</f>
        <v>0.20722716542582176</v>
      </c>
      <c r="H3896" s="202">
        <f>(H3895/H3897)-1</f>
        <v>0.40482201464276701</v>
      </c>
      <c r="I3896" s="202">
        <f>(I3895/I3897)-1</f>
        <v>0.43650918223198865</v>
      </c>
      <c r="J3896" s="202">
        <f>(J3895/J3897)-1</f>
        <v>0.5393950371309546</v>
      </c>
      <c r="K3896" s="188"/>
      <c r="L3896" s="188"/>
      <c r="M3896" s="178"/>
      <c r="N3896" s="178"/>
      <c r="O3896" s="178"/>
      <c r="P3896" s="178"/>
      <c r="Q3896" s="178"/>
      <c r="R3896" s="178"/>
      <c r="S3896" s="178"/>
      <c r="T3896" s="180"/>
      <c r="U3896" s="189" t="str">
        <f>IFERROR(IF(Tableau3[[#This Row],[Dettes]]=0,"",(Tableau3[[#This Row],[Dettes]]/Tableau3[[#This Row],[EBE]])),"")</f>
        <v/>
      </c>
      <c r="V3896" s="190" t="str">
        <f>IFERROR(Tableau3[[#This Row],[Fonds propres]]/Tableau3[[#This Row],[Total Bilan]],"")</f>
        <v/>
      </c>
      <c r="W3896" s="180"/>
      <c r="Y3896" s="180"/>
      <c r="Z3896" s="192" t="str">
        <f>IFERROR(Tableau3[[#This Row],[Chiffre d''affaires]]/Tableau3[[#This Row],[Salariés]],"")</f>
        <v/>
      </c>
      <c r="AA3896" s="177"/>
    </row>
    <row r="3897" spans="1:29" ht="20.25" customHeight="1">
      <c r="A3897" s="217"/>
      <c r="E3897" s="187">
        <v>23.19</v>
      </c>
      <c r="F3897" s="178">
        <v>2013</v>
      </c>
      <c r="G3897" s="188">
        <v>275350000</v>
      </c>
      <c r="H3897" s="188">
        <v>79220000</v>
      </c>
      <c r="I3897" s="188">
        <v>63710000</v>
      </c>
      <c r="J3897" s="188">
        <v>55210000</v>
      </c>
      <c r="K3897" s="188">
        <v>-8790000</v>
      </c>
      <c r="L3897" s="188">
        <v>157640000</v>
      </c>
      <c r="M3897" s="194">
        <f>L3897/P3897</f>
        <v>3.9019801980198019</v>
      </c>
      <c r="N3897" s="190">
        <f>J3897/L3897</f>
        <v>0.35022836843440752</v>
      </c>
      <c r="O3897" s="190">
        <f>(I3897*0.7)/(K3897+L3897)</f>
        <v>0.29961034598589181</v>
      </c>
      <c r="P3897" s="188">
        <v>40400000</v>
      </c>
      <c r="Q3897" s="211">
        <f>P3897*E3897</f>
        <v>936876000</v>
      </c>
      <c r="R3897" s="195">
        <f>Q3897/L3897</f>
        <v>5.9431362598325297</v>
      </c>
      <c r="S3897" s="197">
        <f>Q3897/H3897</f>
        <v>11.826255995960617</v>
      </c>
      <c r="T3897" s="180">
        <v>49100000</v>
      </c>
      <c r="U3897" s="189">
        <f>IFERROR(IF(Tableau3[[#This Row],[Dettes]]=0,"",(Tableau3[[#This Row],[Dettes]]/Tableau3[[#This Row],[EBE]])),"")</f>
        <v>-0.11095682908356476</v>
      </c>
      <c r="V3897" s="190">
        <f>IFERROR(Tableau3[[#This Row],[Fonds propres]]/Tableau3[[#This Row],[Total Bilan]],"")</f>
        <v>0.73382366632529561</v>
      </c>
      <c r="W3897" s="180">
        <v>214820000</v>
      </c>
      <c r="Y3897" s="180">
        <v>836</v>
      </c>
      <c r="Z3897" s="192">
        <f>IFERROR(Tableau3[[#This Row],[Chiffre d''affaires]]/Tableau3[[#This Row],[Salariés]],"")</f>
        <v>329366.02870813396</v>
      </c>
      <c r="AA3897" s="177"/>
    </row>
    <row r="3898" spans="1:29" ht="20.25" customHeight="1">
      <c r="A3898" s="217"/>
      <c r="E3898" s="187"/>
      <c r="G3898" s="202">
        <f>(G3897/G3899)-1</f>
        <v>0.11459231463603214</v>
      </c>
      <c r="H3898" s="202">
        <f>(H3897/H3899)-1</f>
        <v>0.11473841218022685</v>
      </c>
      <c r="I3898" s="202">
        <f>(I3897/I3899)-1</f>
        <v>0.14061157261529655</v>
      </c>
      <c r="J3898" s="202">
        <f>(J3897/J3899)-1</f>
        <v>7.1428037752225837E-2</v>
      </c>
      <c r="K3898" s="188"/>
      <c r="L3898" s="188"/>
      <c r="M3898" s="178"/>
      <c r="N3898" s="178"/>
      <c r="O3898" s="178"/>
      <c r="P3898" s="188"/>
      <c r="Q3898" s="178"/>
      <c r="R3898" s="178"/>
      <c r="S3898" s="178"/>
      <c r="T3898" s="180"/>
      <c r="U3898" s="189" t="str">
        <f>IFERROR(IF(Tableau3[[#This Row],[Dettes]]=0,"",(Tableau3[[#This Row],[Dettes]]/Tableau3[[#This Row],[EBE]])),"")</f>
        <v/>
      </c>
      <c r="V3898" s="190" t="str">
        <f>IFERROR(Tableau3[[#This Row],[Fonds propres]]/Tableau3[[#This Row],[Total Bilan]],"")</f>
        <v/>
      </c>
      <c r="W3898" s="180"/>
      <c r="Y3898" s="180"/>
      <c r="Z3898" s="192" t="str">
        <f>IFERROR(Tableau3[[#This Row],[Chiffre d''affaires]]/Tableau3[[#This Row],[Salariés]],"")</f>
        <v/>
      </c>
      <c r="AA3898" s="177"/>
    </row>
    <row r="3899" spans="1:29" ht="20.25" customHeight="1">
      <c r="A3899" s="217"/>
      <c r="E3899" s="187">
        <v>12.74</v>
      </c>
      <c r="F3899" s="178">
        <v>2012</v>
      </c>
      <c r="G3899" s="188">
        <v>247041000</v>
      </c>
      <c r="H3899" s="188">
        <v>71066000</v>
      </c>
      <c r="I3899" s="188">
        <v>55856000</v>
      </c>
      <c r="J3899" s="188">
        <v>51529359</v>
      </c>
      <c r="K3899" s="188">
        <v>11732000</v>
      </c>
      <c r="L3899" s="188">
        <v>129277000</v>
      </c>
      <c r="M3899" s="194">
        <f>L3899/P3899</f>
        <v>3.1999257425742575</v>
      </c>
      <c r="N3899" s="190">
        <f>J3899/L3899</f>
        <v>0.39859649434934291</v>
      </c>
      <c r="O3899" s="190">
        <f>(I3899*0.7)/(K3899+L3899)</f>
        <v>0.27728159195512342</v>
      </c>
      <c r="P3899" s="188">
        <v>40400000</v>
      </c>
      <c r="Q3899" s="211">
        <f>P3899*E3899</f>
        <v>514696000</v>
      </c>
      <c r="R3899" s="195">
        <f>Q3899/L3899</f>
        <v>3.981342388823998</v>
      </c>
      <c r="S3899" s="197">
        <f>Q3899/H3899</f>
        <v>7.2425069653561476</v>
      </c>
      <c r="T3899" s="180">
        <v>51529359</v>
      </c>
      <c r="U3899" s="189">
        <f>IFERROR(IF(Tableau3[[#This Row],[Dettes]]=0,"",(Tableau3[[#This Row],[Dettes]]/Tableau3[[#This Row],[EBE]])),"")</f>
        <v>0.16508597641628908</v>
      </c>
      <c r="V3899" s="190">
        <f>Tableau3[[#This Row],[Fonds propres]]/Tableau3[[#This Row],[Total Bilan]]</f>
        <v>0.66102511994652768</v>
      </c>
      <c r="W3899" s="180">
        <v>195570480</v>
      </c>
      <c r="Y3899" s="180"/>
      <c r="Z3899" s="192" t="str">
        <f>IFERROR(Tableau3[[#This Row],[Chiffre d''affaires]]/Tableau3[[#This Row],[Salariés]],"")</f>
        <v/>
      </c>
      <c r="AA3899" s="177"/>
    </row>
    <row r="3900" spans="1:29" ht="20.25" customHeight="1">
      <c r="A3900" s="217"/>
      <c r="E3900" s="187"/>
      <c r="G3900" s="202">
        <f>(G3899/G3901)-1</f>
        <v>7.1013305240157587E-2</v>
      </c>
      <c r="H3900" s="202">
        <f>(H3899/H3901)-1</f>
        <v>7.0367804319667382E-2</v>
      </c>
      <c r="I3900" s="202">
        <f>(I3899/I3901)-1</f>
        <v>2.589721926312305E-2</v>
      </c>
      <c r="J3900" s="202">
        <f>(J3899/J3901)-1</f>
        <v>0.12279995582828684</v>
      </c>
      <c r="K3900" s="188"/>
      <c r="L3900" s="188"/>
      <c r="M3900" s="178"/>
      <c r="N3900" s="178"/>
      <c r="O3900" s="178"/>
      <c r="P3900" s="188"/>
      <c r="Q3900" s="178"/>
      <c r="R3900" s="178"/>
      <c r="S3900" s="178"/>
      <c r="T3900" s="180"/>
      <c r="U3900" s="189" t="str">
        <f>IFERROR(IF(Tableau3[[#This Row],[Dettes]]=0,"",(Tableau3[[#This Row],[Dettes]]/Tableau3[[#This Row],[EBE]])),"")</f>
        <v/>
      </c>
      <c r="V3900" s="190" t="str">
        <f>IFERROR(Tableau3[[#This Row],[Fonds propres]]/Tableau3[[#This Row],[Total Bilan]],"")</f>
        <v/>
      </c>
      <c r="W3900" s="180"/>
      <c r="Y3900" s="180"/>
      <c r="Z3900" s="192" t="str">
        <f>IFERROR(Tableau3[[#This Row],[Chiffre d''affaires]]/Tableau3[[#This Row],[Salariés]],"")</f>
        <v/>
      </c>
      <c r="AA3900" s="177"/>
    </row>
    <row r="3901" spans="1:29" ht="20.25" customHeight="1">
      <c r="A3901" s="217"/>
      <c r="E3901" s="187">
        <v>10.61</v>
      </c>
      <c r="F3901" s="178">
        <v>2011</v>
      </c>
      <c r="G3901" s="188">
        <v>230661000</v>
      </c>
      <c r="H3901" s="188">
        <v>66394000</v>
      </c>
      <c r="I3901" s="188">
        <v>54446000</v>
      </c>
      <c r="J3901" s="188">
        <v>45893624</v>
      </c>
      <c r="K3901" s="188">
        <v>19212000</v>
      </c>
      <c r="L3901" s="188">
        <v>107121000</v>
      </c>
      <c r="M3901" s="194">
        <f>L3901/P3901</f>
        <v>2.4772523661100609</v>
      </c>
      <c r="N3901" s="190">
        <f>J3901/L3901</f>
        <v>0.42842788995621772</v>
      </c>
      <c r="O3901" s="190">
        <f>(I3901*0.7)/(K3901+L3901)</f>
        <v>0.30168047936801945</v>
      </c>
      <c r="P3901" s="188">
        <v>43241860</v>
      </c>
      <c r="Q3901" s="211">
        <f>P3901*E3901</f>
        <v>458796134.59999996</v>
      </c>
      <c r="R3901" s="195">
        <f>Q3901/L3901</f>
        <v>4.2829709823470647</v>
      </c>
      <c r="S3901" s="197">
        <f>Q3901/H3901</f>
        <v>6.9102047564538962</v>
      </c>
      <c r="T3901" s="180">
        <v>45893624</v>
      </c>
      <c r="U3901" s="189">
        <f>IFERROR(IF(Tableau3[[#This Row],[Dettes]]=0,"",(Tableau3[[#This Row],[Dettes]]/Tableau3[[#This Row],[EBE]])),"")</f>
        <v>0.28936349670150918</v>
      </c>
      <c r="V3901" s="190">
        <f>Tableau3[[#This Row],[Fonds propres]]/Tableau3[[#This Row],[Total Bilan]]</f>
        <v>0.60145469938778018</v>
      </c>
      <c r="W3901" s="180">
        <v>178103189</v>
      </c>
      <c r="Y3901" s="180"/>
      <c r="Z3901" s="192" t="str">
        <f>IFERROR(Tableau3[[#This Row],[Chiffre d''affaires]]/Tableau3[[#This Row],[Salariés]],"")</f>
        <v/>
      </c>
      <c r="AA3901" s="177"/>
    </row>
    <row r="3902" spans="1:29" ht="20.25" customHeight="1">
      <c r="A3902" s="217"/>
      <c r="E3902" s="187"/>
      <c r="G3902" s="202">
        <f>(G3901/G3903)-1</f>
        <v>5.1196981228381233E-2</v>
      </c>
      <c r="H3902" s="202">
        <f>(H3901/H3903)-1</f>
        <v>-2.0925191334994819E-2</v>
      </c>
      <c r="I3902" s="202">
        <f>(I3901/I3903)-1</f>
        <v>-3.2758926985254955E-2</v>
      </c>
      <c r="J3902" s="202">
        <f>(J3901/J3903)-1</f>
        <v>-5.5922515811226314E-2</v>
      </c>
      <c r="K3902" s="188"/>
      <c r="L3902" s="188"/>
      <c r="M3902" s="178"/>
      <c r="N3902" s="178"/>
      <c r="O3902" s="178"/>
      <c r="P3902" s="188"/>
      <c r="Q3902" s="178"/>
      <c r="R3902" s="178"/>
      <c r="S3902" s="178"/>
      <c r="T3902" s="180"/>
      <c r="U3902" s="189" t="str">
        <f>IFERROR(IF(Tableau3[[#This Row],[Dettes]]=0,"",(Tableau3[[#This Row],[Dettes]]/Tableau3[[#This Row],[EBE]])),"")</f>
        <v/>
      </c>
      <c r="V3902" s="190" t="str">
        <f>IFERROR(Tableau3[[#This Row],[Fonds propres]]/Tableau3[[#This Row],[Total Bilan]],"")</f>
        <v/>
      </c>
      <c r="W3902" s="180"/>
      <c r="Y3902" s="180"/>
      <c r="Z3902" s="192" t="str">
        <f>IFERROR(Tableau3[[#This Row],[Chiffre d''affaires]]/Tableau3[[#This Row],[Salariés]],"")</f>
        <v/>
      </c>
      <c r="AA3902" s="177"/>
    </row>
    <row r="3903" spans="1:29" ht="20.25" customHeight="1">
      <c r="A3903" s="217"/>
      <c r="E3903" s="187">
        <v>13.31</v>
      </c>
      <c r="F3903" s="178">
        <v>2010</v>
      </c>
      <c r="G3903" s="188">
        <v>219427000</v>
      </c>
      <c r="H3903" s="188">
        <v>67813000</v>
      </c>
      <c r="I3903" s="188">
        <v>56290000</v>
      </c>
      <c r="J3903" s="188">
        <v>48612137</v>
      </c>
      <c r="K3903" s="188">
        <v>29852000</v>
      </c>
      <c r="L3903" s="188">
        <v>95455000</v>
      </c>
      <c r="M3903" s="194">
        <f>L3903/P3903</f>
        <v>2.20746748636622</v>
      </c>
      <c r="N3903" s="190">
        <f>J3903/L3903</f>
        <v>0.50926758158294483</v>
      </c>
      <c r="O3903" s="190">
        <f>(I3903*0.7)/(K3903+L3903)</f>
        <v>0.31445170660856936</v>
      </c>
      <c r="P3903" s="188">
        <v>43241860</v>
      </c>
      <c r="Q3903" s="211">
        <f>P3903*E3903</f>
        <v>575549156.60000002</v>
      </c>
      <c r="R3903" s="195">
        <f>Q3903/L3903</f>
        <v>6.0295338808862819</v>
      </c>
      <c r="S3903" s="197">
        <f>Q3903/H3903</f>
        <v>8.487298255496734</v>
      </c>
      <c r="T3903" s="180"/>
      <c r="U3903" s="189">
        <f>IFERROR(IF(Tableau3[[#This Row],[Dettes]]=0,"",(Tableau3[[#This Row],[Dettes]]/Tableau3[[#This Row],[EBE]])),"")</f>
        <v>0.44021057909250438</v>
      </c>
      <c r="V3903" s="190">
        <f>Tableau3[[#This Row],[Fonds propres]]/Tableau3[[#This Row],[Total Bilan]]</f>
        <v>0.52889817221091817</v>
      </c>
      <c r="W3903" s="180">
        <v>180478975</v>
      </c>
      <c r="Y3903" s="180"/>
      <c r="Z3903" s="192" t="str">
        <f>IFERROR(Tableau3[[#This Row],[Chiffre d''affaires]]/Tableau3[[#This Row],[Salariés]],"")</f>
        <v/>
      </c>
      <c r="AA3903" s="177"/>
    </row>
    <row r="3904" spans="1:29" ht="20.25" customHeight="1">
      <c r="A3904" s="217"/>
      <c r="G3904" s="188"/>
      <c r="H3904" s="178"/>
      <c r="I3904" s="178"/>
      <c r="J3904" s="178"/>
      <c r="K3904" s="178"/>
      <c r="L3904" s="178"/>
      <c r="M3904" s="178"/>
      <c r="N3904" s="178"/>
      <c r="O3904" s="178"/>
      <c r="P3904" s="178"/>
      <c r="Q3904" s="178"/>
      <c r="R3904" s="178"/>
      <c r="S3904" s="178"/>
      <c r="T3904" s="180"/>
      <c r="U3904" s="189" t="str">
        <f>IFERROR(IF(Tableau3[[#This Row],[Dettes]]=0,"",(Tableau3[[#This Row],[Dettes]]/Tableau3[[#This Row],[EBE]])),"")</f>
        <v/>
      </c>
      <c r="V3904" s="190" t="str">
        <f>IFERROR(Tableau3[[#This Row],[Fonds propres]]/Tableau3[[#This Row],[Total Bilan]],"")</f>
        <v/>
      </c>
      <c r="W3904" s="180"/>
      <c r="Y3904" s="180"/>
      <c r="Z3904" s="192" t="str">
        <f>IFERROR(Tableau3[[#This Row],[Chiffre d''affaires]]/Tableau3[[#This Row],[Salariés]],"")</f>
        <v/>
      </c>
      <c r="AA3904" s="177"/>
    </row>
    <row r="3905" spans="1:29" ht="20.25" customHeight="1">
      <c r="A3905" s="217"/>
      <c r="G3905" s="188"/>
      <c r="H3905" s="178"/>
      <c r="I3905" s="178"/>
      <c r="J3905" s="178"/>
      <c r="K3905" s="178"/>
      <c r="L3905" s="178"/>
      <c r="M3905" s="178"/>
      <c r="N3905" s="178"/>
      <c r="O3905" s="178"/>
      <c r="P3905" s="178"/>
      <c r="Q3905" s="178"/>
      <c r="R3905" s="178"/>
      <c r="S3905" s="178"/>
      <c r="T3905" s="180"/>
      <c r="U3905" s="189" t="str">
        <f>IFERROR(IF(Tableau3[[#This Row],[Dettes]]=0,"",(Tableau3[[#This Row],[Dettes]]/Tableau3[[#This Row],[EBE]])),"")</f>
        <v/>
      </c>
      <c r="V3905" s="190" t="str">
        <f>IFERROR(Tableau3[[#This Row],[Fonds propres]]/Tableau3[[#This Row],[Total Bilan]],"")</f>
        <v/>
      </c>
      <c r="W3905" s="180"/>
      <c r="Y3905" s="180"/>
      <c r="Z3905" s="192" t="str">
        <f>IFERROR(Tableau3[[#This Row],[Chiffre d''affaires]]/Tableau3[[#This Row],[Salariés]],"")</f>
        <v/>
      </c>
      <c r="AA3905" s="177"/>
    </row>
    <row r="3906" spans="1:29" ht="20.25" customHeight="1">
      <c r="A3906" s="217"/>
      <c r="G3906" s="188"/>
      <c r="H3906" s="178"/>
      <c r="I3906" s="178"/>
      <c r="J3906" s="178"/>
      <c r="K3906" s="178"/>
      <c r="L3906" s="178"/>
      <c r="M3906" s="178"/>
      <c r="N3906" s="178"/>
      <c r="O3906" s="178"/>
      <c r="P3906" s="178"/>
      <c r="Q3906" s="178"/>
      <c r="R3906" s="178"/>
      <c r="S3906" s="178"/>
      <c r="T3906" s="180"/>
      <c r="U3906" s="189" t="str">
        <f>IFERROR(IF(Tableau3[[#This Row],[Dettes]]=0,"",(Tableau3[[#This Row],[Dettes]]/Tableau3[[#This Row],[EBE]])),"")</f>
        <v/>
      </c>
      <c r="V3906" s="190" t="str">
        <f>IFERROR(Tableau3[[#This Row],[Fonds propres]]/Tableau3[[#This Row],[Total Bilan]],"")</f>
        <v/>
      </c>
      <c r="W3906" s="180"/>
      <c r="Y3906" s="180"/>
      <c r="Z3906" s="192" t="str">
        <f>IFERROR(Tableau3[[#This Row],[Chiffre d''affaires]]/Tableau3[[#This Row],[Salariés]],"")</f>
        <v/>
      </c>
      <c r="AA3906" s="177"/>
    </row>
    <row r="3907" spans="1:29" ht="20.25" customHeight="1">
      <c r="A3907" s="217" t="s">
        <v>2716</v>
      </c>
      <c r="B3907" s="216" t="s">
        <v>2660</v>
      </c>
      <c r="C3907" s="178" t="s">
        <v>564</v>
      </c>
      <c r="D3907" s="178" t="s">
        <v>85</v>
      </c>
      <c r="E3907" s="187">
        <v>35</v>
      </c>
      <c r="F3907" s="178">
        <v>2025</v>
      </c>
      <c r="G3907" s="188"/>
      <c r="H3907" s="178"/>
      <c r="I3907" s="178"/>
      <c r="J3907" s="178"/>
      <c r="K3907" s="178"/>
      <c r="L3907" s="178"/>
      <c r="M3907" s="178"/>
      <c r="N3907" s="178"/>
      <c r="O3907" s="178"/>
      <c r="P3907" s="188">
        <v>1305921137</v>
      </c>
      <c r="Q3907" s="211">
        <f>P3907*E3907</f>
        <v>45707239795</v>
      </c>
      <c r="R3907" s="178"/>
      <c r="S3907" s="178"/>
      <c r="T3907" s="180">
        <v>900000000</v>
      </c>
      <c r="U3907" s="189" t="str">
        <f>IFERROR(IF(Tableau3[[#This Row],[Dettes]]=0,"",(Tableau3[[#This Row],[Dettes]]/Tableau3[[#This Row],[EBE]])),"")</f>
        <v/>
      </c>
      <c r="V3907" s="190" t="str">
        <f>IFERROR(Tableau3[[#This Row],[Fonds propres]]/Tableau3[[#This Row],[Total Bilan]],"")</f>
        <v/>
      </c>
      <c r="W3907" s="180"/>
      <c r="X3907" s="182" t="s">
        <v>4631</v>
      </c>
      <c r="Y3907" s="180">
        <v>58008</v>
      </c>
      <c r="Z3907" s="192">
        <f>IFERROR(Tableau3[[#This Row],[Chiffre d''affaires]]/Tableau3[[#This Row],[Salariés]],"")</f>
        <v>0</v>
      </c>
      <c r="AA3907" s="177"/>
      <c r="AC3907" s="177" t="s">
        <v>4715</v>
      </c>
    </row>
    <row r="3908" spans="1:29" ht="20.25" customHeight="1">
      <c r="A3908" s="217"/>
      <c r="G3908" s="188"/>
      <c r="H3908" s="178"/>
      <c r="I3908" s="178"/>
      <c r="J3908" s="178"/>
      <c r="K3908" s="178"/>
      <c r="L3908" s="178"/>
      <c r="M3908" s="178"/>
      <c r="N3908" s="178"/>
      <c r="O3908" s="178"/>
      <c r="P3908" s="178"/>
      <c r="Q3908" s="178"/>
      <c r="R3908" s="178"/>
      <c r="S3908" s="178"/>
      <c r="T3908" s="180"/>
      <c r="U3908" s="189" t="str">
        <f>IFERROR(IF(Tableau3[[#This Row],[Dettes]]=0,"",(Tableau3[[#This Row],[Dettes]]/Tableau3[[#This Row],[EBE]])),"")</f>
        <v/>
      </c>
      <c r="V3908" s="190" t="str">
        <f>IFERROR(Tableau3[[#This Row],[Fonds propres]]/Tableau3[[#This Row],[Total Bilan]],"")</f>
        <v/>
      </c>
      <c r="W3908" s="180"/>
      <c r="Y3908" s="180"/>
      <c r="Z3908" s="192" t="str">
        <f>IFERROR(Tableau3[[#This Row],[Chiffre d''affaires]]/Tableau3[[#This Row],[Salariés]],"")</f>
        <v/>
      </c>
      <c r="AA3908" s="177"/>
      <c r="AC3908" s="177" t="s">
        <v>4717</v>
      </c>
    </row>
    <row r="3909" spans="1:29" ht="20.25" customHeight="1">
      <c r="A3909" s="217"/>
      <c r="E3909" s="187">
        <v>31.4</v>
      </c>
      <c r="F3909" s="178">
        <v>2024</v>
      </c>
      <c r="G3909" s="188">
        <v>14955000000</v>
      </c>
      <c r="H3909" s="211">
        <f>Tableau3[[#This Row],[Chiffre d''affaires]]*0.4</f>
        <v>5982000000</v>
      </c>
      <c r="I3909" s="211">
        <v>2190000000</v>
      </c>
      <c r="J3909" s="188">
        <v>1301000000</v>
      </c>
      <c r="K3909" s="188">
        <v>2610000000</v>
      </c>
      <c r="L3909" s="188">
        <v>17219000000</v>
      </c>
      <c r="M3909" s="194">
        <f>L3909/P3909</f>
        <v>13.18532912297904</v>
      </c>
      <c r="N3909" s="190">
        <f>J3909/L3909</f>
        <v>7.5556071781171963E-2</v>
      </c>
      <c r="O3909" s="190">
        <f>(I3909*0.7)/(K3909+L3909)</f>
        <v>7.7311009128044783E-2</v>
      </c>
      <c r="P3909" s="188">
        <v>1305921137</v>
      </c>
      <c r="Q3909" s="211">
        <f>P3909*E3909</f>
        <v>41005923701.799995</v>
      </c>
      <c r="R3909" s="195">
        <f>Q3909/L3909</f>
        <v>2.3814346769150356</v>
      </c>
      <c r="S3909" s="197">
        <f>Q3909/H3909</f>
        <v>6.8548852727850207</v>
      </c>
      <c r="T3909" s="180">
        <v>200000000</v>
      </c>
      <c r="U3909" s="189">
        <f>IFERROR(IF(Tableau3[[#This Row],[Dettes]]=0,"",(Tableau3[[#This Row],[Dettes]]/Tableau3[[#This Row],[EBE]])),"")</f>
        <v>0.436308926780341</v>
      </c>
      <c r="V3909" s="190">
        <f>IFERROR(Tableau3[[#This Row],[Fonds propres]]/Tableau3[[#This Row],[Total Bilan]],"")</f>
        <v>0.60124306016271523</v>
      </c>
      <c r="W3909" s="180">
        <v>28639000000</v>
      </c>
      <c r="Y3909" s="180">
        <v>58065</v>
      </c>
      <c r="Z3909" s="192">
        <f>IFERROR(Tableau3[[#This Row],[Chiffre d''affaires]]/Tableau3[[#This Row],[Salariés]],"")</f>
        <v>257556.18703177472</v>
      </c>
      <c r="AA3909" s="177"/>
      <c r="AC3909" s="177" t="s">
        <v>4709</v>
      </c>
    </row>
    <row r="3910" spans="1:29" ht="20.25" customHeight="1">
      <c r="A3910" s="217"/>
      <c r="G3910" s="202">
        <f>(G3909/G3911)-1</f>
        <v>-8.3021644490771984E-2</v>
      </c>
      <c r="H3910" s="202">
        <f>(H3909/H3911)-1</f>
        <v>7.8420767982693373E-2</v>
      </c>
      <c r="I3910" s="202">
        <f>(I3909/I3911)-1</f>
        <v>-0.44528875379939215</v>
      </c>
      <c r="J3910" s="202">
        <f>(J3909/J3911)-1</f>
        <v>-0.58527255339496342</v>
      </c>
      <c r="K3910" s="178"/>
      <c r="L3910" s="178"/>
      <c r="M3910" s="178"/>
      <c r="N3910" s="178"/>
      <c r="O3910" s="178"/>
      <c r="P3910" s="178"/>
      <c r="Q3910" s="178"/>
      <c r="R3910" s="178"/>
      <c r="S3910" s="178"/>
      <c r="T3910" s="180"/>
      <c r="U3910" s="189" t="str">
        <f>IFERROR(IF(Tableau3[[#This Row],[Dettes]]=0,"",(Tableau3[[#This Row],[Dettes]]/Tableau3[[#This Row],[EBE]])),"")</f>
        <v/>
      </c>
      <c r="V3910" s="190" t="str">
        <f>IFERROR(Tableau3[[#This Row],[Fonds propres]]/Tableau3[[#This Row],[Total Bilan]],"")</f>
        <v/>
      </c>
      <c r="W3910" s="180"/>
      <c r="Y3910" s="180"/>
      <c r="Z3910" s="192" t="str">
        <f>IFERROR(Tableau3[[#This Row],[Chiffre d''affaires]]/Tableau3[[#This Row],[Salariés]],"")</f>
        <v/>
      </c>
      <c r="AA3910" s="177"/>
      <c r="AC3910" s="216" t="s">
        <v>2718</v>
      </c>
    </row>
    <row r="3911" spans="1:29" ht="20.25" customHeight="1">
      <c r="A3911" s="217"/>
      <c r="E3911" s="187">
        <v>37.799999999999997</v>
      </c>
      <c r="F3911" s="178">
        <v>2023</v>
      </c>
      <c r="G3911" s="188">
        <v>16309000000</v>
      </c>
      <c r="H3911" s="211">
        <v>5547000000</v>
      </c>
      <c r="I3911" s="188">
        <v>3948000000</v>
      </c>
      <c r="J3911" s="188">
        <v>3137000000</v>
      </c>
      <c r="K3911" s="188">
        <v>1143000000</v>
      </c>
      <c r="L3911" s="188">
        <v>17044000000</v>
      </c>
      <c r="M3911" s="194">
        <f>L3911/P3911</f>
        <v>13.051324093852996</v>
      </c>
      <c r="N3911" s="190">
        <f>J3911/L3911</f>
        <v>0.18405303919267776</v>
      </c>
      <c r="O3911" s="190">
        <f>(I3911*0.7)/(K3911+L3911)</f>
        <v>0.15195469291251992</v>
      </c>
      <c r="P3911" s="188">
        <v>1305921137</v>
      </c>
      <c r="Q3911" s="211">
        <f>P3911*E3911</f>
        <v>49363818978.599998</v>
      </c>
      <c r="R3911" s="195">
        <f>Q3911/L3911</f>
        <v>2.8962578607486504</v>
      </c>
      <c r="S3911" s="197">
        <f>Q3911/H3911</f>
        <v>8.8991921720930236</v>
      </c>
      <c r="T3911" s="180">
        <v>1638000000</v>
      </c>
      <c r="U3911" s="189">
        <f>IFERROR(IF(Tableau3[[#This Row],[Dettes]]=0,"",(Tableau3[[#This Row],[Dettes]]/Tableau3[[#This Row],[EBE]])),"")</f>
        <v>0.20605732828555975</v>
      </c>
      <c r="V3911" s="190">
        <f>IFERROR(Tableau3[[#This Row],[Fonds propres]]/Tableau3[[#This Row],[Total Bilan]],"")</f>
        <v>0.59931783817996409</v>
      </c>
      <c r="W3911" s="180">
        <v>28439000000</v>
      </c>
      <c r="Y3911" s="180">
        <v>58590</v>
      </c>
      <c r="Z3911" s="192">
        <f>IFERROR(Tableau3[[#This Row],[Chiffre d''affaires]]/Tableau3[[#This Row],[Salariés]],"")</f>
        <v>278358.08158388804</v>
      </c>
      <c r="AA3911" s="177"/>
      <c r="AC3911" s="177" t="s">
        <v>4711</v>
      </c>
    </row>
    <row r="3912" spans="1:29" ht="20.25" customHeight="1">
      <c r="A3912" s="217"/>
      <c r="E3912" s="187"/>
      <c r="G3912" s="202">
        <f>(G3911/G3913)-1</f>
        <v>0.14706709804473195</v>
      </c>
      <c r="H3912" s="202">
        <f>(H3911/H3913)-1</f>
        <v>0.22477368072422177</v>
      </c>
      <c r="I3912" s="202">
        <f>(I3911/I3913)-1</f>
        <v>0.38769771528998254</v>
      </c>
      <c r="J3912" s="202">
        <f>(J3911/J3913)-1</f>
        <v>0.43965121615419922</v>
      </c>
      <c r="K3912" s="178"/>
      <c r="L3912" s="178"/>
      <c r="M3912" s="178"/>
      <c r="N3912" s="178"/>
      <c r="O3912" s="178"/>
      <c r="P3912" s="178"/>
      <c r="Q3912" s="178"/>
      <c r="R3912" s="178"/>
      <c r="S3912" s="178"/>
      <c r="T3912" s="180"/>
      <c r="U3912" s="189" t="str">
        <f>IFERROR(IF(Tableau3[[#This Row],[Dettes]]=0,"",(Tableau3[[#This Row],[Dettes]]/Tableau3[[#This Row],[EBE]])),"")</f>
        <v/>
      </c>
      <c r="V3912" s="190" t="str">
        <f>IFERROR(Tableau3[[#This Row],[Fonds propres]]/Tableau3[[#This Row],[Total Bilan]],"")</f>
        <v/>
      </c>
      <c r="W3912" s="180"/>
      <c r="Y3912" s="180"/>
      <c r="Z3912" s="192" t="str">
        <f>IFERROR(Tableau3[[#This Row],[Chiffre d''affaires]]/Tableau3[[#This Row],[Salariés]],"")</f>
        <v/>
      </c>
      <c r="AA3912" s="177"/>
      <c r="AC3912" s="177" t="s">
        <v>4708</v>
      </c>
    </row>
    <row r="3913" spans="1:29" ht="20.25" customHeight="1">
      <c r="A3913" s="217"/>
      <c r="E3913" s="187">
        <v>28.43</v>
      </c>
      <c r="F3913" s="178">
        <v>2022</v>
      </c>
      <c r="G3913" s="188">
        <v>14218000000</v>
      </c>
      <c r="H3913" s="188">
        <v>4529000000</v>
      </c>
      <c r="I3913" s="188">
        <v>2845000000</v>
      </c>
      <c r="J3913" s="188">
        <v>2179000000</v>
      </c>
      <c r="K3913" s="188">
        <v>2331000000</v>
      </c>
      <c r="L3913" s="188">
        <v>14944000000</v>
      </c>
      <c r="M3913" s="194">
        <f>L3913/P3913</f>
        <v>11.475699377222149</v>
      </c>
      <c r="N3913" s="190">
        <f>J3913/L3913</f>
        <v>0.14581102783725911</v>
      </c>
      <c r="O3913" s="190">
        <f>(I3913*0.7)/(K3913+L3913)</f>
        <v>0.11528219971056439</v>
      </c>
      <c r="P3913" s="188">
        <v>1302230000</v>
      </c>
      <c r="Q3913" s="211">
        <f>P3913*E3913</f>
        <v>37022398900</v>
      </c>
      <c r="R3913" s="195">
        <f>Q3913/L3913</f>
        <v>2.4774089199678802</v>
      </c>
      <c r="S3913" s="197">
        <f>Q3913/H3913</f>
        <v>8.1745195186575401</v>
      </c>
      <c r="T3913" s="180">
        <v>1648000000</v>
      </c>
      <c r="U3913" s="189">
        <f>IFERROR(IF(Tableau3[[#This Row],[Dettes]]=0,"",(Tableau3[[#This Row],[Dettes]]/Tableau3[[#This Row],[EBE]])),"")</f>
        <v>0.51468315301391032</v>
      </c>
      <c r="V3913" s="190">
        <f>IFERROR(Tableau3[[#This Row],[Fonds propres]]/Tableau3[[#This Row],[Total Bilan]],"")</f>
        <v>0.64043884460443989</v>
      </c>
      <c r="W3913" s="180">
        <v>23334000000</v>
      </c>
      <c r="Y3913" s="180">
        <v>50288</v>
      </c>
      <c r="Z3913" s="192">
        <f>IFERROR(Tableau3[[#This Row],[Chiffre d''affaires]]/Tableau3[[#This Row],[Salariés]],"")</f>
        <v>282731.46675151127</v>
      </c>
      <c r="AA3913" s="177"/>
      <c r="AC3913" s="177" t="s">
        <v>457</v>
      </c>
    </row>
    <row r="3914" spans="1:29" ht="20.25" customHeight="1">
      <c r="A3914" s="217"/>
      <c r="E3914" s="187"/>
      <c r="G3914" s="202">
        <f>(G3913/G3915)-1</f>
        <v>0.2855334538878842</v>
      </c>
      <c r="H3914" s="202">
        <f>(H3913/H3915)-1</f>
        <v>0.51623702711750918</v>
      </c>
      <c r="I3914" s="202">
        <f>(I3913/I3915)-1</f>
        <v>0.93537414965986398</v>
      </c>
      <c r="J3914" s="202">
        <f>(J3913/J3915)-1</f>
        <v>0.86398631308810958</v>
      </c>
      <c r="K3914" s="188"/>
      <c r="L3914" s="188"/>
      <c r="M3914" s="178"/>
      <c r="N3914" s="178"/>
      <c r="O3914" s="178"/>
      <c r="P3914" s="178"/>
      <c r="Q3914" s="178"/>
      <c r="R3914" s="178"/>
      <c r="S3914" s="178"/>
      <c r="T3914" s="180"/>
      <c r="U3914" s="189" t="str">
        <f>IFERROR(IF(Tableau3[[#This Row],[Dettes]]=0,"",(Tableau3[[#This Row],[Dettes]]/Tableau3[[#This Row],[EBE]])),"")</f>
        <v/>
      </c>
      <c r="V3914" s="190" t="str">
        <f>IFERROR(Tableau3[[#This Row],[Fonds propres]]/Tableau3[[#This Row],[Total Bilan]],"")</f>
        <v/>
      </c>
      <c r="W3914" s="180"/>
      <c r="Y3914" s="180"/>
      <c r="Z3914" s="192" t="str">
        <f>IFERROR(Tableau3[[#This Row],[Chiffre d''affaires]]/Tableau3[[#This Row],[Salariés]],"")</f>
        <v/>
      </c>
      <c r="AA3914" s="177"/>
      <c r="AC3914" s="177" t="s">
        <v>4707</v>
      </c>
    </row>
    <row r="3915" spans="1:29" ht="20.25" customHeight="1">
      <c r="A3915" s="217"/>
      <c r="E3915" s="187">
        <v>40.76</v>
      </c>
      <c r="F3915" s="178">
        <v>2021</v>
      </c>
      <c r="G3915" s="188">
        <v>11060000000</v>
      </c>
      <c r="H3915" s="188">
        <v>2987000000</v>
      </c>
      <c r="I3915" s="188">
        <v>1470000000</v>
      </c>
      <c r="J3915" s="188">
        <v>1169000000</v>
      </c>
      <c r="K3915" s="188">
        <v>2994000000</v>
      </c>
      <c r="L3915" s="188">
        <v>11401000000</v>
      </c>
      <c r="M3915" s="194">
        <f>L3915/P3915</f>
        <v>8.7607001798091257</v>
      </c>
      <c r="N3915" s="190">
        <f>J3915/L3915</f>
        <v>0.10253486536268748</v>
      </c>
      <c r="O3915" s="190">
        <f>(I3915*0.7)/(K3915+L3915)</f>
        <v>7.1483153872872518E-2</v>
      </c>
      <c r="P3915" s="188">
        <v>1301380000</v>
      </c>
      <c r="Q3915" s="211">
        <f>P3915*E3915</f>
        <v>53044248800</v>
      </c>
      <c r="R3915" s="195">
        <f>Q3915/L3915</f>
        <v>4.6525961582317343</v>
      </c>
      <c r="S3915" s="197">
        <f>Q3915/H3915</f>
        <v>17.758369199866085</v>
      </c>
      <c r="T3915" s="180">
        <v>1574000000</v>
      </c>
      <c r="U3915" s="189">
        <f>IFERROR(IF(Tableau3[[#This Row],[Dettes]]=0,"",(Tableau3[[#This Row],[Dettes]]/Tableau3[[#This Row],[EBE]])),"")</f>
        <v>1.0023434884499498</v>
      </c>
      <c r="V3915" s="190">
        <f>IFERROR(Tableau3[[#This Row],[Fonds propres]]/Tableau3[[#This Row],[Total Bilan]],"")</f>
        <v>0.51825082958316282</v>
      </c>
      <c r="W3915" s="180">
        <v>21999000000</v>
      </c>
      <c r="Y3915" s="180">
        <v>46665</v>
      </c>
      <c r="Z3915" s="192">
        <f>IFERROR(Tableau3[[#This Row],[Chiffre d''affaires]]/Tableau3[[#This Row],[Salariés]],"")</f>
        <v>237008.46458802099</v>
      </c>
      <c r="AA3915" s="177"/>
      <c r="AC3915" s="216" t="s">
        <v>2719</v>
      </c>
    </row>
    <row r="3916" spans="1:29" ht="20.25" customHeight="1">
      <c r="A3916" s="217"/>
      <c r="E3916" s="187"/>
      <c r="G3916" s="202">
        <f>(G3915/G3917)-1</f>
        <v>0.29100035018092685</v>
      </c>
      <c r="H3916" s="202">
        <f>(H3915/H3917)-1</f>
        <v>0.64663726571113567</v>
      </c>
      <c r="I3916" s="202">
        <f>(I3915/I3917)-1</f>
        <v>1.5301204819277108</v>
      </c>
      <c r="J3916" s="202">
        <f>(J3915/J3917)-1</f>
        <v>2.1766304347826089</v>
      </c>
      <c r="K3916" s="188"/>
      <c r="L3916" s="188"/>
      <c r="M3916" s="178"/>
      <c r="N3916" s="178"/>
      <c r="O3916" s="178"/>
      <c r="P3916" s="178"/>
      <c r="Q3916" s="178"/>
      <c r="R3916" s="178"/>
      <c r="S3916" s="178"/>
      <c r="T3916" s="180"/>
      <c r="U3916" s="189" t="str">
        <f>IFERROR(IF(Tableau3[[#This Row],[Dettes]]=0,"",(Tableau3[[#This Row],[Dettes]]/Tableau3[[#This Row],[EBE]])),"")</f>
        <v/>
      </c>
      <c r="V3916" s="190" t="str">
        <f>IFERROR(Tableau3[[#This Row],[Fonds propres]]/Tableau3[[#This Row],[Total Bilan]],"")</f>
        <v/>
      </c>
      <c r="W3916" s="180"/>
      <c r="Y3916" s="180"/>
      <c r="Z3916" s="192" t="str">
        <f>IFERROR(Tableau3[[#This Row],[Chiffre d''affaires]]/Tableau3[[#This Row],[Salariés]],"")</f>
        <v/>
      </c>
      <c r="AA3916" s="177"/>
      <c r="AC3916" s="216" t="s">
        <v>4713</v>
      </c>
    </row>
    <row r="3917" spans="1:29" ht="20.25" customHeight="1">
      <c r="A3917" s="217"/>
      <c r="E3917" s="187">
        <v>31.39</v>
      </c>
      <c r="F3917" s="178">
        <v>2020</v>
      </c>
      <c r="G3917" s="188">
        <v>8567000000</v>
      </c>
      <c r="H3917" s="188">
        <v>1814000000</v>
      </c>
      <c r="I3917" s="188">
        <v>581000000</v>
      </c>
      <c r="J3917" s="188">
        <v>368000000</v>
      </c>
      <c r="K3917" s="188">
        <v>4100000000</v>
      </c>
      <c r="L3917" s="188">
        <v>10219000000</v>
      </c>
      <c r="M3917" s="194">
        <f>L3917/P3917</f>
        <v>7.856719998154797</v>
      </c>
      <c r="N3917" s="190">
        <f>J3917/L3917</f>
        <v>3.6011351404246994E-2</v>
      </c>
      <c r="O3917" s="190">
        <f>(I3917*0.7)/(K3917+L3917)</f>
        <v>2.8402821426077241E-2</v>
      </c>
      <c r="P3917" s="188">
        <v>1300670000</v>
      </c>
      <c r="Q3917" s="211">
        <f>P3917*E3917</f>
        <v>40828031300</v>
      </c>
      <c r="R3917" s="195">
        <f>Q3917/L3917</f>
        <v>3.9953059301301499</v>
      </c>
      <c r="S3917" s="197">
        <f>Q3917/H3917</f>
        <v>22.507183737596471</v>
      </c>
      <c r="T3917" s="180">
        <v>712000000</v>
      </c>
      <c r="U3917" s="189">
        <f>IFERROR(IF(Tableau3[[#This Row],[Dettes]]=0,"",(Tableau3[[#This Row],[Dettes]]/Tableau3[[#This Row],[EBE]])),"")</f>
        <v>2.2601984564498347</v>
      </c>
      <c r="V3917" s="190">
        <f>IFERROR(Tableau3[[#This Row],[Fonds propres]]/Tableau3[[#This Row],[Total Bilan]],"")</f>
        <v>0.75244827332302477</v>
      </c>
      <c r="W3917" s="180">
        <v>13581000000</v>
      </c>
      <c r="Y3917" s="180">
        <v>41418</v>
      </c>
      <c r="Z3917" s="192">
        <f>IFERROR(Tableau3[[#This Row],[Chiffre d''affaires]]/Tableau3[[#This Row],[Salariés]],"")</f>
        <v>206842.43565599498</v>
      </c>
      <c r="AA3917" s="177"/>
      <c r="AC3917" s="177" t="s">
        <v>4714</v>
      </c>
    </row>
    <row r="3918" spans="1:29" ht="20.25" customHeight="1">
      <c r="A3918" s="217"/>
      <c r="G3918" s="202">
        <f>(G3917/G3919)-1</f>
        <v>6.7007099265163683E-2</v>
      </c>
      <c r="H3918" s="202">
        <f>(H3917/H3919)-1</f>
        <v>-0.13205741626794254</v>
      </c>
      <c r="I3918" s="202">
        <f>(I3917/I3919)-1</f>
        <v>-0.49956933677863913</v>
      </c>
      <c r="J3918" s="202">
        <f>(J3917/J3919)-1</f>
        <v>-0.57701149425287357</v>
      </c>
      <c r="K3918" s="188"/>
      <c r="L3918" s="188"/>
      <c r="M3918" s="178"/>
      <c r="N3918" s="178"/>
      <c r="O3918" s="178"/>
      <c r="P3918" s="178"/>
      <c r="Q3918" s="178"/>
      <c r="R3918" s="178"/>
      <c r="S3918" s="178"/>
      <c r="T3918" s="180"/>
      <c r="U3918" s="189" t="str">
        <f>IFERROR(IF(Tableau3[[#This Row],[Dettes]]=0,"",(Tableau3[[#This Row],[Dettes]]/Tableau3[[#This Row],[EBE]])),"")</f>
        <v/>
      </c>
      <c r="V3918" s="190" t="str">
        <f>IFERROR(Tableau3[[#This Row],[Fonds propres]]/Tableau3[[#This Row],[Total Bilan]],"")</f>
        <v/>
      </c>
      <c r="W3918" s="180"/>
      <c r="Y3918" s="180"/>
      <c r="Z3918" s="192" t="str">
        <f>IFERROR(Tableau3[[#This Row],[Chiffre d''affaires]]/Tableau3[[#This Row],[Salariés]],"")</f>
        <v/>
      </c>
      <c r="AA3918" s="177"/>
      <c r="AC3918" s="177" t="s">
        <v>4710</v>
      </c>
    </row>
    <row r="3919" spans="1:29" ht="20.25" customHeight="1">
      <c r="A3919" s="217"/>
      <c r="E3919" s="178">
        <v>16.5</v>
      </c>
      <c r="F3919" s="178">
        <v>2019</v>
      </c>
      <c r="G3919" s="188">
        <v>8029000000</v>
      </c>
      <c r="H3919" s="188">
        <v>2090000000</v>
      </c>
      <c r="I3919" s="188">
        <v>1161000000</v>
      </c>
      <c r="J3919" s="188">
        <v>870000000</v>
      </c>
      <c r="K3919" s="188">
        <v>-2223000000</v>
      </c>
      <c r="L3919" s="188">
        <v>8633000000</v>
      </c>
      <c r="M3919" s="194">
        <f>L3919/P3919</f>
        <v>6.9359192724234342</v>
      </c>
      <c r="N3919" s="190">
        <f>J3919/L3919</f>
        <v>0.10077609174099386</v>
      </c>
      <c r="O3919" s="190">
        <f>(I3919*0.7)/(K3919+L3919)</f>
        <v>0.12678627145085802</v>
      </c>
      <c r="P3919" s="188">
        <v>1244680000</v>
      </c>
      <c r="Q3919" s="211">
        <f>P3919*E3919</f>
        <v>20537220000</v>
      </c>
      <c r="R3919" s="195">
        <f>Q3919/L3919</f>
        <v>2.378920421637901</v>
      </c>
      <c r="S3919" s="197">
        <f>Q3919/H3919</f>
        <v>9.8264210526315789</v>
      </c>
      <c r="T3919" s="180">
        <v>150000000</v>
      </c>
      <c r="U3919" s="189">
        <f>IFERROR(IF(Tableau3[[#This Row],[Dettes]]=0,"",(Tableau3[[#This Row],[Dettes]]/Tableau3[[#This Row],[EBE]])),"")</f>
        <v>-1.0636363636363637</v>
      </c>
      <c r="V3919" s="190">
        <f>IFERROR(Tableau3[[#This Row],[Fonds propres]]/Tableau3[[#This Row],[Total Bilan]],"")</f>
        <v>0.79354720102950638</v>
      </c>
      <c r="W3919" s="180">
        <v>10879000000</v>
      </c>
      <c r="Y3919" s="180"/>
      <c r="Z3919" s="192" t="str">
        <f>IFERROR(Tableau3[[#This Row],[Chiffre d''affaires]]/Tableau3[[#This Row],[Salariés]],"")</f>
        <v/>
      </c>
      <c r="AA3919" s="177"/>
      <c r="AC3919" s="177" t="s">
        <v>2720</v>
      </c>
    </row>
    <row r="3920" spans="1:29" ht="20.25" customHeight="1">
      <c r="A3920" s="217"/>
      <c r="G3920" s="202">
        <f>(G3919/G3921)-1</f>
        <v>5.65863929464403E-2</v>
      </c>
      <c r="H3920" s="202">
        <f>(H3919/H3921)-1</f>
        <v>-0.10377358490566035</v>
      </c>
      <c r="I3920" s="202">
        <f>(I3919/I3921)-1</f>
        <v>-0.20966643975493537</v>
      </c>
      <c r="J3920" s="202">
        <f>(J3919/J3921)-1</f>
        <v>-0.19069767441860463</v>
      </c>
      <c r="K3920" s="188"/>
      <c r="L3920" s="188"/>
      <c r="M3920" s="178"/>
      <c r="N3920" s="178"/>
      <c r="O3920" s="178"/>
      <c r="P3920" s="188"/>
      <c r="Q3920" s="178"/>
      <c r="R3920" s="178"/>
      <c r="S3920" s="178"/>
      <c r="T3920" s="180"/>
      <c r="U3920" s="189" t="str">
        <f>IFERROR(IF(Tableau3[[#This Row],[Dettes]]=0,"",(Tableau3[[#This Row],[Dettes]]/Tableau3[[#This Row],[EBE]])),"")</f>
        <v/>
      </c>
      <c r="V3920" s="190" t="str">
        <f>IFERROR(Tableau3[[#This Row],[Fonds propres]]/Tableau3[[#This Row],[Total Bilan]],"")</f>
        <v/>
      </c>
      <c r="W3920" s="180"/>
      <c r="Y3920" s="180"/>
      <c r="Z3920" s="192" t="str">
        <f>IFERROR(Tableau3[[#This Row],[Chiffre d''affaires]]/Tableau3[[#This Row],[Salariés]],"")</f>
        <v/>
      </c>
      <c r="AA3920" s="177"/>
      <c r="AC3920" s="177" t="s">
        <v>4716</v>
      </c>
    </row>
    <row r="3921" spans="1:29" ht="20.25" customHeight="1">
      <c r="A3921" s="217"/>
      <c r="E3921" s="178">
        <v>13.5</v>
      </c>
      <c r="F3921" s="178">
        <v>2018</v>
      </c>
      <c r="G3921" s="188">
        <v>7599000000</v>
      </c>
      <c r="H3921" s="188">
        <v>2332000000</v>
      </c>
      <c r="I3921" s="188">
        <v>1469000000</v>
      </c>
      <c r="J3921" s="188">
        <v>1075000000</v>
      </c>
      <c r="K3921" s="188">
        <v>-1011000000</v>
      </c>
      <c r="L3921" s="188">
        <v>6446000000</v>
      </c>
      <c r="M3921" s="194">
        <f>L3921/P3921</f>
        <v>5.6993810786914239</v>
      </c>
      <c r="N3921" s="190">
        <f>J3921/L3921</f>
        <v>0.16677008997828111</v>
      </c>
      <c r="O3921" s="190">
        <f>(I3921*0.7)/(K3921+L3921)</f>
        <v>0.1891996320147194</v>
      </c>
      <c r="P3921" s="188">
        <v>1131000000</v>
      </c>
      <c r="Q3921" s="211">
        <f>P3921*E3921</f>
        <v>15268500000</v>
      </c>
      <c r="R3921" s="195">
        <f>Q3921/L3921</f>
        <v>2.3686782500775676</v>
      </c>
      <c r="S3921" s="197">
        <f>Q3921/H3921</f>
        <v>6.547384219554031</v>
      </c>
      <c r="T3921" s="180">
        <v>618000000</v>
      </c>
      <c r="U3921" s="189">
        <f>IFERROR(IF(Tableau3[[#This Row],[Dettes]]=0,"",(Tableau3[[#This Row],[Dettes]]/Tableau3[[#This Row],[EBE]])),"")</f>
        <v>-0.43353344768439106</v>
      </c>
      <c r="V3921" s="190">
        <f>IFERROR(Tableau3[[#This Row],[Fonds propres]]/Tableau3[[#This Row],[Total Bilan]],"")</f>
        <v>0.64816490698843643</v>
      </c>
      <c r="W3921" s="180">
        <v>9945000000</v>
      </c>
      <c r="Y3921" s="180"/>
      <c r="Z3921" s="192" t="str">
        <f>IFERROR(Tableau3[[#This Row],[Chiffre d''affaires]]/Tableau3[[#This Row],[Salariés]],"")</f>
        <v/>
      </c>
      <c r="AA3921" s="177"/>
      <c r="AC3921" s="177" t="s">
        <v>2721</v>
      </c>
    </row>
    <row r="3922" spans="1:29" ht="20.25" customHeight="1">
      <c r="A3922" s="217"/>
      <c r="G3922" s="202">
        <f>(G3921/G3923)-1</f>
        <v>7.5888432677332585E-2</v>
      </c>
      <c r="H3922" s="202">
        <f>(H3921/H3923)-1</f>
        <v>0.28982300884955747</v>
      </c>
      <c r="I3922" s="202">
        <f>(I3921/I3923)-1</f>
        <v>0.49440488301119023</v>
      </c>
      <c r="J3922" s="202">
        <f>(J3921/J3923)-1</f>
        <v>0.360759493670886</v>
      </c>
      <c r="K3922" s="188"/>
      <c r="L3922" s="188"/>
      <c r="M3922" s="178"/>
      <c r="N3922" s="178"/>
      <c r="O3922" s="178"/>
      <c r="P3922" s="188"/>
      <c r="Q3922" s="178"/>
      <c r="R3922" s="178"/>
      <c r="S3922" s="178"/>
      <c r="T3922" s="180"/>
      <c r="U3922" s="189" t="str">
        <f>IFERROR(IF(Tableau3[[#This Row],[Dettes]]=0,"",(Tableau3[[#This Row],[Dettes]]/Tableau3[[#This Row],[EBE]])),"")</f>
        <v/>
      </c>
      <c r="V3922" s="190" t="str">
        <f>IFERROR(Tableau3[[#This Row],[Fonds propres]]/Tableau3[[#This Row],[Total Bilan]],"")</f>
        <v/>
      </c>
      <c r="W3922" s="180"/>
      <c r="Y3922" s="180"/>
      <c r="Z3922" s="192" t="str">
        <f>IFERROR(Tableau3[[#This Row],[Chiffre d''affaires]]/Tableau3[[#This Row],[Salariés]],"")</f>
        <v/>
      </c>
      <c r="AA3922" s="177"/>
      <c r="AC3922" s="177" t="s">
        <v>2722</v>
      </c>
    </row>
    <row r="3923" spans="1:29" ht="20.25" customHeight="1">
      <c r="A3923" s="217"/>
      <c r="E3923" s="178">
        <v>8.9</v>
      </c>
      <c r="F3923" s="178">
        <v>2017</v>
      </c>
      <c r="G3923" s="188">
        <v>7063000000</v>
      </c>
      <c r="H3923" s="188">
        <v>1808000000</v>
      </c>
      <c r="I3923" s="188">
        <v>983000000</v>
      </c>
      <c r="J3923" s="188">
        <v>790000000</v>
      </c>
      <c r="K3923" s="188">
        <v>-618000000</v>
      </c>
      <c r="L3923" s="188">
        <v>5636000000</v>
      </c>
      <c r="M3923" s="194">
        <f>L3923/P3923</f>
        <v>4.986728012741108</v>
      </c>
      <c r="N3923" s="190">
        <f>J3923/L3923</f>
        <v>0.14017033356990774</v>
      </c>
      <c r="O3923" s="190">
        <f>(I3923*0.7)/(K3923+L3923)</f>
        <v>0.13712634515743324</v>
      </c>
      <c r="P3923" s="188">
        <v>1130200000</v>
      </c>
      <c r="Q3923" s="211">
        <f>P3923*E3923</f>
        <v>10058780000</v>
      </c>
      <c r="R3923" s="195">
        <f>Q3923/L3923</f>
        <v>1.7847374024130589</v>
      </c>
      <c r="S3923" s="197">
        <f>Q3923/H3923</f>
        <v>5.5634845132743367</v>
      </c>
      <c r="T3923" s="180">
        <v>594000000</v>
      </c>
      <c r="U3923" s="189">
        <f>IFERROR(IF(Tableau3[[#This Row],[Dettes]]=0,"",(Tableau3[[#This Row],[Dettes]]/Tableau3[[#This Row],[EBE]])),"")</f>
        <v>-0.3418141592920354</v>
      </c>
      <c r="V3923" s="190">
        <f>IFERROR(Tableau3[[#This Row],[Fonds propres]]/Tableau3[[#This Row],[Total Bilan]],"")</f>
        <v>0.62022669747991632</v>
      </c>
      <c r="W3923" s="180">
        <v>9087000000</v>
      </c>
      <c r="Y3923" s="180"/>
      <c r="Z3923" s="192" t="str">
        <f>IFERROR(Tableau3[[#This Row],[Chiffre d''affaires]]/Tableau3[[#This Row],[Salariés]],"")</f>
        <v/>
      </c>
      <c r="AA3923" s="177"/>
      <c r="AC3923" s="177" t="s">
        <v>572</v>
      </c>
    </row>
    <row r="3924" spans="1:29" ht="20.25" customHeight="1">
      <c r="A3924" s="217"/>
      <c r="G3924" s="202">
        <f>(G3923/G3925)-1</f>
        <v>9.1147844894175822E-2</v>
      </c>
      <c r="H3924" s="202">
        <f>(H3923/H3925)-1</f>
        <v>0.12647975077881624</v>
      </c>
      <c r="I3924" s="202">
        <f>(I3923/I3925)-1</f>
        <v>0.28833551769331578</v>
      </c>
      <c r="J3924" s="202">
        <f>(J3923/J3925)-1</f>
        <v>6.1827956989247257E-2</v>
      </c>
      <c r="K3924" s="188"/>
      <c r="L3924" s="188"/>
      <c r="M3924" s="178"/>
      <c r="N3924" s="178"/>
      <c r="O3924" s="178"/>
      <c r="P3924" s="188"/>
      <c r="Q3924" s="178"/>
      <c r="R3924" s="178"/>
      <c r="S3924" s="178"/>
      <c r="T3924" s="180"/>
      <c r="U3924" s="189" t="str">
        <f>IFERROR(IF(Tableau3[[#This Row],[Dettes]]=0,"",(Tableau3[[#This Row],[Dettes]]/Tableau3[[#This Row],[EBE]])),"")</f>
        <v/>
      </c>
      <c r="V3924" s="190" t="str">
        <f>IFERROR(Tableau3[[#This Row],[Fonds propres]]/Tableau3[[#This Row],[Total Bilan]],"")</f>
        <v/>
      </c>
      <c r="W3924" s="180"/>
      <c r="Y3924" s="180"/>
      <c r="Z3924" s="192" t="str">
        <f>IFERROR(Tableau3[[#This Row],[Chiffre d''affaires]]/Tableau3[[#This Row],[Salariés]],"")</f>
        <v/>
      </c>
      <c r="AA3924" s="177"/>
      <c r="AC3924" s="177" t="s">
        <v>1625</v>
      </c>
    </row>
    <row r="3925" spans="1:29" ht="20.25" customHeight="1">
      <c r="A3925" s="217"/>
      <c r="E3925" s="178">
        <v>7.8</v>
      </c>
      <c r="F3925" s="178">
        <v>2016</v>
      </c>
      <c r="G3925" s="188">
        <v>6473000000</v>
      </c>
      <c r="H3925" s="188">
        <v>1605000000</v>
      </c>
      <c r="I3925" s="188">
        <v>763000000</v>
      </c>
      <c r="J3925" s="188">
        <v>744000000</v>
      </c>
      <c r="K3925" s="188">
        <v>-471000000</v>
      </c>
      <c r="L3925" s="188">
        <v>5023000000</v>
      </c>
      <c r="M3925" s="194">
        <f>L3925/P3925</f>
        <v>4.4582708335182444</v>
      </c>
      <c r="N3925" s="190">
        <f>J3925/L3925</f>
        <v>0.14811865419072268</v>
      </c>
      <c r="O3925" s="190">
        <f>(I3925*0.7)/(K3925+L3925)</f>
        <v>0.1173330404217926</v>
      </c>
      <c r="P3925" s="188">
        <v>1126670000</v>
      </c>
      <c r="Q3925" s="211">
        <f>P3925*E3925</f>
        <v>8788026000</v>
      </c>
      <c r="R3925" s="195">
        <f>Q3925/L3925</f>
        <v>1.7495572367111287</v>
      </c>
      <c r="S3925" s="197">
        <f>Q3925/H3925</f>
        <v>5.4754056074766355</v>
      </c>
      <c r="T3925" s="180">
        <v>465000000</v>
      </c>
      <c r="U3925" s="189">
        <f>IFERROR(IF(Tableau3[[#This Row],[Dettes]]=0,"",(Tableau3[[#This Row],[Dettes]]/Tableau3[[#This Row],[EBE]])),"")</f>
        <v>-0.29345794392523367</v>
      </c>
      <c r="V3925" s="190">
        <f>IFERROR(Tableau3[[#This Row],[Fonds propres]]/Tableau3[[#This Row],[Total Bilan]],"")</f>
        <v>0.5746482095870038</v>
      </c>
      <c r="W3925" s="180">
        <v>8741000000</v>
      </c>
      <c r="Y3925" s="180"/>
      <c r="Z3925" s="192" t="str">
        <f>IFERROR(Tableau3[[#This Row],[Chiffre d''affaires]]/Tableau3[[#This Row],[Salariés]],"")</f>
        <v/>
      </c>
      <c r="AA3925" s="177"/>
      <c r="AC3925" s="177" t="s">
        <v>4712</v>
      </c>
    </row>
    <row r="3926" spans="1:29" ht="20.25" customHeight="1">
      <c r="A3926" s="217"/>
      <c r="G3926" s="202">
        <f>(G3925/G3927)-1</f>
        <v>0.11699741156169119</v>
      </c>
      <c r="H3926" s="202">
        <f>(H3925/H3927)-1</f>
        <v>0.20767494356659144</v>
      </c>
      <c r="I3926" s="202">
        <f>(I3925/I3927)-1</f>
        <v>0.37477477477477472</v>
      </c>
      <c r="J3926" s="202">
        <f>(J3925/J3927)-1</f>
        <v>0.17721518987341778</v>
      </c>
      <c r="K3926" s="188"/>
      <c r="L3926" s="188"/>
      <c r="M3926" s="178"/>
      <c r="N3926" s="178"/>
      <c r="O3926" s="178"/>
      <c r="P3926" s="188"/>
      <c r="Q3926" s="178"/>
      <c r="R3926" s="178"/>
      <c r="S3926" s="178"/>
      <c r="T3926" s="180"/>
      <c r="U3926" s="189" t="str">
        <f>IFERROR(IF(Tableau3[[#This Row],[Dettes]]=0,"",(Tableau3[[#This Row],[Dettes]]/Tableau3[[#This Row],[EBE]])),"")</f>
        <v/>
      </c>
      <c r="V3926" s="190" t="str">
        <f>IFERROR(Tableau3[[#This Row],[Fonds propres]]/Tableau3[[#This Row],[Total Bilan]],"")</f>
        <v/>
      </c>
      <c r="W3926" s="180"/>
      <c r="Y3926" s="180"/>
      <c r="Z3926" s="192" t="str">
        <f>IFERROR(Tableau3[[#This Row],[Chiffre d''affaires]]/Tableau3[[#This Row],[Salariés]],"")</f>
        <v/>
      </c>
      <c r="AA3926" s="177"/>
      <c r="AC3926" s="177" t="s">
        <v>2723</v>
      </c>
    </row>
    <row r="3927" spans="1:29" ht="20.25" customHeight="1">
      <c r="A3927" s="217"/>
      <c r="E3927" s="178">
        <v>6.1</v>
      </c>
      <c r="F3927" s="178">
        <v>2015</v>
      </c>
      <c r="G3927" s="188">
        <v>5795000000</v>
      </c>
      <c r="H3927" s="188">
        <v>1329000000</v>
      </c>
      <c r="I3927" s="188">
        <v>555000000</v>
      </c>
      <c r="J3927" s="188">
        <v>632000000</v>
      </c>
      <c r="K3927" s="188">
        <v>-220000000</v>
      </c>
      <c r="L3927" s="188">
        <v>4664000000</v>
      </c>
      <c r="M3927" s="194">
        <f>L3927/P3927</f>
        <v>4.1521628815867953</v>
      </c>
      <c r="N3927" s="190">
        <f>J3927/L3927</f>
        <v>0.13550600343053174</v>
      </c>
      <c r="O3927" s="190">
        <f>(I3927*0.7)/(K3927+L3927)</f>
        <v>8.7421242124212414E-2</v>
      </c>
      <c r="P3927" s="188">
        <v>1123270000</v>
      </c>
      <c r="Q3927" s="211">
        <f>P3927*E3927</f>
        <v>6851947000</v>
      </c>
      <c r="R3927" s="195">
        <f>Q3927/L3927</f>
        <v>1.4691138507718697</v>
      </c>
      <c r="S3927" s="197">
        <f>Q3927/H3927</f>
        <v>5.155716328066215</v>
      </c>
      <c r="T3927" s="180">
        <v>32000000</v>
      </c>
      <c r="U3927" s="189">
        <f>IFERROR(IF(Tableau3[[#This Row],[Dettes]]=0,"",(Tableau3[[#This Row],[Dettes]]/Tableau3[[#This Row],[EBE]])),"")</f>
        <v>-0.16553799849510911</v>
      </c>
      <c r="V3927" s="190">
        <f>IFERROR(Tableau3[[#This Row],[Fonds propres]]/Tableau3[[#This Row],[Total Bilan]],"")</f>
        <v>0.72444858651755206</v>
      </c>
      <c r="W3927" s="180">
        <v>6438000000</v>
      </c>
      <c r="Y3927" s="180"/>
      <c r="Z3927" s="192" t="str">
        <f>IFERROR(Tableau3[[#This Row],[Chiffre d''affaires]]/Tableau3[[#This Row],[Salariés]],"")</f>
        <v/>
      </c>
      <c r="AA3927" s="177"/>
    </row>
    <row r="3928" spans="1:29" ht="20.25" customHeight="1">
      <c r="A3928" s="217"/>
      <c r="G3928" s="188"/>
      <c r="H3928" s="178"/>
      <c r="I3928" s="188"/>
      <c r="J3928" s="178"/>
      <c r="K3928" s="178"/>
      <c r="L3928" s="178"/>
      <c r="M3928" s="178"/>
      <c r="N3928" s="178"/>
      <c r="O3928" s="178"/>
      <c r="P3928" s="178"/>
      <c r="Q3928" s="178"/>
      <c r="R3928" s="178"/>
      <c r="S3928" s="178"/>
      <c r="T3928" s="180"/>
      <c r="U3928" s="189" t="str">
        <f>IFERROR(IF(Tableau3[[#This Row],[Dettes]]=0,"",(Tableau3[[#This Row],[Dettes]]/Tableau3[[#This Row],[EBE]])),"")</f>
        <v/>
      </c>
      <c r="V3928" s="190" t="str">
        <f>IFERROR(Tableau3[[#This Row],[Fonds propres]]/Tableau3[[#This Row],[Total Bilan]],"")</f>
        <v/>
      </c>
      <c r="W3928" s="180"/>
      <c r="Y3928" s="180"/>
      <c r="Z3928" s="192" t="str">
        <f>IFERROR(Tableau3[[#This Row],[Chiffre d''affaires]]/Tableau3[[#This Row],[Salariés]],"")</f>
        <v/>
      </c>
      <c r="AA3928" s="177"/>
    </row>
    <row r="3929" spans="1:29" ht="20.25" customHeight="1">
      <c r="A3929" s="217"/>
      <c r="G3929" s="188"/>
      <c r="H3929" s="178"/>
      <c r="I3929" s="178"/>
      <c r="J3929" s="178"/>
      <c r="K3929" s="178"/>
      <c r="L3929" s="178"/>
      <c r="M3929" s="178"/>
      <c r="N3929" s="178"/>
      <c r="O3929" s="178"/>
      <c r="P3929" s="178"/>
      <c r="Q3929" s="178"/>
      <c r="R3929" s="178"/>
      <c r="S3929" s="178"/>
      <c r="T3929" s="180"/>
      <c r="U3929" s="189" t="str">
        <f>IFERROR(IF(Tableau3[[#This Row],[Dettes]]=0,"",(Tableau3[[#This Row],[Dettes]]/Tableau3[[#This Row],[EBE]])),"")</f>
        <v/>
      </c>
      <c r="V3929" s="190" t="str">
        <f>IFERROR(Tableau3[[#This Row],[Fonds propres]]/Tableau3[[#This Row],[Total Bilan]],"")</f>
        <v/>
      </c>
      <c r="W3929" s="180"/>
      <c r="Y3929" s="180"/>
      <c r="Z3929" s="192" t="str">
        <f>IFERROR(Tableau3[[#This Row],[Chiffre d''affaires]]/Tableau3[[#This Row],[Salariés]],"")</f>
        <v/>
      </c>
      <c r="AA3929" s="177"/>
    </row>
    <row r="3930" spans="1:29" ht="20.25" customHeight="1">
      <c r="A3930" s="217"/>
      <c r="G3930" s="188"/>
      <c r="H3930" s="178"/>
      <c r="I3930" s="178"/>
      <c r="J3930" s="178"/>
      <c r="K3930" s="178"/>
      <c r="L3930" s="178"/>
      <c r="M3930" s="178"/>
      <c r="N3930" s="178"/>
      <c r="O3930" s="178"/>
      <c r="P3930" s="178"/>
      <c r="Q3930" s="178"/>
      <c r="R3930" s="178"/>
      <c r="S3930" s="178"/>
      <c r="T3930" s="180"/>
      <c r="U3930" s="189" t="str">
        <f>IFERROR(IF(Tableau3[[#This Row],[Dettes]]=0,"",(Tableau3[[#This Row],[Dettes]]/Tableau3[[#This Row],[EBE]])),"")</f>
        <v/>
      </c>
      <c r="V3930" s="190" t="str">
        <f>IFERROR(Tableau3[[#This Row],[Fonds propres]]/Tableau3[[#This Row],[Total Bilan]],"")</f>
        <v/>
      </c>
      <c r="W3930" s="180"/>
      <c r="Y3930" s="180"/>
      <c r="Z3930" s="192" t="str">
        <f>IFERROR(Tableau3[[#This Row],[Chiffre d''affaires]]/Tableau3[[#This Row],[Salariés]],"")</f>
        <v/>
      </c>
      <c r="AA3930" s="177"/>
    </row>
    <row r="3931" spans="1:29" ht="20.25" customHeight="1">
      <c r="A3931" s="217" t="s">
        <v>2724</v>
      </c>
      <c r="B3931" s="216" t="s">
        <v>2725</v>
      </c>
      <c r="C3931" s="178" t="s">
        <v>84</v>
      </c>
      <c r="D3931" s="178" t="s">
        <v>85</v>
      </c>
      <c r="E3931" s="178">
        <v>16.899999999999999</v>
      </c>
      <c r="F3931" s="178">
        <v>2021</v>
      </c>
      <c r="G3931" s="188"/>
      <c r="H3931" s="178"/>
      <c r="I3931" s="178"/>
      <c r="J3931" s="178"/>
      <c r="K3931" s="178"/>
      <c r="L3931" s="178"/>
      <c r="M3931" s="178"/>
      <c r="N3931" s="178"/>
      <c r="O3931" s="178"/>
      <c r="P3931" s="178"/>
      <c r="Q3931" s="178"/>
      <c r="R3931" s="178"/>
      <c r="S3931" s="178"/>
      <c r="T3931" s="180"/>
      <c r="U3931" s="189" t="str">
        <f>IFERROR(IF(Tableau3[[#This Row],[Dettes]]=0,"",(Tableau3[[#This Row],[Dettes]]/Tableau3[[#This Row],[EBE]])),"")</f>
        <v/>
      </c>
      <c r="V3931" s="190" t="str">
        <f>IFERROR(Tableau3[[#This Row],[Fonds propres]]/Tableau3[[#This Row],[Total Bilan]],"")</f>
        <v/>
      </c>
      <c r="W3931" s="180"/>
      <c r="Y3931" s="180"/>
      <c r="Z3931" s="192" t="str">
        <f>IFERROR(Tableau3[[#This Row],[Chiffre d''affaires]]/Tableau3[[#This Row],[Salariés]],"")</f>
        <v/>
      </c>
      <c r="AA3931" s="177"/>
      <c r="AC3931" s="177" t="s">
        <v>2726</v>
      </c>
    </row>
    <row r="3932" spans="1:29" ht="20.25" customHeight="1">
      <c r="A3932" s="217"/>
      <c r="G3932" s="188"/>
      <c r="H3932" s="178"/>
      <c r="I3932" s="178"/>
      <c r="J3932" s="178"/>
      <c r="K3932" s="178"/>
      <c r="L3932" s="178"/>
      <c r="M3932" s="178"/>
      <c r="N3932" s="178"/>
      <c r="O3932" s="178"/>
      <c r="P3932" s="178"/>
      <c r="Q3932" s="178"/>
      <c r="R3932" s="178"/>
      <c r="S3932" s="178"/>
      <c r="T3932" s="180"/>
      <c r="U3932" s="189" t="str">
        <f>IFERROR(IF(Tableau3[[#This Row],[Dettes]]=0,"",(Tableau3[[#This Row],[Dettes]]/Tableau3[[#This Row],[EBE]])),"")</f>
        <v/>
      </c>
      <c r="V3932" s="190" t="str">
        <f>IFERROR(Tableau3[[#This Row],[Fonds propres]]/Tableau3[[#This Row],[Total Bilan]],"")</f>
        <v/>
      </c>
      <c r="W3932" s="180"/>
      <c r="Y3932" s="180"/>
      <c r="Z3932" s="192" t="str">
        <f>IFERROR(Tableau3[[#This Row],[Chiffre d''affaires]]/Tableau3[[#This Row],[Salariés]],"")</f>
        <v/>
      </c>
      <c r="AA3932" s="177"/>
      <c r="AC3932" s="177" t="s">
        <v>2728</v>
      </c>
    </row>
    <row r="3933" spans="1:29" ht="20.25" customHeight="1">
      <c r="A3933" s="217"/>
      <c r="E3933" s="178">
        <v>18.399999999999999</v>
      </c>
      <c r="F3933" s="178">
        <v>2020</v>
      </c>
      <c r="G3933" s="188">
        <v>441400000</v>
      </c>
      <c r="H3933" s="188">
        <v>8000000</v>
      </c>
      <c r="I3933" s="188">
        <v>-21700000</v>
      </c>
      <c r="J3933" s="188">
        <v>-26300000</v>
      </c>
      <c r="K3933" s="178"/>
      <c r="L3933" s="188">
        <v>151500000</v>
      </c>
      <c r="M3933" s="194">
        <f>L3933/P3933</f>
        <v>1.5555705396871788</v>
      </c>
      <c r="N3933" s="190">
        <f>J3933/L3933</f>
        <v>-0.17359735973597359</v>
      </c>
      <c r="O3933" s="190">
        <f>(I3933*0.7)/(K3933+L3933)</f>
        <v>-0.10026402640264025</v>
      </c>
      <c r="P3933" s="188">
        <v>97391919</v>
      </c>
      <c r="Q3933" s="188">
        <f>P3933*E3933</f>
        <v>1792011309.5999999</v>
      </c>
      <c r="R3933" s="195">
        <f>Q3933/L3933</f>
        <v>11.82845748910891</v>
      </c>
      <c r="S3933" s="197">
        <f>(Q3933+K3933)/H3933</f>
        <v>224.0014137</v>
      </c>
      <c r="T3933" s="180"/>
      <c r="U3933" s="189" t="str">
        <f>IFERROR(IF(Tableau3[[#This Row],[Dettes]]=0,"",(Tableau3[[#This Row],[Dettes]]/Tableau3[[#This Row],[EBE]])),"")</f>
        <v/>
      </c>
      <c r="V3933" s="190" t="str">
        <f>IFERROR(Tableau3[[#This Row],[Fonds propres]]/Tableau3[[#This Row],[Total Bilan]],"")</f>
        <v/>
      </c>
      <c r="W3933" s="180"/>
      <c r="Y3933" s="180"/>
      <c r="Z3933" s="192" t="str">
        <f>IFERROR(Tableau3[[#This Row],[Chiffre d''affaires]]/Tableau3[[#This Row],[Salariés]],"")</f>
        <v/>
      </c>
      <c r="AA3933" s="177"/>
      <c r="AC3933" s="177" t="s">
        <v>2729</v>
      </c>
    </row>
    <row r="3934" spans="1:29" ht="20.25" customHeight="1">
      <c r="A3934" s="217"/>
      <c r="G3934" s="202">
        <f>(G3933/G3935)-1</f>
        <v>0.11888466413181242</v>
      </c>
      <c r="H3934" s="202">
        <f>(H3933/H3935)-1</f>
        <v>-0.77337110481586402</v>
      </c>
      <c r="I3934" s="202">
        <f>(I3933/I3935)-1</f>
        <v>-2.6953125</v>
      </c>
      <c r="J3934" s="202">
        <f>(J3933/J3935)-1</f>
        <v>-6.7173913043478262</v>
      </c>
      <c r="K3934" s="178"/>
      <c r="L3934" s="178"/>
      <c r="M3934" s="178"/>
      <c r="N3934" s="178"/>
      <c r="O3934" s="178"/>
      <c r="P3934" s="178"/>
      <c r="Q3934" s="178"/>
      <c r="R3934" s="178"/>
      <c r="S3934" s="178"/>
      <c r="T3934" s="180"/>
      <c r="U3934" s="189" t="str">
        <f>IFERROR(IF(Tableau3[[#This Row],[Dettes]]=0,"",(Tableau3[[#This Row],[Dettes]]/Tableau3[[#This Row],[EBE]])),"")</f>
        <v/>
      </c>
      <c r="V3934" s="190" t="str">
        <f>IFERROR(Tableau3[[#This Row],[Fonds propres]]/Tableau3[[#This Row],[Total Bilan]],"")</f>
        <v/>
      </c>
      <c r="W3934" s="180"/>
      <c r="Y3934" s="180"/>
      <c r="Z3934" s="192" t="str">
        <f>IFERROR(Tableau3[[#This Row],[Chiffre d''affaires]]/Tableau3[[#This Row],[Salariés]],"")</f>
        <v/>
      </c>
      <c r="AA3934" s="177"/>
      <c r="AC3934" s="177" t="s">
        <v>2730</v>
      </c>
    </row>
    <row r="3935" spans="1:29" ht="20.25" customHeight="1">
      <c r="A3935" s="217"/>
      <c r="F3935" s="178">
        <v>2019</v>
      </c>
      <c r="G3935" s="188">
        <v>394500000</v>
      </c>
      <c r="H3935" s="188">
        <v>35300000</v>
      </c>
      <c r="I3935" s="188">
        <v>12800000</v>
      </c>
      <c r="J3935" s="188">
        <v>4600000</v>
      </c>
      <c r="K3935" s="178"/>
      <c r="L3935" s="188">
        <v>176300000</v>
      </c>
      <c r="M3935" s="194" t="e">
        <f>L3935/P3935</f>
        <v>#DIV/0!</v>
      </c>
      <c r="N3935" s="190">
        <f>J3935/L3935</f>
        <v>2.6091888825865002E-2</v>
      </c>
      <c r="O3935" s="190">
        <f>(I3935*0.7)/(K3935+L3935)</f>
        <v>5.0822461712989223E-2</v>
      </c>
      <c r="P3935" s="188"/>
      <c r="Q3935" s="188"/>
      <c r="R3935" s="195"/>
      <c r="S3935" s="197"/>
      <c r="T3935" s="180"/>
      <c r="U3935" s="189" t="str">
        <f>IFERROR(IF(Tableau3[[#This Row],[Dettes]]=0,"",(Tableau3[[#This Row],[Dettes]]/Tableau3[[#This Row],[EBE]])),"")</f>
        <v/>
      </c>
      <c r="V3935" s="190" t="str">
        <f>IFERROR(Tableau3[[#This Row],[Fonds propres]]/Tableau3[[#This Row],[Total Bilan]],"")</f>
        <v/>
      </c>
      <c r="W3935" s="180"/>
      <c r="Y3935" s="180"/>
      <c r="Z3935" s="192" t="str">
        <f>IFERROR(Tableau3[[#This Row],[Chiffre d''affaires]]/Tableau3[[#This Row],[Salariés]],"")</f>
        <v/>
      </c>
      <c r="AA3935" s="177"/>
      <c r="AC3935" s="177" t="s">
        <v>2731</v>
      </c>
    </row>
    <row r="3936" spans="1:29" ht="20.25" customHeight="1">
      <c r="A3936" s="217"/>
      <c r="G3936" s="202">
        <f>(G3935/G3937)-1</f>
        <v>0.65686686266274674</v>
      </c>
      <c r="H3936" s="202">
        <f>(H3935/H3937)-1</f>
        <v>0.42914979757085026</v>
      </c>
      <c r="I3936" s="202">
        <f>(I3935/I3937)-1</f>
        <v>0.45454545454545459</v>
      </c>
      <c r="J3936" s="202">
        <f>(J3935/J3937)-1</f>
        <v>0.84000000000000008</v>
      </c>
      <c r="K3936" s="178"/>
      <c r="L3936" s="178"/>
      <c r="M3936" s="178"/>
      <c r="N3936" s="178"/>
      <c r="O3936" s="178"/>
      <c r="P3936" s="178"/>
      <c r="Q3936" s="178"/>
      <c r="R3936" s="178"/>
      <c r="S3936" s="178"/>
      <c r="T3936" s="180"/>
      <c r="U3936" s="189" t="str">
        <f>IFERROR(IF(Tableau3[[#This Row],[Dettes]]=0,"",(Tableau3[[#This Row],[Dettes]]/Tableau3[[#This Row],[EBE]])),"")</f>
        <v/>
      </c>
      <c r="V3936" s="190" t="str">
        <f>IFERROR(Tableau3[[#This Row],[Fonds propres]]/Tableau3[[#This Row],[Total Bilan]],"")</f>
        <v/>
      </c>
      <c r="W3936" s="180"/>
      <c r="Y3936" s="180"/>
      <c r="Z3936" s="192" t="str">
        <f>IFERROR(Tableau3[[#This Row],[Chiffre d''affaires]]/Tableau3[[#This Row],[Salariés]],"")</f>
        <v/>
      </c>
      <c r="AA3936" s="177"/>
      <c r="AC3936" s="177" t="s">
        <v>2732</v>
      </c>
    </row>
    <row r="3937" spans="1:29" ht="20.25" customHeight="1">
      <c r="A3937" s="217"/>
      <c r="F3937" s="178">
        <v>2018</v>
      </c>
      <c r="G3937" s="188">
        <v>238100000</v>
      </c>
      <c r="H3937" s="188">
        <v>24700000</v>
      </c>
      <c r="I3937" s="188">
        <v>8800000</v>
      </c>
      <c r="J3937" s="188">
        <v>2500000</v>
      </c>
      <c r="K3937" s="178"/>
      <c r="L3937" s="188">
        <v>35400000</v>
      </c>
      <c r="M3937" s="194" t="e">
        <f>L3937/P3937</f>
        <v>#DIV/0!</v>
      </c>
      <c r="N3937" s="190">
        <f>J3937/L3937</f>
        <v>7.0621468926553674E-2</v>
      </c>
      <c r="O3937" s="190">
        <f>(I3937*0.7)/(K3937+L3937)</f>
        <v>0.17401129943502824</v>
      </c>
      <c r="P3937" s="178"/>
      <c r="Q3937" s="188"/>
      <c r="R3937" s="195"/>
      <c r="S3937" s="197"/>
      <c r="T3937" s="180"/>
      <c r="U3937" s="189" t="str">
        <f>IFERROR(IF(Tableau3[[#This Row],[Dettes]]=0,"",(Tableau3[[#This Row],[Dettes]]/Tableau3[[#This Row],[EBE]])),"")</f>
        <v/>
      </c>
      <c r="V3937" s="190" t="str">
        <f>IFERROR(Tableau3[[#This Row],[Fonds propres]]/Tableau3[[#This Row],[Total Bilan]],"")</f>
        <v/>
      </c>
      <c r="W3937" s="180"/>
      <c r="Y3937" s="180"/>
      <c r="Z3937" s="192" t="str">
        <f>IFERROR(Tableau3[[#This Row],[Chiffre d''affaires]]/Tableau3[[#This Row],[Salariés]],"")</f>
        <v/>
      </c>
      <c r="AA3937" s="177"/>
      <c r="AC3937" s="177" t="s">
        <v>2733</v>
      </c>
    </row>
    <row r="3938" spans="1:29" ht="20.25" customHeight="1">
      <c r="A3938" s="217"/>
      <c r="G3938" s="188"/>
      <c r="H3938" s="178"/>
      <c r="I3938" s="178"/>
      <c r="J3938" s="178"/>
      <c r="K3938" s="178"/>
      <c r="L3938" s="188"/>
      <c r="M3938" s="178"/>
      <c r="N3938" s="178"/>
      <c r="O3938" s="178"/>
      <c r="P3938" s="178"/>
      <c r="Q3938" s="178"/>
      <c r="R3938" s="178"/>
      <c r="S3938" s="178"/>
      <c r="T3938" s="180"/>
      <c r="U3938" s="189" t="str">
        <f>IFERROR(IF(Tableau3[[#This Row],[Dettes]]=0,"",(Tableau3[[#This Row],[Dettes]]/Tableau3[[#This Row],[EBE]])),"")</f>
        <v/>
      </c>
      <c r="V3938" s="190" t="str">
        <f>IFERROR(Tableau3[[#This Row],[Fonds propres]]/Tableau3[[#This Row],[Total Bilan]],"")</f>
        <v/>
      </c>
      <c r="W3938" s="180"/>
      <c r="Y3938" s="180"/>
      <c r="Z3938" s="192" t="str">
        <f>IFERROR(Tableau3[[#This Row],[Chiffre d''affaires]]/Tableau3[[#This Row],[Salariés]],"")</f>
        <v/>
      </c>
      <c r="AA3938" s="177"/>
      <c r="AC3938" s="177" t="s">
        <v>2734</v>
      </c>
    </row>
    <row r="3939" spans="1:29" ht="20.25" customHeight="1">
      <c r="A3939" s="217"/>
      <c r="F3939" s="217" t="s">
        <v>2735</v>
      </c>
      <c r="G3939" s="188"/>
      <c r="H3939" s="178"/>
      <c r="I3939" s="178"/>
      <c r="J3939" s="178"/>
      <c r="K3939" s="178"/>
      <c r="L3939" s="178"/>
      <c r="M3939" s="178"/>
      <c r="N3939" s="178"/>
      <c r="O3939" s="178"/>
      <c r="P3939" s="178"/>
      <c r="Q3939" s="178"/>
      <c r="R3939" s="178"/>
      <c r="S3939" s="178"/>
      <c r="T3939" s="180"/>
      <c r="U3939" s="189" t="str">
        <f>IFERROR(IF(Tableau3[[#This Row],[Dettes]]=0,"",(Tableau3[[#This Row],[Dettes]]/Tableau3[[#This Row],[EBE]])),"")</f>
        <v/>
      </c>
      <c r="V3939" s="190" t="str">
        <f>IFERROR(Tableau3[[#This Row],[Fonds propres]]/Tableau3[[#This Row],[Total Bilan]],"")</f>
        <v/>
      </c>
      <c r="W3939" s="180"/>
      <c r="Y3939" s="180"/>
      <c r="Z3939" s="192" t="str">
        <f>IFERROR(Tableau3[[#This Row],[Chiffre d''affaires]]/Tableau3[[#This Row],[Salariés]],"")</f>
        <v/>
      </c>
      <c r="AA3939" s="177"/>
    </row>
    <row r="3940" spans="1:29" ht="20.25" customHeight="1">
      <c r="A3940" s="217"/>
      <c r="G3940" s="188"/>
      <c r="H3940" s="178"/>
      <c r="I3940" s="178"/>
      <c r="J3940" s="178"/>
      <c r="K3940" s="178"/>
      <c r="L3940" s="178"/>
      <c r="M3940" s="178"/>
      <c r="N3940" s="178"/>
      <c r="O3940" s="178"/>
      <c r="P3940" s="178"/>
      <c r="Q3940" s="178"/>
      <c r="R3940" s="178"/>
      <c r="S3940" s="178"/>
      <c r="T3940" s="180"/>
      <c r="U3940" s="189" t="str">
        <f>IFERROR(IF(Tableau3[[#This Row],[Dettes]]=0,"",(Tableau3[[#This Row],[Dettes]]/Tableau3[[#This Row],[EBE]])),"")</f>
        <v/>
      </c>
      <c r="V3940" s="190" t="str">
        <f>IFERROR(Tableau3[[#This Row],[Fonds propres]]/Tableau3[[#This Row],[Total Bilan]],"")</f>
        <v/>
      </c>
      <c r="W3940" s="180"/>
      <c r="Y3940" s="180"/>
      <c r="Z3940" s="192" t="str">
        <f>IFERROR(Tableau3[[#This Row],[Chiffre d''affaires]]/Tableau3[[#This Row],[Salariés]],"")</f>
        <v/>
      </c>
      <c r="AA3940" s="177"/>
    </row>
    <row r="3941" spans="1:29" ht="20.25" customHeight="1">
      <c r="A3941" s="217"/>
      <c r="G3941" s="188"/>
      <c r="H3941" s="178"/>
      <c r="I3941" s="178"/>
      <c r="J3941" s="178"/>
      <c r="K3941" s="178"/>
      <c r="L3941" s="178"/>
      <c r="M3941" s="178"/>
      <c r="N3941" s="178"/>
      <c r="O3941" s="178"/>
      <c r="P3941" s="178"/>
      <c r="Q3941" s="178"/>
      <c r="R3941" s="178"/>
      <c r="S3941" s="178"/>
      <c r="T3941" s="180"/>
      <c r="U3941" s="189" t="str">
        <f>IFERROR(IF(Tableau3[[#This Row],[Dettes]]=0,"",(Tableau3[[#This Row],[Dettes]]/Tableau3[[#This Row],[EBE]])),"")</f>
        <v/>
      </c>
      <c r="V3941" s="190" t="str">
        <f>IFERROR(Tableau3[[#This Row],[Fonds propres]]/Tableau3[[#This Row],[Total Bilan]],"")</f>
        <v/>
      </c>
      <c r="W3941" s="180"/>
      <c r="Y3941" s="180"/>
      <c r="Z3941" s="192" t="str">
        <f>IFERROR(Tableau3[[#This Row],[Chiffre d''affaires]]/Tableau3[[#This Row],[Salariés]],"")</f>
        <v/>
      </c>
      <c r="AA3941" s="177"/>
    </row>
    <row r="3942" spans="1:29" ht="20.25" customHeight="1">
      <c r="A3942" s="217"/>
      <c r="G3942" s="188"/>
      <c r="H3942" s="178"/>
      <c r="I3942" s="178"/>
      <c r="J3942" s="178"/>
      <c r="K3942" s="178"/>
      <c r="L3942" s="178"/>
      <c r="M3942" s="178"/>
      <c r="N3942" s="178"/>
      <c r="O3942" s="178"/>
      <c r="P3942" s="178"/>
      <c r="Q3942" s="178"/>
      <c r="R3942" s="178"/>
      <c r="S3942" s="178"/>
      <c r="T3942" s="180"/>
      <c r="U3942" s="189" t="str">
        <f>IFERROR(IF(Tableau3[[#This Row],[Dettes]]=0,"",(Tableau3[[#This Row],[Dettes]]/Tableau3[[#This Row],[EBE]])),"")</f>
        <v/>
      </c>
      <c r="V3942" s="190" t="str">
        <f>IFERROR(Tableau3[[#This Row],[Fonds propres]]/Tableau3[[#This Row],[Total Bilan]],"")</f>
        <v/>
      </c>
      <c r="W3942" s="180"/>
      <c r="Y3942" s="180"/>
      <c r="Z3942" s="192" t="str">
        <f>IFERROR(Tableau3[[#This Row],[Chiffre d''affaires]]/Tableau3[[#This Row],[Salariés]],"")</f>
        <v/>
      </c>
      <c r="AA3942" s="177"/>
    </row>
    <row r="3943" spans="1:29" ht="20.25" customHeight="1">
      <c r="A3943" s="217" t="s">
        <v>2736</v>
      </c>
      <c r="B3943" s="216" t="s">
        <v>2737</v>
      </c>
      <c r="C3943" s="178" t="s">
        <v>84</v>
      </c>
      <c r="D3943" s="178" t="s">
        <v>85</v>
      </c>
      <c r="E3943" s="187">
        <v>21.56</v>
      </c>
      <c r="F3943" s="178">
        <v>2025</v>
      </c>
      <c r="G3943" s="188">
        <v>18000000000</v>
      </c>
      <c r="H3943" s="188">
        <v>1100000000</v>
      </c>
      <c r="I3943" s="188">
        <v>400000000</v>
      </c>
      <c r="J3943" s="188">
        <v>100000000</v>
      </c>
      <c r="K3943" s="188">
        <v>927000000</v>
      </c>
      <c r="L3943" s="188">
        <v>10393000000</v>
      </c>
      <c r="M3943" s="194">
        <f>L3943/P3943</f>
        <v>22.519575622681813</v>
      </c>
      <c r="N3943" s="190">
        <f>J3943/L3943</f>
        <v>9.6218608678918498E-3</v>
      </c>
      <c r="O3943" s="190">
        <f>(I3943*0.7)/(K3943+L3943)</f>
        <v>2.4734982332155476E-2</v>
      </c>
      <c r="P3943" s="188">
        <v>461509585</v>
      </c>
      <c r="Q3943" s="188">
        <f>P3943*E3943</f>
        <v>9950146652.5999985</v>
      </c>
      <c r="R3943" s="195">
        <f>Q3943/L3943</f>
        <v>0.95738926706437011</v>
      </c>
      <c r="S3943" s="197">
        <f>(Q3943+K3943)/H3943</f>
        <v>9.8883151387272719</v>
      </c>
      <c r="T3943" s="180">
        <v>0</v>
      </c>
      <c r="U3943" s="189">
        <f>IFERROR(IF(Tableau3[[#This Row],[Dettes]]=0,"",(Tableau3[[#This Row],[Dettes]]/Tableau3[[#This Row],[EBE]])),"")</f>
        <v>0.84272727272727277</v>
      </c>
      <c r="V3943" s="190">
        <f>IFERROR(Tableau3[[#This Row],[Fonds propres]]/Tableau3[[#This Row],[Total Bilan]],"")</f>
        <v>0.30620783123655754</v>
      </c>
      <c r="W3943" s="180">
        <v>33941000000</v>
      </c>
      <c r="X3943" s="182" t="s">
        <v>1538</v>
      </c>
      <c r="Y3943" s="180">
        <v>80000</v>
      </c>
      <c r="Z3943" s="192">
        <f>IFERROR(Tableau3[[#This Row],[Chiffre d''affaires]]/Tableau3[[#This Row],[Salariés]],"")</f>
        <v>225000</v>
      </c>
      <c r="AA3943" s="178" t="s">
        <v>2288</v>
      </c>
      <c r="AC3943" s="177" t="s">
        <v>2738</v>
      </c>
    </row>
    <row r="3944" spans="1:29" ht="20.25" customHeight="1">
      <c r="A3944" s="217"/>
      <c r="G3944" s="202">
        <f>(G3943/G3945)-1</f>
        <v>2.1624382768602013E-2</v>
      </c>
      <c r="H3944" s="202">
        <f>(H3943/H3945)-1</f>
        <v>0.10000000000000009</v>
      </c>
      <c r="I3944" s="202">
        <f>(I3943/I3945)-1</f>
        <v>-34.333333333333336</v>
      </c>
      <c r="J3944" s="202">
        <f>(J3943/J3945)-1</f>
        <v>-1.3236245954692556</v>
      </c>
      <c r="K3944" s="178"/>
      <c r="L3944" s="178"/>
      <c r="M3944" s="178"/>
      <c r="N3944" s="178"/>
      <c r="O3944" s="178"/>
      <c r="P3944" s="178"/>
      <c r="Q3944" s="178"/>
      <c r="R3944" s="178"/>
      <c r="S3944" s="178"/>
      <c r="T3944" s="180"/>
      <c r="U3944" s="189" t="str">
        <f>IFERROR(IF(Tableau3[[#This Row],[Dettes]]=0,"",(Tableau3[[#This Row],[Dettes]]/Tableau3[[#This Row],[EBE]])),"")</f>
        <v/>
      </c>
      <c r="V3944" s="190" t="str">
        <f>IFERROR(Tableau3[[#This Row],[Fonds propres]]/Tableau3[[#This Row],[Total Bilan]],"")</f>
        <v/>
      </c>
      <c r="W3944" s="180"/>
      <c r="Y3944" s="180"/>
      <c r="Z3944" s="192" t="str">
        <f>IFERROR(Tableau3[[#This Row],[Chiffre d''affaires]]/Tableau3[[#This Row],[Salariés]],"")</f>
        <v/>
      </c>
      <c r="AA3944" s="178" t="s">
        <v>493</v>
      </c>
      <c r="AC3944" s="177" t="s">
        <v>2740</v>
      </c>
    </row>
    <row r="3945" spans="1:29" ht="20.25" customHeight="1">
      <c r="A3945" s="217"/>
      <c r="E3945" s="187">
        <v>21.56</v>
      </c>
      <c r="F3945" s="178">
        <v>2024</v>
      </c>
      <c r="G3945" s="188">
        <v>17619000000</v>
      </c>
      <c r="H3945" s="188">
        <v>1000000000</v>
      </c>
      <c r="I3945" s="188">
        <v>-12000000</v>
      </c>
      <c r="J3945" s="188">
        <v>-309000000</v>
      </c>
      <c r="K3945" s="188">
        <v>2964000000</v>
      </c>
      <c r="L3945" s="188">
        <v>8672000000</v>
      </c>
      <c r="M3945" s="194">
        <f>L3945/P3945</f>
        <v>22.566228367295803</v>
      </c>
      <c r="N3945" s="190">
        <f>J3945/L3945</f>
        <v>-3.5631918819188195E-2</v>
      </c>
      <c r="O3945" s="190">
        <f>(I3945*0.7)/(K3945+L3945)</f>
        <v>-7.2189755929872809E-4</v>
      </c>
      <c r="P3945" s="188">
        <v>384291068</v>
      </c>
      <c r="Q3945" s="188">
        <f>P3945*E3945</f>
        <v>8285315426.0799999</v>
      </c>
      <c r="R3945" s="195">
        <f>Q3945/L3945</f>
        <v>0.95540998916974174</v>
      </c>
      <c r="S3945" s="197">
        <f>(Q3945+K3945)/H3945</f>
        <v>11.249315426080001</v>
      </c>
      <c r="T3945" s="180">
        <v>-557000000</v>
      </c>
      <c r="U3945" s="189">
        <f>IFERROR(IF(Tableau3[[#This Row],[Dettes]]=0,"",(Tableau3[[#This Row],[Dettes]]/Tableau3[[#This Row],[EBE]])),"")</f>
        <v>2.964</v>
      </c>
      <c r="V3945" s="190">
        <f>IFERROR(Tableau3[[#This Row],[Fonds propres]]/Tableau3[[#This Row],[Total Bilan]],"")</f>
        <v>0.26078850028568851</v>
      </c>
      <c r="W3945" s="180">
        <v>33253000000</v>
      </c>
      <c r="Y3945" s="180"/>
      <c r="Z3945" s="192" t="str">
        <f>IFERROR(Tableau3[[#This Row],[Chiffre d''affaires]]/Tableau3[[#This Row],[Salariés]],"")</f>
        <v/>
      </c>
      <c r="AA3945" s="178" t="s">
        <v>2741</v>
      </c>
      <c r="AC3945" s="177" t="s">
        <v>2742</v>
      </c>
    </row>
    <row r="3946" spans="1:29" ht="20.25" customHeight="1">
      <c r="A3946" s="217"/>
      <c r="G3946" s="202">
        <f>(G3945/G3947)-1</f>
        <v>6.7365360150239306E-2</v>
      </c>
      <c r="H3946" s="202">
        <f>(H3945/H3947)-1</f>
        <v>0</v>
      </c>
      <c r="I3946" s="202">
        <f>(I3945/I3947)-1</f>
        <v>-0.84810126582278478</v>
      </c>
      <c r="J3946" s="202">
        <f>(J3945/J3947)-1</f>
        <v>1.3409090909090908</v>
      </c>
      <c r="K3946" s="202"/>
      <c r="L3946" s="178"/>
      <c r="M3946" s="178"/>
      <c r="N3946" s="178"/>
      <c r="O3946" s="178"/>
      <c r="P3946" s="178"/>
      <c r="Q3946" s="178"/>
      <c r="R3946" s="178"/>
      <c r="S3946" s="178"/>
      <c r="T3946" s="180"/>
      <c r="U3946" s="189" t="str">
        <f>IFERROR(IF(Tableau3[[#This Row],[Dettes]]=0,"",(Tableau3[[#This Row],[Dettes]]/Tableau3[[#This Row],[EBE]])),"")</f>
        <v/>
      </c>
      <c r="V3946" s="190" t="str">
        <f>IFERROR(Tableau3[[#This Row],[Fonds propres]]/Tableau3[[#This Row],[Total Bilan]],"")</f>
        <v/>
      </c>
      <c r="W3946" s="180"/>
      <c r="Y3946" s="180"/>
      <c r="Z3946" s="192" t="str">
        <f>IFERROR(Tableau3[[#This Row],[Chiffre d''affaires]]/Tableau3[[#This Row],[Salariés]],"")</f>
        <v/>
      </c>
      <c r="AC3946" s="177" t="s">
        <v>2743</v>
      </c>
    </row>
    <row r="3947" spans="1:29" ht="20.25" customHeight="1">
      <c r="A3947" s="217"/>
      <c r="E3947" s="187">
        <v>12.2</v>
      </c>
      <c r="F3947" s="178">
        <v>2023</v>
      </c>
      <c r="G3947" s="188">
        <v>16507000000</v>
      </c>
      <c r="H3947" s="188">
        <v>1000000000</v>
      </c>
      <c r="I3947" s="188">
        <v>-79000000</v>
      </c>
      <c r="J3947" s="188">
        <v>-132000000</v>
      </c>
      <c r="K3947" s="188">
        <v>2135000000</v>
      </c>
      <c r="L3947" s="188">
        <v>8997000000</v>
      </c>
      <c r="M3947" s="194">
        <f>L3947/P3947</f>
        <v>23.648096515901258</v>
      </c>
      <c r="N3947" s="190">
        <f>J3947/L3947</f>
        <v>-1.4671557185728577E-2</v>
      </c>
      <c r="O3947" s="190">
        <f>(I3947*0.7)/(K3947+L3947)</f>
        <v>-4.9676607977003238E-3</v>
      </c>
      <c r="P3947" s="188">
        <v>380453454</v>
      </c>
      <c r="Q3947" s="188">
        <f>P3947*E3947</f>
        <v>4641532138.8000002</v>
      </c>
      <c r="R3947" s="195">
        <f>Q3947/L3947</f>
        <v>0.51589775911970659</v>
      </c>
      <c r="S3947" s="197">
        <f>(Q3947+K3947)/H3947</f>
        <v>6.7765321388000004</v>
      </c>
      <c r="T3947" s="180">
        <v>-600000000</v>
      </c>
      <c r="U3947" s="189">
        <f>IFERROR(IF(Tableau3[[#This Row],[Dettes]]=0,"",(Tableau3[[#This Row],[Dettes]]/Tableau3[[#This Row],[EBE]])),"")</f>
        <v>2.1349999999999998</v>
      </c>
      <c r="V3947" s="190">
        <f>IFERROR(Tableau3[[#This Row],[Fonds propres]]/Tableau3[[#This Row],[Total Bilan]],"")</f>
        <v>0.28656516753726591</v>
      </c>
      <c r="W3947" s="180">
        <v>31396000000</v>
      </c>
      <c r="Y3947" s="180">
        <v>75000</v>
      </c>
      <c r="Z3947" s="192">
        <f>IFERROR(Tableau3[[#This Row],[Chiffre d''affaires]]/Tableau3[[#This Row],[Salariés]],"")</f>
        <v>220093.33333333334</v>
      </c>
      <c r="AC3947" s="177" t="s">
        <v>2744</v>
      </c>
    </row>
    <row r="3948" spans="1:29" ht="20.25" customHeight="1">
      <c r="A3948" s="217"/>
      <c r="G3948" s="202">
        <f>(G3947/G3949)-1</f>
        <v>6.6963997155969235E-2</v>
      </c>
      <c r="H3948" s="202">
        <f>(H3947/H3949)-1</f>
        <v>0.30378096479791394</v>
      </c>
      <c r="I3948" s="202">
        <f>(I3947/I3949)-1</f>
        <v>-0.49358974358974361</v>
      </c>
      <c r="J3948" s="202">
        <f>(J3947/J3949)-1</f>
        <v>-0.7728055077452668</v>
      </c>
      <c r="K3948" s="178"/>
      <c r="L3948" s="178"/>
      <c r="M3948" s="178"/>
      <c r="N3948" s="178"/>
      <c r="O3948" s="178"/>
      <c r="P3948" s="178"/>
      <c r="Q3948" s="178"/>
      <c r="R3948" s="178"/>
      <c r="S3948" s="178"/>
      <c r="T3948" s="180"/>
      <c r="U3948" s="189" t="str">
        <f>IFERROR(IF(Tableau3[[#This Row],[Dettes]]=0,"",(Tableau3[[#This Row],[Dettes]]/Tableau3[[#This Row],[EBE]])),"")</f>
        <v/>
      </c>
      <c r="V3948" s="190" t="str">
        <f>IFERROR(Tableau3[[#This Row],[Fonds propres]]/Tableau3[[#This Row],[Total Bilan]],"")</f>
        <v/>
      </c>
      <c r="W3948" s="180"/>
      <c r="Y3948" s="180"/>
      <c r="Z3948" s="192" t="str">
        <f>IFERROR(Tableau3[[#This Row],[Chiffre d''affaires]]/Tableau3[[#This Row],[Salariés]],"")</f>
        <v/>
      </c>
      <c r="AC3948" s="177" t="s">
        <v>2745</v>
      </c>
    </row>
    <row r="3949" spans="1:29" ht="20.25" customHeight="1">
      <c r="A3949" s="217"/>
      <c r="E3949" s="187">
        <v>22.82</v>
      </c>
      <c r="F3949" s="178">
        <v>2022</v>
      </c>
      <c r="G3949" s="188">
        <v>15471000000</v>
      </c>
      <c r="H3949" s="211">
        <v>767000000</v>
      </c>
      <c r="I3949" s="211">
        <v>-156000000</v>
      </c>
      <c r="J3949" s="188">
        <v>-581000000</v>
      </c>
      <c r="K3949" s="188">
        <v>2085000000</v>
      </c>
      <c r="L3949" s="188">
        <v>8911000000</v>
      </c>
      <c r="M3949" s="194">
        <f>L3949/P3949</f>
        <v>23.86501601993098</v>
      </c>
      <c r="N3949" s="190">
        <f>J3949/L3949</f>
        <v>-6.520031421838178E-2</v>
      </c>
      <c r="O3949" s="190">
        <f>(I3949*0.7)/(K3949+L3949)</f>
        <v>-9.9308839578028368E-3</v>
      </c>
      <c r="P3949" s="188">
        <v>373391746</v>
      </c>
      <c r="Q3949" s="188">
        <f>P3949*E3949</f>
        <v>8520799643.7200003</v>
      </c>
      <c r="R3949" s="195">
        <f>Q3949/L3949</f>
        <v>0.95621138410054995</v>
      </c>
      <c r="S3949" s="197">
        <f>(Q3949+K3949)/H3949</f>
        <v>13.827639691942636</v>
      </c>
      <c r="T3949" s="180">
        <v>-992000000</v>
      </c>
      <c r="U3949" s="189">
        <f>IFERROR(IF(Tableau3[[#This Row],[Dettes]]=0,"",(Tableau3[[#This Row],[Dettes]]/Tableau3[[#This Row],[EBE]])),"")</f>
        <v>2.7183833116036507</v>
      </c>
      <c r="V3949" s="190">
        <f>IFERROR(Tableau3[[#This Row],[Fonds propres]]/Tableau3[[#This Row],[Total Bilan]],"")</f>
        <v>0.29202031787645422</v>
      </c>
      <c r="W3949" s="180">
        <v>30515000000</v>
      </c>
      <c r="Y3949" s="180">
        <v>75000</v>
      </c>
      <c r="Z3949" s="192">
        <f>IFERROR(Tableau3[[#This Row],[Chiffre d''affaires]]/Tableau3[[#This Row],[Salariés]],"")</f>
        <v>206280</v>
      </c>
      <c r="AC3949" s="177" t="s">
        <v>2746</v>
      </c>
    </row>
    <row r="3950" spans="1:29" ht="20.25" customHeight="1">
      <c r="A3950" s="217"/>
      <c r="G3950" s="202">
        <f>(G3949/G3951)-1</f>
        <v>0.76107000569151961</v>
      </c>
      <c r="H3950" s="202">
        <f>(H3949/H3951)-1</f>
        <v>0.1099855282199711</v>
      </c>
      <c r="I3950" s="202">
        <f>(I3949/I3951)-1</f>
        <v>-1.52</v>
      </c>
      <c r="J3950" s="202">
        <f>(J3949/J3951)-1</f>
        <v>-3.3522267206477734</v>
      </c>
      <c r="K3950" s="178"/>
      <c r="L3950" s="178"/>
      <c r="M3950" s="178"/>
      <c r="N3950" s="178"/>
      <c r="O3950" s="178"/>
      <c r="P3950" s="178"/>
      <c r="Q3950" s="178"/>
      <c r="R3950" s="178"/>
      <c r="S3950" s="178"/>
      <c r="T3950" s="180"/>
      <c r="U3950" s="189" t="str">
        <f>IFERROR(IF(Tableau3[[#This Row],[Dettes]]=0,"",(Tableau3[[#This Row],[Dettes]]/Tableau3[[#This Row],[EBE]])),"")</f>
        <v/>
      </c>
      <c r="V3950" s="190" t="str">
        <f>IFERROR(Tableau3[[#This Row],[Fonds propres]]/Tableau3[[#This Row],[Total Bilan]],"")</f>
        <v/>
      </c>
      <c r="W3950" s="180"/>
      <c r="Y3950" s="180"/>
      <c r="Z3950" s="192" t="str">
        <f>IFERROR(Tableau3[[#This Row],[Chiffre d''affaires]]/Tableau3[[#This Row],[Salariés]],"")</f>
        <v/>
      </c>
      <c r="AA3950" s="177"/>
      <c r="AC3950" s="177" t="s">
        <v>2747</v>
      </c>
    </row>
    <row r="3951" spans="1:29" ht="20.25" customHeight="1">
      <c r="A3951" s="217"/>
      <c r="E3951" s="187">
        <v>31.22</v>
      </c>
      <c r="F3951" s="178">
        <v>2021</v>
      </c>
      <c r="G3951" s="188">
        <v>8785000000</v>
      </c>
      <c r="H3951" s="188">
        <f>I3951+391000000</f>
        <v>691000000</v>
      </c>
      <c r="I3951" s="188">
        <v>300000000</v>
      </c>
      <c r="J3951" s="188">
        <v>247000000</v>
      </c>
      <c r="K3951" s="188">
        <v>899000000</v>
      </c>
      <c r="L3951" s="188">
        <v>9039000000</v>
      </c>
      <c r="M3951" s="194">
        <f>L3951/P3951</f>
        <v>24.350636689947237</v>
      </c>
      <c r="N3951" s="190">
        <f>J3951/L3951</f>
        <v>2.7326031640668217E-2</v>
      </c>
      <c r="O3951" s="190">
        <f>(I3951*0.7)/(K3951+L3951)</f>
        <v>2.1131012276111895E-2</v>
      </c>
      <c r="P3951" s="188">
        <v>371201793</v>
      </c>
      <c r="Q3951" s="188">
        <f>P3951*E3951</f>
        <v>11588919977.459999</v>
      </c>
      <c r="R3951" s="195">
        <f>Q3951/L3951</f>
        <v>1.2821019999402588</v>
      </c>
      <c r="S3951" s="197">
        <f>(Q3951+K3951)/H3951</f>
        <v>18.072243093285092</v>
      </c>
      <c r="T3951" s="180">
        <v>-703000000</v>
      </c>
      <c r="U3951" s="189">
        <f>IFERROR(IF(Tableau3[[#This Row],[Dettes]]=0,"",(Tableau3[[#This Row],[Dettes]]/Tableau3[[#This Row],[EBE]])),"")</f>
        <v>1.3010130246020259</v>
      </c>
      <c r="V3951" s="190">
        <f>IFERROR(Tableau3[[#This Row],[Fonds propres]]/Tableau3[[#This Row],[Total Bilan]],"")</f>
        <v>0.31638081904095205</v>
      </c>
      <c r="W3951" s="180">
        <v>28570000000</v>
      </c>
      <c r="Y3951" s="180"/>
      <c r="Z3951" s="192" t="str">
        <f>IFERROR(Tableau3[[#This Row],[Chiffre d''affaires]]/Tableau3[[#This Row],[Salariés]],"")</f>
        <v/>
      </c>
      <c r="AA3951" s="177"/>
      <c r="AC3951" s="177" t="s">
        <v>2748</v>
      </c>
    </row>
    <row r="3952" spans="1:29" ht="20.25" customHeight="1">
      <c r="A3952" s="217"/>
      <c r="E3952" s="187"/>
      <c r="G3952" s="202">
        <f>(G3951/G3953)-1</f>
        <v>7.1210827947811195E-2</v>
      </c>
      <c r="H3952" s="202">
        <f>(H3951/H3953)-1</f>
        <v>-0.17541766109785206</v>
      </c>
      <c r="I3952" s="202">
        <f>(I3951/I3953)-1</f>
        <v>-0.44954128440366969</v>
      </c>
      <c r="J3952" s="202">
        <f>(J3951/J3953)-1</f>
        <v>-0.47109207708779444</v>
      </c>
      <c r="K3952" s="178"/>
      <c r="L3952" s="188"/>
      <c r="M3952" s="188"/>
      <c r="N3952" s="188"/>
      <c r="O3952" s="188"/>
      <c r="P3952" s="188"/>
      <c r="Q3952" s="188"/>
      <c r="R3952" s="188"/>
      <c r="S3952" s="188"/>
      <c r="T3952" s="180"/>
      <c r="U3952" s="189" t="str">
        <f>IFERROR(IF(Tableau3[[#This Row],[Dettes]]=0,"",(Tableau3[[#This Row],[Dettes]]/Tableau3[[#This Row],[EBE]])),"")</f>
        <v/>
      </c>
      <c r="V3952" s="190" t="str">
        <f>IFERROR(Tableau3[[#This Row],[Fonds propres]]/Tableau3[[#This Row],[Total Bilan]],"")</f>
        <v/>
      </c>
      <c r="W3952" s="180"/>
      <c r="Y3952" s="180"/>
      <c r="Z3952" s="192" t="str">
        <f>IFERROR(Tableau3[[#This Row],[Chiffre d''affaires]]/Tableau3[[#This Row],[Salariés]],"")</f>
        <v/>
      </c>
      <c r="AA3952" s="177"/>
      <c r="AC3952" s="177" t="s">
        <v>2749</v>
      </c>
    </row>
    <row r="3953" spans="1:29" ht="20.25" customHeight="1">
      <c r="A3953" s="217"/>
      <c r="E3953" s="187">
        <v>36.14</v>
      </c>
      <c r="F3953" s="178">
        <v>2020</v>
      </c>
      <c r="G3953" s="188">
        <v>8201000000</v>
      </c>
      <c r="H3953" s="188">
        <f>I3953+293000000</f>
        <v>838000000</v>
      </c>
      <c r="I3953" s="188">
        <v>545000000</v>
      </c>
      <c r="J3953" s="188">
        <v>467000000</v>
      </c>
      <c r="K3953" s="188">
        <v>-1178000000</v>
      </c>
      <c r="L3953" s="188">
        <v>3271000000</v>
      </c>
      <c r="M3953" s="194">
        <f>L3953/P3953</f>
        <v>14.475130570678328</v>
      </c>
      <c r="N3953" s="190">
        <f>J3953/L3953</f>
        <v>0.14276979516967289</v>
      </c>
      <c r="O3953" s="190">
        <f>(I3953*0.7)/(K3953+L3953)</f>
        <v>0.18227424749163879</v>
      </c>
      <c r="P3953" s="188">
        <v>225973782</v>
      </c>
      <c r="Q3953" s="188">
        <f>P3953*E3953</f>
        <v>8166692481.4800005</v>
      </c>
      <c r="R3953" s="195">
        <f>Q3953/L3953</f>
        <v>2.496695958874962</v>
      </c>
      <c r="S3953" s="197">
        <f>(Q3953+K3953)/H3953</f>
        <v>8.3397284981861581</v>
      </c>
      <c r="T3953" s="180">
        <v>108000000</v>
      </c>
      <c r="U3953" s="189">
        <f>IFERROR(IF(Tableau3[[#This Row],[Dettes]]=0,"",(Tableau3[[#This Row],[Dettes]]/Tableau3[[#This Row],[EBE]])),"")</f>
        <v>-1.4057279236276849</v>
      </c>
      <c r="V3953" s="190">
        <f>IFERROR(Tableau3[[#This Row],[Fonds propres]]/Tableau3[[#This Row],[Total Bilan]],"")</f>
        <v>0.2514219830899308</v>
      </c>
      <c r="W3953" s="180">
        <v>13010000000</v>
      </c>
      <c r="Y3953" s="180"/>
      <c r="Z3953" s="192" t="str">
        <f>IFERROR(Tableau3[[#This Row],[Chiffre d''affaires]]/Tableau3[[#This Row],[Salariés]],"")</f>
        <v/>
      </c>
      <c r="AA3953" s="177"/>
      <c r="AC3953" s="177" t="s">
        <v>2750</v>
      </c>
    </row>
    <row r="3954" spans="1:29" ht="20.25" customHeight="1">
      <c r="A3954" s="217"/>
      <c r="E3954" s="187"/>
      <c r="G3954" s="202">
        <f>(G3953/G3955)-1</f>
        <v>1.5981169474727386E-2</v>
      </c>
      <c r="H3954" s="202">
        <f>(H3953/H3955)-1</f>
        <v>0.38971807628524036</v>
      </c>
      <c r="I3954" s="202">
        <f>(I3953/I3955)-1</f>
        <v>0.33578431372549011</v>
      </c>
      <c r="J3954" s="202">
        <f>(J3953/J3955)-1</f>
        <v>-0.31424375917767988</v>
      </c>
      <c r="K3954" s="178"/>
      <c r="L3954" s="188"/>
      <c r="M3954" s="188"/>
      <c r="N3954" s="188"/>
      <c r="O3954" s="188"/>
      <c r="P3954" s="188"/>
      <c r="Q3954" s="188"/>
      <c r="R3954" s="188"/>
      <c r="S3954" s="188"/>
      <c r="T3954" s="180"/>
      <c r="U3954" s="189" t="str">
        <f>IFERROR(IF(Tableau3[[#This Row],[Dettes]]=0,"",(Tableau3[[#This Row],[Dettes]]/Tableau3[[#This Row],[EBE]])),"")</f>
        <v/>
      </c>
      <c r="V3954" s="190" t="str">
        <f>IFERROR(Tableau3[[#This Row],[Fonds propres]]/Tableau3[[#This Row],[Total Bilan]],"")</f>
        <v/>
      </c>
      <c r="W3954" s="180"/>
      <c r="Y3954" s="180"/>
      <c r="Z3954" s="192" t="str">
        <f>IFERROR(Tableau3[[#This Row],[Chiffre d''affaires]]/Tableau3[[#This Row],[Salariés]],"")</f>
        <v/>
      </c>
      <c r="AA3954" s="177"/>
      <c r="AC3954" s="177" t="s">
        <v>2751</v>
      </c>
    </row>
    <row r="3955" spans="1:29" ht="20.25" customHeight="1">
      <c r="A3955" s="217"/>
      <c r="E3955" s="187">
        <v>38.6</v>
      </c>
      <c r="F3955" s="178">
        <v>2019</v>
      </c>
      <c r="G3955" s="188">
        <v>8072000000</v>
      </c>
      <c r="H3955" s="188">
        <f>I3955+195000000</f>
        <v>603000000</v>
      </c>
      <c r="I3955" s="188">
        <v>408000000</v>
      </c>
      <c r="J3955" s="188">
        <v>681000000</v>
      </c>
      <c r="K3955" s="188">
        <v>-2325000000</v>
      </c>
      <c r="L3955" s="188">
        <v>4159000000</v>
      </c>
      <c r="M3955" s="194">
        <f>L3955/P3955</f>
        <v>18.602482320787189</v>
      </c>
      <c r="N3955" s="190">
        <f>J3955/L3955</f>
        <v>0.16374128396249099</v>
      </c>
      <c r="O3955" s="190">
        <f>(I3955*0.7)/(K3955+L3955)</f>
        <v>0.15572519083969466</v>
      </c>
      <c r="P3955" s="188">
        <v>223572313</v>
      </c>
      <c r="Q3955" s="188">
        <f>P3955*E3955</f>
        <v>8629891281.8000011</v>
      </c>
      <c r="R3955" s="195">
        <f>Q3955/L3955</f>
        <v>2.0749918927145949</v>
      </c>
      <c r="S3955" s="197">
        <f>(Q3955+K3955)/H3955</f>
        <v>10.455872772470981</v>
      </c>
      <c r="T3955" s="180">
        <v>420000000</v>
      </c>
      <c r="U3955" s="189">
        <f>IFERROR(IF(Tableau3[[#This Row],[Dettes]]=0,"",(Tableau3[[#This Row],[Dettes]]/Tableau3[[#This Row],[EBE]])),"")</f>
        <v>-3.855721393034826</v>
      </c>
      <c r="V3955" s="190">
        <f>IFERROR(Tableau3[[#This Row],[Fonds propres]]/Tableau3[[#This Row],[Total Bilan]],"")</f>
        <v>0.31014168530947056</v>
      </c>
      <c r="W3955" s="180">
        <v>13410000000</v>
      </c>
      <c r="Y3955" s="180"/>
      <c r="Z3955" s="192" t="str">
        <f>IFERROR(Tableau3[[#This Row],[Chiffre d''affaires]]/Tableau3[[#This Row],[Salariés]],"")</f>
        <v/>
      </c>
      <c r="AA3955" s="177"/>
      <c r="AC3955" s="177" t="s">
        <v>2752</v>
      </c>
    </row>
    <row r="3956" spans="1:29" ht="20.25" customHeight="1">
      <c r="A3956" s="217"/>
      <c r="E3956" s="187"/>
      <c r="G3956" s="202">
        <f>(G3955/G3957)-1</f>
        <v>9.8829294854342553E-2</v>
      </c>
      <c r="H3956" s="202">
        <f>(H3955/H3957)-1</f>
        <v>0.41882352941176482</v>
      </c>
      <c r="I3956" s="202">
        <f>(I3955/I3957)-1</f>
        <v>0.54545454545454541</v>
      </c>
      <c r="J3956" s="202">
        <f>(J3955/J3957)-1</f>
        <v>0.86575342465753424</v>
      </c>
      <c r="K3956" s="188"/>
      <c r="L3956" s="188"/>
      <c r="M3956" s="188"/>
      <c r="N3956" s="188"/>
      <c r="O3956" s="188"/>
      <c r="P3956" s="188"/>
      <c r="Q3956" s="188"/>
      <c r="R3956" s="188"/>
      <c r="S3956" s="188"/>
      <c r="T3956" s="180"/>
      <c r="U3956" s="189" t="str">
        <f>IFERROR(IF(Tableau3[[#This Row],[Dettes]]=0,"",(Tableau3[[#This Row],[Dettes]]/Tableau3[[#This Row],[EBE]])),"")</f>
        <v/>
      </c>
      <c r="V3956" s="190" t="str">
        <f>IFERROR(Tableau3[[#This Row],[Fonds propres]]/Tableau3[[#This Row],[Total Bilan]],"")</f>
        <v/>
      </c>
      <c r="W3956" s="180"/>
      <c r="Y3956" s="180"/>
      <c r="Z3956" s="192" t="str">
        <f>IFERROR(Tableau3[[#This Row],[Chiffre d''affaires]]/Tableau3[[#This Row],[Salariés]],"")</f>
        <v/>
      </c>
      <c r="AA3956" s="177"/>
      <c r="AC3956" s="177" t="s">
        <v>2753</v>
      </c>
    </row>
    <row r="3957" spans="1:29" ht="20.25" customHeight="1">
      <c r="A3957" s="217"/>
      <c r="E3957" s="187">
        <v>34.65</v>
      </c>
      <c r="F3957" s="178">
        <v>2018</v>
      </c>
      <c r="G3957" s="188">
        <v>7346000000</v>
      </c>
      <c r="H3957" s="188">
        <f>I3957+161000000</f>
        <v>425000000</v>
      </c>
      <c r="I3957" s="188">
        <v>264000000</v>
      </c>
      <c r="J3957" s="188">
        <v>365000000</v>
      </c>
      <c r="K3957" s="188">
        <v>255000000</v>
      </c>
      <c r="L3957" s="188">
        <v>3376000000</v>
      </c>
      <c r="M3957" s="194">
        <f>L3957/P3957</f>
        <v>15.192803403040354</v>
      </c>
      <c r="N3957" s="190">
        <f>J3957/L3957</f>
        <v>0.10811611374407583</v>
      </c>
      <c r="O3957" s="190">
        <f>(I3957*0.7)/(K3957+L3957)</f>
        <v>5.0895070228587164E-2</v>
      </c>
      <c r="P3957" s="188">
        <v>222210471</v>
      </c>
      <c r="Q3957" s="188">
        <f>P3957*E3957</f>
        <v>7699592820.1499996</v>
      </c>
      <c r="R3957" s="195">
        <f>Q3957/L3957</f>
        <v>2.2806850770586493</v>
      </c>
      <c r="S3957" s="197">
        <f>(Q3957+K3957)/H3957</f>
        <v>18.716688988588235</v>
      </c>
      <c r="T3957" s="180"/>
      <c r="U3957" s="189">
        <f>IFERROR(IF(Tableau3[[#This Row],[Dettes]]=0,"",(Tableau3[[#This Row],[Dettes]]/Tableau3[[#This Row],[EBE]])),"")</f>
        <v>0.6</v>
      </c>
      <c r="V3957" s="190">
        <f>IFERROR(Tableau3[[#This Row],[Fonds propres]]/Tableau3[[#This Row],[Total Bilan]],"")</f>
        <v>0.2547924528301887</v>
      </c>
      <c r="W3957" s="180">
        <v>13250000000</v>
      </c>
      <c r="Y3957" s="180"/>
      <c r="Z3957" s="192" t="str">
        <f>IFERROR(Tableau3[[#This Row],[Chiffre d''affaires]]/Tableau3[[#This Row],[Salariés]],"")</f>
        <v/>
      </c>
      <c r="AA3957" s="177"/>
      <c r="AC3957" s="177" t="s">
        <v>2754</v>
      </c>
    </row>
    <row r="3958" spans="1:29" ht="20.25" customHeight="1">
      <c r="A3958" s="217"/>
      <c r="E3958" s="187"/>
      <c r="G3958" s="202">
        <f>(G3957/G3959)-1</f>
        <v>5.4749520941692609E-3</v>
      </c>
      <c r="H3958" s="202">
        <f>(H3957/H3959)-1</f>
        <v>-0.17475728155339809</v>
      </c>
      <c r="I3958" s="202">
        <f>(I3957/I3959)-1</f>
        <v>-0.26256983240223464</v>
      </c>
      <c r="J3958" s="202">
        <f>(J3957/J3959)-1</f>
        <v>0.26297577854671284</v>
      </c>
      <c r="K3958" s="188"/>
      <c r="L3958" s="188"/>
      <c r="M3958" s="188"/>
      <c r="N3958" s="188"/>
      <c r="O3958" s="188"/>
      <c r="P3958" s="188"/>
      <c r="Q3958" s="188"/>
      <c r="R3958" s="188"/>
      <c r="S3958" s="188"/>
      <c r="T3958" s="180"/>
      <c r="U3958" s="189" t="str">
        <f>IFERROR(IF(Tableau3[[#This Row],[Dettes]]=0,"",(Tableau3[[#This Row],[Dettes]]/Tableau3[[#This Row],[EBE]])),"")</f>
        <v/>
      </c>
      <c r="V3958" s="190" t="str">
        <f>IFERROR(Tableau3[[#This Row],[Fonds propres]]/Tableau3[[#This Row],[Total Bilan]],"")</f>
        <v/>
      </c>
      <c r="W3958" s="180"/>
      <c r="Y3958" s="180"/>
      <c r="Z3958" s="192" t="str">
        <f>IFERROR(Tableau3[[#This Row],[Chiffre d''affaires]]/Tableau3[[#This Row],[Salariés]],"")</f>
        <v/>
      </c>
      <c r="AA3958" s="177"/>
      <c r="AC3958" s="177" t="s">
        <v>2755</v>
      </c>
    </row>
    <row r="3959" spans="1:29" ht="20.25" customHeight="1">
      <c r="A3959" s="217"/>
      <c r="E3959" s="187">
        <v>28.1</v>
      </c>
      <c r="F3959" s="178">
        <v>2017</v>
      </c>
      <c r="G3959" s="188">
        <v>7306000000</v>
      </c>
      <c r="H3959" s="188">
        <f>I3959+157000000</f>
        <v>515000000</v>
      </c>
      <c r="I3959" s="188">
        <v>358000000</v>
      </c>
      <c r="J3959" s="188">
        <v>289000000</v>
      </c>
      <c r="K3959" s="188">
        <v>208000000</v>
      </c>
      <c r="L3959" s="188">
        <v>3150000000</v>
      </c>
      <c r="M3959" s="194">
        <f>L3959/P3959</f>
        <v>14.336961282421615</v>
      </c>
      <c r="N3959" s="190">
        <f>J3959/L3959</f>
        <v>9.1746031746031742E-2</v>
      </c>
      <c r="O3959" s="190">
        <f>(I3959*0.7)/(K3959+L3959)</f>
        <v>7.4627754615842756E-2</v>
      </c>
      <c r="P3959" s="188">
        <v>219711830</v>
      </c>
      <c r="Q3959" s="188">
        <f>P3959*E3959</f>
        <v>6173902423</v>
      </c>
      <c r="R3959" s="195">
        <f>Q3959/L3959</f>
        <v>1.9599690231746032</v>
      </c>
      <c r="S3959" s="197">
        <f>(Q3959+K3959)/H3959</f>
        <v>12.392043539805826</v>
      </c>
      <c r="T3959" s="180"/>
      <c r="U3959" s="189">
        <f>IFERROR(IF(Tableau3[[#This Row],[Dettes]]=0,"",(Tableau3[[#This Row],[Dettes]]/Tableau3[[#This Row],[EBE]])),"")</f>
        <v>0.40388349514563104</v>
      </c>
      <c r="V3959" s="190">
        <f>IFERROR(Tableau3[[#This Row],[Fonds propres]]/Tableau3[[#This Row],[Total Bilan]],"")</f>
        <v>0.21935933147632311</v>
      </c>
      <c r="W3959" s="180">
        <v>14360000000</v>
      </c>
      <c r="Y3959" s="180"/>
      <c r="Z3959" s="192" t="str">
        <f>IFERROR(Tableau3[[#This Row],[Chiffre d''affaires]]/Tableau3[[#This Row],[Salariés]],"")</f>
        <v/>
      </c>
      <c r="AA3959" s="177"/>
      <c r="AC3959" s="177" t="s">
        <v>2756</v>
      </c>
    </row>
    <row r="3960" spans="1:29" ht="20.25" customHeight="1">
      <c r="A3960" s="217"/>
      <c r="E3960" s="187"/>
      <c r="G3960" s="202">
        <f>(G3959/G3961)-1</f>
        <v>6.1764278447900001E-2</v>
      </c>
      <c r="H3960" s="202">
        <f>(H3959/H3961)-1</f>
        <v>0.18390804597701149</v>
      </c>
      <c r="I3960" s="202">
        <f>(I3959/I3961)-1</f>
        <v>-2.584070796460177</v>
      </c>
      <c r="J3960" s="202">
        <f>(J3959/J3961)-1</f>
        <v>-0.90369876707764074</v>
      </c>
      <c r="K3960" s="188"/>
      <c r="L3960" s="188"/>
      <c r="M3960" s="188"/>
      <c r="N3960" s="188"/>
      <c r="O3960" s="188"/>
      <c r="P3960" s="188"/>
      <c r="Q3960" s="188"/>
      <c r="R3960" s="188"/>
      <c r="S3960" s="188"/>
      <c r="T3960" s="180"/>
      <c r="U3960" s="189" t="str">
        <f>IFERROR(IF(Tableau3[[#This Row],[Dettes]]=0,"",(Tableau3[[#This Row],[Dettes]]/Tableau3[[#This Row],[EBE]])),"")</f>
        <v/>
      </c>
      <c r="V3960" s="190" t="str">
        <f>IFERROR(Tableau3[[#This Row],[Fonds propres]]/Tableau3[[#This Row],[Total Bilan]],"")</f>
        <v/>
      </c>
      <c r="W3960" s="180"/>
      <c r="Y3960" s="180"/>
      <c r="Z3960" s="192" t="str">
        <f>IFERROR(Tableau3[[#This Row],[Chiffre d''affaires]]/Tableau3[[#This Row],[Salariés]],"")</f>
        <v/>
      </c>
      <c r="AA3960" s="177"/>
      <c r="AC3960" s="177" t="s">
        <v>2757</v>
      </c>
    </row>
    <row r="3961" spans="1:29" ht="20.25" customHeight="1">
      <c r="A3961" s="217"/>
      <c r="E3961" s="187">
        <v>22.9</v>
      </c>
      <c r="F3961" s="178">
        <v>2016</v>
      </c>
      <c r="G3961" s="188">
        <v>6881000000</v>
      </c>
      <c r="H3961" s="188">
        <f>I3961+661000000</f>
        <v>435000000</v>
      </c>
      <c r="I3961" s="188">
        <v>-226000000</v>
      </c>
      <c r="J3961" s="188">
        <v>3001000000</v>
      </c>
      <c r="K3961" s="188">
        <v>203000000</v>
      </c>
      <c r="L3961" s="188">
        <v>3279000000</v>
      </c>
      <c r="M3961" s="194">
        <f>L3961/P3961</f>
        <v>14.963938892421268</v>
      </c>
      <c r="N3961" s="190">
        <f>J3961/L3961</f>
        <v>0.91521805428484293</v>
      </c>
      <c r="O3961" s="190">
        <f>(I3961*0.7)/(K3961+L3961)</f>
        <v>-4.5433658816771971E-2</v>
      </c>
      <c r="P3961" s="188">
        <v>219126797</v>
      </c>
      <c r="Q3961" s="188">
        <f>P3961*E3961</f>
        <v>5018003651.2999992</v>
      </c>
      <c r="R3961" s="195">
        <f>Q3961/L3961</f>
        <v>1.5303457308020736</v>
      </c>
      <c r="S3961" s="197">
        <f>(Q3961+K3961)/H3961</f>
        <v>12.002307244367815</v>
      </c>
      <c r="T3961" s="180"/>
      <c r="U3961" s="189">
        <f>IFERROR(IF(Tableau3[[#This Row],[Dettes]]=0,"",(Tableau3[[#This Row],[Dettes]]/Tableau3[[#This Row],[EBE]])),"")</f>
        <v>0.46666666666666667</v>
      </c>
      <c r="V3961" s="190" t="str">
        <f>IFERROR(Tableau3[[#This Row],[Fonds propres]]/Tableau3[[#This Row],[Total Bilan]],"")</f>
        <v/>
      </c>
      <c r="W3961" s="180"/>
      <c r="Y3961" s="180"/>
      <c r="Z3961" s="192" t="str">
        <f>IFERROR(Tableau3[[#This Row],[Chiffre d''affaires]]/Tableau3[[#This Row],[Salariés]],"")</f>
        <v/>
      </c>
      <c r="AA3961" s="177"/>
      <c r="AC3961" s="177" t="s">
        <v>2758</v>
      </c>
    </row>
    <row r="3962" spans="1:29" ht="20.25" customHeight="1">
      <c r="A3962" s="217"/>
      <c r="G3962" s="202">
        <f>(G3961/G3963)-1</f>
        <v>0.11650170371572277</v>
      </c>
      <c r="H3962" s="202">
        <f>(H3961/H3963)-1</f>
        <v>-2.403225806451613</v>
      </c>
      <c r="I3962" s="202">
        <f>(I3961/I3963)-1</f>
        <v>-0.63607085346215775</v>
      </c>
      <c r="J3962" s="202">
        <f>(J3961/J3963)-1</f>
        <v>-5.1738525730180811</v>
      </c>
      <c r="K3962" s="188"/>
      <c r="L3962" s="188"/>
      <c r="M3962" s="178"/>
      <c r="N3962" s="178"/>
      <c r="O3962" s="178"/>
      <c r="P3962" s="178"/>
      <c r="Q3962" s="178"/>
      <c r="R3962" s="178"/>
      <c r="S3962" s="178"/>
      <c r="T3962" s="180"/>
      <c r="U3962" s="189" t="str">
        <f>IFERROR(IF(Tableau3[[#This Row],[Dettes]]=0,"",(Tableau3[[#This Row],[Dettes]]/Tableau3[[#This Row],[EBE]])),"")</f>
        <v/>
      </c>
      <c r="V3962" s="190" t="str">
        <f>IFERROR(Tableau3[[#This Row],[Fonds propres]]/Tableau3[[#This Row],[Total Bilan]],"")</f>
        <v/>
      </c>
      <c r="W3962" s="180"/>
      <c r="Y3962" s="180"/>
      <c r="Z3962" s="192" t="str">
        <f>IFERROR(Tableau3[[#This Row],[Chiffre d''affaires]]/Tableau3[[#This Row],[Salariés]],"")</f>
        <v/>
      </c>
      <c r="AA3962" s="177"/>
      <c r="AC3962" s="177" t="s">
        <v>2759</v>
      </c>
    </row>
    <row r="3963" spans="1:29" ht="20.25" customHeight="1">
      <c r="A3963" s="217"/>
      <c r="E3963" s="187">
        <v>28.96</v>
      </c>
      <c r="F3963" s="178">
        <v>2015</v>
      </c>
      <c r="G3963" s="188">
        <v>6163000000</v>
      </c>
      <c r="H3963" s="188">
        <f>I3963+311000000</f>
        <v>-310000000</v>
      </c>
      <c r="I3963" s="188">
        <v>-621000000</v>
      </c>
      <c r="J3963" s="188">
        <v>-719000000</v>
      </c>
      <c r="K3963" s="188">
        <v>3143000000</v>
      </c>
      <c r="L3963" s="188">
        <v>4134000000</v>
      </c>
      <c r="M3963" s="194">
        <f>L3963/P3963</f>
        <v>13.344416149626761</v>
      </c>
      <c r="N3963" s="190">
        <f>J3963/L3963</f>
        <v>-0.17392356071601356</v>
      </c>
      <c r="O3963" s="190">
        <f>(I3963*0.7)/(K3963+L3963)</f>
        <v>-5.973615500893225E-2</v>
      </c>
      <c r="P3963" s="188">
        <v>309792497</v>
      </c>
      <c r="Q3963" s="188">
        <f>P3963*E3963</f>
        <v>8971590713.1200008</v>
      </c>
      <c r="R3963" s="195">
        <f>Q3963/L3963</f>
        <v>2.1701961086405421</v>
      </c>
      <c r="S3963" s="197">
        <f>(Q3963+K3963)/H3963</f>
        <v>-39.079324881032264</v>
      </c>
      <c r="T3963" s="180"/>
      <c r="U3963" s="189">
        <f>IFERROR(IF(Tableau3[[#This Row],[Dettes]]=0,"",(Tableau3[[#This Row],[Dettes]]/Tableau3[[#This Row],[EBE]])),"")</f>
        <v>-10.138709677419355</v>
      </c>
      <c r="V3963" s="190" t="str">
        <f>IFERROR(Tableau3[[#This Row],[Fonds propres]]/Tableau3[[#This Row],[Total Bilan]],"")</f>
        <v/>
      </c>
      <c r="W3963" s="180"/>
      <c r="Y3963" s="180"/>
      <c r="Z3963" s="192" t="str">
        <f>IFERROR(Tableau3[[#This Row],[Chiffre d''affaires]]/Tableau3[[#This Row],[Salariés]],"")</f>
        <v/>
      </c>
      <c r="AA3963" s="177"/>
      <c r="AC3963" s="177" t="s">
        <v>2760</v>
      </c>
    </row>
    <row r="3964" spans="1:29" ht="20.25" customHeight="1">
      <c r="A3964" s="217"/>
      <c r="E3964" s="187"/>
      <c r="G3964" s="202">
        <f>(G3963/G3965)-1</f>
        <v>7.631854697869378E-2</v>
      </c>
      <c r="H3964" s="202">
        <f>(H3963/H3965)-1</f>
        <v>-1.3703703703703702</v>
      </c>
      <c r="I3964" s="202">
        <f>(I3963/I3965)-1</f>
        <v>-3.3171641791044775</v>
      </c>
      <c r="J3964" s="202">
        <f>(J3963/J3965)-1</f>
        <v>-2.293165467625899</v>
      </c>
      <c r="K3964" s="188"/>
      <c r="L3964" s="188"/>
      <c r="M3964" s="194"/>
      <c r="N3964" s="190"/>
      <c r="O3964" s="190"/>
      <c r="P3964" s="188"/>
      <c r="Q3964" s="188"/>
      <c r="R3964" s="195"/>
      <c r="S3964" s="197"/>
      <c r="T3964" s="180"/>
      <c r="U3964" s="189" t="str">
        <f>IFERROR(IF(Tableau3[[#This Row],[Dettes]]=0,"",(Tableau3[[#This Row],[Dettes]]/Tableau3[[#This Row],[EBE]])),"")</f>
        <v/>
      </c>
      <c r="V3964" s="190" t="str">
        <f>IFERROR(Tableau3[[#This Row],[Fonds propres]]/Tableau3[[#This Row],[Total Bilan]],"")</f>
        <v/>
      </c>
      <c r="W3964" s="180"/>
      <c r="Y3964" s="180"/>
      <c r="Z3964" s="192" t="str">
        <f>IFERROR(Tableau3[[#This Row],[Chiffre d''affaires]]/Tableau3[[#This Row],[Salariés]],"")</f>
        <v/>
      </c>
      <c r="AA3964" s="177"/>
      <c r="AC3964" s="177" t="s">
        <v>2761</v>
      </c>
    </row>
    <row r="3965" spans="1:29" ht="20.25" customHeight="1">
      <c r="A3965" s="217"/>
      <c r="E3965" s="187">
        <v>29.52</v>
      </c>
      <c r="F3965" s="178">
        <v>2014</v>
      </c>
      <c r="G3965" s="188">
        <v>5726000000</v>
      </c>
      <c r="H3965" s="188">
        <f>I3965+569000000</f>
        <v>837000000</v>
      </c>
      <c r="I3965" s="188">
        <v>268000000</v>
      </c>
      <c r="J3965" s="188">
        <v>556000000</v>
      </c>
      <c r="K3965" s="188">
        <v>3019000000</v>
      </c>
      <c r="L3965" s="188">
        <v>5044000000</v>
      </c>
      <c r="M3965" s="194">
        <f>L3965/P3965</f>
        <v>16.339374589252127</v>
      </c>
      <c r="N3965" s="190">
        <f>J3965/L3965</f>
        <v>0.11022997620935765</v>
      </c>
      <c r="O3965" s="190">
        <f>(I3965*0.7)/(K3965+L3965)</f>
        <v>2.3266774153540865E-2</v>
      </c>
      <c r="P3965" s="188">
        <v>308702146</v>
      </c>
      <c r="Q3965" s="188">
        <f>P3965*E3965</f>
        <v>9112887349.9200001</v>
      </c>
      <c r="R3965" s="195">
        <f>Q3965/L3965</f>
        <v>1.806678697446471</v>
      </c>
      <c r="S3965" s="197">
        <f>(Q3965+K3965)/H3965</f>
        <v>14.494489068004778</v>
      </c>
      <c r="T3965" s="180"/>
      <c r="U3965" s="189">
        <f>IFERROR(IF(Tableau3[[#This Row],[Dettes]]=0,"",(Tableau3[[#This Row],[Dettes]]/Tableau3[[#This Row],[EBE]])),"")</f>
        <v>3.6069295101553167</v>
      </c>
      <c r="V3965" s="190" t="str">
        <f>IFERROR(Tableau3[[#This Row],[Fonds propres]]/Tableau3[[#This Row],[Total Bilan]],"")</f>
        <v/>
      </c>
      <c r="W3965" s="180"/>
      <c r="Y3965" s="180"/>
      <c r="Z3965" s="192" t="str">
        <f>IFERROR(Tableau3[[#This Row],[Chiffre d''affaires]]/Tableau3[[#This Row],[Salariés]],"")</f>
        <v/>
      </c>
      <c r="AA3965" s="177"/>
      <c r="AC3965" s="177" t="s">
        <v>2762</v>
      </c>
    </row>
    <row r="3966" spans="1:29" ht="20.25" customHeight="1">
      <c r="A3966" s="217"/>
      <c r="G3966" s="202">
        <f>(G3965/G3967)-1</f>
        <v>-0.71749962997681194</v>
      </c>
      <c r="H3966" s="202">
        <f>(H3965/H3967)-1</f>
        <v>-0.5167436489607391</v>
      </c>
      <c r="I3966" s="202">
        <f>(I3965/I3967)-1</f>
        <v>-0.77460050462573593</v>
      </c>
      <c r="J3966" s="202">
        <f>(J3965/J3967)-1</f>
        <v>-0.27604166666666663</v>
      </c>
      <c r="K3966" s="178"/>
      <c r="L3966" s="178"/>
      <c r="M3966" s="178"/>
      <c r="N3966" s="178"/>
      <c r="O3966" s="178"/>
      <c r="P3966" s="178"/>
      <c r="Q3966" s="178"/>
      <c r="R3966" s="178"/>
      <c r="S3966" s="178"/>
      <c r="T3966" s="180"/>
      <c r="U3966" s="189" t="str">
        <f>IFERROR(IF(Tableau3[[#This Row],[Dettes]]=0,"",(Tableau3[[#This Row],[Dettes]]/Tableau3[[#This Row],[EBE]])),"")</f>
        <v/>
      </c>
      <c r="V3966" s="190" t="str">
        <f>IFERROR(Tableau3[[#This Row],[Fonds propres]]/Tableau3[[#This Row],[Total Bilan]],"")</f>
        <v/>
      </c>
      <c r="W3966" s="180"/>
      <c r="Y3966" s="180"/>
      <c r="Z3966" s="192" t="str">
        <f>IFERROR(Tableau3[[#This Row],[Chiffre d''affaires]]/Tableau3[[#This Row],[Salariés]],"")</f>
        <v/>
      </c>
      <c r="AA3966" s="177"/>
      <c r="AC3966" s="177" t="s">
        <v>2763</v>
      </c>
    </row>
    <row r="3967" spans="1:29" ht="20.25" customHeight="1">
      <c r="A3967" s="217"/>
      <c r="E3967" s="187">
        <v>31.16</v>
      </c>
      <c r="F3967" s="178">
        <v>2013</v>
      </c>
      <c r="G3967" s="188">
        <v>20269000000</v>
      </c>
      <c r="H3967" s="211">
        <f>I3967+543000000</f>
        <v>1732000000</v>
      </c>
      <c r="I3967" s="188">
        <v>1189000000</v>
      </c>
      <c r="J3967" s="188">
        <v>768000000</v>
      </c>
      <c r="K3967" s="188">
        <v>2342000000</v>
      </c>
      <c r="L3967" s="188">
        <v>4994000000</v>
      </c>
      <c r="M3967" s="194">
        <f>L3967/P3967</f>
        <v>16.205960901590888</v>
      </c>
      <c r="N3967" s="190">
        <f>J3967/L3967</f>
        <v>0.15378454144973969</v>
      </c>
      <c r="O3967" s="190">
        <f>(I3967*0.7)/(K3967+L3967)</f>
        <v>0.11345419847328245</v>
      </c>
      <c r="P3967" s="188">
        <v>308158216</v>
      </c>
      <c r="Q3967" s="188">
        <f>P3967*E3967</f>
        <v>9602210010.5599995</v>
      </c>
      <c r="R3967" s="195">
        <f>Q3967/L3967</f>
        <v>1.9227493012735282</v>
      </c>
      <c r="S3967" s="197">
        <f>(Q3967+K3967)/H3967</f>
        <v>6.896195156212471</v>
      </c>
      <c r="T3967" s="180"/>
      <c r="U3967" s="189">
        <f>IFERROR(IF(Tableau3[[#This Row],[Dettes]]=0,"",(Tableau3[[#This Row],[Dettes]]/Tableau3[[#This Row],[EBE]])),"")</f>
        <v>1.3521939953810624</v>
      </c>
      <c r="V3967" s="190" t="str">
        <f>IFERROR(Tableau3[[#This Row],[Fonds propres]]/Tableau3[[#This Row],[Total Bilan]],"")</f>
        <v/>
      </c>
      <c r="W3967" s="180"/>
      <c r="Y3967" s="180"/>
      <c r="Z3967" s="192" t="str">
        <f>IFERROR(Tableau3[[#This Row],[Chiffre d''affaires]]/Tableau3[[#This Row],[Salariés]],"")</f>
        <v/>
      </c>
      <c r="AA3967" s="177"/>
      <c r="AC3967" s="177" t="s">
        <v>2764</v>
      </c>
    </row>
    <row r="3968" spans="1:29" ht="20.25" customHeight="1">
      <c r="A3968" s="217"/>
      <c r="G3968" s="188"/>
      <c r="H3968" s="178"/>
      <c r="I3968" s="178"/>
      <c r="J3968" s="178"/>
      <c r="K3968" s="178"/>
      <c r="L3968" s="178"/>
      <c r="M3968" s="178"/>
      <c r="N3968" s="178"/>
      <c r="O3968" s="178"/>
      <c r="P3968" s="178"/>
      <c r="Q3968" s="178"/>
      <c r="R3968" s="178"/>
      <c r="S3968" s="178"/>
      <c r="T3968" s="180"/>
      <c r="U3968" s="189" t="str">
        <f>IFERROR(IF(Tableau3[[#This Row],[Dettes]]=0,"",(Tableau3[[#This Row],[Dettes]]/Tableau3[[#This Row],[EBE]])),"")</f>
        <v/>
      </c>
      <c r="V3968" s="190" t="str">
        <f>IFERROR(Tableau3[[#This Row],[Fonds propres]]/Tableau3[[#This Row],[Total Bilan]],"")</f>
        <v/>
      </c>
      <c r="W3968" s="180"/>
      <c r="Y3968" s="180"/>
      <c r="Z3968" s="192" t="str">
        <f>IFERROR(Tableau3[[#This Row],[Chiffre d''affaires]]/Tableau3[[#This Row],[Salariés]],"")</f>
        <v/>
      </c>
      <c r="AA3968" s="177"/>
      <c r="AC3968" s="177" t="s">
        <v>2765</v>
      </c>
    </row>
    <row r="3969" spans="1:29" ht="20.25" customHeight="1">
      <c r="A3969" s="217"/>
      <c r="G3969" s="188"/>
      <c r="H3969" s="178"/>
      <c r="I3969" s="178"/>
      <c r="J3969" s="178"/>
      <c r="K3969" s="178"/>
      <c r="L3969" s="178"/>
      <c r="M3969" s="178"/>
      <c r="N3969" s="178"/>
      <c r="O3969" s="178"/>
      <c r="P3969" s="178"/>
      <c r="Q3969" s="178"/>
      <c r="R3969" s="178"/>
      <c r="S3969" s="178"/>
      <c r="T3969" s="180"/>
      <c r="U3969" s="189" t="str">
        <f>IFERROR(IF(Tableau3[[#This Row],[Dettes]]=0,"",(Tableau3[[#This Row],[Dettes]]/Tableau3[[#This Row],[EBE]])),"")</f>
        <v/>
      </c>
      <c r="V3969" s="190" t="str">
        <f>IFERROR(Tableau3[[#This Row],[Fonds propres]]/Tableau3[[#This Row],[Total Bilan]],"")</f>
        <v/>
      </c>
      <c r="W3969" s="180"/>
      <c r="Y3969" s="180"/>
      <c r="Z3969" s="192" t="str">
        <f>IFERROR(Tableau3[[#This Row],[Chiffre d''affaires]]/Tableau3[[#This Row],[Salariés]],"")</f>
        <v/>
      </c>
      <c r="AA3969" s="177"/>
      <c r="AC3969" s="177" t="s">
        <v>1023</v>
      </c>
    </row>
    <row r="3970" spans="1:29" ht="20.25" customHeight="1">
      <c r="A3970" s="217"/>
      <c r="G3970" s="188"/>
      <c r="H3970" s="178"/>
      <c r="I3970" s="178"/>
      <c r="J3970" s="178"/>
      <c r="K3970" s="178"/>
      <c r="L3970" s="178"/>
      <c r="M3970" s="178"/>
      <c r="N3970" s="178"/>
      <c r="O3970" s="178"/>
      <c r="P3970" s="178"/>
      <c r="Q3970" s="178"/>
      <c r="R3970" s="178"/>
      <c r="S3970" s="178"/>
      <c r="T3970" s="180"/>
      <c r="U3970" s="189" t="str">
        <f>IFERROR(IF(Tableau3[[#This Row],[Dettes]]=0,"",(Tableau3[[#This Row],[Dettes]]/Tableau3[[#This Row],[EBE]])),"")</f>
        <v/>
      </c>
      <c r="V3970" s="190" t="str">
        <f>IFERROR(Tableau3[[#This Row],[Fonds propres]]/Tableau3[[#This Row],[Total Bilan]],"")</f>
        <v/>
      </c>
      <c r="W3970" s="180"/>
      <c r="Y3970" s="180"/>
      <c r="Z3970" s="192" t="str">
        <f>IFERROR(Tableau3[[#This Row],[Chiffre d''affaires]]/Tableau3[[#This Row],[Salariés]],"")</f>
        <v/>
      </c>
      <c r="AA3970" s="177"/>
      <c r="AC3970" s="177" t="s">
        <v>876</v>
      </c>
    </row>
    <row r="3971" spans="1:29" ht="20.25" customHeight="1">
      <c r="A3971" s="217"/>
      <c r="G3971" s="188"/>
      <c r="H3971" s="178"/>
      <c r="I3971" s="178"/>
      <c r="J3971" s="178"/>
      <c r="K3971" s="178"/>
      <c r="L3971" s="178"/>
      <c r="M3971" s="178"/>
      <c r="N3971" s="178"/>
      <c r="O3971" s="178"/>
      <c r="P3971" s="178"/>
      <c r="Q3971" s="178"/>
      <c r="R3971" s="178"/>
      <c r="S3971" s="178"/>
      <c r="T3971" s="180"/>
      <c r="U3971" s="189" t="str">
        <f>IFERROR(IF(Tableau3[[#This Row],[Dettes]]=0,"",(Tableau3[[#This Row],[Dettes]]/Tableau3[[#This Row],[EBE]])),"")</f>
        <v/>
      </c>
      <c r="V3971" s="190" t="str">
        <f>IFERROR(Tableau3[[#This Row],[Fonds propres]]/Tableau3[[#This Row],[Total Bilan]],"")</f>
        <v/>
      </c>
      <c r="W3971" s="180"/>
      <c r="Y3971" s="180"/>
      <c r="Z3971" s="192" t="str">
        <f>IFERROR(Tableau3[[#This Row],[Chiffre d''affaires]]/Tableau3[[#This Row],[Salariés]],"")</f>
        <v/>
      </c>
      <c r="AA3971" s="177"/>
      <c r="AC3971" s="177" t="s">
        <v>2766</v>
      </c>
    </row>
    <row r="3972" spans="1:29" ht="20.25" customHeight="1">
      <c r="A3972" s="217"/>
      <c r="G3972" s="188"/>
      <c r="H3972" s="178"/>
      <c r="I3972" s="178"/>
      <c r="J3972" s="178"/>
      <c r="K3972" s="178"/>
      <c r="L3972" s="178"/>
      <c r="M3972" s="178"/>
      <c r="N3972" s="178"/>
      <c r="O3972" s="178"/>
      <c r="P3972" s="178"/>
      <c r="Q3972" s="178"/>
      <c r="R3972" s="178"/>
      <c r="S3972" s="178"/>
      <c r="T3972" s="180"/>
      <c r="U3972" s="189" t="str">
        <f>IFERROR(IF(Tableau3[[#This Row],[Dettes]]=0,"",(Tableau3[[#This Row],[Dettes]]/Tableau3[[#This Row],[EBE]])),"")</f>
        <v/>
      </c>
      <c r="V3972" s="190" t="str">
        <f>IFERROR(Tableau3[[#This Row],[Fonds propres]]/Tableau3[[#This Row],[Total Bilan]],"")</f>
        <v/>
      </c>
      <c r="W3972" s="180"/>
      <c r="Y3972" s="180"/>
      <c r="Z3972" s="192" t="str">
        <f>IFERROR(Tableau3[[#This Row],[Chiffre d''affaires]]/Tableau3[[#This Row],[Salariés]],"")</f>
        <v/>
      </c>
      <c r="AA3972" s="177"/>
      <c r="AC3972" s="177" t="s">
        <v>2767</v>
      </c>
    </row>
    <row r="3973" spans="1:29" ht="20.25" customHeight="1">
      <c r="A3973" s="217"/>
      <c r="G3973" s="188"/>
      <c r="H3973" s="178"/>
      <c r="I3973" s="178"/>
      <c r="J3973" s="178"/>
      <c r="K3973" s="178"/>
      <c r="L3973" s="178"/>
      <c r="M3973" s="178"/>
      <c r="N3973" s="178"/>
      <c r="O3973" s="178"/>
      <c r="P3973" s="178"/>
      <c r="Q3973" s="178"/>
      <c r="R3973" s="178"/>
      <c r="S3973" s="178"/>
      <c r="T3973" s="180"/>
      <c r="U3973" s="189" t="str">
        <f>IFERROR(IF(Tableau3[[#This Row],[Dettes]]=0,"",(Tableau3[[#This Row],[Dettes]]/Tableau3[[#This Row],[EBE]])),"")</f>
        <v/>
      </c>
      <c r="V3973" s="190" t="str">
        <f>IFERROR(Tableau3[[#This Row],[Fonds propres]]/Tableau3[[#This Row],[Total Bilan]],"")</f>
        <v/>
      </c>
      <c r="W3973" s="180"/>
      <c r="Y3973" s="180"/>
      <c r="Z3973" s="192" t="str">
        <f>IFERROR(Tableau3[[#This Row],[Chiffre d''affaires]]/Tableau3[[#This Row],[Salariés]],"")</f>
        <v/>
      </c>
      <c r="AA3973" s="177"/>
    </row>
    <row r="3974" spans="1:29" ht="20.25" customHeight="1">
      <c r="A3974" s="217"/>
      <c r="G3974" s="188"/>
      <c r="H3974" s="178"/>
      <c r="I3974" s="178"/>
      <c r="J3974" s="178"/>
      <c r="K3974" s="178"/>
      <c r="L3974" s="178"/>
      <c r="M3974" s="178"/>
      <c r="N3974" s="178"/>
      <c r="O3974" s="178"/>
      <c r="P3974" s="178"/>
      <c r="Q3974" s="178"/>
      <c r="R3974" s="178"/>
      <c r="S3974" s="178"/>
      <c r="T3974" s="180"/>
      <c r="U3974" s="189" t="str">
        <f>IFERROR(IF(Tableau3[[#This Row],[Dettes]]=0,"",(Tableau3[[#This Row],[Dettes]]/Tableau3[[#This Row],[EBE]])),"")</f>
        <v/>
      </c>
      <c r="V3974" s="190" t="str">
        <f>IFERROR(Tableau3[[#This Row],[Fonds propres]]/Tableau3[[#This Row],[Total Bilan]],"")</f>
        <v/>
      </c>
      <c r="W3974" s="180"/>
      <c r="Y3974" s="180"/>
      <c r="Z3974" s="192" t="str">
        <f>IFERROR(Tableau3[[#This Row],[Chiffre d''affaires]]/Tableau3[[#This Row],[Salariés]],"")</f>
        <v/>
      </c>
      <c r="AA3974" s="177"/>
    </row>
    <row r="3975" spans="1:29" ht="20.25" customHeight="1">
      <c r="A3975" s="217"/>
      <c r="G3975" s="188"/>
      <c r="H3975" s="178"/>
      <c r="I3975" s="178"/>
      <c r="J3975" s="178"/>
      <c r="K3975" s="178"/>
      <c r="L3975" s="178"/>
      <c r="M3975" s="178"/>
      <c r="N3975" s="178"/>
      <c r="O3975" s="178"/>
      <c r="P3975" s="178"/>
      <c r="Q3975" s="178"/>
      <c r="R3975" s="178"/>
      <c r="S3975" s="178"/>
      <c r="T3975" s="180"/>
      <c r="U3975" s="189" t="str">
        <f>IFERROR(IF(Tableau3[[#This Row],[Dettes]]=0,"",(Tableau3[[#This Row],[Dettes]]/Tableau3[[#This Row],[EBE]])),"")</f>
        <v/>
      </c>
      <c r="V3975" s="190" t="str">
        <f>IFERROR(Tableau3[[#This Row],[Fonds propres]]/Tableau3[[#This Row],[Total Bilan]],"")</f>
        <v/>
      </c>
      <c r="W3975" s="180"/>
      <c r="Y3975" s="180"/>
      <c r="Z3975" s="192" t="str">
        <f>IFERROR(Tableau3[[#This Row],[Chiffre d''affaires]]/Tableau3[[#This Row],[Salariés]],"")</f>
        <v/>
      </c>
      <c r="AA3975" s="177"/>
    </row>
    <row r="3976" spans="1:29" ht="20.25" customHeight="1">
      <c r="A3976" s="217" t="s">
        <v>2768</v>
      </c>
      <c r="B3976" s="216" t="s">
        <v>2769</v>
      </c>
      <c r="C3976" s="178" t="s">
        <v>2770</v>
      </c>
      <c r="D3976" s="178" t="s">
        <v>2771</v>
      </c>
      <c r="F3976" s="178">
        <v>2025</v>
      </c>
      <c r="G3976" s="188"/>
      <c r="H3976" s="178"/>
      <c r="I3976" s="178"/>
      <c r="J3976" s="178"/>
      <c r="K3976" s="178"/>
      <c r="L3976" s="178"/>
      <c r="M3976" s="178"/>
      <c r="N3976" s="178"/>
      <c r="O3976" s="178"/>
      <c r="P3976" s="178"/>
      <c r="Q3976" s="178"/>
      <c r="R3976" s="178"/>
      <c r="S3976" s="178"/>
      <c r="T3976" s="180"/>
      <c r="U3976" s="189" t="str">
        <f>IFERROR(IF(Tableau3[[#This Row],[Dettes]]=0,"",(Tableau3[[#This Row],[Dettes]]/Tableau3[[#This Row],[EBE]])),"")</f>
        <v/>
      </c>
      <c r="V3976" s="190" t="str">
        <f>IFERROR(Tableau3[[#This Row],[Fonds propres]]/Tableau3[[#This Row],[Total Bilan]],"")</f>
        <v/>
      </c>
      <c r="W3976" s="180"/>
      <c r="Y3976" s="180"/>
      <c r="Z3976" s="192" t="str">
        <f>IFERROR(Tableau3[[#This Row],[Chiffre d''affaires]]/Tableau3[[#This Row],[Salariés]],"")</f>
        <v/>
      </c>
      <c r="AA3976" s="177"/>
      <c r="AC3976" s="177" t="s">
        <v>2772</v>
      </c>
    </row>
    <row r="3977" spans="1:29" ht="20.25" customHeight="1">
      <c r="A3977" s="217"/>
      <c r="G3977" s="188"/>
      <c r="H3977" s="178"/>
      <c r="I3977" s="178"/>
      <c r="J3977" s="178"/>
      <c r="K3977" s="178"/>
      <c r="L3977" s="178"/>
      <c r="M3977" s="178"/>
      <c r="N3977" s="178"/>
      <c r="O3977" s="178"/>
      <c r="P3977" s="178"/>
      <c r="Q3977" s="178"/>
      <c r="R3977" s="178"/>
      <c r="S3977" s="178"/>
      <c r="T3977" s="180"/>
      <c r="U3977" s="189" t="str">
        <f>IFERROR(IF(Tableau3[[#This Row],[Dettes]]=0,"",(Tableau3[[#This Row],[Dettes]]/Tableau3[[#This Row],[EBE]])),"")</f>
        <v/>
      </c>
      <c r="V3977" s="190" t="str">
        <f>IFERROR(Tableau3[[#This Row],[Fonds propres]]/Tableau3[[#This Row],[Total Bilan]],"")</f>
        <v/>
      </c>
      <c r="W3977" s="180"/>
      <c r="Y3977" s="180"/>
      <c r="Z3977" s="192" t="str">
        <f>IFERROR(Tableau3[[#This Row],[Chiffre d''affaires]]/Tableau3[[#This Row],[Salariés]],"")</f>
        <v/>
      </c>
      <c r="AA3977" s="177"/>
      <c r="AC3977" s="177" t="s">
        <v>2774</v>
      </c>
    </row>
    <row r="3978" spans="1:29" ht="20.25" customHeight="1">
      <c r="A3978" s="217"/>
      <c r="F3978" s="178">
        <v>2024</v>
      </c>
      <c r="G3978" s="188"/>
      <c r="H3978" s="178"/>
      <c r="I3978" s="178"/>
      <c r="J3978" s="178"/>
      <c r="K3978" s="178"/>
      <c r="L3978" s="178"/>
      <c r="M3978" s="178"/>
      <c r="N3978" s="178"/>
      <c r="O3978" s="178"/>
      <c r="P3978" s="178"/>
      <c r="Q3978" s="178"/>
      <c r="R3978" s="178"/>
      <c r="S3978" s="178"/>
      <c r="T3978" s="180"/>
      <c r="U3978" s="189" t="str">
        <f>IFERROR(IF(Tableau3[[#This Row],[Dettes]]=0,"",(Tableau3[[#This Row],[Dettes]]/Tableau3[[#This Row],[EBE]])),"")</f>
        <v/>
      </c>
      <c r="V3978" s="190" t="str">
        <f>IFERROR(Tableau3[[#This Row],[Fonds propres]]/Tableau3[[#This Row],[Total Bilan]],"")</f>
        <v/>
      </c>
      <c r="W3978" s="180"/>
      <c r="Y3978" s="180"/>
      <c r="Z3978" s="192" t="str">
        <f>IFERROR(Tableau3[[#This Row],[Chiffre d''affaires]]/Tableau3[[#This Row],[Salariés]],"")</f>
        <v/>
      </c>
      <c r="AA3978" s="177"/>
      <c r="AC3978" s="177" t="s">
        <v>2775</v>
      </c>
    </row>
    <row r="3979" spans="1:29" ht="20.25" customHeight="1">
      <c r="A3979" s="217"/>
      <c r="G3979" s="188"/>
      <c r="H3979" s="178"/>
      <c r="I3979" s="178"/>
      <c r="J3979" s="178"/>
      <c r="K3979" s="178"/>
      <c r="L3979" s="178"/>
      <c r="M3979" s="178"/>
      <c r="N3979" s="178"/>
      <c r="O3979" s="178"/>
      <c r="P3979" s="178"/>
      <c r="Q3979" s="178"/>
      <c r="R3979" s="178"/>
      <c r="S3979" s="178"/>
      <c r="T3979" s="180"/>
      <c r="U3979" s="189" t="str">
        <f>IFERROR(IF(Tableau3[[#This Row],[Dettes]]=0,"",(Tableau3[[#This Row],[Dettes]]/Tableau3[[#This Row],[EBE]])),"")</f>
        <v/>
      </c>
      <c r="V3979" s="190" t="str">
        <f>IFERROR(Tableau3[[#This Row],[Fonds propres]]/Tableau3[[#This Row],[Total Bilan]],"")</f>
        <v/>
      </c>
      <c r="W3979" s="180"/>
      <c r="Y3979" s="180"/>
      <c r="Z3979" s="192" t="str">
        <f>IFERROR(Tableau3[[#This Row],[Chiffre d''affaires]]/Tableau3[[#This Row],[Salariés]],"")</f>
        <v/>
      </c>
      <c r="AA3979" s="177"/>
      <c r="AC3979" s="177" t="s">
        <v>2776</v>
      </c>
    </row>
    <row r="3980" spans="1:29" ht="20.25" customHeight="1">
      <c r="A3980" s="217"/>
      <c r="F3980" s="178">
        <v>2023</v>
      </c>
      <c r="G3980" s="188"/>
      <c r="H3980" s="178"/>
      <c r="I3980" s="178"/>
      <c r="J3980" s="178"/>
      <c r="K3980" s="178"/>
      <c r="L3980" s="178"/>
      <c r="M3980" s="178"/>
      <c r="N3980" s="178"/>
      <c r="O3980" s="178"/>
      <c r="P3980" s="178"/>
      <c r="Q3980" s="178"/>
      <c r="R3980" s="178"/>
      <c r="S3980" s="178"/>
      <c r="T3980" s="180"/>
      <c r="U3980" s="189" t="str">
        <f>IFERROR(IF(Tableau3[[#This Row],[Dettes]]=0,"",(Tableau3[[#This Row],[Dettes]]/Tableau3[[#This Row],[EBE]])),"")</f>
        <v/>
      </c>
      <c r="V3980" s="190" t="str">
        <f>IFERROR(Tableau3[[#This Row],[Fonds propres]]/Tableau3[[#This Row],[Total Bilan]],"")</f>
        <v/>
      </c>
      <c r="W3980" s="180"/>
      <c r="Y3980" s="180"/>
      <c r="Z3980" s="192" t="str">
        <f>IFERROR(Tableau3[[#This Row],[Chiffre d''affaires]]/Tableau3[[#This Row],[Salariés]],"")</f>
        <v/>
      </c>
      <c r="AA3980" s="177"/>
      <c r="AC3980" s="177" t="s">
        <v>2777</v>
      </c>
    </row>
    <row r="3981" spans="1:29" ht="20.25" customHeight="1">
      <c r="A3981" s="217"/>
      <c r="G3981" s="188"/>
      <c r="H3981" s="178"/>
      <c r="I3981" s="178"/>
      <c r="J3981" s="178"/>
      <c r="K3981" s="178"/>
      <c r="L3981" s="178"/>
      <c r="M3981" s="178"/>
      <c r="N3981" s="178"/>
      <c r="O3981" s="178"/>
      <c r="P3981" s="178"/>
      <c r="Q3981" s="178"/>
      <c r="R3981" s="178"/>
      <c r="S3981" s="178"/>
      <c r="T3981" s="180"/>
      <c r="U3981" s="189" t="str">
        <f>IFERROR(IF(Tableau3[[#This Row],[Dettes]]=0,"",(Tableau3[[#This Row],[Dettes]]/Tableau3[[#This Row],[EBE]])),"")</f>
        <v/>
      </c>
      <c r="V3981" s="190" t="str">
        <f>IFERROR(Tableau3[[#This Row],[Fonds propres]]/Tableau3[[#This Row],[Total Bilan]],"")</f>
        <v/>
      </c>
      <c r="W3981" s="180"/>
      <c r="Y3981" s="180"/>
      <c r="Z3981" s="192" t="str">
        <f>IFERROR(Tableau3[[#This Row],[Chiffre d''affaires]]/Tableau3[[#This Row],[Salariés]],"")</f>
        <v/>
      </c>
      <c r="AA3981" s="177"/>
      <c r="AC3981" s="177" t="s">
        <v>2778</v>
      </c>
    </row>
    <row r="3982" spans="1:29" ht="20.25" customHeight="1">
      <c r="A3982" s="217"/>
      <c r="E3982" s="187">
        <v>334</v>
      </c>
      <c r="F3982" s="178">
        <v>2022</v>
      </c>
      <c r="G3982" s="188">
        <v>539010000000</v>
      </c>
      <c r="H3982" s="188">
        <v>181540000000</v>
      </c>
      <c r="I3982" s="188">
        <v>134568000000</v>
      </c>
      <c r="J3982" s="188">
        <v>107368000000</v>
      </c>
      <c r="K3982" s="188">
        <v>20429000000</v>
      </c>
      <c r="L3982" s="188">
        <v>736494000000</v>
      </c>
      <c r="M3982" s="194">
        <f>L3982/P3982</f>
        <v>76.539938603752432</v>
      </c>
      <c r="N3982" s="190">
        <f>J3982/L3982</f>
        <v>0.14578258614462575</v>
      </c>
      <c r="O3982" s="190">
        <f>(I3982*0.7)/(K3982+L3982)</f>
        <v>0.12444806142764851</v>
      </c>
      <c r="P3982" s="188">
        <v>9622348978</v>
      </c>
      <c r="Q3982" s="188">
        <f>P3982*E3982</f>
        <v>3213864558652</v>
      </c>
      <c r="R3982" s="195">
        <f>Q3982/(L3982*1.2)</f>
        <v>3.6364457355298665</v>
      </c>
      <c r="S3982" s="197">
        <f>((Q3982/1.2)+K3982)/H3982</f>
        <v>14.865315993959092</v>
      </c>
      <c r="T3982" s="180"/>
      <c r="U3982" s="189">
        <f>IFERROR(IF(Tableau3[[#This Row],[Dettes]]=0,"",(Tableau3[[#This Row],[Dettes]]/Tableau3[[#This Row],[EBE]])),"")</f>
        <v>0.1125316734603944</v>
      </c>
      <c r="V3982" s="190" t="str">
        <f>IFERROR(Tableau3[[#This Row],[Fonds propres]]/Tableau3[[#This Row],[Total Bilan]],"")</f>
        <v/>
      </c>
      <c r="W3982" s="180"/>
      <c r="Y3982" s="180">
        <v>110715</v>
      </c>
      <c r="Z3982" s="192">
        <f>IFERROR(Tableau3[[#This Row],[Chiffre d''affaires]]/Tableau3[[#This Row],[Salariés]],"")</f>
        <v>4868446.0100257415</v>
      </c>
      <c r="AA3982" s="177"/>
      <c r="AC3982" s="177" t="s">
        <v>2779</v>
      </c>
    </row>
    <row r="3983" spans="1:29" ht="20.25" customHeight="1">
      <c r="A3983" s="217"/>
      <c r="G3983" s="202">
        <f>(G3982/G3984)-1</f>
        <v>-3.7684916392617285E-2</v>
      </c>
      <c r="H3983" s="202">
        <f>(H3982/H3984)-1</f>
        <v>-6.8060247025123477E-2</v>
      </c>
      <c r="I3983" s="202">
        <f>(I3982/I3984)-1</f>
        <v>-0.50457256461232602</v>
      </c>
      <c r="J3983" s="202">
        <f>(J3982/J3984)-1</f>
        <v>-0.13264613694380711</v>
      </c>
      <c r="K3983" s="178"/>
      <c r="L3983" s="178"/>
      <c r="M3983" s="178"/>
      <c r="N3983" s="178"/>
      <c r="O3983" s="178"/>
      <c r="P3983" s="178"/>
      <c r="Q3983" s="178"/>
      <c r="R3983" s="178"/>
      <c r="S3983" s="178"/>
      <c r="T3983" s="180"/>
      <c r="U3983" s="189" t="str">
        <f>IFERROR(IF(Tableau3[[#This Row],[Dettes]]=0,"",(Tableau3[[#This Row],[Dettes]]/Tableau3[[#This Row],[EBE]])),"")</f>
        <v/>
      </c>
      <c r="V3983" s="190" t="str">
        <f>IFERROR(Tableau3[[#This Row],[Fonds propres]]/Tableau3[[#This Row],[Total Bilan]],"")</f>
        <v/>
      </c>
      <c r="W3983" s="180"/>
      <c r="Y3983" s="180"/>
      <c r="Z3983" s="192" t="str">
        <f>IFERROR(Tableau3[[#This Row],[Chiffre d''affaires]]/Tableau3[[#This Row],[Salariés]],"")</f>
        <v/>
      </c>
      <c r="AA3983" s="177"/>
      <c r="AC3983" s="177" t="s">
        <v>2780</v>
      </c>
    </row>
    <row r="3984" spans="1:29" ht="20.25" customHeight="1">
      <c r="A3984" s="217"/>
      <c r="E3984" s="187">
        <v>456.8</v>
      </c>
      <c r="F3984" s="178">
        <v>2021</v>
      </c>
      <c r="G3984" s="188">
        <v>560118000000</v>
      </c>
      <c r="H3984" s="188">
        <v>194798000000</v>
      </c>
      <c r="I3984" s="188">
        <v>271620000000</v>
      </c>
      <c r="J3984" s="188">
        <v>123788000000</v>
      </c>
      <c r="K3984" s="188">
        <v>20243000000</v>
      </c>
      <c r="L3984" s="188">
        <v>806299000000</v>
      </c>
      <c r="M3984" s="194">
        <f>L3984/P3984</f>
        <v>83.916240664478764</v>
      </c>
      <c r="N3984" s="190">
        <f>J3984/L3984</f>
        <v>0.15352617329303397</v>
      </c>
      <c r="O3984" s="190">
        <f>(I3984*0.7)/(K3984+L3984)</f>
        <v>0.23003549728870401</v>
      </c>
      <c r="P3984" s="188">
        <v>9608378469</v>
      </c>
      <c r="Q3984" s="188">
        <f>P3984*E3984</f>
        <v>4389107284639.2002</v>
      </c>
      <c r="R3984" s="195">
        <f>Q3984/(L3984*1.2)</f>
        <v>4.5362693043970044</v>
      </c>
      <c r="S3984" s="197">
        <f>((Q3984/1.2)+K3984)/H3984</f>
        <v>18.880236983264719</v>
      </c>
      <c r="T3984" s="180"/>
      <c r="U3984" s="189">
        <f>IFERROR(IF(Tableau3[[#This Row],[Dettes]]=0,"",(Tableau3[[#This Row],[Dettes]]/Tableau3[[#This Row],[EBE]])),"")</f>
        <v>0.1039179047012803</v>
      </c>
      <c r="V3984" s="190" t="str">
        <f>IFERROR(Tableau3[[#This Row],[Fonds propres]]/Tableau3[[#This Row],[Total Bilan]],"")</f>
        <v/>
      </c>
      <c r="W3984" s="180"/>
      <c r="Y3984" s="180">
        <v>112771</v>
      </c>
      <c r="Z3984" s="192">
        <f>IFERROR(Tableau3[[#This Row],[Chiffre d''affaires]]/Tableau3[[#This Row],[Salariés]],"")</f>
        <v>4966862.0478669163</v>
      </c>
      <c r="AA3984" s="177"/>
      <c r="AC3984" s="177" t="s">
        <v>2781</v>
      </c>
    </row>
    <row r="3985" spans="1:29" ht="20.25" customHeight="1">
      <c r="A3985" s="217"/>
      <c r="E3985" s="187"/>
      <c r="G3985" s="202">
        <f>(G3984/G3986)-1</f>
        <v>0.16186805618937772</v>
      </c>
      <c r="H3985" s="202">
        <f>(H3984/H3986)-1</f>
        <v>0.1412986799936724</v>
      </c>
      <c r="I3985" s="202">
        <f>(I3984/I3986)-1</f>
        <v>0.47429669393227192</v>
      </c>
      <c r="J3985" s="202">
        <f>(J3984/J3986)-1</f>
        <v>8.5219403301233232E-3</v>
      </c>
      <c r="K3985" s="178"/>
      <c r="L3985" s="178"/>
      <c r="M3985" s="178"/>
      <c r="N3985" s="178"/>
      <c r="O3985" s="178"/>
      <c r="P3985" s="178"/>
      <c r="Q3985" s="178"/>
      <c r="R3985" s="178"/>
      <c r="S3985" s="178"/>
      <c r="T3985" s="180"/>
      <c r="U3985" s="189" t="str">
        <f>IFERROR(IF(Tableau3[[#This Row],[Dettes]]=0,"",(Tableau3[[#This Row],[Dettes]]/Tableau3[[#This Row],[EBE]])),"")</f>
        <v/>
      </c>
      <c r="V3985" s="190" t="str">
        <f>IFERROR(Tableau3[[#This Row],[Fonds propres]]/Tableau3[[#This Row],[Total Bilan]],"")</f>
        <v/>
      </c>
      <c r="W3985" s="180"/>
      <c r="Y3985" s="180"/>
      <c r="Z3985" s="192" t="str">
        <f>IFERROR(Tableau3[[#This Row],[Chiffre d''affaires]]/Tableau3[[#This Row],[Salariés]],"")</f>
        <v/>
      </c>
      <c r="AA3985" s="177"/>
      <c r="AC3985" s="177" t="s">
        <v>2782</v>
      </c>
    </row>
    <row r="3986" spans="1:29" ht="20.25" customHeight="1">
      <c r="A3986" s="217"/>
      <c r="C3986" s="178" t="s">
        <v>2783</v>
      </c>
      <c r="E3986" s="187">
        <v>564</v>
      </c>
      <c r="F3986" s="178">
        <v>2020</v>
      </c>
      <c r="G3986" s="188">
        <v>482084000000</v>
      </c>
      <c r="H3986" s="188">
        <v>170681000000</v>
      </c>
      <c r="I3986" s="188">
        <v>184237000000</v>
      </c>
      <c r="J3986" s="188">
        <v>122742000000</v>
      </c>
      <c r="K3986" s="188">
        <v>11063000000</v>
      </c>
      <c r="L3986" s="188">
        <v>703984000000</v>
      </c>
      <c r="M3986" s="194">
        <f>L3986/P3986</f>
        <v>73.373517614148</v>
      </c>
      <c r="N3986" s="190">
        <f>J3986/L3986</f>
        <v>0.17435339439532715</v>
      </c>
      <c r="O3986" s="190">
        <f>(I3986*0.7)/(K3986+L3986)</f>
        <v>0.1803600322775985</v>
      </c>
      <c r="P3986" s="188">
        <v>9594524331</v>
      </c>
      <c r="Q3986" s="188">
        <f>P3986*E3986</f>
        <v>5411311722684</v>
      </c>
      <c r="R3986" s="195">
        <f>Q3986/(L3986*1.2)</f>
        <v>6.4055808591814589</v>
      </c>
      <c r="S3986" s="197">
        <f>((Q3986/1.2)+K3986)/H3986</f>
        <v>26.485018458820843</v>
      </c>
      <c r="T3986" s="180"/>
      <c r="U3986" s="189">
        <f>IFERROR(IF(Tableau3[[#This Row],[Dettes]]=0,"",(Tableau3[[#This Row],[Dettes]]/Tableau3[[#This Row],[EBE]])),"")</f>
        <v>6.481682202471277E-2</v>
      </c>
      <c r="V3986" s="190" t="str">
        <f>IFERROR(Tableau3[[#This Row],[Fonds propres]]/Tableau3[[#This Row],[Total Bilan]],"")</f>
        <v/>
      </c>
      <c r="W3986" s="180"/>
      <c r="Y3986" s="180">
        <v>85858</v>
      </c>
      <c r="Z3986" s="192">
        <f>IFERROR(Tableau3[[#This Row],[Chiffre d''affaires]]/Tableau3[[#This Row],[Salariés]],"")</f>
        <v>5614899.019310955</v>
      </c>
      <c r="AA3986" s="177"/>
      <c r="AC3986" s="177" t="s">
        <v>2784</v>
      </c>
    </row>
    <row r="3987" spans="1:29" ht="20.25" customHeight="1">
      <c r="A3987" s="217"/>
      <c r="E3987" s="187"/>
      <c r="G3987" s="202">
        <f>(G3986/G3988)-1</f>
        <v>0.27775789911712234</v>
      </c>
      <c r="H3987" s="202">
        <f>(H3986/H3988)-1</f>
        <v>0.24341434274557794</v>
      </c>
      <c r="I3987" s="202">
        <f>(I3986/I3988)-1</f>
        <v>0.55745008199908708</v>
      </c>
      <c r="J3987" s="202">
        <f>(J3986/J3988)-1</f>
        <v>0.30090831045775879</v>
      </c>
      <c r="K3987" s="178"/>
      <c r="L3987" s="178"/>
      <c r="M3987" s="178"/>
      <c r="N3987" s="178"/>
      <c r="O3987" s="178"/>
      <c r="P3987" s="178"/>
      <c r="Q3987" s="178"/>
      <c r="R3987" s="178"/>
      <c r="S3987" s="178"/>
      <c r="T3987" s="180"/>
      <c r="U3987" s="189" t="str">
        <f>IFERROR(IF(Tableau3[[#This Row],[Dettes]]=0,"",(Tableau3[[#This Row],[Dettes]]/Tableau3[[#This Row],[EBE]])),"")</f>
        <v/>
      </c>
      <c r="V3987" s="190" t="str">
        <f>IFERROR(Tableau3[[#This Row],[Fonds propres]]/Tableau3[[#This Row],[Total Bilan]],"")</f>
        <v/>
      </c>
      <c r="W3987" s="180"/>
      <c r="Y3987" s="180"/>
      <c r="Z3987" s="192" t="str">
        <f>IFERROR(Tableau3[[#This Row],[Chiffre d''affaires]]/Tableau3[[#This Row],[Salariés]],"")</f>
        <v/>
      </c>
      <c r="AA3987" s="177"/>
      <c r="AC3987" s="177" t="s">
        <v>2785</v>
      </c>
    </row>
    <row r="3988" spans="1:29" ht="20.25" customHeight="1">
      <c r="A3988" s="217"/>
      <c r="C3988" s="178" t="s">
        <v>2786</v>
      </c>
      <c r="E3988" s="187">
        <v>384</v>
      </c>
      <c r="F3988" s="178">
        <v>2019</v>
      </c>
      <c r="G3988" s="188">
        <v>377289000000</v>
      </c>
      <c r="H3988" s="188">
        <v>137268000000</v>
      </c>
      <c r="I3988" s="188">
        <v>118294000000</v>
      </c>
      <c r="J3988" s="188">
        <v>94351000000</v>
      </c>
      <c r="K3988" s="188">
        <v>-15522000000</v>
      </c>
      <c r="L3988" s="188">
        <v>432706000000</v>
      </c>
      <c r="M3988" s="194">
        <f>L3988/P3988</f>
        <v>45.291881447343378</v>
      </c>
      <c r="N3988" s="190">
        <f>J3988/L3988</f>
        <v>0.21804874441306568</v>
      </c>
      <c r="O3988" s="190">
        <f>(I3988*0.7)/(K3988+L3988)</f>
        <v>0.19848747794738053</v>
      </c>
      <c r="P3988" s="188">
        <v>9553721024</v>
      </c>
      <c r="Q3988" s="188">
        <f>P3988*E3988</f>
        <v>3668628873216</v>
      </c>
      <c r="R3988" s="195">
        <f>Q3988/(L3988*1.11)</f>
        <v>7.6381447378851943</v>
      </c>
      <c r="S3988" s="197">
        <f>((Q3988/1.11)+K3988)/H3988</f>
        <v>23.96442766669108</v>
      </c>
      <c r="T3988" s="180"/>
      <c r="U3988" s="189">
        <f>IFERROR(IF(Tableau3[[#This Row],[Dettes]]=0,"",(Tableau3[[#This Row],[Dettes]]/Tableau3[[#This Row],[EBE]])),"")</f>
        <v>-0.11307806626453361</v>
      </c>
      <c r="V3988" s="190" t="str">
        <f>IFERROR(Tableau3[[#This Row],[Fonds propres]]/Tableau3[[#This Row],[Total Bilan]],"")</f>
        <v/>
      </c>
      <c r="W3988" s="180"/>
      <c r="Y3988" s="180">
        <v>62885</v>
      </c>
      <c r="Z3988" s="192">
        <f>IFERROR(Tableau3[[#This Row],[Chiffre d''affaires]]/Tableau3[[#This Row],[Salariés]],"")</f>
        <v>5999666.057088336</v>
      </c>
      <c r="AA3988" s="177"/>
      <c r="AC3988" s="177" t="s">
        <v>2787</v>
      </c>
    </row>
    <row r="3989" spans="1:29" ht="20.25" customHeight="1">
      <c r="A3989" s="217"/>
      <c r="G3989" s="202">
        <f>(G3988/G3990)-1</f>
        <v>0.2065757577695766</v>
      </c>
      <c r="H3989" s="202">
        <f>(H3988/H3990)-1</f>
        <v>0.24332451722763659</v>
      </c>
      <c r="I3989" s="202">
        <f>(I3988/I3990)-1</f>
        <v>0.21143290185154839</v>
      </c>
      <c r="J3989" s="202">
        <f>(J3988/J3990)-1</f>
        <v>0.21776223234682957</v>
      </c>
      <c r="K3989" s="178"/>
      <c r="L3989" s="178"/>
      <c r="M3989" s="178"/>
      <c r="N3989" s="178"/>
      <c r="O3989" s="178"/>
      <c r="P3989" s="178"/>
      <c r="Q3989" s="178"/>
      <c r="R3989" s="178"/>
      <c r="S3989" s="178"/>
      <c r="T3989" s="180"/>
      <c r="U3989" s="189" t="str">
        <f>IFERROR(IF(Tableau3[[#This Row],[Dettes]]=0,"",(Tableau3[[#This Row],[Dettes]]/Tableau3[[#This Row],[EBE]])),"")</f>
        <v/>
      </c>
      <c r="V3989" s="190" t="str">
        <f>IFERROR(Tableau3[[#This Row],[Fonds propres]]/Tableau3[[#This Row],[Total Bilan]],"")</f>
        <v/>
      </c>
      <c r="W3989" s="180"/>
      <c r="Y3989" s="180"/>
      <c r="Z3989" s="192" t="str">
        <f>IFERROR(Tableau3[[#This Row],[Chiffre d''affaires]]/Tableau3[[#This Row],[Salariés]],"")</f>
        <v/>
      </c>
      <c r="AA3989" s="177"/>
      <c r="AC3989" s="177" t="s">
        <v>2629</v>
      </c>
    </row>
    <row r="3990" spans="1:29" ht="20.25" customHeight="1">
      <c r="A3990" s="217"/>
      <c r="E3990" s="178">
        <v>315.2</v>
      </c>
      <c r="F3990" s="178">
        <v>2018</v>
      </c>
      <c r="G3990" s="188">
        <v>312694000000</v>
      </c>
      <c r="H3990" s="188">
        <v>110404000000</v>
      </c>
      <c r="I3990" s="188">
        <v>97648000000</v>
      </c>
      <c r="J3990" s="188">
        <v>77479000000</v>
      </c>
      <c r="K3990" s="188">
        <v>-12170000000</v>
      </c>
      <c r="L3990" s="188">
        <v>323510000000</v>
      </c>
      <c r="M3990" s="194">
        <f>L3990/P3990</f>
        <v>33.975839960527757</v>
      </c>
      <c r="N3990" s="190">
        <f>J3990/L3990</f>
        <v>0.23949491514945442</v>
      </c>
      <c r="O3990" s="190">
        <f>(I3990*0.7)/(K3990+L3990)</f>
        <v>0.21954647652084536</v>
      </c>
      <c r="P3990" s="188">
        <v>9521766066</v>
      </c>
      <c r="Q3990" s="188">
        <f>P3990*E3990</f>
        <v>3001260664003.1997</v>
      </c>
      <c r="R3990" s="195">
        <f>Q3990/(L3990*1.14)</f>
        <v>8.1378776327942361</v>
      </c>
      <c r="S3990" s="197">
        <f>((Q3990/1.14)+K3990)/H3990</f>
        <v>23.735687049248789</v>
      </c>
      <c r="T3990" s="180"/>
      <c r="U3990" s="189">
        <f>IFERROR(IF(Tableau3[[#This Row],[Dettes]]=0,"",(Tableau3[[#This Row],[Dettes]]/Tableau3[[#This Row],[EBE]])),"")</f>
        <v>-0.11023151335096555</v>
      </c>
      <c r="V3990" s="190" t="str">
        <f>IFERROR(Tableau3[[#This Row],[Fonds propres]]/Tableau3[[#This Row],[Total Bilan]],"")</f>
        <v/>
      </c>
      <c r="W3990" s="180"/>
      <c r="Y3990" s="180"/>
      <c r="Z3990" s="192" t="str">
        <f>IFERROR(Tableau3[[#This Row],[Chiffre d''affaires]]/Tableau3[[#This Row],[Salariés]],"")</f>
        <v/>
      </c>
      <c r="AA3990" s="177"/>
      <c r="AC3990" s="177" t="s">
        <v>2788</v>
      </c>
    </row>
    <row r="3991" spans="1:29" ht="20.25" customHeight="1">
      <c r="A3991" s="217"/>
      <c r="G3991" s="202">
        <f>(G3990/G3992)-1</f>
        <v>0.31516655450874831</v>
      </c>
      <c r="H3991" s="202">
        <f>(H3990/H3992)-1</f>
        <v>0.23048459720921932</v>
      </c>
      <c r="I3991" s="202">
        <f>(I3990/I3992)-1</f>
        <v>8.134925029345963E-2</v>
      </c>
      <c r="J3991" s="202">
        <f>(J3990/J3992)-1</f>
        <v>0.18967846942849254</v>
      </c>
      <c r="K3991" s="178"/>
      <c r="L3991" s="178"/>
      <c r="M3991" s="178"/>
      <c r="N3991" s="178"/>
      <c r="O3991" s="178"/>
      <c r="P3991" s="178"/>
      <c r="Q3991" s="178"/>
      <c r="R3991" s="178"/>
      <c r="S3991" s="178"/>
      <c r="T3991" s="180"/>
      <c r="U3991" s="189" t="str">
        <f>IFERROR(IF(Tableau3[[#This Row],[Dettes]]=0,"",(Tableau3[[#This Row],[Dettes]]/Tableau3[[#This Row],[EBE]])),"")</f>
        <v/>
      </c>
      <c r="V3991" s="190" t="str">
        <f>IFERROR(Tableau3[[#This Row],[Fonds propres]]/Tableau3[[#This Row],[Total Bilan]],"")</f>
        <v/>
      </c>
      <c r="W3991" s="180"/>
      <c r="Y3991" s="180"/>
      <c r="Z3991" s="192" t="str">
        <f>IFERROR(Tableau3[[#This Row],[Chiffre d''affaires]]/Tableau3[[#This Row],[Salariés]],"")</f>
        <v/>
      </c>
      <c r="AA3991" s="177"/>
      <c r="AC3991" s="177" t="s">
        <v>2789</v>
      </c>
    </row>
    <row r="3992" spans="1:29" ht="20.25" customHeight="1">
      <c r="A3992" s="217"/>
      <c r="E3992" s="187">
        <v>406</v>
      </c>
      <c r="F3992" s="178">
        <v>2017</v>
      </c>
      <c r="G3992" s="188">
        <v>237760000000</v>
      </c>
      <c r="H3992" s="188">
        <v>89724000000</v>
      </c>
      <c r="I3992" s="188">
        <v>90302000000</v>
      </c>
      <c r="J3992" s="188">
        <v>65126000000</v>
      </c>
      <c r="K3992" s="188">
        <v>16332000000</v>
      </c>
      <c r="L3992" s="188">
        <v>256074000000</v>
      </c>
      <c r="M3992" s="194">
        <f>L3992/P3992</f>
        <v>26.958334193776818</v>
      </c>
      <c r="N3992" s="190">
        <f>J3992/L3992</f>
        <v>0.25432492170232041</v>
      </c>
      <c r="O3992" s="190">
        <f>(I3992*0.7)/(K3992+L3992)</f>
        <v>0.23204848645037185</v>
      </c>
      <c r="P3992" s="188">
        <v>9498880686</v>
      </c>
      <c r="Q3992" s="188">
        <f>P3992*E3992</f>
        <v>3856545558516</v>
      </c>
      <c r="R3992" s="195">
        <f>Q3992/(L3992*1.2)</f>
        <v>12.550231438685692</v>
      </c>
      <c r="S3992" s="197">
        <f>((Q3992/1.2)+K3992)/H3992</f>
        <v>36.000623750947348</v>
      </c>
      <c r="T3992" s="180"/>
      <c r="U3992" s="189">
        <f>IFERROR(IF(Tableau3[[#This Row],[Dettes]]=0,"",(Tableau3[[#This Row],[Dettes]]/Tableau3[[#This Row],[EBE]])),"")</f>
        <v>0.18202487628728101</v>
      </c>
      <c r="V3992" s="190" t="str">
        <f>IFERROR(Tableau3[[#This Row],[Fonds propres]]/Tableau3[[#This Row],[Total Bilan]],"")</f>
        <v/>
      </c>
      <c r="W3992" s="180"/>
      <c r="Y3992" s="180"/>
      <c r="Z3992" s="192" t="str">
        <f>IFERROR(Tableau3[[#This Row],[Chiffre d''affaires]]/Tableau3[[#This Row],[Salariés]],"")</f>
        <v/>
      </c>
      <c r="AA3992" s="177"/>
      <c r="AC3992" s="177" t="s">
        <v>2790</v>
      </c>
    </row>
    <row r="3993" spans="1:29" ht="20.25" customHeight="1">
      <c r="A3993" s="217"/>
      <c r="G3993" s="202">
        <f>(G3992/G3994)-1</f>
        <v>0.56484881991338565</v>
      </c>
      <c r="H3993" s="202">
        <f>(H3992/H3994)-1</f>
        <v>0.43443645083932858</v>
      </c>
      <c r="I3993" s="202">
        <f>(I3992/I3994)-1</f>
        <v>0.52753907571554226</v>
      </c>
      <c r="J3993" s="202">
        <f>(J3992/J3994)-1</f>
        <v>0.43386173491853808</v>
      </c>
      <c r="K3993" s="178"/>
      <c r="L3993" s="178"/>
      <c r="M3993" s="178"/>
      <c r="N3993" s="178"/>
      <c r="O3993" s="178"/>
      <c r="P3993" s="178"/>
      <c r="Q3993" s="178"/>
      <c r="R3993" s="178"/>
      <c r="S3993" s="178"/>
      <c r="T3993" s="180"/>
      <c r="U3993" s="189" t="str">
        <f>IFERROR(IF(Tableau3[[#This Row],[Dettes]]=0,"",(Tableau3[[#This Row],[Dettes]]/Tableau3[[#This Row],[EBE]])),"")</f>
        <v/>
      </c>
      <c r="V3993" s="190" t="str">
        <f>IFERROR(Tableau3[[#This Row],[Fonds propres]]/Tableau3[[#This Row],[Total Bilan]],"")</f>
        <v/>
      </c>
      <c r="W3993" s="180"/>
      <c r="Y3993" s="180"/>
      <c r="Z3993" s="192" t="str">
        <f>IFERROR(Tableau3[[#This Row],[Chiffre d''affaires]]/Tableau3[[#This Row],[Salariés]],"")</f>
        <v/>
      </c>
      <c r="AA3993" s="177"/>
    </row>
    <row r="3994" spans="1:29" ht="20.25" customHeight="1">
      <c r="A3994" s="217"/>
      <c r="E3994" s="178">
        <v>189.7</v>
      </c>
      <c r="F3994" s="178">
        <v>2016</v>
      </c>
      <c r="G3994" s="188">
        <v>151938000000</v>
      </c>
      <c r="H3994" s="188">
        <v>62550000000</v>
      </c>
      <c r="I3994" s="188">
        <v>59116000000</v>
      </c>
      <c r="J3994" s="188">
        <v>45420000000</v>
      </c>
      <c r="K3994" s="188">
        <v>109497000000</v>
      </c>
      <c r="L3994" s="188">
        <v>186247000000</v>
      </c>
      <c r="M3994" s="194">
        <f>L3994/P3994</f>
        <v>19.673356075745772</v>
      </c>
      <c r="N3994" s="190">
        <f>J3994/L3994</f>
        <v>0.24386969991462951</v>
      </c>
      <c r="O3994" s="190">
        <f>(I3994*0.7)/(K3994+L3994)</f>
        <v>0.13992236528889851</v>
      </c>
      <c r="P3994" s="188">
        <v>9466966352</v>
      </c>
      <c r="Q3994" s="188">
        <f>P3994*E3994</f>
        <v>1795883516974.3999</v>
      </c>
      <c r="R3994" s="195">
        <f>Q3994/(L3994*1.12)</f>
        <v>8.6093597527476931</v>
      </c>
      <c r="S3994" s="197">
        <f>((Q3994/1.12)+K3994)/H3994</f>
        <v>27.385522396003193</v>
      </c>
      <c r="T3994" s="180"/>
      <c r="U3994" s="189">
        <f>IFERROR(IF(Tableau3[[#This Row],[Dettes]]=0,"",(Tableau3[[#This Row],[Dettes]]/Tableau3[[#This Row],[EBE]])),"")</f>
        <v>1.7505515587529976</v>
      </c>
      <c r="V3994" s="190" t="str">
        <f>IFERROR(Tableau3[[#This Row],[Fonds propres]]/Tableau3[[#This Row],[Total Bilan]],"")</f>
        <v/>
      </c>
      <c r="W3994" s="180"/>
      <c r="Y3994" s="180"/>
      <c r="Z3994" s="192" t="str">
        <f>IFERROR(Tableau3[[#This Row],[Chiffre d''affaires]]/Tableau3[[#This Row],[Salariés]],"")</f>
        <v/>
      </c>
      <c r="AA3994" s="177"/>
    </row>
    <row r="3995" spans="1:29" ht="20.25" customHeight="1">
      <c r="A3995" s="217"/>
      <c r="G3995" s="202">
        <f>(G3994/G3996)-1</f>
        <v>0.47709088787999576</v>
      </c>
      <c r="H3995" s="202">
        <f>(H3994/H3996)-1</f>
        <v>0.45299542381936853</v>
      </c>
      <c r="I3995" s="202">
        <f>(I3994/I3996)-1</f>
        <v>0.45509144165210325</v>
      </c>
      <c r="J3995" s="202">
        <f>(J3994/J3996)-1</f>
        <v>0.40141931502622641</v>
      </c>
      <c r="K3995" s="178"/>
      <c r="L3995" s="178"/>
      <c r="M3995" s="178"/>
      <c r="N3995" s="178"/>
      <c r="O3995" s="178"/>
      <c r="P3995" s="178"/>
      <c r="Q3995" s="178"/>
      <c r="R3995" s="178"/>
      <c r="S3995" s="178"/>
      <c r="T3995" s="180"/>
      <c r="U3995" s="189" t="str">
        <f>IFERROR(IF(Tableau3[[#This Row],[Dettes]]=0,"",(Tableau3[[#This Row],[Dettes]]/Tableau3[[#This Row],[EBE]])),"")</f>
        <v/>
      </c>
      <c r="V3995" s="190" t="str">
        <f>IFERROR(Tableau3[[#This Row],[Fonds propres]]/Tableau3[[#This Row],[Total Bilan]],"")</f>
        <v/>
      </c>
      <c r="W3995" s="180"/>
      <c r="Y3995" s="180"/>
      <c r="Z3995" s="192" t="str">
        <f>IFERROR(Tableau3[[#This Row],[Chiffre d''affaires]]/Tableau3[[#This Row],[Salariés]],"")</f>
        <v/>
      </c>
      <c r="AA3995" s="177"/>
    </row>
    <row r="3996" spans="1:29" ht="20.25" customHeight="1">
      <c r="A3996" s="217"/>
      <c r="E3996" s="178">
        <v>152.5</v>
      </c>
      <c r="F3996" s="178">
        <v>2015</v>
      </c>
      <c r="G3996" s="188">
        <v>102863000000</v>
      </c>
      <c r="H3996" s="188">
        <v>43049000000</v>
      </c>
      <c r="I3996" s="188">
        <v>40627000000</v>
      </c>
      <c r="J3996" s="188">
        <v>32410000000</v>
      </c>
      <c r="K3996" s="188">
        <v>65329000000</v>
      </c>
      <c r="L3996" s="188">
        <v>122100000000</v>
      </c>
      <c r="M3996" s="194">
        <f>L3996/P3996</f>
        <v>12.988087221198274</v>
      </c>
      <c r="N3996" s="190">
        <f>J3996/L3996</f>
        <v>0.26543816543816545</v>
      </c>
      <c r="O3996" s="190">
        <f>(I3996*0.7)/(K3996+L3996)</f>
        <v>0.15173158902837874</v>
      </c>
      <c r="P3996" s="188">
        <v>9400922393</v>
      </c>
      <c r="Q3996" s="188">
        <f>P3996*E3996</f>
        <v>1433640664932.5</v>
      </c>
      <c r="R3996" s="195">
        <f>Q3996/(L3996*1.2)</f>
        <v>9.7846073227716346</v>
      </c>
      <c r="S3996" s="197">
        <f>((Q3996/1.2)+K3996)/H3996</f>
        <v>29.269659088722541</v>
      </c>
      <c r="T3996" s="180"/>
      <c r="U3996" s="189">
        <f>IFERROR(IF(Tableau3[[#This Row],[Dettes]]=0,"",(Tableau3[[#This Row],[Dettes]]/Tableau3[[#This Row],[EBE]])),"")</f>
        <v>1.5175497688680342</v>
      </c>
      <c r="V3996" s="190" t="str">
        <f>IFERROR(Tableau3[[#This Row],[Fonds propres]]/Tableau3[[#This Row],[Total Bilan]],"")</f>
        <v/>
      </c>
      <c r="W3996" s="180"/>
      <c r="Y3996" s="180"/>
      <c r="Z3996" s="192" t="str">
        <f>IFERROR(Tableau3[[#This Row],[Chiffre d''affaires]]/Tableau3[[#This Row],[Salariés]],"")</f>
        <v/>
      </c>
      <c r="AA3996" s="177"/>
    </row>
    <row r="3997" spans="1:29" ht="20.25" customHeight="1">
      <c r="A3997" s="217"/>
      <c r="G3997" s="202">
        <f>(G3996/G3998)-1</f>
        <v>0.30318502001722991</v>
      </c>
      <c r="H3997" s="202">
        <f>(H3996/H3998)-1</f>
        <v>0.39281092273844953</v>
      </c>
      <c r="I3997" s="202">
        <f>(I3996/I3998)-1</f>
        <v>0.3302010346408224</v>
      </c>
      <c r="J3997" s="202">
        <f>(J3996/J3998)-1</f>
        <v>0.36119277614447709</v>
      </c>
      <c r="K3997" s="178"/>
      <c r="L3997" s="178"/>
      <c r="M3997" s="178"/>
      <c r="N3997" s="178"/>
      <c r="O3997" s="178"/>
      <c r="P3997" s="178"/>
      <c r="Q3997" s="178"/>
      <c r="R3997" s="178"/>
      <c r="S3997" s="178"/>
      <c r="T3997" s="180"/>
      <c r="U3997" s="189" t="str">
        <f>IFERROR(IF(Tableau3[[#This Row],[Dettes]]=0,"",(Tableau3[[#This Row],[Dettes]]/Tableau3[[#This Row],[EBE]])),"")</f>
        <v/>
      </c>
      <c r="V3997" s="190" t="str">
        <f>IFERROR(Tableau3[[#This Row],[Fonds propres]]/Tableau3[[#This Row],[Total Bilan]],"")</f>
        <v/>
      </c>
      <c r="W3997" s="180"/>
      <c r="Y3997" s="180"/>
      <c r="Z3997" s="192" t="str">
        <f>IFERROR(Tableau3[[#This Row],[Chiffre d''affaires]]/Tableau3[[#This Row],[Salariés]],"")</f>
        <v/>
      </c>
      <c r="AA3997" s="177"/>
    </row>
    <row r="3998" spans="1:29" ht="20.25" customHeight="1">
      <c r="A3998" s="217"/>
      <c r="E3998" s="178">
        <v>112.7</v>
      </c>
      <c r="F3998" s="178">
        <v>2014</v>
      </c>
      <c r="G3998" s="188">
        <v>78932000000</v>
      </c>
      <c r="H3998" s="188">
        <v>30908000000</v>
      </c>
      <c r="I3998" s="188">
        <v>30542000000</v>
      </c>
      <c r="J3998" s="188">
        <v>23810000000</v>
      </c>
      <c r="K3998" s="188">
        <v>35584000000</v>
      </c>
      <c r="L3998" s="188">
        <v>82124000000</v>
      </c>
      <c r="M3998" s="194">
        <f>L3998/P3998</f>
        <v>8.7670734514660804</v>
      </c>
      <c r="N3998" s="190">
        <f>J3998/L3998</f>
        <v>0.28992742681798256</v>
      </c>
      <c r="O3998" s="190">
        <f>(I3998*0.7)/(K3998+L3998)</f>
        <v>0.18163081523770686</v>
      </c>
      <c r="P3998" s="188">
        <v>9367321998</v>
      </c>
      <c r="Q3998" s="188">
        <f>P3998*E3998</f>
        <v>1055697189174.6</v>
      </c>
      <c r="R3998" s="195">
        <f>Q3998/(L3998*1.25)</f>
        <v>10.283933458424821</v>
      </c>
      <c r="S3998" s="197">
        <f>((Q3998/1.25)+K3998)/H3998</f>
        <v>28.476179349672574</v>
      </c>
      <c r="T3998" s="180"/>
      <c r="U3998" s="189">
        <f>IFERROR(IF(Tableau3[[#This Row],[Dettes]]=0,"",(Tableau3[[#This Row],[Dettes]]/Tableau3[[#This Row],[EBE]])),"")</f>
        <v>1.1512876925067943</v>
      </c>
      <c r="V3998" s="190" t="str">
        <f>IFERROR(Tableau3[[#This Row],[Fonds propres]]/Tableau3[[#This Row],[Total Bilan]],"")</f>
        <v/>
      </c>
      <c r="W3998" s="180"/>
      <c r="Y3998" s="180"/>
      <c r="Z3998" s="192" t="str">
        <f>IFERROR(Tableau3[[#This Row],[Chiffre d''affaires]]/Tableau3[[#This Row],[Salariés]],"")</f>
        <v/>
      </c>
      <c r="AA3998" s="177"/>
    </row>
    <row r="3999" spans="1:29" ht="20.25" customHeight="1">
      <c r="A3999" s="217"/>
      <c r="G3999" s="202">
        <f>(G3998/G4000)-1</f>
        <v>0.30601682407523834</v>
      </c>
      <c r="H3999" s="202">
        <f>(H3998/H4000)-1</f>
        <v>0.50286881260332583</v>
      </c>
      <c r="I3999" s="202">
        <f>(I3998/I4000)-1</f>
        <v>0.59122642492445565</v>
      </c>
      <c r="J3999" s="202">
        <f>(J3998/J4000)-1</f>
        <v>0.53593084763256349</v>
      </c>
      <c r="K3999" s="178"/>
      <c r="L3999" s="178"/>
      <c r="M3999" s="178"/>
      <c r="N3999" s="178"/>
      <c r="O3999" s="178"/>
      <c r="P3999" s="178"/>
      <c r="Q3999" s="178"/>
      <c r="R3999" s="178"/>
      <c r="S3999" s="178"/>
      <c r="T3999" s="180"/>
      <c r="U3999" s="189" t="str">
        <f>IFERROR(IF(Tableau3[[#This Row],[Dettes]]=0,"",(Tableau3[[#This Row],[Dettes]]/Tableau3[[#This Row],[EBE]])),"")</f>
        <v/>
      </c>
      <c r="V3999" s="190" t="str">
        <f>IFERROR(Tableau3[[#This Row],[Fonds propres]]/Tableau3[[#This Row],[Total Bilan]],"")</f>
        <v/>
      </c>
      <c r="W3999" s="180"/>
      <c r="Y3999" s="180"/>
      <c r="Z3999" s="192" t="str">
        <f>IFERROR(Tableau3[[#This Row],[Chiffre d''affaires]]/Tableau3[[#This Row],[Salariés]],"")</f>
        <v/>
      </c>
      <c r="AA3999" s="177"/>
    </row>
    <row r="4000" spans="1:29" ht="20.25" customHeight="1">
      <c r="A4000" s="217"/>
      <c r="E4000" s="178">
        <v>96.6</v>
      </c>
      <c r="F4000" s="178">
        <v>2013</v>
      </c>
      <c r="G4000" s="188">
        <v>60437200000</v>
      </c>
      <c r="H4000" s="188">
        <v>20566000000</v>
      </c>
      <c r="I4000" s="188">
        <v>19194000000</v>
      </c>
      <c r="J4000" s="188">
        <v>15502000000</v>
      </c>
      <c r="K4000" s="188">
        <v>15053000000</v>
      </c>
      <c r="L4000" s="188">
        <v>58423000000</v>
      </c>
      <c r="M4000" s="194">
        <f>L4000/P4000</f>
        <v>31.456330084403191</v>
      </c>
      <c r="N4000" s="190">
        <f>J4000/L4000</f>
        <v>0.26534070485938754</v>
      </c>
      <c r="O4000" s="190">
        <f>(I4000*0.7)/(K4000+L4000)</f>
        <v>0.18285970929283032</v>
      </c>
      <c r="P4000" s="188">
        <v>1857273237</v>
      </c>
      <c r="Q4000" s="188">
        <f>P4000*E4000</f>
        <v>179412594694.19998</v>
      </c>
      <c r="R4000" s="195">
        <f>Q4000/(L4000*1.28)</f>
        <v>2.3991593996344545</v>
      </c>
      <c r="S4000" s="197">
        <f>((Q4000/1.28)+K4000)/H4000</f>
        <v>7.5473640768668542</v>
      </c>
      <c r="T4000" s="180"/>
      <c r="U4000" s="189">
        <f>IFERROR(IF(Tableau3[[#This Row],[Dettes]]=0,"",(Tableau3[[#This Row],[Dettes]]/Tableau3[[#This Row],[EBE]])),"")</f>
        <v>0.73193620538753279</v>
      </c>
      <c r="V4000" s="190" t="str">
        <f>IFERROR(Tableau3[[#This Row],[Fonds propres]]/Tableau3[[#This Row],[Total Bilan]],"")</f>
        <v/>
      </c>
      <c r="W4000" s="180"/>
      <c r="Y4000" s="180"/>
      <c r="Z4000" s="192" t="str">
        <f>IFERROR(Tableau3[[#This Row],[Chiffre d''affaires]]/Tableau3[[#This Row],[Salariés]],"")</f>
        <v/>
      </c>
      <c r="AA4000" s="177"/>
    </row>
    <row r="4001" spans="1:29" ht="20.25" customHeight="1">
      <c r="A4001" s="217"/>
      <c r="G4001" s="188"/>
      <c r="H4001" s="178"/>
      <c r="I4001" s="178"/>
      <c r="J4001" s="178"/>
      <c r="K4001" s="178"/>
      <c r="L4001" s="178"/>
      <c r="M4001" s="178"/>
      <c r="N4001" s="178"/>
      <c r="O4001" s="178"/>
      <c r="P4001" s="178"/>
      <c r="Q4001" s="178"/>
      <c r="R4001" s="178"/>
      <c r="S4001" s="178"/>
      <c r="T4001" s="180"/>
      <c r="U4001" s="189" t="str">
        <f>IFERROR(IF(Tableau3[[#This Row],[Dettes]]=0,"",(Tableau3[[#This Row],[Dettes]]/Tableau3[[#This Row],[EBE]])),"")</f>
        <v/>
      </c>
      <c r="V4001" s="190" t="str">
        <f>IFERROR(Tableau3[[#This Row],[Fonds propres]]/Tableau3[[#This Row],[Total Bilan]],"")</f>
        <v/>
      </c>
      <c r="W4001" s="180"/>
      <c r="Y4001" s="180"/>
      <c r="Z4001" s="192" t="str">
        <f>IFERROR(Tableau3[[#This Row],[Chiffre d''affaires]]/Tableau3[[#This Row],[Salariés]],"")</f>
        <v/>
      </c>
      <c r="AA4001" s="177"/>
    </row>
    <row r="4002" spans="1:29" ht="20.25" customHeight="1">
      <c r="A4002" s="217"/>
      <c r="G4002" s="188"/>
      <c r="H4002" s="178"/>
      <c r="I4002" s="178"/>
      <c r="J4002" s="178"/>
      <c r="K4002" s="178"/>
      <c r="L4002" s="178"/>
      <c r="M4002" s="178"/>
      <c r="N4002" s="178"/>
      <c r="O4002" s="178"/>
      <c r="P4002" s="178"/>
      <c r="Q4002" s="178"/>
      <c r="R4002" s="178"/>
      <c r="S4002" s="178"/>
      <c r="T4002" s="180"/>
      <c r="U4002" s="189" t="str">
        <f>IFERROR(IF(Tableau3[[#This Row],[Dettes]]=0,"",(Tableau3[[#This Row],[Dettes]]/Tableau3[[#This Row],[EBE]])),"")</f>
        <v/>
      </c>
      <c r="V4002" s="190" t="str">
        <f>IFERROR(Tableau3[[#This Row],[Fonds propres]]/Tableau3[[#This Row],[Total Bilan]],"")</f>
        <v/>
      </c>
      <c r="W4002" s="180"/>
      <c r="Y4002" s="180"/>
      <c r="Z4002" s="192" t="str">
        <f>IFERROR(Tableau3[[#This Row],[Chiffre d''affaires]]/Tableau3[[#This Row],[Salariés]],"")</f>
        <v/>
      </c>
      <c r="AA4002" s="177"/>
    </row>
    <row r="4003" spans="1:29" ht="20.25" customHeight="1">
      <c r="A4003" s="217"/>
      <c r="G4003" s="188"/>
      <c r="H4003" s="178"/>
      <c r="I4003" s="178"/>
      <c r="J4003" s="178"/>
      <c r="K4003" s="178"/>
      <c r="L4003" s="178"/>
      <c r="M4003" s="178"/>
      <c r="N4003" s="178"/>
      <c r="O4003" s="178"/>
      <c r="P4003" s="178"/>
      <c r="Q4003" s="178"/>
      <c r="R4003" s="178"/>
      <c r="S4003" s="178"/>
      <c r="T4003" s="180"/>
      <c r="U4003" s="189" t="str">
        <f>IFERROR(IF(Tableau3[[#This Row],[Dettes]]=0,"",(Tableau3[[#This Row],[Dettes]]/Tableau3[[#This Row],[EBE]])),"")</f>
        <v/>
      </c>
      <c r="V4003" s="190" t="str">
        <f>IFERROR(Tableau3[[#This Row],[Fonds propres]]/Tableau3[[#This Row],[Total Bilan]],"")</f>
        <v/>
      </c>
      <c r="W4003" s="180"/>
      <c r="Y4003" s="180"/>
      <c r="Z4003" s="192" t="str">
        <f>IFERROR(Tableau3[[#This Row],[Chiffre d''affaires]]/Tableau3[[#This Row],[Salariés]],"")</f>
        <v/>
      </c>
      <c r="AA4003" s="177"/>
    </row>
    <row r="4004" spans="1:29" ht="20.25" customHeight="1">
      <c r="A4004" s="217" t="s">
        <v>2791</v>
      </c>
      <c r="B4004" s="216" t="s">
        <v>2792</v>
      </c>
      <c r="C4004" s="178" t="s">
        <v>84</v>
      </c>
      <c r="D4004" s="178" t="s">
        <v>85</v>
      </c>
      <c r="F4004" s="178">
        <v>2025</v>
      </c>
      <c r="G4004" s="188"/>
      <c r="H4004" s="178"/>
      <c r="I4004" s="178"/>
      <c r="J4004" s="178"/>
      <c r="K4004" s="178"/>
      <c r="L4004" s="178"/>
      <c r="M4004" s="178"/>
      <c r="N4004" s="178"/>
      <c r="O4004" s="178"/>
      <c r="P4004" s="178"/>
      <c r="Q4004" s="178"/>
      <c r="R4004" s="178"/>
      <c r="S4004" s="178"/>
      <c r="T4004" s="180"/>
      <c r="U4004" s="189" t="str">
        <f>IFERROR(IF(Tableau3[[#This Row],[Dettes]]=0,"",(Tableau3[[#This Row],[Dettes]]/Tableau3[[#This Row],[EBE]])),"")</f>
        <v/>
      </c>
      <c r="V4004" s="190" t="str">
        <f>IFERROR(Tableau3[[#This Row],[Fonds propres]]/Tableau3[[#This Row],[Total Bilan]],"")</f>
        <v/>
      </c>
      <c r="W4004" s="180"/>
      <c r="Y4004" s="180"/>
      <c r="Z4004" s="192" t="str">
        <f>IFERROR(Tableau3[[#This Row],[Chiffre d''affaires]]/Tableau3[[#This Row],[Salariés]],"")</f>
        <v/>
      </c>
      <c r="AA4004" s="177"/>
      <c r="AC4004" s="177" t="s">
        <v>2793</v>
      </c>
    </row>
    <row r="4005" spans="1:29" ht="20.25" customHeight="1">
      <c r="A4005" s="217"/>
      <c r="G4005" s="188"/>
      <c r="H4005" s="178"/>
      <c r="I4005" s="178"/>
      <c r="J4005" s="178"/>
      <c r="K4005" s="178"/>
      <c r="L4005" s="178"/>
      <c r="M4005" s="178"/>
      <c r="N4005" s="178"/>
      <c r="O4005" s="178"/>
      <c r="P4005" s="178"/>
      <c r="Q4005" s="178"/>
      <c r="R4005" s="178"/>
      <c r="S4005" s="178"/>
      <c r="T4005" s="180"/>
      <c r="U4005" s="189" t="str">
        <f>IFERROR(IF(Tableau3[[#This Row],[Dettes]]=0,"",(Tableau3[[#This Row],[Dettes]]/Tableau3[[#This Row],[EBE]])),"")</f>
        <v/>
      </c>
      <c r="V4005" s="190" t="str">
        <f>IFERROR(Tableau3[[#This Row],[Fonds propres]]/Tableau3[[#This Row],[Total Bilan]],"")</f>
        <v/>
      </c>
      <c r="W4005" s="180"/>
      <c r="Y4005" s="180"/>
      <c r="Z4005" s="192" t="str">
        <f>IFERROR(Tableau3[[#This Row],[Chiffre d''affaires]]/Tableau3[[#This Row],[Salariés]],"")</f>
        <v/>
      </c>
      <c r="AA4005" s="177"/>
      <c r="AC4005" s="177" t="s">
        <v>2795</v>
      </c>
    </row>
    <row r="4006" spans="1:29" ht="20.25" customHeight="1">
      <c r="A4006" s="217"/>
      <c r="E4006" s="187">
        <v>29.34</v>
      </c>
      <c r="F4006" s="178">
        <v>2024</v>
      </c>
      <c r="G4006" s="188">
        <v>6050000000</v>
      </c>
      <c r="H4006" s="188">
        <v>1100000000</v>
      </c>
      <c r="I4006" s="188">
        <v>830000000</v>
      </c>
      <c r="J4006" s="188">
        <v>505000000</v>
      </c>
      <c r="K4006" s="211">
        <v>1000000000</v>
      </c>
      <c r="L4006" s="211">
        <v>2030000000</v>
      </c>
      <c r="M4006" s="194">
        <f>L4006/P4006</f>
        <v>4.4726313737420673</v>
      </c>
      <c r="N4006" s="190">
        <f>J4006/L4006</f>
        <v>0.24876847290640394</v>
      </c>
      <c r="O4006" s="190">
        <f>(I4006*0.7)/(K4006+L4006)</f>
        <v>0.19174917491749174</v>
      </c>
      <c r="P4006" s="188">
        <v>453871520</v>
      </c>
      <c r="Q4006" s="188">
        <f>P4006*E4006</f>
        <v>13316590396.799999</v>
      </c>
      <c r="R4006" s="195">
        <f>Q4006/L4006</f>
        <v>6.5598967471921181</v>
      </c>
      <c r="S4006" s="197">
        <f>(Q4006+K4006)/H4006</f>
        <v>13.01508217890909</v>
      </c>
      <c r="T4006" s="180">
        <v>659100000</v>
      </c>
      <c r="U4006" s="189">
        <f>IFERROR(IF(Tableau3[[#This Row],[Dettes]]=0,"",(Tableau3[[#This Row],[Dettes]]/Tableau3[[#This Row],[EBE]])),"")</f>
        <v>0.90909090909090906</v>
      </c>
      <c r="V4006" s="190">
        <f>IFERROR(Tableau3[[#This Row],[Fonds propres]]/Tableau3[[#This Row],[Total Bilan]],"")</f>
        <v>0.3055204382638011</v>
      </c>
      <c r="W4006" s="180">
        <v>6644400000</v>
      </c>
      <c r="X4006" s="182" t="s">
        <v>2796</v>
      </c>
      <c r="Y4006" s="180">
        <v>83000</v>
      </c>
      <c r="Z4006" s="192">
        <f>IFERROR(Tableau3[[#This Row],[Chiffre d''affaires]]/Tableau3[[#This Row],[Salariés]],"")</f>
        <v>72891.566265060246</v>
      </c>
      <c r="AA4006" s="177"/>
      <c r="AC4006" s="177" t="s">
        <v>2797</v>
      </c>
    </row>
    <row r="4007" spans="1:29" ht="20.25" customHeight="1">
      <c r="A4007" s="217"/>
      <c r="G4007" s="202">
        <f>(G4006/G4008)-1</f>
        <v>3.1050819728007051E-2</v>
      </c>
      <c r="H4007" s="202">
        <f>(H4006/H4008)-1</f>
        <v>6.3123227518067093E-3</v>
      </c>
      <c r="I4007" s="202">
        <f>(I4006/I4008)-1</f>
        <v>5.9386741001090648E-3</v>
      </c>
      <c r="J4007" s="202">
        <f>(J4006/J4008)-1</f>
        <v>2.5809013301567596E-3</v>
      </c>
      <c r="K4007" s="178"/>
      <c r="L4007" s="178"/>
      <c r="M4007" s="178"/>
      <c r="N4007" s="178"/>
      <c r="O4007" s="178"/>
      <c r="P4007" s="178"/>
      <c r="Q4007" s="178"/>
      <c r="R4007" s="178"/>
      <c r="S4007" s="178"/>
      <c r="T4007" s="180"/>
      <c r="U4007" s="189" t="str">
        <f>IFERROR(IF(Tableau3[[#This Row],[Dettes]]=0,"",(Tableau3[[#This Row],[Dettes]]/Tableau3[[#This Row],[EBE]])),"")</f>
        <v/>
      </c>
      <c r="V4007" s="190" t="str">
        <f>IFERROR(Tableau3[[#This Row],[Fonds propres]]/Tableau3[[#This Row],[Total Bilan]],"")</f>
        <v/>
      </c>
      <c r="W4007" s="180"/>
      <c r="Y4007" s="180"/>
      <c r="Z4007" s="192" t="str">
        <f>IFERROR(Tableau3[[#This Row],[Chiffre d''affaires]]/Tableau3[[#This Row],[Salariés]],"")</f>
        <v/>
      </c>
      <c r="AA4007" s="177"/>
      <c r="AC4007" s="177" t="s">
        <v>2798</v>
      </c>
    </row>
    <row r="4008" spans="1:29" ht="20.25" customHeight="1">
      <c r="A4008" s="217"/>
      <c r="E4008" s="187">
        <v>22.87</v>
      </c>
      <c r="F4008" s="178">
        <v>2023</v>
      </c>
      <c r="G4008" s="188">
        <v>5867800000</v>
      </c>
      <c r="H4008" s="188">
        <v>1093100000</v>
      </c>
      <c r="I4008" s="188">
        <v>825100000</v>
      </c>
      <c r="J4008" s="188">
        <v>503700000</v>
      </c>
      <c r="K4008" s="211">
        <v>936200000</v>
      </c>
      <c r="L4008" s="211">
        <v>1936100000</v>
      </c>
      <c r="M4008" s="194">
        <f>L4008/P4008</f>
        <v>4.2657446318729138</v>
      </c>
      <c r="N4008" s="190">
        <f>J4008/L4008</f>
        <v>0.26016218170549044</v>
      </c>
      <c r="O4008" s="190">
        <f>(I4008*0.7)/(K4008+L4008)</f>
        <v>0.2010827559795286</v>
      </c>
      <c r="P4008" s="188">
        <v>453871520</v>
      </c>
      <c r="Q4008" s="188">
        <f>P4008*E4008</f>
        <v>10380041662.4</v>
      </c>
      <c r="R4008" s="195">
        <f>Q4008/L4008</f>
        <v>5.3613148403491557</v>
      </c>
      <c r="S4008" s="197">
        <f>(Q4008+K4008)/H4008</f>
        <v>10.352430392827737</v>
      </c>
      <c r="T4008" s="180">
        <v>659100000</v>
      </c>
      <c r="U4008" s="189">
        <f>IFERROR(IF(Tableau3[[#This Row],[Dettes]]=0,"",(Tableau3[[#This Row],[Dettes]]/Tableau3[[#This Row],[EBE]])),"")</f>
        <v>0.85646326960021957</v>
      </c>
      <c r="V4008" s="190">
        <f>IFERROR(Tableau3[[#This Row],[Fonds propres]]/Tableau3[[#This Row],[Total Bilan]],"")</f>
        <v>0.29138823671061342</v>
      </c>
      <c r="W4008" s="180">
        <v>6644400000</v>
      </c>
      <c r="Y4008" s="180">
        <v>81511</v>
      </c>
      <c r="Z4008" s="192">
        <f>IFERROR(Tableau3[[#This Row],[Chiffre d''affaires]]/Tableau3[[#This Row],[Salariés]],"")</f>
        <v>71987.829863454012</v>
      </c>
      <c r="AA4008" s="177"/>
      <c r="AC4008" s="177" t="s">
        <v>2799</v>
      </c>
    </row>
    <row r="4009" spans="1:29" ht="20.25" customHeight="1">
      <c r="A4009" s="217"/>
      <c r="G4009" s="202">
        <f>(G4008/G4010)-1</f>
        <v>3.8438395922556934E-2</v>
      </c>
      <c r="H4009" s="202">
        <f>(H4008/H4010)-1</f>
        <v>4.3133886821261624E-2</v>
      </c>
      <c r="I4009" s="202">
        <f>(I4008/I4010)-1</f>
        <v>3.2149111833875477E-2</v>
      </c>
      <c r="J4009" s="202">
        <f>(J4008/J4010)-1</f>
        <v>7.9280051424898135E-2</v>
      </c>
      <c r="K4009" s="178"/>
      <c r="L4009" s="178"/>
      <c r="M4009" s="178"/>
      <c r="N4009" s="178"/>
      <c r="O4009" s="178"/>
      <c r="P4009" s="178"/>
      <c r="Q4009" s="178"/>
      <c r="R4009" s="178"/>
      <c r="S4009" s="178"/>
      <c r="T4009" s="180"/>
      <c r="U4009" s="189" t="str">
        <f>IFERROR(IF(Tableau3[[#This Row],[Dettes]]=0,"",(Tableau3[[#This Row],[Dettes]]/Tableau3[[#This Row],[EBE]])),"")</f>
        <v/>
      </c>
      <c r="V4009" s="190" t="str">
        <f>IFERROR(Tableau3[[#This Row],[Fonds propres]]/Tableau3[[#This Row],[Total Bilan]],"")</f>
        <v/>
      </c>
      <c r="W4009" s="180"/>
      <c r="Y4009" s="180"/>
      <c r="Z4009" s="192" t="str">
        <f>IFERROR(Tableau3[[#This Row],[Chiffre d''affaires]]/Tableau3[[#This Row],[Salariés]],"")</f>
        <v/>
      </c>
      <c r="AA4009" s="177"/>
      <c r="AC4009" s="177" t="s">
        <v>2800</v>
      </c>
    </row>
    <row r="4010" spans="1:29" ht="20.25" customHeight="1">
      <c r="A4010" s="217"/>
      <c r="E4010" s="187">
        <v>24.61</v>
      </c>
      <c r="F4010" s="178">
        <v>2022</v>
      </c>
      <c r="G4010" s="188">
        <v>5650600000</v>
      </c>
      <c r="H4010" s="188">
        <v>1047900000</v>
      </c>
      <c r="I4010" s="188">
        <v>799400000</v>
      </c>
      <c r="J4010" s="188">
        <v>466700000</v>
      </c>
      <c r="K4010" s="211">
        <v>975300000</v>
      </c>
      <c r="L4010" s="211">
        <v>1862100000</v>
      </c>
      <c r="M4010" s="194">
        <f>L4010/P4010</f>
        <v>4.1156433315458436</v>
      </c>
      <c r="N4010" s="190">
        <f>J4010/L4010</f>
        <v>0.2506310080017185</v>
      </c>
      <c r="O4010" s="190">
        <f>(I4010*0.7)/(K4010+L4010)</f>
        <v>0.19721576090787341</v>
      </c>
      <c r="P4010" s="188">
        <v>452444454</v>
      </c>
      <c r="Q4010" s="188">
        <f>P4010*E4010</f>
        <v>11134658012.940001</v>
      </c>
      <c r="R4010" s="195">
        <f>Q4010/L4010</f>
        <v>5.9796240872885456</v>
      </c>
      <c r="S4010" s="197">
        <f>(Q4010+K4010)/H4010</f>
        <v>11.55640615797309</v>
      </c>
      <c r="T4010" s="180">
        <v>657000000</v>
      </c>
      <c r="U4010" s="189">
        <f>IFERROR(IF(Tableau3[[#This Row],[Dettes]]=0,"",(Tableau3[[#This Row],[Dettes]]/Tableau3[[#This Row],[EBE]])),"")</f>
        <v>0.93071858001717722</v>
      </c>
      <c r="V4010" s="190">
        <f>IFERROR(Tableau3[[#This Row],[Fonds propres]]/Tableau3[[#This Row],[Total Bilan]],"")</f>
        <v>0.26156028767277223</v>
      </c>
      <c r="W4010" s="180">
        <v>7119200000</v>
      </c>
      <c r="Y4010" s="180">
        <v>82589</v>
      </c>
      <c r="Z4010" s="192">
        <f>IFERROR(Tableau3[[#This Row],[Chiffre d''affaires]]/Tableau3[[#This Row],[Salariés]],"")</f>
        <v>68418.312366053593</v>
      </c>
      <c r="AA4010" s="177"/>
      <c r="AC4010" s="177" t="s">
        <v>2801</v>
      </c>
    </row>
    <row r="4011" spans="1:29" ht="20.25" customHeight="1">
      <c r="A4011" s="217"/>
      <c r="G4011" s="202">
        <f>(G4010/G4012)-1</f>
        <v>0.13440806247615988</v>
      </c>
      <c r="H4011" s="202">
        <f>(H4010/H4012)-1</f>
        <v>5.4225352112676095E-2</v>
      </c>
      <c r="I4011" s="202">
        <f>(I4010/I4012)-1</f>
        <v>0.11213132999443509</v>
      </c>
      <c r="J4011" s="202">
        <f>(J4010/J4012)-1</f>
        <v>0.10881444523639816</v>
      </c>
      <c r="K4011" s="178"/>
      <c r="L4011" s="178"/>
      <c r="M4011" s="178"/>
      <c r="N4011" s="178"/>
      <c r="O4011" s="178"/>
      <c r="P4011" s="178"/>
      <c r="Q4011" s="178"/>
      <c r="R4011" s="178"/>
      <c r="S4011" s="178"/>
      <c r="T4011" s="180"/>
      <c r="U4011" s="189" t="str">
        <f>IFERROR(IF(Tableau3[[#This Row],[Dettes]]=0,"",(Tableau3[[#This Row],[Dettes]]/Tableau3[[#This Row],[EBE]])),"")</f>
        <v/>
      </c>
      <c r="V4011" s="190" t="str">
        <f>IFERROR(Tableau3[[#This Row],[Fonds propres]]/Tableau3[[#This Row],[Total Bilan]],"")</f>
        <v/>
      </c>
      <c r="W4011" s="180"/>
      <c r="Y4011" s="180"/>
      <c r="Z4011" s="192" t="str">
        <f>IFERROR(Tableau3[[#This Row],[Chiffre d''affaires]]/Tableau3[[#This Row],[Salariés]],"")</f>
        <v/>
      </c>
      <c r="AA4011" s="177"/>
      <c r="AC4011" s="177" t="s">
        <v>2802</v>
      </c>
    </row>
    <row r="4012" spans="1:29" ht="20.25" customHeight="1">
      <c r="A4012" s="217"/>
      <c r="E4012" s="187">
        <v>29.18</v>
      </c>
      <c r="F4012" s="178">
        <v>2021</v>
      </c>
      <c r="G4012" s="188">
        <v>4981100000</v>
      </c>
      <c r="H4012" s="211">
        <v>994000000</v>
      </c>
      <c r="I4012" s="211">
        <v>718800000</v>
      </c>
      <c r="J4012" s="211">
        <v>420900000</v>
      </c>
      <c r="K4012" s="211">
        <v>1051400000</v>
      </c>
      <c r="L4012" s="211">
        <v>1638500000</v>
      </c>
      <c r="M4012" s="194">
        <f>L4012/P4012</f>
        <v>3.6144148422851683</v>
      </c>
      <c r="N4012" s="190">
        <f>J4012/L4012</f>
        <v>0.25688129386634118</v>
      </c>
      <c r="O4012" s="190">
        <f>(I4012*0.7)/(K4012+L4012)</f>
        <v>0.18705528086545967</v>
      </c>
      <c r="P4012" s="188">
        <v>453323725</v>
      </c>
      <c r="Q4012" s="188">
        <f>P4012*E4012</f>
        <v>13227986295.5</v>
      </c>
      <c r="R4012" s="195">
        <f>Q4012/L4012</f>
        <v>8.0732293533719872</v>
      </c>
      <c r="S4012" s="197">
        <f>(Q4012+K4012)/H4012</f>
        <v>14.365579774144869</v>
      </c>
      <c r="T4012" s="180"/>
      <c r="U4012" s="189">
        <f>IFERROR(IF(Tableau3[[#This Row],[Dettes]]=0,"",(Tableau3[[#This Row],[Dettes]]/Tableau3[[#This Row],[EBE]])),"")</f>
        <v>1.0577464788732394</v>
      </c>
      <c r="V4012" s="190">
        <f>IFERROR(Tableau3[[#This Row],[Fonds propres]]/Tableau3[[#This Row],[Total Bilan]],"")</f>
        <v>0.24264368326743377</v>
      </c>
      <c r="W4012" s="180">
        <v>6752700000</v>
      </c>
      <c r="Y4012" s="180">
        <v>79704</v>
      </c>
      <c r="Z4012" s="192">
        <f>IFERROR(Tableau3[[#This Row],[Chiffre d''affaires]]/Tableau3[[#This Row],[Salariés]],"")</f>
        <v>62494.981431295797</v>
      </c>
      <c r="AA4012" s="177"/>
      <c r="AC4012" s="177" t="s">
        <v>2803</v>
      </c>
    </row>
    <row r="4013" spans="1:29" ht="20.25" customHeight="1">
      <c r="A4013" s="217"/>
      <c r="G4013" s="202">
        <f>(G4012/G4014)-1</f>
        <v>8.2612475548793807E-2</v>
      </c>
      <c r="H4013" s="202">
        <f>(H4012/H4014)-1</f>
        <v>0.29023883696780883</v>
      </c>
      <c r="I4013" s="202">
        <f>(I4012/I4014)-1</f>
        <v>0.76392638036809823</v>
      </c>
      <c r="J4013" s="202">
        <f>(J4012/J4014)-1</f>
        <v>2.0302375809935205</v>
      </c>
      <c r="K4013" s="178"/>
      <c r="L4013" s="178"/>
      <c r="M4013" s="178"/>
      <c r="N4013" s="178"/>
      <c r="O4013" s="178"/>
      <c r="P4013" s="178"/>
      <c r="Q4013" s="178"/>
      <c r="R4013" s="178"/>
      <c r="S4013" s="178"/>
      <c r="T4013" s="180"/>
      <c r="U4013" s="189" t="str">
        <f>IFERROR(IF(Tableau3[[#This Row],[Dettes]]=0,"",(Tableau3[[#This Row],[Dettes]]/Tableau3[[#This Row],[EBE]])),"")</f>
        <v/>
      </c>
      <c r="V4013" s="190" t="str">
        <f>IFERROR(Tableau3[[#This Row],[Fonds propres]]/Tableau3[[#This Row],[Total Bilan]],"")</f>
        <v/>
      </c>
      <c r="W4013" s="180"/>
      <c r="Y4013" s="180"/>
      <c r="Z4013" s="192" t="str">
        <f>IFERROR(Tableau3[[#This Row],[Chiffre d''affaires]]/Tableau3[[#This Row],[Salariés]],"")</f>
        <v/>
      </c>
      <c r="AA4013" s="177"/>
      <c r="AC4013" s="177" t="s">
        <v>4661</v>
      </c>
    </row>
    <row r="4014" spans="1:29" ht="20.25" customHeight="1">
      <c r="A4014" s="217"/>
      <c r="E4014" s="178">
        <v>22.1</v>
      </c>
      <c r="F4014" s="178">
        <v>2020</v>
      </c>
      <c r="G4014" s="188">
        <v>4601000000</v>
      </c>
      <c r="H4014" s="211">
        <f>I4014+362900000</f>
        <v>770400000</v>
      </c>
      <c r="I4014" s="188">
        <v>407500000</v>
      </c>
      <c r="J4014" s="188">
        <v>138900000</v>
      </c>
      <c r="K4014" s="188">
        <v>1329100000</v>
      </c>
      <c r="L4014" s="188">
        <v>1238000000</v>
      </c>
      <c r="M4014" s="194">
        <f>L4014/P4014</f>
        <v>2.7375747650906552</v>
      </c>
      <c r="N4014" s="190">
        <f>J4014/L4014</f>
        <v>0.11219709208400647</v>
      </c>
      <c r="O4014" s="190">
        <f>(I4014*0.7)/(K4014+L4014)</f>
        <v>0.11111760352148338</v>
      </c>
      <c r="P4014" s="188">
        <v>452225092</v>
      </c>
      <c r="Q4014" s="188">
        <f>P4014*E4014</f>
        <v>9994174533.2000008</v>
      </c>
      <c r="R4014" s="195">
        <f>Q4014/L4014</f>
        <v>8.0728388798061399</v>
      </c>
      <c r="S4014" s="197">
        <f>(Q4014+K4014)/H4014</f>
        <v>14.697916060747664</v>
      </c>
      <c r="T4014" s="180"/>
      <c r="U4014" s="189">
        <f>IFERROR(IF(Tableau3[[#This Row],[Dettes]]=0,"",(Tableau3[[#This Row],[Dettes]]/Tableau3[[#This Row],[EBE]])),"")</f>
        <v>1.7252076843198338</v>
      </c>
      <c r="V4014" s="190" t="str">
        <f>IFERROR(Tableau3[[#This Row],[Fonds propres]]/Tableau3[[#This Row],[Total Bilan]],"")</f>
        <v/>
      </c>
      <c r="W4014" s="180"/>
      <c r="Y4014" s="180">
        <v>74930</v>
      </c>
      <c r="Z4014" s="192">
        <f>IFERROR(Tableau3[[#This Row],[Chiffre d''affaires]]/Tableau3[[#This Row],[Salariés]],"")</f>
        <v>61403.977045242224</v>
      </c>
      <c r="AA4014" s="177"/>
      <c r="AC4014" s="177" t="s">
        <v>2804</v>
      </c>
    </row>
    <row r="4015" spans="1:29" ht="20.25" customHeight="1">
      <c r="A4015" s="217"/>
      <c r="G4015" s="202">
        <f>(G4014/G4016)-1</f>
        <v>-9.779006608231855E-2</v>
      </c>
      <c r="H4015" s="202">
        <f>(H4014/H4016)-1</f>
        <v>-0.25</v>
      </c>
      <c r="I4015" s="202">
        <f>(I4014/I4016)-1</f>
        <v>-0.43551738467931844</v>
      </c>
      <c r="J4015" s="202">
        <f>(J4014/J4016)-1</f>
        <v>-0.64620478858889463</v>
      </c>
      <c r="K4015" s="178"/>
      <c r="L4015" s="178"/>
      <c r="M4015" s="194"/>
      <c r="N4015" s="190"/>
      <c r="O4015" s="190"/>
      <c r="P4015" s="190"/>
      <c r="Q4015" s="188"/>
      <c r="R4015" s="195"/>
      <c r="S4015" s="197"/>
      <c r="T4015" s="180"/>
      <c r="U4015" s="189" t="str">
        <f>IFERROR(IF(Tableau3[[#This Row],[Dettes]]=0,"",(Tableau3[[#This Row],[Dettes]]/Tableau3[[#This Row],[EBE]])),"")</f>
        <v/>
      </c>
      <c r="V4015" s="190" t="str">
        <f>IFERROR(Tableau3[[#This Row],[Fonds propres]]/Tableau3[[#This Row],[Total Bilan]],"")</f>
        <v/>
      </c>
      <c r="W4015" s="180"/>
      <c r="Y4015" s="180"/>
      <c r="Z4015" s="192" t="str">
        <f>IFERROR(Tableau3[[#This Row],[Chiffre d''affaires]]/Tableau3[[#This Row],[Salariés]],"")</f>
        <v/>
      </c>
      <c r="AA4015" s="177"/>
      <c r="AC4015" s="177" t="s">
        <v>4660</v>
      </c>
    </row>
    <row r="4016" spans="1:29" ht="20.25" customHeight="1">
      <c r="A4016" s="217"/>
      <c r="E4016" s="178">
        <v>23.7</v>
      </c>
      <c r="F4016" s="178">
        <v>2019</v>
      </c>
      <c r="G4016" s="188">
        <v>5099700000</v>
      </c>
      <c r="H4016" s="211">
        <f>I4016+305300000</f>
        <v>1027200000</v>
      </c>
      <c r="I4016" s="188">
        <v>721900000</v>
      </c>
      <c r="J4016" s="188">
        <v>392600000</v>
      </c>
      <c r="K4016" s="188">
        <v>1813300000</v>
      </c>
      <c r="L4016" s="188">
        <v>1263800000</v>
      </c>
      <c r="M4016" s="194">
        <f>L4016/P4016</f>
        <v>2.7954426048297836</v>
      </c>
      <c r="N4016" s="190">
        <f>J4016/L4016</f>
        <v>0.31065041937015353</v>
      </c>
      <c r="O4016" s="190">
        <f>(I4016*0.7)/(K4016+L4016)</f>
        <v>0.16422280718858664</v>
      </c>
      <c r="P4016" s="188">
        <v>452092988</v>
      </c>
      <c r="Q4016" s="188">
        <f>P4016*E4016</f>
        <v>10714603815.6</v>
      </c>
      <c r="R4016" s="195">
        <f>Q4016/L4016</f>
        <v>8.478084994144643</v>
      </c>
      <c r="S4016" s="197">
        <f>(Q4016+K4016)/H4016</f>
        <v>12.196168044781931</v>
      </c>
      <c r="T4016" s="180"/>
      <c r="U4016" s="189">
        <f>IFERROR(IF(Tableau3[[#This Row],[Dettes]]=0,"",(Tableau3[[#This Row],[Dettes]]/Tableau3[[#This Row],[EBE]])),"")</f>
        <v>1.7652842679127725</v>
      </c>
      <c r="V4016" s="190" t="str">
        <f>IFERROR(Tableau3[[#This Row],[Fonds propres]]/Tableau3[[#This Row],[Total Bilan]],"")</f>
        <v/>
      </c>
      <c r="W4016" s="180"/>
      <c r="Y4016" s="180"/>
      <c r="Z4016" s="192" t="str">
        <f>IFERROR(Tableau3[[#This Row],[Chiffre d''affaires]]/Tableau3[[#This Row],[Salariés]],"")</f>
        <v/>
      </c>
      <c r="AA4016" s="177"/>
      <c r="AC4016" s="177" t="s">
        <v>2805</v>
      </c>
    </row>
    <row r="4017" spans="1:29" ht="20.25" customHeight="1">
      <c r="A4017" s="217"/>
      <c r="G4017" s="202">
        <f>(G4016/G4018)-1</f>
        <v>6.3434469815452088E-2</v>
      </c>
      <c r="H4017" s="202">
        <f>(H4016/H4018)-1</f>
        <v>7.1898152979233965E-2</v>
      </c>
      <c r="I4017" s="202">
        <f>(I4016/I4018)-1</f>
        <v>-4.762532981530343E-2</v>
      </c>
      <c r="J4017" s="202">
        <f>(J4016/J4018)-1</f>
        <v>-5.896452540747843E-2</v>
      </c>
      <c r="K4017" s="178"/>
      <c r="L4017" s="178"/>
      <c r="M4017" s="178"/>
      <c r="N4017" s="178"/>
      <c r="O4017" s="178"/>
      <c r="P4017" s="178"/>
      <c r="Q4017" s="178"/>
      <c r="R4017" s="178"/>
      <c r="S4017" s="178"/>
      <c r="T4017" s="180"/>
      <c r="U4017" s="189" t="str">
        <f>IFERROR(IF(Tableau3[[#This Row],[Dettes]]=0,"",(Tableau3[[#This Row],[Dettes]]/Tableau3[[#This Row],[EBE]])),"")</f>
        <v/>
      </c>
      <c r="V4017" s="190" t="str">
        <f>IFERROR(Tableau3[[#This Row],[Fonds propres]]/Tableau3[[#This Row],[Total Bilan]],"")</f>
        <v/>
      </c>
      <c r="W4017" s="180"/>
      <c r="Y4017" s="180"/>
      <c r="Z4017" s="192" t="str">
        <f>IFERROR(Tableau3[[#This Row],[Chiffre d''affaires]]/Tableau3[[#This Row],[Salariés]],"")</f>
        <v/>
      </c>
      <c r="AA4017" s="177"/>
      <c r="AC4017" s="177" t="s">
        <v>2806</v>
      </c>
    </row>
    <row r="4018" spans="1:29" ht="20.25" customHeight="1">
      <c r="A4018" s="217"/>
      <c r="E4018" s="178">
        <v>17.2</v>
      </c>
      <c r="F4018" s="178">
        <v>2018</v>
      </c>
      <c r="G4018" s="188">
        <v>4795500000</v>
      </c>
      <c r="H4018" s="211">
        <f>I4018+200300000</f>
        <v>958300000</v>
      </c>
      <c r="I4018" s="188">
        <v>758000000</v>
      </c>
      <c r="J4018" s="188">
        <v>417200000</v>
      </c>
      <c r="K4018" s="188">
        <v>2115100000</v>
      </c>
      <c r="L4018" s="188">
        <v>959300000</v>
      </c>
      <c r="M4018" s="194">
        <f>L4018/P4018</f>
        <v>2.1693018796244368</v>
      </c>
      <c r="N4018" s="190">
        <f>J4018/L4018</f>
        <v>0.43490044824351087</v>
      </c>
      <c r="O4018" s="190">
        <f>(I4018*0.7)/(K4018+L4018)</f>
        <v>0.17258652094717666</v>
      </c>
      <c r="P4018" s="188">
        <v>442216000</v>
      </c>
      <c r="Q4018" s="188">
        <f>P4018*E4018</f>
        <v>7606115200</v>
      </c>
      <c r="R4018" s="195">
        <f>Q4018/L4018</f>
        <v>7.9288180965287189</v>
      </c>
      <c r="S4018" s="197">
        <f>(Q4018+K4018)/H4018</f>
        <v>10.144229573202546</v>
      </c>
      <c r="T4018" s="180"/>
      <c r="U4018" s="189">
        <f>IFERROR(IF(Tableau3[[#This Row],[Dettes]]=0,"",(Tableau3[[#This Row],[Dettes]]/Tableau3[[#This Row],[EBE]])),"")</f>
        <v>2.2071376395700719</v>
      </c>
      <c r="V4018" s="190" t="str">
        <f>IFERROR(Tableau3[[#This Row],[Fonds propres]]/Tableau3[[#This Row],[Total Bilan]],"")</f>
        <v/>
      </c>
      <c r="W4018" s="180"/>
      <c r="Y4018" s="180"/>
      <c r="Z4018" s="192" t="str">
        <f>IFERROR(Tableau3[[#This Row],[Chiffre d''affaires]]/Tableau3[[#This Row],[Salariés]],"")</f>
        <v/>
      </c>
      <c r="AA4018" s="177"/>
      <c r="AC4018" s="177" t="s">
        <v>2807</v>
      </c>
    </row>
    <row r="4019" spans="1:29" ht="20.25" customHeight="1">
      <c r="A4019" s="217"/>
      <c r="G4019" s="202">
        <f>(G4018/G4020)-1</f>
        <v>2.2625495799036166E-2</v>
      </c>
      <c r="H4019" s="202">
        <f>(H4018/H4020)-1</f>
        <v>9.587020648967659E-3</v>
      </c>
      <c r="I4019" s="202">
        <f>(I4018/I4020)-1</f>
        <v>1.6767270288396974E-2</v>
      </c>
      <c r="J4019" s="202">
        <f>(J4018/J4020)-1</f>
        <v>2.643595289593792E-3</v>
      </c>
      <c r="K4019" s="178"/>
      <c r="L4019" s="178"/>
      <c r="M4019" s="178"/>
      <c r="N4019" s="178"/>
      <c r="O4019" s="178"/>
      <c r="P4019" s="188"/>
      <c r="Q4019" s="178"/>
      <c r="R4019" s="178"/>
      <c r="S4019" s="178"/>
      <c r="T4019" s="180"/>
      <c r="U4019" s="189" t="str">
        <f>IFERROR(IF(Tableau3[[#This Row],[Dettes]]=0,"",(Tableau3[[#This Row],[Dettes]]/Tableau3[[#This Row],[EBE]])),"")</f>
        <v/>
      </c>
      <c r="V4019" s="190" t="str">
        <f>IFERROR(Tableau3[[#This Row],[Fonds propres]]/Tableau3[[#This Row],[Total Bilan]],"")</f>
        <v/>
      </c>
      <c r="W4019" s="180"/>
      <c r="Y4019" s="180"/>
      <c r="Z4019" s="192" t="str">
        <f>IFERROR(Tableau3[[#This Row],[Chiffre d''affaires]]/Tableau3[[#This Row],[Salariés]],"")</f>
        <v/>
      </c>
      <c r="AA4019" s="177"/>
      <c r="AC4019" s="177" t="s">
        <v>2808</v>
      </c>
    </row>
    <row r="4020" spans="1:29" ht="20.25" customHeight="1">
      <c r="A4020" s="217"/>
      <c r="E4020" s="178">
        <v>22.8</v>
      </c>
      <c r="F4020" s="178">
        <v>2017</v>
      </c>
      <c r="G4020" s="188">
        <v>4689400000</v>
      </c>
      <c r="H4020" s="211">
        <f>I4020+203700000</f>
        <v>949200000</v>
      </c>
      <c r="I4020" s="188">
        <v>745500000</v>
      </c>
      <c r="J4020" s="188">
        <v>416100000</v>
      </c>
      <c r="K4020" s="188">
        <v>2094400000</v>
      </c>
      <c r="L4020" s="188">
        <v>970400000</v>
      </c>
      <c r="M4020" s="194">
        <f>L4020/P4020</f>
        <v>2.1954751131221721</v>
      </c>
      <c r="N4020" s="190">
        <f>J4020/L4020</f>
        <v>0.42879225061830173</v>
      </c>
      <c r="O4020" s="190">
        <f>(I4020*0.7)/(K4020+L4020)</f>
        <v>0.17027212216131557</v>
      </c>
      <c r="P4020" s="188">
        <v>442000000</v>
      </c>
      <c r="Q4020" s="188">
        <f>P4020*E4020</f>
        <v>10077600000</v>
      </c>
      <c r="R4020" s="195">
        <f>Q4020/L4020</f>
        <v>10.384995877988459</v>
      </c>
      <c r="S4020" s="197">
        <f>(Q4020+K4020)/H4020</f>
        <v>12.823430257058575</v>
      </c>
      <c r="T4020" s="180"/>
      <c r="U4020" s="189">
        <f>IFERROR(IF(Tableau3[[#This Row],[Dettes]]=0,"",(Tableau3[[#This Row],[Dettes]]/Tableau3[[#This Row],[EBE]])),"")</f>
        <v>2.2064896755162242</v>
      </c>
      <c r="V4020" s="190" t="str">
        <f>IFERROR(Tableau3[[#This Row],[Fonds propres]]/Tableau3[[#This Row],[Total Bilan]],"")</f>
        <v/>
      </c>
      <c r="W4020" s="180"/>
      <c r="Y4020" s="180"/>
      <c r="Z4020" s="192" t="str">
        <f>IFERROR(Tableau3[[#This Row],[Chiffre d''affaires]]/Tableau3[[#This Row],[Salariés]],"")</f>
        <v/>
      </c>
      <c r="AA4020" s="177"/>
      <c r="AC4020" s="177" t="s">
        <v>2809</v>
      </c>
    </row>
    <row r="4021" spans="1:29" ht="20.25" customHeight="1">
      <c r="A4021" s="217"/>
      <c r="G4021" s="202">
        <f>(G4020/G4022)-1</f>
        <v>3.0818605469093541E-2</v>
      </c>
      <c r="H4021" s="202">
        <f>(H4020/H4022)-1</f>
        <v>0.16767130028293753</v>
      </c>
      <c r="I4021" s="202">
        <f>(I4020/I4022)-1</f>
        <v>0.22113022113022107</v>
      </c>
      <c r="J4021" s="202">
        <f>(J4020/J4022)-1</f>
        <v>0.30275516593613028</v>
      </c>
      <c r="K4021" s="178"/>
      <c r="L4021" s="178"/>
      <c r="M4021" s="178"/>
      <c r="N4021" s="178"/>
      <c r="O4021" s="178"/>
      <c r="P4021" s="188"/>
      <c r="Q4021" s="178"/>
      <c r="R4021" s="178"/>
      <c r="S4021" s="178"/>
      <c r="T4021" s="180"/>
      <c r="U4021" s="189" t="str">
        <f>IFERROR(IF(Tableau3[[#This Row],[Dettes]]=0,"",(Tableau3[[#This Row],[Dettes]]/Tableau3[[#This Row],[EBE]])),"")</f>
        <v/>
      </c>
      <c r="V4021" s="190" t="str">
        <f>IFERROR(Tableau3[[#This Row],[Fonds propres]]/Tableau3[[#This Row],[Total Bilan]],"")</f>
        <v/>
      </c>
      <c r="W4021" s="180"/>
      <c r="Y4021" s="180"/>
      <c r="Z4021" s="192" t="str">
        <f>IFERROR(Tableau3[[#This Row],[Chiffre d''affaires]]/Tableau3[[#This Row],[Salariés]],"")</f>
        <v/>
      </c>
      <c r="AA4021" s="177"/>
      <c r="AC4021" s="177" t="s">
        <v>2810</v>
      </c>
    </row>
    <row r="4022" spans="1:29" ht="20.25" customHeight="1">
      <c r="A4022" s="217"/>
      <c r="E4022" s="178">
        <v>18.399999999999999</v>
      </c>
      <c r="F4022" s="178">
        <v>2016</v>
      </c>
      <c r="G4022" s="188">
        <v>4549200000</v>
      </c>
      <c r="H4022" s="211">
        <f>I4022+202400000</f>
        <v>812900000</v>
      </c>
      <c r="I4022" s="188">
        <v>610500000</v>
      </c>
      <c r="J4022" s="188">
        <v>319400000</v>
      </c>
      <c r="K4022" s="188">
        <v>1996400000</v>
      </c>
      <c r="L4022" s="188">
        <v>1243100000</v>
      </c>
      <c r="M4022" s="194">
        <f>L4022/P4022</f>
        <v>2.8124434389140269</v>
      </c>
      <c r="N4022" s="190">
        <f>J4022/L4022</f>
        <v>0.25693829941275842</v>
      </c>
      <c r="O4022" s="190">
        <f>(I4022*0.7)/(K4022+L4022)</f>
        <v>0.13191850594227505</v>
      </c>
      <c r="P4022" s="188">
        <v>442000000</v>
      </c>
      <c r="Q4022" s="188">
        <f>P4022*E4022</f>
        <v>8132799999.999999</v>
      </c>
      <c r="R4022" s="195">
        <f>Q4022/L4022</f>
        <v>6.5423537929370115</v>
      </c>
      <c r="S4022" s="197">
        <f>(Q4022+K4022)/H4022</f>
        <v>12.46057325624308</v>
      </c>
      <c r="T4022" s="180"/>
      <c r="U4022" s="189">
        <f>IFERROR(IF(Tableau3[[#This Row],[Dettes]]=0,"",(Tableau3[[#This Row],[Dettes]]/Tableau3[[#This Row],[EBE]])),"")</f>
        <v>2.4558986345183911</v>
      </c>
      <c r="V4022" s="190" t="str">
        <f>IFERROR(Tableau3[[#This Row],[Fonds propres]]/Tableau3[[#This Row],[Total Bilan]],"")</f>
        <v/>
      </c>
      <c r="W4022" s="180"/>
      <c r="Y4022" s="180"/>
      <c r="Z4022" s="192" t="str">
        <f>IFERROR(Tableau3[[#This Row],[Chiffre d''affaires]]/Tableau3[[#This Row],[Salariés]],"")</f>
        <v/>
      </c>
      <c r="AA4022" s="177"/>
      <c r="AC4022" s="177" t="s">
        <v>1624</v>
      </c>
    </row>
    <row r="4023" spans="1:29" ht="20.25" customHeight="1">
      <c r="A4023" s="217"/>
      <c r="G4023" s="202">
        <f>(G4022/G4024)-1</f>
        <v>-1.8468973850004344E-2</v>
      </c>
      <c r="H4023" s="202">
        <f>(H4022/H4024)-1</f>
        <v>3.8451711803781263E-2</v>
      </c>
      <c r="I4023" s="202">
        <f>(I4022/I4024)-1</f>
        <v>5.6776873809935902E-2</v>
      </c>
      <c r="J4023" s="202">
        <f>(J4022/J4024)-1</f>
        <v>0.2510771641206424</v>
      </c>
      <c r="K4023" s="178"/>
      <c r="L4023" s="178"/>
      <c r="M4023" s="178"/>
      <c r="N4023" s="178"/>
      <c r="O4023" s="178"/>
      <c r="P4023" s="188"/>
      <c r="Q4023" s="178"/>
      <c r="R4023" s="178"/>
      <c r="S4023" s="178"/>
      <c r="T4023" s="180"/>
      <c r="U4023" s="189" t="str">
        <f>IFERROR(IF(Tableau3[[#This Row],[Dettes]]=0,"",(Tableau3[[#This Row],[Dettes]]/Tableau3[[#This Row],[EBE]])),"")</f>
        <v/>
      </c>
      <c r="V4023" s="190" t="str">
        <f>IFERROR(Tableau3[[#This Row],[Fonds propres]]/Tableau3[[#This Row],[Total Bilan]],"")</f>
        <v/>
      </c>
      <c r="W4023" s="180"/>
      <c r="Y4023" s="180"/>
      <c r="Z4023" s="192" t="str">
        <f>IFERROR(Tableau3[[#This Row],[Chiffre d''affaires]]/Tableau3[[#This Row],[Salariés]],"")</f>
        <v/>
      </c>
      <c r="AA4023" s="177"/>
      <c r="AC4023" s="177" t="s">
        <v>2811</v>
      </c>
    </row>
    <row r="4024" spans="1:29" ht="20.25" customHeight="1">
      <c r="A4024" s="217"/>
      <c r="E4024" s="178">
        <v>18.399999999999999</v>
      </c>
      <c r="F4024" s="178">
        <v>2015</v>
      </c>
      <c r="G4024" s="188">
        <v>4634800000</v>
      </c>
      <c r="H4024" s="211">
        <f>I4024+205100000</f>
        <v>782800000</v>
      </c>
      <c r="I4024" s="188">
        <v>577700000</v>
      </c>
      <c r="J4024" s="188">
        <v>255300000</v>
      </c>
      <c r="K4024" s="188">
        <v>1867000000</v>
      </c>
      <c r="L4024" s="188">
        <v>1124900000</v>
      </c>
      <c r="M4024" s="194">
        <f>L4024/P4024</f>
        <v>2.5390885103367018</v>
      </c>
      <c r="N4024" s="190">
        <f>J4024/L4024</f>
        <v>0.22695350697839808</v>
      </c>
      <c r="O4024" s="190">
        <f>(I4024*0.7)/(K4024+L4024)</f>
        <v>0.13516160299475249</v>
      </c>
      <c r="P4024" s="188">
        <v>443033000</v>
      </c>
      <c r="Q4024" s="188">
        <f>P4024*E4024</f>
        <v>8151807199.999999</v>
      </c>
      <c r="R4024" s="195">
        <f>Q4024/L4024</f>
        <v>7.2466949951106754</v>
      </c>
      <c r="S4024" s="197">
        <f>(Q4024+K4024)/H4024</f>
        <v>12.798680633622892</v>
      </c>
      <c r="T4024" s="180"/>
      <c r="U4024" s="189">
        <f>IFERROR(IF(Tableau3[[#This Row],[Dettes]]=0,"",(Tableau3[[#This Row],[Dettes]]/Tableau3[[#This Row],[EBE]])),"")</f>
        <v>2.3850281042411856</v>
      </c>
      <c r="V4024" s="190" t="str">
        <f>IFERROR(Tableau3[[#This Row],[Fonds propres]]/Tableau3[[#This Row],[Total Bilan]],"")</f>
        <v/>
      </c>
      <c r="W4024" s="180"/>
      <c r="Y4024" s="180"/>
      <c r="Z4024" s="192" t="str">
        <f>IFERROR(Tableau3[[#This Row],[Chiffre d''affaires]]/Tableau3[[#This Row],[Salariés]],"")</f>
        <v/>
      </c>
      <c r="AA4024" s="177"/>
      <c r="AC4024" s="177" t="s">
        <v>2812</v>
      </c>
    </row>
    <row r="4025" spans="1:29" ht="20.25" customHeight="1">
      <c r="A4025" s="217"/>
      <c r="G4025" s="202">
        <f>(G4024/G4026)-1</f>
        <v>0.11106316672659711</v>
      </c>
      <c r="H4025" s="202">
        <f>(H4024/H4026)-1</f>
        <v>4.8780487804878092E-3</v>
      </c>
      <c r="I4025" s="202">
        <f>(I4024/I4026)-1</f>
        <v>2.4654132671160012E-2</v>
      </c>
      <c r="J4025" s="202">
        <f>(J4024/J4026)-1</f>
        <v>-0.26021443059982619</v>
      </c>
      <c r="K4025" s="178"/>
      <c r="L4025" s="178"/>
      <c r="M4025" s="178"/>
      <c r="N4025" s="178"/>
      <c r="O4025" s="178"/>
      <c r="P4025" s="178"/>
      <c r="Q4025" s="178"/>
      <c r="R4025" s="178"/>
      <c r="S4025" s="178"/>
      <c r="T4025" s="180"/>
      <c r="U4025" s="189" t="str">
        <f>IFERROR(IF(Tableau3[[#This Row],[Dettes]]=0,"",(Tableau3[[#This Row],[Dettes]]/Tableau3[[#This Row],[EBE]])),"")</f>
        <v/>
      </c>
      <c r="V4025" s="190" t="str">
        <f>IFERROR(Tableau3[[#This Row],[Fonds propres]]/Tableau3[[#This Row],[Total Bilan]],"")</f>
        <v/>
      </c>
      <c r="W4025" s="180"/>
      <c r="Y4025" s="180"/>
      <c r="Z4025" s="192" t="str">
        <f>IFERROR(Tableau3[[#This Row],[Chiffre d''affaires]]/Tableau3[[#This Row],[Salariés]],"")</f>
        <v/>
      </c>
      <c r="AA4025" s="177"/>
      <c r="AC4025" s="177" t="s">
        <v>2813</v>
      </c>
    </row>
    <row r="4026" spans="1:29" ht="20.25" customHeight="1">
      <c r="A4026" s="217"/>
      <c r="E4026" s="178">
        <v>18.5</v>
      </c>
      <c r="F4026" s="178">
        <v>2014</v>
      </c>
      <c r="G4026" s="188">
        <v>4171500000</v>
      </c>
      <c r="H4026" s="211">
        <f>I4026+215200000</f>
        <v>779000000</v>
      </c>
      <c r="I4026" s="188">
        <v>563800000</v>
      </c>
      <c r="J4026" s="188">
        <v>345100000</v>
      </c>
      <c r="K4026" s="188">
        <v>1878600000</v>
      </c>
      <c r="L4026" s="188">
        <v>1108000000</v>
      </c>
      <c r="M4026" s="194">
        <f>L4026/P4026</f>
        <v>2.5065491514380986</v>
      </c>
      <c r="N4026" s="190">
        <f>J4026/L4026</f>
        <v>0.31146209386281587</v>
      </c>
      <c r="O4026" s="190">
        <f>(I4026*0.7)/(K4026+L4026)</f>
        <v>0.13214357463336235</v>
      </c>
      <c r="P4026" s="188">
        <v>442042000</v>
      </c>
      <c r="Q4026" s="188">
        <f>P4026*E4026</f>
        <v>8177777000</v>
      </c>
      <c r="R4026" s="195">
        <f>Q4026/L4026</f>
        <v>7.380665162454874</v>
      </c>
      <c r="S4026" s="197">
        <f>(Q4026+K4026)/H4026</f>
        <v>12.909341463414634</v>
      </c>
      <c r="T4026" s="180"/>
      <c r="U4026" s="189">
        <f>IFERROR(IF(Tableau3[[#This Row],[Dettes]]=0,"",(Tableau3[[#This Row],[Dettes]]/Tableau3[[#This Row],[EBE]])),"")</f>
        <v>2.4115532734274709</v>
      </c>
      <c r="V4026" s="190" t="str">
        <f>IFERROR(Tableau3[[#This Row],[Fonds propres]]/Tableau3[[#This Row],[Total Bilan]],"")</f>
        <v/>
      </c>
      <c r="W4026" s="180"/>
      <c r="Y4026" s="180"/>
      <c r="Z4026" s="192" t="str">
        <f>IFERROR(Tableau3[[#This Row],[Chiffre d''affaires]]/Tableau3[[#This Row],[Salariés]],"")</f>
        <v/>
      </c>
      <c r="AA4026" s="177"/>
    </row>
    <row r="4027" spans="1:29" ht="20.25" customHeight="1">
      <c r="A4027" s="217"/>
      <c r="G4027" s="202">
        <f>(G4026/G4028)-1</f>
        <v>6.0613765223360705E-2</v>
      </c>
      <c r="H4027" s="202">
        <f>(H4026/H4028)-1</f>
        <v>5.4127198917456099E-2</v>
      </c>
      <c r="I4027" s="202">
        <f>(I4026/I4028)-1</f>
        <v>-4.3758480325644555E-2</v>
      </c>
      <c r="J4027" s="202">
        <f>(J4026/J4028)-1</f>
        <v>0.17141887304820091</v>
      </c>
      <c r="K4027" s="178"/>
      <c r="L4027" s="178"/>
      <c r="M4027" s="178"/>
      <c r="N4027" s="178"/>
      <c r="O4027" s="178"/>
      <c r="P4027" s="178"/>
      <c r="Q4027" s="178"/>
      <c r="R4027" s="178"/>
      <c r="S4027" s="178"/>
      <c r="T4027" s="180"/>
      <c r="U4027" s="189" t="str">
        <f>IFERROR(IF(Tableau3[[#This Row],[Dettes]]=0,"",(Tableau3[[#This Row],[Dettes]]/Tableau3[[#This Row],[EBE]])),"")</f>
        <v/>
      </c>
      <c r="V4027" s="190" t="str">
        <f>IFERROR(Tableau3[[#This Row],[Fonds propres]]/Tableau3[[#This Row],[Total Bilan]],"")</f>
        <v/>
      </c>
      <c r="W4027" s="180"/>
      <c r="Y4027" s="180"/>
      <c r="Z4027" s="192" t="str">
        <f>IFERROR(Tableau3[[#This Row],[Chiffre d''affaires]]/Tableau3[[#This Row],[Salariés]],"")</f>
        <v/>
      </c>
      <c r="AA4027" s="177"/>
    </row>
    <row r="4028" spans="1:29" ht="20.25" customHeight="1">
      <c r="A4028" s="217"/>
      <c r="E4028" s="178">
        <v>19.899999999999999</v>
      </c>
      <c r="F4028" s="178">
        <v>2013</v>
      </c>
      <c r="G4028" s="188">
        <v>3933100000</v>
      </c>
      <c r="H4028" s="211">
        <f>I4028+149400000</f>
        <v>739000000</v>
      </c>
      <c r="I4028" s="188">
        <v>589600000</v>
      </c>
      <c r="J4028" s="188">
        <v>294600000</v>
      </c>
      <c r="K4028" s="188">
        <v>1320700000</v>
      </c>
      <c r="L4028" s="188">
        <v>956100000</v>
      </c>
      <c r="M4028" s="194">
        <f>L4028/P4028</f>
        <v>2.1631466419303385</v>
      </c>
      <c r="N4028" s="190">
        <f>J4028/L4028</f>
        <v>0.30812676498274238</v>
      </c>
      <c r="O4028" s="190">
        <f>(I4028*0.7)/(K4028+L4028)</f>
        <v>0.18127196064652143</v>
      </c>
      <c r="P4028" s="188">
        <v>441995000</v>
      </c>
      <c r="Q4028" s="188">
        <f>P4028*E4028</f>
        <v>8795700500</v>
      </c>
      <c r="R4028" s="195">
        <f>Q4028/L4028</f>
        <v>9.199561238364188</v>
      </c>
      <c r="S4028" s="197">
        <f>(Q4028+K4028)/H4028</f>
        <v>13.689310554803789</v>
      </c>
      <c r="T4028" s="180"/>
      <c r="U4028" s="189">
        <f>IFERROR(IF(Tableau3[[#This Row],[Dettes]]=0,"",(Tableau3[[#This Row],[Dettes]]/Tableau3[[#This Row],[EBE]])),"")</f>
        <v>1.7871447902571043</v>
      </c>
      <c r="V4028" s="190" t="str">
        <f>IFERROR(Tableau3[[#This Row],[Fonds propres]]/Tableau3[[#This Row],[Total Bilan]],"")</f>
        <v/>
      </c>
      <c r="W4028" s="180"/>
      <c r="Y4028" s="180"/>
      <c r="Z4028" s="192" t="str">
        <f>IFERROR(Tableau3[[#This Row],[Chiffre d''affaires]]/Tableau3[[#This Row],[Salariés]],"")</f>
        <v/>
      </c>
      <c r="AA4028" s="177"/>
    </row>
    <row r="4029" spans="1:29" ht="20.25" customHeight="1">
      <c r="A4029" s="217"/>
      <c r="G4029" s="188"/>
      <c r="H4029" s="178"/>
      <c r="I4029" s="178"/>
      <c r="J4029" s="178"/>
      <c r="K4029" s="178"/>
      <c r="L4029" s="178"/>
      <c r="M4029" s="178"/>
      <c r="N4029" s="178"/>
      <c r="O4029" s="178"/>
      <c r="P4029" s="178"/>
      <c r="Q4029" s="178"/>
      <c r="R4029" s="178"/>
      <c r="S4029" s="178"/>
      <c r="T4029" s="180"/>
      <c r="U4029" s="189" t="str">
        <f>IFERROR(IF(Tableau3[[#This Row],[Dettes]]=0,"",(Tableau3[[#This Row],[Dettes]]/Tableau3[[#This Row],[EBE]])),"")</f>
        <v/>
      </c>
      <c r="V4029" s="190" t="str">
        <f>IFERROR(Tableau3[[#This Row],[Fonds propres]]/Tableau3[[#This Row],[Total Bilan]],"")</f>
        <v/>
      </c>
      <c r="W4029" s="180"/>
      <c r="Y4029" s="180"/>
      <c r="Z4029" s="192" t="str">
        <f>IFERROR(Tableau3[[#This Row],[Chiffre d''affaires]]/Tableau3[[#This Row],[Salariés]],"")</f>
        <v/>
      </c>
      <c r="AA4029" s="177"/>
    </row>
    <row r="4030" spans="1:29" ht="20.25" customHeight="1">
      <c r="A4030" s="217"/>
      <c r="F4030" s="217" t="s">
        <v>2814</v>
      </c>
      <c r="G4030" s="188"/>
      <c r="H4030" s="178"/>
      <c r="I4030" s="178"/>
      <c r="J4030" s="178"/>
      <c r="K4030" s="178"/>
      <c r="L4030" s="178"/>
      <c r="M4030" s="178"/>
      <c r="N4030" s="178"/>
      <c r="O4030" s="178"/>
      <c r="P4030" s="178"/>
      <c r="Q4030" s="178"/>
      <c r="R4030" s="178"/>
      <c r="S4030" s="178"/>
      <c r="T4030" s="180"/>
      <c r="U4030" s="189" t="str">
        <f>IFERROR(IF(Tableau3[[#This Row],[Dettes]]=0,"",(Tableau3[[#This Row],[Dettes]]/Tableau3[[#This Row],[EBE]])),"")</f>
        <v/>
      </c>
      <c r="V4030" s="190" t="str">
        <f>IFERROR(Tableau3[[#This Row],[Fonds propres]]/Tableau3[[#This Row],[Total Bilan]],"")</f>
        <v/>
      </c>
      <c r="W4030" s="180"/>
      <c r="Y4030" s="180"/>
      <c r="Z4030" s="192" t="str">
        <f>IFERROR(Tableau3[[#This Row],[Chiffre d''affaires]]/Tableau3[[#This Row],[Salariés]],"")</f>
        <v/>
      </c>
      <c r="AA4030" s="177"/>
    </row>
    <row r="4031" spans="1:29" ht="20.25" customHeight="1">
      <c r="A4031" s="217"/>
      <c r="G4031" s="188"/>
      <c r="H4031" s="178"/>
      <c r="I4031" s="178"/>
      <c r="J4031" s="178"/>
      <c r="K4031" s="178"/>
      <c r="L4031" s="178"/>
      <c r="M4031" s="178"/>
      <c r="N4031" s="178"/>
      <c r="O4031" s="178"/>
      <c r="P4031" s="178"/>
      <c r="Q4031" s="178"/>
      <c r="R4031" s="178"/>
      <c r="S4031" s="178"/>
      <c r="T4031" s="180"/>
      <c r="U4031" s="189" t="str">
        <f>IFERROR(IF(Tableau3[[#This Row],[Dettes]]=0,"",(Tableau3[[#This Row],[Dettes]]/Tableau3[[#This Row],[EBE]])),"")</f>
        <v/>
      </c>
      <c r="V4031" s="190" t="str">
        <f>IFERROR(Tableau3[[#This Row],[Fonds propres]]/Tableau3[[#This Row],[Total Bilan]],"")</f>
        <v/>
      </c>
      <c r="W4031" s="180"/>
      <c r="Y4031" s="180"/>
      <c r="Z4031" s="192" t="str">
        <f>IFERROR(Tableau3[[#This Row],[Chiffre d''affaires]]/Tableau3[[#This Row],[Salariés]],"")</f>
        <v/>
      </c>
      <c r="AA4031" s="177"/>
    </row>
    <row r="4032" spans="1:29" ht="20.25" customHeight="1">
      <c r="A4032" s="217"/>
      <c r="G4032" s="188"/>
      <c r="H4032" s="178"/>
      <c r="I4032" s="178"/>
      <c r="J4032" s="178"/>
      <c r="K4032" s="178"/>
      <c r="L4032" s="178"/>
      <c r="M4032" s="178"/>
      <c r="N4032" s="178"/>
      <c r="O4032" s="178"/>
      <c r="P4032" s="178"/>
      <c r="Q4032" s="178"/>
      <c r="R4032" s="178"/>
      <c r="S4032" s="178"/>
      <c r="T4032" s="180"/>
      <c r="U4032" s="189" t="str">
        <f>IFERROR(IF(Tableau3[[#This Row],[Dettes]]=0,"",(Tableau3[[#This Row],[Dettes]]/Tableau3[[#This Row],[EBE]])),"")</f>
        <v/>
      </c>
      <c r="V4032" s="190" t="str">
        <f>IFERROR(Tableau3[[#This Row],[Fonds propres]]/Tableau3[[#This Row],[Total Bilan]],"")</f>
        <v/>
      </c>
      <c r="W4032" s="180"/>
      <c r="Y4032" s="180"/>
      <c r="Z4032" s="192" t="str">
        <f>IFERROR(Tableau3[[#This Row],[Chiffre d''affaires]]/Tableau3[[#This Row],[Salariés]],"")</f>
        <v/>
      </c>
      <c r="AA4032" s="177"/>
    </row>
    <row r="4033" spans="1:29" ht="20.25" customHeight="1">
      <c r="A4033" s="217"/>
      <c r="G4033" s="188"/>
      <c r="H4033" s="178"/>
      <c r="I4033" s="178"/>
      <c r="J4033" s="178"/>
      <c r="K4033" s="178"/>
      <c r="L4033" s="178"/>
      <c r="M4033" s="178"/>
      <c r="N4033" s="178"/>
      <c r="O4033" s="178"/>
      <c r="P4033" s="178"/>
      <c r="Q4033" s="178"/>
      <c r="R4033" s="178"/>
      <c r="S4033" s="178"/>
      <c r="T4033" s="180"/>
      <c r="U4033" s="189" t="str">
        <f>IFERROR(IF(Tableau3[[#This Row],[Dettes]]=0,"",(Tableau3[[#This Row],[Dettes]]/Tableau3[[#This Row],[EBE]])),"")</f>
        <v/>
      </c>
      <c r="V4033" s="190" t="str">
        <f>IFERROR(Tableau3[[#This Row],[Fonds propres]]/Tableau3[[#This Row],[Total Bilan]],"")</f>
        <v/>
      </c>
      <c r="W4033" s="180"/>
      <c r="Y4033" s="180"/>
      <c r="Z4033" s="192" t="str">
        <f>IFERROR(Tableau3[[#This Row],[Chiffre d''affaires]]/Tableau3[[#This Row],[Salariés]],"")</f>
        <v/>
      </c>
      <c r="AA4033" s="177"/>
    </row>
    <row r="4034" spans="1:29" ht="20.25" customHeight="1">
      <c r="A4034" s="217"/>
      <c r="G4034" s="188"/>
      <c r="H4034" s="178"/>
      <c r="I4034" s="178"/>
      <c r="J4034" s="178"/>
      <c r="K4034" s="178"/>
      <c r="L4034" s="178"/>
      <c r="M4034" s="178"/>
      <c r="N4034" s="178"/>
      <c r="O4034" s="178"/>
      <c r="P4034" s="178"/>
      <c r="Q4034" s="178"/>
      <c r="R4034" s="178"/>
      <c r="S4034" s="178"/>
      <c r="T4034" s="180"/>
      <c r="U4034" s="189" t="str">
        <f>IFERROR(IF(Tableau3[[#This Row],[Dettes]]=0,"",(Tableau3[[#This Row],[Dettes]]/Tableau3[[#This Row],[EBE]])),"")</f>
        <v/>
      </c>
      <c r="V4034" s="190" t="str">
        <f>IFERROR(Tableau3[[#This Row],[Fonds propres]]/Tableau3[[#This Row],[Total Bilan]],"")</f>
        <v/>
      </c>
      <c r="W4034" s="180"/>
      <c r="Y4034" s="180"/>
      <c r="Z4034" s="192" t="str">
        <f>IFERROR(Tableau3[[#This Row],[Chiffre d''affaires]]/Tableau3[[#This Row],[Salariés]],"")</f>
        <v/>
      </c>
      <c r="AA4034" s="177"/>
    </row>
    <row r="4035" spans="1:29" ht="20.25" customHeight="1">
      <c r="A4035" s="217" t="s">
        <v>2815</v>
      </c>
      <c r="B4035" s="216" t="s">
        <v>2792</v>
      </c>
      <c r="C4035" s="178" t="s">
        <v>99</v>
      </c>
      <c r="D4035" s="178" t="s">
        <v>100</v>
      </c>
      <c r="E4035" s="187">
        <v>3047</v>
      </c>
      <c r="F4035" s="178">
        <v>2021</v>
      </c>
      <c r="G4035" s="188">
        <v>6200000000</v>
      </c>
      <c r="H4035" s="188">
        <v>1500000000</v>
      </c>
      <c r="I4035" s="188">
        <v>980000000</v>
      </c>
      <c r="J4035" s="188">
        <v>600000000</v>
      </c>
      <c r="K4035" s="188">
        <v>1478000000</v>
      </c>
      <c r="L4035" s="188">
        <v>1060000000</v>
      </c>
      <c r="M4035" s="194">
        <f>L4035/P4035</f>
        <v>140.10541213989606</v>
      </c>
      <c r="N4035" s="190">
        <f>J4035/L4035</f>
        <v>0.56603773584905659</v>
      </c>
      <c r="O4035" s="190">
        <f>(I4035*0.7)/(K4035+L4035)</f>
        <v>0.27029156816390859</v>
      </c>
      <c r="P4035" s="188">
        <v>7565732</v>
      </c>
      <c r="Q4035" s="188">
        <f>P4035*E4035</f>
        <v>23052785404</v>
      </c>
      <c r="R4035" s="195">
        <f>Q4035/L4035</f>
        <v>21.747910758490566</v>
      </c>
      <c r="S4035" s="197">
        <f>(Q4035+K4035)/H4035</f>
        <v>16.353856936</v>
      </c>
      <c r="T4035" s="180"/>
      <c r="U4035" s="189">
        <f>IFERROR(IF(Tableau3[[#This Row],[Dettes]]=0,"",(Tableau3[[#This Row],[Dettes]]/Tableau3[[#This Row],[EBE]])),"")</f>
        <v>0.98533333333333328</v>
      </c>
      <c r="V4035" s="190" t="str">
        <f>IFERROR(Tableau3[[#This Row],[Fonds propres]]/Tableau3[[#This Row],[Total Bilan]],"")</f>
        <v/>
      </c>
      <c r="W4035" s="180"/>
      <c r="Y4035" s="180"/>
      <c r="Z4035" s="192" t="str">
        <f>IFERROR(Tableau3[[#This Row],[Chiffre d''affaires]]/Tableau3[[#This Row],[Salariés]],"")</f>
        <v/>
      </c>
      <c r="AA4035" s="177"/>
      <c r="AC4035" s="177" t="s">
        <v>2816</v>
      </c>
    </row>
    <row r="4036" spans="1:29" ht="20.25" customHeight="1">
      <c r="A4036" s="217"/>
      <c r="E4036" s="187"/>
      <c r="G4036" s="202">
        <f>(G4035/G4037)-1</f>
        <v>0.10635260528194146</v>
      </c>
      <c r="H4036" s="202">
        <f>(H4035/H4037)-1</f>
        <v>0.13293051359516617</v>
      </c>
      <c r="I4036" s="202">
        <f>(I4035/I4037)-1</f>
        <v>8.8888888888888795E-2</v>
      </c>
      <c r="J4036" s="202">
        <f>(J4035/J4037)-1</f>
        <v>0.18811881188118806</v>
      </c>
      <c r="K4036" s="178"/>
      <c r="L4036" s="178"/>
      <c r="M4036" s="178"/>
      <c r="N4036" s="178"/>
      <c r="O4036" s="178"/>
      <c r="P4036" s="178"/>
      <c r="Q4036" s="178"/>
      <c r="R4036" s="178"/>
      <c r="S4036" s="178"/>
      <c r="T4036" s="180"/>
      <c r="U4036" s="189" t="str">
        <f>IFERROR(IF(Tableau3[[#This Row],[Dettes]]=0,"",(Tableau3[[#This Row],[Dettes]]/Tableau3[[#This Row],[EBE]])),"")</f>
        <v/>
      </c>
      <c r="V4036" s="190" t="str">
        <f>IFERROR(Tableau3[[#This Row],[Fonds propres]]/Tableau3[[#This Row],[Total Bilan]],"")</f>
        <v/>
      </c>
      <c r="W4036" s="180"/>
      <c r="Y4036" s="180"/>
      <c r="Z4036" s="192" t="str">
        <f>IFERROR(Tableau3[[#This Row],[Chiffre d''affaires]]/Tableau3[[#This Row],[Salariés]],"")</f>
        <v/>
      </c>
      <c r="AA4036" s="177"/>
      <c r="AC4036" s="177" t="s">
        <v>2818</v>
      </c>
    </row>
    <row r="4037" spans="1:29" ht="20.25" customHeight="1">
      <c r="A4037" s="217"/>
      <c r="E4037" s="187">
        <v>2670</v>
      </c>
      <c r="F4037" s="178">
        <v>2020</v>
      </c>
      <c r="G4037" s="188">
        <v>5604000000</v>
      </c>
      <c r="H4037" s="188">
        <v>1324000000</v>
      </c>
      <c r="I4037" s="188">
        <v>900000000</v>
      </c>
      <c r="J4037" s="188">
        <v>505000000</v>
      </c>
      <c r="K4037" s="188">
        <v>1478000000</v>
      </c>
      <c r="L4037" s="188">
        <v>1060000000</v>
      </c>
      <c r="M4037" s="194">
        <f>L4037/P4037</f>
        <v>140.10541213989606</v>
      </c>
      <c r="N4037" s="190">
        <f>J4037/L4037</f>
        <v>0.47641509433962265</v>
      </c>
      <c r="O4037" s="190">
        <f>(I4037*0.7)/(K4037+L4037)</f>
        <v>0.24822695035460993</v>
      </c>
      <c r="P4037" s="188">
        <v>7565732</v>
      </c>
      <c r="Q4037" s="188">
        <f>P4037*E4037</f>
        <v>20200504440</v>
      </c>
      <c r="R4037" s="195">
        <f>Q4037/L4037</f>
        <v>19.057079660377358</v>
      </c>
      <c r="S4037" s="197">
        <f>(Q4037+K4037)/H4037</f>
        <v>16.373492779456193</v>
      </c>
      <c r="T4037" s="180"/>
      <c r="U4037" s="189">
        <f>IFERROR(IF(Tableau3[[#This Row],[Dettes]]=0,"",(Tableau3[[#This Row],[Dettes]]/Tableau3[[#This Row],[EBE]])),"")</f>
        <v>1.1163141993957704</v>
      </c>
      <c r="V4037" s="190" t="str">
        <f>IFERROR(Tableau3[[#This Row],[Fonds propres]]/Tableau3[[#This Row],[Total Bilan]],"")</f>
        <v/>
      </c>
      <c r="W4037" s="180"/>
      <c r="Y4037" s="180">
        <v>89000</v>
      </c>
      <c r="Z4037" s="192">
        <f>IFERROR(Tableau3[[#This Row],[Chiffre d''affaires]]/Tableau3[[#This Row],[Salariés]],"")</f>
        <v>62966.292134831463</v>
      </c>
      <c r="AA4037" s="177"/>
      <c r="AC4037" s="177" t="s">
        <v>2819</v>
      </c>
    </row>
    <row r="4038" spans="1:29" ht="20.25" customHeight="1">
      <c r="A4038" s="217"/>
      <c r="E4038" s="187"/>
      <c r="G4038" s="202">
        <f>(G4037/G4039)-1</f>
        <v>-0.15090909090909088</v>
      </c>
      <c r="H4038" s="202">
        <f>(H4037/H4039)-1</f>
        <v>-0.12952005259697563</v>
      </c>
      <c r="I4038" s="202">
        <f>(I4037/I4039)-1</f>
        <v>-7.9754601226993849E-2</v>
      </c>
      <c r="J4038" s="202">
        <f>(J4037/J4039)-1</f>
        <v>-0.28062678062678059</v>
      </c>
      <c r="K4038" s="178"/>
      <c r="L4038" s="178"/>
      <c r="M4038" s="178"/>
      <c r="N4038" s="178"/>
      <c r="O4038" s="178"/>
      <c r="P4038" s="178"/>
      <c r="Q4038" s="178"/>
      <c r="R4038" s="178"/>
      <c r="S4038" s="178"/>
      <c r="T4038" s="180"/>
      <c r="U4038" s="189" t="str">
        <f>IFERROR(IF(Tableau3[[#This Row],[Dettes]]=0,"",(Tableau3[[#This Row],[Dettes]]/Tableau3[[#This Row],[EBE]])),"")</f>
        <v/>
      </c>
      <c r="V4038" s="190" t="str">
        <f>IFERROR(Tableau3[[#This Row],[Fonds propres]]/Tableau3[[#This Row],[Total Bilan]],"")</f>
        <v/>
      </c>
      <c r="W4038" s="180"/>
      <c r="Y4038" s="180"/>
      <c r="Z4038" s="192" t="str">
        <f>IFERROR(Tableau3[[#This Row],[Chiffre d''affaires]]/Tableau3[[#This Row],[Salariés]],"")</f>
        <v/>
      </c>
      <c r="AA4038" s="177"/>
      <c r="AC4038" s="199" t="s">
        <v>2820</v>
      </c>
    </row>
    <row r="4039" spans="1:29" ht="20.25" customHeight="1">
      <c r="A4039" s="217"/>
      <c r="E4039" s="187">
        <v>2641</v>
      </c>
      <c r="F4039" s="178">
        <v>2019</v>
      </c>
      <c r="G4039" s="188">
        <v>6600000000</v>
      </c>
      <c r="H4039" s="188">
        <v>1521000000</v>
      </c>
      <c r="I4039" s="188">
        <v>978000000</v>
      </c>
      <c r="J4039" s="188">
        <v>702000000</v>
      </c>
      <c r="K4039" s="188">
        <v>762000000</v>
      </c>
      <c r="L4039" s="188">
        <v>1515000000</v>
      </c>
      <c r="M4039" s="194">
        <f>L4039/P4039</f>
        <v>200.24499942636086</v>
      </c>
      <c r="N4039" s="190">
        <f>J4039/L4039</f>
        <v>0.46336633663366339</v>
      </c>
      <c r="O4039" s="190">
        <f>(I4039*0.7)/(K4039+L4039)</f>
        <v>0.30065876152832677</v>
      </c>
      <c r="P4039" s="188">
        <v>7565732</v>
      </c>
      <c r="Q4039" s="188">
        <f>P4039*E4039</f>
        <v>19981098212</v>
      </c>
      <c r="R4039" s="195">
        <f>Q4039/L4039</f>
        <v>13.188843704290429</v>
      </c>
      <c r="S4039" s="197">
        <f>(Q4039+K4039)/H4039</f>
        <v>13.637802900723209</v>
      </c>
      <c r="T4039" s="180"/>
      <c r="U4039" s="189">
        <f>IFERROR(IF(Tableau3[[#This Row],[Dettes]]=0,"",(Tableau3[[#This Row],[Dettes]]/Tableau3[[#This Row],[EBE]])),"")</f>
        <v>0.50098619329388561</v>
      </c>
      <c r="V4039" s="190" t="str">
        <f>IFERROR(Tableau3[[#This Row],[Fonds propres]]/Tableau3[[#This Row],[Total Bilan]],"")</f>
        <v/>
      </c>
      <c r="W4039" s="180"/>
      <c r="Y4039" s="180"/>
      <c r="Z4039" s="192" t="str">
        <f>IFERROR(Tableau3[[#This Row],[Chiffre d''affaires]]/Tableau3[[#This Row],[Salariés]],"")</f>
        <v/>
      </c>
      <c r="AA4039" s="177"/>
      <c r="AC4039" s="177" t="s">
        <v>2821</v>
      </c>
    </row>
    <row r="4040" spans="1:29" ht="20.25" customHeight="1">
      <c r="A4040" s="217"/>
      <c r="E4040" s="187"/>
      <c r="G4040" s="202">
        <f>(G4039/G4041)-1</f>
        <v>1.538461538461533E-2</v>
      </c>
      <c r="H4040" s="202">
        <f>(H4039/H4041)-1</f>
        <v>0.17361111111111116</v>
      </c>
      <c r="I4040" s="202">
        <f>(I4039/I4041)-1</f>
        <v>6.6521264994547469E-2</v>
      </c>
      <c r="J4040" s="202">
        <f>(J4039/J4041)-1</f>
        <v>5.2473763118440875E-2</v>
      </c>
      <c r="K4040" s="178"/>
      <c r="L4040" s="178"/>
      <c r="M4040" s="178"/>
      <c r="N4040" s="178"/>
      <c r="O4040" s="178"/>
      <c r="P4040" s="178"/>
      <c r="Q4040" s="178"/>
      <c r="R4040" s="178"/>
      <c r="S4040" s="178"/>
      <c r="T4040" s="180"/>
      <c r="U4040" s="189" t="str">
        <f>IFERROR(IF(Tableau3[[#This Row],[Dettes]]=0,"",(Tableau3[[#This Row],[Dettes]]/Tableau3[[#This Row],[EBE]])),"")</f>
        <v/>
      </c>
      <c r="V4040" s="190" t="str">
        <f>IFERROR(Tableau3[[#This Row],[Fonds propres]]/Tableau3[[#This Row],[Total Bilan]],"")</f>
        <v/>
      </c>
      <c r="W4040" s="180"/>
      <c r="Y4040" s="180"/>
      <c r="Z4040" s="192" t="str">
        <f>IFERROR(Tableau3[[#This Row],[Chiffre d''affaires]]/Tableau3[[#This Row],[Salariés]],"")</f>
        <v/>
      </c>
      <c r="AA4040" s="177"/>
      <c r="AC4040" s="177" t="s">
        <v>2822</v>
      </c>
    </row>
    <row r="4041" spans="1:29" ht="20.25" customHeight="1">
      <c r="A4041" s="217"/>
      <c r="E4041" s="187">
        <v>2200</v>
      </c>
      <c r="F4041" s="178">
        <v>2018</v>
      </c>
      <c r="G4041" s="188">
        <v>6500000000</v>
      </c>
      <c r="H4041" s="188">
        <v>1296000000</v>
      </c>
      <c r="I4041" s="188">
        <v>917000000</v>
      </c>
      <c r="J4041" s="188">
        <v>667000000</v>
      </c>
      <c r="K4041" s="188">
        <v>772000000</v>
      </c>
      <c r="L4041" s="188">
        <v>1743000000</v>
      </c>
      <c r="M4041" s="194">
        <f>L4041/P4041</f>
        <v>228.32868641445626</v>
      </c>
      <c r="N4041" s="190">
        <f>J4041/L4041</f>
        <v>0.38267355134825015</v>
      </c>
      <c r="O4041" s="190">
        <f>(I4041*0.7)/(K4041+L4041)</f>
        <v>0.25522862823061632</v>
      </c>
      <c r="P4041" s="188">
        <v>7633732</v>
      </c>
      <c r="Q4041" s="188">
        <f>P4041*E4041</f>
        <v>16794210400</v>
      </c>
      <c r="R4041" s="195">
        <f>Q4041/L4041</f>
        <v>9.635232587492828</v>
      </c>
      <c r="S4041" s="197">
        <f>(Q4041+K4041)/H4041</f>
        <v>13.554174691358025</v>
      </c>
      <c r="T4041" s="180"/>
      <c r="U4041" s="189">
        <f>IFERROR(IF(Tableau3[[#This Row],[Dettes]]=0,"",(Tableau3[[#This Row],[Dettes]]/Tableau3[[#This Row],[EBE]])),"")</f>
        <v>0.59567901234567899</v>
      </c>
      <c r="V4041" s="190" t="str">
        <f>IFERROR(Tableau3[[#This Row],[Fonds propres]]/Tableau3[[#This Row],[Total Bilan]],"")</f>
        <v/>
      </c>
      <c r="W4041" s="180"/>
      <c r="Y4041" s="180"/>
      <c r="Z4041" s="192" t="str">
        <f>IFERROR(Tableau3[[#This Row],[Chiffre d''affaires]]/Tableau3[[#This Row],[Salariés]],"")</f>
        <v/>
      </c>
      <c r="AA4041" s="177"/>
      <c r="AC4041" s="177" t="s">
        <v>2823</v>
      </c>
    </row>
    <row r="4042" spans="1:29" ht="20.25" customHeight="1">
      <c r="A4042" s="217"/>
      <c r="G4042" s="188"/>
      <c r="H4042" s="178"/>
      <c r="I4042" s="178"/>
      <c r="J4042" s="178"/>
      <c r="K4042" s="178"/>
      <c r="L4042" s="178"/>
      <c r="M4042" s="178"/>
      <c r="N4042" s="178"/>
      <c r="O4042" s="178"/>
      <c r="P4042" s="178"/>
      <c r="Q4042" s="178"/>
      <c r="R4042" s="178"/>
      <c r="S4042" s="178"/>
      <c r="T4042" s="180"/>
      <c r="U4042" s="189" t="str">
        <f>IFERROR(IF(Tableau3[[#This Row],[Dettes]]=0,"",(Tableau3[[#This Row],[Dettes]]/Tableau3[[#This Row],[EBE]])),"")</f>
        <v/>
      </c>
      <c r="V4042" s="190" t="str">
        <f>IFERROR(Tableau3[[#This Row],[Fonds propres]]/Tableau3[[#This Row],[Total Bilan]],"")</f>
        <v/>
      </c>
      <c r="W4042" s="180"/>
      <c r="Y4042" s="180"/>
      <c r="Z4042" s="192" t="str">
        <f>IFERROR(Tableau3[[#This Row],[Chiffre d''affaires]]/Tableau3[[#This Row],[Salariés]],"")</f>
        <v/>
      </c>
      <c r="AA4042" s="177"/>
      <c r="AC4042" s="177" t="s">
        <v>2824</v>
      </c>
    </row>
    <row r="4043" spans="1:29" ht="20.25" customHeight="1">
      <c r="A4043" s="217"/>
      <c r="F4043" s="217" t="s">
        <v>2825</v>
      </c>
      <c r="G4043" s="188"/>
      <c r="H4043" s="178"/>
      <c r="I4043" s="178"/>
      <c r="J4043" s="178"/>
      <c r="K4043" s="178"/>
      <c r="L4043" s="178"/>
      <c r="M4043" s="178"/>
      <c r="N4043" s="178"/>
      <c r="O4043" s="178"/>
      <c r="P4043" s="178"/>
      <c r="Q4043" s="178"/>
      <c r="R4043" s="178"/>
      <c r="S4043" s="178"/>
      <c r="T4043" s="180"/>
      <c r="U4043" s="189" t="str">
        <f>IFERROR(IF(Tableau3[[#This Row],[Dettes]]=0,"",(Tableau3[[#This Row],[Dettes]]/Tableau3[[#This Row],[EBE]])),"")</f>
        <v/>
      </c>
      <c r="V4043" s="190" t="str">
        <f>IFERROR(Tableau3[[#This Row],[Fonds propres]]/Tableau3[[#This Row],[Total Bilan]],"")</f>
        <v/>
      </c>
      <c r="W4043" s="180"/>
      <c r="Y4043" s="180"/>
      <c r="Z4043" s="192" t="str">
        <f>IFERROR(Tableau3[[#This Row],[Chiffre d''affaires]]/Tableau3[[#This Row],[Salariés]],"")</f>
        <v/>
      </c>
      <c r="AA4043" s="177"/>
      <c r="AC4043" s="177" t="s">
        <v>2826</v>
      </c>
    </row>
    <row r="4044" spans="1:29" ht="20.25" customHeight="1">
      <c r="A4044" s="217"/>
      <c r="G4044" s="188"/>
      <c r="H4044" s="178"/>
      <c r="I4044" s="178"/>
      <c r="J4044" s="178"/>
      <c r="K4044" s="178"/>
      <c r="L4044" s="178"/>
      <c r="M4044" s="178"/>
      <c r="N4044" s="178"/>
      <c r="O4044" s="178"/>
      <c r="P4044" s="178"/>
      <c r="Q4044" s="178"/>
      <c r="R4044" s="178"/>
      <c r="S4044" s="178"/>
      <c r="T4044" s="180"/>
      <c r="U4044" s="189" t="str">
        <f>IFERROR(IF(Tableau3[[#This Row],[Dettes]]=0,"",(Tableau3[[#This Row],[Dettes]]/Tableau3[[#This Row],[EBE]])),"")</f>
        <v/>
      </c>
      <c r="V4044" s="190" t="str">
        <f>IFERROR(Tableau3[[#This Row],[Fonds propres]]/Tableau3[[#This Row],[Total Bilan]],"")</f>
        <v/>
      </c>
      <c r="W4044" s="180"/>
      <c r="Y4044" s="180"/>
      <c r="Z4044" s="192" t="str">
        <f>IFERROR(Tableau3[[#This Row],[Chiffre d''affaires]]/Tableau3[[#This Row],[Salariés]],"")</f>
        <v/>
      </c>
      <c r="AA4044" s="177"/>
      <c r="AC4044" s="177" t="s">
        <v>876</v>
      </c>
    </row>
    <row r="4045" spans="1:29" ht="20.25" customHeight="1">
      <c r="A4045" s="217"/>
      <c r="G4045" s="188"/>
      <c r="H4045" s="178"/>
      <c r="I4045" s="178"/>
      <c r="J4045" s="178"/>
      <c r="K4045" s="178"/>
      <c r="L4045" s="178"/>
      <c r="M4045" s="178"/>
      <c r="N4045" s="178"/>
      <c r="O4045" s="178"/>
      <c r="P4045" s="178"/>
      <c r="Q4045" s="178"/>
      <c r="R4045" s="178"/>
      <c r="S4045" s="178"/>
      <c r="T4045" s="180"/>
      <c r="U4045" s="189" t="str">
        <f>IFERROR(IF(Tableau3[[#This Row],[Dettes]]=0,"",(Tableau3[[#This Row],[Dettes]]/Tableau3[[#This Row],[EBE]])),"")</f>
        <v/>
      </c>
      <c r="V4045" s="190" t="str">
        <f>IFERROR(Tableau3[[#This Row],[Fonds propres]]/Tableau3[[#This Row],[Total Bilan]],"")</f>
        <v/>
      </c>
      <c r="W4045" s="180"/>
      <c r="Y4045" s="180"/>
      <c r="Z4045" s="192" t="str">
        <f>IFERROR(Tableau3[[#This Row],[Chiffre d''affaires]]/Tableau3[[#This Row],[Salariés]],"")</f>
        <v/>
      </c>
      <c r="AA4045" s="177"/>
      <c r="AC4045" s="177" t="s">
        <v>653</v>
      </c>
    </row>
    <row r="4046" spans="1:29" ht="20.25" customHeight="1">
      <c r="A4046" s="217"/>
      <c r="G4046" s="188"/>
      <c r="H4046" s="178"/>
      <c r="I4046" s="178"/>
      <c r="J4046" s="178"/>
      <c r="K4046" s="178"/>
      <c r="L4046" s="178"/>
      <c r="M4046" s="178"/>
      <c r="N4046" s="178"/>
      <c r="O4046" s="178"/>
      <c r="P4046" s="178"/>
      <c r="Q4046" s="178"/>
      <c r="R4046" s="178"/>
      <c r="S4046" s="178"/>
      <c r="T4046" s="180"/>
      <c r="U4046" s="189" t="str">
        <f>IFERROR(IF(Tableau3[[#This Row],[Dettes]]=0,"",(Tableau3[[#This Row],[Dettes]]/Tableau3[[#This Row],[EBE]])),"")</f>
        <v/>
      </c>
      <c r="V4046" s="190" t="str">
        <f>IFERROR(Tableau3[[#This Row],[Fonds propres]]/Tableau3[[#This Row],[Total Bilan]],"")</f>
        <v/>
      </c>
      <c r="W4046" s="180"/>
      <c r="Y4046" s="180"/>
      <c r="Z4046" s="192" t="str">
        <f>IFERROR(Tableau3[[#This Row],[Chiffre d''affaires]]/Tableau3[[#This Row],[Salariés]],"")</f>
        <v/>
      </c>
      <c r="AA4046" s="177"/>
      <c r="AC4046" s="177" t="s">
        <v>762</v>
      </c>
    </row>
    <row r="4047" spans="1:29" ht="20.25" customHeight="1">
      <c r="A4047" s="217"/>
      <c r="G4047" s="188"/>
      <c r="H4047" s="178"/>
      <c r="I4047" s="178"/>
      <c r="J4047" s="178"/>
      <c r="K4047" s="178"/>
      <c r="L4047" s="178"/>
      <c r="M4047" s="178"/>
      <c r="N4047" s="178"/>
      <c r="O4047" s="178"/>
      <c r="P4047" s="178"/>
      <c r="Q4047" s="178"/>
      <c r="R4047" s="178"/>
      <c r="S4047" s="178"/>
      <c r="T4047" s="180"/>
      <c r="U4047" s="189" t="str">
        <f>IFERROR(IF(Tableau3[[#This Row],[Dettes]]=0,"",(Tableau3[[#This Row],[Dettes]]/Tableau3[[#This Row],[EBE]])),"")</f>
        <v/>
      </c>
      <c r="V4047" s="190" t="str">
        <f>IFERROR(Tableau3[[#This Row],[Fonds propres]]/Tableau3[[#This Row],[Total Bilan]],"")</f>
        <v/>
      </c>
      <c r="W4047" s="180"/>
      <c r="Y4047" s="180"/>
      <c r="Z4047" s="192" t="str">
        <f>IFERROR(Tableau3[[#This Row],[Chiffre d''affaires]]/Tableau3[[#This Row],[Salariés]],"")</f>
        <v/>
      </c>
      <c r="AA4047" s="177"/>
      <c r="AC4047" s="177" t="s">
        <v>2827</v>
      </c>
    </row>
    <row r="4048" spans="1:29" ht="20.25" customHeight="1">
      <c r="A4048" s="217"/>
      <c r="G4048" s="188"/>
      <c r="H4048" s="178"/>
      <c r="I4048" s="178"/>
      <c r="J4048" s="178"/>
      <c r="K4048" s="178"/>
      <c r="L4048" s="178"/>
      <c r="M4048" s="178"/>
      <c r="N4048" s="178"/>
      <c r="O4048" s="178"/>
      <c r="P4048" s="178"/>
      <c r="Q4048" s="178"/>
      <c r="R4048" s="178"/>
      <c r="S4048" s="178"/>
      <c r="T4048" s="180"/>
      <c r="U4048" s="189" t="str">
        <f>IFERROR(IF(Tableau3[[#This Row],[Dettes]]=0,"",(Tableau3[[#This Row],[Dettes]]/Tableau3[[#This Row],[EBE]])),"")</f>
        <v/>
      </c>
      <c r="V4048" s="190" t="str">
        <f>IFERROR(Tableau3[[#This Row],[Fonds propres]]/Tableau3[[#This Row],[Total Bilan]],"")</f>
        <v/>
      </c>
      <c r="W4048" s="180"/>
      <c r="Y4048" s="180"/>
      <c r="Z4048" s="192" t="str">
        <f>IFERROR(Tableau3[[#This Row],[Chiffre d''affaires]]/Tableau3[[#This Row],[Salariés]],"")</f>
        <v/>
      </c>
      <c r="AA4048" s="177"/>
    </row>
    <row r="4049" spans="1:29" ht="20.25" customHeight="1">
      <c r="A4049" s="217"/>
      <c r="G4049" s="188"/>
      <c r="H4049" s="178"/>
      <c r="I4049" s="178"/>
      <c r="J4049" s="178"/>
      <c r="K4049" s="178"/>
      <c r="L4049" s="178"/>
      <c r="M4049" s="178"/>
      <c r="N4049" s="178"/>
      <c r="O4049" s="178"/>
      <c r="P4049" s="178"/>
      <c r="Q4049" s="178"/>
      <c r="R4049" s="178"/>
      <c r="S4049" s="178"/>
      <c r="T4049" s="180"/>
      <c r="U4049" s="189" t="str">
        <f>IFERROR(IF(Tableau3[[#This Row],[Dettes]]=0,"",(Tableau3[[#This Row],[Dettes]]/Tableau3[[#This Row],[EBE]])),"")</f>
        <v/>
      </c>
      <c r="V4049" s="190" t="str">
        <f>IFERROR(Tableau3[[#This Row],[Fonds propres]]/Tableau3[[#This Row],[Total Bilan]],"")</f>
        <v/>
      </c>
      <c r="W4049" s="180"/>
      <c r="Y4049" s="180"/>
      <c r="Z4049" s="192" t="str">
        <f>IFERROR(Tableau3[[#This Row],[Chiffre d''affaires]]/Tableau3[[#This Row],[Salariés]],"")</f>
        <v/>
      </c>
      <c r="AA4049" s="177"/>
    </row>
    <row r="4050" spans="1:29" ht="20.25" customHeight="1">
      <c r="A4050" s="217" t="s">
        <v>2828</v>
      </c>
      <c r="B4050" s="216" t="s">
        <v>2829</v>
      </c>
      <c r="C4050" s="178" t="s">
        <v>84</v>
      </c>
      <c r="D4050" s="178" t="s">
        <v>85</v>
      </c>
      <c r="E4050" s="187">
        <v>43.1</v>
      </c>
      <c r="F4050" s="178">
        <v>2021</v>
      </c>
      <c r="G4050" s="188">
        <v>501500000</v>
      </c>
      <c r="H4050" s="211">
        <f>G4050*0.062</f>
        <v>31093000</v>
      </c>
      <c r="I4050" s="188">
        <v>18000000</v>
      </c>
      <c r="J4050" s="188">
        <v>12000000</v>
      </c>
      <c r="K4050" s="188">
        <v>31245000</v>
      </c>
      <c r="L4050" s="188">
        <v>145000000</v>
      </c>
      <c r="M4050" s="194">
        <f>L4050/P4050</f>
        <v>29.514136253536609</v>
      </c>
      <c r="N4050" s="190">
        <f>J4050/L4050</f>
        <v>8.2758620689655171E-2</v>
      </c>
      <c r="O4050" s="190">
        <f>(I4050*0.7)/(K4050+L4050)</f>
        <v>7.1491389826661755E-2</v>
      </c>
      <c r="P4050" s="188">
        <v>4912900</v>
      </c>
      <c r="Q4050" s="188">
        <f>P4050*E4050</f>
        <v>211745990</v>
      </c>
      <c r="R4050" s="195">
        <f>Q4050/L4050</f>
        <v>1.4603171724137931</v>
      </c>
      <c r="S4050" s="197">
        <f>(Q4050+K4050)/H4050</f>
        <v>7.8149741099282792</v>
      </c>
      <c r="T4050" s="180"/>
      <c r="U4050" s="189">
        <f>IFERROR(IF(Tableau3[[#This Row],[Dettes]]=0,"",(Tableau3[[#This Row],[Dettes]]/Tableau3[[#This Row],[EBE]])),"")</f>
        <v>1.0048885601260733</v>
      </c>
      <c r="V4050" s="190" t="str">
        <f>IFERROR(Tableau3[[#This Row],[Fonds propres]]/Tableau3[[#This Row],[Total Bilan]],"")</f>
        <v/>
      </c>
      <c r="W4050" s="180"/>
      <c r="Y4050" s="180"/>
      <c r="Z4050" s="192" t="str">
        <f>IFERROR(Tableau3[[#This Row],[Chiffre d''affaires]]/Tableau3[[#This Row],[Salariés]],"")</f>
        <v/>
      </c>
      <c r="AA4050" s="177"/>
      <c r="AC4050" s="177" t="s">
        <v>2830</v>
      </c>
    </row>
    <row r="4051" spans="1:29" ht="20.25" customHeight="1">
      <c r="A4051" s="217"/>
      <c r="G4051" s="202">
        <f>(G4050/G4054)-1</f>
        <v>4.1340058265208368E-2</v>
      </c>
      <c r="H4051" s="202"/>
      <c r="I4051" s="202">
        <f>(I4050/I4054)-1</f>
        <v>0.10125420617925962</v>
      </c>
      <c r="J4051" s="202">
        <f>(J4050/J4054)-1</f>
        <v>0.13026278609776765</v>
      </c>
      <c r="K4051" s="178"/>
      <c r="L4051" s="178"/>
      <c r="M4051" s="178"/>
      <c r="N4051" s="178"/>
      <c r="O4051" s="178"/>
      <c r="P4051" s="178"/>
      <c r="Q4051" s="178"/>
      <c r="R4051" s="178"/>
      <c r="S4051" s="178"/>
      <c r="T4051" s="180"/>
      <c r="U4051" s="189" t="str">
        <f>IFERROR(IF(Tableau3[[#This Row],[Dettes]]=0,"",(Tableau3[[#This Row],[Dettes]]/Tableau3[[#This Row],[EBE]])),"")</f>
        <v/>
      </c>
      <c r="V4051" s="190" t="str">
        <f>IFERROR(Tableau3[[#This Row],[Fonds propres]]/Tableau3[[#This Row],[Total Bilan]],"")</f>
        <v/>
      </c>
      <c r="W4051" s="180"/>
      <c r="Y4051" s="180"/>
      <c r="Z4051" s="192" t="str">
        <f>IFERROR(Tableau3[[#This Row],[Chiffre d''affaires]]/Tableau3[[#This Row],[Salariés]],"")</f>
        <v/>
      </c>
      <c r="AA4051" s="177"/>
      <c r="AC4051" s="177" t="s">
        <v>2832</v>
      </c>
    </row>
    <row r="4052" spans="1:29" ht="20.25" customHeight="1">
      <c r="A4052" s="217"/>
      <c r="E4052" s="178">
        <v>32.6</v>
      </c>
      <c r="F4052" s="178" t="s">
        <v>2833</v>
      </c>
      <c r="G4052" s="188">
        <v>566329000</v>
      </c>
      <c r="H4052" s="211">
        <f>G4052*0.059</f>
        <v>33413411</v>
      </c>
      <c r="I4052" s="188">
        <v>19084000</v>
      </c>
      <c r="J4052" s="188">
        <v>11009000</v>
      </c>
      <c r="K4052" s="188">
        <v>31245000</v>
      </c>
      <c r="L4052" s="188">
        <v>96765000</v>
      </c>
      <c r="M4052" s="194">
        <f>L4052/P4052</f>
        <v>25.690550528864534</v>
      </c>
      <c r="N4052" s="190">
        <f>J4052/L4052</f>
        <v>0.11377047486177853</v>
      </c>
      <c r="O4052" s="190">
        <f>(I4052*0.7)/(K4052+L4052)</f>
        <v>0.10435747207249434</v>
      </c>
      <c r="P4052" s="188">
        <v>3766560</v>
      </c>
      <c r="Q4052" s="188">
        <f>P4052*E4052</f>
        <v>122789856</v>
      </c>
      <c r="R4052" s="195" t="s">
        <v>131</v>
      </c>
      <c r="S4052" s="197" t="s">
        <v>131</v>
      </c>
      <c r="T4052" s="180"/>
      <c r="U4052" s="189">
        <f>IFERROR(IF(Tableau3[[#This Row],[Dettes]]=0,"",(Tableau3[[#This Row],[Dettes]]/Tableau3[[#This Row],[EBE]])),"")</f>
        <v>0.93510357263435329</v>
      </c>
      <c r="V4052" s="190" t="str">
        <f>IFERROR(Tableau3[[#This Row],[Fonds propres]]/Tableau3[[#This Row],[Total Bilan]],"")</f>
        <v/>
      </c>
      <c r="W4052" s="180"/>
      <c r="Y4052" s="180"/>
      <c r="Z4052" s="192" t="str">
        <f>IFERROR(Tableau3[[#This Row],[Chiffre d''affaires]]/Tableau3[[#This Row],[Salariés]],"")</f>
        <v/>
      </c>
      <c r="AA4052" s="177"/>
      <c r="AC4052" s="177" t="s">
        <v>2834</v>
      </c>
    </row>
    <row r="4053" spans="1:29" ht="20.25" customHeight="1">
      <c r="A4053" s="217"/>
      <c r="G4053" s="202">
        <f>(G4052/G4054)-1</f>
        <v>0.17595428485997444</v>
      </c>
      <c r="H4053" s="202"/>
      <c r="I4053" s="202">
        <f>(I4052/I4054)-1</f>
        <v>0.16757418170694405</v>
      </c>
      <c r="J4053" s="202">
        <f>(J4052/J4054)-1</f>
        <v>3.6921917679193728E-2</v>
      </c>
      <c r="K4053" s="178"/>
      <c r="L4053" s="178"/>
      <c r="M4053" s="178"/>
      <c r="N4053" s="178"/>
      <c r="O4053" s="178"/>
      <c r="P4053" s="178"/>
      <c r="Q4053" s="178"/>
      <c r="R4053" s="178"/>
      <c r="S4053" s="178"/>
      <c r="T4053" s="180"/>
      <c r="U4053" s="189" t="str">
        <f>IFERROR(IF(Tableau3[[#This Row],[Dettes]]=0,"",(Tableau3[[#This Row],[Dettes]]/Tableau3[[#This Row],[EBE]])),"")</f>
        <v/>
      </c>
      <c r="V4053" s="190" t="str">
        <f>IFERROR(Tableau3[[#This Row],[Fonds propres]]/Tableau3[[#This Row],[Total Bilan]],"")</f>
        <v/>
      </c>
      <c r="W4053" s="180"/>
      <c r="Y4053" s="180"/>
      <c r="Z4053" s="192" t="str">
        <f>IFERROR(Tableau3[[#This Row],[Chiffre d''affaires]]/Tableau3[[#This Row],[Salariés]],"")</f>
        <v/>
      </c>
      <c r="AA4053" s="177"/>
      <c r="AC4053" s="177" t="s">
        <v>2835</v>
      </c>
    </row>
    <row r="4054" spans="1:29" ht="20.25" customHeight="1">
      <c r="A4054" s="217"/>
      <c r="E4054" s="178">
        <v>26.5</v>
      </c>
      <c r="F4054" s="178">
        <v>2019</v>
      </c>
      <c r="G4054" s="188">
        <v>481591000</v>
      </c>
      <c r="H4054" s="178"/>
      <c r="I4054" s="188">
        <v>16345000</v>
      </c>
      <c r="J4054" s="188">
        <v>10617000</v>
      </c>
      <c r="K4054" s="188">
        <v>55768000</v>
      </c>
      <c r="L4054" s="188">
        <v>96390000</v>
      </c>
      <c r="M4054" s="194">
        <f>L4054/P4054</f>
        <v>25.590990187332739</v>
      </c>
      <c r="N4054" s="190">
        <f>J4054/L4054</f>
        <v>0.11014628073451603</v>
      </c>
      <c r="O4054" s="190">
        <f>(I4054*0.7)/(K4054+L4054)</f>
        <v>7.5194863234269646E-2</v>
      </c>
      <c r="P4054" s="188">
        <v>3766560</v>
      </c>
      <c r="Q4054" s="188">
        <f>P4054*E4054</f>
        <v>99813840</v>
      </c>
      <c r="R4054" s="195">
        <f>Q4054/L4054</f>
        <v>1.035520697167756</v>
      </c>
      <c r="S4054" s="197" t="e">
        <f>(Q4054+K4054)/H4054</f>
        <v>#DIV/0!</v>
      </c>
      <c r="T4054" s="180"/>
      <c r="U4054" s="189" t="str">
        <f>IFERROR(IF(Tableau3[[#This Row],[Dettes]]=0,"",(Tableau3[[#This Row],[Dettes]]/Tableau3[[#This Row],[EBE]])),"")</f>
        <v/>
      </c>
      <c r="V4054" s="190" t="str">
        <f>IFERROR(Tableau3[[#This Row],[Fonds propres]]/Tableau3[[#This Row],[Total Bilan]],"")</f>
        <v/>
      </c>
      <c r="W4054" s="180"/>
      <c r="Y4054" s="180"/>
      <c r="Z4054" s="192" t="str">
        <f>IFERROR(Tableau3[[#This Row],[Chiffre d''affaires]]/Tableau3[[#This Row],[Salariés]],"")</f>
        <v/>
      </c>
      <c r="AA4054" s="177"/>
      <c r="AC4054" s="177" t="s">
        <v>2836</v>
      </c>
    </row>
    <row r="4055" spans="1:29" ht="20.25" customHeight="1">
      <c r="A4055" s="217"/>
      <c r="G4055" s="202">
        <f>(G4054/G4056)-1</f>
        <v>2.8409928099648374E-2</v>
      </c>
      <c r="H4055" s="202"/>
      <c r="I4055" s="202">
        <f>(I4054/I4056)-1</f>
        <v>0.35891253741270379</v>
      </c>
      <c r="J4055" s="202">
        <f>(J4054/J4056)-1</f>
        <v>0.24935278889150392</v>
      </c>
      <c r="K4055" s="178"/>
      <c r="L4055" s="178"/>
      <c r="M4055" s="178"/>
      <c r="N4055" s="178"/>
      <c r="O4055" s="178"/>
      <c r="P4055" s="178"/>
      <c r="Q4055" s="178"/>
      <c r="R4055" s="178"/>
      <c r="S4055" s="178"/>
      <c r="T4055" s="180"/>
      <c r="U4055" s="189" t="str">
        <f>IFERROR(IF(Tableau3[[#This Row],[Dettes]]=0,"",(Tableau3[[#This Row],[Dettes]]/Tableau3[[#This Row],[EBE]])),"")</f>
        <v/>
      </c>
      <c r="V4055" s="190" t="str">
        <f>IFERROR(Tableau3[[#This Row],[Fonds propres]]/Tableau3[[#This Row],[Total Bilan]],"")</f>
        <v/>
      </c>
      <c r="W4055" s="180"/>
      <c r="Y4055" s="180"/>
      <c r="Z4055" s="192" t="str">
        <f>IFERROR(Tableau3[[#This Row],[Chiffre d''affaires]]/Tableau3[[#This Row],[Salariés]],"")</f>
        <v/>
      </c>
      <c r="AA4055" s="177"/>
      <c r="AC4055" s="177" t="s">
        <v>2837</v>
      </c>
    </row>
    <row r="4056" spans="1:29" ht="20.25" customHeight="1">
      <c r="A4056" s="217"/>
      <c r="E4056" s="178">
        <v>18.5</v>
      </c>
      <c r="F4056" s="178">
        <v>2018</v>
      </c>
      <c r="G4056" s="188">
        <v>468287000</v>
      </c>
      <c r="H4056" s="178"/>
      <c r="I4056" s="188">
        <v>12028000</v>
      </c>
      <c r="J4056" s="188">
        <v>8498000</v>
      </c>
      <c r="K4056" s="188">
        <v>34288000</v>
      </c>
      <c r="L4056" s="188">
        <v>100133000</v>
      </c>
      <c r="M4056" s="194">
        <f>L4056/P4056</f>
        <v>26.584735142942101</v>
      </c>
      <c r="N4056" s="190">
        <f>J4056/L4056</f>
        <v>8.4867126721460462E-2</v>
      </c>
      <c r="O4056" s="190">
        <f>(I4056*0.7)/(K4056+L4056)</f>
        <v>6.2636046451075358E-2</v>
      </c>
      <c r="P4056" s="188">
        <v>3766560</v>
      </c>
      <c r="Q4056" s="188">
        <f>P4056*E4056</f>
        <v>69681360</v>
      </c>
      <c r="R4056" s="195">
        <f>Q4056/L4056</f>
        <v>0.69588806886840504</v>
      </c>
      <c r="S4056" s="197" t="e">
        <f>(Q4056+K4056)/H4056</f>
        <v>#DIV/0!</v>
      </c>
      <c r="T4056" s="180"/>
      <c r="U4056" s="189" t="str">
        <f>IFERROR(IF(Tableau3[[#This Row],[Dettes]]=0,"",(Tableau3[[#This Row],[Dettes]]/Tableau3[[#This Row],[EBE]])),"")</f>
        <v/>
      </c>
      <c r="V4056" s="190" t="str">
        <f>IFERROR(Tableau3[[#This Row],[Fonds propres]]/Tableau3[[#This Row],[Total Bilan]],"")</f>
        <v/>
      </c>
      <c r="W4056" s="180"/>
      <c r="Y4056" s="180"/>
      <c r="Z4056" s="192" t="str">
        <f>IFERROR(Tableau3[[#This Row],[Chiffre d''affaires]]/Tableau3[[#This Row],[Salariés]],"")</f>
        <v/>
      </c>
      <c r="AA4056" s="177"/>
      <c r="AC4056" s="177" t="s">
        <v>2838</v>
      </c>
    </row>
    <row r="4057" spans="1:29" ht="20.25" customHeight="1">
      <c r="A4057" s="217"/>
      <c r="G4057" s="202">
        <f>(G4056/G4058)-1</f>
        <v>6.0872145839421687E-2</v>
      </c>
      <c r="H4057" s="202"/>
      <c r="I4057" s="202">
        <f>(I4056/I4058)-1</f>
        <v>2.2267550569437411E-2</v>
      </c>
      <c r="J4057" s="202">
        <f>(J4056/J4058)-1</f>
        <v>2.6824552924118006E-2</v>
      </c>
      <c r="K4057" s="178"/>
      <c r="L4057" s="178"/>
      <c r="M4057" s="178"/>
      <c r="N4057" s="178"/>
      <c r="O4057" s="178"/>
      <c r="P4057" s="178"/>
      <c r="Q4057" s="178"/>
      <c r="R4057" s="178"/>
      <c r="S4057" s="178"/>
      <c r="T4057" s="180"/>
      <c r="U4057" s="189" t="str">
        <f>IFERROR(IF(Tableau3[[#This Row],[Dettes]]=0,"",(Tableau3[[#This Row],[Dettes]]/Tableau3[[#This Row],[EBE]])),"")</f>
        <v/>
      </c>
      <c r="V4057" s="190" t="str">
        <f>IFERROR(Tableau3[[#This Row],[Fonds propres]]/Tableau3[[#This Row],[Total Bilan]],"")</f>
        <v/>
      </c>
      <c r="W4057" s="180"/>
      <c r="Y4057" s="180"/>
      <c r="Z4057" s="192" t="str">
        <f>IFERROR(Tableau3[[#This Row],[Chiffre d''affaires]]/Tableau3[[#This Row],[Salariés]],"")</f>
        <v/>
      </c>
      <c r="AA4057" s="177"/>
      <c r="AC4057" s="177" t="s">
        <v>2839</v>
      </c>
    </row>
    <row r="4058" spans="1:29" ht="20.25" customHeight="1">
      <c r="A4058" s="217"/>
      <c r="E4058" s="178">
        <v>26.5</v>
      </c>
      <c r="F4058" s="178">
        <v>2017</v>
      </c>
      <c r="G4058" s="188">
        <v>441417000</v>
      </c>
      <c r="H4058" s="178"/>
      <c r="I4058" s="188">
        <v>11766000</v>
      </c>
      <c r="J4058" s="188">
        <v>8276000</v>
      </c>
      <c r="K4058" s="188">
        <v>29700000</v>
      </c>
      <c r="L4058" s="188">
        <v>93756000</v>
      </c>
      <c r="M4058" s="194">
        <f>L4058/P4058</f>
        <v>24.891678348413407</v>
      </c>
      <c r="N4058" s="190">
        <f>J4058/L4058</f>
        <v>8.8271683945560814E-2</v>
      </c>
      <c r="O4058" s="190">
        <f>(I4058*0.7)/(K4058+L4058)</f>
        <v>6.6713646967340584E-2</v>
      </c>
      <c r="P4058" s="188">
        <v>3766560</v>
      </c>
      <c r="Q4058" s="188">
        <f>P4058*E4058</f>
        <v>99813840</v>
      </c>
      <c r="R4058" s="195">
        <f>Q4058/L4058</f>
        <v>1.0646128247792142</v>
      </c>
      <c r="S4058" s="197" t="e">
        <f>(Q4058+K4058)/H4058</f>
        <v>#DIV/0!</v>
      </c>
      <c r="T4058" s="180"/>
      <c r="U4058" s="189" t="str">
        <f>IFERROR(IF(Tableau3[[#This Row],[Dettes]]=0,"",(Tableau3[[#This Row],[Dettes]]/Tableau3[[#This Row],[EBE]])),"")</f>
        <v/>
      </c>
      <c r="V4058" s="190" t="str">
        <f>IFERROR(Tableau3[[#This Row],[Fonds propres]]/Tableau3[[#This Row],[Total Bilan]],"")</f>
        <v/>
      </c>
      <c r="W4058" s="180"/>
      <c r="Y4058" s="180"/>
      <c r="Z4058" s="192" t="str">
        <f>IFERROR(Tableau3[[#This Row],[Chiffre d''affaires]]/Tableau3[[#This Row],[Salariés]],"")</f>
        <v/>
      </c>
      <c r="AA4058" s="177"/>
      <c r="AC4058" s="177" t="s">
        <v>2840</v>
      </c>
    </row>
    <row r="4059" spans="1:29" ht="20.25" customHeight="1">
      <c r="A4059" s="217"/>
      <c r="G4059" s="202">
        <f>(G4058/G4060)-1</f>
        <v>3.038996447228981E-2</v>
      </c>
      <c r="H4059" s="202"/>
      <c r="I4059" s="202">
        <f>(I4058/I4060)-1</f>
        <v>-2.8121053442168487</v>
      </c>
      <c r="J4059" s="202">
        <f>(J4058/J4060)-1</f>
        <v>-1.9378966455122395</v>
      </c>
      <c r="K4059" s="178"/>
      <c r="L4059" s="178"/>
      <c r="M4059" s="178"/>
      <c r="N4059" s="178"/>
      <c r="O4059" s="178"/>
      <c r="P4059" s="178"/>
      <c r="Q4059" s="178"/>
      <c r="R4059" s="178"/>
      <c r="S4059" s="178"/>
      <c r="T4059" s="180"/>
      <c r="U4059" s="189" t="str">
        <f>IFERROR(IF(Tableau3[[#This Row],[Dettes]]=0,"",(Tableau3[[#This Row],[Dettes]]/Tableau3[[#This Row],[EBE]])),"")</f>
        <v/>
      </c>
      <c r="V4059" s="190" t="str">
        <f>IFERROR(Tableau3[[#This Row],[Fonds propres]]/Tableau3[[#This Row],[Total Bilan]],"")</f>
        <v/>
      </c>
      <c r="W4059" s="180"/>
      <c r="Y4059" s="180"/>
      <c r="Z4059" s="192" t="str">
        <f>IFERROR(Tableau3[[#This Row],[Chiffre d''affaires]]/Tableau3[[#This Row],[Salariés]],"")</f>
        <v/>
      </c>
      <c r="AA4059" s="177"/>
      <c r="AC4059" s="177" t="s">
        <v>2841</v>
      </c>
    </row>
    <row r="4060" spans="1:29" ht="20.25" customHeight="1">
      <c r="A4060" s="217"/>
      <c r="E4060" s="187">
        <v>18</v>
      </c>
      <c r="F4060" s="178">
        <v>2016</v>
      </c>
      <c r="G4060" s="188">
        <v>428398000</v>
      </c>
      <c r="H4060" s="178"/>
      <c r="I4060" s="188">
        <v>-6493000</v>
      </c>
      <c r="J4060" s="188">
        <v>-8824000</v>
      </c>
      <c r="K4060" s="188">
        <v>34294000</v>
      </c>
      <c r="L4060" s="188">
        <v>85853000</v>
      </c>
      <c r="M4060" s="194">
        <f>L4060/P4060</f>
        <v>22.793477337411325</v>
      </c>
      <c r="N4060" s="190">
        <f>J4060/L4060</f>
        <v>-0.10278033382642424</v>
      </c>
      <c r="O4060" s="190">
        <f>(I4060*0.7)/(K4060+L4060)</f>
        <v>-3.7829492205381739E-2</v>
      </c>
      <c r="P4060" s="188">
        <v>3766560</v>
      </c>
      <c r="Q4060" s="188">
        <f>P4060*E4060</f>
        <v>67798080</v>
      </c>
      <c r="R4060" s="195">
        <f>Q4060/L4060</f>
        <v>0.78969960280945339</v>
      </c>
      <c r="S4060" s="197" t="e">
        <f>(Q4060+K4060)/H4060</f>
        <v>#DIV/0!</v>
      </c>
      <c r="T4060" s="180"/>
      <c r="U4060" s="189" t="str">
        <f>IFERROR(IF(Tableau3[[#This Row],[Dettes]]=0,"",(Tableau3[[#This Row],[Dettes]]/Tableau3[[#This Row],[EBE]])),"")</f>
        <v/>
      </c>
      <c r="V4060" s="190" t="str">
        <f>IFERROR(Tableau3[[#This Row],[Fonds propres]]/Tableau3[[#This Row],[Total Bilan]],"")</f>
        <v/>
      </c>
      <c r="W4060" s="180"/>
      <c r="Y4060" s="180"/>
      <c r="Z4060" s="192" t="str">
        <f>IFERROR(Tableau3[[#This Row],[Chiffre d''affaires]]/Tableau3[[#This Row],[Salariés]],"")</f>
        <v/>
      </c>
      <c r="AA4060" s="177"/>
      <c r="AC4060" s="177" t="s">
        <v>2842</v>
      </c>
    </row>
    <row r="4061" spans="1:29" ht="20.25" customHeight="1">
      <c r="A4061" s="217"/>
      <c r="G4061" s="202">
        <f>(G4060/G4062)-1</f>
        <v>8.4400906202933834E-2</v>
      </c>
      <c r="H4061" s="202"/>
      <c r="I4061" s="202">
        <f>(I4060/I4062)-1</f>
        <v>-2.4493303571428573</v>
      </c>
      <c r="J4061" s="202">
        <f>(J4060/J4062)-1</f>
        <v>-9.9221435793731043</v>
      </c>
      <c r="K4061" s="178"/>
      <c r="L4061" s="178"/>
      <c r="M4061" s="178"/>
      <c r="N4061" s="178"/>
      <c r="O4061" s="178"/>
      <c r="P4061" s="178"/>
      <c r="Q4061" s="178"/>
      <c r="R4061" s="178"/>
      <c r="S4061" s="178"/>
      <c r="T4061" s="180"/>
      <c r="U4061" s="189" t="str">
        <f>IFERROR(IF(Tableau3[[#This Row],[Dettes]]=0,"",(Tableau3[[#This Row],[Dettes]]/Tableau3[[#This Row],[EBE]])),"")</f>
        <v/>
      </c>
      <c r="V4061" s="190" t="str">
        <f>IFERROR(Tableau3[[#This Row],[Fonds propres]]/Tableau3[[#This Row],[Total Bilan]],"")</f>
        <v/>
      </c>
      <c r="W4061" s="180"/>
      <c r="Y4061" s="180"/>
      <c r="Z4061" s="192" t="str">
        <f>IFERROR(Tableau3[[#This Row],[Chiffre d''affaires]]/Tableau3[[#This Row],[Salariés]],"")</f>
        <v/>
      </c>
      <c r="AA4061" s="177"/>
      <c r="AC4061" s="177" t="s">
        <v>2843</v>
      </c>
    </row>
    <row r="4062" spans="1:29" ht="20.25" customHeight="1">
      <c r="A4062" s="217"/>
      <c r="E4062" s="178">
        <v>21.7</v>
      </c>
      <c r="F4062" s="178">
        <v>2015</v>
      </c>
      <c r="G4062" s="188">
        <v>395055000</v>
      </c>
      <c r="H4062" s="178"/>
      <c r="I4062" s="188">
        <v>4480000</v>
      </c>
      <c r="J4062" s="188">
        <v>989000</v>
      </c>
      <c r="K4062" s="188">
        <v>32259000</v>
      </c>
      <c r="L4062" s="188">
        <v>98449000</v>
      </c>
      <c r="M4062" s="194">
        <f>L4062/P4062</f>
        <v>26.137642835903318</v>
      </c>
      <c r="N4062" s="190">
        <f>J4062/L4062</f>
        <v>1.0045810521183557E-2</v>
      </c>
      <c r="O4062" s="190">
        <f>(I4062*0.7)/(K4062+L4062)</f>
        <v>2.3992410564005265E-2</v>
      </c>
      <c r="P4062" s="188">
        <v>3766560</v>
      </c>
      <c r="Q4062" s="188">
        <f>P4062*E4062</f>
        <v>81734352</v>
      </c>
      <c r="R4062" s="195">
        <f>Q4062/L4062</f>
        <v>0.83022023585816007</v>
      </c>
      <c r="S4062" s="197" t="e">
        <f>(Q4062+K4062)/H4062</f>
        <v>#DIV/0!</v>
      </c>
      <c r="T4062" s="180"/>
      <c r="U4062" s="189" t="str">
        <f>IFERROR(IF(Tableau3[[#This Row],[Dettes]]=0,"",(Tableau3[[#This Row],[Dettes]]/Tableau3[[#This Row],[EBE]])),"")</f>
        <v/>
      </c>
      <c r="V4062" s="190" t="str">
        <f>IFERROR(Tableau3[[#This Row],[Fonds propres]]/Tableau3[[#This Row],[Total Bilan]],"")</f>
        <v/>
      </c>
      <c r="W4062" s="180"/>
      <c r="Y4062" s="180"/>
      <c r="Z4062" s="192" t="str">
        <f>IFERROR(Tableau3[[#This Row],[Chiffre d''affaires]]/Tableau3[[#This Row],[Salariés]],"")</f>
        <v/>
      </c>
      <c r="AA4062" s="177"/>
      <c r="AC4062" s="177" t="s">
        <v>2844</v>
      </c>
    </row>
    <row r="4063" spans="1:29" ht="20.25" customHeight="1">
      <c r="A4063" s="217"/>
      <c r="G4063" s="202">
        <f>(G4062/G4064)-1</f>
        <v>0.11014786796980824</v>
      </c>
      <c r="H4063" s="202"/>
      <c r="I4063" s="202">
        <f>(I4062/I4064)-1</f>
        <v>-0.64294253606439788</v>
      </c>
      <c r="J4063" s="202">
        <f>(J4062/J4064)-1</f>
        <v>-0.89137836353651845</v>
      </c>
      <c r="K4063" s="178"/>
      <c r="L4063" s="178"/>
      <c r="M4063" s="178"/>
      <c r="N4063" s="178"/>
      <c r="O4063" s="178"/>
      <c r="P4063" s="178"/>
      <c r="Q4063" s="178"/>
      <c r="R4063" s="178"/>
      <c r="S4063" s="178"/>
      <c r="T4063" s="180"/>
      <c r="U4063" s="189" t="str">
        <f>IFERROR(IF(Tableau3[[#This Row],[Dettes]]=0,"",(Tableau3[[#This Row],[Dettes]]/Tableau3[[#This Row],[EBE]])),"")</f>
        <v/>
      </c>
      <c r="V4063" s="190" t="str">
        <f>IFERROR(Tableau3[[#This Row],[Fonds propres]]/Tableau3[[#This Row],[Total Bilan]],"")</f>
        <v/>
      </c>
      <c r="W4063" s="180"/>
      <c r="Y4063" s="180"/>
      <c r="Z4063" s="192" t="str">
        <f>IFERROR(Tableau3[[#This Row],[Chiffre d''affaires]]/Tableau3[[#This Row],[Salariés]],"")</f>
        <v/>
      </c>
      <c r="AA4063" s="177"/>
      <c r="AC4063" s="177" t="s">
        <v>2845</v>
      </c>
    </row>
    <row r="4064" spans="1:29" ht="20.25" customHeight="1">
      <c r="A4064" s="217"/>
      <c r="E4064" s="178">
        <v>22.3</v>
      </c>
      <c r="F4064" s="178">
        <v>2014</v>
      </c>
      <c r="G4064" s="188">
        <v>355858000</v>
      </c>
      <c r="H4064" s="178"/>
      <c r="I4064" s="188">
        <v>12547000</v>
      </c>
      <c r="J4064" s="188">
        <v>9105000</v>
      </c>
      <c r="K4064" s="188">
        <v>22344000</v>
      </c>
      <c r="L4064" s="188">
        <v>101057000</v>
      </c>
      <c r="M4064" s="194">
        <f>L4064/P4064</f>
        <v>26.830051824476445</v>
      </c>
      <c r="N4064" s="190">
        <f>J4064/L4064</f>
        <v>9.0097667652908761E-2</v>
      </c>
      <c r="O4064" s="190">
        <f>(I4064*0.7)/(K4064+L4064)</f>
        <v>7.1173653373959686E-2</v>
      </c>
      <c r="P4064" s="188">
        <v>3766560</v>
      </c>
      <c r="Q4064" s="188">
        <f>P4064*E4064</f>
        <v>83994288</v>
      </c>
      <c r="R4064" s="195">
        <f>Q4064/L4064</f>
        <v>0.83115754475197168</v>
      </c>
      <c r="S4064" s="197" t="e">
        <f>(Q4064+K4064)/H4064</f>
        <v>#DIV/0!</v>
      </c>
      <c r="T4064" s="180"/>
      <c r="U4064" s="189" t="str">
        <f>IFERROR(IF(Tableau3[[#This Row],[Dettes]]=0,"",(Tableau3[[#This Row],[Dettes]]/Tableau3[[#This Row],[EBE]])),"")</f>
        <v/>
      </c>
      <c r="V4064" s="190" t="str">
        <f>IFERROR(Tableau3[[#This Row],[Fonds propres]]/Tableau3[[#This Row],[Total Bilan]],"")</f>
        <v/>
      </c>
      <c r="W4064" s="180"/>
      <c r="Y4064" s="180"/>
      <c r="Z4064" s="192" t="str">
        <f>IFERROR(Tableau3[[#This Row],[Chiffre d''affaires]]/Tableau3[[#This Row],[Salariés]],"")</f>
        <v/>
      </c>
      <c r="AA4064" s="177"/>
      <c r="AC4064" s="177" t="s">
        <v>2846</v>
      </c>
    </row>
    <row r="4065" spans="1:29" ht="20.25" customHeight="1">
      <c r="A4065" s="217"/>
      <c r="G4065" s="202">
        <f>(G4064/G4066)-1</f>
        <v>8.2306354091898903E-2</v>
      </c>
      <c r="H4065" s="202"/>
      <c r="I4065" s="202">
        <f>(I4064/I4066)-1</f>
        <v>0.40346756152125285</v>
      </c>
      <c r="J4065" s="202">
        <f>(J4064/J4066)-1</f>
        <v>0.89411275223632214</v>
      </c>
      <c r="K4065" s="178"/>
      <c r="L4065" s="178"/>
      <c r="M4065" s="178"/>
      <c r="N4065" s="178"/>
      <c r="O4065" s="178"/>
      <c r="P4065" s="178"/>
      <c r="Q4065" s="178"/>
      <c r="R4065" s="178"/>
      <c r="S4065" s="178"/>
      <c r="T4065" s="180"/>
      <c r="U4065" s="189" t="str">
        <f>IFERROR(IF(Tableau3[[#This Row],[Dettes]]=0,"",(Tableau3[[#This Row],[Dettes]]/Tableau3[[#This Row],[EBE]])),"")</f>
        <v/>
      </c>
      <c r="V4065" s="190" t="str">
        <f>IFERROR(Tableau3[[#This Row],[Fonds propres]]/Tableau3[[#This Row],[Total Bilan]],"")</f>
        <v/>
      </c>
      <c r="W4065" s="180"/>
      <c r="Y4065" s="180"/>
      <c r="Z4065" s="192" t="str">
        <f>IFERROR(Tableau3[[#This Row],[Chiffre d''affaires]]/Tableau3[[#This Row],[Salariés]],"")</f>
        <v/>
      </c>
      <c r="AA4065" s="177"/>
    </row>
    <row r="4066" spans="1:29" ht="20.25" customHeight="1">
      <c r="A4066" s="217"/>
      <c r="E4066" s="178">
        <v>17.600000000000001</v>
      </c>
      <c r="F4066" s="178">
        <v>2013</v>
      </c>
      <c r="G4066" s="188">
        <v>328796000</v>
      </c>
      <c r="H4066" s="178"/>
      <c r="I4066" s="188">
        <v>8940000</v>
      </c>
      <c r="J4066" s="188">
        <v>4807000</v>
      </c>
      <c r="K4066" s="188">
        <v>28357000</v>
      </c>
      <c r="L4066" s="188">
        <v>94835000</v>
      </c>
      <c r="M4066" s="194">
        <f>L4066/P4066</f>
        <v>25.178146637780895</v>
      </c>
      <c r="N4066" s="190">
        <f>J4066/L4066</f>
        <v>5.0688037117098121E-2</v>
      </c>
      <c r="O4066" s="190">
        <f>(I4066*0.7)/(K4066+L4066)</f>
        <v>5.0798753165789988E-2</v>
      </c>
      <c r="P4066" s="188">
        <v>3766560</v>
      </c>
      <c r="Q4066" s="188">
        <f>P4066*E4066</f>
        <v>66291456.000000007</v>
      </c>
      <c r="R4066" s="195">
        <f>Q4066/L4066</f>
        <v>0.6990188854325935</v>
      </c>
      <c r="S4066" s="197" t="e">
        <f>(Q4066+K4066)/H4066</f>
        <v>#DIV/0!</v>
      </c>
      <c r="T4066" s="180"/>
      <c r="U4066" s="189" t="str">
        <f>IFERROR(IF(Tableau3[[#This Row],[Dettes]]=0,"",(Tableau3[[#This Row],[Dettes]]/Tableau3[[#This Row],[EBE]])),"")</f>
        <v/>
      </c>
      <c r="V4066" s="190" t="str">
        <f>IFERROR(Tableau3[[#This Row],[Fonds propres]]/Tableau3[[#This Row],[Total Bilan]],"")</f>
        <v/>
      </c>
      <c r="W4066" s="180"/>
      <c r="Y4066" s="180"/>
      <c r="Z4066" s="192" t="str">
        <f>IFERROR(Tableau3[[#This Row],[Chiffre d''affaires]]/Tableau3[[#This Row],[Salariés]],"")</f>
        <v/>
      </c>
      <c r="AA4066" s="177"/>
    </row>
    <row r="4067" spans="1:29" ht="20.25" customHeight="1">
      <c r="A4067" s="217"/>
      <c r="G4067" s="188"/>
      <c r="H4067" s="178"/>
      <c r="I4067" s="178"/>
      <c r="J4067" s="178"/>
      <c r="K4067" s="178"/>
      <c r="L4067" s="178"/>
      <c r="M4067" s="178"/>
      <c r="N4067" s="178"/>
      <c r="O4067" s="178"/>
      <c r="P4067" s="178"/>
      <c r="Q4067" s="178"/>
      <c r="R4067" s="178"/>
      <c r="S4067" s="178"/>
      <c r="T4067" s="180"/>
      <c r="U4067" s="189" t="str">
        <f>IFERROR(IF(Tableau3[[#This Row],[Dettes]]=0,"",(Tableau3[[#This Row],[Dettes]]/Tableau3[[#This Row],[EBE]])),"")</f>
        <v/>
      </c>
      <c r="V4067" s="190" t="str">
        <f>IFERROR(Tableau3[[#This Row],[Fonds propres]]/Tableau3[[#This Row],[Total Bilan]],"")</f>
        <v/>
      </c>
      <c r="W4067" s="180"/>
      <c r="Y4067" s="180"/>
      <c r="Z4067" s="192" t="str">
        <f>IFERROR(Tableau3[[#This Row],[Chiffre d''affaires]]/Tableau3[[#This Row],[Salariés]],"")</f>
        <v/>
      </c>
      <c r="AA4067" s="177"/>
    </row>
    <row r="4068" spans="1:29" ht="20.25" customHeight="1">
      <c r="A4068" s="217"/>
      <c r="F4068" s="217" t="s">
        <v>2847</v>
      </c>
      <c r="G4068" s="188"/>
      <c r="H4068" s="178"/>
      <c r="I4068" s="178"/>
      <c r="J4068" s="178"/>
      <c r="K4068" s="178"/>
      <c r="L4068" s="178"/>
      <c r="M4068" s="178"/>
      <c r="N4068" s="178"/>
      <c r="O4068" s="178"/>
      <c r="P4068" s="178"/>
      <c r="Q4068" s="178"/>
      <c r="R4068" s="178"/>
      <c r="S4068" s="178"/>
      <c r="T4068" s="180"/>
      <c r="U4068" s="189" t="str">
        <f>IFERROR(IF(Tableau3[[#This Row],[Dettes]]=0,"",(Tableau3[[#This Row],[Dettes]]/Tableau3[[#This Row],[EBE]])),"")</f>
        <v/>
      </c>
      <c r="V4068" s="190" t="str">
        <f>IFERROR(Tableau3[[#This Row],[Fonds propres]]/Tableau3[[#This Row],[Total Bilan]],"")</f>
        <v/>
      </c>
      <c r="W4068" s="180"/>
      <c r="Y4068" s="180"/>
      <c r="Z4068" s="192" t="str">
        <f>IFERROR(Tableau3[[#This Row],[Chiffre d''affaires]]/Tableau3[[#This Row],[Salariés]],"")</f>
        <v/>
      </c>
      <c r="AA4068" s="177"/>
    </row>
    <row r="4069" spans="1:29" ht="20.25" customHeight="1">
      <c r="A4069" s="217"/>
      <c r="G4069" s="188"/>
      <c r="H4069" s="178"/>
      <c r="I4069" s="178"/>
      <c r="J4069" s="178"/>
      <c r="K4069" s="178"/>
      <c r="L4069" s="178"/>
      <c r="M4069" s="178"/>
      <c r="N4069" s="178"/>
      <c r="O4069" s="178"/>
      <c r="P4069" s="178"/>
      <c r="Q4069" s="178"/>
      <c r="R4069" s="178"/>
      <c r="S4069" s="178"/>
      <c r="T4069" s="180"/>
      <c r="U4069" s="189" t="str">
        <f>IFERROR(IF(Tableau3[[#This Row],[Dettes]]=0,"",(Tableau3[[#This Row],[Dettes]]/Tableau3[[#This Row],[EBE]])),"")</f>
        <v/>
      </c>
      <c r="V4069" s="190" t="str">
        <f>IFERROR(Tableau3[[#This Row],[Fonds propres]]/Tableau3[[#This Row],[Total Bilan]],"")</f>
        <v/>
      </c>
      <c r="W4069" s="180"/>
      <c r="Y4069" s="180"/>
      <c r="Z4069" s="192" t="str">
        <f>IFERROR(Tableau3[[#This Row],[Chiffre d''affaires]]/Tableau3[[#This Row],[Salariés]],"")</f>
        <v/>
      </c>
      <c r="AA4069" s="177"/>
    </row>
    <row r="4070" spans="1:29" ht="20.25" customHeight="1">
      <c r="A4070" s="217"/>
      <c r="G4070" s="188"/>
      <c r="H4070" s="178"/>
      <c r="I4070" s="178"/>
      <c r="J4070" s="178"/>
      <c r="K4070" s="178"/>
      <c r="L4070" s="178"/>
      <c r="M4070" s="178"/>
      <c r="N4070" s="178"/>
      <c r="O4070" s="178"/>
      <c r="P4070" s="178"/>
      <c r="Q4070" s="178"/>
      <c r="R4070" s="178"/>
      <c r="S4070" s="178"/>
      <c r="T4070" s="180"/>
      <c r="U4070" s="189" t="str">
        <f>IFERROR(IF(Tableau3[[#This Row],[Dettes]]=0,"",(Tableau3[[#This Row],[Dettes]]/Tableau3[[#This Row],[EBE]])),"")</f>
        <v/>
      </c>
      <c r="V4070" s="190" t="str">
        <f>IFERROR(Tableau3[[#This Row],[Fonds propres]]/Tableau3[[#This Row],[Total Bilan]],"")</f>
        <v/>
      </c>
      <c r="W4070" s="180"/>
      <c r="Y4070" s="180"/>
      <c r="Z4070" s="192" t="str">
        <f>IFERROR(Tableau3[[#This Row],[Chiffre d''affaires]]/Tableau3[[#This Row],[Salariés]],"")</f>
        <v/>
      </c>
      <c r="AA4070" s="177"/>
    </row>
    <row r="4071" spans="1:29" ht="20.25" customHeight="1">
      <c r="A4071" s="217"/>
      <c r="G4071" s="188"/>
      <c r="H4071" s="178"/>
      <c r="I4071" s="178"/>
      <c r="J4071" s="178"/>
      <c r="K4071" s="178"/>
      <c r="L4071" s="178"/>
      <c r="M4071" s="178"/>
      <c r="N4071" s="178"/>
      <c r="O4071" s="178"/>
      <c r="P4071" s="178"/>
      <c r="Q4071" s="178"/>
      <c r="R4071" s="178"/>
      <c r="S4071" s="178"/>
      <c r="T4071" s="180"/>
      <c r="U4071" s="189" t="str">
        <f>IFERROR(IF(Tableau3[[#This Row],[Dettes]]=0,"",(Tableau3[[#This Row],[Dettes]]/Tableau3[[#This Row],[EBE]])),"")</f>
        <v/>
      </c>
      <c r="V4071" s="190" t="str">
        <f>IFERROR(Tableau3[[#This Row],[Fonds propres]]/Tableau3[[#This Row],[Total Bilan]],"")</f>
        <v/>
      </c>
      <c r="W4071" s="180"/>
      <c r="Y4071" s="180"/>
      <c r="Z4071" s="192" t="str">
        <f>IFERROR(Tableau3[[#This Row],[Chiffre d''affaires]]/Tableau3[[#This Row],[Salariés]],"")</f>
        <v/>
      </c>
      <c r="AA4071" s="177"/>
    </row>
    <row r="4072" spans="1:29" ht="20.25" customHeight="1">
      <c r="A4072" s="217" t="s">
        <v>2848</v>
      </c>
      <c r="B4072" s="216" t="s">
        <v>2849</v>
      </c>
      <c r="C4072" s="178" t="s">
        <v>765</v>
      </c>
      <c r="D4072" s="178" t="s">
        <v>85</v>
      </c>
      <c r="E4072" s="187">
        <v>50.5</v>
      </c>
      <c r="F4072" s="178">
        <v>2021</v>
      </c>
      <c r="G4072" s="188"/>
      <c r="H4072" s="178"/>
      <c r="I4072" s="178"/>
      <c r="J4072" s="178"/>
      <c r="K4072" s="178"/>
      <c r="L4072" s="178"/>
      <c r="M4072" s="178"/>
      <c r="N4072" s="178"/>
      <c r="O4072" s="178"/>
      <c r="P4072" s="242">
        <v>679327724</v>
      </c>
      <c r="Q4072" s="188">
        <f>P4072*E4072</f>
        <v>34306050062</v>
      </c>
      <c r="R4072" s="178"/>
      <c r="S4072" s="178"/>
      <c r="T4072" s="180"/>
      <c r="U4072" s="189" t="str">
        <f>IFERROR(IF(Tableau3[[#This Row],[Dettes]]=0,"",(Tableau3[[#This Row],[Dettes]]/Tableau3[[#This Row],[EBE]])),"")</f>
        <v/>
      </c>
      <c r="V4072" s="190" t="str">
        <f>IFERROR(Tableau3[[#This Row],[Fonds propres]]/Tableau3[[#This Row],[Total Bilan]],"")</f>
        <v/>
      </c>
      <c r="W4072" s="180"/>
      <c r="Y4072" s="180"/>
      <c r="Z4072" s="192" t="str">
        <f>IFERROR(Tableau3[[#This Row],[Chiffre d''affaires]]/Tableau3[[#This Row],[Salariés]],"")</f>
        <v/>
      </c>
      <c r="AA4072" s="177"/>
      <c r="AC4072" s="177" t="s">
        <v>2850</v>
      </c>
    </row>
    <row r="4073" spans="1:29" ht="20.25" customHeight="1">
      <c r="A4073" s="217"/>
      <c r="E4073" s="187"/>
      <c r="G4073" s="188"/>
      <c r="H4073" s="178"/>
      <c r="I4073" s="178"/>
      <c r="J4073" s="178"/>
      <c r="K4073" s="178"/>
      <c r="L4073" s="178"/>
      <c r="M4073" s="178"/>
      <c r="N4073" s="178"/>
      <c r="O4073" s="178"/>
      <c r="P4073" s="178"/>
      <c r="Q4073" s="178"/>
      <c r="R4073" s="178"/>
      <c r="S4073" s="178"/>
      <c r="T4073" s="180"/>
      <c r="U4073" s="189" t="str">
        <f>IFERROR(IF(Tableau3[[#This Row],[Dettes]]=0,"",(Tableau3[[#This Row],[Dettes]]/Tableau3[[#This Row],[EBE]])),"")</f>
        <v/>
      </c>
      <c r="V4073" s="190" t="str">
        <f>IFERROR(Tableau3[[#This Row],[Fonds propres]]/Tableau3[[#This Row],[Total Bilan]],"")</f>
        <v/>
      </c>
      <c r="W4073" s="180"/>
      <c r="Y4073" s="180"/>
      <c r="Z4073" s="192" t="str">
        <f>IFERROR(Tableau3[[#This Row],[Chiffre d''affaires]]/Tableau3[[#This Row],[Salariés]],"")</f>
        <v/>
      </c>
      <c r="AA4073" s="177"/>
      <c r="AC4073" s="177" t="s">
        <v>2852</v>
      </c>
    </row>
    <row r="4074" spans="1:29" ht="20.25" customHeight="1">
      <c r="A4074" s="217"/>
      <c r="E4074" s="187">
        <v>45.5</v>
      </c>
      <c r="F4074" s="178">
        <v>2020</v>
      </c>
      <c r="G4074" s="188">
        <v>1608000000</v>
      </c>
      <c r="H4074" s="188">
        <v>1182000000</v>
      </c>
      <c r="I4074" s="188">
        <v>158290000</v>
      </c>
      <c r="J4074" s="188">
        <v>-133000000</v>
      </c>
      <c r="K4074" s="188">
        <v>6500237000</v>
      </c>
      <c r="L4074" s="188">
        <v>8018237000</v>
      </c>
      <c r="M4074" s="194">
        <f>L4074/P4074</f>
        <v>16.47440760912356</v>
      </c>
      <c r="N4074" s="190">
        <f>J4074/L4074</f>
        <v>-1.6587187432848392E-2</v>
      </c>
      <c r="O4074" s="190">
        <f>(I4074*0.7)/(K4074+L4074)</f>
        <v>7.6318626874973226E-3</v>
      </c>
      <c r="P4074" s="242">
        <v>486708669</v>
      </c>
      <c r="Q4074" s="188">
        <f>P4074*E4074</f>
        <v>22145244439.5</v>
      </c>
      <c r="R4074" s="195">
        <f>Q4074/L4074</f>
        <v>2.7618595508588735</v>
      </c>
      <c r="S4074" s="197">
        <f>(Q4074+K4074)/H4074</f>
        <v>24.234755870981388</v>
      </c>
      <c r="T4074" s="180"/>
      <c r="U4074" s="189">
        <f>IFERROR(IF(Tableau3[[#This Row],[Dettes]]=0,"",(Tableau3[[#This Row],[Dettes]]/Tableau3[[#This Row],[EBE]])),"")</f>
        <v>5.4993544839255497</v>
      </c>
      <c r="V4074" s="190" t="str">
        <f>IFERROR(Tableau3[[#This Row],[Fonds propres]]/Tableau3[[#This Row],[Total Bilan]],"")</f>
        <v/>
      </c>
      <c r="W4074" s="180"/>
      <c r="Y4074" s="180"/>
      <c r="Z4074" s="192" t="str">
        <f>IFERROR(Tableau3[[#This Row],[Chiffre d''affaires]]/Tableau3[[#This Row],[Salariés]],"")</f>
        <v/>
      </c>
      <c r="AA4074" s="177"/>
      <c r="AC4074" s="177" t="s">
        <v>2853</v>
      </c>
    </row>
    <row r="4075" spans="1:29" ht="20.25" customHeight="1">
      <c r="A4075" s="217"/>
      <c r="E4075" s="187"/>
      <c r="G4075" s="202">
        <f>(G4074/G4076)-1</f>
        <v>0.55965082444228909</v>
      </c>
      <c r="H4075" s="202">
        <f>(H4074/H4076)-1</f>
        <v>0.72303206997084546</v>
      </c>
      <c r="I4075" s="202">
        <f>(I4074/I4076)-1</f>
        <v>0.11893401194641795</v>
      </c>
      <c r="J4075" s="202">
        <f>(J4074/J4076)-1</f>
        <v>13.492753623188406</v>
      </c>
      <c r="K4075" s="178"/>
      <c r="L4075" s="178"/>
      <c r="M4075" s="178"/>
      <c r="N4075" s="178"/>
      <c r="O4075" s="178"/>
      <c r="P4075" s="178"/>
      <c r="Q4075" s="178"/>
      <c r="R4075" s="178"/>
      <c r="S4075" s="178"/>
      <c r="T4075" s="180"/>
      <c r="U4075" s="189" t="str">
        <f>IFERROR(IF(Tableau3[[#This Row],[Dettes]]=0,"",(Tableau3[[#This Row],[Dettes]]/Tableau3[[#This Row],[EBE]])),"")</f>
        <v/>
      </c>
      <c r="V4075" s="190" t="str">
        <f>IFERROR(Tableau3[[#This Row],[Fonds propres]]/Tableau3[[#This Row],[Total Bilan]],"")</f>
        <v/>
      </c>
      <c r="W4075" s="180"/>
      <c r="Y4075" s="180"/>
      <c r="Z4075" s="192" t="str">
        <f>IFERROR(Tableau3[[#This Row],[Chiffre d''affaires]]/Tableau3[[#This Row],[Salariés]],"")</f>
        <v/>
      </c>
      <c r="AA4075" s="177"/>
      <c r="AC4075" s="177" t="s">
        <v>2854</v>
      </c>
    </row>
    <row r="4076" spans="1:29" ht="20.25" customHeight="1">
      <c r="A4076" s="217"/>
      <c r="E4076" s="187">
        <v>33.78</v>
      </c>
      <c r="F4076" s="178">
        <v>2019</v>
      </c>
      <c r="G4076" s="188">
        <v>1031000000</v>
      </c>
      <c r="H4076" s="188">
        <v>686000000</v>
      </c>
      <c r="I4076" s="188">
        <v>141465000</v>
      </c>
      <c r="J4076" s="188">
        <v>-9177000</v>
      </c>
      <c r="K4076" s="188">
        <v>3926237000</v>
      </c>
      <c r="L4076" s="188">
        <v>4160985000</v>
      </c>
      <c r="M4076" s="194">
        <f>L4076/P4076</f>
        <v>10.798594664111487</v>
      </c>
      <c r="N4076" s="190">
        <f>J4076/L4076</f>
        <v>-2.2054874026222158E-3</v>
      </c>
      <c r="O4076" s="190">
        <f>(I4076*0.7)/(K4076+L4076)</f>
        <v>1.2244686741627719E-2</v>
      </c>
      <c r="P4076" s="242">
        <v>385326529</v>
      </c>
      <c r="Q4076" s="188">
        <f>P4076*E4076</f>
        <v>13016330149.620001</v>
      </c>
      <c r="R4076" s="195">
        <f>Q4076/L4076</f>
        <v>3.1281848287412717</v>
      </c>
      <c r="S4076" s="197">
        <f>(Q4076+K4076)/H4076</f>
        <v>24.697619751632654</v>
      </c>
      <c r="T4076" s="180"/>
      <c r="U4076" s="189">
        <f>IFERROR(IF(Tableau3[[#This Row],[Dettes]]=0,"",(Tableau3[[#This Row],[Dettes]]/Tableau3[[#This Row],[EBE]])),"")</f>
        <v>5.7233775510204081</v>
      </c>
      <c r="V4076" s="190" t="str">
        <f>IFERROR(Tableau3[[#This Row],[Fonds propres]]/Tableau3[[#This Row],[Total Bilan]],"")</f>
        <v/>
      </c>
      <c r="W4076" s="180"/>
      <c r="Y4076" s="180"/>
      <c r="Z4076" s="192" t="str">
        <f>IFERROR(Tableau3[[#This Row],[Chiffre d''affaires]]/Tableau3[[#This Row],[Salariés]],"")</f>
        <v/>
      </c>
      <c r="AA4076" s="177"/>
      <c r="AC4076" s="177" t="s">
        <v>2855</v>
      </c>
    </row>
    <row r="4077" spans="1:29" ht="20.25" customHeight="1">
      <c r="A4077" s="217"/>
      <c r="E4077" s="187"/>
      <c r="G4077" s="202">
        <f>(G4076/G4078)-1</f>
        <v>0.14810690423162587</v>
      </c>
      <c r="H4077" s="202">
        <f>(H4076/H4078)-1</f>
        <v>0.16074450084602376</v>
      </c>
      <c r="I4077" s="202">
        <f>(I4076/I4078)-1</f>
        <v>0.25713143161823515</v>
      </c>
      <c r="J4077" s="202">
        <f>(J4076/J4078)-1</f>
        <v>-0.38750583995194554</v>
      </c>
      <c r="K4077" s="178"/>
      <c r="L4077" s="178"/>
      <c r="M4077" s="178"/>
      <c r="N4077" s="178"/>
      <c r="O4077" s="178"/>
      <c r="P4077" s="178"/>
      <c r="Q4077" s="178"/>
      <c r="R4077" s="178"/>
      <c r="S4077" s="178"/>
      <c r="T4077" s="180"/>
      <c r="U4077" s="189" t="str">
        <f>IFERROR(IF(Tableau3[[#This Row],[Dettes]]=0,"",(Tableau3[[#This Row],[Dettes]]/Tableau3[[#This Row],[EBE]])),"")</f>
        <v/>
      </c>
      <c r="V4077" s="190" t="str">
        <f>IFERROR(Tableau3[[#This Row],[Fonds propres]]/Tableau3[[#This Row],[Total Bilan]],"")</f>
        <v/>
      </c>
      <c r="W4077" s="180"/>
      <c r="Y4077" s="180"/>
      <c r="Z4077" s="192" t="str">
        <f>IFERROR(Tableau3[[#This Row],[Chiffre d''affaires]]/Tableau3[[#This Row],[Salariés]],"")</f>
        <v/>
      </c>
      <c r="AA4077" s="177"/>
      <c r="AC4077" s="177" t="s">
        <v>2856</v>
      </c>
    </row>
    <row r="4078" spans="1:29" ht="20.25" customHeight="1">
      <c r="A4078" s="217"/>
      <c r="E4078" s="187">
        <v>16.690000000000001</v>
      </c>
      <c r="F4078" s="178">
        <v>2018</v>
      </c>
      <c r="G4078" s="188">
        <v>898000000</v>
      </c>
      <c r="H4078" s="188">
        <v>591000000</v>
      </c>
      <c r="I4078" s="188">
        <v>112530000</v>
      </c>
      <c r="J4078" s="188">
        <v>-14983000</v>
      </c>
      <c r="K4078" s="188">
        <v>3166040000</v>
      </c>
      <c r="L4078" s="188">
        <v>477890000</v>
      </c>
      <c r="M4078" s="194">
        <f>L4078/P4078</f>
        <v>2.0650373686464101</v>
      </c>
      <c r="N4078" s="190">
        <f>J4078/L4078</f>
        <v>-3.135240327271966E-2</v>
      </c>
      <c r="O4078" s="190">
        <f>(I4078*0.7)/(K4078+L4078)</f>
        <v>2.161704533292352E-2</v>
      </c>
      <c r="P4078" s="242">
        <v>231419541</v>
      </c>
      <c r="Q4078" s="188">
        <f>P4078*E4078</f>
        <v>3862392139.2900004</v>
      </c>
      <c r="R4078" s="195">
        <f>Q4078/L4078</f>
        <v>8.0821781985184877</v>
      </c>
      <c r="S4078" s="197">
        <f>(Q4078+K4078)/H4078</f>
        <v>11.892440168003386</v>
      </c>
      <c r="T4078" s="180"/>
      <c r="U4078" s="189">
        <f>IFERROR(IF(Tableau3[[#This Row],[Dettes]]=0,"",(Tableau3[[#This Row],[Dettes]]/Tableau3[[#This Row],[EBE]])),"")</f>
        <v>5.3570896785109987</v>
      </c>
      <c r="V4078" s="190" t="str">
        <f>IFERROR(Tableau3[[#This Row],[Fonds propres]]/Tableau3[[#This Row],[Total Bilan]],"")</f>
        <v/>
      </c>
      <c r="W4078" s="180"/>
      <c r="Y4078" s="180"/>
      <c r="Z4078" s="192" t="str">
        <f>IFERROR(Tableau3[[#This Row],[Chiffre d''affaires]]/Tableau3[[#This Row],[Salariés]],"")</f>
        <v/>
      </c>
      <c r="AA4078" s="177"/>
      <c r="AC4078" s="177" t="s">
        <v>2857</v>
      </c>
    </row>
    <row r="4079" spans="1:29" ht="20.25" customHeight="1">
      <c r="A4079" s="217"/>
      <c r="E4079" s="187"/>
      <c r="G4079" s="202">
        <f>(G4078/G4080)-1</f>
        <v>0.13814955640050708</v>
      </c>
      <c r="H4079" s="202">
        <f>(H4078/H4080)-1</f>
        <v>0.6647887323943662</v>
      </c>
      <c r="I4079" s="202">
        <f>(I4078/I4080)-1</f>
        <v>0.14826530612244904</v>
      </c>
      <c r="J4079" s="202">
        <f>(J4078/J4080)-1</f>
        <v>-1.454030303030303</v>
      </c>
      <c r="K4079" s="178"/>
      <c r="L4079" s="178"/>
      <c r="M4079" s="178"/>
      <c r="N4079" s="178"/>
      <c r="O4079" s="178"/>
      <c r="P4079" s="178"/>
      <c r="Q4079" s="178"/>
      <c r="R4079" s="178"/>
      <c r="S4079" s="178"/>
      <c r="T4079" s="180"/>
      <c r="U4079" s="189" t="str">
        <f>IFERROR(IF(Tableau3[[#This Row],[Dettes]]=0,"",(Tableau3[[#This Row],[Dettes]]/Tableau3[[#This Row],[EBE]])),"")</f>
        <v/>
      </c>
      <c r="V4079" s="190" t="str">
        <f>IFERROR(Tableau3[[#This Row],[Fonds propres]]/Tableau3[[#This Row],[Total Bilan]],"")</f>
        <v/>
      </c>
      <c r="W4079" s="180"/>
      <c r="Y4079" s="180"/>
      <c r="Z4079" s="192" t="str">
        <f>IFERROR(Tableau3[[#This Row],[Chiffre d''affaires]]/Tableau3[[#This Row],[Salariés]],"")</f>
        <v/>
      </c>
      <c r="AA4079" s="177"/>
      <c r="AC4079" s="177" t="s">
        <v>2858</v>
      </c>
    </row>
    <row r="4080" spans="1:29" ht="20.25" customHeight="1">
      <c r="A4080" s="217"/>
      <c r="E4080" s="187">
        <v>16.25</v>
      </c>
      <c r="F4080" s="178">
        <v>2017</v>
      </c>
      <c r="G4080" s="188">
        <v>789000000</v>
      </c>
      <c r="H4080" s="188">
        <v>355000000</v>
      </c>
      <c r="I4080" s="188">
        <v>98000000</v>
      </c>
      <c r="J4080" s="188">
        <v>33000000</v>
      </c>
      <c r="K4080" s="188">
        <v>2662617000</v>
      </c>
      <c r="L4080" s="188">
        <v>467449000</v>
      </c>
      <c r="M4080" s="194">
        <f>L4080/P4080</f>
        <v>2.0186719152162373</v>
      </c>
      <c r="N4080" s="190">
        <f>J4080/L4080</f>
        <v>7.0595936669026998E-2</v>
      </c>
      <c r="O4080" s="190">
        <f>(I4080*0.7)/(K4080+L4080)</f>
        <v>2.1916470770903872E-2</v>
      </c>
      <c r="P4080" s="242">
        <v>231562641</v>
      </c>
      <c r="Q4080" s="188">
        <f>P4080*E4080</f>
        <v>3762892916.25</v>
      </c>
      <c r="R4080" s="195">
        <f>Q4080/L4080</f>
        <v>8.0498469699368265</v>
      </c>
      <c r="S4080" s="197">
        <f>(Q4080+K4080)/H4080</f>
        <v>18.100027933098591</v>
      </c>
      <c r="T4080" s="180"/>
      <c r="U4080" s="189">
        <f>IFERROR(IF(Tableau3[[#This Row],[Dettes]]=0,"",(Tableau3[[#This Row],[Dettes]]/Tableau3[[#This Row],[EBE]])),"")</f>
        <v>7.5003295774647887</v>
      </c>
      <c r="V4080" s="190" t="str">
        <f>IFERROR(Tableau3[[#This Row],[Fonds propres]]/Tableau3[[#This Row],[Total Bilan]],"")</f>
        <v/>
      </c>
      <c r="W4080" s="180"/>
      <c r="Y4080" s="180"/>
      <c r="Z4080" s="192" t="str">
        <f>IFERROR(Tableau3[[#This Row],[Chiffre d''affaires]]/Tableau3[[#This Row],[Salariés]],"")</f>
        <v/>
      </c>
      <c r="AA4080" s="177"/>
      <c r="AC4080" s="177" t="s">
        <v>2859</v>
      </c>
    </row>
    <row r="4081" spans="1:29" ht="20.25" customHeight="1">
      <c r="A4081" s="217"/>
      <c r="E4081" s="187"/>
      <c r="G4081" s="202">
        <f>(G4080/G4082)-1</f>
        <v>0.11598302687411599</v>
      </c>
      <c r="H4081" s="202">
        <f>(H4080/H4082)-1</f>
        <v>0.22413793103448265</v>
      </c>
      <c r="I4081" s="202">
        <f>(I4080/I4082)-1</f>
        <v>0.12995653126405249</v>
      </c>
      <c r="J4081" s="202">
        <f>(J4080/J4082)-1</f>
        <v>-0.17500000000000004</v>
      </c>
      <c r="K4081" s="178"/>
      <c r="L4081" s="178"/>
      <c r="M4081" s="178"/>
      <c r="N4081" s="178"/>
      <c r="O4081" s="178"/>
      <c r="P4081" s="178"/>
      <c r="Q4081" s="178"/>
      <c r="R4081" s="178"/>
      <c r="S4081" s="178"/>
      <c r="T4081" s="180"/>
      <c r="U4081" s="189" t="str">
        <f>IFERROR(IF(Tableau3[[#This Row],[Dettes]]=0,"",(Tableau3[[#This Row],[Dettes]]/Tableau3[[#This Row],[EBE]])),"")</f>
        <v/>
      </c>
      <c r="V4081" s="190" t="str">
        <f>IFERROR(Tableau3[[#This Row],[Fonds propres]]/Tableau3[[#This Row],[Total Bilan]],"")</f>
        <v/>
      </c>
      <c r="W4081" s="180"/>
      <c r="Y4081" s="180"/>
      <c r="Z4081" s="192" t="str">
        <f>IFERROR(Tableau3[[#This Row],[Chiffre d''affaires]]/Tableau3[[#This Row],[Salariés]],"")</f>
        <v/>
      </c>
      <c r="AA4081" s="177"/>
      <c r="AC4081" s="177" t="s">
        <v>2860</v>
      </c>
    </row>
    <row r="4082" spans="1:29" ht="20.25" customHeight="1">
      <c r="A4082" s="217"/>
      <c r="E4082" s="187">
        <v>10.47</v>
      </c>
      <c r="F4082" s="178">
        <v>2016</v>
      </c>
      <c r="G4082" s="188">
        <v>707000000</v>
      </c>
      <c r="H4082" s="188">
        <v>290000000</v>
      </c>
      <c r="I4082" s="188">
        <v>86729000</v>
      </c>
      <c r="J4082" s="188">
        <v>40000000</v>
      </c>
      <c r="K4082" s="188">
        <v>1491109000</v>
      </c>
      <c r="L4082" s="188">
        <v>469777000</v>
      </c>
      <c r="M4082" s="194">
        <f>L4082/P4082</f>
        <v>2.0278652689418126</v>
      </c>
      <c r="N4082" s="190">
        <f>J4082/L4082</f>
        <v>8.5146782409526223E-2</v>
      </c>
      <c r="O4082" s="190">
        <f>(I4082*0.7)/(K4082+L4082)</f>
        <v>3.0960647380826826E-2</v>
      </c>
      <c r="P4082" s="242">
        <v>231660854</v>
      </c>
      <c r="Q4082" s="188">
        <f>P4082*E4082</f>
        <v>2425489141.3800001</v>
      </c>
      <c r="R4082" s="195">
        <f>Q4082/L4082</f>
        <v>5.1630649039437859</v>
      </c>
      <c r="S4082" s="197">
        <f>(Q4082+K4082)/H4082</f>
        <v>13.505510832344829</v>
      </c>
      <c r="T4082" s="180"/>
      <c r="U4082" s="189">
        <f>IFERROR(IF(Tableau3[[#This Row],[Dettes]]=0,"",(Tableau3[[#This Row],[Dettes]]/Tableau3[[#This Row],[EBE]])),"")</f>
        <v>5.1417551724137933</v>
      </c>
      <c r="V4082" s="190" t="str">
        <f>IFERROR(Tableau3[[#This Row],[Fonds propres]]/Tableau3[[#This Row],[Total Bilan]],"")</f>
        <v/>
      </c>
      <c r="W4082" s="180"/>
      <c r="Y4082" s="180"/>
      <c r="Z4082" s="192" t="str">
        <f>IFERROR(Tableau3[[#This Row],[Chiffre d''affaires]]/Tableau3[[#This Row],[Salariés]],"")</f>
        <v/>
      </c>
      <c r="AA4082" s="177"/>
      <c r="AC4082" s="177" t="s">
        <v>2861</v>
      </c>
    </row>
    <row r="4083" spans="1:29" ht="20.25" customHeight="1">
      <c r="A4083" s="217"/>
      <c r="E4083" s="187"/>
      <c r="G4083" s="202">
        <f>(G4082/G4084)-1</f>
        <v>0.15334420880913546</v>
      </c>
      <c r="H4083" s="202">
        <f>(H4082/H4084)-1</f>
        <v>0.23404255319148937</v>
      </c>
      <c r="I4083" s="202">
        <f>(I4082/I4084)-1</f>
        <v>0.37019132028374169</v>
      </c>
      <c r="J4083" s="202">
        <f>(J4082/J4084)-1</f>
        <v>-0.16666666666666663</v>
      </c>
      <c r="K4083" s="178"/>
      <c r="L4083" s="178"/>
      <c r="M4083" s="178"/>
      <c r="N4083" s="178"/>
      <c r="O4083" s="178"/>
      <c r="P4083" s="178"/>
      <c r="Q4083" s="178"/>
      <c r="R4083" s="178"/>
      <c r="S4083" s="178"/>
      <c r="T4083" s="180"/>
      <c r="U4083" s="189" t="str">
        <f>IFERROR(IF(Tableau3[[#This Row],[Dettes]]=0,"",(Tableau3[[#This Row],[Dettes]]/Tableau3[[#This Row],[EBE]])),"")</f>
        <v/>
      </c>
      <c r="V4083" s="190" t="str">
        <f>IFERROR(Tableau3[[#This Row],[Fonds propres]]/Tableau3[[#This Row],[Total Bilan]],"")</f>
        <v/>
      </c>
      <c r="W4083" s="180"/>
      <c r="Y4083" s="180"/>
      <c r="Z4083" s="192" t="str">
        <f>IFERROR(Tableau3[[#This Row],[Chiffre d''affaires]]/Tableau3[[#This Row],[Salariés]],"")</f>
        <v/>
      </c>
      <c r="AA4083" s="177"/>
      <c r="AC4083" s="177" t="s">
        <v>2862</v>
      </c>
    </row>
    <row r="4084" spans="1:29" ht="20.25" customHeight="1">
      <c r="A4084" s="217"/>
      <c r="E4084" s="187">
        <v>12.61</v>
      </c>
      <c r="F4084" s="178">
        <v>2015</v>
      </c>
      <c r="G4084" s="188">
        <v>613000000</v>
      </c>
      <c r="H4084" s="188">
        <v>235000000</v>
      </c>
      <c r="I4084" s="188">
        <v>63297000</v>
      </c>
      <c r="J4084" s="188">
        <v>48000000</v>
      </c>
      <c r="K4084" s="188">
        <v>937355000</v>
      </c>
      <c r="L4084" s="188">
        <v>454366000</v>
      </c>
      <c r="M4084" s="194">
        <f>L4084/P4084</f>
        <v>1.961151786378678</v>
      </c>
      <c r="N4084" s="190">
        <f>J4084/L4084</f>
        <v>0.10564170734606022</v>
      </c>
      <c r="O4084" s="190">
        <f>(I4084*0.7)/(K4084+L4084)</f>
        <v>3.1836769007581263E-2</v>
      </c>
      <c r="P4084" s="242">
        <v>231683240</v>
      </c>
      <c r="Q4084" s="188">
        <f>P4084*E4084</f>
        <v>2921525656.4000001</v>
      </c>
      <c r="R4084" s="195">
        <f>Q4084/L4084</f>
        <v>6.4298949666128191</v>
      </c>
      <c r="S4084" s="197">
        <f>(Q4084+K4084)/H4084</f>
        <v>16.420768750638299</v>
      </c>
      <c r="T4084" s="180"/>
      <c r="U4084" s="189">
        <f>IFERROR(IF(Tableau3[[#This Row],[Dettes]]=0,"",(Tableau3[[#This Row],[Dettes]]/Tableau3[[#This Row],[EBE]])),"")</f>
        <v>3.988744680851064</v>
      </c>
      <c r="V4084" s="190" t="str">
        <f>IFERROR(Tableau3[[#This Row],[Fonds propres]]/Tableau3[[#This Row],[Total Bilan]],"")</f>
        <v/>
      </c>
      <c r="W4084" s="180"/>
      <c r="Y4084" s="180"/>
      <c r="Z4084" s="192" t="str">
        <f>IFERROR(Tableau3[[#This Row],[Chiffre d''affaires]]/Tableau3[[#This Row],[Salariés]],"")</f>
        <v/>
      </c>
      <c r="AA4084" s="177"/>
      <c r="AC4084" s="177" t="s">
        <v>2863</v>
      </c>
    </row>
    <row r="4085" spans="1:29" ht="20.25" customHeight="1">
      <c r="A4085" s="217"/>
      <c r="E4085" s="187"/>
      <c r="G4085" s="202">
        <f>(G4084/G4086)-1</f>
        <v>0.40596330275229353</v>
      </c>
      <c r="H4085" s="202">
        <f>(H4084/H4086)-1</f>
        <v>0.3202247191011236</v>
      </c>
      <c r="I4085" s="202">
        <f>(I4084/I4086)-1</f>
        <v>-0.27244827586206899</v>
      </c>
      <c r="J4085" s="202">
        <f>(J4084/J4086)-1</f>
        <v>-0.19999999999999996</v>
      </c>
      <c r="K4085" s="178"/>
      <c r="L4085" s="178"/>
      <c r="M4085" s="178"/>
      <c r="N4085" s="178"/>
      <c r="O4085" s="178"/>
      <c r="P4085" s="178"/>
      <c r="Q4085" s="178"/>
      <c r="R4085" s="178"/>
      <c r="S4085" s="178"/>
      <c r="T4085" s="180"/>
      <c r="U4085" s="189" t="str">
        <f>IFERROR(IF(Tableau3[[#This Row],[Dettes]]=0,"",(Tableau3[[#This Row],[Dettes]]/Tableau3[[#This Row],[EBE]])),"")</f>
        <v/>
      </c>
      <c r="V4085" s="190" t="str">
        <f>IFERROR(Tableau3[[#This Row],[Fonds propres]]/Tableau3[[#This Row],[Total Bilan]],"")</f>
        <v/>
      </c>
      <c r="W4085" s="180"/>
      <c r="Y4085" s="180"/>
      <c r="Z4085" s="192" t="str">
        <f>IFERROR(Tableau3[[#This Row],[Chiffre d''affaires]]/Tableau3[[#This Row],[Salariés]],"")</f>
        <v/>
      </c>
      <c r="AA4085" s="177"/>
      <c r="AC4085" s="177" t="s">
        <v>2864</v>
      </c>
    </row>
    <row r="4086" spans="1:29" ht="20.25" customHeight="1">
      <c r="A4086" s="217"/>
      <c r="E4086" s="187"/>
      <c r="F4086" s="178">
        <v>2014</v>
      </c>
      <c r="G4086" s="188">
        <v>436000000</v>
      </c>
      <c r="H4086" s="188">
        <v>178000000</v>
      </c>
      <c r="I4086" s="188">
        <v>87000000</v>
      </c>
      <c r="J4086" s="188">
        <v>60000000</v>
      </c>
      <c r="K4086" s="178"/>
      <c r="L4086" s="178"/>
      <c r="M4086" s="178"/>
      <c r="N4086" s="178"/>
      <c r="O4086" s="178"/>
      <c r="P4086" s="178"/>
      <c r="Q4086" s="178"/>
      <c r="R4086" s="178"/>
      <c r="S4086" s="178"/>
      <c r="T4086" s="180"/>
      <c r="U4086" s="189" t="str">
        <f>IFERROR(IF(Tableau3[[#This Row],[Dettes]]=0,"",(Tableau3[[#This Row],[Dettes]]/Tableau3[[#This Row],[EBE]])),"")</f>
        <v/>
      </c>
      <c r="V4086" s="190" t="str">
        <f>IFERROR(Tableau3[[#This Row],[Fonds propres]]/Tableau3[[#This Row],[Total Bilan]],"")</f>
        <v/>
      </c>
      <c r="W4086" s="180"/>
      <c r="Y4086" s="180"/>
      <c r="Z4086" s="192" t="str">
        <f>IFERROR(Tableau3[[#This Row],[Chiffre d''affaires]]/Tableau3[[#This Row],[Salariés]],"")</f>
        <v/>
      </c>
      <c r="AA4086" s="177"/>
      <c r="AC4086" s="177" t="s">
        <v>653</v>
      </c>
    </row>
    <row r="4087" spans="1:29" ht="20.25" customHeight="1">
      <c r="A4087" s="217"/>
      <c r="G4087" s="188"/>
      <c r="H4087" s="188"/>
      <c r="I4087" s="188"/>
      <c r="J4087" s="188"/>
      <c r="K4087" s="178"/>
      <c r="L4087" s="178"/>
      <c r="M4087" s="178"/>
      <c r="N4087" s="178"/>
      <c r="O4087" s="178"/>
      <c r="P4087" s="178"/>
      <c r="Q4087" s="178"/>
      <c r="R4087" s="178"/>
      <c r="S4087" s="178"/>
      <c r="T4087" s="180"/>
      <c r="U4087" s="189" t="str">
        <f>IFERROR(IF(Tableau3[[#This Row],[Dettes]]=0,"",(Tableau3[[#This Row],[Dettes]]/Tableau3[[#This Row],[EBE]])),"")</f>
        <v/>
      </c>
      <c r="V4087" s="190" t="str">
        <f>IFERROR(Tableau3[[#This Row],[Fonds propres]]/Tableau3[[#This Row],[Total Bilan]],"")</f>
        <v/>
      </c>
      <c r="W4087" s="180"/>
      <c r="Y4087" s="180"/>
      <c r="Z4087" s="192" t="str">
        <f>IFERROR(Tableau3[[#This Row],[Chiffre d''affaires]]/Tableau3[[#This Row],[Salariés]],"")</f>
        <v/>
      </c>
      <c r="AA4087" s="177"/>
      <c r="AC4087" s="177" t="s">
        <v>2865</v>
      </c>
    </row>
    <row r="4088" spans="1:29" ht="20.25" customHeight="1">
      <c r="A4088" s="217"/>
      <c r="G4088" s="188"/>
      <c r="H4088" s="188"/>
      <c r="I4088" s="188"/>
      <c r="J4088" s="188"/>
      <c r="K4088" s="178"/>
      <c r="L4088" s="178"/>
      <c r="M4088" s="178"/>
      <c r="N4088" s="178"/>
      <c r="O4088" s="178"/>
      <c r="P4088" s="178"/>
      <c r="Q4088" s="178"/>
      <c r="R4088" s="178"/>
      <c r="S4088" s="178"/>
      <c r="T4088" s="180"/>
      <c r="U4088" s="189" t="str">
        <f>IFERROR(IF(Tableau3[[#This Row],[Dettes]]=0,"",(Tableau3[[#This Row],[Dettes]]/Tableau3[[#This Row],[EBE]])),"")</f>
        <v/>
      </c>
      <c r="V4088" s="190" t="str">
        <f>IFERROR(Tableau3[[#This Row],[Fonds propres]]/Tableau3[[#This Row],[Total Bilan]],"")</f>
        <v/>
      </c>
      <c r="W4088" s="180"/>
      <c r="Y4088" s="180"/>
      <c r="Z4088" s="192" t="str">
        <f>IFERROR(Tableau3[[#This Row],[Chiffre d''affaires]]/Tableau3[[#This Row],[Salariés]],"")</f>
        <v/>
      </c>
      <c r="AA4088" s="177"/>
    </row>
    <row r="4089" spans="1:29" ht="20.25" customHeight="1">
      <c r="A4089" s="217"/>
      <c r="G4089" s="188"/>
      <c r="H4089" s="178"/>
      <c r="I4089" s="178"/>
      <c r="J4089" s="178"/>
      <c r="K4089" s="178"/>
      <c r="L4089" s="178"/>
      <c r="M4089" s="178"/>
      <c r="N4089" s="178"/>
      <c r="O4089" s="178"/>
      <c r="P4089" s="178"/>
      <c r="Q4089" s="178"/>
      <c r="R4089" s="178"/>
      <c r="S4089" s="178"/>
      <c r="T4089" s="180"/>
      <c r="U4089" s="189" t="str">
        <f>IFERROR(IF(Tableau3[[#This Row],[Dettes]]=0,"",(Tableau3[[#This Row],[Dettes]]/Tableau3[[#This Row],[EBE]])),"")</f>
        <v/>
      </c>
      <c r="V4089" s="190" t="str">
        <f>IFERROR(Tableau3[[#This Row],[Fonds propres]]/Tableau3[[#This Row],[Total Bilan]],"")</f>
        <v/>
      </c>
      <c r="W4089" s="180"/>
      <c r="Y4089" s="180"/>
      <c r="Z4089" s="192" t="str">
        <f>IFERROR(Tableau3[[#This Row],[Chiffre d''affaires]]/Tableau3[[#This Row],[Salariés]],"")</f>
        <v/>
      </c>
      <c r="AA4089" s="177"/>
    </row>
    <row r="4090" spans="1:29" ht="20.25" customHeight="1">
      <c r="A4090" s="217"/>
      <c r="F4090" s="234"/>
      <c r="G4090" s="188"/>
      <c r="H4090" s="178"/>
      <c r="I4090" s="178"/>
      <c r="J4090" s="178"/>
      <c r="K4090" s="178"/>
      <c r="L4090" s="178"/>
      <c r="M4090" s="178"/>
      <c r="N4090" s="178"/>
      <c r="O4090" s="178"/>
      <c r="P4090" s="178"/>
      <c r="Q4090" s="178"/>
      <c r="R4090" s="178"/>
      <c r="S4090" s="178"/>
      <c r="T4090" s="180"/>
      <c r="U4090" s="189" t="str">
        <f>IFERROR(IF(Tableau3[[#This Row],[Dettes]]=0,"",(Tableau3[[#This Row],[Dettes]]/Tableau3[[#This Row],[EBE]])),"")</f>
        <v/>
      </c>
      <c r="V4090" s="190" t="str">
        <f>IFERROR(Tableau3[[#This Row],[Fonds propres]]/Tableau3[[#This Row],[Total Bilan]],"")</f>
        <v/>
      </c>
      <c r="W4090" s="180"/>
      <c r="Y4090" s="180"/>
      <c r="Z4090" s="192" t="str">
        <f>IFERROR(Tableau3[[#This Row],[Chiffre d''affaires]]/Tableau3[[#This Row],[Salariés]],"")</f>
        <v/>
      </c>
      <c r="AA4090" s="177"/>
    </row>
    <row r="4091" spans="1:29" ht="20.25" customHeight="1">
      <c r="A4091" s="217"/>
      <c r="G4091" s="188"/>
      <c r="H4091" s="178"/>
      <c r="I4091" s="178"/>
      <c r="J4091" s="178"/>
      <c r="K4091" s="188"/>
      <c r="L4091" s="188"/>
      <c r="M4091" s="178"/>
      <c r="N4091" s="178"/>
      <c r="O4091" s="178"/>
      <c r="P4091" s="178"/>
      <c r="Q4091" s="178"/>
      <c r="R4091" s="178"/>
      <c r="S4091" s="178"/>
      <c r="T4091" s="180"/>
      <c r="U4091" s="189" t="str">
        <f>IFERROR(IF(Tableau3[[#This Row],[Dettes]]=0,"",(Tableau3[[#This Row],[Dettes]]/Tableau3[[#This Row],[EBE]])),"")</f>
        <v/>
      </c>
      <c r="V4091" s="190" t="str">
        <f>IFERROR(Tableau3[[#This Row],[Fonds propres]]/Tableau3[[#This Row],[Total Bilan]],"")</f>
        <v/>
      </c>
      <c r="W4091" s="180"/>
      <c r="Y4091" s="180"/>
      <c r="Z4091" s="192" t="str">
        <f>IFERROR(Tableau3[[#This Row],[Chiffre d''affaires]]/Tableau3[[#This Row],[Salariés]],"")</f>
        <v/>
      </c>
      <c r="AA4091" s="177"/>
      <c r="AB4091" s="178" t="s">
        <v>2866</v>
      </c>
    </row>
    <row r="4092" spans="1:29" ht="20.25" customHeight="1">
      <c r="A4092" s="217" t="s">
        <v>2867</v>
      </c>
      <c r="B4092" s="216" t="s">
        <v>2308</v>
      </c>
      <c r="C4092" s="178" t="s">
        <v>84</v>
      </c>
      <c r="D4092" s="178" t="s">
        <v>85</v>
      </c>
      <c r="E4092" s="187">
        <v>97</v>
      </c>
      <c r="F4092" s="178">
        <v>2025</v>
      </c>
      <c r="G4092" s="188">
        <f>G4094*1.02</f>
        <v>4226166000</v>
      </c>
      <c r="H4092" s="188">
        <v>440000000</v>
      </c>
      <c r="I4092" s="188">
        <v>300000000</v>
      </c>
      <c r="J4092" s="188">
        <v>230000000</v>
      </c>
      <c r="K4092" s="188">
        <v>-300000000</v>
      </c>
      <c r="L4092" s="188">
        <v>2350000000</v>
      </c>
      <c r="M4092" s="194">
        <f>L4092/P4092</f>
        <v>66.743348620589657</v>
      </c>
      <c r="N4092" s="190">
        <f>J4092/L4092</f>
        <v>9.7872340425531917E-2</v>
      </c>
      <c r="O4092" s="190">
        <f>(I4092*0.7)/(K4092+L4092)</f>
        <v>0.1024390243902439</v>
      </c>
      <c r="P4092" s="188">
        <v>35209501</v>
      </c>
      <c r="Q4092" s="211">
        <f>P4092*E4092</f>
        <v>3415321597</v>
      </c>
      <c r="R4092" s="195">
        <f>Q4092/L4092</f>
        <v>1.4533283391489362</v>
      </c>
      <c r="S4092" s="197">
        <f>Q4092/H4092</f>
        <v>7.7620945386363633</v>
      </c>
      <c r="T4092" s="180"/>
      <c r="U4092" s="189">
        <f>IFERROR(IF(Tableau3[[#This Row],[Dettes]]=0,"",(Tableau3[[#This Row],[Dettes]]/Tableau3[[#This Row],[EBE]])),"")</f>
        <v>-0.68181818181818177</v>
      </c>
      <c r="V4092" s="190" t="str">
        <f>IFERROR(Tableau3[[#This Row],[Fonds propres]]/Tableau3[[#This Row],[Total Bilan]],"")</f>
        <v/>
      </c>
      <c r="W4092" s="180"/>
      <c r="X4092" s="182" t="s">
        <v>106</v>
      </c>
      <c r="Y4092" s="180"/>
      <c r="Z4092" s="192" t="str">
        <f>IFERROR(Tableau3[[#This Row],[Chiffre d''affaires]]/Tableau3[[#This Row],[Salariés]],"")</f>
        <v/>
      </c>
      <c r="AA4092" s="177"/>
      <c r="AC4092" s="177" t="s">
        <v>2868</v>
      </c>
    </row>
    <row r="4093" spans="1:29" ht="20.25" customHeight="1">
      <c r="A4093" s="217"/>
      <c r="G4093" s="202">
        <f>(G4092/G4094)-1</f>
        <v>2.0000000000000018E-2</v>
      </c>
      <c r="H4093" s="202">
        <f>(H4092/H4094)-1</f>
        <v>4.7619047619047672E-2</v>
      </c>
      <c r="I4093" s="202">
        <f>(I4092/I4094)-1</f>
        <v>8.3032490974729312E-2</v>
      </c>
      <c r="J4093" s="202">
        <f>(J4092/J4094)-1</f>
        <v>0.23390557939914158</v>
      </c>
      <c r="K4093" s="188"/>
      <c r="L4093" s="188"/>
      <c r="M4093" s="178"/>
      <c r="N4093" s="178"/>
      <c r="O4093" s="178"/>
      <c r="P4093" s="178"/>
      <c r="Q4093" s="178"/>
      <c r="R4093" s="178"/>
      <c r="S4093" s="178"/>
      <c r="T4093" s="180"/>
      <c r="U4093" s="189" t="str">
        <f>IFERROR(IF(Tableau3[[#This Row],[Dettes]]=0,"",(Tableau3[[#This Row],[Dettes]]/Tableau3[[#This Row],[EBE]])),"")</f>
        <v/>
      </c>
      <c r="V4093" s="190" t="str">
        <f>IFERROR(Tableau3[[#This Row],[Fonds propres]]/Tableau3[[#This Row],[Total Bilan]],"")</f>
        <v/>
      </c>
      <c r="W4093" s="180"/>
      <c r="Y4093" s="180"/>
      <c r="Z4093" s="192" t="str">
        <f>IFERROR(Tableau3[[#This Row],[Chiffre d''affaires]]/Tableau3[[#This Row],[Salariés]],"")</f>
        <v/>
      </c>
      <c r="AA4093" s="177"/>
      <c r="AC4093" s="177" t="s">
        <v>4599</v>
      </c>
    </row>
    <row r="4094" spans="1:29" ht="20.25" customHeight="1">
      <c r="A4094" s="217"/>
      <c r="E4094" s="187">
        <v>79.05</v>
      </c>
      <c r="F4094" s="178">
        <v>2024</v>
      </c>
      <c r="G4094" s="188">
        <v>4143300000</v>
      </c>
      <c r="H4094" s="188">
        <v>420000000</v>
      </c>
      <c r="I4094" s="188">
        <v>277000000</v>
      </c>
      <c r="J4094" s="188">
        <v>186400000</v>
      </c>
      <c r="K4094" s="188">
        <v>-275500000</v>
      </c>
      <c r="L4094" s="188">
        <v>2209350000</v>
      </c>
      <c r="M4094" s="194">
        <f>L4094/P4094</f>
        <v>62.748688202084999</v>
      </c>
      <c r="N4094" s="190">
        <f>J4094/L4094</f>
        <v>8.4368705727929025E-2</v>
      </c>
      <c r="O4094" s="190">
        <f>(I4094*0.7)/(K4094+L4094)</f>
        <v>0.10026630814178969</v>
      </c>
      <c r="P4094" s="188">
        <v>35209501</v>
      </c>
      <c r="Q4094" s="211">
        <f>P4094*E4094</f>
        <v>2783311054.0499997</v>
      </c>
      <c r="R4094" s="195">
        <f>Q4094/L4094</f>
        <v>1.2597872922126416</v>
      </c>
      <c r="S4094" s="197">
        <f>Q4094/H4094</f>
        <v>6.6269310810714277</v>
      </c>
      <c r="T4094" s="180">
        <v>333200000</v>
      </c>
      <c r="U4094" s="189">
        <f>IFERROR(IF(Tableau3[[#This Row],[Dettes]]=0,"",(Tableau3[[#This Row],[Dettes]]/Tableau3[[#This Row],[EBE]])),"")</f>
        <v>-0.65595238095238095</v>
      </c>
      <c r="V4094" s="190">
        <f>IFERROR(Tableau3[[#This Row],[Fonds propres]]/Tableau3[[#This Row],[Total Bilan]],"")</f>
        <v>0.60651756220212527</v>
      </c>
      <c r="W4094" s="180">
        <v>3642681000</v>
      </c>
      <c r="Y4094" s="180">
        <v>57700</v>
      </c>
      <c r="Z4094" s="192">
        <f>IFERROR(Tableau3[[#This Row],[Chiffre d''affaires]]/Tableau3[[#This Row],[Salariés]],"")</f>
        <v>71807.625649913345</v>
      </c>
      <c r="AA4094" s="177"/>
      <c r="AB4094" s="188">
        <v>270000000</v>
      </c>
      <c r="AC4094" s="177" t="s">
        <v>2870</v>
      </c>
    </row>
    <row r="4095" spans="1:29" ht="20.25" customHeight="1">
      <c r="A4095" s="217"/>
      <c r="G4095" s="202">
        <f>(G4094/G4096)-1</f>
        <v>1.8310066850176998E-2</v>
      </c>
      <c r="H4095" s="202">
        <f>(H4094/H4096)-1</f>
        <v>-4.5454545454545414E-2</v>
      </c>
      <c r="I4095" s="202">
        <f>(I4094/I4096)-1</f>
        <v>-0.13410440762738352</v>
      </c>
      <c r="J4095" s="202">
        <f>(J4094/J4096)-1</f>
        <v>-0.20068610634648365</v>
      </c>
      <c r="K4095" s="188"/>
      <c r="L4095" s="188"/>
      <c r="M4095" s="178"/>
      <c r="N4095" s="178"/>
      <c r="O4095" s="178"/>
      <c r="P4095" s="178"/>
      <c r="Q4095" s="178"/>
      <c r="R4095" s="178"/>
      <c r="S4095" s="178"/>
      <c r="T4095" s="180"/>
      <c r="U4095" s="189" t="str">
        <f>IFERROR(IF(Tableau3[[#This Row],[Dettes]]=0,"",(Tableau3[[#This Row],[Dettes]]/Tableau3[[#This Row],[EBE]])),"")</f>
        <v/>
      </c>
      <c r="V4095" s="190" t="str">
        <f>IFERROR(Tableau3[[#This Row],[Fonds propres]]/Tableau3[[#This Row],[Total Bilan]],"")</f>
        <v/>
      </c>
      <c r="W4095" s="180"/>
      <c r="Y4095" s="180"/>
      <c r="Z4095" s="192" t="str">
        <f>IFERROR(Tableau3[[#This Row],[Chiffre d''affaires]]/Tableau3[[#This Row],[Salariés]],"")</f>
        <v/>
      </c>
      <c r="AA4095" s="177"/>
      <c r="AC4095" s="177" t="s">
        <v>2871</v>
      </c>
    </row>
    <row r="4096" spans="1:29" ht="20.25" customHeight="1">
      <c r="A4096" s="217"/>
      <c r="E4096" s="187">
        <v>134.6</v>
      </c>
      <c r="F4096" s="178">
        <v>2023</v>
      </c>
      <c r="G4096" s="188">
        <v>4068800000</v>
      </c>
      <c r="H4096" s="188">
        <v>440000000</v>
      </c>
      <c r="I4096" s="188">
        <v>319900000</v>
      </c>
      <c r="J4096" s="188">
        <v>233200000</v>
      </c>
      <c r="K4096" s="188">
        <v>-297000000</v>
      </c>
      <c r="L4096" s="188">
        <v>2037137000</v>
      </c>
      <c r="M4096" s="194">
        <f>L4096/P4096</f>
        <v>58.001239725153546</v>
      </c>
      <c r="N4096" s="190">
        <f>J4096/L4096</f>
        <v>0.11447438242985131</v>
      </c>
      <c r="O4096" s="190">
        <f>(I4096*0.7)/(K4096+L4096)</f>
        <v>0.12868527018274997</v>
      </c>
      <c r="P4096" s="188">
        <v>35122301</v>
      </c>
      <c r="Q4096" s="211">
        <f>P4096*E4096</f>
        <v>4727461714.5999994</v>
      </c>
      <c r="R4096" s="195">
        <f>Q4096/L4096</f>
        <v>2.320640052485424</v>
      </c>
      <c r="S4096" s="197">
        <f>Q4096/H4096</f>
        <v>10.744231169545452</v>
      </c>
      <c r="T4096" s="180">
        <v>146600000</v>
      </c>
      <c r="U4096" s="189">
        <f>IFERROR(IF(Tableau3[[#This Row],[Dettes]]=0,"",(Tableau3[[#This Row],[Dettes]]/Tableau3[[#This Row],[EBE]])),"")</f>
        <v>-0.67500000000000004</v>
      </c>
      <c r="V4096" s="190">
        <f>IFERROR(Tableau3[[#This Row],[Fonds propres]]/Tableau3[[#This Row],[Total Bilan]],"")</f>
        <v>0.59709882830532945</v>
      </c>
      <c r="W4096" s="180">
        <v>3411725000</v>
      </c>
      <c r="Y4096" s="180">
        <v>58300</v>
      </c>
      <c r="Z4096" s="192">
        <f>IFERROR(Tableau3[[#This Row],[Chiffre d''affaires]]/Tableau3[[#This Row],[Salariés]],"")</f>
        <v>69790.737564322466</v>
      </c>
      <c r="AA4096" s="177"/>
      <c r="AC4096" s="177" t="s">
        <v>2872</v>
      </c>
    </row>
    <row r="4097" spans="1:29" ht="20.25" customHeight="1">
      <c r="A4097" s="217"/>
      <c r="G4097" s="202">
        <f>(G4096/G4098)-1</f>
        <v>7.5520076128043234E-2</v>
      </c>
      <c r="H4097" s="202">
        <f>(H4096/H4098)-1</f>
        <v>-0.12057162844151303</v>
      </c>
      <c r="I4097" s="202">
        <f>(I4096/I4098)-1</f>
        <v>-0.46042953115222496</v>
      </c>
      <c r="J4097" s="202">
        <f>(J4096/J4098)-1</f>
        <v>-0.49030107644391019</v>
      </c>
      <c r="K4097" s="178"/>
      <c r="L4097" s="178"/>
      <c r="M4097" s="178"/>
      <c r="N4097" s="178"/>
      <c r="O4097" s="178"/>
      <c r="P4097" s="178"/>
      <c r="Q4097" s="178"/>
      <c r="R4097" s="178"/>
      <c r="S4097" s="178"/>
      <c r="T4097" s="180"/>
      <c r="U4097" s="189" t="str">
        <f>IFERROR(IF(Tableau3[[#This Row],[Dettes]]=0,"",(Tableau3[[#This Row],[Dettes]]/Tableau3[[#This Row],[EBE]])),"")</f>
        <v/>
      </c>
      <c r="V4097" s="190" t="str">
        <f>IFERROR(Tableau3[[#This Row],[Fonds propres]]/Tableau3[[#This Row],[Total Bilan]],"")</f>
        <v/>
      </c>
      <c r="W4097" s="180"/>
      <c r="Y4097" s="180"/>
      <c r="Z4097" s="192" t="str">
        <f>IFERROR(Tableau3[[#This Row],[Chiffre d''affaires]]/Tableau3[[#This Row],[Salariés]],"")</f>
        <v/>
      </c>
      <c r="AA4097" s="177"/>
      <c r="AC4097" s="177" t="s">
        <v>4600</v>
      </c>
    </row>
    <row r="4098" spans="1:29" ht="20.25" customHeight="1">
      <c r="A4098" s="217"/>
      <c r="E4098" s="187">
        <v>116.8</v>
      </c>
      <c r="F4098" s="178">
        <v>2022</v>
      </c>
      <c r="G4098" s="188">
        <v>3783100000</v>
      </c>
      <c r="H4098" s="188">
        <f>(419581+80744)*1000</f>
        <v>500325000</v>
      </c>
      <c r="I4098" s="188">
        <v>592879000</v>
      </c>
      <c r="J4098" s="188">
        <v>457525000</v>
      </c>
      <c r="K4098" s="188">
        <v>-418050000</v>
      </c>
      <c r="L4098" s="188">
        <v>1838901000</v>
      </c>
      <c r="M4098" s="194">
        <f>L4098/P4098</f>
        <v>53.913317845881934</v>
      </c>
      <c r="N4098" s="190">
        <f>J4098/L4098</f>
        <v>0.24880349730627152</v>
      </c>
      <c r="O4098" s="190">
        <f>(I4098*0.7)/(K4098+L4098)</f>
        <v>0.29208924792254781</v>
      </c>
      <c r="P4098" s="188">
        <v>34108474</v>
      </c>
      <c r="Q4098" s="211">
        <f>P4098*E4098</f>
        <v>3983869763.1999998</v>
      </c>
      <c r="R4098" s="195">
        <f>Q4098/L4098</f>
        <v>2.1664405877206003</v>
      </c>
      <c r="S4098" s="197">
        <f>Q4098/H4098</f>
        <v>7.9625638598910706</v>
      </c>
      <c r="T4098" s="180">
        <v>183700000</v>
      </c>
      <c r="U4098" s="189">
        <f>IFERROR(IF(Tableau3[[#This Row],[Dettes]]=0,"",(Tableau3[[#This Row],[Dettes]]/Tableau3[[#This Row],[EBE]])),"")</f>
        <v>-0.83555688802278516</v>
      </c>
      <c r="V4098" s="190">
        <f>IFERROR(Tableau3[[#This Row],[Fonds propres]]/Tableau3[[#This Row],[Total Bilan]],"")</f>
        <v>0.5461458706743676</v>
      </c>
      <c r="W4098" s="180">
        <v>3367051000</v>
      </c>
      <c r="Y4098" s="180">
        <v>54000</v>
      </c>
      <c r="Z4098" s="192">
        <f>IFERROR(Tableau3[[#This Row],[Chiffre d''affaires]]/Tableau3[[#This Row],[Salariés]],"")</f>
        <v>70057.407407407401</v>
      </c>
      <c r="AA4098" s="177"/>
      <c r="AB4098" s="188">
        <v>201000000</v>
      </c>
      <c r="AC4098" s="177" t="s">
        <v>2873</v>
      </c>
    </row>
    <row r="4099" spans="1:29" ht="20.25" customHeight="1">
      <c r="A4099" s="217"/>
      <c r="G4099" s="202">
        <f>(G4098/G4100)-1</f>
        <v>0.39854116382313998</v>
      </c>
      <c r="H4099" s="202">
        <f>(H4098/H4100)-1</f>
        <v>0.53946153846153844</v>
      </c>
      <c r="I4099" s="202" t="e">
        <f>(I4098/I4100)-1</f>
        <v>#DIV/0!</v>
      </c>
      <c r="J4099" s="202">
        <f>(J4098/J4100)-1</f>
        <v>1.5418055555555554</v>
      </c>
      <c r="K4099" s="178"/>
      <c r="L4099" s="178"/>
      <c r="M4099" s="178"/>
      <c r="N4099" s="178"/>
      <c r="O4099" s="178"/>
      <c r="P4099" s="178"/>
      <c r="Q4099" s="178"/>
      <c r="R4099" s="178"/>
      <c r="S4099" s="178"/>
      <c r="T4099" s="180"/>
      <c r="U4099" s="189" t="str">
        <f>IFERROR(IF(Tableau3[[#This Row],[Dettes]]=0,"",(Tableau3[[#This Row],[Dettes]]/Tableau3[[#This Row],[EBE]])),"")</f>
        <v/>
      </c>
      <c r="V4099" s="190" t="str">
        <f>IFERROR(Tableau3[[#This Row],[Fonds propres]]/Tableau3[[#This Row],[Total Bilan]],"")</f>
        <v/>
      </c>
      <c r="W4099" s="180"/>
      <c r="Y4099" s="180"/>
      <c r="Z4099" s="192" t="str">
        <f>IFERROR(Tableau3[[#This Row],[Chiffre d''affaires]]/Tableau3[[#This Row],[Salariés]],"")</f>
        <v/>
      </c>
      <c r="AA4099" s="177"/>
      <c r="AC4099" s="177" t="s">
        <v>4855</v>
      </c>
    </row>
    <row r="4100" spans="1:29" ht="20.25" customHeight="1">
      <c r="A4100" s="217"/>
      <c r="E4100" s="187">
        <v>153.4</v>
      </c>
      <c r="F4100" s="178">
        <v>2021</v>
      </c>
      <c r="G4100" s="188">
        <f>G4102*1.16</f>
        <v>2705033000</v>
      </c>
      <c r="H4100" s="188">
        <v>325000000</v>
      </c>
      <c r="I4100" s="188"/>
      <c r="J4100" s="188">
        <v>180000000</v>
      </c>
      <c r="K4100" s="188">
        <v>-220000000</v>
      </c>
      <c r="L4100" s="188">
        <v>1300000000</v>
      </c>
      <c r="M4100" s="194">
        <f>L4100/P4100</f>
        <v>37.798259523896611</v>
      </c>
      <c r="N4100" s="190">
        <f>J4100/L4100</f>
        <v>0.13846153846153847</v>
      </c>
      <c r="O4100" s="190">
        <f>(I4100*0.7)/(K4100+L4100)</f>
        <v>0</v>
      </c>
      <c r="P4100" s="188">
        <v>34393118</v>
      </c>
      <c r="Q4100" s="211">
        <f>P4100*E4100</f>
        <v>5275904301.1999998</v>
      </c>
      <c r="R4100" s="195">
        <f>Q4100/L4100</f>
        <v>4.0583879239999998</v>
      </c>
      <c r="S4100" s="197">
        <f>Q4100/H4100</f>
        <v>16.233551695999999</v>
      </c>
      <c r="T4100" s="180">
        <v>174400000</v>
      </c>
      <c r="U4100" s="189">
        <f>IFERROR(IF(Tableau3[[#This Row],[Dettes]]=0,"",(Tableau3[[#This Row],[Dettes]]/Tableau3[[#This Row],[EBE]])),"")</f>
        <v>-0.67692307692307696</v>
      </c>
      <c r="V4100" s="190">
        <f>IFERROR(Tableau3[[#This Row],[Fonds propres]]/Tableau3[[#This Row],[Total Bilan]],"")</f>
        <v>0.49429657794676807</v>
      </c>
      <c r="W4100" s="180">
        <v>2630000000</v>
      </c>
      <c r="Y4100" s="180">
        <v>40000</v>
      </c>
      <c r="Z4100" s="192">
        <f>IFERROR(Tableau3[[#This Row],[Chiffre d''affaires]]/Tableau3[[#This Row],[Salariés]],"")</f>
        <v>67625.824999999997</v>
      </c>
      <c r="AA4100" s="211"/>
      <c r="AB4100" s="211">
        <v>203500000</v>
      </c>
      <c r="AC4100" s="177" t="s">
        <v>4857</v>
      </c>
    </row>
    <row r="4101" spans="1:29" ht="20.25" customHeight="1">
      <c r="A4101" s="217"/>
      <c r="E4101" s="187"/>
      <c r="G4101" s="202">
        <f>(G4100/G4102)-1</f>
        <v>0.15999999999999992</v>
      </c>
      <c r="H4101" s="202">
        <f>(H4100/H4102)-1</f>
        <v>0.55502392344497609</v>
      </c>
      <c r="I4101" s="202">
        <f>(I4100/I4102)-1</f>
        <v>-1</v>
      </c>
      <c r="J4101" s="202">
        <f>(J4100/J4102)-1</f>
        <v>0.8365285529175297</v>
      </c>
      <c r="K4101" s="188"/>
      <c r="L4101" s="188"/>
      <c r="M4101" s="188"/>
      <c r="N4101" s="178"/>
      <c r="O4101" s="178"/>
      <c r="P4101" s="178"/>
      <c r="Q4101" s="178"/>
      <c r="R4101" s="178"/>
      <c r="S4101" s="178"/>
      <c r="T4101" s="180"/>
      <c r="U4101" s="189" t="str">
        <f>IFERROR(IF(Tableau3[[#This Row],[Dettes]]=0,"",(Tableau3[[#This Row],[Dettes]]/Tableau3[[#This Row],[EBE]])),"")</f>
        <v/>
      </c>
      <c r="V4101" s="190" t="str">
        <f>IFERROR(Tableau3[[#This Row],[Fonds propres]]/Tableau3[[#This Row],[Total Bilan]],"")</f>
        <v/>
      </c>
      <c r="W4101" s="180"/>
      <c r="Y4101" s="180"/>
      <c r="Z4101" s="192" t="str">
        <f>IFERROR(Tableau3[[#This Row],[Chiffre d''affaires]]/Tableau3[[#This Row],[Salariés]],"")</f>
        <v/>
      </c>
      <c r="AA4101" s="177"/>
      <c r="AC4101" s="177" t="s">
        <v>2874</v>
      </c>
    </row>
    <row r="4102" spans="1:29" ht="20.25" customHeight="1">
      <c r="A4102" s="217"/>
      <c r="E4102" s="187">
        <v>92.65</v>
      </c>
      <c r="F4102" s="178">
        <v>2020</v>
      </c>
      <c r="G4102" s="188">
        <v>2331925000</v>
      </c>
      <c r="H4102" s="188">
        <f>142445000+66555000</f>
        <v>209000000</v>
      </c>
      <c r="I4102" s="188">
        <v>119241000</v>
      </c>
      <c r="J4102" s="188">
        <v>98011000</v>
      </c>
      <c r="K4102" s="188">
        <v>-195600000</v>
      </c>
      <c r="L4102" s="188">
        <v>1213604000</v>
      </c>
      <c r="M4102" s="194">
        <f>L4102/P4102</f>
        <v>35.531032899765989</v>
      </c>
      <c r="N4102" s="190">
        <f>J4102/L4102</f>
        <v>8.076028094831593E-2</v>
      </c>
      <c r="O4102" s="190">
        <f>(I4102*0.7)/(K4102+L4102)</f>
        <v>8.1992506905670309E-2</v>
      </c>
      <c r="P4102" s="188">
        <v>34156170</v>
      </c>
      <c r="Q4102" s="211">
        <f>P4102*E4102</f>
        <v>3164569150.5</v>
      </c>
      <c r="R4102" s="195">
        <f>Q4102/L4102</f>
        <v>2.6075796969192586</v>
      </c>
      <c r="S4102" s="197">
        <f>Q4102/H4102</f>
        <v>15.141479188995214</v>
      </c>
      <c r="T4102" s="180">
        <v>258800000</v>
      </c>
      <c r="U4102" s="189">
        <f>IFERROR(IF(Tableau3[[#This Row],[Dettes]]=0,"",(Tableau3[[#This Row],[Dettes]]/Tableau3[[#This Row],[EBE]])),"")</f>
        <v>-0.93588516746411488</v>
      </c>
      <c r="V4102" s="190">
        <f>IFERROR(Tableau3[[#This Row],[Fonds propres]]/Tableau3[[#This Row],[Total Bilan]],"")</f>
        <v>0.564466976744186</v>
      </c>
      <c r="W4102" s="180">
        <v>2150000000</v>
      </c>
      <c r="Y4102" s="180">
        <v>33800</v>
      </c>
      <c r="Z4102" s="192">
        <f>IFERROR(Tableau3[[#This Row],[Chiffre d''affaires]]/Tableau3[[#This Row],[Salariés]],"")</f>
        <v>68991.863905325445</v>
      </c>
      <c r="AA4102" s="211"/>
      <c r="AB4102" s="211">
        <v>220000000</v>
      </c>
      <c r="AC4102" s="177" t="s">
        <v>2875</v>
      </c>
    </row>
    <row r="4103" spans="1:29" ht="20.25" customHeight="1">
      <c r="A4103" s="217"/>
      <c r="E4103" s="187"/>
      <c r="G4103" s="202">
        <f>(G4102/G4104)-1</f>
        <v>-0.11130907012195124</v>
      </c>
      <c r="H4103" s="202">
        <f>(H4102/H4104)-1</f>
        <v>-0.34928670614534885</v>
      </c>
      <c r="I4103" s="202">
        <f>(I4102/I4104)-1</f>
        <v>-0.49947320038114262</v>
      </c>
      <c r="J4103" s="202">
        <f>(J4102/J4104)-1</f>
        <v>-0.40319074440554115</v>
      </c>
      <c r="K4103" s="188"/>
      <c r="L4103" s="188"/>
      <c r="M4103" s="188"/>
      <c r="N4103" s="178"/>
      <c r="O4103" s="178"/>
      <c r="P4103" s="178"/>
      <c r="Q4103" s="178"/>
      <c r="R4103" s="178"/>
      <c r="S4103" s="178"/>
      <c r="T4103" s="180"/>
      <c r="U4103" s="189" t="str">
        <f>IFERROR(IF(Tableau3[[#This Row],[Dettes]]=0,"",(Tableau3[[#This Row],[Dettes]]/Tableau3[[#This Row],[EBE]])),"")</f>
        <v/>
      </c>
      <c r="V4103" s="190" t="str">
        <f>IFERROR(Tableau3[[#This Row],[Fonds propres]]/Tableau3[[#This Row],[Total Bilan]],"")</f>
        <v/>
      </c>
      <c r="W4103" s="180"/>
      <c r="Y4103" s="180"/>
      <c r="Z4103" s="192" t="str">
        <f>IFERROR(Tableau3[[#This Row],[Chiffre d''affaires]]/Tableau3[[#This Row],[Salariés]],"")</f>
        <v/>
      </c>
      <c r="AA4103" s="211"/>
      <c r="AB4103" s="211"/>
      <c r="AC4103" s="177" t="s">
        <v>2876</v>
      </c>
    </row>
    <row r="4104" spans="1:29" ht="20.25" customHeight="1">
      <c r="A4104" s="217"/>
      <c r="E4104" s="187">
        <v>114.6</v>
      </c>
      <c r="F4104" s="178">
        <v>2019</v>
      </c>
      <c r="G4104" s="188">
        <v>2624000000</v>
      </c>
      <c r="H4104" s="188">
        <f>260771000+60415000</f>
        <v>321186000</v>
      </c>
      <c r="I4104" s="188">
        <v>238231000</v>
      </c>
      <c r="J4104" s="188">
        <v>164225000</v>
      </c>
      <c r="K4104" s="188">
        <v>-74900000</v>
      </c>
      <c r="L4104" s="188">
        <v>1113752000</v>
      </c>
      <c r="M4104" s="194">
        <f>L4104/P4104</f>
        <v>32.921576172572067</v>
      </c>
      <c r="N4104" s="190">
        <f>J4104/L4104</f>
        <v>0.14745203600083323</v>
      </c>
      <c r="O4104" s="190">
        <f>(I4104*0.7)/(K4104+L4104)</f>
        <v>0.16052498334700227</v>
      </c>
      <c r="P4104" s="188">
        <v>33830458</v>
      </c>
      <c r="Q4104" s="211">
        <f>P4104*E4104</f>
        <v>3876970486.7999997</v>
      </c>
      <c r="R4104" s="195">
        <f>Q4104/L4104</f>
        <v>3.4809997978005871</v>
      </c>
      <c r="S4104" s="197">
        <f>Q4104/H4104</f>
        <v>12.070795385851188</v>
      </c>
      <c r="T4104" s="180">
        <v>178100000</v>
      </c>
      <c r="U4104" s="189">
        <f>IFERROR(IF(Tableau3[[#This Row],[Dettes]]=0,"",(Tableau3[[#This Row],[Dettes]]/Tableau3[[#This Row],[EBE]])),"")</f>
        <v>-0.23319820913738457</v>
      </c>
      <c r="V4104" s="190">
        <f>IFERROR(Tableau3[[#This Row],[Fonds propres]]/Tableau3[[#This Row],[Total Bilan]],"")</f>
        <v>0.5432936585365854</v>
      </c>
      <c r="W4104" s="180">
        <v>2050000000</v>
      </c>
      <c r="Y4104" s="180">
        <v>37200</v>
      </c>
      <c r="Z4104" s="192">
        <f>IFERROR(Tableau3[[#This Row],[Chiffre d''affaires]]/Tableau3[[#This Row],[Salariés]],"")</f>
        <v>70537.634408602156</v>
      </c>
      <c r="AA4104" s="211"/>
      <c r="AB4104" s="211"/>
      <c r="AC4104" s="177" t="s">
        <v>2877</v>
      </c>
    </row>
    <row r="4105" spans="1:29" ht="20.25" customHeight="1">
      <c r="A4105" s="217"/>
      <c r="E4105" s="187"/>
      <c r="G4105" s="202">
        <f>(G4104/G4106)-1</f>
        <v>0.15600570072933206</v>
      </c>
      <c r="H4105" s="202">
        <f>(H4104/H4106)-1</f>
        <v>0.34207755306702325</v>
      </c>
      <c r="I4105" s="202">
        <f>(I4104/I4106)-1</f>
        <v>0.11243363389726047</v>
      </c>
      <c r="J4105" s="202">
        <f>(J4104/J4106)-1</f>
        <v>4.0261229247033903E-2</v>
      </c>
      <c r="K4105" s="188"/>
      <c r="L4105" s="188"/>
      <c r="M4105" s="188"/>
      <c r="N4105" s="178"/>
      <c r="O4105" s="178"/>
      <c r="P4105" s="178"/>
      <c r="Q4105" s="178"/>
      <c r="R4105" s="178"/>
      <c r="S4105" s="178"/>
      <c r="T4105" s="180"/>
      <c r="U4105" s="189" t="str">
        <f>IFERROR(IF(Tableau3[[#This Row],[Dettes]]=0,"",(Tableau3[[#This Row],[Dettes]]/Tableau3[[#This Row],[EBE]])),"")</f>
        <v/>
      </c>
      <c r="V4105" s="190" t="str">
        <f>IFERROR(Tableau3[[#This Row],[Fonds propres]]/Tableau3[[#This Row],[Total Bilan]],"")</f>
        <v/>
      </c>
      <c r="W4105" s="180"/>
      <c r="Y4105" s="180"/>
      <c r="Z4105" s="192" t="str">
        <f>IFERROR(Tableau3[[#This Row],[Chiffre d''affaires]]/Tableau3[[#This Row],[Salariés]],"")</f>
        <v/>
      </c>
      <c r="AA4105" s="177"/>
      <c r="AC4105" s="177" t="s">
        <v>2878</v>
      </c>
    </row>
    <row r="4106" spans="1:29" ht="20.25" customHeight="1">
      <c r="A4106" s="217"/>
      <c r="E4106" s="187">
        <v>72.45</v>
      </c>
      <c r="F4106" s="178">
        <v>2018</v>
      </c>
      <c r="G4106" s="188">
        <v>2269885000</v>
      </c>
      <c r="H4106" s="188">
        <v>239320000</v>
      </c>
      <c r="I4106" s="188">
        <v>214153000</v>
      </c>
      <c r="J4106" s="188">
        <v>157869000</v>
      </c>
      <c r="K4106" s="188">
        <v>-12456000</v>
      </c>
      <c r="L4106" s="188">
        <v>967571000</v>
      </c>
      <c r="M4106" s="194">
        <f>L4106/P4106</f>
        <v>29.008583362227359</v>
      </c>
      <c r="N4106" s="190">
        <f>J4106/L4106</f>
        <v>0.16316011951577714</v>
      </c>
      <c r="O4106" s="190">
        <f>(I4106*0.7)/(K4106+L4106)</f>
        <v>0.15695188537505955</v>
      </c>
      <c r="P4106" s="188">
        <v>33354645</v>
      </c>
      <c r="Q4106" s="211">
        <f>P4106*E4106</f>
        <v>2416544030.25</v>
      </c>
      <c r="R4106" s="195">
        <f>Q4106/L4106</f>
        <v>2.4975366461479314</v>
      </c>
      <c r="S4106" s="197">
        <f>Q4106/H4106</f>
        <v>10.097543165009192</v>
      </c>
      <c r="T4106" s="180"/>
      <c r="U4106" s="189">
        <f>IFERROR(IF(Tableau3[[#This Row],[Dettes]]=0,"",(Tableau3[[#This Row],[Dettes]]/Tableau3[[#This Row],[EBE]])),"")</f>
        <v>-5.2047467825505601E-2</v>
      </c>
      <c r="V4106" s="190">
        <f>IFERROR(Tableau3[[#This Row],[Fonds propres]]/Tableau3[[#This Row],[Total Bilan]],"")</f>
        <v>0.58287409638554222</v>
      </c>
      <c r="W4106" s="180">
        <v>1660000000</v>
      </c>
      <c r="Y4106" s="180">
        <v>33700</v>
      </c>
      <c r="Z4106" s="192">
        <f>IFERROR(Tableau3[[#This Row],[Chiffre d''affaires]]/Tableau3[[#This Row],[Salariés]],"")</f>
        <v>67355.63798219584</v>
      </c>
      <c r="AA4106" s="211"/>
      <c r="AB4106" s="211"/>
      <c r="AC4106" s="177" t="s">
        <v>2879</v>
      </c>
    </row>
    <row r="4107" spans="1:29" ht="20.25" customHeight="1">
      <c r="A4107" s="217"/>
      <c r="E4107" s="187"/>
      <c r="G4107" s="202">
        <f>(G4106/G4108)-1</f>
        <v>0.14369808065646561</v>
      </c>
      <c r="H4107" s="202">
        <f>(H4106/H4108)-1</f>
        <v>0.15462365695152713</v>
      </c>
      <c r="I4107" s="202">
        <f>(I4106/I4108)-1</f>
        <v>0.21255513467298548</v>
      </c>
      <c r="J4107" s="202">
        <f>(J4106/J4108)-1</f>
        <v>7.3756163917701123E-2</v>
      </c>
      <c r="K4107" s="188"/>
      <c r="L4107" s="188"/>
      <c r="M4107" s="188"/>
      <c r="N4107" s="178"/>
      <c r="O4107" s="178"/>
      <c r="P4107" s="178"/>
      <c r="Q4107" s="178"/>
      <c r="R4107" s="178"/>
      <c r="S4107" s="178"/>
      <c r="T4107" s="180"/>
      <c r="U4107" s="189" t="str">
        <f>IFERROR(IF(Tableau3[[#This Row],[Dettes]]=0,"",(Tableau3[[#This Row],[Dettes]]/Tableau3[[#This Row],[EBE]])),"")</f>
        <v/>
      </c>
      <c r="V4107" s="190" t="str">
        <f>IFERROR(Tableau3[[#This Row],[Fonds propres]]/Tableau3[[#This Row],[Total Bilan]],"")</f>
        <v/>
      </c>
      <c r="W4107" s="180"/>
      <c r="Y4107" s="180"/>
      <c r="Z4107" s="192" t="str">
        <f>IFERROR(Tableau3[[#This Row],[Chiffre d''affaires]]/Tableau3[[#This Row],[Salariés]],"")</f>
        <v/>
      </c>
      <c r="AA4107" s="177"/>
      <c r="AC4107" s="177" t="s">
        <v>2880</v>
      </c>
    </row>
    <row r="4108" spans="1:29" ht="20.25" customHeight="1">
      <c r="A4108" s="217"/>
      <c r="E4108" s="187">
        <v>72.8</v>
      </c>
      <c r="F4108" s="178">
        <v>2017</v>
      </c>
      <c r="G4108" s="188">
        <v>1984689000</v>
      </c>
      <c r="H4108" s="188">
        <v>207271000</v>
      </c>
      <c r="I4108" s="188">
        <v>176613000</v>
      </c>
      <c r="J4108" s="188">
        <v>147025000</v>
      </c>
      <c r="K4108" s="188">
        <v>-27221000</v>
      </c>
      <c r="L4108" s="188">
        <v>832580000</v>
      </c>
      <c r="M4108" s="194">
        <f>L4108/P4108</f>
        <v>24.959873925325855</v>
      </c>
      <c r="N4108" s="190">
        <f>J4108/L4108</f>
        <v>0.17658963703187683</v>
      </c>
      <c r="O4108" s="190">
        <f>(I4108*0.7)/(K4108+L4108)</f>
        <v>0.15350806286389049</v>
      </c>
      <c r="P4108" s="188">
        <v>33356739</v>
      </c>
      <c r="Q4108" s="211">
        <f>P4108*E4108</f>
        <v>2428370599.1999998</v>
      </c>
      <c r="R4108" s="195">
        <f>Q4108/L4108</f>
        <v>2.9166813990247182</v>
      </c>
      <c r="S4108" s="197">
        <f>Q4108/H4108</f>
        <v>11.715920698988279</v>
      </c>
      <c r="T4108" s="180"/>
      <c r="U4108" s="189">
        <f>IFERROR(IF(Tableau3[[#This Row],[Dettes]]=0,"",(Tableau3[[#This Row],[Dettes]]/Tableau3[[#This Row],[EBE]])),"")</f>
        <v>-0.13133048038558215</v>
      </c>
      <c r="V4108" s="190" t="str">
        <f>IFERROR(Tableau3[[#This Row],[Fonds propres]]/Tableau3[[#This Row],[Total Bilan]],"")</f>
        <v/>
      </c>
      <c r="W4108" s="180"/>
      <c r="Y4108" s="180">
        <v>28000</v>
      </c>
      <c r="Z4108" s="192">
        <f>IFERROR(Tableau3[[#This Row],[Chiffre d''affaires]]/Tableau3[[#This Row],[Salariés]],"")</f>
        <v>70881.75</v>
      </c>
      <c r="AA4108" s="211"/>
      <c r="AB4108" s="211"/>
      <c r="AC4108" s="177" t="s">
        <v>2881</v>
      </c>
    </row>
    <row r="4109" spans="1:29" ht="20.25" customHeight="1">
      <c r="A4109" s="217"/>
      <c r="E4109" s="187"/>
      <c r="G4109" s="202">
        <f>(G4108/G4110)-1</f>
        <v>0.13520688026009187</v>
      </c>
      <c r="H4109" s="202">
        <f>(H4108/H4110)-1</f>
        <v>7.5514482300563568E-2</v>
      </c>
      <c r="I4109" s="202">
        <f>(I4108/I4110)-1</f>
        <v>0.12214322474887074</v>
      </c>
      <c r="J4109" s="202">
        <f>(J4108/J4110)-1</f>
        <v>0.30799341666295987</v>
      </c>
      <c r="K4109" s="188"/>
      <c r="L4109" s="188"/>
      <c r="M4109" s="188"/>
      <c r="N4109" s="178"/>
      <c r="O4109" s="178"/>
      <c r="P4109" s="178"/>
      <c r="Q4109" s="178"/>
      <c r="R4109" s="178"/>
      <c r="S4109" s="178"/>
      <c r="T4109" s="180"/>
      <c r="U4109" s="189" t="str">
        <f>IFERROR(IF(Tableau3[[#This Row],[Dettes]]=0,"",(Tableau3[[#This Row],[Dettes]]/Tableau3[[#This Row],[EBE]])),"")</f>
        <v/>
      </c>
      <c r="V4109" s="190" t="str">
        <f>IFERROR(Tableau3[[#This Row],[Fonds propres]]/Tableau3[[#This Row],[Total Bilan]],"")</f>
        <v/>
      </c>
      <c r="W4109" s="180"/>
      <c r="Y4109" s="180"/>
      <c r="Z4109" s="192" t="str">
        <f>IFERROR(Tableau3[[#This Row],[Chiffre d''affaires]]/Tableau3[[#This Row],[Salariés]],"")</f>
        <v/>
      </c>
      <c r="AA4109" s="177"/>
      <c r="AC4109" s="177" t="s">
        <v>2882</v>
      </c>
    </row>
    <row r="4110" spans="1:29" ht="20.25" customHeight="1">
      <c r="A4110" s="217"/>
      <c r="E4110" s="187">
        <v>66.3</v>
      </c>
      <c r="F4110" s="178">
        <v>2016</v>
      </c>
      <c r="G4110" s="188">
        <v>1748306000</v>
      </c>
      <c r="H4110" s="188">
        <v>192718000</v>
      </c>
      <c r="I4110" s="188">
        <v>157389000</v>
      </c>
      <c r="J4110" s="188">
        <v>112405000</v>
      </c>
      <c r="K4110" s="188">
        <v>-4578000</v>
      </c>
      <c r="L4110" s="188">
        <v>738747000</v>
      </c>
      <c r="M4110" s="194">
        <f>L4110/P4110</f>
        <v>22.234827276000022</v>
      </c>
      <c r="N4110" s="190">
        <f>J4110/L4110</f>
        <v>0.15215628625226227</v>
      </c>
      <c r="O4110" s="190">
        <f>(I4110*0.7)/(K4110+L4110)</f>
        <v>0.15006394985350785</v>
      </c>
      <c r="P4110" s="188">
        <v>33224769</v>
      </c>
      <c r="Q4110" s="211">
        <f>P4110*E4110</f>
        <v>2202802184.6999998</v>
      </c>
      <c r="R4110" s="195">
        <f>Q4110/L4110</f>
        <v>2.981808636380249</v>
      </c>
      <c r="S4110" s="197">
        <f>Q4110/H4110</f>
        <v>11.430183920028227</v>
      </c>
      <c r="T4110" s="180">
        <v>112400000</v>
      </c>
      <c r="U4110" s="189">
        <f>IFERROR(IF(Tableau3[[#This Row],[Dettes]]=0,"",(Tableau3[[#This Row],[Dettes]]/Tableau3[[#This Row],[EBE]])),"")</f>
        <v>-2.3754916510133978E-2</v>
      </c>
      <c r="V4110" s="190" t="str">
        <f>IFERROR(Tableau3[[#This Row],[Fonds propres]]/Tableau3[[#This Row],[Total Bilan]],"")</f>
        <v/>
      </c>
      <c r="W4110" s="180"/>
      <c r="Y4110" s="180">
        <v>24000</v>
      </c>
      <c r="Z4110" s="192">
        <f>IFERROR(Tableau3[[#This Row],[Chiffre d''affaires]]/Tableau3[[#This Row],[Salariés]],"")</f>
        <v>72846.083333333328</v>
      </c>
      <c r="AA4110" s="211"/>
      <c r="AB4110" s="211">
        <v>119000000</v>
      </c>
      <c r="AC4110" s="177" t="s">
        <v>4598</v>
      </c>
    </row>
    <row r="4111" spans="1:29" ht="20.25" customHeight="1">
      <c r="A4111" s="217"/>
      <c r="E4111" s="187"/>
      <c r="G4111" s="202">
        <f>(G4110/G4112)-1</f>
        <v>0.13459614019284749</v>
      </c>
      <c r="H4111" s="202">
        <f>(H4110/H4112)-1</f>
        <v>0.17645837911752493</v>
      </c>
      <c r="I4111" s="202">
        <f>(I4110/I4112)-1</f>
        <v>7.0178420866537916E-2</v>
      </c>
      <c r="J4111" s="202">
        <f>(J4110/J4112)-1</f>
        <v>5.78099414654345E-2</v>
      </c>
      <c r="K4111" s="188"/>
      <c r="L4111" s="188"/>
      <c r="M4111" s="188"/>
      <c r="N4111" s="178"/>
      <c r="O4111" s="178"/>
      <c r="P4111" s="178"/>
      <c r="Q4111" s="178"/>
      <c r="R4111" s="178"/>
      <c r="S4111" s="178"/>
      <c r="T4111" s="180"/>
      <c r="U4111" s="189" t="str">
        <f>IFERROR(IF(Tableau3[[#This Row],[Dettes]]=0,"",(Tableau3[[#This Row],[Dettes]]/Tableau3[[#This Row],[EBE]])),"")</f>
        <v/>
      </c>
      <c r="V4111" s="190" t="str">
        <f>IFERROR(Tableau3[[#This Row],[Fonds propres]]/Tableau3[[#This Row],[Total Bilan]],"")</f>
        <v/>
      </c>
      <c r="W4111" s="180"/>
      <c r="Y4111" s="180"/>
      <c r="Z4111" s="192" t="str">
        <f>IFERROR(Tableau3[[#This Row],[Chiffre d''affaires]]/Tableau3[[#This Row],[Salariés]],"")</f>
        <v/>
      </c>
      <c r="AA4111" s="177"/>
      <c r="AC4111" s="177" t="s">
        <v>4597</v>
      </c>
    </row>
    <row r="4112" spans="1:29" ht="20.25" customHeight="1">
      <c r="A4112" s="217"/>
      <c r="E4112" s="187">
        <v>53.54</v>
      </c>
      <c r="F4112" s="178">
        <v>2015</v>
      </c>
      <c r="G4112" s="188">
        <v>1540906000</v>
      </c>
      <c r="H4112" s="188">
        <v>163812000</v>
      </c>
      <c r="I4112" s="188">
        <v>147068000</v>
      </c>
      <c r="J4112" s="188">
        <v>106262000</v>
      </c>
      <c r="K4112" s="188">
        <v>-17390000</v>
      </c>
      <c r="L4112" s="188">
        <v>648034000</v>
      </c>
      <c r="M4112" s="194">
        <f>L4112/P4112</f>
        <v>19.521902365002585</v>
      </c>
      <c r="N4112" s="190">
        <f>J4112/L4112</f>
        <v>0.16397596422409935</v>
      </c>
      <c r="O4112" s="190">
        <f>(I4112*0.7)/(K4112+L4112)</f>
        <v>0.16324201926919149</v>
      </c>
      <c r="P4112" s="188">
        <v>33195228</v>
      </c>
      <c r="Q4112" s="211">
        <f>P4112*E4112</f>
        <v>1777272507.1199999</v>
      </c>
      <c r="R4112" s="195">
        <f>Q4112/L4112</f>
        <v>2.7425605865124361</v>
      </c>
      <c r="S4112" s="197">
        <f>Q4112/H4112</f>
        <v>10.849464673650282</v>
      </c>
      <c r="T4112" s="180"/>
      <c r="U4112" s="189">
        <f>IFERROR(IF(Tableau3[[#This Row],[Dettes]]=0,"",(Tableau3[[#This Row],[Dettes]]/Tableau3[[#This Row],[EBE]])),"")</f>
        <v>-0.10615827900275926</v>
      </c>
      <c r="V4112" s="190" t="str">
        <f>IFERROR(Tableau3[[#This Row],[Fonds propres]]/Tableau3[[#This Row],[Total Bilan]],"")</f>
        <v/>
      </c>
      <c r="W4112" s="180"/>
      <c r="Y4112" s="180">
        <v>20400</v>
      </c>
      <c r="Z4112" s="192">
        <f>IFERROR(Tableau3[[#This Row],[Chiffre d''affaires]]/Tableau3[[#This Row],[Salariés]],"")</f>
        <v>75534.607843137259</v>
      </c>
      <c r="AA4112" s="211"/>
      <c r="AB4112" s="211"/>
      <c r="AC4112" s="177" t="s">
        <v>4596</v>
      </c>
    </row>
    <row r="4113" spans="1:29" ht="20.25" customHeight="1">
      <c r="A4113" s="217"/>
      <c r="E4113" s="187"/>
      <c r="G4113" s="202">
        <f>(G4112/G4114)-1</f>
        <v>0.12215566071399953</v>
      </c>
      <c r="H4113" s="202">
        <f>(H4112/H4114)-1</f>
        <v>0.15377626268673539</v>
      </c>
      <c r="I4113" s="202">
        <f>(I4112/I4114)-1</f>
        <v>0.25129112674738163</v>
      </c>
      <c r="J4113" s="202">
        <f>(J4112/J4114)-1</f>
        <v>0.33684753481701413</v>
      </c>
      <c r="K4113" s="188"/>
      <c r="L4113" s="188"/>
      <c r="M4113" s="188"/>
      <c r="N4113" s="178"/>
      <c r="O4113" s="178"/>
      <c r="P4113" s="178"/>
      <c r="Q4113" s="178"/>
      <c r="R4113" s="178"/>
      <c r="S4113" s="178"/>
      <c r="T4113" s="180"/>
      <c r="U4113" s="189" t="str">
        <f>IFERROR(IF(Tableau3[[#This Row],[Dettes]]=0,"",(Tableau3[[#This Row],[Dettes]]/Tableau3[[#This Row],[EBE]])),"")</f>
        <v/>
      </c>
      <c r="V4113" s="190" t="str">
        <f>IFERROR(Tableau3[[#This Row],[Fonds propres]]/Tableau3[[#This Row],[Total Bilan]],"")</f>
        <v/>
      </c>
      <c r="W4113" s="180"/>
      <c r="Y4113" s="180"/>
      <c r="Z4113" s="192" t="str">
        <f>IFERROR(Tableau3[[#This Row],[Chiffre d''affaires]]/Tableau3[[#This Row],[Salariés]],"")</f>
        <v/>
      </c>
      <c r="AA4113" s="177"/>
      <c r="AC4113" s="177" t="s">
        <v>4665</v>
      </c>
    </row>
    <row r="4114" spans="1:29" ht="20.25" customHeight="1">
      <c r="A4114" s="217"/>
      <c r="E4114" s="187">
        <v>34.82</v>
      </c>
      <c r="F4114" s="178">
        <v>2014</v>
      </c>
      <c r="G4114" s="188">
        <v>1373166000</v>
      </c>
      <c r="H4114" s="188">
        <v>141979000</v>
      </c>
      <c r="I4114" s="188">
        <v>117533000</v>
      </c>
      <c r="J4114" s="188">
        <v>79487000</v>
      </c>
      <c r="K4114" s="188">
        <v>-25908000</v>
      </c>
      <c r="L4114" s="188">
        <v>561329000</v>
      </c>
      <c r="M4114" s="194">
        <f>L4114/P4114</f>
        <v>16.947387104848971</v>
      </c>
      <c r="N4114" s="190">
        <f>J4114/L4114</f>
        <v>0.14160501239023818</v>
      </c>
      <c r="O4114" s="190">
        <f>(I4114*0.7)/(K4114+L4114)</f>
        <v>0.15366057737742822</v>
      </c>
      <c r="P4114" s="188">
        <v>33121861</v>
      </c>
      <c r="Q4114" s="211">
        <f>P4114*E4114</f>
        <v>1153303200.02</v>
      </c>
      <c r="R4114" s="195">
        <f>Q4114/L4114</f>
        <v>2.0545940081841487</v>
      </c>
      <c r="S4114" s="197">
        <f>Q4114/H4114</f>
        <v>8.1230548181069029</v>
      </c>
      <c r="T4114" s="180"/>
      <c r="U4114" s="189">
        <f>IFERROR(IF(Tableau3[[#This Row],[Dettes]]=0,"",(Tableau3[[#This Row],[Dettes]]/Tableau3[[#This Row],[EBE]])),"")</f>
        <v>-0.18247769036265926</v>
      </c>
      <c r="V4114" s="190" t="str">
        <f>IFERROR(Tableau3[[#This Row],[Fonds propres]]/Tableau3[[#This Row],[Total Bilan]],"")</f>
        <v/>
      </c>
      <c r="W4114" s="180"/>
      <c r="Y4114" s="180">
        <v>18400</v>
      </c>
      <c r="Z4114" s="192">
        <f>IFERROR(Tableau3[[#This Row],[Chiffre d''affaires]]/Tableau3[[#This Row],[Salariés]],"")</f>
        <v>74628.586956521744</v>
      </c>
      <c r="AA4114" s="211"/>
      <c r="AB4114" s="211"/>
      <c r="AC4114" s="177" t="s">
        <v>2883</v>
      </c>
    </row>
    <row r="4115" spans="1:29" ht="20.25" customHeight="1">
      <c r="A4115" s="217"/>
      <c r="E4115" s="187"/>
      <c r="G4115" s="202">
        <f>(G4114/G4116)-1</f>
        <v>0.1290737945120326</v>
      </c>
      <c r="H4115" s="202">
        <f>(H4114/H4116)-1</f>
        <v>0.10831043527134199</v>
      </c>
      <c r="I4115" s="202">
        <f>(I4114/I4116)-1</f>
        <v>6.1111913618143054E-2</v>
      </c>
      <c r="J4115" s="202">
        <f>(J4114/J4116)-1</f>
        <v>7.7351585795608635E-2</v>
      </c>
      <c r="K4115" s="188"/>
      <c r="L4115" s="188"/>
      <c r="M4115" s="188"/>
      <c r="N4115" s="178"/>
      <c r="O4115" s="178"/>
      <c r="P4115" s="188"/>
      <c r="Q4115" s="178"/>
      <c r="R4115" s="178"/>
      <c r="S4115" s="178"/>
      <c r="T4115" s="180"/>
      <c r="U4115" s="189" t="str">
        <f>IFERROR(IF(Tableau3[[#This Row],[Dettes]]=0,"",(Tableau3[[#This Row],[Dettes]]/Tableau3[[#This Row],[EBE]])),"")</f>
        <v/>
      </c>
      <c r="V4115" s="190" t="str">
        <f>IFERROR(Tableau3[[#This Row],[Fonds propres]]/Tableau3[[#This Row],[Total Bilan]],"")</f>
        <v/>
      </c>
      <c r="W4115" s="180"/>
      <c r="Y4115" s="180"/>
      <c r="Z4115" s="192" t="str">
        <f>IFERROR(Tableau3[[#This Row],[Chiffre d''affaires]]/Tableau3[[#This Row],[Salariés]],"")</f>
        <v/>
      </c>
      <c r="AA4115" s="177"/>
      <c r="AC4115" s="177" t="s">
        <v>4856</v>
      </c>
    </row>
    <row r="4116" spans="1:29" ht="20.25" customHeight="1">
      <c r="A4116" s="217"/>
      <c r="E4116" s="187">
        <v>33.799999999999997</v>
      </c>
      <c r="F4116" s="178">
        <v>2013</v>
      </c>
      <c r="G4116" s="188">
        <v>1216188000</v>
      </c>
      <c r="H4116" s="188">
        <v>128104000</v>
      </c>
      <c r="I4116" s="188">
        <v>110764000</v>
      </c>
      <c r="J4116" s="188">
        <v>73780000</v>
      </c>
      <c r="K4116" s="188">
        <v>-74395000</v>
      </c>
      <c r="L4116" s="188">
        <v>502348000</v>
      </c>
      <c r="M4116" s="194">
        <f>L4116/P4116</f>
        <v>15.409291396458521</v>
      </c>
      <c r="N4116" s="190">
        <f>J4116/L4116</f>
        <v>0.14687029708488936</v>
      </c>
      <c r="O4116" s="190">
        <f>(I4116*0.7)/(K4116+L4116)</f>
        <v>0.18117597025841622</v>
      </c>
      <c r="P4116" s="188">
        <v>32600331</v>
      </c>
      <c r="Q4116" s="211">
        <f>P4116*E4116</f>
        <v>1101891187.8</v>
      </c>
      <c r="R4116" s="195">
        <f>Q4116/L4116</f>
        <v>2.1934817851369965</v>
      </c>
      <c r="S4116" s="197">
        <f>Q4116/H4116</f>
        <v>8.6015361565602948</v>
      </c>
      <c r="T4116" s="180"/>
      <c r="U4116" s="189">
        <f>IFERROR(IF(Tableau3[[#This Row],[Dettes]]=0,"",(Tableau3[[#This Row],[Dettes]]/Tableau3[[#This Row],[EBE]])),"")</f>
        <v>-0.5807390869918192</v>
      </c>
      <c r="V4116" s="190" t="str">
        <f>IFERROR(Tableau3[[#This Row],[Fonds propres]]/Tableau3[[#This Row],[Total Bilan]],"")</f>
        <v/>
      </c>
      <c r="W4116" s="180"/>
      <c r="Y4116" s="180">
        <v>16000</v>
      </c>
      <c r="Z4116" s="192">
        <f>IFERROR(Tableau3[[#This Row],[Chiffre d''affaires]]/Tableau3[[#This Row],[Salariés]],"")</f>
        <v>76011.75</v>
      </c>
      <c r="AA4116" s="211"/>
      <c r="AB4116" s="211"/>
      <c r="AC4116" s="177" t="s">
        <v>2884</v>
      </c>
    </row>
    <row r="4117" spans="1:29" ht="20.25" customHeight="1">
      <c r="A4117" s="217"/>
      <c r="E4117" s="187"/>
      <c r="G4117" s="202">
        <f>(G4116/G4118)-1</f>
        <v>1.5174343431476833E-2</v>
      </c>
      <c r="H4117" s="202">
        <f>(H4116/H4118)-1</f>
        <v>-6.4913410009228567E-3</v>
      </c>
      <c r="I4117" s="202">
        <f>(I4116/I4118)-1</f>
        <v>-4.8255714040213116E-2</v>
      </c>
      <c r="J4117" s="202">
        <f>(J4116/J4118)-1</f>
        <v>-5.6135503019138278E-2</v>
      </c>
      <c r="K4117" s="188"/>
      <c r="L4117" s="188"/>
      <c r="M4117" s="188"/>
      <c r="N4117" s="178"/>
      <c r="O4117" s="178"/>
      <c r="P4117" s="188"/>
      <c r="Q4117" s="178"/>
      <c r="R4117" s="178"/>
      <c r="S4117" s="178"/>
      <c r="T4117" s="180"/>
      <c r="U4117" s="189" t="str">
        <f>IFERROR(IF(Tableau3[[#This Row],[Dettes]]=0,"",(Tableau3[[#This Row],[Dettes]]/Tableau3[[#This Row],[EBE]])),"")</f>
        <v/>
      </c>
      <c r="V4117" s="190" t="str">
        <f>IFERROR(Tableau3[[#This Row],[Fonds propres]]/Tableau3[[#This Row],[Total Bilan]],"")</f>
        <v/>
      </c>
      <c r="W4117" s="180"/>
      <c r="Y4117" s="180"/>
      <c r="Z4117" s="192" t="str">
        <f>IFERROR(Tableau3[[#This Row],[Chiffre d''affaires]]/Tableau3[[#This Row],[Salariés]],"")</f>
        <v/>
      </c>
      <c r="AA4117" s="177"/>
      <c r="AC4117" s="177" t="s">
        <v>875</v>
      </c>
    </row>
    <row r="4118" spans="1:29" ht="20.25" customHeight="1">
      <c r="A4118" s="217"/>
      <c r="E4118" s="187">
        <v>25.2</v>
      </c>
      <c r="F4118" s="178">
        <v>2012</v>
      </c>
      <c r="G4118" s="188">
        <v>1198009000</v>
      </c>
      <c r="H4118" s="188">
        <v>128941000</v>
      </c>
      <c r="I4118" s="188">
        <v>116380000</v>
      </c>
      <c r="J4118" s="188">
        <v>78168000</v>
      </c>
      <c r="K4118" s="188">
        <v>-58366000</v>
      </c>
      <c r="L4118" s="188">
        <v>446655000</v>
      </c>
      <c r="M4118" s="194">
        <f>L4118/P4118</f>
        <v>13.982554450271843</v>
      </c>
      <c r="N4118" s="190">
        <f>J4118/L4118</f>
        <v>0.17500755616751185</v>
      </c>
      <c r="O4118" s="190">
        <f>(I4118*0.7)/(K4118+L4118)</f>
        <v>0.20980764327601348</v>
      </c>
      <c r="P4118" s="188">
        <v>31943734</v>
      </c>
      <c r="Q4118" s="211">
        <f>P4118*E4118</f>
        <v>804982096.79999995</v>
      </c>
      <c r="R4118" s="195">
        <f>Q4118/L4118</f>
        <v>1.8022457977633743</v>
      </c>
      <c r="S4118" s="197">
        <f>Q4118/H4118</f>
        <v>6.2430266307846223</v>
      </c>
      <c r="T4118" s="180"/>
      <c r="U4118" s="189">
        <f>IFERROR(IF(Tableau3[[#This Row],[Dettes]]=0,"",(Tableau3[[#This Row],[Dettes]]/Tableau3[[#This Row],[EBE]])),"")</f>
        <v>-0.45265664140963696</v>
      </c>
      <c r="V4118" s="190" t="str">
        <f>IFERROR(Tableau3[[#This Row],[Fonds propres]]/Tableau3[[#This Row],[Total Bilan]],"")</f>
        <v/>
      </c>
      <c r="W4118" s="180"/>
      <c r="Y4118" s="180">
        <v>15950</v>
      </c>
      <c r="Z4118" s="192">
        <f>IFERROR(Tableau3[[#This Row],[Chiffre d''affaires]]/Tableau3[[#This Row],[Salariés]],"")</f>
        <v>75110.282131661443</v>
      </c>
      <c r="AA4118" s="211"/>
      <c r="AB4118" s="211"/>
      <c r="AC4118" s="177" t="s">
        <v>4858</v>
      </c>
    </row>
    <row r="4119" spans="1:29" ht="20.25" customHeight="1">
      <c r="A4119" s="217"/>
      <c r="E4119" s="187"/>
      <c r="G4119" s="202">
        <f>(G4118/G4120)-1</f>
        <v>0.12419545089001272</v>
      </c>
      <c r="H4119" s="202">
        <f>(H4118/H4120)-1</f>
        <v>0.10886465661065348</v>
      </c>
      <c r="I4119" s="202">
        <f>(I4118/I4120)-1</f>
        <v>0.22078630470356231</v>
      </c>
      <c r="J4119" s="202">
        <f>(J4118/J4120)-1</f>
        <v>0.31260075228371842</v>
      </c>
      <c r="K4119" s="188"/>
      <c r="L4119" s="188"/>
      <c r="M4119" s="188"/>
      <c r="N4119" s="178"/>
      <c r="O4119" s="178"/>
      <c r="P4119" s="188"/>
      <c r="Q4119" s="178"/>
      <c r="R4119" s="178"/>
      <c r="S4119" s="178"/>
      <c r="T4119" s="180"/>
      <c r="U4119" s="189" t="str">
        <f>IFERROR(IF(Tableau3[[#This Row],[Dettes]]=0,"",(Tableau3[[#This Row],[Dettes]]/Tableau3[[#This Row],[EBE]])),"")</f>
        <v/>
      </c>
      <c r="V4119" s="190" t="str">
        <f>IFERROR(Tableau3[[#This Row],[Fonds propres]]/Tableau3[[#This Row],[Total Bilan]],"")</f>
        <v/>
      </c>
      <c r="W4119" s="180"/>
      <c r="Y4119" s="180"/>
      <c r="Z4119" s="192" t="str">
        <f>IFERROR(Tableau3[[#This Row],[Chiffre d''affaires]]/Tableau3[[#This Row],[Salariés]],"")</f>
        <v/>
      </c>
      <c r="AA4119" s="177"/>
      <c r="AC4119" s="177" t="s">
        <v>81</v>
      </c>
    </row>
    <row r="4120" spans="1:29" ht="20.25" customHeight="1">
      <c r="A4120" s="217"/>
      <c r="E4120" s="187">
        <v>21.14</v>
      </c>
      <c r="F4120" s="178">
        <v>2011</v>
      </c>
      <c r="G4120" s="188">
        <v>1065659000</v>
      </c>
      <c r="H4120" s="188">
        <v>116282000</v>
      </c>
      <c r="I4120" s="188">
        <v>95332000</v>
      </c>
      <c r="J4120" s="188">
        <v>59552000</v>
      </c>
      <c r="K4120" s="188">
        <v>-44079000</v>
      </c>
      <c r="L4120" s="188">
        <v>398838000</v>
      </c>
      <c r="M4120" s="194">
        <f>L4120/P4120</f>
        <v>12.543842260046628</v>
      </c>
      <c r="N4120" s="190">
        <f>J4120/L4120</f>
        <v>0.14931375646252362</v>
      </c>
      <c r="O4120" s="190">
        <f>(I4120*0.7)/(K4120+L4120)</f>
        <v>0.18810629187702071</v>
      </c>
      <c r="P4120" s="188">
        <v>31795521</v>
      </c>
      <c r="Q4120" s="211">
        <f>P4120*E4120</f>
        <v>672157313.94000006</v>
      </c>
      <c r="R4120" s="195">
        <f>Q4120/L4120</f>
        <v>1.6852890495389108</v>
      </c>
      <c r="S4120" s="197">
        <f>Q4120/H4120</f>
        <v>5.7804072336217134</v>
      </c>
      <c r="T4120" s="180"/>
      <c r="U4120" s="189">
        <f>IFERROR(IF(Tableau3[[#This Row],[Dettes]]=0,"",(Tableau3[[#This Row],[Dettes]]/Tableau3[[#This Row],[EBE]])),"")</f>
        <v>-0.37906984743984451</v>
      </c>
      <c r="V4120" s="190" t="str">
        <f>IFERROR(Tableau3[[#This Row],[Fonds propres]]/Tableau3[[#This Row],[Total Bilan]],"")</f>
        <v/>
      </c>
      <c r="W4120" s="180"/>
      <c r="Y4120" s="180">
        <v>13100</v>
      </c>
      <c r="Z4120" s="192">
        <f>IFERROR(Tableau3[[#This Row],[Chiffre d''affaires]]/Tableau3[[#This Row],[Salariés]],"")</f>
        <v>81348.015267175579</v>
      </c>
      <c r="AA4120" s="211"/>
      <c r="AB4120" s="211"/>
      <c r="AC4120" s="177" t="s">
        <v>2885</v>
      </c>
    </row>
    <row r="4121" spans="1:29" ht="20.25" customHeight="1">
      <c r="A4121" s="217"/>
      <c r="E4121" s="187"/>
      <c r="G4121" s="202">
        <f>(G4120/G4122)-1</f>
        <v>0.1626647726404864</v>
      </c>
      <c r="H4121" s="202">
        <f>(H4120/H4122)-1</f>
        <v>0.16929791042374753</v>
      </c>
      <c r="I4121" s="202">
        <f>(I4120/I4122)-1</f>
        <v>7.9442003713936282E-2</v>
      </c>
      <c r="J4121" s="202">
        <f>(J4120/J4122)-1</f>
        <v>0.11089969593523241</v>
      </c>
      <c r="K4121" s="188"/>
      <c r="L4121" s="188"/>
      <c r="M4121" s="188"/>
      <c r="N4121" s="178"/>
      <c r="O4121" s="178"/>
      <c r="P4121" s="188"/>
      <c r="Q4121" s="178"/>
      <c r="R4121" s="178"/>
      <c r="S4121" s="178"/>
      <c r="T4121" s="180"/>
      <c r="U4121" s="189" t="str">
        <f>IFERROR(IF(Tableau3[[#This Row],[Dettes]]=0,"",(Tableau3[[#This Row],[Dettes]]/Tableau3[[#This Row],[EBE]])),"")</f>
        <v/>
      </c>
      <c r="V4121" s="190" t="str">
        <f>IFERROR(Tableau3[[#This Row],[Fonds propres]]/Tableau3[[#This Row],[Total Bilan]],"")</f>
        <v/>
      </c>
      <c r="W4121" s="180"/>
      <c r="Y4121" s="180"/>
      <c r="Z4121" s="192" t="str">
        <f>IFERROR(Tableau3[[#This Row],[Chiffre d''affaires]]/Tableau3[[#This Row],[Salariés]],"")</f>
        <v/>
      </c>
      <c r="AA4121" s="177"/>
    </row>
    <row r="4122" spans="1:29" ht="20.25" customHeight="1">
      <c r="A4122" s="217"/>
      <c r="E4122" s="187">
        <v>25.4</v>
      </c>
      <c r="F4122" s="178">
        <v>2010</v>
      </c>
      <c r="G4122" s="188">
        <v>916566000</v>
      </c>
      <c r="H4122" s="188">
        <v>99446000</v>
      </c>
      <c r="I4122" s="188">
        <v>88316000</v>
      </c>
      <c r="J4122" s="188">
        <v>53607000</v>
      </c>
      <c r="K4122" s="188">
        <v>-41699000</v>
      </c>
      <c r="L4122" s="188">
        <v>367743000</v>
      </c>
      <c r="M4122" s="194">
        <f>L4122/P4122</f>
        <v>11.650391132697139</v>
      </c>
      <c r="N4122" s="190">
        <f>J4122/L4122</f>
        <v>0.14577299907816058</v>
      </c>
      <c r="O4122" s="190">
        <f>(I4122*0.7)/(K4122+L4122)</f>
        <v>0.18960999128951919</v>
      </c>
      <c r="P4122" s="188">
        <v>31564863</v>
      </c>
      <c r="Q4122" s="211">
        <f>P4122*E4122</f>
        <v>801747520.19999993</v>
      </c>
      <c r="R4122" s="195">
        <f>Q4122/L4122</f>
        <v>2.1801843140454067</v>
      </c>
      <c r="S4122" s="197">
        <f>Q4122/H4122</f>
        <v>8.0621394545783627</v>
      </c>
      <c r="T4122" s="180"/>
      <c r="U4122" s="189">
        <f>IFERROR(IF(Tableau3[[#This Row],[Dettes]]=0,"",(Tableau3[[#This Row],[Dettes]]/Tableau3[[#This Row],[EBE]])),"")</f>
        <v>-0.41931299398668626</v>
      </c>
      <c r="V4122" s="190" t="str">
        <f>IFERROR(Tableau3[[#This Row],[Fonds propres]]/Tableau3[[#This Row],[Total Bilan]],"")</f>
        <v/>
      </c>
      <c r="W4122" s="180"/>
      <c r="Y4122" s="180">
        <v>12700</v>
      </c>
      <c r="Z4122" s="192">
        <f>IFERROR(Tableau3[[#This Row],[Chiffre d''affaires]]/Tableau3[[#This Row],[Salariés]],"")</f>
        <v>72170.551181102361</v>
      </c>
      <c r="AA4122" s="211"/>
      <c r="AB4122" s="211"/>
    </row>
    <row r="4123" spans="1:29" ht="20.25" customHeight="1">
      <c r="A4123" s="217"/>
      <c r="E4123" s="187"/>
      <c r="G4123" s="202">
        <f>(G4122/G4124)-1</f>
        <v>6.9409166270941736E-2</v>
      </c>
      <c r="H4123" s="202">
        <f>(H4122/H4124)-1</f>
        <v>0.37853310969101317</v>
      </c>
      <c r="I4123" s="202">
        <f>(I4122/I4124)-1</f>
        <v>1.7328877336303998</v>
      </c>
      <c r="J4123" s="202">
        <f>(J4122/J4124)-1</f>
        <v>2.0925925925925926</v>
      </c>
      <c r="K4123" s="178"/>
      <c r="L4123" s="178"/>
      <c r="M4123" s="178"/>
      <c r="N4123" s="178"/>
      <c r="O4123" s="178"/>
      <c r="P4123" s="178"/>
      <c r="Q4123" s="178"/>
      <c r="R4123" s="178"/>
      <c r="S4123" s="178"/>
      <c r="T4123" s="180"/>
      <c r="U4123" s="189" t="str">
        <f>IFERROR(IF(Tableau3[[#This Row],[Dettes]]=0,"",(Tableau3[[#This Row],[Dettes]]/Tableau3[[#This Row],[EBE]])),"")</f>
        <v/>
      </c>
      <c r="V4123" s="190" t="str">
        <f>IFERROR(Tableau3[[#This Row],[Fonds propres]]/Tableau3[[#This Row],[Total Bilan]],"")</f>
        <v/>
      </c>
      <c r="W4123" s="180"/>
      <c r="Y4123" s="180"/>
      <c r="Z4123" s="192" t="str">
        <f>IFERROR(Tableau3[[#This Row],[Chiffre d''affaires]]/Tableau3[[#This Row],[Salariés]],"")</f>
        <v/>
      </c>
      <c r="AA4123" s="177"/>
    </row>
    <row r="4124" spans="1:29" ht="20.25" customHeight="1">
      <c r="A4124" s="217"/>
      <c r="E4124" s="187">
        <v>19.5</v>
      </c>
      <c r="F4124" s="178">
        <v>2009</v>
      </c>
      <c r="G4124" s="188">
        <v>857077000</v>
      </c>
      <c r="H4124" s="188">
        <v>72139000</v>
      </c>
      <c r="I4124" s="188">
        <v>32316000</v>
      </c>
      <c r="J4124" s="188">
        <v>17334000</v>
      </c>
      <c r="K4124" s="188">
        <v>2690000</v>
      </c>
      <c r="L4124" s="188">
        <v>335737000</v>
      </c>
      <c r="M4124" s="194">
        <f>L4124/P4124</f>
        <v>10.567097910132661</v>
      </c>
      <c r="N4124" s="190">
        <f>J4124/L4124</f>
        <v>5.1629698245948465E-2</v>
      </c>
      <c r="O4124" s="190">
        <f>(I4124*0.7)/(K4124+L4124)</f>
        <v>6.6842184577471653E-2</v>
      </c>
      <c r="P4124" s="188">
        <v>31771921</v>
      </c>
      <c r="Q4124" s="211">
        <f>P4124*E4124</f>
        <v>619552459.5</v>
      </c>
      <c r="R4124" s="195">
        <f>Q4124/L4124</f>
        <v>1.8453505556432566</v>
      </c>
      <c r="S4124" s="197">
        <f>Q4124/H4124</f>
        <v>8.5883150514978031</v>
      </c>
      <c r="T4124" s="180"/>
      <c r="U4124" s="189">
        <f>IFERROR(IF(Tableau3[[#This Row],[Dettes]]=0,"",(Tableau3[[#This Row],[Dettes]]/Tableau3[[#This Row],[EBE]])),"")</f>
        <v>3.7289122388721771E-2</v>
      </c>
      <c r="V4124" s="190" t="str">
        <f>IFERROR(Tableau3[[#This Row],[Fonds propres]]/Tableau3[[#This Row],[Total Bilan]],"")</f>
        <v/>
      </c>
      <c r="W4124" s="180"/>
      <c r="Y4124" s="180">
        <v>11300</v>
      </c>
      <c r="Z4124" s="192">
        <f>IFERROR(Tableau3[[#This Row],[Chiffre d''affaires]]/Tableau3[[#This Row],[Salariés]],"")</f>
        <v>75847.52212389381</v>
      </c>
      <c r="AA4124" s="211"/>
      <c r="AB4124" s="211"/>
    </row>
    <row r="4125" spans="1:29" ht="20.25" customHeight="1">
      <c r="A4125" s="217"/>
      <c r="E4125" s="187"/>
      <c r="G4125" s="202">
        <f>(G4124/G4126)-1</f>
        <v>1.2753401931266506E-2</v>
      </c>
      <c r="H4125" s="202">
        <f>(H4124/H4126)-1</f>
        <v>-0.29698676593837103</v>
      </c>
      <c r="I4125" s="202">
        <f>(I4124/I4126)-1</f>
        <v>-0.62836377018262102</v>
      </c>
      <c r="J4125" s="202">
        <f>(J4124/J4126)-1</f>
        <v>-0.68184571334177635</v>
      </c>
      <c r="K4125" s="178"/>
      <c r="L4125" s="178"/>
      <c r="M4125" s="178"/>
      <c r="N4125" s="178"/>
      <c r="O4125" s="178"/>
      <c r="P4125" s="188"/>
      <c r="Q4125" s="178"/>
      <c r="R4125" s="178"/>
      <c r="S4125" s="178"/>
      <c r="T4125" s="180"/>
      <c r="U4125" s="189" t="str">
        <f>IFERROR(IF(Tableau3[[#This Row],[Dettes]]=0,"",(Tableau3[[#This Row],[Dettes]]/Tableau3[[#This Row],[EBE]])),"")</f>
        <v/>
      </c>
      <c r="V4125" s="190" t="str">
        <f>IFERROR(Tableau3[[#This Row],[Fonds propres]]/Tableau3[[#This Row],[Total Bilan]],"")</f>
        <v/>
      </c>
      <c r="W4125" s="180"/>
      <c r="Y4125" s="180"/>
      <c r="Z4125" s="192" t="str">
        <f>IFERROR(Tableau3[[#This Row],[Chiffre d''affaires]]/Tableau3[[#This Row],[Salariés]],"")</f>
        <v/>
      </c>
      <c r="AA4125" s="177"/>
    </row>
    <row r="4126" spans="1:29" ht="20.25" customHeight="1">
      <c r="A4126" s="217"/>
      <c r="E4126" s="187">
        <v>15.15</v>
      </c>
      <c r="F4126" s="178">
        <v>2008</v>
      </c>
      <c r="G4126" s="188">
        <v>846284000</v>
      </c>
      <c r="H4126" s="188">
        <v>102614000</v>
      </c>
      <c r="I4126" s="188">
        <v>86956000</v>
      </c>
      <c r="J4126" s="188">
        <v>54483000</v>
      </c>
      <c r="K4126" s="188">
        <v>17718000</v>
      </c>
      <c r="L4126" s="188">
        <v>317549000</v>
      </c>
      <c r="M4126" s="194">
        <f>L4126/P4126</f>
        <v>10.009192852427217</v>
      </c>
      <c r="N4126" s="190">
        <f>J4126/L4126</f>
        <v>0.17157352093692627</v>
      </c>
      <c r="O4126" s="190">
        <f>(I4126*0.7)/(K4126+L4126)</f>
        <v>0.18155440290872646</v>
      </c>
      <c r="P4126" s="188">
        <v>31725735</v>
      </c>
      <c r="Q4126" s="211">
        <f>P4126*E4126</f>
        <v>480644885.25</v>
      </c>
      <c r="R4126" s="195">
        <f>Q4126/L4126</f>
        <v>1.5136085619857094</v>
      </c>
      <c r="S4126" s="197">
        <f>Q4126/H4126</f>
        <v>4.6840088608766832</v>
      </c>
      <c r="T4126" s="180"/>
      <c r="U4126" s="189">
        <f>IFERROR(IF(Tableau3[[#This Row],[Dettes]]=0,"",(Tableau3[[#This Row],[Dettes]]/Tableau3[[#This Row],[EBE]])),"")</f>
        <v>0.17266649774884518</v>
      </c>
      <c r="V4126" s="190" t="str">
        <f>IFERROR(Tableau3[[#This Row],[Fonds propres]]/Tableau3[[#This Row],[Total Bilan]],"")</f>
        <v/>
      </c>
      <c r="W4126" s="180"/>
      <c r="Y4126" s="180">
        <v>12500</v>
      </c>
      <c r="Z4126" s="192">
        <f>IFERROR(Tableau3[[#This Row],[Chiffre d''affaires]]/Tableau3[[#This Row],[Salariés]],"")</f>
        <v>67702.720000000001</v>
      </c>
      <c r="AA4126" s="211"/>
      <c r="AB4126" s="211"/>
    </row>
    <row r="4127" spans="1:29" ht="20.25" customHeight="1">
      <c r="A4127" s="217"/>
      <c r="E4127" s="187"/>
      <c r="G4127" s="202">
        <f>(G4126/G4128)-1</f>
        <v>0.20698389516740923</v>
      </c>
      <c r="H4127" s="202">
        <f>(H4126/H4128)-1</f>
        <v>0.14560353681954186</v>
      </c>
      <c r="I4127" s="202">
        <f>(I4126/I4128)-1</f>
        <v>0.18966248477966419</v>
      </c>
      <c r="J4127" s="202">
        <f>(J4126/J4128)-1</f>
        <v>0.27062198278877769</v>
      </c>
      <c r="K4127" s="188"/>
      <c r="L4127" s="188"/>
      <c r="M4127" s="178"/>
      <c r="N4127" s="178"/>
      <c r="O4127" s="178"/>
      <c r="P4127" s="188"/>
      <c r="Q4127" s="178"/>
      <c r="R4127" s="178"/>
      <c r="S4127" s="178"/>
      <c r="T4127" s="180"/>
      <c r="U4127" s="189" t="str">
        <f>IFERROR(IF(Tableau3[[#This Row],[Dettes]]=0,"",(Tableau3[[#This Row],[Dettes]]/Tableau3[[#This Row],[EBE]])),"")</f>
        <v/>
      </c>
      <c r="V4127" s="190" t="str">
        <f>IFERROR(Tableau3[[#This Row],[Fonds propres]]/Tableau3[[#This Row],[Total Bilan]],"")</f>
        <v/>
      </c>
      <c r="W4127" s="180"/>
      <c r="Y4127" s="180"/>
      <c r="Z4127" s="192" t="str">
        <f>IFERROR(Tableau3[[#This Row],[Chiffre d''affaires]]/Tableau3[[#This Row],[Salariés]],"")</f>
        <v/>
      </c>
      <c r="AA4127" s="177"/>
    </row>
    <row r="4128" spans="1:29" ht="20.25" customHeight="1">
      <c r="A4128" s="217"/>
      <c r="E4128" s="187">
        <v>26.2</v>
      </c>
      <c r="F4128" s="178">
        <v>2007</v>
      </c>
      <c r="G4128" s="188">
        <v>701156000</v>
      </c>
      <c r="H4128" s="188">
        <v>89572000</v>
      </c>
      <c r="I4128" s="188">
        <v>73093000</v>
      </c>
      <c r="J4128" s="188">
        <v>42879000</v>
      </c>
      <c r="K4128" s="188">
        <v>-3249000</v>
      </c>
      <c r="L4128" s="188">
        <v>264244000</v>
      </c>
      <c r="M4128" s="194">
        <f>L4128/P4128</f>
        <v>8.3992601490318464</v>
      </c>
      <c r="N4128" s="190">
        <f>J4128/L4128</f>
        <v>0.16227047728614463</v>
      </c>
      <c r="O4128" s="190">
        <f>(I4128*0.7)/(K4128+L4128)</f>
        <v>0.1960386214295293</v>
      </c>
      <c r="P4128" s="188">
        <v>31460390</v>
      </c>
      <c r="Q4128" s="211">
        <f>P4128*E4128</f>
        <v>824262218</v>
      </c>
      <c r="R4128" s="195">
        <f>Q4128/L4128</f>
        <v>3.1193223611510574</v>
      </c>
      <c r="S4128" s="197">
        <f>Q4128/H4128</f>
        <v>9.202230808734873</v>
      </c>
      <c r="T4128" s="180"/>
      <c r="U4128" s="189">
        <f>IFERROR(IF(Tableau3[[#This Row],[Dettes]]=0,"",(Tableau3[[#This Row],[Dettes]]/Tableau3[[#This Row],[EBE]])),"")</f>
        <v>-3.6272495869244852E-2</v>
      </c>
      <c r="V4128" s="190" t="str">
        <f>IFERROR(Tableau3[[#This Row],[Fonds propres]]/Tableau3[[#This Row],[Total Bilan]],"")</f>
        <v/>
      </c>
      <c r="W4128" s="180"/>
      <c r="Y4128" s="180">
        <v>10480</v>
      </c>
      <c r="Z4128" s="192">
        <f>IFERROR(Tableau3[[#This Row],[Chiffre d''affaires]]/Tableau3[[#This Row],[Salariés]],"")</f>
        <v>66904.198473282449</v>
      </c>
      <c r="AA4128" s="211"/>
      <c r="AB4128" s="211"/>
    </row>
    <row r="4129" spans="1:29" ht="20.25" customHeight="1">
      <c r="A4129" s="217"/>
      <c r="E4129" s="187"/>
      <c r="G4129" s="202">
        <f>(G4128/G4130)-1</f>
        <v>0.21673761277481129</v>
      </c>
      <c r="H4129" s="202">
        <f>(H4128/H4130)-1</f>
        <v>0.12696116052893136</v>
      </c>
      <c r="I4129" s="202">
        <f>(I4128/I4130)-1</f>
        <v>2.0289259030776829E-3</v>
      </c>
      <c r="J4129" s="202">
        <f>(J4128/J4130)-1</f>
        <v>-6.3715963927768238E-2</v>
      </c>
      <c r="K4129" s="178"/>
      <c r="L4129" s="178"/>
      <c r="M4129" s="178"/>
      <c r="N4129" s="178"/>
      <c r="O4129" s="178"/>
      <c r="P4129" s="188"/>
      <c r="Q4129" s="178"/>
      <c r="R4129" s="178"/>
      <c r="S4129" s="178"/>
      <c r="T4129" s="180"/>
      <c r="U4129" s="189" t="str">
        <f>IFERROR(IF(Tableau3[[#This Row],[Dettes]]=0,"",(Tableau3[[#This Row],[Dettes]]/Tableau3[[#This Row],[EBE]])),"")</f>
        <v/>
      </c>
      <c r="V4129" s="190" t="str">
        <f>IFERROR(Tableau3[[#This Row],[Fonds propres]]/Tableau3[[#This Row],[Total Bilan]],"")</f>
        <v/>
      </c>
      <c r="W4129" s="180"/>
      <c r="Y4129" s="180"/>
      <c r="Z4129" s="192" t="str">
        <f>IFERROR(Tableau3[[#This Row],[Chiffre d''affaires]]/Tableau3[[#This Row],[Salariés]],"")</f>
        <v/>
      </c>
      <c r="AA4129" s="177"/>
    </row>
    <row r="4130" spans="1:29" ht="20.25" customHeight="1">
      <c r="A4130" s="217"/>
      <c r="E4130" s="187">
        <v>28.26</v>
      </c>
      <c r="F4130" s="178">
        <v>2006</v>
      </c>
      <c r="G4130" s="188">
        <v>576259000</v>
      </c>
      <c r="H4130" s="188">
        <v>79481000</v>
      </c>
      <c r="I4130" s="188">
        <v>72945000</v>
      </c>
      <c r="J4130" s="188">
        <v>45797000</v>
      </c>
      <c r="K4130" s="188">
        <v>-7241000</v>
      </c>
      <c r="L4130" s="188">
        <v>213037000</v>
      </c>
      <c r="M4130" s="194">
        <f>L4130/P4130</f>
        <v>6.8939570916320569</v>
      </c>
      <c r="N4130" s="190">
        <f>J4130/L4130</f>
        <v>0.2149720471091876</v>
      </c>
      <c r="O4130" s="190">
        <f>(I4130*0.7)/(K4130+L4130)</f>
        <v>0.24811706738712122</v>
      </c>
      <c r="P4130" s="188">
        <v>30901991</v>
      </c>
      <c r="Q4130" s="211">
        <f>P4130*E4130</f>
        <v>873290265.66000009</v>
      </c>
      <c r="R4130" s="195">
        <f>Q4130/L4130</f>
        <v>4.099242223932932</v>
      </c>
      <c r="S4130" s="197">
        <f>Q4130/H4130</f>
        <v>10.987409137529726</v>
      </c>
      <c r="T4130" s="180"/>
      <c r="U4130" s="189">
        <f>IFERROR(IF(Tableau3[[#This Row],[Dettes]]=0,"",(Tableau3[[#This Row],[Dettes]]/Tableau3[[#This Row],[EBE]])),"")</f>
        <v>-9.1103534177979645E-2</v>
      </c>
      <c r="V4130" s="190" t="str">
        <f>IFERROR(Tableau3[[#This Row],[Fonds propres]]/Tableau3[[#This Row],[Total Bilan]],"")</f>
        <v/>
      </c>
      <c r="W4130" s="180"/>
      <c r="Y4130" s="180">
        <v>8700</v>
      </c>
      <c r="Z4130" s="192">
        <f>IFERROR(Tableau3[[#This Row],[Chiffre d''affaires]]/Tableau3[[#This Row],[Salariés]],"")</f>
        <v>66236.666666666672</v>
      </c>
      <c r="AA4130" s="211"/>
      <c r="AB4130" s="211"/>
    </row>
    <row r="4131" spans="1:29" ht="20.25" customHeight="1">
      <c r="A4131" s="217"/>
      <c r="G4131" s="178"/>
      <c r="H4131" s="178"/>
      <c r="I4131" s="178"/>
      <c r="J4131" s="178"/>
      <c r="K4131" s="178"/>
      <c r="L4131" s="178"/>
      <c r="M4131" s="178"/>
      <c r="N4131" s="178"/>
      <c r="O4131" s="178"/>
      <c r="P4131" s="188"/>
      <c r="Q4131" s="178"/>
      <c r="R4131" s="178"/>
      <c r="S4131" s="178"/>
      <c r="T4131" s="180"/>
      <c r="U4131" s="189" t="str">
        <f>IFERROR(IF(Tableau3[[#This Row],[Dettes]]=0,"",(Tableau3[[#This Row],[Dettes]]/Tableau3[[#This Row],[EBE]])),"")</f>
        <v/>
      </c>
      <c r="V4131" s="190" t="str">
        <f>IFERROR(Tableau3[[#This Row],[Fonds propres]]/Tableau3[[#This Row],[Total Bilan]],"")</f>
        <v/>
      </c>
      <c r="W4131" s="180"/>
      <c r="Y4131" s="180"/>
      <c r="Z4131" s="192" t="str">
        <f>IFERROR(Tableau3[[#This Row],[Chiffre d''affaires]]/Tableau3[[#This Row],[Salariés]],"")</f>
        <v/>
      </c>
      <c r="AA4131" s="177"/>
    </row>
    <row r="4132" spans="1:29" ht="20.25" customHeight="1">
      <c r="A4132" s="217"/>
      <c r="F4132" s="217" t="s">
        <v>2886</v>
      </c>
      <c r="G4132" s="273"/>
      <c r="H4132" s="178"/>
      <c r="I4132" s="178"/>
      <c r="J4132" s="178"/>
      <c r="K4132" s="178"/>
      <c r="L4132" s="178"/>
      <c r="M4132" s="178"/>
      <c r="N4132" s="178"/>
      <c r="O4132" s="178"/>
      <c r="P4132" s="188"/>
      <c r="Q4132" s="211"/>
      <c r="R4132" s="178"/>
      <c r="S4132" s="178"/>
      <c r="T4132" s="180"/>
      <c r="U4132" s="189" t="str">
        <f>IFERROR(IF(Tableau3[[#This Row],[Dettes]]=0,"",(Tableau3[[#This Row],[Dettes]]/Tableau3[[#This Row],[EBE]])),"")</f>
        <v/>
      </c>
      <c r="V4132" s="190" t="str">
        <f>IFERROR(Tableau3[[#This Row],[Fonds propres]]/Tableau3[[#This Row],[Total Bilan]],"")</f>
        <v/>
      </c>
      <c r="W4132" s="180"/>
      <c r="Y4132" s="180"/>
      <c r="Z4132" s="192" t="str">
        <f>IFERROR(Tableau3[[#This Row],[Chiffre d''affaires]]/Tableau3[[#This Row],[Salariés]],"")</f>
        <v/>
      </c>
      <c r="AA4132" s="177"/>
    </row>
    <row r="4133" spans="1:29" ht="20.25" customHeight="1">
      <c r="A4133" s="217"/>
      <c r="G4133" s="188"/>
      <c r="H4133" s="188"/>
      <c r="I4133" s="188"/>
      <c r="J4133" s="188"/>
      <c r="K4133" s="188"/>
      <c r="L4133" s="188"/>
      <c r="M4133" s="188"/>
      <c r="N4133" s="178"/>
      <c r="O4133" s="178"/>
      <c r="P4133" s="188"/>
      <c r="Q4133" s="178"/>
      <c r="R4133" s="178"/>
      <c r="S4133" s="178"/>
      <c r="T4133" s="180"/>
      <c r="U4133" s="189" t="str">
        <f>IFERROR(IF(Tableau3[[#This Row],[Dettes]]=0,"",(Tableau3[[#This Row],[Dettes]]/Tableau3[[#This Row],[EBE]])),"")</f>
        <v/>
      </c>
      <c r="V4133" s="190" t="str">
        <f>IFERROR(Tableau3[[#This Row],[Fonds propres]]/Tableau3[[#This Row],[Total Bilan]],"")</f>
        <v/>
      </c>
      <c r="W4133" s="180"/>
      <c r="Y4133" s="180"/>
      <c r="Z4133" s="192" t="str">
        <f>IFERROR(Tableau3[[#This Row],[Chiffre d''affaires]]/Tableau3[[#This Row],[Salariés]],"")</f>
        <v/>
      </c>
      <c r="AA4133" s="177"/>
    </row>
    <row r="4134" spans="1:29" ht="20.25" customHeight="1">
      <c r="A4134" s="217"/>
      <c r="G4134" s="188"/>
      <c r="H4134" s="188"/>
      <c r="I4134" s="188"/>
      <c r="J4134" s="188"/>
      <c r="K4134" s="188"/>
      <c r="L4134" s="188"/>
      <c r="M4134" s="188"/>
      <c r="N4134" s="178"/>
      <c r="O4134" s="178"/>
      <c r="P4134" s="188"/>
      <c r="Q4134" s="178"/>
      <c r="R4134" s="178"/>
      <c r="S4134" s="178"/>
      <c r="T4134" s="180"/>
      <c r="U4134" s="189" t="str">
        <f>IFERROR(IF(Tableau3[[#This Row],[Dettes]]=0,"",(Tableau3[[#This Row],[Dettes]]/Tableau3[[#This Row],[EBE]])),"")</f>
        <v/>
      </c>
      <c r="V4134" s="190" t="str">
        <f>IFERROR(Tableau3[[#This Row],[Fonds propres]]/Tableau3[[#This Row],[Total Bilan]],"")</f>
        <v/>
      </c>
      <c r="W4134" s="180"/>
      <c r="Y4134" s="180"/>
      <c r="Z4134" s="192" t="str">
        <f>IFERROR(Tableau3[[#This Row],[Chiffre d''affaires]]/Tableau3[[#This Row],[Salariés]],"")</f>
        <v/>
      </c>
      <c r="AA4134" s="177"/>
    </row>
    <row r="4135" spans="1:29" ht="20.25" customHeight="1">
      <c r="A4135" s="217"/>
      <c r="G4135" s="188"/>
      <c r="H4135" s="188"/>
      <c r="I4135" s="188"/>
      <c r="J4135" s="188"/>
      <c r="K4135" s="188"/>
      <c r="L4135" s="188"/>
      <c r="M4135" s="188"/>
      <c r="N4135" s="178"/>
      <c r="O4135" s="178"/>
      <c r="P4135" s="188"/>
      <c r="Q4135" s="178"/>
      <c r="R4135" s="178"/>
      <c r="S4135" s="178"/>
      <c r="T4135" s="180"/>
      <c r="U4135" s="189" t="str">
        <f>IFERROR(IF(Tableau3[[#This Row],[Dettes]]=0,"",(Tableau3[[#This Row],[Dettes]]/Tableau3[[#This Row],[EBE]])),"")</f>
        <v/>
      </c>
      <c r="V4135" s="190" t="str">
        <f>IFERROR(Tableau3[[#This Row],[Fonds propres]]/Tableau3[[#This Row],[Total Bilan]],"")</f>
        <v/>
      </c>
      <c r="W4135" s="180"/>
      <c r="Y4135" s="180"/>
      <c r="Z4135" s="192" t="str">
        <f>IFERROR(Tableau3[[#This Row],[Chiffre d''affaires]]/Tableau3[[#This Row],[Salariés]],"")</f>
        <v/>
      </c>
      <c r="AA4135" s="177"/>
    </row>
    <row r="4136" spans="1:29" ht="20.25" customHeight="1">
      <c r="A4136" s="217"/>
      <c r="G4136" s="188"/>
      <c r="H4136" s="188"/>
      <c r="I4136" s="188"/>
      <c r="J4136" s="188"/>
      <c r="K4136" s="188"/>
      <c r="L4136" s="188"/>
      <c r="M4136" s="188"/>
      <c r="N4136" s="178"/>
      <c r="O4136" s="178"/>
      <c r="P4136" s="188"/>
      <c r="Q4136" s="178"/>
      <c r="R4136" s="178"/>
      <c r="S4136" s="178"/>
      <c r="T4136" s="180"/>
      <c r="U4136" s="189" t="str">
        <f>IFERROR(IF(Tableau3[[#This Row],[Dettes]]=0,"",(Tableau3[[#This Row],[Dettes]]/Tableau3[[#This Row],[EBE]])),"")</f>
        <v/>
      </c>
      <c r="V4136" s="190" t="str">
        <f>IFERROR(Tableau3[[#This Row],[Fonds propres]]/Tableau3[[#This Row],[Total Bilan]],"")</f>
        <v/>
      </c>
      <c r="W4136" s="180"/>
      <c r="Y4136" s="180"/>
      <c r="Z4136" s="192" t="str">
        <f>IFERROR(Tableau3[[#This Row],[Chiffre d''affaires]]/Tableau3[[#This Row],[Salariés]],"")</f>
        <v/>
      </c>
      <c r="AA4136" s="177"/>
    </row>
    <row r="4137" spans="1:29" ht="20.25" customHeight="1">
      <c r="A4137" s="217" t="s">
        <v>2888</v>
      </c>
      <c r="B4137" s="216" t="s">
        <v>2889</v>
      </c>
      <c r="C4137" s="178" t="s">
        <v>84</v>
      </c>
      <c r="D4137" s="178" t="s">
        <v>85</v>
      </c>
      <c r="G4137" s="188"/>
      <c r="H4137" s="188"/>
      <c r="I4137" s="188"/>
      <c r="J4137" s="188"/>
      <c r="K4137" s="188"/>
      <c r="L4137" s="188"/>
      <c r="M4137" s="188"/>
      <c r="N4137" s="178"/>
      <c r="O4137" s="178"/>
      <c r="P4137" s="188"/>
      <c r="Q4137" s="178"/>
      <c r="R4137" s="178"/>
      <c r="S4137" s="178"/>
      <c r="T4137" s="180"/>
      <c r="U4137" s="189" t="str">
        <f>IFERROR(IF(Tableau3[[#This Row],[Dettes]]=0,"",(Tableau3[[#This Row],[Dettes]]/Tableau3[[#This Row],[EBE]])),"")</f>
        <v/>
      </c>
      <c r="V4137" s="190" t="str">
        <f>IFERROR(Tableau3[[#This Row],[Fonds propres]]/Tableau3[[#This Row],[Total Bilan]],"")</f>
        <v/>
      </c>
      <c r="W4137" s="180"/>
      <c r="Y4137" s="180"/>
      <c r="Z4137" s="192" t="str">
        <f>IFERROR(Tableau3[[#This Row],[Chiffre d''affaires]]/Tableau3[[#This Row],[Salariés]],"")</f>
        <v/>
      </c>
      <c r="AA4137" s="177"/>
      <c r="AC4137" s="177" t="s">
        <v>2890</v>
      </c>
    </row>
    <row r="4138" spans="1:29" ht="20.25" customHeight="1">
      <c r="A4138" s="217"/>
      <c r="G4138" s="188"/>
      <c r="H4138" s="188"/>
      <c r="I4138" s="188"/>
      <c r="J4138" s="188"/>
      <c r="K4138" s="188"/>
      <c r="L4138" s="188"/>
      <c r="M4138" s="188"/>
      <c r="N4138" s="178"/>
      <c r="O4138" s="178"/>
      <c r="P4138" s="188"/>
      <c r="Q4138" s="178"/>
      <c r="R4138" s="178"/>
      <c r="S4138" s="178"/>
      <c r="T4138" s="180"/>
      <c r="U4138" s="189" t="str">
        <f>IFERROR(IF(Tableau3[[#This Row],[Dettes]]=0,"",(Tableau3[[#This Row],[Dettes]]/Tableau3[[#This Row],[EBE]])),"")</f>
        <v/>
      </c>
      <c r="V4138" s="190" t="str">
        <f>IFERROR(Tableau3[[#This Row],[Fonds propres]]/Tableau3[[#This Row],[Total Bilan]],"")</f>
        <v/>
      </c>
      <c r="W4138" s="180"/>
      <c r="Y4138" s="180"/>
      <c r="Z4138" s="192" t="str">
        <f>IFERROR(Tableau3[[#This Row],[Chiffre d''affaires]]/Tableau3[[#This Row],[Salariés]],"")</f>
        <v/>
      </c>
      <c r="AA4138" s="177"/>
      <c r="AC4138" s="177" t="s">
        <v>2891</v>
      </c>
    </row>
    <row r="4139" spans="1:29" ht="20.25" customHeight="1">
      <c r="A4139" s="217"/>
      <c r="F4139" s="217" t="s">
        <v>2892</v>
      </c>
      <c r="G4139" s="188"/>
      <c r="H4139" s="188"/>
      <c r="I4139" s="188"/>
      <c r="J4139" s="188"/>
      <c r="K4139" s="188"/>
      <c r="L4139" s="188"/>
      <c r="M4139" s="188"/>
      <c r="N4139" s="178"/>
      <c r="O4139" s="178"/>
      <c r="P4139" s="188"/>
      <c r="Q4139" s="178"/>
      <c r="R4139" s="178"/>
      <c r="S4139" s="178"/>
      <c r="T4139" s="180"/>
      <c r="U4139" s="189" t="str">
        <f>IFERROR(IF(Tableau3[[#This Row],[Dettes]]=0,"",(Tableau3[[#This Row],[Dettes]]/Tableau3[[#This Row],[EBE]])),"")</f>
        <v/>
      </c>
      <c r="V4139" s="190" t="str">
        <f>IFERROR(Tableau3[[#This Row],[Fonds propres]]/Tableau3[[#This Row],[Total Bilan]],"")</f>
        <v/>
      </c>
      <c r="W4139" s="180"/>
      <c r="Y4139" s="180"/>
      <c r="Z4139" s="192" t="str">
        <f>IFERROR(Tableau3[[#This Row],[Chiffre d''affaires]]/Tableau3[[#This Row],[Salariés]],"")</f>
        <v/>
      </c>
      <c r="AA4139" s="177"/>
      <c r="AC4139" s="177" t="s">
        <v>2893</v>
      </c>
    </row>
    <row r="4140" spans="1:29" ht="20.25" customHeight="1">
      <c r="A4140" s="217"/>
      <c r="G4140" s="188"/>
      <c r="H4140" s="188"/>
      <c r="I4140" s="188"/>
      <c r="J4140" s="188"/>
      <c r="K4140" s="188"/>
      <c r="L4140" s="188"/>
      <c r="M4140" s="188"/>
      <c r="N4140" s="178"/>
      <c r="O4140" s="178"/>
      <c r="P4140" s="188"/>
      <c r="Q4140" s="178"/>
      <c r="R4140" s="178"/>
      <c r="S4140" s="178"/>
      <c r="T4140" s="180"/>
      <c r="U4140" s="189" t="str">
        <f>IFERROR(IF(Tableau3[[#This Row],[Dettes]]=0,"",(Tableau3[[#This Row],[Dettes]]/Tableau3[[#This Row],[EBE]])),"")</f>
        <v/>
      </c>
      <c r="V4140" s="190" t="str">
        <f>IFERROR(Tableau3[[#This Row],[Fonds propres]]/Tableau3[[#This Row],[Total Bilan]],"")</f>
        <v/>
      </c>
      <c r="W4140" s="180"/>
      <c r="Y4140" s="180"/>
      <c r="Z4140" s="192" t="str">
        <f>IFERROR(Tableau3[[#This Row],[Chiffre d''affaires]]/Tableau3[[#This Row],[Salariés]],"")</f>
        <v/>
      </c>
      <c r="AA4140" s="177"/>
      <c r="AC4140" s="177" t="s">
        <v>2894</v>
      </c>
    </row>
    <row r="4141" spans="1:29" ht="20.25" customHeight="1">
      <c r="A4141" s="217"/>
      <c r="E4141" s="187">
        <v>100</v>
      </c>
      <c r="F4141" s="178">
        <v>2022</v>
      </c>
      <c r="G4141" s="188">
        <v>1610802000</v>
      </c>
      <c r="H4141" s="188">
        <f>H4143</f>
        <v>366725000</v>
      </c>
      <c r="I4141" s="188">
        <f>I4143</f>
        <v>301056000</v>
      </c>
      <c r="J4141" s="188">
        <f>J4143</f>
        <v>272597000</v>
      </c>
      <c r="K4141" s="188">
        <v>-730000000</v>
      </c>
      <c r="L4141" s="188">
        <v>1400000000</v>
      </c>
      <c r="M4141" s="194">
        <f>L4141/P4141</f>
        <v>37.837837837837839</v>
      </c>
      <c r="N4141" s="190">
        <f>J4141/L4141</f>
        <v>0.19471214285714286</v>
      </c>
      <c r="O4141" s="190">
        <f>(I4141*0.7)/(K4141+L4141)</f>
        <v>0.31453611940298509</v>
      </c>
      <c r="P4141" s="188">
        <v>37000000</v>
      </c>
      <c r="Q4141" s="211">
        <f>P4141*E4141</f>
        <v>3700000000</v>
      </c>
      <c r="R4141" s="195">
        <f>Q4141/L4141</f>
        <v>2.6428571428571428</v>
      </c>
      <c r="S4141" s="197">
        <f>Q4141/H4141</f>
        <v>10.089303974367715</v>
      </c>
      <c r="T4141" s="180"/>
      <c r="U4141" s="189">
        <f>IFERROR(IF(Tableau3[[#This Row],[Dettes]]=0,"",(Tableau3[[#This Row],[Dettes]]/Tableau3[[#This Row],[EBE]])),"")</f>
        <v>-1.9905924057536302</v>
      </c>
      <c r="V4141" s="190" t="str">
        <f>IFERROR(Tableau3[[#This Row],[Fonds propres]]/Tableau3[[#This Row],[Total Bilan]],"")</f>
        <v/>
      </c>
      <c r="W4141" s="180"/>
      <c r="Y4141" s="180">
        <v>6880</v>
      </c>
      <c r="Z4141" s="192">
        <f>IFERROR(Tableau3[[#This Row],[Chiffre d''affaires]]/Tableau3[[#This Row],[Salariés]],"")</f>
        <v>234128.1976744186</v>
      </c>
      <c r="AA4141" s="178" t="s">
        <v>2895</v>
      </c>
      <c r="AC4141" s="177" t="s">
        <v>2896</v>
      </c>
    </row>
    <row r="4142" spans="1:29" ht="20.25" customHeight="1">
      <c r="A4142" s="217"/>
      <c r="E4142" s="187"/>
      <c r="G4142" s="202">
        <f>(G4141/G4143)-1</f>
        <v>9.000000000000008E-2</v>
      </c>
      <c r="H4142" s="202">
        <f>(H4141/H4143)-1</f>
        <v>0</v>
      </c>
      <c r="I4142" s="202">
        <f>(I4141/I4143)-1</f>
        <v>0</v>
      </c>
      <c r="J4142" s="202">
        <f>(J4141/J4143)-1</f>
        <v>0</v>
      </c>
      <c r="K4142" s="188"/>
      <c r="L4142" s="188"/>
      <c r="M4142" s="178"/>
      <c r="N4142" s="178"/>
      <c r="O4142" s="178"/>
      <c r="P4142" s="178"/>
      <c r="Q4142" s="178"/>
      <c r="R4142" s="178"/>
      <c r="S4142" s="178"/>
      <c r="T4142" s="180"/>
      <c r="U4142" s="189" t="str">
        <f>IFERROR(IF(Tableau3[[#This Row],[Dettes]]=0,"",(Tableau3[[#This Row],[Dettes]]/Tableau3[[#This Row],[EBE]])),"")</f>
        <v/>
      </c>
      <c r="V4142" s="190" t="str">
        <f>IFERROR(Tableau3[[#This Row],[Fonds propres]]/Tableau3[[#This Row],[Total Bilan]],"")</f>
        <v/>
      </c>
      <c r="W4142" s="180"/>
      <c r="Y4142" s="180"/>
      <c r="Z4142" s="192" t="str">
        <f>IFERROR(Tableau3[[#This Row],[Chiffre d''affaires]]/Tableau3[[#This Row],[Salariés]],"")</f>
        <v/>
      </c>
      <c r="AA4142" s="178" t="s">
        <v>2897</v>
      </c>
      <c r="AC4142" s="177" t="s">
        <v>2898</v>
      </c>
    </row>
    <row r="4143" spans="1:29" ht="20.25" customHeight="1">
      <c r="A4143" s="217"/>
      <c r="E4143" s="187">
        <v>171.4</v>
      </c>
      <c r="F4143" s="178">
        <v>2021</v>
      </c>
      <c r="G4143" s="188">
        <v>1477800000</v>
      </c>
      <c r="H4143" s="188">
        <v>366725000</v>
      </c>
      <c r="I4143" s="188">
        <v>301056000</v>
      </c>
      <c r="J4143" s="188">
        <v>272597000</v>
      </c>
      <c r="K4143" s="188">
        <v>-681456000</v>
      </c>
      <c r="L4143" s="188">
        <v>1371175000</v>
      </c>
      <c r="M4143" s="194">
        <f>L4143/P4143</f>
        <v>37.058783783783781</v>
      </c>
      <c r="N4143" s="190">
        <f>J4143/L4143</f>
        <v>0.19880540412420006</v>
      </c>
      <c r="O4143" s="190">
        <f>(I4143*0.7)/(K4143+L4143)</f>
        <v>0.30554356194334215</v>
      </c>
      <c r="P4143" s="188">
        <v>37000000</v>
      </c>
      <c r="Q4143" s="211">
        <f>P4143*E4143</f>
        <v>6341800000</v>
      </c>
      <c r="R4143" s="195">
        <f>Q4143/L4143</f>
        <v>4.6250843254872649</v>
      </c>
      <c r="S4143" s="197">
        <f>Q4143/H4143</f>
        <v>17.293067012066263</v>
      </c>
      <c r="T4143" s="180">
        <v>147739000</v>
      </c>
      <c r="U4143" s="189">
        <f>IFERROR(IF(Tableau3[[#This Row],[Dettes]]=0,"",(Tableau3[[#This Row],[Dettes]]/Tableau3[[#This Row],[EBE]])),"")</f>
        <v>-1.8582207376099258</v>
      </c>
      <c r="V4143" s="190" t="str">
        <f>IFERROR(Tableau3[[#This Row],[Fonds propres]]/Tableau3[[#This Row],[Total Bilan]],"")</f>
        <v/>
      </c>
      <c r="W4143" s="180"/>
      <c r="Y4143" s="180">
        <v>6880</v>
      </c>
      <c r="Z4143" s="192">
        <f>IFERROR(Tableau3[[#This Row],[Chiffre d''affaires]]/Tableau3[[#This Row],[Salariés]],"")</f>
        <v>214796.51162790696</v>
      </c>
      <c r="AA4143" s="178" t="s">
        <v>983</v>
      </c>
      <c r="AC4143" s="177" t="s">
        <v>2899</v>
      </c>
    </row>
    <row r="4144" spans="1:29" ht="20.25" customHeight="1">
      <c r="A4144" s="217"/>
      <c r="E4144" s="187"/>
      <c r="G4144" s="202">
        <f>(G4143/G4145)-1</f>
        <v>0.17556280327738438</v>
      </c>
      <c r="H4144" s="202">
        <f>(H4143/H4145)-1</f>
        <v>0.13739982135324924</v>
      </c>
      <c r="I4144" s="202">
        <f>(I4143/I4145)-1</f>
        <v>0.15489607868711586</v>
      </c>
      <c r="J4144" s="202">
        <f>(J4143/J4145)-1</f>
        <v>0.36995120186146546</v>
      </c>
      <c r="K4144" s="188"/>
      <c r="L4144" s="188"/>
      <c r="M4144" s="178"/>
      <c r="N4144" s="178"/>
      <c r="O4144" s="178"/>
      <c r="P4144" s="178"/>
      <c r="Q4144" s="178"/>
      <c r="R4144" s="178"/>
      <c r="S4144" s="178"/>
      <c r="T4144" s="180"/>
      <c r="U4144" s="189" t="str">
        <f>IFERROR(IF(Tableau3[[#This Row],[Dettes]]=0,"",(Tableau3[[#This Row],[Dettes]]/Tableau3[[#This Row],[EBE]])),"")</f>
        <v/>
      </c>
      <c r="V4144" s="190" t="str">
        <f>IFERROR(Tableau3[[#This Row],[Fonds propres]]/Tableau3[[#This Row],[Total Bilan]],"")</f>
        <v/>
      </c>
      <c r="W4144" s="180"/>
      <c r="Y4144" s="180"/>
      <c r="Z4144" s="192" t="str">
        <f>IFERROR(Tableau3[[#This Row],[Chiffre d''affaires]]/Tableau3[[#This Row],[Salariés]],"")</f>
        <v/>
      </c>
      <c r="AA4144" s="177"/>
      <c r="AC4144" s="177" t="s">
        <v>2900</v>
      </c>
    </row>
    <row r="4145" spans="1:29" ht="20.25" customHeight="1">
      <c r="A4145" s="217"/>
      <c r="E4145" s="187">
        <v>138.6</v>
      </c>
      <c r="F4145" s="178">
        <v>2020</v>
      </c>
      <c r="G4145" s="188">
        <v>1257100000</v>
      </c>
      <c r="H4145" s="188">
        <v>322424000</v>
      </c>
      <c r="I4145" s="188">
        <v>260678000</v>
      </c>
      <c r="J4145" s="188">
        <v>198983000</v>
      </c>
      <c r="K4145" s="188">
        <v>-536856000</v>
      </c>
      <c r="L4145" s="188">
        <v>1170968000</v>
      </c>
      <c r="M4145" s="194">
        <f>L4145/P4145</f>
        <v>31.647783783783783</v>
      </c>
      <c r="N4145" s="190">
        <f>J4145/L4145</f>
        <v>0.16993034822471664</v>
      </c>
      <c r="O4145" s="190">
        <f>(I4145*0.7)/(K4145+L4145)</f>
        <v>0.28776399121921681</v>
      </c>
      <c r="P4145" s="188">
        <v>37000000</v>
      </c>
      <c r="Q4145" s="211">
        <f>P4145*E4145</f>
        <v>5128200000</v>
      </c>
      <c r="R4145" s="195">
        <f>Q4145/L4145</f>
        <v>4.3794535802857126</v>
      </c>
      <c r="S4145" s="197">
        <f>Q4145/H4145</f>
        <v>15.905143537701909</v>
      </c>
      <c r="T4145" s="180">
        <v>202329000</v>
      </c>
      <c r="U4145" s="189">
        <f>IFERROR(IF(Tableau3[[#This Row],[Dettes]]=0,"",(Tableau3[[#This Row],[Dettes]]/Tableau3[[#This Row],[EBE]])),"")</f>
        <v>-1.6650621541820707</v>
      </c>
      <c r="V4145" s="190" t="str">
        <f>IFERROR(Tableau3[[#This Row],[Fonds propres]]/Tableau3[[#This Row],[Total Bilan]],"")</f>
        <v/>
      </c>
      <c r="W4145" s="180"/>
      <c r="Y4145" s="180">
        <v>6500</v>
      </c>
      <c r="Z4145" s="192">
        <f>IFERROR(Tableau3[[#This Row],[Chiffre d''affaires]]/Tableau3[[#This Row],[Salariés]],"")</f>
        <v>193400</v>
      </c>
      <c r="AA4145" s="177"/>
      <c r="AC4145" s="177" t="s">
        <v>2901</v>
      </c>
    </row>
    <row r="4146" spans="1:29" ht="20.25" customHeight="1">
      <c r="A4146" s="217"/>
      <c r="E4146" s="187"/>
      <c r="G4146" s="202">
        <f>(G4145/G4147)-1</f>
        <v>4.7372985925326683E-2</v>
      </c>
      <c r="H4146" s="202">
        <f>(H4145/H4147)-1</f>
        <v>0.22877809706014629</v>
      </c>
      <c r="I4146" s="202">
        <f>(I4145/I4147)-1</f>
        <v>0.29305846288157622</v>
      </c>
      <c r="J4146" s="202">
        <f>(J4145/J4147)-1</f>
        <v>0.21766188943419773</v>
      </c>
      <c r="K4146" s="188"/>
      <c r="L4146" s="188"/>
      <c r="M4146" s="178"/>
      <c r="N4146" s="178"/>
      <c r="O4146" s="178"/>
      <c r="P4146" s="178"/>
      <c r="Q4146" s="178"/>
      <c r="R4146" s="178"/>
      <c r="S4146" s="178"/>
      <c r="T4146" s="180"/>
      <c r="U4146" s="189" t="str">
        <f>IFERROR(IF(Tableau3[[#This Row],[Dettes]]=0,"",(Tableau3[[#This Row],[Dettes]]/Tableau3[[#This Row],[EBE]])),"")</f>
        <v/>
      </c>
      <c r="V4146" s="190" t="str">
        <f>IFERROR(Tableau3[[#This Row],[Fonds propres]]/Tableau3[[#This Row],[Total Bilan]],"")</f>
        <v/>
      </c>
      <c r="W4146" s="180"/>
      <c r="Y4146" s="180"/>
      <c r="Z4146" s="192" t="str">
        <f>IFERROR(Tableau3[[#This Row],[Chiffre d''affaires]]/Tableau3[[#This Row],[Salariés]],"")</f>
        <v/>
      </c>
      <c r="AA4146" s="177"/>
      <c r="AC4146" s="177" t="s">
        <v>2902</v>
      </c>
    </row>
    <row r="4147" spans="1:29" ht="20.25" customHeight="1">
      <c r="A4147" s="217"/>
      <c r="E4147" s="187">
        <v>91</v>
      </c>
      <c r="F4147" s="178">
        <v>2019</v>
      </c>
      <c r="G4147" s="188">
        <v>1200241000</v>
      </c>
      <c r="H4147" s="188">
        <v>262394000</v>
      </c>
      <c r="I4147" s="188">
        <v>201598000</v>
      </c>
      <c r="J4147" s="188">
        <v>163414000</v>
      </c>
      <c r="K4147" s="188">
        <v>-333550000</v>
      </c>
      <c r="L4147" s="188">
        <v>1012775000</v>
      </c>
      <c r="M4147" s="194">
        <f>L4147/P4147</f>
        <v>27.372297297297298</v>
      </c>
      <c r="N4147" s="190">
        <f>J4147/L4147</f>
        <v>0.16135271901458864</v>
      </c>
      <c r="O4147" s="190">
        <f>(I4147*0.7)/(K4147+L4147)</f>
        <v>0.20776414295704662</v>
      </c>
      <c r="P4147" s="188">
        <v>37000000</v>
      </c>
      <c r="Q4147" s="211">
        <f>P4147*E4147</f>
        <v>3367000000</v>
      </c>
      <c r="R4147" s="195">
        <f>Q4147/L4147</f>
        <v>3.3245291402335169</v>
      </c>
      <c r="S4147" s="197">
        <f>Q4147/H4147</f>
        <v>12.83184828921393</v>
      </c>
      <c r="T4147" s="180">
        <v>132776000</v>
      </c>
      <c r="U4147" s="189">
        <f>IFERROR(IF(Tableau3[[#This Row],[Dettes]]=0,"",(Tableau3[[#This Row],[Dettes]]/Tableau3[[#This Row],[EBE]])),"")</f>
        <v>-1.2711799812495712</v>
      </c>
      <c r="V4147" s="190" t="str">
        <f>IFERROR(Tableau3[[#This Row],[Fonds propres]]/Tableau3[[#This Row],[Total Bilan]],"")</f>
        <v/>
      </c>
      <c r="W4147" s="180"/>
      <c r="Y4147" s="180">
        <v>6067</v>
      </c>
      <c r="Z4147" s="192">
        <f>IFERROR(Tableau3[[#This Row],[Chiffre d''affaires]]/Tableau3[[#This Row],[Salariés]],"")</f>
        <v>197831.05323883303</v>
      </c>
      <c r="AA4147" s="177"/>
      <c r="AC4147" s="177" t="s">
        <v>2903</v>
      </c>
    </row>
    <row r="4148" spans="1:29" ht="20.25" customHeight="1">
      <c r="A4148" s="217"/>
      <c r="E4148" s="187"/>
      <c r="G4148" s="202">
        <f>(G4147/G4149)-1</f>
        <v>6.5253182026752121E-2</v>
      </c>
      <c r="H4148" s="202">
        <f>(H4147/H4149)-1</f>
        <v>0.20378025002867295</v>
      </c>
      <c r="I4148" s="202">
        <f>(I4147/I4149)-1</f>
        <v>0.18488086421929917</v>
      </c>
      <c r="J4148" s="202">
        <f>(J4147/J4149)-1</f>
        <v>0.2954354478144372</v>
      </c>
      <c r="K4148" s="188"/>
      <c r="L4148" s="188"/>
      <c r="M4148" s="178"/>
      <c r="N4148" s="178"/>
      <c r="O4148" s="178"/>
      <c r="P4148" s="178"/>
      <c r="Q4148" s="178"/>
      <c r="R4148" s="178"/>
      <c r="S4148" s="178"/>
      <c r="T4148" s="180"/>
      <c r="U4148" s="189" t="str">
        <f>IFERROR(IF(Tableau3[[#This Row],[Dettes]]=0,"",(Tableau3[[#This Row],[Dettes]]/Tableau3[[#This Row],[EBE]])),"")</f>
        <v/>
      </c>
      <c r="V4148" s="190" t="str">
        <f>IFERROR(Tableau3[[#This Row],[Fonds propres]]/Tableau3[[#This Row],[Total Bilan]],"")</f>
        <v/>
      </c>
      <c r="W4148" s="180"/>
      <c r="Y4148" s="180"/>
      <c r="Z4148" s="192" t="str">
        <f>IFERROR(Tableau3[[#This Row],[Chiffre d''affaires]]/Tableau3[[#This Row],[Salariés]],"")</f>
        <v/>
      </c>
      <c r="AA4148" s="177"/>
      <c r="AC4148" s="177" t="s">
        <v>2904</v>
      </c>
    </row>
    <row r="4149" spans="1:29" ht="20.25" customHeight="1">
      <c r="A4149" s="217"/>
      <c r="E4149" s="187">
        <v>62</v>
      </c>
      <c r="F4149" s="178">
        <v>2018</v>
      </c>
      <c r="G4149" s="188">
        <v>1126719000</v>
      </c>
      <c r="H4149" s="188">
        <v>217975000</v>
      </c>
      <c r="I4149" s="188">
        <v>170142000</v>
      </c>
      <c r="J4149" s="188">
        <v>126146000</v>
      </c>
      <c r="K4149" s="188">
        <v>-247168000</v>
      </c>
      <c r="L4149" s="188">
        <v>894329000</v>
      </c>
      <c r="M4149" s="194">
        <f>L4149/P4149</f>
        <v>24.171054054054053</v>
      </c>
      <c r="N4149" s="190">
        <f>J4149/L4149</f>
        <v>0.14105100024711265</v>
      </c>
      <c r="O4149" s="190">
        <f>(I4149*0.7)/(K4149+L4149)</f>
        <v>0.18403364850477699</v>
      </c>
      <c r="P4149" s="188">
        <v>37000000</v>
      </c>
      <c r="Q4149" s="211">
        <f>P4149*E4149</f>
        <v>2294000000</v>
      </c>
      <c r="R4149" s="195">
        <f>Q4149/L4149</f>
        <v>2.5650515637981099</v>
      </c>
      <c r="S4149" s="197">
        <f>Q4149/H4149</f>
        <v>10.52414267691249</v>
      </c>
      <c r="T4149" s="180">
        <v>40849000</v>
      </c>
      <c r="U4149" s="189">
        <f>IFERROR(IF(Tableau3[[#This Row],[Dettes]]=0,"",(Tableau3[[#This Row],[Dettes]]/Tableau3[[#This Row],[EBE]])),"")</f>
        <v>-1.1339282027755477</v>
      </c>
      <c r="V4149" s="190" t="str">
        <f>IFERROR(Tableau3[[#This Row],[Fonds propres]]/Tableau3[[#This Row],[Total Bilan]],"")</f>
        <v/>
      </c>
      <c r="W4149" s="180"/>
      <c r="Y4149" s="180">
        <v>6168</v>
      </c>
      <c r="Z4149" s="192">
        <f>IFERROR(Tableau3[[#This Row],[Chiffre d''affaires]]/Tableau3[[#This Row],[Salariés]],"")</f>
        <v>182671.6926070039</v>
      </c>
      <c r="AA4149" s="177"/>
      <c r="AC4149" s="177" t="s">
        <v>2905</v>
      </c>
    </row>
    <row r="4150" spans="1:29" ht="20.25" customHeight="1">
      <c r="A4150" s="217"/>
      <c r="E4150" s="187"/>
      <c r="G4150" s="202">
        <f>(G4149/G4151)-1</f>
        <v>-9.6146796056067352E-2</v>
      </c>
      <c r="H4150" s="202">
        <f>(H4149/H4151)-1</f>
        <v>9.4052161671545065E-3</v>
      </c>
      <c r="I4150" s="202">
        <f>(I4149/I4151)-1</f>
        <v>1.1635996075749944E-2</v>
      </c>
      <c r="J4150" s="202">
        <f>(J4149/J4151)-1</f>
        <v>-0.20044368384356981</v>
      </c>
      <c r="K4150" s="188"/>
      <c r="L4150" s="188"/>
      <c r="M4150" s="178"/>
      <c r="N4150" s="178"/>
      <c r="O4150" s="178"/>
      <c r="P4150" s="178"/>
      <c r="Q4150" s="178"/>
      <c r="R4150" s="178"/>
      <c r="S4150" s="178"/>
      <c r="T4150" s="180"/>
      <c r="U4150" s="189" t="str">
        <f>IFERROR(IF(Tableau3[[#This Row],[Dettes]]=0,"",(Tableau3[[#This Row],[Dettes]]/Tableau3[[#This Row],[EBE]])),"")</f>
        <v/>
      </c>
      <c r="V4150" s="190" t="str">
        <f>IFERROR(Tableau3[[#This Row],[Fonds propres]]/Tableau3[[#This Row],[Total Bilan]],"")</f>
        <v/>
      </c>
      <c r="W4150" s="180"/>
      <c r="Y4150" s="180"/>
      <c r="Z4150" s="192" t="str">
        <f>IFERROR(Tableau3[[#This Row],[Chiffre d''affaires]]/Tableau3[[#This Row],[Salariés]],"")</f>
        <v/>
      </c>
      <c r="AA4150" s="177"/>
      <c r="AC4150" s="177" t="s">
        <v>2906</v>
      </c>
    </row>
    <row r="4151" spans="1:29" ht="20.25" customHeight="1">
      <c r="A4151" s="217"/>
      <c r="E4151" s="187">
        <v>85</v>
      </c>
      <c r="F4151" s="178">
        <v>2017</v>
      </c>
      <c r="G4151" s="188">
        <v>1246573000</v>
      </c>
      <c r="H4151" s="188">
        <v>215944000</v>
      </c>
      <c r="I4151" s="188">
        <v>168185000</v>
      </c>
      <c r="J4151" s="188">
        <v>157770000</v>
      </c>
      <c r="K4151" s="188">
        <v>-104600000</v>
      </c>
      <c r="L4151" s="188">
        <v>770592000</v>
      </c>
      <c r="M4151" s="194">
        <f>L4151/P4151</f>
        <v>20.826810810810812</v>
      </c>
      <c r="N4151" s="190">
        <f>J4151/L4151</f>
        <v>0.20473869440637849</v>
      </c>
      <c r="O4151" s="190">
        <f>(I4151*0.7)/(K4151+L4151)</f>
        <v>0.17677314442215519</v>
      </c>
      <c r="P4151" s="188">
        <v>37000000</v>
      </c>
      <c r="Q4151" s="211">
        <f>P4151*E4151</f>
        <v>3145000000</v>
      </c>
      <c r="R4151" s="195">
        <f>Q4151/L4151</f>
        <v>4.0812777708566923</v>
      </c>
      <c r="S4151" s="197">
        <f>Q4151/H4151</f>
        <v>14.563961026932908</v>
      </c>
      <c r="T4151" s="180">
        <v>86316000</v>
      </c>
      <c r="U4151" s="189">
        <f>IFERROR(IF(Tableau3[[#This Row],[Dettes]]=0,"",(Tableau3[[#This Row],[Dettes]]/Tableau3[[#This Row],[EBE]])),"")</f>
        <v>-0.48438484051420738</v>
      </c>
      <c r="V4151" s="190" t="str">
        <f>IFERROR(Tableau3[[#This Row],[Fonds propres]]/Tableau3[[#This Row],[Total Bilan]],"")</f>
        <v/>
      </c>
      <c r="W4151" s="180"/>
      <c r="Y4151" s="180">
        <v>5963</v>
      </c>
      <c r="Z4151" s="192">
        <f>IFERROR(Tableau3[[#This Row],[Chiffre d''affaires]]/Tableau3[[#This Row],[Salariés]],"")</f>
        <v>209051.31645145061</v>
      </c>
      <c r="AA4151" s="177"/>
      <c r="AC4151" s="177" t="s">
        <v>2907</v>
      </c>
    </row>
    <row r="4152" spans="1:29" ht="20.25" customHeight="1">
      <c r="A4152" s="217"/>
      <c r="E4152" s="187"/>
      <c r="G4152" s="202">
        <f>(G4151/G4153)-1</f>
        <v>0.10146685764120522</v>
      </c>
      <c r="H4152" s="202">
        <f>(H4151/H4153)-1</f>
        <v>-4.0218434063906683E-3</v>
      </c>
      <c r="I4152" s="202">
        <f>(I4151/I4153)-1</f>
        <v>-5.1864588324830208E-2</v>
      </c>
      <c r="J4152" s="202">
        <f>(J4151/J4153)-1</f>
        <v>0.17588748686377831</v>
      </c>
      <c r="K4152" s="188"/>
      <c r="L4152" s="188"/>
      <c r="M4152" s="178"/>
      <c r="N4152" s="178"/>
      <c r="O4152" s="178"/>
      <c r="P4152" s="178"/>
      <c r="Q4152" s="178"/>
      <c r="R4152" s="178"/>
      <c r="S4152" s="178"/>
      <c r="T4152" s="180"/>
      <c r="U4152" s="189" t="str">
        <f>IFERROR(IF(Tableau3[[#This Row],[Dettes]]=0,"",(Tableau3[[#This Row],[Dettes]]/Tableau3[[#This Row],[EBE]])),"")</f>
        <v/>
      </c>
      <c r="V4152" s="190" t="str">
        <f>IFERROR(Tableau3[[#This Row],[Fonds propres]]/Tableau3[[#This Row],[Total Bilan]],"")</f>
        <v/>
      </c>
      <c r="W4152" s="180"/>
      <c r="Y4152" s="180"/>
      <c r="Z4152" s="192" t="str">
        <f>IFERROR(Tableau3[[#This Row],[Chiffre d''affaires]]/Tableau3[[#This Row],[Salariés]],"")</f>
        <v/>
      </c>
      <c r="AA4152" s="177"/>
      <c r="AC4152" s="177" t="s">
        <v>2908</v>
      </c>
    </row>
    <row r="4153" spans="1:29" ht="20.25" customHeight="1">
      <c r="A4153" s="217"/>
      <c r="E4153" s="187">
        <v>77</v>
      </c>
      <c r="F4153" s="178">
        <v>2016</v>
      </c>
      <c r="G4153" s="188">
        <v>1131739000</v>
      </c>
      <c r="H4153" s="188">
        <v>216816000</v>
      </c>
      <c r="I4153" s="188">
        <v>177385000</v>
      </c>
      <c r="J4153" s="188">
        <v>134171000</v>
      </c>
      <c r="K4153" s="188">
        <v>-15500000</v>
      </c>
      <c r="L4153" s="188">
        <v>657520000</v>
      </c>
      <c r="M4153" s="194">
        <f>L4153/P4153</f>
        <v>17.770810810810811</v>
      </c>
      <c r="N4153" s="190">
        <f>J4153/L4153</f>
        <v>0.20405615038325831</v>
      </c>
      <c r="O4153" s="190">
        <f>(I4153*0.7)/(K4153+L4153)</f>
        <v>0.1934044110775365</v>
      </c>
      <c r="P4153" s="188">
        <v>37000000</v>
      </c>
      <c r="Q4153" s="211">
        <f>P4153*E4153</f>
        <v>2849000000</v>
      </c>
      <c r="R4153" s="195">
        <f>Q4153/L4153</f>
        <v>4.3329480472076893</v>
      </c>
      <c r="S4153" s="197">
        <f>Q4153/H4153</f>
        <v>13.14017415688879</v>
      </c>
      <c r="T4153" s="180">
        <v>26976000</v>
      </c>
      <c r="U4153" s="189">
        <f>IFERROR(IF(Tableau3[[#This Row],[Dettes]]=0,"",(Tableau3[[#This Row],[Dettes]]/Tableau3[[#This Row],[EBE]])),"")</f>
        <v>-7.148918898974245E-2</v>
      </c>
      <c r="V4153" s="190" t="str">
        <f>IFERROR(Tableau3[[#This Row],[Fonds propres]]/Tableau3[[#This Row],[Total Bilan]],"")</f>
        <v/>
      </c>
      <c r="W4153" s="180"/>
      <c r="Y4153" s="180"/>
      <c r="Z4153" s="192" t="str">
        <f>IFERROR(Tableau3[[#This Row],[Chiffre d''affaires]]/Tableau3[[#This Row],[Salariés]],"")</f>
        <v/>
      </c>
      <c r="AA4153" s="177"/>
      <c r="AC4153" s="177" t="s">
        <v>2909</v>
      </c>
    </row>
    <row r="4154" spans="1:29" ht="20.25" customHeight="1">
      <c r="A4154" s="217"/>
      <c r="D4154" s="178" t="s">
        <v>2910</v>
      </c>
      <c r="E4154" s="187"/>
      <c r="G4154" s="202">
        <f>(G4153/G4155)-1</f>
        <v>6.6522232033390249E-2</v>
      </c>
      <c r="H4154" s="202">
        <f>(H4153/H4155)-1</f>
        <v>5.7788662786443012E-2</v>
      </c>
      <c r="I4154" s="202">
        <f>(I4153/I4155)-1</f>
        <v>7.0389814144339757E-2</v>
      </c>
      <c r="J4154" s="202">
        <f>(J4153/J4155)-1</f>
        <v>-0.14231560913867825</v>
      </c>
      <c r="K4154" s="188"/>
      <c r="L4154" s="188"/>
      <c r="M4154" s="194"/>
      <c r="N4154" s="190"/>
      <c r="O4154" s="190"/>
      <c r="P4154" s="188"/>
      <c r="Q4154" s="178"/>
      <c r="R4154" s="178"/>
      <c r="S4154" s="178"/>
      <c r="T4154" s="180"/>
      <c r="U4154" s="189" t="str">
        <f>IFERROR(IF(Tableau3[[#This Row],[Dettes]]=0,"",(Tableau3[[#This Row],[Dettes]]/Tableau3[[#This Row],[EBE]])),"")</f>
        <v/>
      </c>
      <c r="V4154" s="190" t="str">
        <f>IFERROR(Tableau3[[#This Row],[Fonds propres]]/Tableau3[[#This Row],[Total Bilan]],"")</f>
        <v/>
      </c>
      <c r="W4154" s="180"/>
      <c r="Y4154" s="180"/>
      <c r="Z4154" s="192" t="str">
        <f>IFERROR(Tableau3[[#This Row],[Chiffre d''affaires]]/Tableau3[[#This Row],[Salariés]],"")</f>
        <v/>
      </c>
      <c r="AA4154" s="177"/>
      <c r="AC4154" s="177" t="s">
        <v>2911</v>
      </c>
    </row>
    <row r="4155" spans="1:29" ht="20.25" customHeight="1">
      <c r="A4155" s="217"/>
      <c r="E4155" s="187">
        <v>350</v>
      </c>
      <c r="F4155" s="178">
        <v>2015</v>
      </c>
      <c r="G4155" s="188">
        <v>1061149000</v>
      </c>
      <c r="H4155" s="188">
        <v>204971000</v>
      </c>
      <c r="I4155" s="188">
        <v>165720000</v>
      </c>
      <c r="J4155" s="188">
        <v>156434000</v>
      </c>
      <c r="K4155" s="188">
        <v>-1176000</v>
      </c>
      <c r="L4155" s="188">
        <v>577921000</v>
      </c>
      <c r="M4155" s="194">
        <f>L4155/P4155</f>
        <v>78.097432432432427</v>
      </c>
      <c r="N4155" s="190">
        <f>J4155/L4155</f>
        <v>0.27068405543318202</v>
      </c>
      <c r="O4155" s="190">
        <f>(I4155*0.7)/(K4155+L4155)</f>
        <v>0.20113568388109129</v>
      </c>
      <c r="P4155" s="188">
        <v>7400000</v>
      </c>
      <c r="Q4155" s="211">
        <f>P4155*E4155</f>
        <v>2590000000</v>
      </c>
      <c r="R4155" s="195">
        <f>Q4155/L4155</f>
        <v>4.481581392612485</v>
      </c>
      <c r="S4155" s="197">
        <f>Q4155/H4155</f>
        <v>12.635933863814881</v>
      </c>
      <c r="T4155" s="180">
        <v>-903000</v>
      </c>
      <c r="U4155" s="189">
        <f>IFERROR(IF(Tableau3[[#This Row],[Dettes]]=0,"",(Tableau3[[#This Row],[Dettes]]/Tableau3[[#This Row],[EBE]])),"")</f>
        <v>-5.7373969976240542E-3</v>
      </c>
      <c r="V4155" s="190" t="str">
        <f>IFERROR(Tableau3[[#This Row],[Fonds propres]]/Tableau3[[#This Row],[Total Bilan]],"")</f>
        <v/>
      </c>
      <c r="W4155" s="180"/>
      <c r="Y4155" s="180">
        <v>7824</v>
      </c>
      <c r="Z4155" s="192">
        <f>IFERROR(Tableau3[[#This Row],[Chiffre d''affaires]]/Tableau3[[#This Row],[Salariés]],"")</f>
        <v>135627.42842535788</v>
      </c>
      <c r="AA4155" s="177"/>
      <c r="AC4155" s="177" t="s">
        <v>2912</v>
      </c>
    </row>
    <row r="4156" spans="1:29" ht="20.25" customHeight="1">
      <c r="A4156" s="217"/>
      <c r="E4156" s="187"/>
      <c r="G4156" s="202">
        <f>(G4155/G4157)-1</f>
        <v>8.0895886958851193E-2</v>
      </c>
      <c r="H4156" s="202">
        <f>(H4155/H4157)-1</f>
        <v>9.7633595553151764E-2</v>
      </c>
      <c r="I4156" s="202">
        <f>(I4155/I4157)-1</f>
        <v>0.3165964884404544</v>
      </c>
      <c r="J4156" s="202">
        <f>(J4155/J4157)-1</f>
        <v>2.5097709272845572</v>
      </c>
      <c r="K4156" s="188"/>
      <c r="L4156" s="188"/>
      <c r="M4156" s="194"/>
      <c r="N4156" s="190"/>
      <c r="O4156" s="190"/>
      <c r="P4156" s="188"/>
      <c r="Q4156" s="178"/>
      <c r="R4156" s="178"/>
      <c r="S4156" s="178"/>
      <c r="T4156" s="180"/>
      <c r="U4156" s="189" t="str">
        <f>IFERROR(IF(Tableau3[[#This Row],[Dettes]]=0,"",(Tableau3[[#This Row],[Dettes]]/Tableau3[[#This Row],[EBE]])),"")</f>
        <v/>
      </c>
      <c r="V4156" s="190" t="str">
        <f>IFERROR(Tableau3[[#This Row],[Fonds propres]]/Tableau3[[#This Row],[Total Bilan]],"")</f>
        <v/>
      </c>
      <c r="W4156" s="180"/>
      <c r="Y4156" s="180"/>
      <c r="Z4156" s="192" t="str">
        <f>IFERROR(Tableau3[[#This Row],[Chiffre d''affaires]]/Tableau3[[#This Row],[Salariés]],"")</f>
        <v/>
      </c>
      <c r="AA4156" s="177"/>
      <c r="AC4156" s="177" t="s">
        <v>2913</v>
      </c>
    </row>
    <row r="4157" spans="1:29" ht="20.25" customHeight="1">
      <c r="A4157" s="217"/>
      <c r="E4157" s="187">
        <v>208</v>
      </c>
      <c r="F4157" s="178">
        <v>2014</v>
      </c>
      <c r="G4157" s="188">
        <v>981731000</v>
      </c>
      <c r="H4157" s="188">
        <v>186739000</v>
      </c>
      <c r="I4157" s="188">
        <v>125870000</v>
      </c>
      <c r="J4157" s="188">
        <v>44571000</v>
      </c>
      <c r="K4157" s="188">
        <v>199863000</v>
      </c>
      <c r="L4157" s="188">
        <v>570629000</v>
      </c>
      <c r="M4157" s="194">
        <f>L4157/P4157</f>
        <v>72.814031237239689</v>
      </c>
      <c r="N4157" s="190">
        <f>J4157/L4157</f>
        <v>7.810854337932352E-2</v>
      </c>
      <c r="O4157" s="190">
        <f>(I4157*0.7)/(K4157+L4157)</f>
        <v>0.11435420484573493</v>
      </c>
      <c r="P4157" s="188">
        <v>7836800</v>
      </c>
      <c r="Q4157" s="211">
        <f>P4157*E4157</f>
        <v>1630054400</v>
      </c>
      <c r="R4157" s="195">
        <f>Q4157/L4157</f>
        <v>2.8565922867572451</v>
      </c>
      <c r="S4157" s="197">
        <f>Q4157/H4157</f>
        <v>8.7290517781502519</v>
      </c>
      <c r="T4157" s="180">
        <v>-30482000</v>
      </c>
      <c r="U4157" s="189">
        <f>IFERROR(IF(Tableau3[[#This Row],[Dettes]]=0,"",(Tableau3[[#This Row],[Dettes]]/Tableau3[[#This Row],[EBE]])),"")</f>
        <v>1.0702799093922533</v>
      </c>
      <c r="V4157" s="190" t="str">
        <f>IFERROR(Tableau3[[#This Row],[Fonds propres]]/Tableau3[[#This Row],[Total Bilan]],"")</f>
        <v/>
      </c>
      <c r="W4157" s="180"/>
      <c r="Y4157" s="180">
        <v>7994</v>
      </c>
      <c r="Z4157" s="192">
        <f>IFERROR(Tableau3[[#This Row],[Chiffre d''affaires]]/Tableau3[[#This Row],[Salariés]],"")</f>
        <v>122808.48136102076</v>
      </c>
      <c r="AA4157" s="177"/>
      <c r="AC4157" s="177" t="s">
        <v>2914</v>
      </c>
    </row>
    <row r="4158" spans="1:29" ht="20.25" customHeight="1">
      <c r="A4158" s="217"/>
      <c r="E4158" s="187"/>
      <c r="G4158" s="202">
        <f>(G4157/G4159)-1</f>
        <v>-1.511836364530128E-2</v>
      </c>
      <c r="H4158" s="202">
        <f>(H4157/H4159)-1</f>
        <v>-2.1755757182071567E-2</v>
      </c>
      <c r="I4158" s="202">
        <f>(I4157/I4159)-1</f>
        <v>-9.2966109633857208E-2</v>
      </c>
      <c r="J4158" s="202">
        <f>(J4157/J4159)-1</f>
        <v>-0.56048713144660289</v>
      </c>
      <c r="K4158" s="188"/>
      <c r="L4158" s="188"/>
      <c r="M4158" s="194"/>
      <c r="N4158" s="190"/>
      <c r="O4158" s="190"/>
      <c r="P4158" s="188"/>
      <c r="Q4158" s="178"/>
      <c r="R4158" s="178"/>
      <c r="S4158" s="178"/>
      <c r="T4158" s="180"/>
      <c r="U4158" s="189" t="str">
        <f>IFERROR(IF(Tableau3[[#This Row],[Dettes]]=0,"",(Tableau3[[#This Row],[Dettes]]/Tableau3[[#This Row],[EBE]])),"")</f>
        <v/>
      </c>
      <c r="V4158" s="190" t="str">
        <f>IFERROR(Tableau3[[#This Row],[Fonds propres]]/Tableau3[[#This Row],[Total Bilan]],"")</f>
        <v/>
      </c>
      <c r="W4158" s="180"/>
      <c r="Y4158" s="180"/>
      <c r="Z4158" s="192" t="str">
        <f>IFERROR(Tableau3[[#This Row],[Chiffre d''affaires]]/Tableau3[[#This Row],[Salariés]],"")</f>
        <v/>
      </c>
      <c r="AA4158" s="177"/>
      <c r="AC4158" s="177" t="s">
        <v>2915</v>
      </c>
    </row>
    <row r="4159" spans="1:29" ht="20.25" customHeight="1">
      <c r="A4159" s="217"/>
      <c r="E4159" s="187">
        <v>185</v>
      </c>
      <c r="F4159" s="178">
        <v>2013</v>
      </c>
      <c r="G4159" s="188">
        <v>996801000</v>
      </c>
      <c r="H4159" s="188">
        <v>190892000</v>
      </c>
      <c r="I4159" s="188">
        <v>138771000</v>
      </c>
      <c r="J4159" s="188">
        <v>101410000</v>
      </c>
      <c r="K4159" s="188">
        <v>-92327000</v>
      </c>
      <c r="L4159" s="188">
        <v>929005000</v>
      </c>
      <c r="M4159" s="194">
        <f>L4159/P4159</f>
        <v>118.54392098815843</v>
      </c>
      <c r="N4159" s="190">
        <f>J4159/L4159</f>
        <v>0.10915980000107642</v>
      </c>
      <c r="O4159" s="190">
        <f>(I4159*0.7)/(K4159+L4159)</f>
        <v>0.11610165439990056</v>
      </c>
      <c r="P4159" s="188">
        <v>7836800</v>
      </c>
      <c r="Q4159" s="211">
        <f>P4159*E4159</f>
        <v>1449808000</v>
      </c>
      <c r="R4159" s="195">
        <f>Q4159/L4159</f>
        <v>1.5606030107480584</v>
      </c>
      <c r="S4159" s="197">
        <f>Q4159/H4159</f>
        <v>7.5949123064350523</v>
      </c>
      <c r="T4159" s="180">
        <v>45221000</v>
      </c>
      <c r="U4159" s="189">
        <f>IFERROR(IF(Tableau3[[#This Row],[Dettes]]=0,"",(Tableau3[[#This Row],[Dettes]]/Tableau3[[#This Row],[EBE]])),"")</f>
        <v>-0.48366091821553547</v>
      </c>
      <c r="V4159" s="190" t="str">
        <f>IFERROR(Tableau3[[#This Row],[Fonds propres]]/Tableau3[[#This Row],[Total Bilan]],"")</f>
        <v/>
      </c>
      <c r="W4159" s="180"/>
      <c r="Y4159" s="180">
        <v>7753</v>
      </c>
      <c r="Z4159" s="192">
        <f>IFERROR(Tableau3[[#This Row],[Chiffre d''affaires]]/Tableau3[[#This Row],[Salariés]],"")</f>
        <v>128569.71494905198</v>
      </c>
      <c r="AA4159" s="177"/>
      <c r="AC4159" s="177" t="s">
        <v>2916</v>
      </c>
    </row>
    <row r="4160" spans="1:29" ht="20.25" customHeight="1">
      <c r="A4160" s="217"/>
      <c r="E4160" s="187"/>
      <c r="G4160" s="202">
        <f>(G4159/G4161)-1</f>
        <v>7.2349468140466833E-3</v>
      </c>
      <c r="H4160" s="202">
        <f>(H4159/H4161)-1</f>
        <v>9.6721189035775534E-2</v>
      </c>
      <c r="I4160" s="202">
        <f>(I4159/I4161)-1</f>
        <v>0.20874344546452273</v>
      </c>
      <c r="J4160" s="202">
        <f>(J4159/J4161)-1</f>
        <v>0.19136288342477181</v>
      </c>
      <c r="K4160" s="188"/>
      <c r="L4160" s="188"/>
      <c r="M4160" s="194"/>
      <c r="N4160" s="190"/>
      <c r="O4160" s="190"/>
      <c r="P4160" s="188"/>
      <c r="Q4160" s="178"/>
      <c r="R4160" s="178"/>
      <c r="S4160" s="178"/>
      <c r="T4160" s="180"/>
      <c r="U4160" s="189" t="str">
        <f>IFERROR(IF(Tableau3[[#This Row],[Dettes]]=0,"",(Tableau3[[#This Row],[Dettes]]/Tableau3[[#This Row],[EBE]])),"")</f>
        <v/>
      </c>
      <c r="V4160" s="190" t="str">
        <f>IFERROR(Tableau3[[#This Row],[Fonds propres]]/Tableau3[[#This Row],[Total Bilan]],"")</f>
        <v/>
      </c>
      <c r="W4160" s="180"/>
      <c r="Y4160" s="180"/>
      <c r="Z4160" s="192" t="str">
        <f>IFERROR(Tableau3[[#This Row],[Chiffre d''affaires]]/Tableau3[[#This Row],[Salariés]],"")</f>
        <v/>
      </c>
      <c r="AA4160" s="177"/>
    </row>
    <row r="4161" spans="1:29" ht="20.25" customHeight="1">
      <c r="A4161" s="217"/>
      <c r="E4161" s="187">
        <v>130.5</v>
      </c>
      <c r="F4161" s="178">
        <v>2012</v>
      </c>
      <c r="G4161" s="188">
        <v>989641000</v>
      </c>
      <c r="H4161" s="188">
        <v>174057000</v>
      </c>
      <c r="I4161" s="188">
        <v>114806000</v>
      </c>
      <c r="J4161" s="188">
        <v>85121000</v>
      </c>
      <c r="K4161" s="188">
        <v>-31088000</v>
      </c>
      <c r="L4161" s="188">
        <v>863557000</v>
      </c>
      <c r="M4161" s="194">
        <f>L4161/P4161</f>
        <v>110.19255308289098</v>
      </c>
      <c r="N4161" s="190">
        <f>J4161/L4161</f>
        <v>9.8570215978794687E-2</v>
      </c>
      <c r="O4161" s="190">
        <f>(I4161*0.7)/(K4161+L4161)</f>
        <v>9.6537168351013669E-2</v>
      </c>
      <c r="P4161" s="188">
        <v>7836800</v>
      </c>
      <c r="Q4161" s="211">
        <f>P4161*E4161</f>
        <v>1022702400</v>
      </c>
      <c r="R4161" s="195">
        <f>Q4161/L4161</f>
        <v>1.184290556384813</v>
      </c>
      <c r="S4161" s="197">
        <f>Q4161/H4161</f>
        <v>5.8756752098450509</v>
      </c>
      <c r="T4161" s="180">
        <v>4434000</v>
      </c>
      <c r="U4161" s="189">
        <f>IFERROR(IF(Tableau3[[#This Row],[Dettes]]=0,"",(Tableau3[[#This Row],[Dettes]]/Tableau3[[#This Row],[EBE]])),"")</f>
        <v>-0.17860815709796216</v>
      </c>
      <c r="V4161" s="190" t="str">
        <f>IFERROR(Tableau3[[#This Row],[Fonds propres]]/Tableau3[[#This Row],[Total Bilan]],"")</f>
        <v/>
      </c>
      <c r="W4161" s="180"/>
      <c r="Y4161" s="180">
        <v>8095</v>
      </c>
      <c r="Z4161" s="192">
        <f>IFERROR(Tableau3[[#This Row],[Chiffre d''affaires]]/Tableau3[[#This Row],[Salariés]],"")</f>
        <v>122253.36627547869</v>
      </c>
      <c r="AA4161" s="177"/>
    </row>
    <row r="4162" spans="1:29" ht="20.25" customHeight="1">
      <c r="A4162" s="217"/>
      <c r="E4162" s="187"/>
      <c r="G4162" s="202">
        <f>(G4161/G4163)-1</f>
        <v>3.9069537918797081E-2</v>
      </c>
      <c r="H4162" s="202">
        <f>(H4161/H4163)-1</f>
        <v>6.837837671943392E-2</v>
      </c>
      <c r="I4162" s="202">
        <f>(I4161/I4163)-1</f>
        <v>-1.3185490802819277E-2</v>
      </c>
      <c r="J4162" s="202">
        <f>(J4161/J4163)-1</f>
        <v>-0.14764784811647613</v>
      </c>
      <c r="K4162" s="188"/>
      <c r="L4162" s="188"/>
      <c r="M4162" s="194"/>
      <c r="N4162" s="190"/>
      <c r="O4162" s="190"/>
      <c r="P4162" s="188"/>
      <c r="Q4162" s="178"/>
      <c r="R4162" s="178"/>
      <c r="S4162" s="178"/>
      <c r="T4162" s="180"/>
      <c r="U4162" s="189" t="str">
        <f>IFERROR(IF(Tableau3[[#This Row],[Dettes]]=0,"",(Tableau3[[#This Row],[Dettes]]/Tableau3[[#This Row],[EBE]])),"")</f>
        <v/>
      </c>
      <c r="V4162" s="190" t="str">
        <f>IFERROR(Tableau3[[#This Row],[Fonds propres]]/Tableau3[[#This Row],[Total Bilan]],"")</f>
        <v/>
      </c>
      <c r="W4162" s="180"/>
      <c r="Y4162" s="180"/>
      <c r="Z4162" s="192" t="str">
        <f>IFERROR(Tableau3[[#This Row],[Chiffre d''affaires]]/Tableau3[[#This Row],[Salariés]],"")</f>
        <v/>
      </c>
      <c r="AA4162" s="177"/>
    </row>
    <row r="4163" spans="1:29" ht="20.25" customHeight="1">
      <c r="A4163" s="217"/>
      <c r="E4163" s="187">
        <v>151.9</v>
      </c>
      <c r="F4163" s="178">
        <v>2011</v>
      </c>
      <c r="G4163" s="188">
        <v>952430000</v>
      </c>
      <c r="H4163" s="188">
        <v>162917000</v>
      </c>
      <c r="I4163" s="188">
        <v>116340000</v>
      </c>
      <c r="J4163" s="188">
        <v>99866000</v>
      </c>
      <c r="K4163" s="188">
        <v>15711000</v>
      </c>
      <c r="L4163" s="188">
        <v>841221000</v>
      </c>
      <c r="M4163" s="194">
        <f>L4163/P4163</f>
        <v>107.34241016741527</v>
      </c>
      <c r="N4163" s="190">
        <f>J4163/L4163</f>
        <v>0.1187155337301375</v>
      </c>
      <c r="O4163" s="190">
        <f>(I4163*0.7)/(K4163+L4163)</f>
        <v>9.5034378457100444E-2</v>
      </c>
      <c r="P4163" s="188">
        <v>7836800</v>
      </c>
      <c r="Q4163" s="211">
        <f>P4163*E4163</f>
        <v>1190409920</v>
      </c>
      <c r="R4163" s="195">
        <f>Q4163/L4163</f>
        <v>1.4150977210507107</v>
      </c>
      <c r="S4163" s="197">
        <f>Q4163/H4163</f>
        <v>7.3068490090045852</v>
      </c>
      <c r="T4163" s="180">
        <v>-18917000</v>
      </c>
      <c r="U4163" s="189">
        <f>IFERROR(IF(Tableau3[[#This Row],[Dettes]]=0,"",(Tableau3[[#This Row],[Dettes]]/Tableau3[[#This Row],[EBE]])),"")</f>
        <v>9.6435608315890917E-2</v>
      </c>
      <c r="V4163" s="190" t="str">
        <f>IFERROR(Tableau3[[#This Row],[Fonds propres]]/Tableau3[[#This Row],[Total Bilan]],"")</f>
        <v/>
      </c>
      <c r="W4163" s="180"/>
      <c r="Y4163" s="180">
        <v>7824</v>
      </c>
      <c r="Z4163" s="192">
        <f>IFERROR(Tableau3[[#This Row],[Chiffre d''affaires]]/Tableau3[[#This Row],[Salariés]],"")</f>
        <v>121731.85071574642</v>
      </c>
      <c r="AA4163" s="177"/>
    </row>
    <row r="4164" spans="1:29" ht="20.25" customHeight="1">
      <c r="A4164" s="217"/>
      <c r="E4164" s="187"/>
      <c r="G4164" s="202">
        <f>(G4163/G4165)-1</f>
        <v>0.11708104329549629</v>
      </c>
      <c r="H4164" s="202">
        <f>(H4163/H4165)-1</f>
        <v>-7.1168757126567894E-2</v>
      </c>
      <c r="I4164" s="202">
        <f>(I4163/I4165)-1</f>
        <v>-0.11925021954395421</v>
      </c>
      <c r="J4164" s="202">
        <f>(J4163/J4165)-1</f>
        <v>-0.30403088673933043</v>
      </c>
      <c r="K4164" s="188"/>
      <c r="L4164" s="188"/>
      <c r="M4164" s="194"/>
      <c r="N4164" s="190"/>
      <c r="O4164" s="190"/>
      <c r="P4164" s="188"/>
      <c r="Q4164" s="178"/>
      <c r="R4164" s="178"/>
      <c r="S4164" s="178"/>
      <c r="T4164" s="180"/>
      <c r="U4164" s="189" t="str">
        <f>IFERROR(IF(Tableau3[[#This Row],[Dettes]]=0,"",(Tableau3[[#This Row],[Dettes]]/Tableau3[[#This Row],[EBE]])),"")</f>
        <v/>
      </c>
      <c r="V4164" s="190" t="str">
        <f>IFERROR(Tableau3[[#This Row],[Fonds propres]]/Tableau3[[#This Row],[Total Bilan]],"")</f>
        <v/>
      </c>
      <c r="W4164" s="180"/>
      <c r="Y4164" s="180"/>
      <c r="Z4164" s="192" t="str">
        <f>IFERROR(Tableau3[[#This Row],[Chiffre d''affaires]]/Tableau3[[#This Row],[Salariés]],"")</f>
        <v/>
      </c>
      <c r="AA4164" s="177"/>
    </row>
    <row r="4165" spans="1:29" ht="20.25" customHeight="1">
      <c r="A4165" s="217"/>
      <c r="E4165" s="187">
        <v>175</v>
      </c>
      <c r="F4165" s="178">
        <v>2010</v>
      </c>
      <c r="G4165" s="188">
        <v>852606000</v>
      </c>
      <c r="H4165" s="188">
        <v>175400000</v>
      </c>
      <c r="I4165" s="188">
        <v>132092000</v>
      </c>
      <c r="J4165" s="188">
        <v>143492000</v>
      </c>
      <c r="K4165" s="188">
        <v>35139000</v>
      </c>
      <c r="L4165" s="188">
        <v>803325000</v>
      </c>
      <c r="M4165" s="194">
        <f>L4165/P4165</f>
        <v>102.5067629644753</v>
      </c>
      <c r="N4165" s="190">
        <f>J4165/L4165</f>
        <v>0.17862259981950021</v>
      </c>
      <c r="O4165" s="190">
        <f>(I4165*0.7)/(K4165+L4165)</f>
        <v>0.11027831844897336</v>
      </c>
      <c r="P4165" s="188">
        <v>7836800</v>
      </c>
      <c r="Q4165" s="211">
        <f>P4165*E4165</f>
        <v>1371440000</v>
      </c>
      <c r="R4165" s="195">
        <f>Q4165/L4165</f>
        <v>1.7072044315812405</v>
      </c>
      <c r="S4165" s="197">
        <f>Q4165/H4165</f>
        <v>7.818928164196123</v>
      </c>
      <c r="T4165" s="180">
        <v>17945000</v>
      </c>
      <c r="U4165" s="189">
        <f>IFERROR(IF(Tableau3[[#This Row],[Dettes]]=0,"",(Tableau3[[#This Row],[Dettes]]/Tableau3[[#This Row],[EBE]])),"")</f>
        <v>0.20033637400228049</v>
      </c>
      <c r="V4165" s="190" t="str">
        <f>IFERROR(Tableau3[[#This Row],[Fonds propres]]/Tableau3[[#This Row],[Total Bilan]],"")</f>
        <v/>
      </c>
      <c r="W4165" s="180"/>
      <c r="Y4165" s="180">
        <v>5472</v>
      </c>
      <c r="Z4165" s="192">
        <f>IFERROR(Tableau3[[#This Row],[Chiffre d''affaires]]/Tableau3[[#This Row],[Salariés]],"")</f>
        <v>155812.5</v>
      </c>
      <c r="AA4165" s="177"/>
    </row>
    <row r="4166" spans="1:29" ht="20.25" customHeight="1">
      <c r="A4166" s="217"/>
      <c r="E4166" s="187"/>
      <c r="G4166" s="202">
        <f>(G4165/G4167)-1</f>
        <v>0.12070422738857767</v>
      </c>
      <c r="H4166" s="202">
        <f>(H4165/H4167)-1</f>
        <v>9.4102823209451403E-2</v>
      </c>
      <c r="I4166" s="202">
        <f>(I4165/I4167)-1</f>
        <v>0.25851046599148231</v>
      </c>
      <c r="J4166" s="202">
        <f>(J4165/J4167)-1</f>
        <v>0.71671950708859256</v>
      </c>
      <c r="K4166" s="188"/>
      <c r="L4166" s="188"/>
      <c r="M4166" s="194"/>
      <c r="N4166" s="190"/>
      <c r="O4166" s="190"/>
      <c r="P4166" s="188"/>
      <c r="Q4166" s="178"/>
      <c r="R4166" s="178"/>
      <c r="S4166" s="178"/>
      <c r="T4166" s="180"/>
      <c r="U4166" s="189" t="str">
        <f>IFERROR(IF(Tableau3[[#This Row],[Dettes]]=0,"",(Tableau3[[#This Row],[Dettes]]/Tableau3[[#This Row],[EBE]])),"")</f>
        <v/>
      </c>
      <c r="V4166" s="190" t="str">
        <f>IFERROR(Tableau3[[#This Row],[Fonds propres]]/Tableau3[[#This Row],[Total Bilan]],"")</f>
        <v/>
      </c>
      <c r="W4166" s="180"/>
      <c r="Y4166" s="180"/>
      <c r="Z4166" s="192" t="str">
        <f>IFERROR(Tableau3[[#This Row],[Chiffre d''affaires]]/Tableau3[[#This Row],[Salariés]],"")</f>
        <v/>
      </c>
      <c r="AA4166" s="177"/>
    </row>
    <row r="4167" spans="1:29" ht="20.25" customHeight="1">
      <c r="A4167" s="217"/>
      <c r="E4167" s="187">
        <v>126</v>
      </c>
      <c r="F4167" s="178">
        <v>2009</v>
      </c>
      <c r="G4167" s="188">
        <v>760777000</v>
      </c>
      <c r="H4167" s="188">
        <v>160314000</v>
      </c>
      <c r="I4167" s="188">
        <v>104959000</v>
      </c>
      <c r="J4167" s="188">
        <v>83585000</v>
      </c>
      <c r="K4167" s="188">
        <v>20000</v>
      </c>
      <c r="L4167" s="188">
        <v>719239000</v>
      </c>
      <c r="M4167" s="194">
        <f>L4167/P4167</f>
        <v>91.777128419763173</v>
      </c>
      <c r="N4167" s="190">
        <f>J4167/L4167</f>
        <v>0.11621310857726014</v>
      </c>
      <c r="O4167" s="190">
        <f>(I4167*0.7)/(K4167+L4167)</f>
        <v>0.10214860015655</v>
      </c>
      <c r="P4167" s="188">
        <v>7836800</v>
      </c>
      <c r="Q4167" s="211">
        <f>P4167*E4167</f>
        <v>987436800</v>
      </c>
      <c r="R4167" s="195">
        <f>Q4167/L4167</f>
        <v>1.3728910695888292</v>
      </c>
      <c r="S4167" s="197">
        <f>Q4167/H4167</f>
        <v>6.1593921928215876</v>
      </c>
      <c r="T4167" s="180">
        <v>15229000</v>
      </c>
      <c r="U4167" s="189">
        <f>IFERROR(IF(Tableau3[[#This Row],[Dettes]]=0,"",(Tableau3[[#This Row],[Dettes]]/Tableau3[[#This Row],[EBE]])),"")</f>
        <v>1.2475516798283369E-4</v>
      </c>
      <c r="V4167" s="190" t="str">
        <f>IFERROR(Tableau3[[#This Row],[Fonds propres]]/Tableau3[[#This Row],[Total Bilan]],"")</f>
        <v/>
      </c>
      <c r="W4167" s="180"/>
      <c r="Y4167" s="180">
        <v>5353</v>
      </c>
      <c r="Z4167" s="192">
        <f>IFERROR(Tableau3[[#This Row],[Chiffre d''affaires]]/Tableau3[[#This Row],[Salariés]],"")</f>
        <v>142121.61404819728</v>
      </c>
      <c r="AA4167" s="177"/>
    </row>
    <row r="4168" spans="1:29" ht="20.25" customHeight="1">
      <c r="A4168" s="217"/>
      <c r="E4168" s="187"/>
      <c r="G4168" s="188"/>
      <c r="H4168" s="188"/>
      <c r="I4168" s="188"/>
      <c r="J4168" s="188"/>
      <c r="K4168" s="188"/>
      <c r="L4168" s="188"/>
      <c r="M4168" s="194"/>
      <c r="N4168" s="190"/>
      <c r="O4168" s="190"/>
      <c r="P4168" s="188"/>
      <c r="Q4168" s="211"/>
      <c r="R4168" s="195"/>
      <c r="S4168" s="197"/>
      <c r="T4168" s="180"/>
      <c r="U4168" s="189" t="str">
        <f>IFERROR(IF(Tableau3[[#This Row],[Dettes]]=0,"",(Tableau3[[#This Row],[Dettes]]/Tableau3[[#This Row],[EBE]])),"")</f>
        <v/>
      </c>
      <c r="V4168" s="190" t="str">
        <f>IFERROR(Tableau3[[#This Row],[Fonds propres]]/Tableau3[[#This Row],[Total Bilan]],"")</f>
        <v/>
      </c>
      <c r="W4168" s="180"/>
      <c r="Y4168" s="180"/>
      <c r="Z4168" s="192" t="str">
        <f>IFERROR(Tableau3[[#This Row],[Chiffre d''affaires]]/Tableau3[[#This Row],[Salariés]],"")</f>
        <v/>
      </c>
      <c r="AA4168" s="177"/>
    </row>
    <row r="4169" spans="1:29" ht="20.25" customHeight="1">
      <c r="G4169" s="188"/>
      <c r="H4169" s="188"/>
      <c r="I4169" s="188"/>
      <c r="J4169" s="188"/>
      <c r="K4169" s="188"/>
      <c r="L4169" s="188"/>
      <c r="M4169" s="194"/>
      <c r="N4169" s="190"/>
      <c r="O4169" s="190"/>
      <c r="P4169" s="188"/>
      <c r="Q4169" s="178"/>
      <c r="R4169" s="178"/>
      <c r="S4169" s="178"/>
      <c r="T4169" s="180"/>
      <c r="U4169" s="189" t="str">
        <f>IFERROR(IF(Tableau3[[#This Row],[Dettes]]=0,"",(Tableau3[[#This Row],[Dettes]]/Tableau3[[#This Row],[EBE]])),"")</f>
        <v/>
      </c>
      <c r="V4169" s="190" t="str">
        <f>IFERROR(Tableau3[[#This Row],[Fonds propres]]/Tableau3[[#This Row],[Total Bilan]],"")</f>
        <v/>
      </c>
      <c r="W4169" s="180"/>
      <c r="Y4169" s="180"/>
      <c r="Z4169" s="192" t="str">
        <f>IFERROR(Tableau3[[#This Row],[Chiffre d''affaires]]/Tableau3[[#This Row],[Salariés]],"")</f>
        <v/>
      </c>
      <c r="AA4169" s="177"/>
    </row>
    <row r="4170" spans="1:29" ht="20.25" customHeight="1">
      <c r="G4170" s="188"/>
      <c r="H4170" s="178"/>
      <c r="I4170" s="178"/>
      <c r="J4170" s="178"/>
      <c r="K4170" s="178"/>
      <c r="L4170" s="178"/>
      <c r="M4170" s="178"/>
      <c r="N4170" s="178"/>
      <c r="O4170" s="178"/>
      <c r="P4170" s="178"/>
      <c r="Q4170" s="178"/>
      <c r="R4170" s="178"/>
      <c r="S4170" s="178"/>
      <c r="T4170" s="180"/>
      <c r="U4170" s="189" t="str">
        <f>IFERROR(IF(Tableau3[[#This Row],[Dettes]]=0,"",(Tableau3[[#This Row],[Dettes]]/Tableau3[[#This Row],[EBE]])),"")</f>
        <v/>
      </c>
      <c r="V4170" s="190" t="str">
        <f>IFERROR(Tableau3[[#This Row],[Fonds propres]]/Tableau3[[#This Row],[Total Bilan]],"")</f>
        <v/>
      </c>
      <c r="W4170" s="180"/>
      <c r="Y4170" s="180"/>
      <c r="Z4170" s="192" t="str">
        <f>IFERROR(Tableau3[[#This Row],[Chiffre d''affaires]]/Tableau3[[#This Row],[Salariés]],"")</f>
        <v/>
      </c>
      <c r="AA4170" s="177"/>
    </row>
    <row r="4171" spans="1:29" ht="20.25" customHeight="1">
      <c r="A4171" s="217" t="s">
        <v>2917</v>
      </c>
      <c r="B4171" s="216" t="s">
        <v>2918</v>
      </c>
      <c r="C4171" s="178" t="s">
        <v>47</v>
      </c>
      <c r="D4171" s="178" t="s">
        <v>48</v>
      </c>
      <c r="F4171" s="178">
        <v>2025</v>
      </c>
      <c r="G4171" s="188"/>
      <c r="H4171" s="178"/>
      <c r="I4171" s="178"/>
      <c r="J4171" s="178"/>
      <c r="K4171" s="178"/>
      <c r="L4171" s="178"/>
      <c r="M4171" s="178"/>
      <c r="N4171" s="178"/>
      <c r="O4171" s="178"/>
      <c r="P4171" s="178"/>
      <c r="Q4171" s="178"/>
      <c r="R4171" s="178"/>
      <c r="S4171" s="178"/>
      <c r="T4171" s="180"/>
      <c r="U4171" s="189" t="str">
        <f>IFERROR(IF(Tableau3[[#This Row],[Dettes]]=0,"",(Tableau3[[#This Row],[Dettes]]/Tableau3[[#This Row],[EBE]])),"")</f>
        <v/>
      </c>
      <c r="V4171" s="190" t="str">
        <f>IFERROR(Tableau3[[#This Row],[Fonds propres]]/Tableau3[[#This Row],[Total Bilan]],"")</f>
        <v/>
      </c>
      <c r="W4171" s="180"/>
      <c r="Y4171" s="180"/>
      <c r="Z4171" s="192" t="str">
        <f>IFERROR(Tableau3[[#This Row],[Chiffre d''affaires]]/Tableau3[[#This Row],[Salariés]],"")</f>
        <v/>
      </c>
      <c r="AA4171" s="177"/>
      <c r="AC4171" s="177" t="s">
        <v>2919</v>
      </c>
    </row>
    <row r="4172" spans="1:29" ht="20.25" customHeight="1">
      <c r="G4172" s="188"/>
      <c r="H4172" s="178"/>
      <c r="I4172" s="178"/>
      <c r="J4172" s="178"/>
      <c r="K4172" s="178"/>
      <c r="L4172" s="178"/>
      <c r="M4172" s="178"/>
      <c r="N4172" s="178"/>
      <c r="O4172" s="178"/>
      <c r="P4172" s="178"/>
      <c r="Q4172" s="178"/>
      <c r="R4172" s="178"/>
      <c r="S4172" s="178"/>
      <c r="T4172" s="180"/>
      <c r="U4172" s="189" t="str">
        <f>IFERROR(IF(Tableau3[[#This Row],[Dettes]]=0,"",(Tableau3[[#This Row],[Dettes]]/Tableau3[[#This Row],[EBE]])),"")</f>
        <v/>
      </c>
      <c r="V4172" s="190" t="str">
        <f>IFERROR(Tableau3[[#This Row],[Fonds propres]]/Tableau3[[#This Row],[Total Bilan]],"")</f>
        <v/>
      </c>
      <c r="W4172" s="180"/>
      <c r="Y4172" s="180"/>
      <c r="Z4172" s="192" t="str">
        <f>IFERROR(Tableau3[[#This Row],[Chiffre d''affaires]]/Tableau3[[#This Row],[Salariés]],"")</f>
        <v/>
      </c>
      <c r="AA4172" s="177"/>
      <c r="AC4172" s="177" t="s">
        <v>2921</v>
      </c>
    </row>
    <row r="4173" spans="1:29" ht="20.25" customHeight="1">
      <c r="A4173" s="217"/>
      <c r="E4173" s="187">
        <v>36.29</v>
      </c>
      <c r="F4173" s="178">
        <v>2024</v>
      </c>
      <c r="G4173" s="188"/>
      <c r="H4173" s="178"/>
      <c r="I4173" s="178"/>
      <c r="J4173" s="178"/>
      <c r="K4173" s="178"/>
      <c r="L4173" s="178"/>
      <c r="M4173" s="178"/>
      <c r="N4173" s="178"/>
      <c r="O4173" s="178"/>
      <c r="P4173" s="178"/>
      <c r="Q4173" s="178"/>
      <c r="R4173" s="178"/>
      <c r="S4173" s="178"/>
      <c r="T4173" s="180"/>
      <c r="U4173" s="189" t="str">
        <f>IFERROR(IF(Tableau3[[#This Row],[Dettes]]=0,"",(Tableau3[[#This Row],[Dettes]]/Tableau3[[#This Row],[EBE]])),"")</f>
        <v/>
      </c>
      <c r="V4173" s="190" t="str">
        <f>IFERROR(Tableau3[[#This Row],[Fonds propres]]/Tableau3[[#This Row],[Total Bilan]],"")</f>
        <v/>
      </c>
      <c r="W4173" s="180"/>
      <c r="Y4173" s="180"/>
      <c r="Z4173" s="192" t="str">
        <f>IFERROR(Tableau3[[#This Row],[Chiffre d''affaires]]/Tableau3[[#This Row],[Salariés]],"")</f>
        <v/>
      </c>
      <c r="AA4173" s="177"/>
      <c r="AC4173" s="177" t="s">
        <v>2922</v>
      </c>
    </row>
    <row r="4174" spans="1:29" ht="20.25" customHeight="1">
      <c r="G4174" s="188"/>
      <c r="H4174" s="178"/>
      <c r="I4174" s="178"/>
      <c r="J4174" s="178"/>
      <c r="K4174" s="178"/>
      <c r="L4174" s="178"/>
      <c r="M4174" s="178"/>
      <c r="N4174" s="178"/>
      <c r="O4174" s="178"/>
      <c r="P4174" s="178"/>
      <c r="Q4174" s="178"/>
      <c r="R4174" s="178"/>
      <c r="S4174" s="178"/>
      <c r="T4174" s="180"/>
      <c r="U4174" s="189" t="str">
        <f>IFERROR(IF(Tableau3[[#This Row],[Dettes]]=0,"",(Tableau3[[#This Row],[Dettes]]/Tableau3[[#This Row],[EBE]])),"")</f>
        <v/>
      </c>
      <c r="V4174" s="190" t="str">
        <f>IFERROR(Tableau3[[#This Row],[Fonds propres]]/Tableau3[[#This Row],[Total Bilan]],"")</f>
        <v/>
      </c>
      <c r="W4174" s="180"/>
      <c r="Y4174" s="180"/>
      <c r="Z4174" s="192" t="str">
        <f>IFERROR(Tableau3[[#This Row],[Chiffre d''affaires]]/Tableau3[[#This Row],[Salariés]],"")</f>
        <v/>
      </c>
      <c r="AA4174" s="177"/>
      <c r="AC4174" s="177" t="s">
        <v>2923</v>
      </c>
    </row>
    <row r="4175" spans="1:29" ht="20.25" customHeight="1">
      <c r="A4175" s="217"/>
      <c r="E4175" s="178">
        <v>30.9</v>
      </c>
      <c r="F4175" s="178">
        <v>2023</v>
      </c>
      <c r="G4175" s="188">
        <v>9161000000</v>
      </c>
      <c r="H4175" s="188">
        <v>3312000000</v>
      </c>
      <c r="I4175" s="188">
        <v>2636000000</v>
      </c>
      <c r="J4175" s="188">
        <v>1781000000</v>
      </c>
      <c r="K4175" s="188">
        <v>6342000000</v>
      </c>
      <c r="L4175" s="188">
        <v>3439000000</v>
      </c>
      <c r="M4175" s="194">
        <f>L4175/P4175</f>
        <v>1.8176532769556026</v>
      </c>
      <c r="N4175" s="190">
        <f t="shared" ref="N4175" si="264">J4175/L4177</f>
        <v>0.47442727757059139</v>
      </c>
      <c r="O4175" s="190">
        <f t="shared" ref="O4175" si="265">(I4175*0.7)/(K4177+L4177)</f>
        <v>0.18179310344827587</v>
      </c>
      <c r="P4175" s="188">
        <v>1892000000</v>
      </c>
      <c r="Q4175" s="211">
        <f>P4175*E4175</f>
        <v>58462800000</v>
      </c>
      <c r="R4175" s="195">
        <f t="shared" ref="R4175" si="266">Q4175/L4175</f>
        <v>16.999941843559174</v>
      </c>
      <c r="S4175" s="197">
        <f t="shared" ref="S4175" si="267">Q4175/H4175</f>
        <v>17.651811594202897</v>
      </c>
      <c r="T4175" s="180"/>
      <c r="U4175" s="189">
        <f>IFERROR(IF(Tableau3[[#This Row],[Dettes]]=0,"",(Tableau3[[#This Row],[Dettes]]/Tableau3[[#This Row],[EBE]])),"")</f>
        <v>1.9148550724637681</v>
      </c>
      <c r="V4175" s="190">
        <f>IFERROR(Tableau3[[#This Row],[Fonds propres]]/Tableau3[[#This Row],[Total Bilan]],"")</f>
        <v>0.23054233424951398</v>
      </c>
      <c r="W4175" s="180">
        <v>14917000000</v>
      </c>
      <c r="Y4175" s="180">
        <v>36500</v>
      </c>
      <c r="Z4175" s="192">
        <f>IFERROR(Tableau3[[#This Row],[Chiffre d''affaires]]/Tableau3[[#This Row],[Salariés]],"")</f>
        <v>250986.30136986301</v>
      </c>
      <c r="AA4175" s="177"/>
      <c r="AC4175" s="177" t="s">
        <v>2924</v>
      </c>
    </row>
    <row r="4176" spans="1:29" ht="20.25" customHeight="1">
      <c r="G4176" s="202">
        <f>(G4175/G4177)-1</f>
        <v>7.1086168595814403E-2</v>
      </c>
      <c r="H4176" s="202">
        <f>(H4175/H4177)-1</f>
        <v>0.10106382978723394</v>
      </c>
      <c r="I4176" s="202">
        <f>(I4175/I4177)-1</f>
        <v>0.14409722222222232</v>
      </c>
      <c r="J4176" s="202">
        <f>(J4175/J4177)-1</f>
        <v>9.1299019607843146E-2</v>
      </c>
      <c r="K4176" s="178"/>
      <c r="L4176" s="178"/>
      <c r="M4176" s="194"/>
      <c r="N4176" s="190"/>
      <c r="O4176" s="190"/>
      <c r="P4176" s="178"/>
      <c r="Q4176" s="178"/>
      <c r="R4176" s="195"/>
      <c r="S4176" s="197"/>
      <c r="T4176" s="180"/>
      <c r="U4176" s="189" t="str">
        <f>IFERROR(IF(Tableau3[[#This Row],[Dettes]]=0,"",(Tableau3[[#This Row],[Dettes]]/Tableau3[[#This Row],[EBE]])),"")</f>
        <v/>
      </c>
      <c r="V4176" s="190" t="str">
        <f>IFERROR(Tableau3[[#This Row],[Fonds propres]]/Tableau3[[#This Row],[Total Bilan]],"")</f>
        <v/>
      </c>
      <c r="W4176" s="180"/>
      <c r="Y4176" s="180"/>
      <c r="Z4176" s="192" t="str">
        <f>IFERROR(Tableau3[[#This Row],[Chiffre d''affaires]]/Tableau3[[#This Row],[Salariés]],"")</f>
        <v/>
      </c>
      <c r="AA4176" s="177"/>
      <c r="AC4176" s="177" t="s">
        <v>2925</v>
      </c>
    </row>
    <row r="4177" spans="1:29" ht="20.25" customHeight="1">
      <c r="A4177" s="217"/>
      <c r="E4177" s="187">
        <v>22.4</v>
      </c>
      <c r="F4177" s="178">
        <v>2022</v>
      </c>
      <c r="G4177" s="188">
        <v>8553000000</v>
      </c>
      <c r="H4177" s="188">
        <v>3008000000</v>
      </c>
      <c r="I4177" s="188">
        <v>2304000000</v>
      </c>
      <c r="J4177" s="188">
        <v>1632000000</v>
      </c>
      <c r="K4177" s="188">
        <v>6396000000</v>
      </c>
      <c r="L4177" s="188">
        <v>3754000000</v>
      </c>
      <c r="M4177" s="194">
        <f t="shared" ref="M4177" si="268">L4177/P4177</f>
        <v>1.9562272016675353</v>
      </c>
      <c r="N4177" s="190">
        <f t="shared" ref="N4177" si="269">J4177/L4179</f>
        <v>0.50495049504950495</v>
      </c>
      <c r="O4177" s="190">
        <f t="shared" ref="O4177" si="270">(I4177*0.7)/(K4179+L4179)</f>
        <v>0.17437560817385664</v>
      </c>
      <c r="P4177" s="188">
        <v>1919000000</v>
      </c>
      <c r="Q4177" s="211">
        <f>P4177*E4177</f>
        <v>42985600000</v>
      </c>
      <c r="R4177" s="195">
        <f t="shared" ref="R4177" si="271">Q4177/L4177</f>
        <v>11.450612679808204</v>
      </c>
      <c r="S4177" s="197">
        <f t="shared" ref="S4177" si="272">Q4177/H4177</f>
        <v>14.290425531914893</v>
      </c>
      <c r="T4177" s="180"/>
      <c r="U4177" s="189">
        <f>IFERROR(IF(Tableau3[[#This Row],[Dettes]]=0,"",(Tableau3[[#This Row],[Dettes]]/Tableau3[[#This Row],[EBE]])),"")</f>
        <v>2.1263297872340425</v>
      </c>
      <c r="V4177" s="190">
        <f>IFERROR(Tableau3[[#This Row],[Fonds propres]]/Tableau3[[#This Row],[Total Bilan]],"")</f>
        <v>0.2371596436919578</v>
      </c>
      <c r="W4177" s="180">
        <v>15829000000</v>
      </c>
      <c r="X4177" s="191"/>
      <c r="Y4177" s="180">
        <v>35700</v>
      </c>
      <c r="Z4177" s="192">
        <f>IFERROR(Tableau3[[#This Row],[Chiffre d''affaires]]/Tableau3[[#This Row],[Salariés]],"")</f>
        <v>239579.83193277312</v>
      </c>
      <c r="AA4177" s="197"/>
      <c r="AB4177" s="197"/>
      <c r="AC4177" s="177" t="s">
        <v>2926</v>
      </c>
    </row>
    <row r="4178" spans="1:29" ht="20.25" customHeight="1">
      <c r="A4178" s="217"/>
      <c r="E4178" s="187"/>
      <c r="G4178" s="202">
        <f>(G4177/G4179)-1</f>
        <v>0.18070127001656533</v>
      </c>
      <c r="H4178" s="202">
        <f>(H4177/H4179)-1</f>
        <v>0.1153133110863922</v>
      </c>
      <c r="I4178" s="202">
        <f>(I4177/I4179)-1</f>
        <v>4.2533936651583781E-2</v>
      </c>
      <c r="J4178" s="202">
        <f>(J4177/J4179)-1</f>
        <v>-3.3747779751332141E-2</v>
      </c>
      <c r="K4178" s="188"/>
      <c r="L4178" s="188"/>
      <c r="M4178" s="194"/>
      <c r="N4178" s="190"/>
      <c r="O4178" s="190"/>
      <c r="P4178" s="188"/>
      <c r="Q4178" s="188"/>
      <c r="R4178" s="195"/>
      <c r="S4178" s="197"/>
      <c r="T4178" s="180"/>
      <c r="U4178" s="189" t="str">
        <f>IFERROR(IF(Tableau3[[#This Row],[Dettes]]=0,"",(Tableau3[[#This Row],[Dettes]]/Tableau3[[#This Row],[EBE]])),"")</f>
        <v/>
      </c>
      <c r="V4178" s="190" t="str">
        <f>IFERROR(Tableau3[[#This Row],[Fonds propres]]/Tableau3[[#This Row],[Total Bilan]],"")</f>
        <v/>
      </c>
      <c r="W4178" s="180"/>
      <c r="X4178" s="191"/>
      <c r="Y4178" s="180"/>
      <c r="Z4178" s="192" t="str">
        <f>IFERROR(Tableau3[[#This Row],[Chiffre d''affaires]]/Tableau3[[#This Row],[Salariés]],"")</f>
        <v/>
      </c>
      <c r="AA4178" s="197"/>
      <c r="AB4178" s="197"/>
      <c r="AC4178" s="177" t="s">
        <v>1176</v>
      </c>
    </row>
    <row r="4179" spans="1:29" ht="20.25" customHeight="1">
      <c r="A4179" s="217"/>
      <c r="E4179" s="187">
        <v>24</v>
      </c>
      <c r="F4179" s="178">
        <v>2021</v>
      </c>
      <c r="G4179" s="188">
        <v>7244000000</v>
      </c>
      <c r="H4179" s="188">
        <v>2697000000</v>
      </c>
      <c r="I4179" s="188">
        <v>2210000000</v>
      </c>
      <c r="J4179" s="188">
        <v>1689000000</v>
      </c>
      <c r="K4179" s="188">
        <v>6017000000</v>
      </c>
      <c r="L4179" s="188">
        <v>3232000000</v>
      </c>
      <c r="M4179" s="194">
        <f>L4179/P4179</f>
        <v>1.682816217933031</v>
      </c>
      <c r="N4179" s="190">
        <f>J4179/L4181</f>
        <v>0.80466888994759411</v>
      </c>
      <c r="O4179" s="190">
        <f>(I4179*0.7)/(K4181+L4181)</f>
        <v>0.17194620429031898</v>
      </c>
      <c r="P4179" s="188">
        <v>1920590000</v>
      </c>
      <c r="Q4179" s="211">
        <f>P4179*E4179</f>
        <v>46094160000</v>
      </c>
      <c r="R4179" s="195">
        <f>Q4179/L4179</f>
        <v>14.261806930693069</v>
      </c>
      <c r="S4179" s="197">
        <f>Q4179/H4179</f>
        <v>17.090901001112346</v>
      </c>
      <c r="T4179" s="180">
        <v>2230000000</v>
      </c>
      <c r="U4179" s="189">
        <f>IFERROR(IF(Tableau3[[#This Row],[Dettes]]=0,"",(Tableau3[[#This Row],[Dettes]]/Tableau3[[#This Row],[EBE]])),"")</f>
        <v>2.2309974045235448</v>
      </c>
      <c r="V4179" s="190">
        <f>IFERROR(Tableau3[[#This Row],[Fonds propres]]/Tableau3[[#This Row],[Total Bilan]],"")</f>
        <v>0.23322268725645837</v>
      </c>
      <c r="W4179" s="180">
        <v>13858000000</v>
      </c>
      <c r="X4179" s="191"/>
      <c r="Y4179" s="180">
        <v>33500</v>
      </c>
      <c r="Z4179" s="192">
        <f>IFERROR(Tableau3[[#This Row],[Chiffre d''affaires]]/Tableau3[[#This Row],[Salariés]],"")</f>
        <v>216238.80597014926</v>
      </c>
      <c r="AA4179" s="197"/>
      <c r="AB4179" s="197"/>
      <c r="AC4179" s="177" t="s">
        <v>2631</v>
      </c>
    </row>
    <row r="4180" spans="1:29" ht="20.25" customHeight="1">
      <c r="A4180" s="217"/>
      <c r="E4180" s="187"/>
      <c r="G4180" s="202">
        <f>(G4179/G4181)-1</f>
        <v>1.8846694796061936E-2</v>
      </c>
      <c r="H4180" s="202">
        <f>(H4179/H4181)-1</f>
        <v>5.0642773665757757E-2</v>
      </c>
      <c r="I4180" s="202">
        <f>(I4179/I4181)-1</f>
        <v>6.4547206165703308E-2</v>
      </c>
      <c r="J4180" s="202">
        <f>(J4179/J4181)-1</f>
        <v>9.4620868438107575E-2</v>
      </c>
      <c r="K4180" s="188"/>
      <c r="L4180" s="188"/>
      <c r="M4180" s="194"/>
      <c r="N4180" s="190"/>
      <c r="O4180" s="190"/>
      <c r="P4180" s="188"/>
      <c r="Q4180" s="188"/>
      <c r="R4180" s="195"/>
      <c r="S4180" s="197"/>
      <c r="T4180" s="180"/>
      <c r="U4180" s="189" t="str">
        <f>IFERROR(IF(Tableau3[[#This Row],[Dettes]]=0,"",(Tableau3[[#This Row],[Dettes]]/Tableau3[[#This Row],[EBE]])),"")</f>
        <v/>
      </c>
      <c r="V4180" s="190" t="str">
        <f>IFERROR(Tableau3[[#This Row],[Fonds propres]]/Tableau3[[#This Row],[Total Bilan]],"")</f>
        <v/>
      </c>
      <c r="W4180" s="180"/>
      <c r="X4180" s="191"/>
      <c r="Y4180" s="180"/>
      <c r="Z4180" s="192" t="str">
        <f>IFERROR(Tableau3[[#This Row],[Chiffre d''affaires]]/Tableau3[[#This Row],[Salariés]],"")</f>
        <v/>
      </c>
      <c r="AA4180" s="197"/>
      <c r="AB4180" s="197"/>
    </row>
    <row r="4181" spans="1:29" ht="20.25" customHeight="1">
      <c r="A4181" s="217"/>
      <c r="E4181" s="187">
        <v>17.899999999999999</v>
      </c>
      <c r="F4181" s="178">
        <v>2020</v>
      </c>
      <c r="G4181" s="188">
        <v>7110000000</v>
      </c>
      <c r="H4181" s="188">
        <v>2567000000</v>
      </c>
      <c r="I4181" s="188">
        <v>2076000000</v>
      </c>
      <c r="J4181" s="188">
        <v>1543000000</v>
      </c>
      <c r="K4181" s="188">
        <v>6898000000</v>
      </c>
      <c r="L4181" s="188">
        <v>2099000000</v>
      </c>
      <c r="M4181" s="194">
        <f>L4181/P4181</f>
        <v>1.0928933296539085</v>
      </c>
      <c r="N4181" s="190">
        <f t="shared" ref="N4181" si="273">J4181/L4183</f>
        <v>0.71237303785780237</v>
      </c>
      <c r="O4181" s="190">
        <f t="shared" ref="O4181" si="274">(I4181*0.7)/(K4183+L4183)</f>
        <v>0.17389015196840971</v>
      </c>
      <c r="P4181" s="188">
        <v>1920590000</v>
      </c>
      <c r="Q4181" s="211">
        <f>P4181*E4181</f>
        <v>34378561000</v>
      </c>
      <c r="R4181" s="195">
        <f>Q4181/L4181</f>
        <v>16.378542639352073</v>
      </c>
      <c r="S4181" s="197">
        <f>Q4181/H4181</f>
        <v>13.392505259057264</v>
      </c>
      <c r="T4181" s="180">
        <v>2009000000</v>
      </c>
      <c r="U4181" s="189">
        <f>IFERROR(IF(Tableau3[[#This Row],[Dettes]]=0,"",(Tableau3[[#This Row],[Dettes]]/Tableau3[[#This Row],[EBE]])),"")</f>
        <v>2.6871834826645888</v>
      </c>
      <c r="V4181" s="190">
        <f>IFERROR(Tableau3[[#This Row],[Fonds propres]]/Tableau3[[#This Row],[Total Bilan]],"")</f>
        <v>0.14839165782962177</v>
      </c>
      <c r="W4181" s="180">
        <v>14145000000</v>
      </c>
      <c r="X4181" s="191"/>
      <c r="Y4181" s="180">
        <v>33200</v>
      </c>
      <c r="Z4181" s="192">
        <f>IFERROR(Tableau3[[#This Row],[Chiffre d''affaires]]/Tableau3[[#This Row],[Salariés]],"")</f>
        <v>214156.6265060241</v>
      </c>
      <c r="AA4181" s="197"/>
      <c r="AB4181" s="197"/>
    </row>
    <row r="4182" spans="1:29" ht="20.25" customHeight="1">
      <c r="A4182" s="217"/>
      <c r="E4182" s="187"/>
      <c r="G4182" s="202">
        <f>(G4181/G4183)-1</f>
        <v>-9.7028194056388073E-2</v>
      </c>
      <c r="H4182" s="202">
        <f>(H4181/H4183)-1</f>
        <v>-6.4163324826831958E-2</v>
      </c>
      <c r="I4182" s="202">
        <f>(I4181/I4183)-1</f>
        <v>-0.16659975913287839</v>
      </c>
      <c r="J4182" s="202">
        <f>(J4181/J4183)-1</f>
        <v>-0.14657079646017701</v>
      </c>
      <c r="K4182" s="188"/>
      <c r="L4182" s="188"/>
      <c r="M4182" s="194"/>
      <c r="N4182" s="190"/>
      <c r="O4182" s="190"/>
      <c r="P4182" s="188"/>
      <c r="Q4182" s="188"/>
      <c r="R4182" s="195"/>
      <c r="S4182" s="197"/>
      <c r="T4182" s="180"/>
      <c r="U4182" s="189" t="str">
        <f>IFERROR(IF(Tableau3[[#This Row],[Dettes]]=0,"",(Tableau3[[#This Row],[Dettes]]/Tableau3[[#This Row],[EBE]])),"")</f>
        <v/>
      </c>
      <c r="V4182" s="190" t="str">
        <f>IFERROR(Tableau3[[#This Row],[Fonds propres]]/Tableau3[[#This Row],[Total Bilan]],"")</f>
        <v/>
      </c>
      <c r="W4182" s="180"/>
      <c r="X4182" s="191"/>
      <c r="Y4182" s="180"/>
      <c r="Z4182" s="192" t="str">
        <f>IFERROR(Tableau3[[#This Row],[Chiffre d''affaires]]/Tableau3[[#This Row],[Salariés]],"")</f>
        <v/>
      </c>
      <c r="AA4182" s="197"/>
      <c r="AB4182" s="197"/>
    </row>
    <row r="4183" spans="1:29" ht="20.25" customHeight="1">
      <c r="A4183" s="217"/>
      <c r="E4183" s="187">
        <v>19.05</v>
      </c>
      <c r="F4183" s="178">
        <v>2019</v>
      </c>
      <c r="G4183" s="188">
        <v>7874000000</v>
      </c>
      <c r="H4183" s="188">
        <v>2743000000</v>
      </c>
      <c r="I4183" s="188">
        <v>2491000000</v>
      </c>
      <c r="J4183" s="188">
        <v>1808000000</v>
      </c>
      <c r="K4183" s="188">
        <v>6191000000</v>
      </c>
      <c r="L4183" s="188">
        <v>2166000000</v>
      </c>
      <c r="M4183" s="194">
        <f>L4183/P4183</f>
        <v>1.1277784430825943</v>
      </c>
      <c r="N4183" s="190">
        <f t="shared" ref="N4183" si="275">J4183/L4185</f>
        <v>0.77629884070416488</v>
      </c>
      <c r="O4183" s="190">
        <f t="shared" ref="O4183" si="276">(I4183*0.7)/(K4185+L4185)</f>
        <v>0.20499647307782742</v>
      </c>
      <c r="P4183" s="188">
        <v>1920590000</v>
      </c>
      <c r="Q4183" s="211">
        <f>P4183*E4183</f>
        <v>36587239500</v>
      </c>
      <c r="R4183" s="195">
        <f>Q4183/L4183</f>
        <v>16.891615650969531</v>
      </c>
      <c r="S4183" s="197">
        <f>Q4183/H4183</f>
        <v>13.338403025884068</v>
      </c>
      <c r="T4183" s="180">
        <v>2402000000</v>
      </c>
      <c r="U4183" s="189">
        <f>IFERROR(IF(Tableau3[[#This Row],[Dettes]]=0,"",(Tableau3[[#This Row],[Dettes]]/Tableau3[[#This Row],[EBE]])),"")</f>
        <v>2.2570178636529348</v>
      </c>
      <c r="V4183" s="190">
        <f>IFERROR(Tableau3[[#This Row],[Fonds propres]]/Tableau3[[#This Row],[Total Bilan]],"")</f>
        <v>0.15708173181521504</v>
      </c>
      <c r="W4183" s="180">
        <v>13789000000</v>
      </c>
      <c r="X4183" s="191"/>
      <c r="Y4183" s="180">
        <v>33200</v>
      </c>
      <c r="Z4183" s="192">
        <f>IFERROR(Tableau3[[#This Row],[Chiffre d''affaires]]/Tableau3[[#This Row],[Salariés]],"")</f>
        <v>237168.67469879519</v>
      </c>
      <c r="AA4183" s="197"/>
      <c r="AB4183" s="197"/>
    </row>
    <row r="4184" spans="1:29" ht="20.25" customHeight="1">
      <c r="A4184" s="217"/>
      <c r="E4184" s="187"/>
      <c r="G4184" s="202">
        <f>(G4183/G4185)-1</f>
        <v>5.0987720234917155E-2</v>
      </c>
      <c r="H4184" s="202">
        <f>(H4183/H4185)-1</f>
        <v>6.1943476577623002E-2</v>
      </c>
      <c r="I4184" s="202">
        <f>(I4183/I4185)-1</f>
        <v>6.180733162830343E-2</v>
      </c>
      <c r="J4184" s="202">
        <f>(J4183/J4185)-1</f>
        <v>8.0047789725208984E-2</v>
      </c>
      <c r="K4184" s="188"/>
      <c r="L4184" s="188"/>
      <c r="M4184" s="194"/>
      <c r="N4184" s="190"/>
      <c r="O4184" s="190"/>
      <c r="P4184" s="188"/>
      <c r="Q4184" s="188"/>
      <c r="R4184" s="195"/>
      <c r="S4184" s="197"/>
      <c r="T4184" s="180"/>
      <c r="U4184" s="189" t="str">
        <f>IFERROR(IF(Tableau3[[#This Row],[Dettes]]=0,"",(Tableau3[[#This Row],[Dettes]]/Tableau3[[#This Row],[EBE]])),"")</f>
        <v/>
      </c>
      <c r="V4184" s="190" t="str">
        <f>IFERROR(Tableau3[[#This Row],[Fonds propres]]/Tableau3[[#This Row],[Total Bilan]],"")</f>
        <v/>
      </c>
      <c r="W4184" s="180"/>
      <c r="X4184" s="191"/>
      <c r="Y4184" s="180"/>
      <c r="Z4184" s="192" t="str">
        <f>IFERROR(Tableau3[[#This Row],[Chiffre d''affaires]]/Tableau3[[#This Row],[Salariés]],"")</f>
        <v/>
      </c>
      <c r="AA4184" s="197"/>
      <c r="AB4184" s="197"/>
    </row>
    <row r="4185" spans="1:29" ht="20.25" customHeight="1">
      <c r="A4185" s="217"/>
      <c r="E4185" s="187">
        <v>20.52</v>
      </c>
      <c r="F4185" s="178">
        <v>2018</v>
      </c>
      <c r="G4185" s="188">
        <v>7492000000</v>
      </c>
      <c r="H4185" s="188">
        <v>2583000000</v>
      </c>
      <c r="I4185" s="188">
        <v>2346000000</v>
      </c>
      <c r="J4185" s="188">
        <v>1674000000</v>
      </c>
      <c r="K4185" s="188">
        <v>6177000000</v>
      </c>
      <c r="L4185" s="188">
        <v>2329000000</v>
      </c>
      <c r="M4185" s="194">
        <f>L4185/P4185</f>
        <v>1.212648196647905</v>
      </c>
      <c r="N4185" s="190">
        <f t="shared" ref="N4185" si="277">J4185/L4187</f>
        <v>0.73036649214659688</v>
      </c>
      <c r="O4185" s="190">
        <f t="shared" ref="O4185" si="278">(I4185*0.7)/(K4187+L4187)</f>
        <v>0.22391600763566949</v>
      </c>
      <c r="P4185" s="188">
        <v>1920590000</v>
      </c>
      <c r="Q4185" s="211">
        <f>P4185*E4185</f>
        <v>39410506800</v>
      </c>
      <c r="R4185" s="195">
        <f>Q4185/L4185</f>
        <v>16.921643108630313</v>
      </c>
      <c r="S4185" s="197">
        <f>Q4185/H4185</f>
        <v>15.257648780487806</v>
      </c>
      <c r="T4185" s="180">
        <v>2243000000</v>
      </c>
      <c r="U4185" s="189">
        <f>IFERROR(IF(Tableau3[[#This Row],[Dettes]]=0,"",(Tableau3[[#This Row],[Dettes]]/Tableau3[[#This Row],[EBE]])),"")</f>
        <v>2.3914053426248549</v>
      </c>
      <c r="V4185" s="190">
        <f>IFERROR(Tableau3[[#This Row],[Fonds propres]]/Tableau3[[#This Row],[Total Bilan]],"")</f>
        <v>0.16636902635902565</v>
      </c>
      <c r="W4185" s="180">
        <v>13999000000</v>
      </c>
      <c r="X4185" s="191"/>
      <c r="Y4185" s="180">
        <v>32100</v>
      </c>
      <c r="Z4185" s="192">
        <f>IFERROR(Tableau3[[#This Row],[Chiffre d''affaires]]/Tableau3[[#This Row],[Salariés]],"")</f>
        <v>233395.63862928349</v>
      </c>
      <c r="AA4185" s="197"/>
      <c r="AB4185" s="197"/>
    </row>
    <row r="4186" spans="1:29" ht="20.25" customHeight="1">
      <c r="A4186" s="217"/>
      <c r="E4186" s="187"/>
      <c r="G4186" s="202">
        <f>(G4185/G4187)-1</f>
        <v>2.0569404713254302E-2</v>
      </c>
      <c r="H4186" s="202">
        <f>(H4185/H4187)-1</f>
        <v>2.3375594294770208E-2</v>
      </c>
      <c r="I4186" s="202">
        <f>(I4185/I4187)-1</f>
        <v>2.7145359019264514E-2</v>
      </c>
      <c r="J4186" s="202">
        <f>(J4185/J4187)-1</f>
        <v>3.3333333333333437E-2</v>
      </c>
      <c r="K4186" s="188"/>
      <c r="L4186" s="188"/>
      <c r="M4186" s="194"/>
      <c r="N4186" s="190"/>
      <c r="O4186" s="190"/>
      <c r="P4186" s="188"/>
      <c r="Q4186" s="188"/>
      <c r="R4186" s="195"/>
      <c r="S4186" s="197"/>
      <c r="T4186" s="180"/>
      <c r="U4186" s="189" t="str">
        <f>IFERROR(IF(Tableau3[[#This Row],[Dettes]]=0,"",(Tableau3[[#This Row],[Dettes]]/Tableau3[[#This Row],[EBE]])),"")</f>
        <v/>
      </c>
      <c r="V4186" s="190" t="str">
        <f>IFERROR(Tableau3[[#This Row],[Fonds propres]]/Tableau3[[#This Row],[Total Bilan]],"")</f>
        <v/>
      </c>
      <c r="W4186" s="180"/>
      <c r="X4186" s="191"/>
      <c r="Y4186" s="180"/>
      <c r="Z4186" s="192" t="str">
        <f>IFERROR(Tableau3[[#This Row],[Chiffre d''affaires]]/Tableau3[[#This Row],[Salariés]],"")</f>
        <v/>
      </c>
      <c r="AA4186" s="197"/>
      <c r="AB4186" s="197"/>
    </row>
    <row r="4187" spans="1:29" ht="20.25" customHeight="1">
      <c r="A4187" s="217"/>
      <c r="E4187" s="187">
        <v>23.7</v>
      </c>
      <c r="F4187" s="178">
        <v>2017</v>
      </c>
      <c r="G4187" s="188">
        <v>7341000000</v>
      </c>
      <c r="H4187" s="188">
        <v>2524000000</v>
      </c>
      <c r="I4187" s="188">
        <v>2284000000</v>
      </c>
      <c r="J4187" s="188">
        <v>1620000000</v>
      </c>
      <c r="K4187" s="188">
        <v>5042000000</v>
      </c>
      <c r="L4187" s="188">
        <v>2292000000</v>
      </c>
      <c r="M4187" s="194">
        <f>L4187/P4187</f>
        <v>1.1933832832619142</v>
      </c>
      <c r="N4187" s="190"/>
      <c r="O4187" s="190"/>
      <c r="P4187" s="188">
        <v>1920590000</v>
      </c>
      <c r="Q4187" s="211">
        <f>P4187*E4187</f>
        <v>45517983000</v>
      </c>
      <c r="R4187" s="195">
        <f>Q4187/L4187</f>
        <v>19.859503926701571</v>
      </c>
      <c r="S4187" s="197">
        <f>Q4187/H4187</f>
        <v>18.034066164817748</v>
      </c>
      <c r="T4187" s="180"/>
      <c r="U4187" s="189">
        <f>IFERROR(IF(Tableau3[[#This Row],[Dettes]]=0,"",(Tableau3[[#This Row],[Dettes]]/Tableau3[[#This Row],[EBE]])),"")</f>
        <v>1.997622820919176</v>
      </c>
      <c r="V4187" s="190">
        <f>IFERROR(Tableau3[[#This Row],[Fonds propres]]/Tableau3[[#This Row],[Total Bilan]],"")</f>
        <v>0.18144395186827106</v>
      </c>
      <c r="W4187" s="180">
        <v>12632000000</v>
      </c>
      <c r="X4187" s="191"/>
      <c r="Y4187" s="180">
        <v>31000</v>
      </c>
      <c r="Z4187" s="192">
        <f>IFERROR(Tableau3[[#This Row],[Chiffre d''affaires]]/Tableau3[[#This Row],[Salariés]],"")</f>
        <v>236806.45161290321</v>
      </c>
      <c r="AA4187" s="197"/>
      <c r="AB4187" s="197"/>
    </row>
    <row r="4188" spans="1:29" ht="20.25" customHeight="1">
      <c r="A4188" s="217"/>
      <c r="E4188" s="187"/>
      <c r="G4188" s="188"/>
      <c r="H4188" s="188"/>
      <c r="I4188" s="188"/>
      <c r="J4188" s="188"/>
      <c r="K4188" s="188"/>
      <c r="L4188" s="188"/>
      <c r="M4188" s="194"/>
      <c r="N4188" s="190"/>
      <c r="O4188" s="190"/>
      <c r="P4188" s="188"/>
      <c r="Q4188" s="211"/>
      <c r="R4188" s="195"/>
      <c r="S4188" s="197"/>
      <c r="T4188" s="180"/>
      <c r="U4188" s="189" t="str">
        <f>IFERROR(IF(Tableau3[[#This Row],[Dettes]]=0,"",(Tableau3[[#This Row],[Dettes]]/Tableau3[[#This Row],[EBE]])),"")</f>
        <v/>
      </c>
      <c r="V4188" s="190" t="str">
        <f>IFERROR(Tableau3[[#This Row],[Fonds propres]]/Tableau3[[#This Row],[Total Bilan]],"")</f>
        <v/>
      </c>
      <c r="W4188" s="180"/>
      <c r="X4188" s="191"/>
      <c r="Y4188" s="180"/>
      <c r="Z4188" s="192" t="str">
        <f>IFERROR(Tableau3[[#This Row],[Chiffre d''affaires]]/Tableau3[[#This Row],[Salariés]],"")</f>
        <v/>
      </c>
      <c r="AA4188" s="197"/>
      <c r="AB4188" s="197"/>
    </row>
    <row r="4189" spans="1:29" ht="20.25" customHeight="1">
      <c r="A4189" s="217"/>
      <c r="E4189" s="187"/>
      <c r="F4189" s="178">
        <v>2016</v>
      </c>
      <c r="G4189" s="188"/>
      <c r="H4189" s="188"/>
      <c r="I4189" s="188"/>
      <c r="J4189" s="188"/>
      <c r="K4189" s="188"/>
      <c r="L4189" s="188"/>
      <c r="M4189" s="194"/>
      <c r="N4189" s="190"/>
      <c r="O4189" s="190"/>
      <c r="P4189" s="188"/>
      <c r="Q4189" s="211"/>
      <c r="R4189" s="195"/>
      <c r="S4189" s="197"/>
      <c r="T4189" s="180"/>
      <c r="U4189" s="189" t="str">
        <f>IFERROR(IF(Tableau3[[#This Row],[Dettes]]=0,"",(Tableau3[[#This Row],[Dettes]]/Tableau3[[#This Row],[EBE]])),"")</f>
        <v/>
      </c>
      <c r="V4189" s="190" t="str">
        <f>IFERROR(Tableau3[[#This Row],[Fonds propres]]/Tableau3[[#This Row],[Total Bilan]],"")</f>
        <v/>
      </c>
      <c r="W4189" s="180"/>
      <c r="X4189" s="191"/>
      <c r="Y4189" s="180"/>
      <c r="Z4189" s="192" t="str">
        <f>IFERROR(Tableau3[[#This Row],[Chiffre d''affaires]]/Tableau3[[#This Row],[Salariés]],"")</f>
        <v/>
      </c>
      <c r="AA4189" s="197"/>
      <c r="AB4189" s="197"/>
    </row>
    <row r="4190" spans="1:29" ht="20.25" customHeight="1">
      <c r="A4190" s="217"/>
      <c r="E4190" s="187"/>
      <c r="G4190" s="188"/>
      <c r="H4190" s="188"/>
      <c r="I4190" s="188"/>
      <c r="J4190" s="188"/>
      <c r="K4190" s="188"/>
      <c r="L4190" s="188"/>
      <c r="M4190" s="194"/>
      <c r="N4190" s="190"/>
      <c r="O4190" s="190"/>
      <c r="P4190" s="188"/>
      <c r="Q4190" s="211"/>
      <c r="R4190" s="195"/>
      <c r="S4190" s="197"/>
      <c r="T4190" s="180"/>
      <c r="U4190" s="189" t="str">
        <f>IFERROR(IF(Tableau3[[#This Row],[Dettes]]=0,"",(Tableau3[[#This Row],[Dettes]]/Tableau3[[#This Row],[EBE]])),"")</f>
        <v/>
      </c>
      <c r="V4190" s="190" t="str">
        <f>IFERROR(Tableau3[[#This Row],[Fonds propres]]/Tableau3[[#This Row],[Total Bilan]],"")</f>
        <v/>
      </c>
      <c r="W4190" s="180"/>
      <c r="X4190" s="191"/>
      <c r="Y4190" s="180"/>
      <c r="Z4190" s="192" t="str">
        <f>IFERROR(Tableau3[[#This Row],[Chiffre d''affaires]]/Tableau3[[#This Row],[Salariés]],"")</f>
        <v/>
      </c>
      <c r="AA4190" s="197"/>
      <c r="AB4190" s="197"/>
    </row>
    <row r="4191" spans="1:29" ht="20.25" customHeight="1">
      <c r="A4191" s="217"/>
      <c r="E4191" s="187"/>
      <c r="F4191" s="178">
        <v>2015</v>
      </c>
      <c r="G4191" s="188"/>
      <c r="H4191" s="188"/>
      <c r="I4191" s="188"/>
      <c r="J4191" s="188"/>
      <c r="K4191" s="188"/>
      <c r="L4191" s="188"/>
      <c r="M4191" s="194"/>
      <c r="N4191" s="190"/>
      <c r="O4191" s="190"/>
      <c r="P4191" s="188"/>
      <c r="Q4191" s="211"/>
      <c r="R4191" s="195"/>
      <c r="S4191" s="197"/>
      <c r="T4191" s="180"/>
      <c r="U4191" s="189" t="str">
        <f>IFERROR(IF(Tableau3[[#This Row],[Dettes]]=0,"",(Tableau3[[#This Row],[Dettes]]/Tableau3[[#This Row],[EBE]])),"")</f>
        <v/>
      </c>
      <c r="V4191" s="190" t="str">
        <f>IFERROR(Tableau3[[#This Row],[Fonds propres]]/Tableau3[[#This Row],[Total Bilan]],"")</f>
        <v/>
      </c>
      <c r="W4191" s="180"/>
      <c r="X4191" s="191"/>
      <c r="Y4191" s="180"/>
      <c r="Z4191" s="192" t="str">
        <f>IFERROR(Tableau3[[#This Row],[Chiffre d''affaires]]/Tableau3[[#This Row],[Salariés]],"")</f>
        <v/>
      </c>
      <c r="AA4191" s="197"/>
      <c r="AB4191" s="197"/>
    </row>
    <row r="4192" spans="1:29" ht="20.25" customHeight="1">
      <c r="A4192" s="217"/>
      <c r="E4192" s="187"/>
      <c r="G4192" s="188"/>
      <c r="H4192" s="188"/>
      <c r="I4192" s="188"/>
      <c r="J4192" s="188"/>
      <c r="K4192" s="188"/>
      <c r="L4192" s="188"/>
      <c r="M4192" s="194"/>
      <c r="N4192" s="190"/>
      <c r="O4192" s="190"/>
      <c r="P4192" s="188"/>
      <c r="Q4192" s="211"/>
      <c r="R4192" s="195"/>
      <c r="S4192" s="197"/>
      <c r="T4192" s="180"/>
      <c r="U4192" s="189" t="str">
        <f>IFERROR(IF(Tableau3[[#This Row],[Dettes]]=0,"",(Tableau3[[#This Row],[Dettes]]/Tableau3[[#This Row],[EBE]])),"")</f>
        <v/>
      </c>
      <c r="V4192" s="190" t="str">
        <f>IFERROR(Tableau3[[#This Row],[Fonds propres]]/Tableau3[[#This Row],[Total Bilan]],"")</f>
        <v/>
      </c>
      <c r="W4192" s="180"/>
      <c r="X4192" s="191"/>
      <c r="Y4192" s="180"/>
      <c r="Z4192" s="192" t="str">
        <f>IFERROR(Tableau3[[#This Row],[Chiffre d''affaires]]/Tableau3[[#This Row],[Salariés]],"")</f>
        <v/>
      </c>
      <c r="AA4192" s="197"/>
      <c r="AB4192" s="197"/>
    </row>
    <row r="4193" spans="1:29" ht="20.25" customHeight="1">
      <c r="A4193" s="217"/>
      <c r="E4193" s="187"/>
      <c r="F4193" s="178">
        <v>2014</v>
      </c>
      <c r="G4193" s="188"/>
      <c r="H4193" s="188"/>
      <c r="I4193" s="188"/>
      <c r="J4193" s="188"/>
      <c r="K4193" s="188"/>
      <c r="L4193" s="188"/>
      <c r="M4193" s="194"/>
      <c r="N4193" s="190"/>
      <c r="O4193" s="190"/>
      <c r="P4193" s="188"/>
      <c r="Q4193" s="211"/>
      <c r="R4193" s="195"/>
      <c r="S4193" s="197"/>
      <c r="T4193" s="180"/>
      <c r="U4193" s="189" t="str">
        <f>IFERROR(IF(Tableau3[[#This Row],[Dettes]]=0,"",(Tableau3[[#This Row],[Dettes]]/Tableau3[[#This Row],[EBE]])),"")</f>
        <v/>
      </c>
      <c r="V4193" s="190" t="str">
        <f>IFERROR(Tableau3[[#This Row],[Fonds propres]]/Tableau3[[#This Row],[Total Bilan]],"")</f>
        <v/>
      </c>
      <c r="W4193" s="180"/>
      <c r="X4193" s="191"/>
      <c r="Y4193" s="180"/>
      <c r="Z4193" s="192" t="str">
        <f>IFERROR(Tableau3[[#This Row],[Chiffre d''affaires]]/Tableau3[[#This Row],[Salariés]],"")</f>
        <v/>
      </c>
      <c r="AA4193" s="197"/>
      <c r="AB4193" s="197"/>
    </row>
    <row r="4194" spans="1:29" ht="20.25" customHeight="1">
      <c r="A4194" s="217"/>
      <c r="E4194" s="187"/>
      <c r="G4194" s="188"/>
      <c r="H4194" s="188"/>
      <c r="I4194" s="188"/>
      <c r="J4194" s="188"/>
      <c r="K4194" s="188"/>
      <c r="L4194" s="188"/>
      <c r="M4194" s="194"/>
      <c r="N4194" s="190"/>
      <c r="O4194" s="190"/>
      <c r="P4194" s="188"/>
      <c r="Q4194" s="211"/>
      <c r="R4194" s="195"/>
      <c r="S4194" s="197"/>
      <c r="T4194" s="180"/>
      <c r="U4194" s="189" t="str">
        <f>IFERROR(IF(Tableau3[[#This Row],[Dettes]]=0,"",(Tableau3[[#This Row],[Dettes]]/Tableau3[[#This Row],[EBE]])),"")</f>
        <v/>
      </c>
      <c r="V4194" s="190" t="str">
        <f>IFERROR(Tableau3[[#This Row],[Fonds propres]]/Tableau3[[#This Row],[Total Bilan]],"")</f>
        <v/>
      </c>
      <c r="W4194" s="180"/>
      <c r="X4194" s="191"/>
      <c r="Y4194" s="180"/>
      <c r="Z4194" s="192" t="str">
        <f>IFERROR(Tableau3[[#This Row],[Chiffre d''affaires]]/Tableau3[[#This Row],[Salariés]],"")</f>
        <v/>
      </c>
      <c r="AA4194" s="197"/>
      <c r="AB4194" s="197"/>
    </row>
    <row r="4195" spans="1:29" ht="20.25" customHeight="1">
      <c r="A4195" s="217"/>
      <c r="E4195" s="187"/>
      <c r="F4195" s="178">
        <v>2013</v>
      </c>
      <c r="G4195" s="188"/>
      <c r="H4195" s="188"/>
      <c r="I4195" s="188"/>
      <c r="J4195" s="188"/>
      <c r="K4195" s="188"/>
      <c r="L4195" s="188"/>
      <c r="M4195" s="194"/>
      <c r="N4195" s="190"/>
      <c r="O4195" s="190"/>
      <c r="P4195" s="188"/>
      <c r="Q4195" s="211"/>
      <c r="R4195" s="195"/>
      <c r="S4195" s="197"/>
      <c r="T4195" s="180"/>
      <c r="U4195" s="189" t="str">
        <f>IFERROR(IF(Tableau3[[#This Row],[Dettes]]=0,"",(Tableau3[[#This Row],[Dettes]]/Tableau3[[#This Row],[EBE]])),"")</f>
        <v/>
      </c>
      <c r="V4195" s="190" t="str">
        <f>IFERROR(Tableau3[[#This Row],[Fonds propres]]/Tableau3[[#This Row],[Total Bilan]],"")</f>
        <v/>
      </c>
      <c r="W4195" s="180"/>
      <c r="X4195" s="191"/>
      <c r="Y4195" s="180"/>
      <c r="Z4195" s="192" t="str">
        <f>IFERROR(Tableau3[[#This Row],[Chiffre d''affaires]]/Tableau3[[#This Row],[Salariés]],"")</f>
        <v/>
      </c>
      <c r="AA4195" s="197"/>
      <c r="AB4195" s="197"/>
    </row>
    <row r="4196" spans="1:29" ht="20.25" customHeight="1">
      <c r="A4196" s="217"/>
      <c r="E4196" s="187"/>
      <c r="G4196" s="188"/>
      <c r="H4196" s="188"/>
      <c r="I4196" s="188"/>
      <c r="J4196" s="188"/>
      <c r="K4196" s="188"/>
      <c r="L4196" s="188"/>
      <c r="M4196" s="194"/>
      <c r="N4196" s="190"/>
      <c r="O4196" s="190"/>
      <c r="P4196" s="188"/>
      <c r="Q4196" s="211"/>
      <c r="R4196" s="195"/>
      <c r="S4196" s="197"/>
      <c r="T4196" s="180"/>
      <c r="U4196" s="189" t="str">
        <f>IFERROR(IF(Tableau3[[#This Row],[Dettes]]=0,"",(Tableau3[[#This Row],[Dettes]]/Tableau3[[#This Row],[EBE]])),"")</f>
        <v/>
      </c>
      <c r="V4196" s="190" t="str">
        <f>IFERROR(Tableau3[[#This Row],[Fonds propres]]/Tableau3[[#This Row],[Total Bilan]],"")</f>
        <v/>
      </c>
      <c r="W4196" s="180"/>
      <c r="X4196" s="191"/>
      <c r="Y4196" s="180"/>
      <c r="Z4196" s="192" t="str">
        <f>IFERROR(Tableau3[[#This Row],[Chiffre d''affaires]]/Tableau3[[#This Row],[Salariés]],"")</f>
        <v/>
      </c>
      <c r="AA4196" s="197"/>
      <c r="AB4196" s="197"/>
    </row>
    <row r="4197" spans="1:29" ht="20.25" customHeight="1">
      <c r="A4197" s="217"/>
      <c r="E4197" s="187"/>
      <c r="F4197" s="178">
        <v>2012</v>
      </c>
      <c r="G4197" s="188"/>
      <c r="H4197" s="188"/>
      <c r="I4197" s="188"/>
      <c r="J4197" s="188"/>
      <c r="K4197" s="188"/>
      <c r="L4197" s="188"/>
      <c r="M4197" s="194"/>
      <c r="N4197" s="190"/>
      <c r="O4197" s="190"/>
      <c r="P4197" s="188"/>
      <c r="Q4197" s="211"/>
      <c r="R4197" s="195"/>
      <c r="S4197" s="197"/>
      <c r="T4197" s="180"/>
      <c r="U4197" s="189" t="str">
        <f>IFERROR(IF(Tableau3[[#This Row],[Dettes]]=0,"",(Tableau3[[#This Row],[Dettes]]/Tableau3[[#This Row],[EBE]])),"")</f>
        <v/>
      </c>
      <c r="V4197" s="190" t="str">
        <f>IFERROR(Tableau3[[#This Row],[Fonds propres]]/Tableau3[[#This Row],[Total Bilan]],"")</f>
        <v/>
      </c>
      <c r="W4197" s="180"/>
      <c r="X4197" s="191"/>
      <c r="Y4197" s="180"/>
      <c r="Z4197" s="192" t="str">
        <f>IFERROR(Tableau3[[#This Row],[Chiffre d''affaires]]/Tableau3[[#This Row],[Salariés]],"")</f>
        <v/>
      </c>
      <c r="AA4197" s="197"/>
      <c r="AB4197" s="197"/>
    </row>
    <row r="4198" spans="1:29" ht="20.25" customHeight="1">
      <c r="A4198" s="217"/>
      <c r="E4198" s="187"/>
      <c r="G4198" s="188"/>
      <c r="H4198" s="188"/>
      <c r="I4198" s="188"/>
      <c r="J4198" s="188"/>
      <c r="K4198" s="188"/>
      <c r="L4198" s="188"/>
      <c r="M4198" s="194"/>
      <c r="N4198" s="190"/>
      <c r="O4198" s="190"/>
      <c r="P4198" s="188"/>
      <c r="Q4198" s="188"/>
      <c r="R4198" s="195"/>
      <c r="S4198" s="197"/>
      <c r="T4198" s="180"/>
      <c r="U4198" s="189" t="str">
        <f>IFERROR(IF(Tableau3[[#This Row],[Dettes]]=0,"",(Tableau3[[#This Row],[Dettes]]/Tableau3[[#This Row],[EBE]])),"")</f>
        <v/>
      </c>
      <c r="V4198" s="190" t="str">
        <f>IFERROR(Tableau3[[#This Row],[Fonds propres]]/Tableau3[[#This Row],[Total Bilan]],"")</f>
        <v/>
      </c>
      <c r="W4198" s="180"/>
      <c r="X4198" s="191"/>
      <c r="Y4198" s="180"/>
      <c r="Z4198" s="192" t="str">
        <f>IFERROR(Tableau3[[#This Row],[Chiffre d''affaires]]/Tableau3[[#This Row],[Salariés]],"")</f>
        <v/>
      </c>
      <c r="AA4198" s="197"/>
      <c r="AB4198" s="197"/>
    </row>
    <row r="4199" spans="1:29" ht="20.25" customHeight="1">
      <c r="A4199" s="217"/>
      <c r="E4199" s="187"/>
      <c r="G4199" s="188"/>
      <c r="H4199" s="188"/>
      <c r="I4199" s="188"/>
      <c r="J4199" s="188"/>
      <c r="K4199" s="188"/>
      <c r="L4199" s="188"/>
      <c r="M4199" s="194"/>
      <c r="N4199" s="190"/>
      <c r="O4199" s="190"/>
      <c r="P4199" s="188"/>
      <c r="Q4199" s="188"/>
      <c r="R4199" s="195"/>
      <c r="S4199" s="197"/>
      <c r="T4199" s="180"/>
      <c r="U4199" s="189" t="str">
        <f>IFERROR(IF(Tableau3[[#This Row],[Dettes]]=0,"",(Tableau3[[#This Row],[Dettes]]/Tableau3[[#This Row],[EBE]])),"")</f>
        <v/>
      </c>
      <c r="V4199" s="190" t="str">
        <f>IFERROR(Tableau3[[#This Row],[Fonds propres]]/Tableau3[[#This Row],[Total Bilan]],"")</f>
        <v/>
      </c>
      <c r="W4199" s="180"/>
      <c r="X4199" s="191"/>
      <c r="Y4199" s="180"/>
      <c r="Z4199" s="192"/>
      <c r="AA4199" s="197"/>
      <c r="AB4199" s="197"/>
    </row>
    <row r="4200" spans="1:29" ht="20.25" customHeight="1">
      <c r="A4200" s="217"/>
      <c r="G4200" s="188"/>
      <c r="H4200" s="188"/>
      <c r="I4200" s="178"/>
      <c r="J4200" s="178"/>
      <c r="K4200" s="178"/>
      <c r="L4200" s="178"/>
      <c r="M4200" s="178"/>
      <c r="N4200" s="178"/>
      <c r="O4200" s="178"/>
      <c r="P4200" s="178"/>
      <c r="Q4200" s="178"/>
      <c r="R4200" s="178"/>
      <c r="S4200" s="178"/>
      <c r="T4200" s="180"/>
      <c r="U4200" s="189" t="str">
        <f>IFERROR(IF(Tableau3[[#This Row],[Dettes]]=0,"",(Tableau3[[#This Row],[Dettes]]/Tableau3[[#This Row],[EBE]])),"")</f>
        <v/>
      </c>
      <c r="V4200" s="190" t="str">
        <f>IFERROR(Tableau3[[#This Row],[Fonds propres]]/Tableau3[[#This Row],[Total Bilan]],"")</f>
        <v/>
      </c>
      <c r="W4200" s="180"/>
      <c r="Y4200" s="180"/>
      <c r="Z4200" s="192" t="str">
        <f>IFERROR(Tableau3[[#This Row],[Chiffre d''affaires]]/Tableau3[[#This Row],[Salariés]],"")</f>
        <v/>
      </c>
    </row>
    <row r="4201" spans="1:29" ht="20.25" customHeight="1">
      <c r="A4201" s="217" t="s">
        <v>2927</v>
      </c>
      <c r="B4201" s="216" t="s">
        <v>2928</v>
      </c>
      <c r="C4201" s="178" t="s">
        <v>427</v>
      </c>
      <c r="D4201" s="178" t="s">
        <v>2929</v>
      </c>
      <c r="E4201" s="187">
        <v>22.51</v>
      </c>
      <c r="F4201" s="178">
        <v>2022</v>
      </c>
      <c r="G4201" s="188"/>
      <c r="H4201" s="188"/>
      <c r="I4201" s="178"/>
      <c r="J4201" s="178"/>
      <c r="K4201" s="178"/>
      <c r="L4201" s="178"/>
      <c r="M4201" s="178"/>
      <c r="N4201" s="178"/>
      <c r="O4201" s="178"/>
      <c r="P4201" s="188"/>
      <c r="Q4201" s="178"/>
      <c r="R4201" s="178"/>
      <c r="S4201" s="178"/>
      <c r="T4201" s="180"/>
      <c r="U4201" s="189" t="str">
        <f>IFERROR(IF(Tableau3[[#This Row],[Dettes]]=0,"",(Tableau3[[#This Row],[Dettes]]/Tableau3[[#This Row],[EBE]])),"")</f>
        <v/>
      </c>
      <c r="V4201" s="190" t="str">
        <f>IFERROR(Tableau3[[#This Row],[Fonds propres]]/Tableau3[[#This Row],[Total Bilan]],"")</f>
        <v/>
      </c>
      <c r="W4201" s="180"/>
      <c r="Y4201" s="180"/>
      <c r="Z4201" s="192" t="str">
        <f>IFERROR(Tableau3[[#This Row],[Chiffre d''affaires]]/Tableau3[[#This Row],[Salariés]],"")</f>
        <v/>
      </c>
      <c r="AC4201" s="177" t="s">
        <v>1137</v>
      </c>
    </row>
    <row r="4202" spans="1:29" ht="20.25" customHeight="1">
      <c r="A4202" s="217"/>
      <c r="E4202" s="187"/>
      <c r="G4202" s="188"/>
      <c r="H4202" s="188"/>
      <c r="I4202" s="178"/>
      <c r="J4202" s="178"/>
      <c r="K4202" s="178"/>
      <c r="L4202" s="178"/>
      <c r="M4202" s="178"/>
      <c r="N4202" s="178"/>
      <c r="O4202" s="178"/>
      <c r="P4202" s="188"/>
      <c r="Q4202" s="178"/>
      <c r="R4202" s="178"/>
      <c r="S4202" s="178"/>
      <c r="T4202" s="180"/>
      <c r="U4202" s="189" t="str">
        <f>IFERROR(IF(Tableau3[[#This Row],[Dettes]]=0,"",(Tableau3[[#This Row],[Dettes]]/Tableau3[[#This Row],[EBE]])),"")</f>
        <v/>
      </c>
      <c r="V4202" s="190" t="str">
        <f>IFERROR(Tableau3[[#This Row],[Fonds propres]]/Tableau3[[#This Row],[Total Bilan]],"")</f>
        <v/>
      </c>
      <c r="W4202" s="180"/>
      <c r="Y4202" s="180"/>
      <c r="Z4202" s="192" t="str">
        <f>IFERROR(Tableau3[[#This Row],[Chiffre d''affaires]]/Tableau3[[#This Row],[Salariés]],"")</f>
        <v/>
      </c>
      <c r="AC4202" s="177" t="s">
        <v>2930</v>
      </c>
    </row>
    <row r="4203" spans="1:29" ht="20.25" customHeight="1">
      <c r="A4203" s="217"/>
      <c r="E4203" s="187">
        <v>25.05</v>
      </c>
      <c r="F4203" s="178">
        <v>2021</v>
      </c>
      <c r="G4203" s="188">
        <v>8504000000</v>
      </c>
      <c r="H4203" s="188">
        <v>1686000000</v>
      </c>
      <c r="I4203" s="188">
        <v>1399000000</v>
      </c>
      <c r="J4203" s="188">
        <v>886000000</v>
      </c>
      <c r="K4203" s="188">
        <v>2010000000</v>
      </c>
      <c r="L4203" s="188">
        <v>2000000000</v>
      </c>
      <c r="M4203" s="194">
        <f>L4203/P4203</f>
        <v>1.1029152255241053</v>
      </c>
      <c r="N4203" s="190">
        <f>J4203/L4203</f>
        <v>0.443</v>
      </c>
      <c r="O4203" s="190">
        <f>(I4203*0.7)/(K4203+L4203)</f>
        <v>0.24421446384039897</v>
      </c>
      <c r="P4203" s="188">
        <v>1813376000</v>
      </c>
      <c r="Q4203" s="211">
        <f>P4203*E4203</f>
        <v>45425068800</v>
      </c>
      <c r="R4203" s="195">
        <f>Q4203/L4203</f>
        <v>22.712534399999999</v>
      </c>
      <c r="S4203" s="197">
        <f>Q4203/H4203</f>
        <v>26.942508185053381</v>
      </c>
      <c r="T4203" s="180">
        <v>638000000</v>
      </c>
      <c r="U4203" s="189">
        <f>IFERROR(IF(Tableau3[[#This Row],[Dettes]]=0,"",(Tableau3[[#This Row],[Dettes]]/Tableau3[[#This Row],[EBE]])),"")</f>
        <v>1.1921708185053381</v>
      </c>
      <c r="V4203" s="190" t="str">
        <f>IFERROR(Tableau3[[#This Row],[Fonds propres]]/Tableau3[[#This Row],[Total Bilan]],"")</f>
        <v/>
      </c>
      <c r="W4203" s="180"/>
      <c r="Y4203" s="180">
        <v>9505</v>
      </c>
      <c r="Z4203" s="192">
        <f>IFERROR(Tableau3[[#This Row],[Chiffre d''affaires]]/Tableau3[[#This Row],[Salariés]],"")</f>
        <v>894687.00683850609</v>
      </c>
      <c r="AC4203" s="177" t="s">
        <v>2931</v>
      </c>
    </row>
    <row r="4204" spans="1:29" ht="20.25" customHeight="1">
      <c r="A4204" s="217"/>
      <c r="E4204" s="187"/>
      <c r="G4204" s="202">
        <f>(G4203/G4205)-1</f>
        <v>0.14424111948331531</v>
      </c>
      <c r="H4204" s="202">
        <f>(H4203/H4205)-1</f>
        <v>0.13382649630127763</v>
      </c>
      <c r="I4204" s="202">
        <f>(I4203/I4205)-1</f>
        <v>0.14578214578214577</v>
      </c>
      <c r="J4204" s="202">
        <f>(J4203/J4205)-1</f>
        <v>-0.35139092240117131</v>
      </c>
      <c r="K4204" s="188"/>
      <c r="L4204" s="178"/>
      <c r="M4204" s="178"/>
      <c r="N4204" s="178"/>
      <c r="O4204" s="178"/>
      <c r="P4204" s="188"/>
      <c r="Q4204" s="188"/>
      <c r="R4204" s="195"/>
      <c r="S4204" s="197"/>
      <c r="T4204" s="180"/>
      <c r="U4204" s="189" t="str">
        <f>IFERROR(IF(Tableau3[[#This Row],[Dettes]]=0,"",(Tableau3[[#This Row],[Dettes]]/Tableau3[[#This Row],[EBE]])),"")</f>
        <v/>
      </c>
      <c r="V4204" s="190" t="str">
        <f>IFERROR(Tableau3[[#This Row],[Fonds propres]]/Tableau3[[#This Row],[Total Bilan]],"")</f>
        <v/>
      </c>
      <c r="W4204" s="180"/>
      <c r="Y4204" s="180"/>
      <c r="Z4204" s="192" t="str">
        <f>IFERROR(Tableau3[[#This Row],[Chiffre d''affaires]]/Tableau3[[#This Row],[Salariés]],"")</f>
        <v/>
      </c>
      <c r="AC4204" s="177" t="s">
        <v>2932</v>
      </c>
    </row>
    <row r="4205" spans="1:29" ht="20.25" customHeight="1">
      <c r="A4205" s="217"/>
      <c r="E4205" s="187"/>
      <c r="F4205" s="178">
        <v>2020</v>
      </c>
      <c r="G4205" s="188">
        <v>7432000000</v>
      </c>
      <c r="H4205" s="188">
        <v>1487000000</v>
      </c>
      <c r="I4205" s="188">
        <v>1221000000</v>
      </c>
      <c r="J4205" s="188">
        <v>1366000000</v>
      </c>
      <c r="K4205" s="188">
        <v>1868000000</v>
      </c>
      <c r="L4205" s="188">
        <v>2000000000</v>
      </c>
      <c r="M4205" s="194">
        <f>L4205/P4205</f>
        <v>1.1029152255241053</v>
      </c>
      <c r="N4205" s="190">
        <f>J4205/L4205</f>
        <v>0.68300000000000005</v>
      </c>
      <c r="O4205" s="190">
        <f>(I4205*0.7)/(K4205+L4205)</f>
        <v>0.22096690796277146</v>
      </c>
      <c r="P4205" s="188">
        <v>1813376000</v>
      </c>
      <c r="Q4205" s="211">
        <f>P4205*E4205</f>
        <v>0</v>
      </c>
      <c r="R4205" s="195">
        <f>Q4205/L4205</f>
        <v>0</v>
      </c>
      <c r="S4205" s="197">
        <f>Q4205/H4205</f>
        <v>0</v>
      </c>
      <c r="T4205" s="180">
        <v>-158000000</v>
      </c>
      <c r="U4205" s="189">
        <f>IFERROR(IF(Tableau3[[#This Row],[Dettes]]=0,"",(Tableau3[[#This Row],[Dettes]]/Tableau3[[#This Row],[EBE]])),"")</f>
        <v>1.2562205783456624</v>
      </c>
      <c r="V4205" s="190" t="str">
        <f>IFERROR(Tableau3[[#This Row],[Fonds propres]]/Tableau3[[#This Row],[Total Bilan]],"")</f>
        <v/>
      </c>
      <c r="W4205" s="180"/>
      <c r="Y4205" s="180">
        <v>9505</v>
      </c>
      <c r="Z4205" s="192">
        <f>IFERROR(Tableau3[[#This Row],[Chiffre d''affaires]]/Tableau3[[#This Row],[Salariés]],"")</f>
        <v>781904.26091530768</v>
      </c>
      <c r="AC4205" s="177" t="s">
        <v>2933</v>
      </c>
    </row>
    <row r="4206" spans="1:29" ht="20.25" customHeight="1">
      <c r="A4206" s="217"/>
      <c r="E4206" s="187"/>
      <c r="G4206" s="202">
        <f>(G4205/G4207)-1</f>
        <v>3.8133817572286732E-2</v>
      </c>
      <c r="H4206" s="202">
        <f>(H4205/H4207)-1</f>
        <v>0.17363851617995274</v>
      </c>
      <c r="I4206" s="202">
        <f>(I4205/I4207)-1</f>
        <v>0.17516843118383063</v>
      </c>
      <c r="J4206" s="202">
        <f>(J4205/J4207)-1</f>
        <v>0.40534979423868323</v>
      </c>
      <c r="K4206" s="188"/>
      <c r="L4206" s="178"/>
      <c r="M4206" s="178"/>
      <c r="N4206" s="178"/>
      <c r="O4206" s="178"/>
      <c r="P4206" s="188"/>
      <c r="Q4206" s="188"/>
      <c r="R4206" s="195"/>
      <c r="S4206" s="197"/>
      <c r="T4206" s="180"/>
      <c r="U4206" s="189" t="str">
        <f>IFERROR(IF(Tableau3[[#This Row],[Dettes]]=0,"",(Tableau3[[#This Row],[Dettes]]/Tableau3[[#This Row],[EBE]])),"")</f>
        <v/>
      </c>
      <c r="V4206" s="190" t="str">
        <f>IFERROR(Tableau3[[#This Row],[Fonds propres]]/Tableau3[[#This Row],[Total Bilan]],"")</f>
        <v/>
      </c>
      <c r="W4206" s="180"/>
      <c r="Y4206" s="180"/>
      <c r="Z4206" s="192" t="str">
        <f>IFERROR(Tableau3[[#This Row],[Chiffre d''affaires]]/Tableau3[[#This Row],[Salariés]],"")</f>
        <v/>
      </c>
      <c r="AC4206" s="177" t="s">
        <v>2926</v>
      </c>
    </row>
    <row r="4207" spans="1:29" ht="20.25" customHeight="1">
      <c r="A4207" s="217"/>
      <c r="E4207" s="187"/>
      <c r="F4207" s="178">
        <v>2019</v>
      </c>
      <c r="G4207" s="188">
        <v>7159000000</v>
      </c>
      <c r="H4207" s="188">
        <v>1267000000</v>
      </c>
      <c r="I4207" s="188">
        <v>1039000000</v>
      </c>
      <c r="J4207" s="188">
        <v>972000000</v>
      </c>
      <c r="K4207" s="188">
        <v>-993000000</v>
      </c>
      <c r="L4207" s="188">
        <v>2000000000</v>
      </c>
      <c r="M4207" s="194">
        <f>L4207/P4207</f>
        <v>1.1029152255241053</v>
      </c>
      <c r="N4207" s="190">
        <f>J4207/L4207</f>
        <v>0.48599999999999999</v>
      </c>
      <c r="O4207" s="190">
        <f>(I4207*0.7)/(K4207+L4207)</f>
        <v>0.72224428997020851</v>
      </c>
      <c r="P4207" s="188">
        <v>1813376000</v>
      </c>
      <c r="Q4207" s="211">
        <f>P4207*E4207</f>
        <v>0</v>
      </c>
      <c r="R4207" s="195">
        <f>Q4207/L4207</f>
        <v>0</v>
      </c>
      <c r="S4207" s="197">
        <f>Q4207/H4207</f>
        <v>0</v>
      </c>
      <c r="T4207" s="180">
        <v>485000000</v>
      </c>
      <c r="U4207" s="189">
        <f>IFERROR(IF(Tableau3[[#This Row],[Dettes]]=0,"",(Tableau3[[#This Row],[Dettes]]/Tableau3[[#This Row],[EBE]])),"")</f>
        <v>-0.78374112075769531</v>
      </c>
      <c r="V4207" s="190" t="str">
        <f>IFERROR(Tableau3[[#This Row],[Fonds propres]]/Tableau3[[#This Row],[Total Bilan]],"")</f>
        <v/>
      </c>
      <c r="W4207" s="180"/>
      <c r="Y4207" s="180">
        <v>9505</v>
      </c>
      <c r="Z4207" s="192">
        <f>IFERROR(Tableau3[[#This Row],[Chiffre d''affaires]]/Tableau3[[#This Row],[Salariés]],"")</f>
        <v>753182.53550762753</v>
      </c>
      <c r="AC4207" s="177" t="s">
        <v>2631</v>
      </c>
    </row>
    <row r="4208" spans="1:29" ht="20.25" customHeight="1">
      <c r="A4208" s="217"/>
      <c r="E4208" s="187"/>
      <c r="G4208" s="188"/>
      <c r="H4208" s="188"/>
      <c r="I4208" s="178"/>
      <c r="J4208" s="188"/>
      <c r="K4208" s="188"/>
      <c r="L4208" s="178"/>
      <c r="M4208" s="178"/>
      <c r="N4208" s="178"/>
      <c r="O4208" s="178"/>
      <c r="P4208" s="188"/>
      <c r="Q4208" s="188"/>
      <c r="R4208" s="195"/>
      <c r="S4208" s="197"/>
      <c r="T4208" s="180"/>
      <c r="U4208" s="189" t="str">
        <f>IFERROR(IF(Tableau3[[#This Row],[Dettes]]=0,"",(Tableau3[[#This Row],[Dettes]]/Tableau3[[#This Row],[EBE]])),"")</f>
        <v/>
      </c>
      <c r="V4208" s="190" t="str">
        <f>IFERROR(Tableau3[[#This Row],[Fonds propres]]/Tableau3[[#This Row],[Total Bilan]],"")</f>
        <v/>
      </c>
      <c r="W4208" s="180"/>
      <c r="Y4208" s="180"/>
      <c r="Z4208" s="192" t="str">
        <f>IFERROR(Tableau3[[#This Row],[Chiffre d''affaires]]/Tableau3[[#This Row],[Salariés]],"")</f>
        <v/>
      </c>
    </row>
    <row r="4209" spans="1:29" ht="20.25" customHeight="1">
      <c r="A4209" s="217"/>
      <c r="E4209" s="187"/>
      <c r="G4209" s="188"/>
      <c r="H4209" s="188"/>
      <c r="I4209" s="178"/>
      <c r="J4209" s="188"/>
      <c r="K4209" s="188"/>
      <c r="L4209" s="178"/>
      <c r="M4209" s="178"/>
      <c r="N4209" s="178"/>
      <c r="O4209" s="178"/>
      <c r="P4209" s="188"/>
      <c r="Q4209" s="178"/>
      <c r="R4209" s="178"/>
      <c r="S4209" s="178"/>
      <c r="T4209" s="180"/>
      <c r="U4209" s="189" t="str">
        <f>IFERROR(IF(Tableau3[[#This Row],[Dettes]]=0,"",(Tableau3[[#This Row],[Dettes]]/Tableau3[[#This Row],[EBE]])),"")</f>
        <v/>
      </c>
      <c r="V4209" s="190" t="str">
        <f>IFERROR(Tableau3[[#This Row],[Fonds propres]]/Tableau3[[#This Row],[Total Bilan]],"")</f>
        <v/>
      </c>
      <c r="W4209" s="180"/>
      <c r="Y4209" s="180"/>
      <c r="Z4209" s="192" t="str">
        <f>IFERROR(Tableau3[[#This Row],[Chiffre d''affaires]]/Tableau3[[#This Row],[Salariés]],"")</f>
        <v/>
      </c>
    </row>
    <row r="4210" spans="1:29" ht="20.25" customHeight="1">
      <c r="A4210" s="217"/>
      <c r="E4210" s="187"/>
      <c r="G4210" s="188"/>
      <c r="H4210" s="188"/>
      <c r="I4210" s="178"/>
      <c r="J4210" s="178"/>
      <c r="K4210" s="178"/>
      <c r="L4210" s="178"/>
      <c r="M4210" s="178"/>
      <c r="N4210" s="178"/>
      <c r="O4210" s="178"/>
      <c r="P4210" s="188"/>
      <c r="Q4210" s="178"/>
      <c r="R4210" s="178"/>
      <c r="S4210" s="178"/>
      <c r="T4210" s="180"/>
      <c r="U4210" s="189" t="str">
        <f>IFERROR(IF(Tableau3[[#This Row],[Dettes]]=0,"",(Tableau3[[#This Row],[Dettes]]/Tableau3[[#This Row],[EBE]])),"")</f>
        <v/>
      </c>
      <c r="V4210" s="190" t="str">
        <f>IFERROR(Tableau3[[#This Row],[Fonds propres]]/Tableau3[[#This Row],[Total Bilan]],"")</f>
        <v/>
      </c>
      <c r="W4210" s="180"/>
      <c r="Y4210" s="180"/>
      <c r="Z4210" s="192" t="str">
        <f>IFERROR(Tableau3[[#This Row],[Chiffre d''affaires]]/Tableau3[[#This Row],[Salariés]],"")</f>
        <v/>
      </c>
    </row>
    <row r="4211" spans="1:29" ht="20.25" customHeight="1">
      <c r="A4211" s="217" t="s">
        <v>2934</v>
      </c>
      <c r="B4211" s="216" t="s">
        <v>2935</v>
      </c>
      <c r="C4211" s="178" t="s">
        <v>84</v>
      </c>
      <c r="D4211" s="178" t="s">
        <v>2929</v>
      </c>
      <c r="E4211" s="187">
        <v>2.9</v>
      </c>
      <c r="F4211" s="178">
        <v>2022</v>
      </c>
      <c r="G4211" s="188">
        <v>455000000</v>
      </c>
      <c r="H4211" s="188"/>
      <c r="I4211" s="178"/>
      <c r="J4211" s="188">
        <v>-100000000</v>
      </c>
      <c r="K4211" s="178"/>
      <c r="L4211" s="178"/>
      <c r="M4211" s="178"/>
      <c r="N4211" s="178"/>
      <c r="O4211" s="178"/>
      <c r="P4211" s="188">
        <v>112999100</v>
      </c>
      <c r="Q4211" s="211">
        <f>P4211*E4211</f>
        <v>327697390</v>
      </c>
      <c r="R4211" s="178"/>
      <c r="S4211" s="178"/>
      <c r="T4211" s="180"/>
      <c r="U4211" s="189" t="str">
        <f>IFERROR(IF(Tableau3[[#This Row],[Dettes]]=0,"",(Tableau3[[#This Row],[Dettes]]/Tableau3[[#This Row],[EBE]])),"")</f>
        <v/>
      </c>
      <c r="V4211" s="190" t="str">
        <f>IFERROR(Tableau3[[#This Row],[Fonds propres]]/Tableau3[[#This Row],[Total Bilan]],"")</f>
        <v/>
      </c>
      <c r="W4211" s="180"/>
      <c r="Y4211" s="180"/>
      <c r="Z4211" s="192" t="str">
        <f>IFERROR(Tableau3[[#This Row],[Chiffre d''affaires]]/Tableau3[[#This Row],[Salariés]],"")</f>
        <v/>
      </c>
      <c r="AC4211" s="177" t="s">
        <v>2936</v>
      </c>
    </row>
    <row r="4212" spans="1:29" ht="20.25" customHeight="1">
      <c r="A4212" s="217"/>
      <c r="G4212" s="188"/>
      <c r="H4212" s="188"/>
      <c r="I4212" s="178"/>
      <c r="J4212" s="178"/>
      <c r="K4212" s="178"/>
      <c r="L4212" s="178"/>
      <c r="M4212" s="178"/>
      <c r="N4212" s="178"/>
      <c r="O4212" s="178"/>
      <c r="P4212" s="178"/>
      <c r="Q4212" s="178"/>
      <c r="R4212" s="178"/>
      <c r="S4212" s="178"/>
      <c r="T4212" s="180"/>
      <c r="U4212" s="189" t="str">
        <f>IFERROR(IF(Tableau3[[#This Row],[Dettes]]=0,"",(Tableau3[[#This Row],[Dettes]]/Tableau3[[#This Row],[EBE]])),"")</f>
        <v/>
      </c>
      <c r="V4212" s="190" t="str">
        <f>IFERROR(Tableau3[[#This Row],[Fonds propres]]/Tableau3[[#This Row],[Total Bilan]],"")</f>
        <v/>
      </c>
      <c r="W4212" s="180"/>
      <c r="Y4212" s="180"/>
      <c r="Z4212" s="192" t="str">
        <f>IFERROR(Tableau3[[#This Row],[Chiffre d''affaires]]/Tableau3[[#This Row],[Salariés]],"")</f>
        <v/>
      </c>
      <c r="AC4212" s="177" t="s">
        <v>2937</v>
      </c>
    </row>
    <row r="4213" spans="1:29" ht="20.25" customHeight="1">
      <c r="A4213" s="217"/>
      <c r="F4213" s="217" t="s">
        <v>2938</v>
      </c>
      <c r="G4213" s="188"/>
      <c r="H4213" s="188"/>
      <c r="I4213" s="178"/>
      <c r="J4213" s="178"/>
      <c r="K4213" s="178"/>
      <c r="L4213" s="178"/>
      <c r="M4213" s="178"/>
      <c r="N4213" s="178"/>
      <c r="O4213" s="178"/>
      <c r="P4213" s="178"/>
      <c r="Q4213" s="178"/>
      <c r="R4213" s="178"/>
      <c r="S4213" s="178"/>
      <c r="T4213" s="180"/>
      <c r="U4213" s="189" t="str">
        <f>IFERROR(IF(Tableau3[[#This Row],[Dettes]]=0,"",(Tableau3[[#This Row],[Dettes]]/Tableau3[[#This Row],[EBE]])),"")</f>
        <v/>
      </c>
      <c r="V4213" s="190" t="str">
        <f>IFERROR(Tableau3[[#This Row],[Fonds propres]]/Tableau3[[#This Row],[Total Bilan]],"")</f>
        <v/>
      </c>
      <c r="W4213" s="180"/>
      <c r="Y4213" s="180"/>
      <c r="Z4213" s="192" t="str">
        <f>IFERROR(Tableau3[[#This Row],[Chiffre d''affaires]]/Tableau3[[#This Row],[Salariés]],"")</f>
        <v/>
      </c>
      <c r="AC4213" s="177" t="s">
        <v>2939</v>
      </c>
    </row>
    <row r="4214" spans="1:29" ht="20.25" customHeight="1">
      <c r="A4214" s="217"/>
      <c r="G4214" s="188"/>
      <c r="H4214" s="188"/>
      <c r="I4214" s="178"/>
      <c r="J4214" s="178"/>
      <c r="K4214" s="178"/>
      <c r="L4214" s="178"/>
      <c r="M4214" s="178"/>
      <c r="N4214" s="178"/>
      <c r="O4214" s="178"/>
      <c r="P4214" s="178"/>
      <c r="Q4214" s="178"/>
      <c r="R4214" s="178"/>
      <c r="S4214" s="178"/>
      <c r="T4214" s="180"/>
      <c r="U4214" s="189" t="str">
        <f>IFERROR(IF(Tableau3[[#This Row],[Dettes]]=0,"",(Tableau3[[#This Row],[Dettes]]/Tableau3[[#This Row],[EBE]])),"")</f>
        <v/>
      </c>
      <c r="V4214" s="190" t="str">
        <f>IFERROR(Tableau3[[#This Row],[Fonds propres]]/Tableau3[[#This Row],[Total Bilan]],"")</f>
        <v/>
      </c>
      <c r="W4214" s="180"/>
      <c r="Y4214" s="180"/>
      <c r="Z4214" s="192" t="str">
        <f>IFERROR(Tableau3[[#This Row],[Chiffre d''affaires]]/Tableau3[[#This Row],[Salariés]],"")</f>
        <v/>
      </c>
      <c r="AC4214" s="177" t="s">
        <v>2940</v>
      </c>
    </row>
    <row r="4215" spans="1:29" ht="20.25" customHeight="1">
      <c r="A4215" s="217"/>
      <c r="G4215" s="188"/>
      <c r="H4215" s="188"/>
      <c r="I4215" s="178"/>
      <c r="J4215" s="178"/>
      <c r="K4215" s="178"/>
      <c r="L4215" s="178"/>
      <c r="M4215" s="178"/>
      <c r="N4215" s="178"/>
      <c r="O4215" s="178"/>
      <c r="P4215" s="178"/>
      <c r="Q4215" s="178"/>
      <c r="R4215" s="178"/>
      <c r="S4215" s="178"/>
      <c r="T4215" s="180"/>
      <c r="U4215" s="189" t="str">
        <f>IFERROR(IF(Tableau3[[#This Row],[Dettes]]=0,"",(Tableau3[[#This Row],[Dettes]]/Tableau3[[#This Row],[EBE]])),"")</f>
        <v/>
      </c>
      <c r="V4215" s="190" t="str">
        <f>IFERROR(Tableau3[[#This Row],[Fonds propres]]/Tableau3[[#This Row],[Total Bilan]],"")</f>
        <v/>
      </c>
      <c r="W4215" s="180"/>
      <c r="Y4215" s="180"/>
      <c r="Z4215" s="192" t="str">
        <f>IFERROR(Tableau3[[#This Row],[Chiffre d''affaires]]/Tableau3[[#This Row],[Salariés]],"")</f>
        <v/>
      </c>
      <c r="AC4215" s="177" t="s">
        <v>2941</v>
      </c>
    </row>
    <row r="4216" spans="1:29" ht="20.25" customHeight="1">
      <c r="A4216" s="217"/>
      <c r="G4216" s="188"/>
      <c r="H4216" s="188"/>
      <c r="I4216" s="178"/>
      <c r="J4216" s="178"/>
      <c r="K4216" s="178"/>
      <c r="L4216" s="178"/>
      <c r="M4216" s="178"/>
      <c r="N4216" s="178"/>
      <c r="O4216" s="178"/>
      <c r="P4216" s="178"/>
      <c r="Q4216" s="178"/>
      <c r="R4216" s="178"/>
      <c r="S4216" s="178"/>
      <c r="T4216" s="180"/>
      <c r="U4216" s="189" t="str">
        <f>IFERROR(IF(Tableau3[[#This Row],[Dettes]]=0,"",(Tableau3[[#This Row],[Dettes]]/Tableau3[[#This Row],[EBE]])),"")</f>
        <v/>
      </c>
      <c r="V4216" s="190" t="str">
        <f>IFERROR(Tableau3[[#This Row],[Fonds propres]]/Tableau3[[#This Row],[Total Bilan]],"")</f>
        <v/>
      </c>
      <c r="W4216" s="180"/>
      <c r="Y4216" s="180"/>
      <c r="Z4216" s="192" t="str">
        <f>IFERROR(Tableau3[[#This Row],[Chiffre d''affaires]]/Tableau3[[#This Row],[Salariés]],"")</f>
        <v/>
      </c>
    </row>
    <row r="4217" spans="1:29" ht="20.25" customHeight="1">
      <c r="A4217" s="217"/>
      <c r="G4217" s="188"/>
      <c r="H4217" s="188"/>
      <c r="I4217" s="178"/>
      <c r="J4217" s="178"/>
      <c r="K4217" s="178"/>
      <c r="L4217" s="178"/>
      <c r="M4217" s="178"/>
      <c r="N4217" s="178"/>
      <c r="O4217" s="178"/>
      <c r="P4217" s="178"/>
      <c r="Q4217" s="178"/>
      <c r="R4217" s="178"/>
      <c r="S4217" s="178"/>
      <c r="T4217" s="180"/>
      <c r="U4217" s="189" t="str">
        <f>IFERROR(IF(Tableau3[[#This Row],[Dettes]]=0,"",(Tableau3[[#This Row],[Dettes]]/Tableau3[[#This Row],[EBE]])),"")</f>
        <v/>
      </c>
      <c r="V4217" s="190" t="str">
        <f>IFERROR(Tableau3[[#This Row],[Fonds propres]]/Tableau3[[#This Row],[Total Bilan]],"")</f>
        <v/>
      </c>
      <c r="W4217" s="180"/>
      <c r="Y4217" s="180"/>
      <c r="Z4217" s="192" t="str">
        <f>IFERROR(Tableau3[[#This Row],[Chiffre d''affaires]]/Tableau3[[#This Row],[Salariés]],"")</f>
        <v/>
      </c>
    </row>
    <row r="4218" spans="1:29" ht="20.25" customHeight="1">
      <c r="A4218" s="217"/>
      <c r="G4218" s="188"/>
      <c r="H4218" s="188"/>
      <c r="I4218" s="178"/>
      <c r="J4218" s="178"/>
      <c r="K4218" s="178"/>
      <c r="L4218" s="178"/>
      <c r="M4218" s="178"/>
      <c r="N4218" s="178"/>
      <c r="O4218" s="178"/>
      <c r="P4218" s="178"/>
      <c r="Q4218" s="178"/>
      <c r="R4218" s="178"/>
      <c r="S4218" s="178"/>
      <c r="T4218" s="180"/>
      <c r="U4218" s="189" t="str">
        <f>IFERROR(IF(Tableau3[[#This Row],[Dettes]]=0,"",(Tableau3[[#This Row],[Dettes]]/Tableau3[[#This Row],[EBE]])),"")</f>
        <v/>
      </c>
      <c r="V4218" s="190" t="str">
        <f>IFERROR(Tableau3[[#This Row],[Fonds propres]]/Tableau3[[#This Row],[Total Bilan]],"")</f>
        <v/>
      </c>
      <c r="W4218" s="180"/>
      <c r="Y4218" s="180"/>
      <c r="Z4218" s="192" t="str">
        <f>IFERROR(Tableau3[[#This Row],[Chiffre d''affaires]]/Tableau3[[#This Row],[Salariés]],"")</f>
        <v/>
      </c>
    </row>
    <row r="4219" spans="1:29" ht="20.25" customHeight="1">
      <c r="A4219" s="217" t="s">
        <v>2942</v>
      </c>
      <c r="B4219" s="216" t="s">
        <v>2935</v>
      </c>
      <c r="C4219" s="178" t="s">
        <v>2943</v>
      </c>
      <c r="D4219" s="178" t="s">
        <v>85</v>
      </c>
      <c r="E4219" s="187">
        <v>78.95</v>
      </c>
      <c r="F4219" s="178">
        <v>2022</v>
      </c>
      <c r="G4219" s="188"/>
      <c r="H4219" s="188"/>
      <c r="I4219" s="178"/>
      <c r="J4219" s="178"/>
      <c r="K4219" s="178"/>
      <c r="L4219" s="178"/>
      <c r="M4219" s="178"/>
      <c r="N4219" s="178"/>
      <c r="O4219" s="178"/>
      <c r="P4219" s="178"/>
      <c r="Q4219" s="178"/>
      <c r="R4219" s="178"/>
      <c r="S4219" s="178"/>
      <c r="T4219" s="180"/>
      <c r="U4219" s="189" t="str">
        <f>IFERROR(IF(Tableau3[[#This Row],[Dettes]]=0,"",(Tableau3[[#This Row],[Dettes]]/Tableau3[[#This Row],[EBE]])),"")</f>
        <v/>
      </c>
      <c r="V4219" s="190" t="str">
        <f>IFERROR(Tableau3[[#This Row],[Fonds propres]]/Tableau3[[#This Row],[Total Bilan]],"")</f>
        <v/>
      </c>
      <c r="W4219" s="180"/>
      <c r="Y4219" s="180">
        <v>5500</v>
      </c>
      <c r="Z4219" s="192">
        <f>IFERROR(Tableau3[[#This Row],[Chiffre d''affaires]]/Tableau3[[#This Row],[Salariés]],"")</f>
        <v>0</v>
      </c>
      <c r="AC4219" s="177" t="s">
        <v>2944</v>
      </c>
    </row>
    <row r="4220" spans="1:29" ht="20.25" customHeight="1">
      <c r="A4220" s="217"/>
      <c r="G4220" s="188"/>
      <c r="H4220" s="188"/>
      <c r="I4220" s="178"/>
      <c r="J4220" s="178"/>
      <c r="K4220" s="178"/>
      <c r="L4220" s="178"/>
      <c r="M4220" s="178"/>
      <c r="N4220" s="178"/>
      <c r="O4220" s="178"/>
      <c r="P4220" s="178"/>
      <c r="Q4220" s="178"/>
      <c r="R4220" s="178"/>
      <c r="S4220" s="178"/>
      <c r="T4220" s="180"/>
      <c r="U4220" s="189" t="str">
        <f>IFERROR(IF(Tableau3[[#This Row],[Dettes]]=0,"",(Tableau3[[#This Row],[Dettes]]/Tableau3[[#This Row],[EBE]])),"")</f>
        <v/>
      </c>
      <c r="V4220" s="190" t="str">
        <f>IFERROR(Tableau3[[#This Row],[Fonds propres]]/Tableau3[[#This Row],[Total Bilan]],"")</f>
        <v/>
      </c>
      <c r="W4220" s="180"/>
      <c r="Y4220" s="180"/>
      <c r="Z4220" s="192" t="str">
        <f>IFERROR(Tableau3[[#This Row],[Chiffre d''affaires]]/Tableau3[[#This Row],[Salariés]],"")</f>
        <v/>
      </c>
      <c r="AC4220" s="177" t="s">
        <v>2946</v>
      </c>
    </row>
    <row r="4221" spans="1:29" ht="20.25" customHeight="1">
      <c r="A4221" s="217"/>
      <c r="E4221" s="187">
        <v>234.03</v>
      </c>
      <c r="F4221" s="178">
        <v>2021</v>
      </c>
      <c r="G4221" s="188"/>
      <c r="H4221" s="178"/>
      <c r="I4221" s="178"/>
      <c r="J4221" s="178"/>
      <c r="K4221" s="178"/>
      <c r="L4221" s="178"/>
      <c r="M4221" s="178"/>
      <c r="N4221" s="178"/>
      <c r="O4221" s="178"/>
      <c r="P4221" s="178"/>
      <c r="Q4221" s="178"/>
      <c r="R4221" s="178"/>
      <c r="S4221" s="178"/>
      <c r="T4221" s="180"/>
      <c r="U4221" s="189" t="str">
        <f>IFERROR(IF(Tableau3[[#This Row],[Dettes]]=0,"",(Tableau3[[#This Row],[Dettes]]/Tableau3[[#This Row],[EBE]])),"")</f>
        <v/>
      </c>
      <c r="V4221" s="190" t="str">
        <f>IFERROR(Tableau3[[#This Row],[Fonds propres]]/Tableau3[[#This Row],[Total Bilan]],"")</f>
        <v/>
      </c>
      <c r="W4221" s="180"/>
      <c r="Y4221" s="180"/>
      <c r="Z4221" s="192" t="str">
        <f>IFERROR(Tableau3[[#This Row],[Chiffre d''affaires]]/Tableau3[[#This Row],[Salariés]],"")</f>
        <v/>
      </c>
      <c r="AA4221" s="177"/>
      <c r="AC4221" s="177" t="s">
        <v>2947</v>
      </c>
    </row>
    <row r="4222" spans="1:29" ht="20.25" customHeight="1">
      <c r="A4222" s="217"/>
      <c r="G4222" s="188"/>
      <c r="H4222" s="178"/>
      <c r="I4222" s="178"/>
      <c r="J4222" s="178"/>
      <c r="K4222" s="178"/>
      <c r="L4222" s="178"/>
      <c r="M4222" s="178"/>
      <c r="N4222" s="178"/>
      <c r="O4222" s="178"/>
      <c r="P4222" s="177"/>
      <c r="Q4222" s="178"/>
      <c r="R4222" s="178"/>
      <c r="S4222" s="178"/>
      <c r="T4222" s="180"/>
      <c r="U4222" s="189" t="str">
        <f>IFERROR(IF(Tableau3[[#This Row],[Dettes]]=0,"",(Tableau3[[#This Row],[Dettes]]/Tableau3[[#This Row],[EBE]])),"")</f>
        <v/>
      </c>
      <c r="V4222" s="190" t="str">
        <f>IFERROR(Tableau3[[#This Row],[Fonds propres]]/Tableau3[[#This Row],[Total Bilan]],"")</f>
        <v/>
      </c>
      <c r="W4222" s="180"/>
      <c r="Y4222" s="180"/>
      <c r="Z4222" s="192" t="str">
        <f>IFERROR(Tableau3[[#This Row],[Chiffre d''affaires]]/Tableau3[[#This Row],[Salariés]],"")</f>
        <v/>
      </c>
      <c r="AA4222" s="177"/>
      <c r="AC4222" s="177" t="s">
        <v>2948</v>
      </c>
    </row>
    <row r="4223" spans="1:29" ht="20.25" customHeight="1">
      <c r="A4223" s="217"/>
      <c r="E4223" s="178">
        <v>314.7</v>
      </c>
      <c r="F4223" s="178">
        <v>2020</v>
      </c>
      <c r="G4223" s="188">
        <v>7880000000</v>
      </c>
      <c r="H4223" s="178"/>
      <c r="I4223" s="188">
        <v>-293000000</v>
      </c>
      <c r="J4223" s="188">
        <v>-581000000</v>
      </c>
      <c r="K4223" s="188">
        <v>-1747000000</v>
      </c>
      <c r="L4223" s="188">
        <v>2900000000</v>
      </c>
      <c r="M4223" s="194">
        <f>L4223/P4223</f>
        <v>15.246078515401223</v>
      </c>
      <c r="N4223" s="190">
        <f>J4223/L4223</f>
        <v>-0.20034482758620689</v>
      </c>
      <c r="O4223" s="190">
        <f>(I4223*0.7)/(K4223+L4223)</f>
        <v>-0.17788378143972247</v>
      </c>
      <c r="P4223" s="188">
        <v>190212847</v>
      </c>
      <c r="Q4223" s="188">
        <f>P4223*E4223</f>
        <v>59859982950.900002</v>
      </c>
      <c r="R4223" s="195">
        <f>Q4223/L4223</f>
        <v>20.641373431344828</v>
      </c>
      <c r="S4223" s="197" t="e">
        <f>(Q4223+K4223)/H4223</f>
        <v>#DIV/0!</v>
      </c>
      <c r="T4223" s="180"/>
      <c r="U4223" s="189" t="str">
        <f>IFERROR(IF(Tableau3[[#This Row],[Dettes]]=0,"",(Tableau3[[#This Row],[Dettes]]/Tableau3[[#This Row],[EBE]])),"")</f>
        <v/>
      </c>
      <c r="V4223" s="190" t="str">
        <f>IFERROR(Tableau3[[#This Row],[Fonds propres]]/Tableau3[[#This Row],[Total Bilan]],"")</f>
        <v/>
      </c>
      <c r="W4223" s="180"/>
      <c r="Y4223" s="180">
        <v>5500</v>
      </c>
      <c r="Z4223" s="192">
        <f>IFERROR(Tableau3[[#This Row],[Chiffre d''affaires]]/Tableau3[[#This Row],[Salariés]],"")</f>
        <v>1432727.2727272727</v>
      </c>
      <c r="AA4223" s="177"/>
      <c r="AC4223" s="177" t="s">
        <v>2949</v>
      </c>
    </row>
    <row r="4224" spans="1:29" ht="20.25" customHeight="1">
      <c r="A4224" s="217"/>
      <c r="G4224" s="202">
        <f>(G4223/G4225)-1</f>
        <v>0.16499112950916617</v>
      </c>
      <c r="H4224" s="202"/>
      <c r="I4224" s="202">
        <f>(I4223/I4225)-1</f>
        <v>3.0136986301369859</v>
      </c>
      <c r="J4224" s="202">
        <f>(J4223/J4225)-1</f>
        <v>2.1236559139784945</v>
      </c>
      <c r="K4224" s="178"/>
      <c r="L4224" s="178"/>
      <c r="M4224" s="178"/>
      <c r="N4224" s="178"/>
      <c r="O4224" s="178"/>
      <c r="P4224" s="178"/>
      <c r="Q4224" s="178"/>
      <c r="R4224" s="178"/>
      <c r="S4224" s="178"/>
      <c r="T4224" s="180"/>
      <c r="U4224" s="189" t="str">
        <f>IFERROR(IF(Tableau3[[#This Row],[Dettes]]=0,"",(Tableau3[[#This Row],[Dettes]]/Tableau3[[#This Row],[EBE]])),"")</f>
        <v/>
      </c>
      <c r="V4224" s="190" t="str">
        <f>IFERROR(Tableau3[[#This Row],[Fonds propres]]/Tableau3[[#This Row],[Total Bilan]],"")</f>
        <v/>
      </c>
      <c r="W4224" s="180"/>
      <c r="Y4224" s="180"/>
      <c r="Z4224" s="192" t="str">
        <f>IFERROR(Tableau3[[#This Row],[Chiffre d''affaires]]/Tableau3[[#This Row],[Salariés]],"")</f>
        <v/>
      </c>
      <c r="AA4224" s="177"/>
      <c r="AC4224" s="177" t="s">
        <v>2950</v>
      </c>
    </row>
    <row r="4225" spans="1:29" ht="20.25" customHeight="1">
      <c r="A4225" s="217"/>
      <c r="E4225" s="178">
        <v>153.19999999999999</v>
      </c>
      <c r="F4225" s="178">
        <v>2019</v>
      </c>
      <c r="G4225" s="188">
        <v>6764000000</v>
      </c>
      <c r="H4225" s="178"/>
      <c r="I4225" s="188">
        <v>-73000000</v>
      </c>
      <c r="J4225" s="188">
        <v>-186000000</v>
      </c>
      <c r="K4225" s="188">
        <v>-1757000000</v>
      </c>
      <c r="L4225" s="188">
        <v>2439000000</v>
      </c>
      <c r="M4225" s="194">
        <f>L4225/P4225</f>
        <v>13.231994232912079</v>
      </c>
      <c r="N4225" s="190">
        <f>J4225/L4225</f>
        <v>-7.626076260762607E-2</v>
      </c>
      <c r="O4225" s="190">
        <f>(I4225*0.7)/(K4225+L4225)</f>
        <v>-7.4926686217008792E-2</v>
      </c>
      <c r="P4225" s="188">
        <v>184325957</v>
      </c>
      <c r="Q4225" s="188">
        <f>P4225*E4225</f>
        <v>28238736612.399998</v>
      </c>
      <c r="R4225" s="195">
        <f>Q4225/L4225</f>
        <v>11.577997791061909</v>
      </c>
      <c r="S4225" s="197" t="e">
        <f>(Q4225+K4225)/H4225</f>
        <v>#DIV/0!</v>
      </c>
      <c r="T4225" s="180"/>
      <c r="U4225" s="189" t="str">
        <f>IFERROR(IF(Tableau3[[#This Row],[Dettes]]=0,"",(Tableau3[[#This Row],[Dettes]]/Tableau3[[#This Row],[EBE]])),"")</f>
        <v/>
      </c>
      <c r="V4225" s="190" t="str">
        <f>IFERROR(Tableau3[[#This Row],[Fonds propres]]/Tableau3[[#This Row],[Total Bilan]],"")</f>
        <v/>
      </c>
      <c r="W4225" s="180"/>
      <c r="Y4225" s="180"/>
      <c r="Z4225" s="192" t="str">
        <f>IFERROR(Tableau3[[#This Row],[Chiffre d''affaires]]/Tableau3[[#This Row],[Salariés]],"")</f>
        <v/>
      </c>
      <c r="AA4225" s="177"/>
      <c r="AC4225" s="177" t="s">
        <v>2951</v>
      </c>
    </row>
    <row r="4226" spans="1:29" ht="20.25" customHeight="1">
      <c r="A4226" s="217"/>
      <c r="G4226" s="202">
        <f>(G4225/G4227)-1</f>
        <v>0.28617607910249099</v>
      </c>
      <c r="H4226" s="202"/>
      <c r="I4226" s="202">
        <f>(I4225/I4227)-1</f>
        <v>0.69767441860465107</v>
      </c>
      <c r="J4226" s="202">
        <f>(J4225/J4227)-1</f>
        <v>1.3846153846153846</v>
      </c>
      <c r="K4226" s="178"/>
      <c r="L4226" s="178"/>
      <c r="M4226" s="178"/>
      <c r="N4226" s="178"/>
      <c r="O4226" s="178"/>
      <c r="P4226" s="178"/>
      <c r="Q4226" s="178"/>
      <c r="R4226" s="178"/>
      <c r="S4226" s="178"/>
      <c r="T4226" s="180"/>
      <c r="U4226" s="189" t="str">
        <f>IFERROR(IF(Tableau3[[#This Row],[Dettes]]=0,"",(Tableau3[[#This Row],[Dettes]]/Tableau3[[#This Row],[EBE]])),"")</f>
        <v/>
      </c>
      <c r="V4226" s="190" t="str">
        <f>IFERROR(Tableau3[[#This Row],[Fonds propres]]/Tableau3[[#This Row],[Total Bilan]],"")</f>
        <v/>
      </c>
      <c r="W4226" s="180"/>
      <c r="Y4226" s="180"/>
      <c r="Z4226" s="192" t="str">
        <f>IFERROR(Tableau3[[#This Row],[Chiffre d''affaires]]/Tableau3[[#This Row],[Salariés]],"")</f>
        <v/>
      </c>
      <c r="AA4226" s="177"/>
      <c r="AC4226" s="177" t="s">
        <v>876</v>
      </c>
    </row>
    <row r="4227" spans="1:29" ht="20.25" customHeight="1">
      <c r="A4227" s="217"/>
      <c r="E4227" s="178">
        <v>112.2</v>
      </c>
      <c r="F4227" s="178">
        <v>2018</v>
      </c>
      <c r="G4227" s="188">
        <v>5259000000</v>
      </c>
      <c r="H4227" s="178"/>
      <c r="I4227" s="188">
        <v>-43000000</v>
      </c>
      <c r="J4227" s="188">
        <v>-78000000</v>
      </c>
      <c r="K4227" s="188">
        <v>-1806000000</v>
      </c>
      <c r="L4227" s="188">
        <v>2147000000</v>
      </c>
      <c r="M4227" s="194">
        <f>L4227/P4227</f>
        <v>11.871317724727209</v>
      </c>
      <c r="N4227" s="190">
        <f>J4227/L4227</f>
        <v>-3.6329762459245456E-2</v>
      </c>
      <c r="O4227" s="190">
        <f>(I4227*0.7)/(K4227+L4227)</f>
        <v>-8.8269794721407613E-2</v>
      </c>
      <c r="P4227" s="188">
        <v>180856081</v>
      </c>
      <c r="Q4227" s="188">
        <f>P4227*E4227</f>
        <v>20292052288.200001</v>
      </c>
      <c r="R4227" s="195">
        <f>Q4227/L4227</f>
        <v>9.4513517877037732</v>
      </c>
      <c r="S4227" s="197" t="e">
        <f>(Q4227+K4227)/H4227</f>
        <v>#DIV/0!</v>
      </c>
      <c r="T4227" s="180"/>
      <c r="U4227" s="189" t="str">
        <f>IFERROR(IF(Tableau3[[#This Row],[Dettes]]=0,"",(Tableau3[[#This Row],[Dettes]]/Tableau3[[#This Row],[EBE]])),"")</f>
        <v/>
      </c>
      <c r="V4227" s="190" t="str">
        <f>IFERROR(Tableau3[[#This Row],[Fonds propres]]/Tableau3[[#This Row],[Total Bilan]],"")</f>
        <v/>
      </c>
      <c r="W4227" s="180"/>
      <c r="Y4227" s="180"/>
      <c r="Z4227" s="192" t="str">
        <f>IFERROR(Tableau3[[#This Row],[Chiffre d''affaires]]/Tableau3[[#This Row],[Salariés]],"")</f>
        <v/>
      </c>
      <c r="AA4227" s="177"/>
      <c r="AC4227" s="177" t="s">
        <v>2952</v>
      </c>
    </row>
    <row r="4228" spans="1:29" ht="20.25" customHeight="1">
      <c r="A4228" s="217"/>
      <c r="G4228" s="202">
        <f>(G4227/G4229)-1</f>
        <v>0.28581907090464553</v>
      </c>
      <c r="H4228" s="202"/>
      <c r="I4228" s="202">
        <f>(I4227/I4229)-1</f>
        <v>-0.88624338624338628</v>
      </c>
      <c r="J4228" s="202">
        <f>(J4227/J4229)-1</f>
        <v>-0.93684210526315792</v>
      </c>
      <c r="K4228" s="178"/>
      <c r="L4228" s="188"/>
      <c r="M4228" s="194"/>
      <c r="N4228" s="190"/>
      <c r="O4228" s="190"/>
      <c r="P4228" s="188"/>
      <c r="Q4228" s="188"/>
      <c r="R4228" s="195"/>
      <c r="S4228" s="197"/>
      <c r="T4228" s="180"/>
      <c r="U4228" s="189" t="str">
        <f>IFERROR(IF(Tableau3[[#This Row],[Dettes]]=0,"",(Tableau3[[#This Row],[Dettes]]/Tableau3[[#This Row],[EBE]])),"")</f>
        <v/>
      </c>
      <c r="V4228" s="190" t="str">
        <f>IFERROR(Tableau3[[#This Row],[Fonds propres]]/Tableau3[[#This Row],[Total Bilan]],"")</f>
        <v/>
      </c>
      <c r="W4228" s="180"/>
      <c r="Y4228" s="180"/>
      <c r="Z4228" s="192" t="str">
        <f>IFERROR(Tableau3[[#This Row],[Chiffre d''affaires]]/Tableau3[[#This Row],[Salariés]],"")</f>
        <v/>
      </c>
      <c r="AA4228" s="177"/>
      <c r="AC4228" s="177" t="s">
        <v>1641</v>
      </c>
    </row>
    <row r="4229" spans="1:29" ht="20.25" customHeight="1">
      <c r="A4229" s="217"/>
      <c r="F4229" s="178">
        <v>2017</v>
      </c>
      <c r="G4229" s="188">
        <v>4090000000</v>
      </c>
      <c r="H4229" s="178"/>
      <c r="I4229" s="188">
        <v>-378000000</v>
      </c>
      <c r="J4229" s="188">
        <v>-1235000000</v>
      </c>
      <c r="K4229" s="188">
        <v>-1509000000</v>
      </c>
      <c r="L4229" s="188">
        <v>238000000</v>
      </c>
      <c r="M4229" s="194">
        <f>L4229/P4229</f>
        <v>1.569312487298377</v>
      </c>
      <c r="N4229" s="190">
        <f>J4229/L4229</f>
        <v>-5.1890756302521011</v>
      </c>
      <c r="O4229" s="190">
        <f>(I4229*0.7)/(K4229+L4229)</f>
        <v>0.20818253343823759</v>
      </c>
      <c r="P4229" s="188">
        <v>151658769</v>
      </c>
      <c r="Q4229" s="188">
        <f>P4229*E4229</f>
        <v>0</v>
      </c>
      <c r="R4229" s="195">
        <f>Q4229/L4229</f>
        <v>0</v>
      </c>
      <c r="S4229" s="197" t="e">
        <f>(Q4229+K4229)/H4229</f>
        <v>#DIV/0!</v>
      </c>
      <c r="T4229" s="180"/>
      <c r="U4229" s="189" t="str">
        <f>IFERROR(IF(Tableau3[[#This Row],[Dettes]]=0,"",(Tableau3[[#This Row],[Dettes]]/Tableau3[[#This Row],[EBE]])),"")</f>
        <v/>
      </c>
      <c r="V4229" s="190" t="str">
        <f>IFERROR(Tableau3[[#This Row],[Fonds propres]]/Tableau3[[#This Row],[Total Bilan]],"")</f>
        <v/>
      </c>
      <c r="W4229" s="180"/>
      <c r="Y4229" s="180"/>
      <c r="Z4229" s="192" t="str">
        <f>IFERROR(Tableau3[[#This Row],[Chiffre d''affaires]]/Tableau3[[#This Row],[Salariés]],"")</f>
        <v/>
      </c>
      <c r="AA4229" s="177"/>
      <c r="AC4229" s="177" t="s">
        <v>2953</v>
      </c>
    </row>
    <row r="4230" spans="1:29" ht="20.25" customHeight="1">
      <c r="A4230" s="217"/>
      <c r="G4230" s="202">
        <f>(G4229/G4231)-1</f>
        <v>0.38550135501355021</v>
      </c>
      <c r="H4230" s="202"/>
      <c r="I4230" s="202">
        <f>(I4229/I4231)-1</f>
        <v>8.3094555873925557E-2</v>
      </c>
      <c r="J4230" s="202">
        <f>(J4229/J4231)-1</f>
        <v>1.2912801484230054</v>
      </c>
      <c r="K4230" s="178"/>
      <c r="L4230" s="188"/>
      <c r="M4230" s="194"/>
      <c r="N4230" s="190"/>
      <c r="O4230" s="190"/>
      <c r="P4230" s="188"/>
      <c r="Q4230" s="188"/>
      <c r="R4230" s="195"/>
      <c r="S4230" s="197"/>
      <c r="T4230" s="180"/>
      <c r="U4230" s="189" t="str">
        <f>IFERROR(IF(Tableau3[[#This Row],[Dettes]]=0,"",(Tableau3[[#This Row],[Dettes]]/Tableau3[[#This Row],[EBE]])),"")</f>
        <v/>
      </c>
      <c r="V4230" s="190" t="str">
        <f>IFERROR(Tableau3[[#This Row],[Fonds propres]]/Tableau3[[#This Row],[Total Bilan]],"")</f>
        <v/>
      </c>
      <c r="W4230" s="180"/>
      <c r="Y4230" s="180"/>
      <c r="Z4230" s="192" t="str">
        <f>IFERROR(Tableau3[[#This Row],[Chiffre d''affaires]]/Tableau3[[#This Row],[Salariés]],"")</f>
        <v/>
      </c>
      <c r="AA4230" s="177"/>
    </row>
    <row r="4231" spans="1:29" ht="20.25" customHeight="1">
      <c r="A4231" s="217"/>
      <c r="F4231" s="178">
        <v>2016</v>
      </c>
      <c r="G4231" s="188">
        <v>2952000000</v>
      </c>
      <c r="H4231" s="178"/>
      <c r="I4231" s="188">
        <v>-349000000</v>
      </c>
      <c r="J4231" s="188">
        <v>-539000000</v>
      </c>
      <c r="K4231" s="178"/>
      <c r="L4231" s="188"/>
      <c r="M4231" s="194"/>
      <c r="N4231" s="190"/>
      <c r="O4231" s="190"/>
      <c r="P4231" s="188"/>
      <c r="Q4231" s="188"/>
      <c r="R4231" s="195"/>
      <c r="S4231" s="197"/>
      <c r="T4231" s="180"/>
      <c r="U4231" s="189" t="str">
        <f>IFERROR(IF(Tableau3[[#This Row],[Dettes]]=0,"",(Tableau3[[#This Row],[Dettes]]/Tableau3[[#This Row],[EBE]])),"")</f>
        <v/>
      </c>
      <c r="V4231" s="190" t="str">
        <f>IFERROR(Tableau3[[#This Row],[Fonds propres]]/Tableau3[[#This Row],[Total Bilan]],"")</f>
        <v/>
      </c>
      <c r="W4231" s="180"/>
      <c r="Y4231" s="180"/>
      <c r="Z4231" s="192" t="str">
        <f>IFERROR(Tableau3[[#This Row],[Chiffre d''affaires]]/Tableau3[[#This Row],[Salariés]],"")</f>
        <v/>
      </c>
      <c r="AA4231" s="177"/>
    </row>
    <row r="4232" spans="1:29" ht="20.25" customHeight="1">
      <c r="A4232" s="217"/>
      <c r="G4232" s="188"/>
      <c r="H4232" s="178"/>
      <c r="I4232" s="188"/>
      <c r="J4232" s="188"/>
      <c r="K4232" s="178"/>
      <c r="L4232" s="188"/>
      <c r="M4232" s="194"/>
      <c r="N4232" s="190"/>
      <c r="O4232" s="190"/>
      <c r="P4232" s="188"/>
      <c r="Q4232" s="188"/>
      <c r="R4232" s="195"/>
      <c r="S4232" s="197"/>
      <c r="T4232" s="180"/>
      <c r="U4232" s="189" t="str">
        <f>IFERROR(IF(Tableau3[[#This Row],[Dettes]]=0,"",(Tableau3[[#This Row],[Dettes]]/Tableau3[[#This Row],[EBE]])),"")</f>
        <v/>
      </c>
      <c r="V4232" s="190" t="str">
        <f>IFERROR(Tableau3[[#This Row],[Fonds propres]]/Tableau3[[#This Row],[Total Bilan]],"")</f>
        <v/>
      </c>
      <c r="W4232" s="180"/>
      <c r="Y4232" s="180"/>
      <c r="Z4232" s="192" t="str">
        <f>IFERROR(Tableau3[[#This Row],[Chiffre d''affaires]]/Tableau3[[#This Row],[Salariés]],"")</f>
        <v/>
      </c>
      <c r="AA4232" s="177"/>
    </row>
    <row r="4233" spans="1:29" ht="20.25" customHeight="1">
      <c r="A4233" s="217"/>
      <c r="F4233" s="217" t="s">
        <v>2954</v>
      </c>
      <c r="G4233" s="188"/>
      <c r="H4233" s="178"/>
      <c r="I4233" s="178"/>
      <c r="J4233" s="178"/>
      <c r="K4233" s="178"/>
      <c r="L4233" s="178"/>
      <c r="M4233" s="178"/>
      <c r="N4233" s="178"/>
      <c r="O4233" s="178"/>
      <c r="P4233" s="178"/>
      <c r="Q4233" s="178"/>
      <c r="R4233" s="178"/>
      <c r="S4233" s="178"/>
      <c r="T4233" s="180"/>
      <c r="U4233" s="189" t="str">
        <f>IFERROR(IF(Tableau3[[#This Row],[Dettes]]=0,"",(Tableau3[[#This Row],[Dettes]]/Tableau3[[#This Row],[EBE]])),"")</f>
        <v/>
      </c>
      <c r="V4233" s="190" t="str">
        <f>IFERROR(Tableau3[[#This Row],[Fonds propres]]/Tableau3[[#This Row],[Total Bilan]],"")</f>
        <v/>
      </c>
      <c r="W4233" s="180"/>
      <c r="Y4233" s="180"/>
      <c r="Z4233" s="192" t="str">
        <f>IFERROR(Tableau3[[#This Row],[Chiffre d''affaires]]/Tableau3[[#This Row],[Salariés]],"")</f>
        <v/>
      </c>
      <c r="AA4233" s="177"/>
    </row>
    <row r="4234" spans="1:29" ht="20.25" customHeight="1">
      <c r="A4234" s="217"/>
      <c r="G4234" s="188"/>
      <c r="H4234" s="178"/>
      <c r="I4234" s="178"/>
      <c r="J4234" s="178"/>
      <c r="K4234" s="178"/>
      <c r="L4234" s="178"/>
      <c r="M4234" s="178"/>
      <c r="N4234" s="178"/>
      <c r="O4234" s="178"/>
      <c r="P4234" s="178"/>
      <c r="Q4234" s="178"/>
      <c r="R4234" s="178"/>
      <c r="S4234" s="178"/>
      <c r="T4234" s="180"/>
      <c r="U4234" s="189" t="str">
        <f>IFERROR(IF(Tableau3[[#This Row],[Dettes]]=0,"",(Tableau3[[#This Row],[Dettes]]/Tableau3[[#This Row],[EBE]])),"")</f>
        <v/>
      </c>
      <c r="V4234" s="190" t="str">
        <f>IFERROR(Tableau3[[#This Row],[Fonds propres]]/Tableau3[[#This Row],[Total Bilan]],"")</f>
        <v/>
      </c>
      <c r="W4234" s="180"/>
      <c r="Y4234" s="180"/>
      <c r="Z4234" s="192" t="str">
        <f>IFERROR(Tableau3[[#This Row],[Chiffre d''affaires]]/Tableau3[[#This Row],[Salariés]],"")</f>
        <v/>
      </c>
      <c r="AA4234" s="177"/>
    </row>
    <row r="4235" spans="1:29" ht="20.25" customHeight="1">
      <c r="A4235" s="217"/>
      <c r="G4235" s="188"/>
      <c r="H4235" s="178"/>
      <c r="I4235" s="178"/>
      <c r="J4235" s="178"/>
      <c r="K4235" s="178"/>
      <c r="L4235" s="178"/>
      <c r="M4235" s="178"/>
      <c r="N4235" s="178"/>
      <c r="O4235" s="178"/>
      <c r="P4235" s="178"/>
      <c r="Q4235" s="178"/>
      <c r="R4235" s="178"/>
      <c r="S4235" s="178"/>
      <c r="T4235" s="180"/>
      <c r="U4235" s="189" t="str">
        <f>IFERROR(IF(Tableau3[[#This Row],[Dettes]]=0,"",(Tableau3[[#This Row],[Dettes]]/Tableau3[[#This Row],[EBE]])),"")</f>
        <v/>
      </c>
      <c r="V4235" s="190" t="str">
        <f>IFERROR(Tableau3[[#This Row],[Fonds propres]]/Tableau3[[#This Row],[Total Bilan]],"")</f>
        <v/>
      </c>
      <c r="W4235" s="180"/>
      <c r="Y4235" s="180"/>
      <c r="Z4235" s="192" t="str">
        <f>IFERROR(Tableau3[[#This Row],[Chiffre d''affaires]]/Tableau3[[#This Row],[Salariés]],"")</f>
        <v/>
      </c>
      <c r="AA4235" s="177"/>
    </row>
    <row r="4236" spans="1:29" ht="20.25" customHeight="1">
      <c r="A4236" s="217"/>
      <c r="G4236" s="188"/>
      <c r="H4236" s="188"/>
      <c r="I4236" s="178"/>
      <c r="J4236" s="188"/>
      <c r="K4236" s="188"/>
      <c r="L4236" s="188"/>
      <c r="M4236" s="178"/>
      <c r="N4236" s="178"/>
      <c r="O4236" s="178"/>
      <c r="P4236" s="188"/>
      <c r="Q4236" s="178"/>
      <c r="R4236" s="178"/>
      <c r="S4236" s="178"/>
      <c r="T4236" s="180"/>
      <c r="U4236" s="189" t="str">
        <f>IFERROR(IF(Tableau3[[#This Row],[Dettes]]=0,"",(Tableau3[[#This Row],[Dettes]]/Tableau3[[#This Row],[EBE]])),"")</f>
        <v/>
      </c>
      <c r="V4236" s="190" t="str">
        <f>IFERROR(Tableau3[[#This Row],[Fonds propres]]/Tableau3[[#This Row],[Total Bilan]],"")</f>
        <v/>
      </c>
      <c r="W4236" s="180"/>
      <c r="Y4236" s="180"/>
      <c r="Z4236" s="192" t="str">
        <f>IFERROR(Tableau3[[#This Row],[Chiffre d''affaires]]/Tableau3[[#This Row],[Salariés]],"")</f>
        <v/>
      </c>
      <c r="AA4236" s="177"/>
    </row>
    <row r="4237" spans="1:29" ht="20.25" customHeight="1">
      <c r="A4237" s="217" t="s">
        <v>2955</v>
      </c>
      <c r="B4237" s="216" t="s">
        <v>1586</v>
      </c>
      <c r="C4237" s="178" t="s">
        <v>84</v>
      </c>
      <c r="D4237" s="178" t="s">
        <v>85</v>
      </c>
      <c r="E4237" s="178">
        <v>115.8</v>
      </c>
      <c r="F4237" s="178">
        <v>2025</v>
      </c>
      <c r="G4237" s="188">
        <f>G4239*1.07</f>
        <v>4258493000.0000005</v>
      </c>
      <c r="H4237" s="188">
        <f>H4239*1.1</f>
        <v>1005400000.0000001</v>
      </c>
      <c r="I4237" s="211">
        <f>I4239*1.15</f>
        <v>677120000</v>
      </c>
      <c r="J4237" s="188">
        <f>J4239*1.2</f>
        <v>518640000</v>
      </c>
      <c r="K4237" s="188">
        <v>0</v>
      </c>
      <c r="L4237" s="188">
        <v>4600000000</v>
      </c>
      <c r="M4237" s="194">
        <f>L4237/P4237</f>
        <v>38.864080650740163</v>
      </c>
      <c r="N4237" s="190">
        <f>J4237/L4239</f>
        <v>0.12334181550096317</v>
      </c>
      <c r="O4237" s="190">
        <f>(I4237*0.75)/(K4239+L4239)</f>
        <v>0.11960715042747121</v>
      </c>
      <c r="P4237" s="188">
        <v>118361220</v>
      </c>
      <c r="Q4237" s="188">
        <f>P4237*E4237</f>
        <v>13706229276</v>
      </c>
      <c r="R4237" s="195">
        <f>Q4237/L4237</f>
        <v>2.97961506</v>
      </c>
      <c r="S4237" s="197">
        <f>(Q4237+K4237)/H4237</f>
        <v>13.632613164909488</v>
      </c>
      <c r="T4237" s="180">
        <v>350000000</v>
      </c>
      <c r="U4237" s="189" t="str">
        <f>IFERROR(IF(Tableau3[[#This Row],[Dettes]]=0,"",(Tableau3[[#This Row],[Dettes]]/Tableau3[[#This Row],[EBE]])),"")</f>
        <v/>
      </c>
      <c r="V4237" s="190">
        <f>IFERROR(Tableau3[[#This Row],[Fonds propres]]/Tableau3[[#This Row],[Total Bilan]],"")</f>
        <v>0.76666666666666672</v>
      </c>
      <c r="W4237" s="180">
        <v>6000000000</v>
      </c>
      <c r="Y4237" s="180"/>
      <c r="Z4237" s="192" t="str">
        <f>IFERROR(Tableau3[[#This Row],[Chiffre d''affaires]]/Tableau3[[#This Row],[Salariés]],"")</f>
        <v/>
      </c>
      <c r="AA4237" s="177"/>
      <c r="AC4237" s="177" t="s">
        <v>2956</v>
      </c>
    </row>
    <row r="4238" spans="1:29" ht="20.25" customHeight="1">
      <c r="A4238" s="217"/>
      <c r="G4238" s="202">
        <f>(G4237/G4239)-1</f>
        <v>7.0000000000000062E-2</v>
      </c>
      <c r="H4238" s="202">
        <f>(H4237/H4239)-1</f>
        <v>0.10000000000000009</v>
      </c>
      <c r="I4238" s="202">
        <f>(I4237/I4239)-1</f>
        <v>0.14999999999999991</v>
      </c>
      <c r="J4238" s="202">
        <f>(J4237/J4239)-1</f>
        <v>0.19999999999999996</v>
      </c>
      <c r="K4238" s="188"/>
      <c r="L4238" s="188"/>
      <c r="M4238" s="178"/>
      <c r="N4238" s="178"/>
      <c r="O4238" s="178"/>
      <c r="P4238" s="188"/>
      <c r="Q4238" s="178"/>
      <c r="R4238" s="178"/>
      <c r="S4238" s="178"/>
      <c r="T4238" s="180"/>
      <c r="U4238" s="189" t="str">
        <f>IFERROR(IF(Tableau3[[#This Row],[Dettes]]=0,"",(Tableau3[[#This Row],[Dettes]]/Tableau3[[#This Row],[EBE]])),"")</f>
        <v/>
      </c>
      <c r="V4238" s="190" t="str">
        <f>IFERROR(Tableau3[[#This Row],[Fonds propres]]/Tableau3[[#This Row],[Total Bilan]],"")</f>
        <v/>
      </c>
      <c r="W4238" s="180"/>
      <c r="Y4238" s="180"/>
      <c r="Z4238" s="192" t="str">
        <f>IFERROR(Tableau3[[#This Row],[Chiffre d''affaires]]/Tableau3[[#This Row],[Salariés]],"")</f>
        <v/>
      </c>
      <c r="AA4238" s="177"/>
      <c r="AC4238" s="177" t="s">
        <v>2959</v>
      </c>
    </row>
    <row r="4239" spans="1:29" ht="20.25" customHeight="1">
      <c r="A4239" s="217"/>
      <c r="E4239" s="187">
        <v>103.5</v>
      </c>
      <c r="F4239" s="178">
        <v>2024</v>
      </c>
      <c r="G4239" s="188">
        <v>3979900000</v>
      </c>
      <c r="H4239" s="188">
        <v>914000000</v>
      </c>
      <c r="I4239" s="211">
        <v>588800000</v>
      </c>
      <c r="J4239" s="188">
        <v>432200000</v>
      </c>
      <c r="K4239" s="188">
        <v>41000000</v>
      </c>
      <c r="L4239" s="188">
        <v>4204900000</v>
      </c>
      <c r="M4239" s="194">
        <f>L4239/P4239</f>
        <v>35.525994071368984</v>
      </c>
      <c r="N4239" s="190">
        <f t="shared" ref="N4239" si="279">J4239/L4241</f>
        <v>0.11518575768882255</v>
      </c>
      <c r="O4239" s="190">
        <f t="shared" ref="O4239" si="280">(I4239*0.75)/(K4241+L4241)</f>
        <v>0.11270481343474044</v>
      </c>
      <c r="P4239" s="188">
        <v>118361220</v>
      </c>
      <c r="Q4239" s="188">
        <f>P4239*E4239</f>
        <v>12250386270</v>
      </c>
      <c r="R4239" s="195">
        <f>Q4239/L4239</f>
        <v>2.9133597160455658</v>
      </c>
      <c r="S4239" s="197">
        <f>(Q4239+K4239)/H4239</f>
        <v>13.447906203501095</v>
      </c>
      <c r="T4239" s="180">
        <v>329700000</v>
      </c>
      <c r="U4239" s="189">
        <f>IFERROR(IF(Tableau3[[#This Row],[Dettes]]=0,"",(Tableau3[[#This Row],[Dettes]]/Tableau3[[#This Row],[EBE]])),"")</f>
        <v>4.4857768052516414E-2</v>
      </c>
      <c r="V4239" s="190">
        <f>IFERROR(Tableau3[[#This Row],[Fonds propres]]/Tableau3[[#This Row],[Total Bilan]],"")</f>
        <v>0.72875216637781626</v>
      </c>
      <c r="W4239" s="180">
        <v>5770000000</v>
      </c>
      <c r="X4239" s="182" t="s">
        <v>106</v>
      </c>
      <c r="Y4239" s="180"/>
      <c r="Z4239" s="192" t="str">
        <f>IFERROR(Tableau3[[#This Row],[Chiffre d''affaires]]/Tableau3[[#This Row],[Salariés]],"")</f>
        <v/>
      </c>
      <c r="AA4239" s="218"/>
      <c r="AC4239" s="177" t="s">
        <v>2960</v>
      </c>
    </row>
    <row r="4240" spans="1:29" ht="20.25" customHeight="1">
      <c r="A4240" s="217"/>
      <c r="G4240" s="202">
        <f>(G4239/G4241)-1</f>
        <v>8.2965986394557767E-2</v>
      </c>
      <c r="H4240" s="202">
        <f>(H4239/H4241)-1</f>
        <v>0.1046652163403432</v>
      </c>
      <c r="I4240" s="202">
        <f>(I4239/I4241)-1</f>
        <v>0.34123006833712988</v>
      </c>
      <c r="J4240" s="202">
        <f>(J4239/J4241)-1</f>
        <v>0.20861297539149892</v>
      </c>
      <c r="K4240" s="188"/>
      <c r="L4240" s="188"/>
      <c r="M4240" s="178"/>
      <c r="N4240" s="178"/>
      <c r="O4240" s="178"/>
      <c r="P4240" s="188"/>
      <c r="Q4240" s="178"/>
      <c r="R4240" s="178"/>
      <c r="S4240" s="178"/>
      <c r="T4240" s="180"/>
      <c r="U4240" s="189" t="str">
        <f>IFERROR(IF(Tableau3[[#This Row],[Dettes]]=0,"",(Tableau3[[#This Row],[Dettes]]/Tableau3[[#This Row],[EBE]])),"")</f>
        <v/>
      </c>
      <c r="V4240" s="190" t="str">
        <f>IFERROR(Tableau3[[#This Row],[Fonds propres]]/Tableau3[[#This Row],[Total Bilan]],"")</f>
        <v/>
      </c>
      <c r="W4240" s="180"/>
      <c r="Y4240" s="180"/>
      <c r="Z4240" s="192" t="str">
        <f>IFERROR(Tableau3[[#This Row],[Chiffre d''affaires]]/Tableau3[[#This Row],[Salariés]],"")</f>
        <v/>
      </c>
      <c r="AA4240" s="218"/>
      <c r="AC4240" s="177" t="s">
        <v>5074</v>
      </c>
    </row>
    <row r="4241" spans="1:29" ht="20.25" customHeight="1">
      <c r="A4241" s="217"/>
      <c r="E4241" s="187">
        <v>100.6</v>
      </c>
      <c r="F4241" s="178">
        <v>2023</v>
      </c>
      <c r="G4241" s="188">
        <v>3675000000</v>
      </c>
      <c r="H4241" s="188">
        <v>827400000</v>
      </c>
      <c r="I4241" s="188">
        <v>439000000</v>
      </c>
      <c r="J4241" s="188">
        <v>357600000</v>
      </c>
      <c r="K4241" s="188">
        <v>166000000</v>
      </c>
      <c r="L4241" s="188">
        <v>3752200000</v>
      </c>
      <c r="M4241" s="194">
        <f>L4241/P4241</f>
        <v>31.701261612545053</v>
      </c>
      <c r="N4241" s="190">
        <f t="shared" ref="N4241" si="281">J4241/L4243</f>
        <v>9.9217579490594301E-2</v>
      </c>
      <c r="O4241" s="190">
        <f t="shared" ref="O4241" si="282">(I4241*0.75)/(K4243+L4243)</f>
        <v>9.2561356160917596E-2</v>
      </c>
      <c r="P4241" s="188">
        <v>118361220</v>
      </c>
      <c r="Q4241" s="188">
        <f>P4241*E4241</f>
        <v>11907138732</v>
      </c>
      <c r="R4241" s="195">
        <f>Q4241/L4241</f>
        <v>3.1733752817014018</v>
      </c>
      <c r="S4241" s="197">
        <f>(Q4241+K4241)/H4241</f>
        <v>14.591659091128838</v>
      </c>
      <c r="T4241" s="180">
        <v>115000000</v>
      </c>
      <c r="U4241" s="189">
        <f>IFERROR(IF(Tableau3[[#This Row],[Dettes]]=0,"",(Tableau3[[#This Row],[Dettes]]/Tableau3[[#This Row],[EBE]])),"")</f>
        <v>0.20062847474014986</v>
      </c>
      <c r="V4241" s="190">
        <f>IFERROR(Tableau3[[#This Row],[Fonds propres]]/Tableau3[[#This Row],[Total Bilan]],"")</f>
        <v>0.71345451779738367</v>
      </c>
      <c r="W4241" s="180">
        <v>5259200000</v>
      </c>
      <c r="Y4241" s="180">
        <v>13800</v>
      </c>
      <c r="Z4241" s="192">
        <f>IFERROR(Tableau3[[#This Row],[Chiffre d''affaires]]/Tableau3[[#This Row],[Salariés]],"")</f>
        <v>266304.34782608697</v>
      </c>
      <c r="AA4241" s="218"/>
      <c r="AC4241" s="177" t="s">
        <v>5070</v>
      </c>
    </row>
    <row r="4242" spans="1:29" ht="20.25" customHeight="1">
      <c r="A4242" s="217"/>
      <c r="G4242" s="202">
        <f>(G4241/G4243)-1</f>
        <v>2.3933576662673151E-2</v>
      </c>
      <c r="H4242" s="202">
        <f>(H4241/H4243)-1</f>
        <v>-4.2361111111111072E-2</v>
      </c>
      <c r="I4242" s="202">
        <f>(I4241/I4243)-1</f>
        <v>-0.25238419618528607</v>
      </c>
      <c r="J4242" s="202">
        <f>(J4241/J4243)-1</f>
        <v>-0.20954907161803715</v>
      </c>
      <c r="K4242" s="188"/>
      <c r="L4242" s="188"/>
      <c r="M4242" s="178"/>
      <c r="N4242" s="178"/>
      <c r="O4242" s="178"/>
      <c r="P4242" s="188"/>
      <c r="Q4242" s="178"/>
      <c r="R4242" s="178"/>
      <c r="S4242" s="178"/>
      <c r="T4242" s="180"/>
      <c r="U4242" s="189" t="str">
        <f>IFERROR(IF(Tableau3[[#This Row],[Dettes]]=0,"",(Tableau3[[#This Row],[Dettes]]/Tableau3[[#This Row],[EBE]])),"")</f>
        <v/>
      </c>
      <c r="V4242" s="190" t="str">
        <f>IFERROR(Tableau3[[#This Row],[Fonds propres]]/Tableau3[[#This Row],[Total Bilan]],"")</f>
        <v/>
      </c>
      <c r="W4242" s="180"/>
      <c r="Y4242" s="180"/>
      <c r="Z4242" s="192" t="str">
        <f>IFERROR(Tableau3[[#This Row],[Chiffre d''affaires]]/Tableau3[[#This Row],[Salariés]],"")</f>
        <v/>
      </c>
      <c r="AA4242" s="218"/>
      <c r="AC4242" s="177" t="s">
        <v>2961</v>
      </c>
    </row>
    <row r="4243" spans="1:29" ht="20.25" customHeight="1">
      <c r="A4243" s="217"/>
      <c r="E4243" s="187">
        <v>99</v>
      </c>
      <c r="F4243" s="178">
        <v>2022</v>
      </c>
      <c r="G4243" s="188">
        <v>3589100000</v>
      </c>
      <c r="H4243" s="188">
        <v>864000000</v>
      </c>
      <c r="I4243" s="188">
        <v>587200000</v>
      </c>
      <c r="J4243" s="188">
        <v>452400000</v>
      </c>
      <c r="K4243" s="188">
        <v>-47100000</v>
      </c>
      <c r="L4243" s="188">
        <v>3604200000</v>
      </c>
      <c r="M4243" s="194">
        <f>L4243/P4243</f>
        <v>30.450852061173414</v>
      </c>
      <c r="N4243" s="190">
        <f t="shared" ref="N4243" si="283">J4243/L4245</f>
        <v>0.14239848914069878</v>
      </c>
      <c r="O4243" s="190">
        <f t="shared" ref="O4243" si="284">(I4243*0.75)/(K4245+L4245)</f>
        <v>0.1552891396332863</v>
      </c>
      <c r="P4243" s="188">
        <v>118361220</v>
      </c>
      <c r="Q4243" s="188">
        <f>P4243*E4243</f>
        <v>11717760780</v>
      </c>
      <c r="R4243" s="195">
        <f>Q4243/L4243</f>
        <v>3.25114055268853</v>
      </c>
      <c r="S4243" s="197">
        <f>(Q4243+K4243)/H4243</f>
        <v>13.507709236111111</v>
      </c>
      <c r="T4243" s="180">
        <v>195300000</v>
      </c>
      <c r="U4243" s="189">
        <f>IFERROR(IF(Tableau3[[#This Row],[Dettes]]=0,"",(Tableau3[[#This Row],[Dettes]]/Tableau3[[#This Row],[EBE]])),"")</f>
        <v>-5.451388888888889E-2</v>
      </c>
      <c r="V4243" s="190">
        <f>IFERROR(Tableau3[[#This Row],[Fonds propres]]/Tableau3[[#This Row],[Total Bilan]],"")</f>
        <v>0.69490610419157062</v>
      </c>
      <c r="W4243" s="180">
        <v>5186600000</v>
      </c>
      <c r="Y4243" s="180">
        <v>13800</v>
      </c>
      <c r="Z4243" s="192">
        <f>IFERROR(Tableau3[[#This Row],[Chiffre d''affaires]]/Tableau3[[#This Row],[Salariés]],"")</f>
        <v>260079.71014492755</v>
      </c>
      <c r="AA4243" s="218"/>
      <c r="AC4243" s="177" t="s">
        <v>2962</v>
      </c>
    </row>
    <row r="4244" spans="1:29" ht="20.25" customHeight="1">
      <c r="A4244" s="217"/>
      <c r="E4244" s="187"/>
      <c r="G4244" s="202">
        <f>(G4243/G4245)-1</f>
        <v>6.3122037914691953E-2</v>
      </c>
      <c r="H4244" s="202">
        <f>(H4243/H4245)-1</f>
        <v>-0.16295291610153073</v>
      </c>
      <c r="I4244" s="202">
        <f>(I4243/I4245)-1</f>
        <v>-0.2513068978707127</v>
      </c>
      <c r="J4244" s="202">
        <f>(J4243/J4245)-1</f>
        <v>-0.24737980369322909</v>
      </c>
      <c r="K4244" s="188"/>
      <c r="L4244" s="188"/>
      <c r="M4244" s="194"/>
      <c r="N4244" s="178"/>
      <c r="O4244" s="178"/>
      <c r="P4244" s="188"/>
      <c r="Q4244" s="188"/>
      <c r="R4244" s="195"/>
      <c r="S4244" s="197"/>
      <c r="T4244" s="180"/>
      <c r="U4244" s="189" t="str">
        <f>IFERROR(IF(Tableau3[[#This Row],[Dettes]]=0,"",(Tableau3[[#This Row],[Dettes]]/Tableau3[[#This Row],[EBE]])),"")</f>
        <v/>
      </c>
      <c r="V4244" s="190" t="str">
        <f>IFERROR(Tableau3[[#This Row],[Fonds propres]]/Tableau3[[#This Row],[Total Bilan]],"")</f>
        <v/>
      </c>
      <c r="W4244" s="180"/>
      <c r="Y4244" s="180"/>
      <c r="Z4244" s="192" t="str">
        <f>IFERROR(Tableau3[[#This Row],[Chiffre d''affaires]]/Tableau3[[#This Row],[Salariés]],"")</f>
        <v/>
      </c>
      <c r="AA4244" s="218"/>
      <c r="AC4244" s="177" t="s">
        <v>2963</v>
      </c>
    </row>
    <row r="4245" spans="1:29" ht="20.25" customHeight="1">
      <c r="A4245" s="217"/>
      <c r="E4245" s="187">
        <v>124.9</v>
      </c>
      <c r="F4245" s="178">
        <v>2021</v>
      </c>
      <c r="G4245" s="188">
        <v>3376000000</v>
      </c>
      <c r="H4245" s="188">
        <v>1032200000</v>
      </c>
      <c r="I4245" s="188">
        <v>784300000</v>
      </c>
      <c r="J4245" s="188">
        <v>601100000</v>
      </c>
      <c r="K4245" s="188">
        <v>-341000000</v>
      </c>
      <c r="L4245" s="188">
        <v>3177000000</v>
      </c>
      <c r="M4245" s="194">
        <f>L4245/P4245</f>
        <v>26.841561788565546</v>
      </c>
      <c r="N4245" s="190">
        <f t="shared" ref="N4245" si="285">J4245/L4247</f>
        <v>0.2422813381700927</v>
      </c>
      <c r="O4245" s="190">
        <f t="shared" ref="O4245" si="286">(I4245*0.75)/(K4247+L4247)</f>
        <v>0.22861445783132531</v>
      </c>
      <c r="P4245" s="188">
        <v>118361220</v>
      </c>
      <c r="Q4245" s="188">
        <f>P4245*E4245</f>
        <v>14783316378</v>
      </c>
      <c r="R4245" s="195">
        <f>Q4245/L4245</f>
        <v>4.6532314693106702</v>
      </c>
      <c r="S4245" s="197">
        <f>(Q4245+K4245)/H4245</f>
        <v>13.991781028870374</v>
      </c>
      <c r="T4245" s="180">
        <v>541000000</v>
      </c>
      <c r="U4245" s="189">
        <f>IFERROR(IF(Tableau3[[#This Row],[Dettes]]=0,"",(Tableau3[[#This Row],[Dettes]]/Tableau3[[#This Row],[EBE]])),"")</f>
        <v>-0.33036233288122457</v>
      </c>
      <c r="V4245" s="190">
        <f>IFERROR(Tableau3[[#This Row],[Fonds propres]]/Tableau3[[#This Row],[Total Bilan]],"")</f>
        <v>0.68915401301518442</v>
      </c>
      <c r="W4245" s="180">
        <v>4610000000</v>
      </c>
      <c r="Y4245" s="180">
        <v>13000</v>
      </c>
      <c r="Z4245" s="192">
        <f>IFERROR(Tableau3[[#This Row],[Chiffre d''affaires]]/Tableau3[[#This Row],[Salariés]],"")</f>
        <v>259692.30769230769</v>
      </c>
      <c r="AA4245" s="218"/>
      <c r="AC4245" s="199" t="s">
        <v>2964</v>
      </c>
    </row>
    <row r="4246" spans="1:29" ht="20.25" customHeight="1">
      <c r="A4246" s="217"/>
      <c r="E4246" s="187"/>
      <c r="G4246" s="202">
        <f>(G4245/G4247)-1</f>
        <v>8.2745349583066119E-2</v>
      </c>
      <c r="H4246" s="202">
        <f>(H4245/H4247)-1</f>
        <v>0.25343047965998777</v>
      </c>
      <c r="I4246" s="202">
        <f>(I4245/I4247)-1</f>
        <v>0.41877713458755417</v>
      </c>
      <c r="J4246" s="202">
        <f>(J4245/J4247)-1</f>
        <v>0.48639960435212659</v>
      </c>
      <c r="K4246" s="188"/>
      <c r="L4246" s="188"/>
      <c r="M4246" s="194"/>
      <c r="N4246" s="178"/>
      <c r="O4246" s="178"/>
      <c r="P4246" s="188"/>
      <c r="Q4246" s="188"/>
      <c r="R4246" s="195"/>
      <c r="S4246" s="197"/>
      <c r="T4246" s="180"/>
      <c r="U4246" s="189" t="str">
        <f>IFERROR(IF(Tableau3[[#This Row],[Dettes]]=0,"",(Tableau3[[#This Row],[Dettes]]/Tableau3[[#This Row],[EBE]])),"")</f>
        <v/>
      </c>
      <c r="V4246" s="190" t="str">
        <f>IFERROR(Tableau3[[#This Row],[Fonds propres]]/Tableau3[[#This Row],[Total Bilan]],"")</f>
        <v/>
      </c>
      <c r="W4246" s="180"/>
      <c r="Y4246" s="180"/>
      <c r="Z4246" s="192" t="str">
        <f>IFERROR(Tableau3[[#This Row],[Chiffre d''affaires]]/Tableau3[[#This Row],[Salariés]],"")</f>
        <v/>
      </c>
      <c r="AA4246" s="218"/>
      <c r="AC4246" s="177" t="s">
        <v>2965</v>
      </c>
    </row>
    <row r="4247" spans="1:29" ht="20.25" customHeight="1">
      <c r="A4247" s="217"/>
      <c r="E4247" s="187">
        <v>115.4</v>
      </c>
      <c r="F4247" s="178">
        <v>2020</v>
      </c>
      <c r="G4247" s="188">
        <v>3118000000</v>
      </c>
      <c r="H4247" s="188">
        <v>823500000</v>
      </c>
      <c r="I4247" s="188">
        <v>552800000</v>
      </c>
      <c r="J4247" s="188">
        <v>404400000</v>
      </c>
      <c r="K4247" s="188">
        <v>92000000</v>
      </c>
      <c r="L4247" s="188">
        <v>2481000000</v>
      </c>
      <c r="M4247" s="194">
        <f>L4247/P4247</f>
        <v>20.961257411844858</v>
      </c>
      <c r="N4247" s="190">
        <f t="shared" ref="N4247" si="287">J4247/L4249</f>
        <v>0.17933481152993347</v>
      </c>
      <c r="O4247" s="190">
        <f t="shared" ref="O4247" si="288">(I4247*0.75)/(K4249+L4249)</f>
        <v>0.16119751166407464</v>
      </c>
      <c r="P4247" s="188">
        <v>118361220</v>
      </c>
      <c r="Q4247" s="188">
        <f>P4247*E4247</f>
        <v>13658884788</v>
      </c>
      <c r="R4247" s="195">
        <f>Q4247/L4247</f>
        <v>5.5053949165659004</v>
      </c>
      <c r="S4247" s="197">
        <f>(Q4247+K4247)/H4247</f>
        <v>16.698099317547054</v>
      </c>
      <c r="T4247" s="180">
        <v>328000000</v>
      </c>
      <c r="U4247" s="189">
        <f>IFERROR(IF(Tableau3[[#This Row],[Dettes]]=0,"",(Tableau3[[#This Row],[Dettes]]/Tableau3[[#This Row],[EBE]])),"")</f>
        <v>0.11171827565270188</v>
      </c>
      <c r="V4247" s="190">
        <f>IFERROR(Tableau3[[#This Row],[Fonds propres]]/Tableau3[[#This Row],[Total Bilan]],"")</f>
        <v>0.63129770992366407</v>
      </c>
      <c r="W4247" s="180">
        <v>3930000000</v>
      </c>
      <c r="Y4247" s="180">
        <v>12700</v>
      </c>
      <c r="Z4247" s="192">
        <f>IFERROR(Tableau3[[#This Row],[Chiffre d''affaires]]/Tableau3[[#This Row],[Salariés]],"")</f>
        <v>245511.81102362205</v>
      </c>
      <c r="AA4247" s="218"/>
      <c r="AC4247" s="177" t="s">
        <v>5071</v>
      </c>
    </row>
    <row r="4248" spans="1:29" ht="20.25" customHeight="1">
      <c r="A4248" s="217"/>
      <c r="E4248" s="187"/>
      <c r="G4248" s="202">
        <f>(G4247/G4249)-1</f>
        <v>0.16560747663551401</v>
      </c>
      <c r="H4248" s="202">
        <f>(H4247/H4249)-1</f>
        <v>0.42498702197612048</v>
      </c>
      <c r="I4248" s="202">
        <f>(I4247/I4249)-1</f>
        <v>0.49123280280550308</v>
      </c>
      <c r="J4248" s="202">
        <f>(J4247/J4249)-1</f>
        <v>0.48131868131868139</v>
      </c>
      <c r="K4248" s="188"/>
      <c r="L4248" s="188"/>
      <c r="M4248" s="194"/>
      <c r="N4248" s="178"/>
      <c r="O4248" s="178"/>
      <c r="P4248" s="188"/>
      <c r="Q4248" s="188"/>
      <c r="R4248" s="195"/>
      <c r="S4248" s="197"/>
      <c r="T4248" s="180"/>
      <c r="U4248" s="189" t="str">
        <f>IFERROR(IF(Tableau3[[#This Row],[Dettes]]=0,"",(Tableau3[[#This Row],[Dettes]]/Tableau3[[#This Row],[EBE]])),"")</f>
        <v/>
      </c>
      <c r="V4248" s="190" t="str">
        <f>IFERROR(Tableau3[[#This Row],[Fonds propres]]/Tableau3[[#This Row],[Total Bilan]],"")</f>
        <v/>
      </c>
      <c r="W4248" s="180"/>
      <c r="Y4248" s="180"/>
      <c r="Z4248" s="192" t="str">
        <f>IFERROR(Tableau3[[#This Row],[Chiffre d''affaires]]/Tableau3[[#This Row],[Salariés]],"")</f>
        <v/>
      </c>
      <c r="AA4248" s="218"/>
      <c r="AC4248" s="177" t="s">
        <v>2966</v>
      </c>
    </row>
    <row r="4249" spans="1:29" ht="20.25" customHeight="1">
      <c r="A4249" s="217"/>
      <c r="E4249" s="187">
        <v>79.349999999999994</v>
      </c>
      <c r="F4249" s="178">
        <v>2019</v>
      </c>
      <c r="G4249" s="188">
        <v>2675000000</v>
      </c>
      <c r="H4249" s="188">
        <v>577900000</v>
      </c>
      <c r="I4249" s="188">
        <v>370700000</v>
      </c>
      <c r="J4249" s="188">
        <v>273000000</v>
      </c>
      <c r="K4249" s="188">
        <v>317000000</v>
      </c>
      <c r="L4249" s="188">
        <v>2255000000</v>
      </c>
      <c r="M4249" s="194">
        <f>L4249/P4249</f>
        <v>19.051848232047625</v>
      </c>
      <c r="N4249" s="190">
        <f t="shared" ref="N4249" si="289">J4249/L4251</f>
        <v>0.13636363636363635</v>
      </c>
      <c r="O4249" s="190">
        <f t="shared" ref="O4249" si="290">(I4249*0.75)/(K4251+L4251)</f>
        <v>0.11740920608108107</v>
      </c>
      <c r="P4249" s="188">
        <v>118361220</v>
      </c>
      <c r="Q4249" s="188">
        <f>P4249*E4249</f>
        <v>9391962807</v>
      </c>
      <c r="R4249" s="195">
        <f>Q4249/L4249</f>
        <v>4.1649502470066517</v>
      </c>
      <c r="S4249" s="197">
        <f>(Q4249+K4249)/H4249</f>
        <v>16.800420154005884</v>
      </c>
      <c r="T4249" s="180">
        <v>150000000</v>
      </c>
      <c r="U4249" s="189">
        <f>IFERROR(IF(Tableau3[[#This Row],[Dettes]]=0,"",(Tableau3[[#This Row],[Dettes]]/Tableau3[[#This Row],[EBE]])),"")</f>
        <v>0.54853780930956908</v>
      </c>
      <c r="V4249" s="190">
        <f>IFERROR(Tableau3[[#This Row],[Fonds propres]]/Tableau3[[#This Row],[Total Bilan]],"")</f>
        <v>0.59656084656084651</v>
      </c>
      <c r="W4249" s="180">
        <v>3780000000</v>
      </c>
      <c r="Y4249" s="180">
        <v>12000</v>
      </c>
      <c r="Z4249" s="192">
        <f>IFERROR(Tableau3[[#This Row],[Chiffre d''affaires]]/Tableau3[[#This Row],[Salariés]],"")</f>
        <v>222916.66666666666</v>
      </c>
      <c r="AA4249" s="218"/>
      <c r="AC4249" s="177" t="s">
        <v>5066</v>
      </c>
    </row>
    <row r="4250" spans="1:29" ht="20.25" customHeight="1">
      <c r="A4250" s="217"/>
      <c r="E4250" s="187"/>
      <c r="G4250" s="202">
        <f>(G4249/G4251)-1</f>
        <v>0.10491532424617933</v>
      </c>
      <c r="H4250" s="202">
        <f>(H4249/H4251)-1</f>
        <v>6.9195189639222887E-2</v>
      </c>
      <c r="I4250" s="202">
        <f>(I4249/I4251)-1</f>
        <v>7.138728323699417E-2</v>
      </c>
      <c r="J4250" s="202">
        <f>(J4249/J4251)-1</f>
        <v>6.2256809338521402E-2</v>
      </c>
      <c r="K4250" s="188"/>
      <c r="L4250" s="188"/>
      <c r="M4250" s="194"/>
      <c r="N4250" s="178"/>
      <c r="O4250" s="178"/>
      <c r="P4250" s="188"/>
      <c r="Q4250" s="188"/>
      <c r="R4250" s="195"/>
      <c r="S4250" s="197"/>
      <c r="T4250" s="180"/>
      <c r="U4250" s="189" t="str">
        <f>IFERROR(IF(Tableau3[[#This Row],[Dettes]]=0,"",(Tableau3[[#This Row],[Dettes]]/Tableau3[[#This Row],[EBE]])),"")</f>
        <v/>
      </c>
      <c r="V4250" s="190" t="str">
        <f>IFERROR(Tableau3[[#This Row],[Fonds propres]]/Tableau3[[#This Row],[Total Bilan]],"")</f>
        <v/>
      </c>
      <c r="W4250" s="180"/>
      <c r="Y4250" s="180"/>
      <c r="Z4250" s="192" t="str">
        <f>IFERROR(Tableau3[[#This Row],[Chiffre d''affaires]]/Tableau3[[#This Row],[Salariés]],"")</f>
        <v/>
      </c>
      <c r="AA4250" s="218"/>
      <c r="AC4250" s="177" t="s">
        <v>5068</v>
      </c>
    </row>
    <row r="4251" spans="1:29" ht="20.25" customHeight="1">
      <c r="A4251" s="217"/>
      <c r="E4251" s="187">
        <v>57.5</v>
      </c>
      <c r="F4251" s="178">
        <v>2018</v>
      </c>
      <c r="G4251" s="188">
        <v>2421000000</v>
      </c>
      <c r="H4251" s="188">
        <v>540500000</v>
      </c>
      <c r="I4251" s="188">
        <v>346000000</v>
      </c>
      <c r="J4251" s="188">
        <v>257000000</v>
      </c>
      <c r="K4251" s="188">
        <v>366000000</v>
      </c>
      <c r="L4251" s="188">
        <v>2002000000</v>
      </c>
      <c r="M4251" s="194">
        <f>L4251/P4251</f>
        <v>16.914323796256916</v>
      </c>
      <c r="N4251" s="190">
        <f t="shared" ref="N4251" si="291">J4251/L4253</f>
        <v>0.14795624640184227</v>
      </c>
      <c r="O4251" s="190">
        <f t="shared" ref="O4251" si="292">(I4251*0.75)/(K4253+L4253)</f>
        <v>0.13708399366085577</v>
      </c>
      <c r="P4251" s="188">
        <v>118361220</v>
      </c>
      <c r="Q4251" s="188">
        <f>P4251*E4251</f>
        <v>6805770150</v>
      </c>
      <c r="R4251" s="195">
        <f>Q4251/L4251</f>
        <v>3.3994855894105895</v>
      </c>
      <c r="S4251" s="197">
        <f>(Q4251+K4251)/H4251</f>
        <v>13.268769935245144</v>
      </c>
      <c r="T4251" s="180">
        <v>179000000</v>
      </c>
      <c r="U4251" s="189">
        <f>IFERROR(IF(Tableau3[[#This Row],[Dettes]]=0,"",(Tableau3[[#This Row],[Dettes]]/Tableau3[[#This Row],[EBE]])),"")</f>
        <v>0.67715078630897318</v>
      </c>
      <c r="V4251" s="190">
        <f>IFERROR(Tableau3[[#This Row],[Fonds propres]]/Tableau3[[#This Row],[Total Bilan]],"")</f>
        <v>0.57199999999999995</v>
      </c>
      <c r="W4251" s="180">
        <v>3500000000</v>
      </c>
      <c r="Y4251" s="180">
        <v>11200</v>
      </c>
      <c r="Z4251" s="192">
        <f>IFERROR(Tableau3[[#This Row],[Chiffre d''affaires]]/Tableau3[[#This Row],[Salariés]],"")</f>
        <v>216160.71428571429</v>
      </c>
      <c r="AA4251" s="218"/>
      <c r="AC4251" s="177" t="s">
        <v>2967</v>
      </c>
    </row>
    <row r="4252" spans="1:29" ht="20.25" customHeight="1">
      <c r="A4252" s="217"/>
      <c r="C4252" s="234" t="s">
        <v>2968</v>
      </c>
      <c r="E4252" s="187"/>
      <c r="G4252" s="202">
        <f>(G4251/G4253)-1</f>
        <v>5.8129370629370625E-2</v>
      </c>
      <c r="H4252" s="202">
        <f>(H4251/H4253)-1</f>
        <v>0.13741582491582482</v>
      </c>
      <c r="I4252" s="202">
        <f>(I4251/I4253)-1</f>
        <v>3.3761577532118281E-2</v>
      </c>
      <c r="J4252" s="202">
        <f>(J4251/J4253)-1</f>
        <v>7.9831932773109182E-2</v>
      </c>
      <c r="K4252" s="188"/>
      <c r="L4252" s="188"/>
      <c r="M4252" s="194"/>
      <c r="N4252" s="178"/>
      <c r="O4252" s="178"/>
      <c r="P4252" s="188"/>
      <c r="Q4252" s="188"/>
      <c r="R4252" s="195"/>
      <c r="S4252" s="197"/>
      <c r="T4252" s="180"/>
      <c r="U4252" s="189" t="str">
        <f>IFERROR(IF(Tableau3[[#This Row],[Dettes]]=0,"",(Tableau3[[#This Row],[Dettes]]/Tableau3[[#This Row],[EBE]])),"")</f>
        <v/>
      </c>
      <c r="V4252" s="190" t="str">
        <f>IFERROR(Tableau3[[#This Row],[Fonds propres]]/Tableau3[[#This Row],[Total Bilan]],"")</f>
        <v/>
      </c>
      <c r="W4252" s="180"/>
      <c r="Y4252" s="180"/>
      <c r="Z4252" s="192" t="str">
        <f>IFERROR(Tableau3[[#This Row],[Chiffre d''affaires]]/Tableau3[[#This Row],[Salariés]],"")</f>
        <v/>
      </c>
      <c r="AA4252" s="218"/>
      <c r="AC4252" s="177" t="s">
        <v>5072</v>
      </c>
    </row>
    <row r="4253" spans="1:29" ht="20.25" customHeight="1">
      <c r="A4253" s="217"/>
      <c r="E4253" s="187">
        <v>74.69</v>
      </c>
      <c r="F4253" s="178">
        <v>2017</v>
      </c>
      <c r="G4253" s="188">
        <v>2288000000</v>
      </c>
      <c r="H4253" s="188">
        <v>475200000</v>
      </c>
      <c r="I4253" s="188">
        <v>334700000</v>
      </c>
      <c r="J4253" s="188">
        <v>238000000</v>
      </c>
      <c r="K4253" s="188">
        <v>156000000</v>
      </c>
      <c r="L4253" s="188">
        <v>1737000000</v>
      </c>
      <c r="M4253" s="194">
        <f>L4253/P4253</f>
        <v>14.675414802246884</v>
      </c>
      <c r="N4253" s="190">
        <f t="shared" ref="N4253" si="293">J4253/L4255</f>
        <v>0.14682294879703886</v>
      </c>
      <c r="O4253" s="190">
        <f t="shared" ref="O4253" si="294">(I4253*0.75)/(K4255+L4255)</f>
        <v>0.13239715189873419</v>
      </c>
      <c r="P4253" s="188">
        <v>118361220</v>
      </c>
      <c r="Q4253" s="188">
        <f>P4253*E4253</f>
        <v>8840399521.7999992</v>
      </c>
      <c r="R4253" s="195">
        <f>Q4253/L4253</f>
        <v>5.0894643188255611</v>
      </c>
      <c r="S4253" s="197">
        <f>(Q4253+K4253)/H4253</f>
        <v>18.931817175505049</v>
      </c>
      <c r="T4253" s="180">
        <v>165000000</v>
      </c>
      <c r="U4253" s="189">
        <f>IFERROR(IF(Tableau3[[#This Row],[Dettes]]=0,"",(Tableau3[[#This Row],[Dettes]]/Tableau3[[#This Row],[EBE]])),"")</f>
        <v>0.32828282828282829</v>
      </c>
      <c r="V4253" s="190">
        <f>IFERROR(Tableau3[[#This Row],[Fonds propres]]/Tableau3[[#This Row],[Total Bilan]],"")</f>
        <v>0.5809364548494983</v>
      </c>
      <c r="W4253" s="180">
        <v>2990000000</v>
      </c>
      <c r="Y4253" s="180">
        <v>10400</v>
      </c>
      <c r="Z4253" s="192">
        <f>IFERROR(Tableau3[[#This Row],[Chiffre d''affaires]]/Tableau3[[#This Row],[Salariés]],"")</f>
        <v>220000</v>
      </c>
      <c r="AA4253" s="218"/>
      <c r="AC4253" s="177" t="s">
        <v>2969</v>
      </c>
    </row>
    <row r="4254" spans="1:29" ht="20.25" customHeight="1">
      <c r="A4254" s="217"/>
      <c r="E4254" s="187"/>
      <c r="G4254" s="202">
        <f>(G4253/G4255)-1</f>
        <v>8.7969567284831296E-2</v>
      </c>
      <c r="H4254" s="202">
        <f>(H4253/H4255)-1</f>
        <v>7.7795418462236254E-2</v>
      </c>
      <c r="I4254" s="202">
        <f>(I4253/I4255)-1</f>
        <v>0.12390866353257213</v>
      </c>
      <c r="J4254" s="202">
        <f>(J4253/J4255)-1</f>
        <v>0.32960893854748607</v>
      </c>
      <c r="K4254" s="188"/>
      <c r="L4254" s="188"/>
      <c r="M4254" s="194"/>
      <c r="N4254" s="178"/>
      <c r="O4254" s="178"/>
      <c r="P4254" s="188"/>
      <c r="Q4254" s="188"/>
      <c r="R4254" s="195"/>
      <c r="S4254" s="197"/>
      <c r="T4254" s="180"/>
      <c r="U4254" s="189" t="str">
        <f>IFERROR(IF(Tableau3[[#This Row],[Dettes]]=0,"",(Tableau3[[#This Row],[Dettes]]/Tableau3[[#This Row],[EBE]])),"")</f>
        <v/>
      </c>
      <c r="V4254" s="190" t="str">
        <f>IFERROR(Tableau3[[#This Row],[Fonds propres]]/Tableau3[[#This Row],[Total Bilan]],"")</f>
        <v/>
      </c>
      <c r="W4254" s="180"/>
      <c r="Y4254" s="180"/>
      <c r="Z4254" s="192" t="str">
        <f>IFERROR(Tableau3[[#This Row],[Chiffre d''affaires]]/Tableau3[[#This Row],[Salariés]],"")</f>
        <v/>
      </c>
      <c r="AA4254" s="218"/>
      <c r="AC4254" s="177" t="s">
        <v>2970</v>
      </c>
    </row>
    <row r="4255" spans="1:29" ht="20.25" customHeight="1">
      <c r="A4255" s="217"/>
      <c r="E4255" s="187">
        <v>141.9</v>
      </c>
      <c r="F4255" s="178">
        <v>2016</v>
      </c>
      <c r="G4255" s="188">
        <v>2103000000</v>
      </c>
      <c r="H4255" s="188">
        <v>440900000</v>
      </c>
      <c r="I4255" s="188">
        <v>297800000</v>
      </c>
      <c r="J4255" s="188">
        <v>179000000</v>
      </c>
      <c r="K4255" s="188">
        <v>275000000</v>
      </c>
      <c r="L4255" s="188">
        <v>1621000000</v>
      </c>
      <c r="M4255" s="194">
        <f>L4255/P4255</f>
        <v>41.086092218380308</v>
      </c>
      <c r="N4255" s="190">
        <f t="shared" ref="N4255" si="295">J4255/L4257</f>
        <v>0.11909514304723885</v>
      </c>
      <c r="O4255" s="190">
        <f t="shared" ref="O4255" si="296">(I4255*0.75)/(K4257+L4257)</f>
        <v>0.12970383275261324</v>
      </c>
      <c r="P4255" s="188">
        <v>39453740</v>
      </c>
      <c r="Q4255" s="188">
        <f>P4255*E4255</f>
        <v>5598485706</v>
      </c>
      <c r="R4255" s="195">
        <f>Q4255/L4255</f>
        <v>3.4537234460209749</v>
      </c>
      <c r="S4255" s="197">
        <f>(Q4255+K4255)/H4255</f>
        <v>13.321582458607393</v>
      </c>
      <c r="T4255" s="180">
        <v>85000000</v>
      </c>
      <c r="U4255" s="189">
        <f>IFERROR(IF(Tableau3[[#This Row],[Dettes]]=0,"",(Tableau3[[#This Row],[Dettes]]/Tableau3[[#This Row],[EBE]])),"")</f>
        <v>0.62372420049897936</v>
      </c>
      <c r="V4255" s="190">
        <f>IFERROR(Tableau3[[#This Row],[Fonds propres]]/Tableau3[[#This Row],[Total Bilan]],"")</f>
        <v>0.53498349834983494</v>
      </c>
      <c r="W4255" s="180">
        <v>3030000000</v>
      </c>
      <c r="Y4255" s="180">
        <v>9800</v>
      </c>
      <c r="Z4255" s="192">
        <f>IFERROR(Tableau3[[#This Row],[Chiffre d''affaires]]/Tableau3[[#This Row],[Salariés]],"")</f>
        <v>214591.83673469388</v>
      </c>
      <c r="AA4255" s="218"/>
      <c r="AC4255" s="177" t="s">
        <v>2971</v>
      </c>
    </row>
    <row r="4256" spans="1:29" ht="20.25" customHeight="1">
      <c r="A4256" s="217"/>
      <c r="E4256" s="187"/>
      <c r="G4256" s="202">
        <f>(G4255/G4257)-1</f>
        <v>7.0229007633587859E-2</v>
      </c>
      <c r="H4256" s="202">
        <f>(H4255/H4257)-1</f>
        <v>0.16026315789473689</v>
      </c>
      <c r="I4256" s="202">
        <f>(I4255/I4257)-1</f>
        <v>0.52796305797845045</v>
      </c>
      <c r="J4256" s="202">
        <f>(J4255/J4257)-1</f>
        <v>0.6272727272727272</v>
      </c>
      <c r="K4256" s="188"/>
      <c r="L4256" s="188"/>
      <c r="M4256" s="194"/>
      <c r="N4256" s="178"/>
      <c r="O4256" s="178"/>
      <c r="P4256" s="188"/>
      <c r="Q4256" s="188"/>
      <c r="R4256" s="195"/>
      <c r="S4256" s="197"/>
      <c r="T4256" s="180"/>
      <c r="U4256" s="189" t="str">
        <f>IFERROR(IF(Tableau3[[#This Row],[Dettes]]=0,"",(Tableau3[[#This Row],[Dettes]]/Tableau3[[#This Row],[EBE]])),"")</f>
        <v/>
      </c>
      <c r="V4256" s="190" t="str">
        <f>IFERROR(Tableau3[[#This Row],[Fonds propres]]/Tableau3[[#This Row],[Total Bilan]],"")</f>
        <v/>
      </c>
      <c r="W4256" s="180"/>
      <c r="Y4256" s="180"/>
      <c r="Z4256" s="192" t="str">
        <f>IFERROR(Tableau3[[#This Row],[Chiffre d''affaires]]/Tableau3[[#This Row],[Salariés]],"")</f>
        <v/>
      </c>
      <c r="AA4256" s="218"/>
      <c r="AC4256" s="177" t="s">
        <v>2972</v>
      </c>
    </row>
    <row r="4257" spans="1:29" ht="20.25" customHeight="1">
      <c r="A4257" s="217"/>
      <c r="E4257" s="187">
        <f>36.63*3</f>
        <v>109.89000000000001</v>
      </c>
      <c r="F4257" s="178">
        <v>2015</v>
      </c>
      <c r="G4257" s="188">
        <v>1965000000</v>
      </c>
      <c r="H4257" s="188">
        <v>380000000</v>
      </c>
      <c r="I4257" s="188">
        <v>194900000</v>
      </c>
      <c r="J4257" s="188">
        <v>110000000</v>
      </c>
      <c r="K4257" s="188">
        <v>219000000</v>
      </c>
      <c r="L4257" s="188">
        <v>1503000000</v>
      </c>
      <c r="M4257" s="194">
        <f>L4257/P4257</f>
        <v>38.095247750910303</v>
      </c>
      <c r="N4257" s="190">
        <f t="shared" ref="N4257" si="297">J4257/L4259</f>
        <v>7.9216477027221663E-2</v>
      </c>
      <c r="O4257" s="190">
        <f t="shared" ref="O4257" si="298">(I4257*0.75)/(K4259+L4259)</f>
        <v>9.3528056817454727E-2</v>
      </c>
      <c r="P4257" s="188">
        <v>39453740</v>
      </c>
      <c r="Q4257" s="188">
        <f>P4257*E4257</f>
        <v>4335571488.6000004</v>
      </c>
      <c r="R4257" s="195">
        <f>Q4257/L4257</f>
        <v>2.8846117688622757</v>
      </c>
      <c r="S4257" s="197">
        <f>(Q4257+K4257)/H4257</f>
        <v>11.985714443684211</v>
      </c>
      <c r="T4257" s="180">
        <v>102000000</v>
      </c>
      <c r="U4257" s="189">
        <f>IFERROR(IF(Tableau3[[#This Row],[Dettes]]=0,"",(Tableau3[[#This Row],[Dettes]]/Tableau3[[#This Row],[EBE]])),"")</f>
        <v>0.57631578947368423</v>
      </c>
      <c r="V4257" s="190" t="str">
        <f>IFERROR(Tableau3[[#This Row],[Fonds propres]]/Tableau3[[#This Row],[Total Bilan]],"")</f>
        <v/>
      </c>
      <c r="W4257" s="180"/>
      <c r="Y4257" s="180">
        <v>9375</v>
      </c>
      <c r="Z4257" s="192">
        <f>IFERROR(Tableau3[[#This Row],[Chiffre d''affaires]]/Tableau3[[#This Row],[Salariés]],"")</f>
        <v>209600</v>
      </c>
      <c r="AA4257" s="218"/>
      <c r="AC4257" s="177" t="s">
        <v>2973</v>
      </c>
    </row>
    <row r="4258" spans="1:29" ht="20.25" customHeight="1">
      <c r="A4258" s="217"/>
      <c r="E4258" s="187"/>
      <c r="G4258" s="202">
        <f>(G4257/G4259)-1</f>
        <v>0.15697126707489395</v>
      </c>
      <c r="H4258" s="202">
        <f>(H4257/H4259)-1</f>
        <v>0.14457831325301207</v>
      </c>
      <c r="I4258" s="202">
        <f>(I4257/I4259)-1</f>
        <v>-4.2730844793713141E-2</v>
      </c>
      <c r="J4258" s="202">
        <f>(J4257/J4259)-1</f>
        <v>-0.18458117123795403</v>
      </c>
      <c r="K4258" s="188"/>
      <c r="L4258" s="188"/>
      <c r="M4258" s="194"/>
      <c r="N4258" s="178"/>
      <c r="O4258" s="178"/>
      <c r="P4258" s="188"/>
      <c r="Q4258" s="188"/>
      <c r="R4258" s="195"/>
      <c r="S4258" s="197"/>
      <c r="T4258" s="180"/>
      <c r="U4258" s="189" t="str">
        <f>IFERROR(IF(Tableau3[[#This Row],[Dettes]]=0,"",(Tableau3[[#This Row],[Dettes]]/Tableau3[[#This Row],[EBE]])),"")</f>
        <v/>
      </c>
      <c r="V4258" s="190" t="str">
        <f>IFERROR(Tableau3[[#This Row],[Fonds propres]]/Tableau3[[#This Row],[Total Bilan]],"")</f>
        <v/>
      </c>
      <c r="W4258" s="180"/>
      <c r="Y4258" s="180"/>
      <c r="Z4258" s="192" t="str">
        <f>IFERROR(Tableau3[[#This Row],[Chiffre d''affaires]]/Tableau3[[#This Row],[Salariés]],"")</f>
        <v/>
      </c>
      <c r="AA4258" s="218"/>
      <c r="AC4258" s="177" t="s">
        <v>2974</v>
      </c>
    </row>
    <row r="4259" spans="1:29" ht="20.25" customHeight="1">
      <c r="A4259" s="217"/>
      <c r="E4259" s="187">
        <f>28.58*3</f>
        <v>85.74</v>
      </c>
      <c r="F4259" s="178">
        <v>2014</v>
      </c>
      <c r="G4259" s="188">
        <v>1698400000</v>
      </c>
      <c r="H4259" s="188">
        <v>332000000</v>
      </c>
      <c r="I4259" s="188">
        <v>203600000</v>
      </c>
      <c r="J4259" s="188">
        <v>134900000</v>
      </c>
      <c r="K4259" s="188">
        <v>174300000</v>
      </c>
      <c r="L4259" s="188">
        <v>1388600000</v>
      </c>
      <c r="M4259" s="194">
        <f>L4259/P4259</f>
        <v>35.19564938583769</v>
      </c>
      <c r="N4259" s="190">
        <f t="shared" ref="N4259" si="299">J4259/L4261</f>
        <v>0.16144088080421254</v>
      </c>
      <c r="O4259" s="190">
        <f t="shared" ref="O4259" si="300">(I4259*0.75)/(K4261+L4261)</f>
        <v>0.18835574195140004</v>
      </c>
      <c r="P4259" s="188">
        <v>39453740</v>
      </c>
      <c r="Q4259" s="188">
        <f>P4259*E4259</f>
        <v>3382763667.5999999</v>
      </c>
      <c r="R4259" s="195">
        <f>Q4259/L4259</f>
        <v>2.4360965487541408</v>
      </c>
      <c r="S4259" s="197">
        <f>(Q4259+K4259)/H4259</f>
        <v>10.714047191566264</v>
      </c>
      <c r="T4259" s="180">
        <v>158000000</v>
      </c>
      <c r="U4259" s="189">
        <f>IFERROR(IF(Tableau3[[#This Row],[Dettes]]=0,"",(Tableau3[[#This Row],[Dettes]]/Tableau3[[#This Row],[EBE]])),"")</f>
        <v>0.52500000000000002</v>
      </c>
      <c r="V4259" s="190" t="str">
        <f>IFERROR(Tableau3[[#This Row],[Fonds propres]]/Tableau3[[#This Row],[Total Bilan]],"")</f>
        <v/>
      </c>
      <c r="W4259" s="180"/>
      <c r="Y4259" s="180">
        <v>8947</v>
      </c>
      <c r="Z4259" s="192">
        <f>IFERROR(Tableau3[[#This Row],[Chiffre d''affaires]]/Tableau3[[#This Row],[Salariés]],"")</f>
        <v>189828.99295853358</v>
      </c>
      <c r="AA4259" s="218"/>
      <c r="AC4259" s="177" t="s">
        <v>2975</v>
      </c>
    </row>
    <row r="4260" spans="1:29" ht="20.25" customHeight="1">
      <c r="A4260" s="217"/>
      <c r="E4260" s="187"/>
      <c r="G4260" s="202">
        <f>(G4259/G4261)-1</f>
        <v>6.9521410579345133E-2</v>
      </c>
      <c r="H4260" s="202">
        <f>(H4259/H4261)-1</f>
        <v>-6.0288706481743559E-2</v>
      </c>
      <c r="I4260" s="202">
        <f>(I4259/I4261)-1</f>
        <v>-0.20778210116731521</v>
      </c>
      <c r="J4260" s="202">
        <f>(J4259/J4261)-1</f>
        <v>-0.18242424242424238</v>
      </c>
      <c r="K4260" s="188"/>
      <c r="L4260" s="188"/>
      <c r="M4260" s="194"/>
      <c r="N4260" s="178"/>
      <c r="O4260" s="178"/>
      <c r="P4260" s="188"/>
      <c r="Q4260" s="188"/>
      <c r="R4260" s="195"/>
      <c r="S4260" s="197"/>
      <c r="T4260" s="180"/>
      <c r="U4260" s="189" t="str">
        <f>IFERROR(IF(Tableau3[[#This Row],[Dettes]]=0,"",(Tableau3[[#This Row],[Dettes]]/Tableau3[[#This Row],[EBE]])),"")</f>
        <v/>
      </c>
      <c r="V4260" s="190" t="str">
        <f>IFERROR(Tableau3[[#This Row],[Fonds propres]]/Tableau3[[#This Row],[Total Bilan]],"")</f>
        <v/>
      </c>
      <c r="W4260" s="180"/>
      <c r="Y4260" s="180"/>
      <c r="Z4260" s="192" t="str">
        <f>IFERROR(Tableau3[[#This Row],[Chiffre d''affaires]]/Tableau3[[#This Row],[Salariés]],"")</f>
        <v/>
      </c>
      <c r="AA4260" s="218"/>
      <c r="AC4260" s="177" t="s">
        <v>5075</v>
      </c>
    </row>
    <row r="4261" spans="1:29" ht="20.25" customHeight="1">
      <c r="A4261" s="217"/>
      <c r="E4261" s="187">
        <f>25.42*3</f>
        <v>76.260000000000005</v>
      </c>
      <c r="F4261" s="178">
        <v>2013</v>
      </c>
      <c r="G4261" s="188">
        <v>1588000000</v>
      </c>
      <c r="H4261" s="188">
        <v>353300000</v>
      </c>
      <c r="I4261" s="188">
        <v>257000000</v>
      </c>
      <c r="J4261" s="188">
        <v>165000000</v>
      </c>
      <c r="K4261" s="188">
        <v>-24900000</v>
      </c>
      <c r="L4261" s="188">
        <v>835600000</v>
      </c>
      <c r="M4261" s="194">
        <f>L4261/P4261</f>
        <v>21.179234212016404</v>
      </c>
      <c r="N4261" s="190">
        <f t="shared" ref="N4261" si="301">J4261/L4263</f>
        <v>0.21350931677018634</v>
      </c>
      <c r="O4261" s="190">
        <f t="shared" ref="O4261" si="302">(I4261*0.75)/(K4263+L4263)</f>
        <v>0.23471748660496833</v>
      </c>
      <c r="P4261" s="188">
        <v>39453740</v>
      </c>
      <c r="Q4261" s="188">
        <f>P4261*E4261</f>
        <v>3008742212.4000001</v>
      </c>
      <c r="R4261" s="195">
        <f>Q4261/L4261</f>
        <v>3.6006967596936335</v>
      </c>
      <c r="S4261" s="197">
        <f>(Q4261+K4261)/H4261</f>
        <v>8.4456332080384939</v>
      </c>
      <c r="T4261" s="180">
        <v>109000000</v>
      </c>
      <c r="U4261" s="189">
        <f>IFERROR(IF(Tableau3[[#This Row],[Dettes]]=0,"",(Tableau3[[#This Row],[Dettes]]/Tableau3[[#This Row],[EBE]])),"")</f>
        <v>-7.0478347013869236E-2</v>
      </c>
      <c r="V4261" s="190" t="str">
        <f>IFERROR(Tableau3[[#This Row],[Fonds propres]]/Tableau3[[#This Row],[Total Bilan]],"")</f>
        <v/>
      </c>
      <c r="W4261" s="180"/>
      <c r="Y4261" s="180">
        <v>7723</v>
      </c>
      <c r="Z4261" s="192">
        <f>IFERROR(Tableau3[[#This Row],[Chiffre d''affaires]]/Tableau3[[#This Row],[Salariés]],"")</f>
        <v>205619.57788424188</v>
      </c>
      <c r="AA4261" s="218"/>
      <c r="AC4261" s="177" t="s">
        <v>5073</v>
      </c>
    </row>
    <row r="4262" spans="1:29" ht="20.25" customHeight="1">
      <c r="A4262" s="217"/>
      <c r="E4262" s="187"/>
      <c r="G4262" s="202">
        <f>(G4261/G4263)-1</f>
        <v>1.1464968152866239E-2</v>
      </c>
      <c r="H4262" s="202">
        <f>(H4261/H4263)-1</f>
        <v>-4.2277339346110665E-3</v>
      </c>
      <c r="I4262" s="202">
        <f>(I4261/I4263)-1</f>
        <v>9.3617021276595658E-2</v>
      </c>
      <c r="J4262" s="202">
        <f>(J4261/J4263)-1</f>
        <v>0.23134328358208944</v>
      </c>
      <c r="K4262" s="188"/>
      <c r="L4262" s="188"/>
      <c r="M4262" s="194"/>
      <c r="N4262" s="178"/>
      <c r="O4262" s="178"/>
      <c r="P4262" s="188"/>
      <c r="Q4262" s="188"/>
      <c r="R4262" s="195"/>
      <c r="S4262" s="197"/>
      <c r="T4262" s="180"/>
      <c r="U4262" s="189" t="str">
        <f>IFERROR(IF(Tableau3[[#This Row],[Dettes]]=0,"",(Tableau3[[#This Row],[Dettes]]/Tableau3[[#This Row],[EBE]])),"")</f>
        <v/>
      </c>
      <c r="V4262" s="190" t="str">
        <f>IFERROR(Tableau3[[#This Row],[Fonds propres]]/Tableau3[[#This Row],[Total Bilan]],"")</f>
        <v/>
      </c>
      <c r="W4262" s="180"/>
      <c r="Y4262" s="180"/>
      <c r="Z4262" s="192" t="str">
        <f>IFERROR(Tableau3[[#This Row],[Chiffre d''affaires]]/Tableau3[[#This Row],[Salariés]],"")</f>
        <v/>
      </c>
      <c r="AA4262" s="218"/>
      <c r="AC4262" s="177" t="s">
        <v>5076</v>
      </c>
    </row>
    <row r="4263" spans="1:29" ht="20.25" customHeight="1">
      <c r="A4263" s="217"/>
      <c r="E4263" s="187">
        <f>23.95*3</f>
        <v>71.849999999999994</v>
      </c>
      <c r="F4263" s="178">
        <v>2012</v>
      </c>
      <c r="G4263" s="188">
        <v>1570000000</v>
      </c>
      <c r="H4263" s="188">
        <v>354800000</v>
      </c>
      <c r="I4263" s="188">
        <v>235000000</v>
      </c>
      <c r="J4263" s="188">
        <v>134000000</v>
      </c>
      <c r="K4263" s="188">
        <v>48400000</v>
      </c>
      <c r="L4263" s="188">
        <v>772800000</v>
      </c>
      <c r="M4263" s="194">
        <f>L4263/P4263</f>
        <v>19.587496647973044</v>
      </c>
      <c r="N4263" s="190">
        <f t="shared" ref="N4263" si="303">J4263/L4265</f>
        <v>0.20726991492652747</v>
      </c>
      <c r="O4263" s="190">
        <f t="shared" ref="O4263" si="304">(I4263*0.75)/(K4265+L4265)</f>
        <v>0.22662980583772663</v>
      </c>
      <c r="P4263" s="188">
        <v>39453740</v>
      </c>
      <c r="Q4263" s="188">
        <f>P4263*E4263</f>
        <v>2834751219</v>
      </c>
      <c r="R4263" s="195">
        <f>Q4263/L4263</f>
        <v>3.6681563392857144</v>
      </c>
      <c r="S4263" s="197">
        <f>(Q4263+K4263)/H4263</f>
        <v>8.1261308314543399</v>
      </c>
      <c r="T4263" s="180">
        <v>134000000</v>
      </c>
      <c r="U4263" s="189">
        <f>IFERROR(IF(Tableau3[[#This Row],[Dettes]]=0,"",(Tableau3[[#This Row],[Dettes]]/Tableau3[[#This Row],[EBE]])),"")</f>
        <v>0.13641488162344984</v>
      </c>
      <c r="V4263" s="190" t="str">
        <f>IFERROR(Tableau3[[#This Row],[Fonds propres]]/Tableau3[[#This Row],[Total Bilan]],"")</f>
        <v/>
      </c>
      <c r="W4263" s="180"/>
      <c r="Y4263" s="180">
        <v>7413</v>
      </c>
      <c r="Z4263" s="192">
        <f>IFERROR(Tableau3[[#This Row],[Chiffre d''affaires]]/Tableau3[[#This Row],[Salariés]],"")</f>
        <v>211790.09847565088</v>
      </c>
      <c r="AA4263" s="218"/>
      <c r="AC4263" s="177" t="s">
        <v>4657</v>
      </c>
    </row>
    <row r="4264" spans="1:29" ht="20.25" customHeight="1">
      <c r="A4264" s="217"/>
      <c r="E4264" s="187"/>
      <c r="G4264" s="202">
        <f>(G4263/G4265)-1</f>
        <v>0.10005605381165927</v>
      </c>
      <c r="H4264" s="202">
        <f>(H4263/H4265)-1</f>
        <v>3.5005834305717576E-2</v>
      </c>
      <c r="I4264" s="202">
        <f>(I4263/I4265)-1</f>
        <v>-4.1989400733795312E-2</v>
      </c>
      <c r="J4264" s="202">
        <f>(J4263/J4265)-1</f>
        <v>-0.15297092288242731</v>
      </c>
      <c r="K4264" s="188"/>
      <c r="L4264" s="188"/>
      <c r="M4264" s="194"/>
      <c r="N4264" s="178"/>
      <c r="O4264" s="178"/>
      <c r="P4264" s="188"/>
      <c r="Q4264" s="188"/>
      <c r="R4264" s="195"/>
      <c r="S4264" s="197"/>
      <c r="T4264" s="180"/>
      <c r="U4264" s="189" t="str">
        <f>IFERROR(IF(Tableau3[[#This Row],[Dettes]]=0,"",(Tableau3[[#This Row],[Dettes]]/Tableau3[[#This Row],[EBE]])),"")</f>
        <v/>
      </c>
      <c r="V4264" s="190" t="str">
        <f>IFERROR(Tableau3[[#This Row],[Fonds propres]]/Tableau3[[#This Row],[Total Bilan]],"")</f>
        <v/>
      </c>
      <c r="W4264" s="180"/>
      <c r="Y4264" s="180"/>
      <c r="Z4264" s="192" t="str">
        <f>IFERROR(Tableau3[[#This Row],[Chiffre d''affaires]]/Tableau3[[#This Row],[Salariés]],"")</f>
        <v/>
      </c>
      <c r="AA4264" s="218"/>
      <c r="AC4264" s="177" t="s">
        <v>2976</v>
      </c>
    </row>
    <row r="4265" spans="1:29" ht="20.25" customHeight="1">
      <c r="A4265" s="217"/>
      <c r="E4265" s="187">
        <f>18.41*3</f>
        <v>55.230000000000004</v>
      </c>
      <c r="F4265" s="178">
        <v>2011</v>
      </c>
      <c r="G4265" s="188">
        <v>1427200000</v>
      </c>
      <c r="H4265" s="188">
        <v>342800000</v>
      </c>
      <c r="I4265" s="188">
        <v>245300000</v>
      </c>
      <c r="J4265" s="188">
        <v>158200000</v>
      </c>
      <c r="K4265" s="188">
        <v>131200000</v>
      </c>
      <c r="L4265" s="188">
        <v>646500000</v>
      </c>
      <c r="M4265" s="194">
        <f>L4265/P4265</f>
        <v>16.386279222197945</v>
      </c>
      <c r="N4265" s="190">
        <f t="shared" ref="N4265" si="305">J4265/L4267</f>
        <v>0.27299396031061257</v>
      </c>
      <c r="O4265" s="190">
        <f t="shared" ref="O4265" si="306">(I4265*0.75)/(K4267+L4267)</f>
        <v>0.33136707492795386</v>
      </c>
      <c r="P4265" s="188">
        <v>39453740</v>
      </c>
      <c r="Q4265" s="188">
        <f>P4265*E4265</f>
        <v>2179030060.2000003</v>
      </c>
      <c r="R4265" s="195">
        <f>Q4265/L4265</f>
        <v>3.3705028000000006</v>
      </c>
      <c r="S4265" s="197">
        <f>(Q4265+K4265)/H4265</f>
        <v>6.739294224620771</v>
      </c>
      <c r="T4265" s="180">
        <v>118000000</v>
      </c>
      <c r="U4265" s="189">
        <f>IFERROR(IF(Tableau3[[#This Row],[Dettes]]=0,"",(Tableau3[[#This Row],[Dettes]]/Tableau3[[#This Row],[EBE]])),"")</f>
        <v>0.38273045507584597</v>
      </c>
      <c r="V4265" s="190" t="str">
        <f>IFERROR(Tableau3[[#This Row],[Fonds propres]]/Tableau3[[#This Row],[Total Bilan]],"")</f>
        <v/>
      </c>
      <c r="W4265" s="180"/>
      <c r="Y4265" s="180">
        <v>7014</v>
      </c>
      <c r="Z4265" s="192">
        <f>IFERROR(Tableau3[[#This Row],[Chiffre d''affaires]]/Tableau3[[#This Row],[Salariés]],"")</f>
        <v>203478.75677216996</v>
      </c>
      <c r="AA4265" s="218"/>
      <c r="AC4265" s="177" t="s">
        <v>2977</v>
      </c>
    </row>
    <row r="4266" spans="1:29" ht="20.25" customHeight="1">
      <c r="A4266" s="217"/>
      <c r="B4266" s="280"/>
      <c r="D4266" s="188"/>
      <c r="E4266" s="209"/>
      <c r="F4266" s="188"/>
      <c r="G4266" s="202">
        <f>(G4265/G4267)-1</f>
        <v>5.1731761238025031E-2</v>
      </c>
      <c r="H4266" s="202">
        <f>(H4265/H4267)-1</f>
        <v>2.6347305389221587E-2</v>
      </c>
      <c r="I4266" s="202">
        <f>(I4265/I4267)-1</f>
        <v>5.3278688524589501E-3</v>
      </c>
      <c r="J4266" s="202">
        <f>(J4265/J4267)-1</f>
        <v>-3.150598613736566E-3</v>
      </c>
      <c r="K4266" s="190"/>
      <c r="L4266" s="190"/>
      <c r="M4266" s="188"/>
      <c r="N4266" s="178"/>
      <c r="O4266" s="178"/>
      <c r="P4266" s="188"/>
      <c r="Q4266" s="197"/>
      <c r="R4266" s="188" t="s">
        <v>1313</v>
      </c>
      <c r="S4266" s="188"/>
      <c r="T4266" s="180"/>
      <c r="U4266" s="189" t="str">
        <f>IFERROR(IF(Tableau3[[#This Row],[Dettes]]=0,"",(Tableau3[[#This Row],[Dettes]]/Tableau3[[#This Row],[EBE]])),"")</f>
        <v/>
      </c>
      <c r="V4266" s="190" t="str">
        <f>IFERROR(Tableau3[[#This Row],[Fonds propres]]/Tableau3[[#This Row],[Total Bilan]],"")</f>
        <v/>
      </c>
      <c r="W4266" s="180"/>
      <c r="Y4266" s="180"/>
      <c r="Z4266" s="192" t="str">
        <f>IFERROR(Tableau3[[#This Row],[Chiffre d''affaires]]/Tableau3[[#This Row],[Salariés]],"")</f>
        <v/>
      </c>
      <c r="AA4266" s="218"/>
      <c r="AC4266" s="177" t="s">
        <v>216</v>
      </c>
    </row>
    <row r="4267" spans="1:29" ht="20.25" customHeight="1">
      <c r="A4267" s="217"/>
      <c r="E4267" s="187">
        <f>25.41*3</f>
        <v>76.23</v>
      </c>
      <c r="F4267" s="178">
        <v>2010</v>
      </c>
      <c r="G4267" s="188">
        <v>1357000000</v>
      </c>
      <c r="H4267" s="188">
        <v>334000000</v>
      </c>
      <c r="I4267" s="188">
        <v>244000000</v>
      </c>
      <c r="J4267" s="188">
        <v>158700000</v>
      </c>
      <c r="K4267" s="188">
        <v>-24300000</v>
      </c>
      <c r="L4267" s="188">
        <v>579500000</v>
      </c>
      <c r="M4267" s="194">
        <f>L4267/P4267</f>
        <v>14.688087872024299</v>
      </c>
      <c r="N4267" s="190">
        <f>J4267/L4267</f>
        <v>0.27385677308024159</v>
      </c>
      <c r="O4267" s="190">
        <f>(I4267*0.75)/(K4267+L4267)</f>
        <v>0.32961095100864551</v>
      </c>
      <c r="P4267" s="188">
        <v>39453740</v>
      </c>
      <c r="Q4267" s="188">
        <f>P4267*E4267</f>
        <v>3007558600.2000003</v>
      </c>
      <c r="R4267" s="195">
        <f>Q4267/L4267</f>
        <v>5.1899199313201043</v>
      </c>
      <c r="S4267" s="197">
        <f>(Q4267+K4267)/H4267</f>
        <v>8.9319119766467079</v>
      </c>
      <c r="T4267" s="180">
        <v>80000000</v>
      </c>
      <c r="U4267" s="189">
        <f>IFERROR(IF(Tableau3[[#This Row],[Dettes]]=0,"",(Tableau3[[#This Row],[Dettes]]/Tableau3[[#This Row],[EBE]])),"")</f>
        <v>-7.2754491017964065E-2</v>
      </c>
      <c r="V4267" s="190" t="str">
        <f>IFERROR(Tableau3[[#This Row],[Fonds propres]]/Tableau3[[#This Row],[Total Bilan]],"")</f>
        <v/>
      </c>
      <c r="W4267" s="180"/>
      <c r="Y4267" s="180">
        <v>6306</v>
      </c>
      <c r="Z4267" s="192">
        <f>IFERROR(Tableau3[[#This Row],[Chiffre d''affaires]]/Tableau3[[#This Row],[Salariés]],"")</f>
        <v>215191.88074849351</v>
      </c>
      <c r="AA4267" s="218"/>
      <c r="AC4267" s="177" t="s">
        <v>5069</v>
      </c>
    </row>
    <row r="4268" spans="1:29" ht="20.25" customHeight="1">
      <c r="A4268" s="217"/>
      <c r="E4268" s="187"/>
      <c r="G4268" s="188"/>
      <c r="H4268" s="188"/>
      <c r="I4268" s="178"/>
      <c r="J4268" s="178"/>
      <c r="K4268" s="178"/>
      <c r="L4268" s="178"/>
      <c r="M4268" s="178"/>
      <c r="N4268" s="178"/>
      <c r="O4268" s="178"/>
      <c r="P4268" s="188"/>
      <c r="Q4268" s="178"/>
      <c r="R4268" s="178"/>
      <c r="S4268" s="178"/>
      <c r="T4268" s="180"/>
      <c r="U4268" s="189" t="str">
        <f>IFERROR(IF(Tableau3[[#This Row],[Dettes]]=0,"",(Tableau3[[#This Row],[Dettes]]/Tableau3[[#This Row],[EBE]])),"")</f>
        <v/>
      </c>
      <c r="V4268" s="190" t="str">
        <f>IFERROR(Tableau3[[#This Row],[Fonds propres]]/Tableau3[[#This Row],[Total Bilan]],"")</f>
        <v/>
      </c>
      <c r="W4268" s="180"/>
      <c r="Y4268" s="180"/>
      <c r="Z4268" s="192" t="str">
        <f>IFERROR(Tableau3[[#This Row],[Chiffre d''affaires]]/Tableau3[[#This Row],[Salariés]],"")</f>
        <v/>
      </c>
      <c r="AC4268" s="177" t="s">
        <v>5067</v>
      </c>
    </row>
    <row r="4269" spans="1:29" ht="20.25" customHeight="1">
      <c r="A4269" s="217"/>
      <c r="E4269" s="187">
        <v>81.680000000000007</v>
      </c>
      <c r="F4269" s="178">
        <v>2009</v>
      </c>
      <c r="G4269" s="188"/>
      <c r="H4269" s="188"/>
      <c r="I4269" s="178"/>
      <c r="J4269" s="178"/>
      <c r="K4269" s="178"/>
      <c r="L4269" s="178"/>
      <c r="M4269" s="178"/>
      <c r="N4269" s="178"/>
      <c r="O4269" s="178"/>
      <c r="P4269" s="178"/>
      <c r="Q4269" s="178"/>
      <c r="R4269" s="178"/>
      <c r="S4269" s="178"/>
      <c r="T4269" s="180"/>
      <c r="U4269" s="189" t="str">
        <f>IFERROR(IF(Tableau3[[#This Row],[Dettes]]=0,"",(Tableau3[[#This Row],[Dettes]]/Tableau3[[#This Row],[EBE]])),"")</f>
        <v/>
      </c>
      <c r="V4269" s="190" t="str">
        <f>IFERROR(Tableau3[[#This Row],[Fonds propres]]/Tableau3[[#This Row],[Total Bilan]],"")</f>
        <v/>
      </c>
      <c r="W4269" s="180"/>
      <c r="Y4269" s="180"/>
      <c r="Z4269" s="192" t="str">
        <f>IFERROR(Tableau3[[#This Row],[Chiffre d''affaires]]/Tableau3[[#This Row],[Salariés]],"")</f>
        <v/>
      </c>
    </row>
    <row r="4270" spans="1:29" ht="20.25" customHeight="1">
      <c r="A4270" s="217"/>
      <c r="E4270" s="187"/>
      <c r="G4270" s="188"/>
      <c r="H4270" s="188"/>
      <c r="I4270" s="178"/>
      <c r="J4270" s="178"/>
      <c r="K4270" s="178"/>
      <c r="L4270" s="178"/>
      <c r="M4270" s="178"/>
      <c r="N4270" s="178"/>
      <c r="O4270" s="178"/>
      <c r="P4270" s="178"/>
      <c r="Q4270" s="178"/>
      <c r="R4270" s="178"/>
      <c r="S4270" s="178"/>
      <c r="T4270" s="180"/>
      <c r="U4270" s="189" t="str">
        <f>IFERROR(IF(Tableau3[[#This Row],[Dettes]]=0,"",(Tableau3[[#This Row],[Dettes]]/Tableau3[[#This Row],[EBE]])),"")</f>
        <v/>
      </c>
      <c r="V4270" s="190" t="str">
        <f>IFERROR(Tableau3[[#This Row],[Fonds propres]]/Tableau3[[#This Row],[Total Bilan]],"")</f>
        <v/>
      </c>
      <c r="W4270" s="180"/>
      <c r="Y4270" s="180"/>
      <c r="Z4270" s="192" t="str">
        <f>IFERROR(Tableau3[[#This Row],[Chiffre d''affaires]]/Tableau3[[#This Row],[Salariés]],"")</f>
        <v/>
      </c>
    </row>
    <row r="4271" spans="1:29" ht="20.25" customHeight="1">
      <c r="A4271" s="217"/>
      <c r="E4271" s="187">
        <v>60</v>
      </c>
      <c r="F4271" s="178">
        <v>2008</v>
      </c>
      <c r="G4271" s="188"/>
      <c r="H4271" s="188"/>
      <c r="I4271" s="178"/>
      <c r="J4271" s="178"/>
      <c r="K4271" s="178"/>
      <c r="L4271" s="178"/>
      <c r="M4271" s="178"/>
      <c r="N4271" s="178"/>
      <c r="O4271" s="178"/>
      <c r="P4271" s="178"/>
      <c r="Q4271" s="178"/>
      <c r="R4271" s="178"/>
      <c r="S4271" s="178"/>
      <c r="T4271" s="180"/>
      <c r="U4271" s="189" t="str">
        <f>IFERROR(IF(Tableau3[[#This Row],[Dettes]]=0,"",(Tableau3[[#This Row],[Dettes]]/Tableau3[[#This Row],[EBE]])),"")</f>
        <v/>
      </c>
      <c r="V4271" s="190" t="str">
        <f>IFERROR(Tableau3[[#This Row],[Fonds propres]]/Tableau3[[#This Row],[Total Bilan]],"")</f>
        <v/>
      </c>
      <c r="W4271" s="180"/>
      <c r="Y4271" s="180"/>
      <c r="Z4271" s="192" t="str">
        <f>IFERROR(Tableau3[[#This Row],[Chiffre d''affaires]]/Tableau3[[#This Row],[Salariés]],"")</f>
        <v/>
      </c>
    </row>
    <row r="4272" spans="1:29" ht="20.25" customHeight="1">
      <c r="A4272" s="217"/>
      <c r="G4272" s="188"/>
      <c r="H4272" s="188"/>
      <c r="I4272" s="178"/>
      <c r="J4272" s="178"/>
      <c r="K4272" s="178"/>
      <c r="L4272" s="178"/>
      <c r="M4272" s="178"/>
      <c r="N4272" s="178"/>
      <c r="O4272" s="178"/>
      <c r="P4272" s="178"/>
      <c r="Q4272" s="178"/>
      <c r="R4272" s="178"/>
      <c r="S4272" s="178"/>
      <c r="T4272" s="180"/>
      <c r="U4272" s="189" t="str">
        <f>IFERROR(IF(Tableau3[[#This Row],[Dettes]]=0,"",(Tableau3[[#This Row],[Dettes]]/Tableau3[[#This Row],[EBE]])),"")</f>
        <v/>
      </c>
      <c r="V4272" s="190" t="str">
        <f>IFERROR(Tableau3[[#This Row],[Fonds propres]]/Tableau3[[#This Row],[Total Bilan]],"")</f>
        <v/>
      </c>
      <c r="W4272" s="180"/>
      <c r="Y4272" s="180"/>
      <c r="Z4272" s="192" t="str">
        <f>IFERROR(Tableau3[[#This Row],[Chiffre d''affaires]]/Tableau3[[#This Row],[Salariés]],"")</f>
        <v/>
      </c>
    </row>
    <row r="4273" spans="1:29" ht="20.25" customHeight="1">
      <c r="A4273" s="217"/>
      <c r="G4273" s="188"/>
      <c r="H4273" s="188"/>
      <c r="I4273" s="178"/>
      <c r="J4273" s="178"/>
      <c r="K4273" s="178"/>
      <c r="L4273" s="178"/>
      <c r="M4273" s="178"/>
      <c r="N4273" s="178"/>
      <c r="O4273" s="178"/>
      <c r="P4273" s="178"/>
      <c r="Q4273" s="178"/>
      <c r="R4273" s="178"/>
      <c r="S4273" s="178"/>
      <c r="T4273" s="180"/>
      <c r="U4273" s="189" t="str">
        <f>IFERROR(IF(Tableau3[[#This Row],[Dettes]]=0,"",(Tableau3[[#This Row],[Dettes]]/Tableau3[[#This Row],[EBE]])),"")</f>
        <v/>
      </c>
      <c r="V4273" s="190" t="str">
        <f>IFERROR(Tableau3[[#This Row],[Fonds propres]]/Tableau3[[#This Row],[Total Bilan]],"")</f>
        <v/>
      </c>
      <c r="W4273" s="180"/>
      <c r="Y4273" s="180"/>
      <c r="Z4273" s="192" t="str">
        <f>IFERROR(Tableau3[[#This Row],[Chiffre d''affaires]]/Tableau3[[#This Row],[Salariés]],"")</f>
        <v/>
      </c>
    </row>
    <row r="4274" spans="1:29" ht="20.25" customHeight="1">
      <c r="A4274" s="217"/>
      <c r="G4274" s="188"/>
      <c r="H4274" s="188"/>
      <c r="I4274" s="178"/>
      <c r="J4274" s="178"/>
      <c r="K4274" s="178"/>
      <c r="L4274" s="178"/>
      <c r="M4274" s="178"/>
      <c r="N4274" s="178"/>
      <c r="O4274" s="178"/>
      <c r="P4274" s="178"/>
      <c r="Q4274" s="178"/>
      <c r="R4274" s="178"/>
      <c r="S4274" s="178"/>
      <c r="T4274" s="180"/>
      <c r="U4274" s="189" t="str">
        <f>IFERROR(IF(Tableau3[[#This Row],[Dettes]]=0,"",(Tableau3[[#This Row],[Dettes]]/Tableau3[[#This Row],[EBE]])),"")</f>
        <v/>
      </c>
      <c r="V4274" s="190" t="str">
        <f>IFERROR(Tableau3[[#This Row],[Fonds propres]]/Tableau3[[#This Row],[Total Bilan]],"")</f>
        <v/>
      </c>
      <c r="W4274" s="180"/>
      <c r="Y4274" s="180"/>
      <c r="Z4274" s="192" t="str">
        <f>IFERROR(Tableau3[[#This Row],[Chiffre d''affaires]]/Tableau3[[#This Row],[Salariés]],"")</f>
        <v/>
      </c>
    </row>
    <row r="4275" spans="1:29" ht="20.25" customHeight="1">
      <c r="A4275" s="217" t="s">
        <v>2978</v>
      </c>
      <c r="B4275" s="216" t="s">
        <v>2979</v>
      </c>
      <c r="C4275" s="178" t="s">
        <v>84</v>
      </c>
      <c r="D4275" s="178" t="s">
        <v>85</v>
      </c>
      <c r="F4275" s="178">
        <v>2025</v>
      </c>
      <c r="G4275" s="188"/>
      <c r="H4275" s="188"/>
      <c r="I4275" s="178"/>
      <c r="J4275" s="178"/>
      <c r="K4275" s="178"/>
      <c r="L4275" s="178"/>
      <c r="M4275" s="178"/>
      <c r="N4275" s="178"/>
      <c r="O4275" s="178"/>
      <c r="P4275" s="178"/>
      <c r="Q4275" s="178"/>
      <c r="R4275" s="178"/>
      <c r="S4275" s="178"/>
      <c r="T4275" s="180"/>
      <c r="U4275" s="189" t="str">
        <f>IFERROR(IF(Tableau3[[#This Row],[Dettes]]=0,"",(Tableau3[[#This Row],[Dettes]]/Tableau3[[#This Row],[EBE]])),"")</f>
        <v/>
      </c>
      <c r="V4275" s="190" t="str">
        <f>IFERROR(Tableau3[[#This Row],[Fonds propres]]/Tableau3[[#This Row],[Total Bilan]],"")</f>
        <v/>
      </c>
      <c r="W4275" s="180"/>
      <c r="Y4275" s="180"/>
      <c r="Z4275" s="192" t="str">
        <f>IFERROR(Tableau3[[#This Row],[Chiffre d''affaires]]/Tableau3[[#This Row],[Salariés]],"")</f>
        <v/>
      </c>
      <c r="AC4275" s="177" t="s">
        <v>2980</v>
      </c>
    </row>
    <row r="4276" spans="1:29" ht="20.25" customHeight="1">
      <c r="A4276" s="217"/>
      <c r="G4276" s="188"/>
      <c r="H4276" s="188"/>
      <c r="I4276" s="178"/>
      <c r="J4276" s="178"/>
      <c r="K4276" s="178"/>
      <c r="L4276" s="178"/>
      <c r="M4276" s="178"/>
      <c r="N4276" s="178"/>
      <c r="O4276" s="178"/>
      <c r="P4276" s="178"/>
      <c r="Q4276" s="178"/>
      <c r="R4276" s="178"/>
      <c r="S4276" s="178"/>
      <c r="T4276" s="180"/>
      <c r="U4276" s="189" t="str">
        <f>IFERROR(IF(Tableau3[[#This Row],[Dettes]]=0,"",(Tableau3[[#This Row],[Dettes]]/Tableau3[[#This Row],[EBE]])),"")</f>
        <v/>
      </c>
      <c r="V4276" s="190" t="str">
        <f>IFERROR(Tableau3[[#This Row],[Fonds propres]]/Tableau3[[#This Row],[Total Bilan]],"")</f>
        <v/>
      </c>
      <c r="W4276" s="180"/>
      <c r="Y4276" s="180"/>
      <c r="Z4276" s="192" t="str">
        <f>IFERROR(Tableau3[[#This Row],[Chiffre d''affaires]]/Tableau3[[#This Row],[Salariés]],"")</f>
        <v/>
      </c>
      <c r="AC4276" s="177" t="s">
        <v>2982</v>
      </c>
    </row>
    <row r="4277" spans="1:29" ht="20.25" customHeight="1">
      <c r="A4277" s="217"/>
      <c r="E4277" s="187">
        <v>6.55</v>
      </c>
      <c r="F4277" s="178">
        <v>2024</v>
      </c>
      <c r="G4277" s="188"/>
      <c r="H4277" s="188"/>
      <c r="I4277" s="178"/>
      <c r="J4277" s="178"/>
      <c r="K4277" s="178"/>
      <c r="L4277" s="178"/>
      <c r="M4277" s="178"/>
      <c r="N4277" s="178"/>
      <c r="O4277" s="178"/>
      <c r="P4277" s="178"/>
      <c r="Q4277" s="178"/>
      <c r="R4277" s="178"/>
      <c r="S4277" s="178"/>
      <c r="T4277" s="180"/>
      <c r="U4277" s="189" t="str">
        <f>IFERROR(IF(Tableau3[[#This Row],[Dettes]]=0,"",(Tableau3[[#This Row],[Dettes]]/Tableau3[[#This Row],[EBE]])),"")</f>
        <v/>
      </c>
      <c r="V4277" s="190" t="str">
        <f>IFERROR(Tableau3[[#This Row],[Fonds propres]]/Tableau3[[#This Row],[Total Bilan]],"")</f>
        <v/>
      </c>
      <c r="W4277" s="180"/>
      <c r="Y4277" s="180"/>
      <c r="Z4277" s="192" t="str">
        <f>IFERROR(Tableau3[[#This Row],[Chiffre d''affaires]]/Tableau3[[#This Row],[Salariés]],"")</f>
        <v/>
      </c>
      <c r="AC4277" s="177" t="s">
        <v>2983</v>
      </c>
    </row>
    <row r="4278" spans="1:29" ht="20.25" customHeight="1">
      <c r="A4278" s="217"/>
      <c r="G4278" s="188"/>
      <c r="H4278" s="188"/>
      <c r="I4278" s="178"/>
      <c r="J4278" s="178"/>
      <c r="K4278" s="178"/>
      <c r="L4278" s="178"/>
      <c r="M4278" s="178"/>
      <c r="N4278" s="178"/>
      <c r="O4278" s="178"/>
      <c r="P4278" s="178"/>
      <c r="Q4278" s="178"/>
      <c r="R4278" s="178"/>
      <c r="S4278" s="178"/>
      <c r="T4278" s="180"/>
      <c r="U4278" s="189" t="str">
        <f>IFERROR(IF(Tableau3[[#This Row],[Dettes]]=0,"",(Tableau3[[#This Row],[Dettes]]/Tableau3[[#This Row],[EBE]])),"")</f>
        <v/>
      </c>
      <c r="V4278" s="190" t="str">
        <f>IFERROR(Tableau3[[#This Row],[Fonds propres]]/Tableau3[[#This Row],[Total Bilan]],"")</f>
        <v/>
      </c>
      <c r="W4278" s="180"/>
      <c r="Y4278" s="180"/>
      <c r="Z4278" s="192" t="str">
        <f>IFERROR(Tableau3[[#This Row],[Chiffre d''affaires]]/Tableau3[[#This Row],[Salariés]],"")</f>
        <v/>
      </c>
      <c r="AC4278" s="177" t="s">
        <v>2984</v>
      </c>
    </row>
    <row r="4279" spans="1:29" ht="20.25" customHeight="1">
      <c r="A4279" s="217"/>
      <c r="E4279" s="187">
        <v>6.44</v>
      </c>
      <c r="F4279" s="178">
        <v>2023</v>
      </c>
      <c r="G4279" s="188"/>
      <c r="H4279" s="188"/>
      <c r="I4279" s="178"/>
      <c r="J4279" s="178"/>
      <c r="K4279" s="178"/>
      <c r="L4279" s="178"/>
      <c r="M4279" s="178"/>
      <c r="N4279" s="178"/>
      <c r="O4279" s="178"/>
      <c r="P4279" s="188">
        <v>565745096</v>
      </c>
      <c r="Q4279" s="188">
        <f>P4279*E4279</f>
        <v>3643398418.2400002</v>
      </c>
      <c r="R4279" s="178"/>
      <c r="S4279" s="178"/>
      <c r="T4279" s="180"/>
      <c r="U4279" s="189" t="str">
        <f>IFERROR(IF(Tableau3[[#This Row],[Dettes]]=0,"",(Tableau3[[#This Row],[Dettes]]/Tableau3[[#This Row],[EBE]])),"")</f>
        <v/>
      </c>
      <c r="V4279" s="190" t="str">
        <f>IFERROR(Tableau3[[#This Row],[Fonds propres]]/Tableau3[[#This Row],[Total Bilan]],"")</f>
        <v/>
      </c>
      <c r="W4279" s="180"/>
      <c r="X4279" s="182" t="s">
        <v>2985</v>
      </c>
      <c r="Y4279" s="180"/>
      <c r="Z4279" s="192" t="str">
        <f>IFERROR(Tableau3[[#This Row],[Chiffre d''affaires]]/Tableau3[[#This Row],[Salariés]],"")</f>
        <v/>
      </c>
      <c r="AC4279" s="177" t="s">
        <v>2986</v>
      </c>
    </row>
    <row r="4280" spans="1:29" ht="20.25" customHeight="1">
      <c r="A4280" s="217"/>
      <c r="G4280" s="188"/>
      <c r="H4280" s="188"/>
      <c r="I4280" s="178"/>
      <c r="J4280" s="178"/>
      <c r="K4280" s="178"/>
      <c r="L4280" s="178"/>
      <c r="M4280" s="178"/>
      <c r="N4280" s="178"/>
      <c r="O4280" s="178"/>
      <c r="P4280" s="178"/>
      <c r="Q4280" s="178"/>
      <c r="R4280" s="178"/>
      <c r="S4280" s="178"/>
      <c r="T4280" s="180"/>
      <c r="U4280" s="189" t="str">
        <f>IFERROR(IF(Tableau3[[#This Row],[Dettes]]=0,"",(Tableau3[[#This Row],[Dettes]]/Tableau3[[#This Row],[EBE]])),"")</f>
        <v/>
      </c>
      <c r="V4280" s="190" t="str">
        <f>IFERROR(Tableau3[[#This Row],[Fonds propres]]/Tableau3[[#This Row],[Total Bilan]],"")</f>
        <v/>
      </c>
      <c r="W4280" s="180"/>
      <c r="Y4280" s="180"/>
      <c r="Z4280" s="192" t="str">
        <f>IFERROR(Tableau3[[#This Row],[Chiffre d''affaires]]/Tableau3[[#This Row],[Salariés]],"")</f>
        <v/>
      </c>
      <c r="AC4280" s="177" t="s">
        <v>2987</v>
      </c>
    </row>
    <row r="4281" spans="1:29" ht="20.25" customHeight="1">
      <c r="A4281" s="217"/>
      <c r="E4281" s="187">
        <v>10.76</v>
      </c>
      <c r="F4281" s="178">
        <v>2022</v>
      </c>
      <c r="G4281" s="188"/>
      <c r="H4281" s="188"/>
      <c r="I4281" s="178"/>
      <c r="J4281" s="178"/>
      <c r="K4281" s="178"/>
      <c r="L4281" s="178"/>
      <c r="M4281" s="178"/>
      <c r="N4281" s="178"/>
      <c r="O4281" s="178"/>
      <c r="P4281" s="188">
        <v>442933959</v>
      </c>
      <c r="Q4281" s="188">
        <f>P4281*E4281</f>
        <v>4765969398.8400002</v>
      </c>
      <c r="R4281" s="178"/>
      <c r="S4281" s="178"/>
      <c r="T4281" s="180"/>
      <c r="U4281" s="189" t="str">
        <f>IFERROR(IF(Tableau3[[#This Row],[Dettes]]=0,"",(Tableau3[[#This Row],[Dettes]]/Tableau3[[#This Row],[EBE]])),"")</f>
        <v/>
      </c>
      <c r="V4281" s="190" t="str">
        <f>IFERROR(Tableau3[[#This Row],[Fonds propres]]/Tableau3[[#This Row],[Total Bilan]],"")</f>
        <v/>
      </c>
      <c r="W4281" s="180"/>
      <c r="Y4281" s="180">
        <v>6893</v>
      </c>
      <c r="Z4281" s="192">
        <f>IFERROR(Tableau3[[#This Row],[Chiffre d''affaires]]/Tableau3[[#This Row],[Salariés]],"")</f>
        <v>0</v>
      </c>
      <c r="AC4281" s="177" t="s">
        <v>2988</v>
      </c>
    </row>
    <row r="4282" spans="1:29" ht="20.25" customHeight="1">
      <c r="A4282" s="217"/>
      <c r="G4282" s="188"/>
      <c r="H4282" s="188"/>
      <c r="I4282" s="178"/>
      <c r="J4282" s="178"/>
      <c r="K4282" s="178"/>
      <c r="L4282" s="178"/>
      <c r="M4282" s="178"/>
      <c r="N4282" s="178"/>
      <c r="O4282" s="178"/>
      <c r="P4282" s="178"/>
      <c r="Q4282" s="178"/>
      <c r="R4282" s="178"/>
      <c r="S4282" s="178"/>
      <c r="T4282" s="180"/>
      <c r="U4282" s="189" t="str">
        <f>IFERROR(IF(Tableau3[[#This Row],[Dettes]]=0,"",(Tableau3[[#This Row],[Dettes]]/Tableau3[[#This Row],[EBE]])),"")</f>
        <v/>
      </c>
      <c r="V4282" s="190" t="str">
        <f>IFERROR(Tableau3[[#This Row],[Fonds propres]]/Tableau3[[#This Row],[Total Bilan]],"")</f>
        <v/>
      </c>
      <c r="W4282" s="180"/>
      <c r="Y4282" s="180"/>
      <c r="Z4282" s="192" t="str">
        <f>IFERROR(Tableau3[[#This Row],[Chiffre d''affaires]]/Tableau3[[#This Row],[Salariés]],"")</f>
        <v/>
      </c>
      <c r="AC4282" s="216" t="s">
        <v>2989</v>
      </c>
    </row>
    <row r="4283" spans="1:29" ht="20.25" customHeight="1">
      <c r="A4283" s="217"/>
      <c r="E4283" s="178">
        <v>12.9</v>
      </c>
      <c r="F4283" s="178">
        <v>2021</v>
      </c>
      <c r="G4283" s="188">
        <v>10480000000</v>
      </c>
      <c r="H4283" s="188">
        <v>1820600000</v>
      </c>
      <c r="I4283" s="188">
        <v>1120600000</v>
      </c>
      <c r="J4283" s="188">
        <v>873000000</v>
      </c>
      <c r="K4283" s="188">
        <v>18364000000</v>
      </c>
      <c r="L4283" s="188">
        <v>4811800000</v>
      </c>
      <c r="M4283" s="194">
        <f>L4283/P4283</f>
        <v>10.86347050667208</v>
      </c>
      <c r="N4283" s="190">
        <f>J4283/L4283</f>
        <v>0.18142898707344446</v>
      </c>
      <c r="O4283" s="190">
        <f>(I4283*0.7)/(K4283+L4283)</f>
        <v>3.3846512310254664E-2</v>
      </c>
      <c r="P4283" s="188">
        <v>442933959</v>
      </c>
      <c r="Q4283" s="188">
        <f>P4283*E4283</f>
        <v>5713848071.1000004</v>
      </c>
      <c r="R4283" s="195">
        <f>Q4283/L4283</f>
        <v>1.1874658279853694</v>
      </c>
      <c r="S4283" s="197">
        <f>(Q4283+K4283)/H4283</f>
        <v>13.22522688734483</v>
      </c>
      <c r="T4283" s="180"/>
      <c r="U4283" s="189">
        <f>IFERROR(IF(Tableau3[[#This Row],[Dettes]]=0,"",(Tableau3[[#This Row],[Dettes]]/Tableau3[[#This Row],[EBE]])),"")</f>
        <v>10.086784576513237</v>
      </c>
      <c r="V4283" s="190" t="str">
        <f>IFERROR(Tableau3[[#This Row],[Fonds propres]]/Tableau3[[#This Row],[Total Bilan]],"")</f>
        <v/>
      </c>
      <c r="W4283" s="180"/>
      <c r="Y4283" s="180">
        <v>6893</v>
      </c>
      <c r="Z4283" s="192">
        <f>IFERROR(Tableau3[[#This Row],[Chiffre d''affaires]]/Tableau3[[#This Row],[Salariés]],"")</f>
        <v>1520382.9972435804</v>
      </c>
      <c r="AC4283" s="177" t="s">
        <v>1641</v>
      </c>
    </row>
    <row r="4284" spans="1:29" ht="20.25" customHeight="1">
      <c r="A4284" s="217"/>
      <c r="G4284" s="202">
        <f>(G4283/G4285)-1</f>
        <v>5.4962754177571904E-2</v>
      </c>
      <c r="H4284" s="202">
        <f>(H4283/H4285)-1</f>
        <v>0.38185958254269448</v>
      </c>
      <c r="I4284" s="202">
        <f>(I4283/I4285)-1</f>
        <v>0.8289538110004897</v>
      </c>
      <c r="J4284" s="202">
        <f>(J4283/J4285)-1</f>
        <v>0.71176470588235285</v>
      </c>
      <c r="K4284" s="188"/>
      <c r="L4284" s="178"/>
      <c r="M4284" s="178"/>
      <c r="N4284" s="178"/>
      <c r="O4284" s="178"/>
      <c r="P4284" s="188"/>
      <c r="Q4284" s="178"/>
      <c r="R4284" s="178"/>
      <c r="S4284" s="178"/>
      <c r="T4284" s="180"/>
      <c r="U4284" s="189" t="str">
        <f>IFERROR(IF(Tableau3[[#This Row],[Dettes]]=0,"",(Tableau3[[#This Row],[Dettes]]/Tableau3[[#This Row],[EBE]])),"")</f>
        <v/>
      </c>
      <c r="V4284" s="190" t="str">
        <f>IFERROR(Tableau3[[#This Row],[Fonds propres]]/Tableau3[[#This Row],[Total Bilan]],"")</f>
        <v/>
      </c>
      <c r="W4284" s="180"/>
      <c r="Y4284" s="180"/>
      <c r="Z4284" s="192" t="str">
        <f>IFERROR(Tableau3[[#This Row],[Chiffre d''affaires]]/Tableau3[[#This Row],[Salariés]],"")</f>
        <v/>
      </c>
      <c r="AC4284" s="177" t="s">
        <v>2990</v>
      </c>
    </row>
    <row r="4285" spans="1:29" ht="20.25" customHeight="1">
      <c r="A4285" s="217"/>
      <c r="E4285" s="178">
        <v>11.5</v>
      </c>
      <c r="F4285" s="178">
        <v>2020</v>
      </c>
      <c r="G4285" s="188">
        <v>9934000000</v>
      </c>
      <c r="H4285" s="188">
        <v>1317500000</v>
      </c>
      <c r="I4285" s="188">
        <v>612700000</v>
      </c>
      <c r="J4285" s="188">
        <v>510000000</v>
      </c>
      <c r="K4285" s="188">
        <v>17451000000</v>
      </c>
      <c r="L4285" s="188">
        <v>4164300000</v>
      </c>
      <c r="M4285" s="194">
        <f>L4285/P4285</f>
        <v>9.4016272976712543</v>
      </c>
      <c r="N4285" s="190">
        <f>J4285/L4285</f>
        <v>0.1224695627116202</v>
      </c>
      <c r="O4285" s="190">
        <f>(I4285*0.7)/(K4285+L4285)</f>
        <v>1.9841963794164318E-2</v>
      </c>
      <c r="P4285" s="188">
        <v>442933959</v>
      </c>
      <c r="Q4285" s="188">
        <f>P4285*E4285</f>
        <v>5093740528.5</v>
      </c>
      <c r="R4285" s="195">
        <f>Q4285/L4285</f>
        <v>1.2231925001801023</v>
      </c>
      <c r="S4285" s="197">
        <f>(Q4285+K4285)/H4285</f>
        <v>17.111757516888044</v>
      </c>
      <c r="T4285" s="180"/>
      <c r="U4285" s="189">
        <f>IFERROR(IF(Tableau3[[#This Row],[Dettes]]=0,"",(Tableau3[[#This Row],[Dettes]]/Tableau3[[#This Row],[EBE]])),"")</f>
        <v>13.245540796963947</v>
      </c>
      <c r="V4285" s="190" t="str">
        <f>IFERROR(Tableau3[[#This Row],[Fonds propres]]/Tableau3[[#This Row],[Total Bilan]],"")</f>
        <v/>
      </c>
      <c r="W4285" s="180"/>
      <c r="Y4285" s="180"/>
      <c r="Z4285" s="192" t="str">
        <f>IFERROR(Tableau3[[#This Row],[Chiffre d''affaires]]/Tableau3[[#This Row],[Salariés]],"")</f>
        <v/>
      </c>
    </row>
    <row r="4286" spans="1:29" ht="20.25" customHeight="1">
      <c r="A4286" s="217"/>
      <c r="G4286" s="188"/>
      <c r="H4286" s="188"/>
      <c r="I4286" s="188"/>
      <c r="J4286" s="188"/>
      <c r="K4286" s="188"/>
      <c r="L4286" s="178"/>
      <c r="M4286" s="178"/>
      <c r="N4286" s="178"/>
      <c r="O4286" s="178"/>
      <c r="P4286" s="178"/>
      <c r="Q4286" s="178"/>
      <c r="R4286" s="178"/>
      <c r="S4286" s="178"/>
      <c r="T4286" s="180"/>
      <c r="U4286" s="189" t="str">
        <f>IFERROR(IF(Tableau3[[#This Row],[Dettes]]=0,"",(Tableau3[[#This Row],[Dettes]]/Tableau3[[#This Row],[EBE]])),"")</f>
        <v/>
      </c>
      <c r="V4286" s="190" t="str">
        <f>IFERROR(Tableau3[[#This Row],[Fonds propres]]/Tableau3[[#This Row],[Total Bilan]],"")</f>
        <v/>
      </c>
      <c r="W4286" s="180"/>
      <c r="Y4286" s="180"/>
      <c r="Z4286" s="192" t="str">
        <f>IFERROR(Tableau3[[#This Row],[Chiffre d''affaires]]/Tableau3[[#This Row],[Salariés]],"")</f>
        <v/>
      </c>
    </row>
    <row r="4287" spans="1:29" ht="20.25" customHeight="1">
      <c r="A4287" s="217"/>
      <c r="F4287" s="217" t="s">
        <v>2991</v>
      </c>
      <c r="G4287" s="188"/>
      <c r="H4287" s="188"/>
      <c r="I4287" s="188"/>
      <c r="J4287" s="188"/>
      <c r="K4287" s="188"/>
      <c r="L4287" s="178"/>
      <c r="M4287" s="178"/>
      <c r="N4287" s="178"/>
      <c r="O4287" s="178"/>
      <c r="P4287" s="178"/>
      <c r="Q4287" s="178"/>
      <c r="R4287" s="178"/>
      <c r="S4287" s="178"/>
      <c r="T4287" s="180"/>
      <c r="U4287" s="189" t="str">
        <f>IFERROR(IF(Tableau3[[#This Row],[Dettes]]=0,"",(Tableau3[[#This Row],[Dettes]]/Tableau3[[#This Row],[EBE]])),"")</f>
        <v/>
      </c>
      <c r="V4287" s="190" t="str">
        <f>IFERROR(Tableau3[[#This Row],[Fonds propres]]/Tableau3[[#This Row],[Total Bilan]],"")</f>
        <v/>
      </c>
      <c r="W4287" s="180"/>
      <c r="Y4287" s="180"/>
      <c r="Z4287" s="192" t="str">
        <f>IFERROR(Tableau3[[#This Row],[Chiffre d''affaires]]/Tableau3[[#This Row],[Salariés]],"")</f>
        <v/>
      </c>
    </row>
    <row r="4288" spans="1:29" ht="20.25" customHeight="1">
      <c r="A4288" s="217"/>
      <c r="G4288" s="188"/>
      <c r="H4288" s="188"/>
      <c r="I4288" s="188"/>
      <c r="J4288" s="188"/>
      <c r="K4288" s="188"/>
      <c r="L4288" s="178"/>
      <c r="M4288" s="178"/>
      <c r="N4288" s="178"/>
      <c r="O4288" s="178"/>
      <c r="P4288" s="178"/>
      <c r="Q4288" s="178"/>
      <c r="R4288" s="178"/>
      <c r="S4288" s="178"/>
      <c r="T4288" s="180"/>
      <c r="U4288" s="189" t="str">
        <f>IFERROR(IF(Tableau3[[#This Row],[Dettes]]=0,"",(Tableau3[[#This Row],[Dettes]]/Tableau3[[#This Row],[EBE]])),"")</f>
        <v/>
      </c>
      <c r="V4288" s="190" t="str">
        <f>IFERROR(Tableau3[[#This Row],[Fonds propres]]/Tableau3[[#This Row],[Total Bilan]],"")</f>
        <v/>
      </c>
      <c r="W4288" s="180"/>
      <c r="Y4288" s="180"/>
      <c r="Z4288" s="192" t="str">
        <f>IFERROR(Tableau3[[#This Row],[Chiffre d''affaires]]/Tableau3[[#This Row],[Salariés]],"")</f>
        <v/>
      </c>
    </row>
    <row r="4289" spans="1:29" ht="20.25" customHeight="1">
      <c r="A4289" s="217"/>
      <c r="G4289" s="188"/>
      <c r="H4289" s="188"/>
      <c r="I4289" s="188"/>
      <c r="J4289" s="188"/>
      <c r="K4289" s="188"/>
      <c r="L4289" s="178"/>
      <c r="M4289" s="178"/>
      <c r="N4289" s="178"/>
      <c r="O4289" s="178"/>
      <c r="P4289" s="178"/>
      <c r="Q4289" s="178"/>
      <c r="R4289" s="178"/>
      <c r="S4289" s="178"/>
      <c r="T4289" s="180"/>
      <c r="U4289" s="189" t="str">
        <f>IFERROR(IF(Tableau3[[#This Row],[Dettes]]=0,"",(Tableau3[[#This Row],[Dettes]]/Tableau3[[#This Row],[EBE]])),"")</f>
        <v/>
      </c>
      <c r="V4289" s="190" t="str">
        <f>IFERROR(Tableau3[[#This Row],[Fonds propres]]/Tableau3[[#This Row],[Total Bilan]],"")</f>
        <v/>
      </c>
      <c r="W4289" s="180"/>
      <c r="Y4289" s="180"/>
      <c r="Z4289" s="192" t="str">
        <f>IFERROR(Tableau3[[#This Row],[Chiffre d''affaires]]/Tableau3[[#This Row],[Salariés]],"")</f>
        <v/>
      </c>
    </row>
    <row r="4290" spans="1:29" ht="20.25" customHeight="1">
      <c r="A4290" s="217"/>
      <c r="G4290" s="188"/>
      <c r="H4290" s="188"/>
      <c r="I4290" s="188"/>
      <c r="J4290" s="188"/>
      <c r="K4290" s="188"/>
      <c r="L4290" s="178"/>
      <c r="M4290" s="178"/>
      <c r="N4290" s="178"/>
      <c r="O4290" s="178"/>
      <c r="P4290" s="178"/>
      <c r="Q4290" s="178"/>
      <c r="R4290" s="178"/>
      <c r="S4290" s="178"/>
      <c r="T4290" s="180"/>
      <c r="U4290" s="189" t="str">
        <f>IFERROR(IF(Tableau3[[#This Row],[Dettes]]=0,"",(Tableau3[[#This Row],[Dettes]]/Tableau3[[#This Row],[EBE]])),"")</f>
        <v/>
      </c>
      <c r="V4290" s="190" t="str">
        <f>IFERROR(Tableau3[[#This Row],[Fonds propres]]/Tableau3[[#This Row],[Total Bilan]],"")</f>
        <v/>
      </c>
      <c r="W4290" s="180"/>
      <c r="Y4290" s="180"/>
      <c r="Z4290" s="192" t="str">
        <f>IFERROR(Tableau3[[#This Row],[Chiffre d''affaires]]/Tableau3[[#This Row],[Salariés]],"")</f>
        <v/>
      </c>
    </row>
    <row r="4291" spans="1:29" ht="20.25" customHeight="1">
      <c r="A4291" s="217"/>
      <c r="G4291" s="188"/>
      <c r="H4291" s="188"/>
      <c r="I4291" s="188"/>
      <c r="J4291" s="188"/>
      <c r="K4291" s="188"/>
      <c r="L4291" s="178"/>
      <c r="M4291" s="178"/>
      <c r="N4291" s="178"/>
      <c r="O4291" s="178"/>
      <c r="P4291" s="178"/>
      <c r="Q4291" s="178"/>
      <c r="R4291" s="178"/>
      <c r="S4291" s="178"/>
      <c r="T4291" s="180"/>
      <c r="U4291" s="189" t="str">
        <f>IFERROR(IF(Tableau3[[#This Row],[Dettes]]=0,"",(Tableau3[[#This Row],[Dettes]]/Tableau3[[#This Row],[EBE]])),"")</f>
        <v/>
      </c>
      <c r="V4291" s="190" t="str">
        <f>IFERROR(Tableau3[[#This Row],[Fonds propres]]/Tableau3[[#This Row],[Total Bilan]],"")</f>
        <v/>
      </c>
      <c r="W4291" s="180"/>
      <c r="Y4291" s="180"/>
      <c r="Z4291" s="192" t="str">
        <f>IFERROR(Tableau3[[#This Row],[Chiffre d''affaires]]/Tableau3[[#This Row],[Salariés]],"")</f>
        <v/>
      </c>
    </row>
    <row r="4292" spans="1:29" ht="20.25" customHeight="1">
      <c r="A4292" s="217"/>
      <c r="G4292" s="188"/>
      <c r="H4292" s="188"/>
      <c r="I4292" s="178"/>
      <c r="J4292" s="178"/>
      <c r="K4292" s="178"/>
      <c r="L4292" s="178"/>
      <c r="M4292" s="178"/>
      <c r="N4292" s="178"/>
      <c r="O4292" s="178"/>
      <c r="P4292" s="178"/>
      <c r="Q4292" s="178"/>
      <c r="R4292" s="178"/>
      <c r="S4292" s="178"/>
      <c r="T4292" s="180"/>
      <c r="U4292" s="189" t="str">
        <f>IFERROR(IF(Tableau3[[#This Row],[Dettes]]=0,"",(Tableau3[[#This Row],[Dettes]]/Tableau3[[#This Row],[EBE]])),"")</f>
        <v/>
      </c>
      <c r="V4292" s="190" t="str">
        <f>IFERROR(Tableau3[[#This Row],[Fonds propres]]/Tableau3[[#This Row],[Total Bilan]],"")</f>
        <v/>
      </c>
      <c r="W4292" s="180"/>
      <c r="Y4292" s="180"/>
      <c r="Z4292" s="192" t="str">
        <f>IFERROR(Tableau3[[#This Row],[Chiffre d''affaires]]/Tableau3[[#This Row],[Salariés]],"")</f>
        <v/>
      </c>
    </row>
    <row r="4293" spans="1:29" ht="20.25" customHeight="1">
      <c r="A4293" s="217"/>
      <c r="G4293" s="188"/>
      <c r="H4293" s="188"/>
      <c r="I4293" s="178"/>
      <c r="J4293" s="178"/>
      <c r="K4293" s="178"/>
      <c r="L4293" s="178"/>
      <c r="M4293" s="178"/>
      <c r="N4293" s="178"/>
      <c r="O4293" s="178"/>
      <c r="P4293" s="178"/>
      <c r="Q4293" s="178"/>
      <c r="R4293" s="178"/>
      <c r="S4293" s="178"/>
      <c r="T4293" s="180"/>
      <c r="U4293" s="189" t="str">
        <f>IFERROR(IF(Tableau3[[#This Row],[Dettes]]=0,"",(Tableau3[[#This Row],[Dettes]]/Tableau3[[#This Row],[EBE]])),"")</f>
        <v/>
      </c>
      <c r="V4293" s="190" t="str">
        <f>IFERROR(Tableau3[[#This Row],[Fonds propres]]/Tableau3[[#This Row],[Total Bilan]],"")</f>
        <v/>
      </c>
      <c r="W4293" s="180"/>
      <c r="Y4293" s="180"/>
      <c r="Z4293" s="192" t="str">
        <f>IFERROR(Tableau3[[#This Row],[Chiffre d''affaires]]/Tableau3[[#This Row],[Salariés]],"")</f>
        <v/>
      </c>
    </row>
    <row r="4294" spans="1:29" ht="20.25" customHeight="1">
      <c r="A4294" s="217"/>
      <c r="G4294" s="188"/>
      <c r="H4294" s="188"/>
      <c r="I4294" s="178"/>
      <c r="J4294" s="178"/>
      <c r="K4294" s="178"/>
      <c r="L4294" s="178"/>
      <c r="M4294" s="178"/>
      <c r="N4294" s="178"/>
      <c r="O4294" s="178"/>
      <c r="P4294" s="178"/>
      <c r="Q4294" s="178"/>
      <c r="R4294" s="178"/>
      <c r="S4294" s="178"/>
      <c r="T4294" s="180"/>
      <c r="U4294" s="189" t="str">
        <f>IFERROR(IF(Tableau3[[#This Row],[Dettes]]=0,"",(Tableau3[[#This Row],[Dettes]]/Tableau3[[#This Row],[EBE]])),"")</f>
        <v/>
      </c>
      <c r="V4294" s="190" t="str">
        <f>IFERROR(Tableau3[[#This Row],[Fonds propres]]/Tableau3[[#This Row],[Total Bilan]],"")</f>
        <v/>
      </c>
      <c r="W4294" s="180"/>
      <c r="Y4294" s="180"/>
      <c r="Z4294" s="192" t="str">
        <f>IFERROR(Tableau3[[#This Row],[Chiffre d''affaires]]/Tableau3[[#This Row],[Salariés]],"")</f>
        <v/>
      </c>
    </row>
    <row r="4295" spans="1:29" ht="20.25" customHeight="1">
      <c r="A4295" s="217"/>
      <c r="G4295" s="188"/>
      <c r="H4295" s="188"/>
      <c r="I4295" s="178"/>
      <c r="J4295" s="178"/>
      <c r="K4295" s="178"/>
      <c r="L4295" s="178"/>
      <c r="M4295" s="178"/>
      <c r="N4295" s="178"/>
      <c r="O4295" s="178"/>
      <c r="P4295" s="178"/>
      <c r="Q4295" s="178"/>
      <c r="R4295" s="178"/>
      <c r="S4295" s="178"/>
      <c r="T4295" s="180"/>
      <c r="U4295" s="189" t="str">
        <f>IFERROR(IF(Tableau3[[#This Row],[Dettes]]=0,"",(Tableau3[[#This Row],[Dettes]]/Tableau3[[#This Row],[EBE]])),"")</f>
        <v/>
      </c>
      <c r="V4295" s="190" t="str">
        <f>IFERROR(Tableau3[[#This Row],[Fonds propres]]/Tableau3[[#This Row],[Total Bilan]],"")</f>
        <v/>
      </c>
      <c r="W4295" s="180"/>
      <c r="Y4295" s="180"/>
      <c r="Z4295" s="192" t="str">
        <f>IFERROR(Tableau3[[#This Row],[Chiffre d''affaires]]/Tableau3[[#This Row],[Salariés]],"")</f>
        <v/>
      </c>
    </row>
    <row r="4296" spans="1:29" ht="20.25" customHeight="1">
      <c r="A4296" s="217" t="s">
        <v>3009</v>
      </c>
      <c r="B4296" s="216" t="s">
        <v>3010</v>
      </c>
      <c r="C4296" s="178" t="s">
        <v>99</v>
      </c>
      <c r="D4296" s="178" t="s">
        <v>100</v>
      </c>
      <c r="F4296" s="178">
        <v>2025</v>
      </c>
      <c r="G4296" s="188"/>
      <c r="H4296" s="188"/>
      <c r="I4296" s="188"/>
      <c r="J4296" s="188"/>
      <c r="K4296" s="188"/>
      <c r="L4296" s="188"/>
      <c r="M4296" s="188"/>
      <c r="N4296" s="188"/>
      <c r="O4296" s="188"/>
      <c r="P4296" s="188"/>
      <c r="Q4296" s="188"/>
      <c r="R4296" s="188"/>
      <c r="S4296" s="188"/>
      <c r="T4296" s="180"/>
      <c r="U4296" s="189" t="str">
        <f>IFERROR(IF(Tableau3[[#This Row],[Dettes]]=0,"",(Tableau3[[#This Row],[Dettes]]/Tableau3[[#This Row],[EBE]])),"")</f>
        <v/>
      </c>
      <c r="V4296" s="190" t="str">
        <f>IFERROR(Tableau3[[#This Row],[Fonds propres]]/Tableau3[[#This Row],[Total Bilan]],"")</f>
        <v/>
      </c>
      <c r="W4296" s="180"/>
      <c r="X4296" s="192"/>
      <c r="Y4296" s="180"/>
      <c r="Z4296" s="192" t="str">
        <f>IFERROR(Tableau3[[#This Row],[Chiffre d''affaires]]/Tableau3[[#This Row],[Salariés]],"")</f>
        <v/>
      </c>
      <c r="AC4296" s="177" t="s">
        <v>3011</v>
      </c>
    </row>
    <row r="4297" spans="1:29" ht="20.25" customHeight="1">
      <c r="A4297" s="217"/>
      <c r="G4297" s="188"/>
      <c r="H4297" s="188"/>
      <c r="I4297" s="188"/>
      <c r="J4297" s="188"/>
      <c r="K4297" s="188"/>
      <c r="L4297" s="188"/>
      <c r="M4297" s="188"/>
      <c r="N4297" s="188"/>
      <c r="O4297" s="188"/>
      <c r="P4297" s="188"/>
      <c r="Q4297" s="188"/>
      <c r="R4297" s="188"/>
      <c r="S4297" s="188"/>
      <c r="T4297" s="180"/>
      <c r="U4297" s="189" t="str">
        <f>IFERROR(IF(Tableau3[[#This Row],[Dettes]]=0,"",(Tableau3[[#This Row],[Dettes]]/Tableau3[[#This Row],[EBE]])),"")</f>
        <v/>
      </c>
      <c r="V4297" s="190" t="str">
        <f>IFERROR(Tableau3[[#This Row],[Fonds propres]]/Tableau3[[#This Row],[Total Bilan]],"")</f>
        <v/>
      </c>
      <c r="W4297" s="180"/>
      <c r="X4297" s="192"/>
      <c r="Y4297" s="180"/>
      <c r="Z4297" s="192" t="str">
        <f>IFERROR(Tableau3[[#This Row],[Chiffre d''affaires]]/Tableau3[[#This Row],[Salariés]],"")</f>
        <v/>
      </c>
      <c r="AC4297" s="177" t="s">
        <v>3013</v>
      </c>
    </row>
    <row r="4298" spans="1:29" ht="20.25" customHeight="1">
      <c r="A4298" s="217"/>
      <c r="E4298" s="215">
        <v>3966</v>
      </c>
      <c r="F4298" s="178">
        <v>2024</v>
      </c>
      <c r="G4298" s="188">
        <f>3737000000*2</f>
        <v>7474000000</v>
      </c>
      <c r="H4298" s="188">
        <v>1820000000</v>
      </c>
      <c r="I4298" s="188">
        <v>1400000000</v>
      </c>
      <c r="J4298" s="188">
        <v>1200000000</v>
      </c>
      <c r="K4298" s="188">
        <v>4500000000</v>
      </c>
      <c r="L4298" s="188">
        <v>4500000000</v>
      </c>
      <c r="M4298" s="194">
        <f>L4298/P4298</f>
        <v>487.35128475545685</v>
      </c>
      <c r="N4298" s="190">
        <f>J4298/L4298</f>
        <v>0.26666666666666666</v>
      </c>
      <c r="O4298" s="190">
        <f>(I4298*0.7)/(K4298+L4298)</f>
        <v>0.10888888888888888</v>
      </c>
      <c r="P4298" s="188">
        <v>9233586</v>
      </c>
      <c r="Q4298" s="188">
        <f>P4298*E4298</f>
        <v>36620402076</v>
      </c>
      <c r="R4298" s="195">
        <f>Q4298/L4298</f>
        <v>8.1378671279999999</v>
      </c>
      <c r="S4298" s="197">
        <f>(Q4298+K4298)/H4298</f>
        <v>22.593627514285714</v>
      </c>
      <c r="T4298" s="180"/>
      <c r="U4298" s="189">
        <f>IFERROR(IF(Tableau3[[#This Row],[Dettes]]=0,"",(Tableau3[[#This Row],[Dettes]]/Tableau3[[#This Row],[EBE]])),"")</f>
        <v>2.4725274725274726</v>
      </c>
      <c r="V4298" s="190" t="str">
        <f>IFERROR(Tableau3[[#This Row],[Fonds propres]]/Tableau3[[#This Row],[Total Bilan]],"")</f>
        <v/>
      </c>
      <c r="W4298" s="180"/>
      <c r="X4298" s="192" t="s">
        <v>1949</v>
      </c>
      <c r="Y4298" s="180"/>
      <c r="Z4298" s="192" t="str">
        <f>IFERROR(Tableau3[[#This Row],[Chiffre d''affaires]]/Tableau3[[#This Row],[Salariés]],"")</f>
        <v/>
      </c>
      <c r="AC4298" s="177" t="s">
        <v>3014</v>
      </c>
    </row>
    <row r="4299" spans="1:29" ht="20.25" customHeight="1">
      <c r="A4299" s="217"/>
      <c r="E4299" s="215"/>
      <c r="G4299" s="202">
        <f>(G4298/G4300)-1</f>
        <v>8.08387563268258E-2</v>
      </c>
      <c r="H4299" s="202">
        <f>(H4298/H4300)-1</f>
        <v>0.21333333333333337</v>
      </c>
      <c r="I4299" s="202">
        <f>(I4298/I4300)-1</f>
        <v>0.25448028673835132</v>
      </c>
      <c r="J4299" s="202">
        <f>(J4298/J4300)-1</f>
        <v>0.34378499440089594</v>
      </c>
      <c r="K4299" s="188"/>
      <c r="L4299" s="188"/>
      <c r="M4299" s="188"/>
      <c r="N4299" s="188"/>
      <c r="O4299" s="188"/>
      <c r="P4299" s="188"/>
      <c r="Q4299" s="188"/>
      <c r="R4299" s="188"/>
      <c r="S4299" s="188"/>
      <c r="T4299" s="180"/>
      <c r="U4299" s="189" t="str">
        <f>IFERROR(IF(Tableau3[[#This Row],[Dettes]]=0,"",(Tableau3[[#This Row],[Dettes]]/Tableau3[[#This Row],[EBE]])),"")</f>
        <v/>
      </c>
      <c r="V4299" s="190" t="str">
        <f>IFERROR(Tableau3[[#This Row],[Fonds propres]]/Tableau3[[#This Row],[Total Bilan]],"")</f>
        <v/>
      </c>
      <c r="W4299" s="180"/>
      <c r="X4299" s="192"/>
      <c r="Y4299" s="180"/>
      <c r="Z4299" s="192" t="str">
        <f>IFERROR(Tableau3[[#This Row],[Chiffre d''affaires]]/Tableau3[[#This Row],[Salariés]],"")</f>
        <v/>
      </c>
      <c r="AC4299" s="177" t="s">
        <v>3015</v>
      </c>
    </row>
    <row r="4300" spans="1:29" ht="20.25" customHeight="1">
      <c r="A4300" s="217"/>
      <c r="E4300" s="215">
        <v>3484</v>
      </c>
      <c r="F4300" s="178">
        <v>2023</v>
      </c>
      <c r="G4300" s="188">
        <v>6915000000</v>
      </c>
      <c r="H4300" s="188">
        <v>1500000000</v>
      </c>
      <c r="I4300" s="188">
        <v>1116000000</v>
      </c>
      <c r="J4300" s="188">
        <v>893000000</v>
      </c>
      <c r="K4300" s="188">
        <v>4305000000</v>
      </c>
      <c r="L4300" s="188">
        <v>3993000000</v>
      </c>
      <c r="M4300" s="194">
        <f>L4300/P4300</f>
        <v>432.44304000634207</v>
      </c>
      <c r="N4300" s="190">
        <f>J4300/L4300</f>
        <v>0.22364137240170298</v>
      </c>
      <c r="O4300" s="190">
        <f>(I4300*0.7)/(K4300+L4300)</f>
        <v>9.4143167028199568E-2</v>
      </c>
      <c r="P4300" s="188">
        <v>9233586</v>
      </c>
      <c r="Q4300" s="188">
        <f>P4300*E4300</f>
        <v>32169813624</v>
      </c>
      <c r="R4300" s="195">
        <f>Q4300/L4300</f>
        <v>8.056552372652142</v>
      </c>
      <c r="S4300" s="197">
        <f>(Q4300+K4300)/H4300</f>
        <v>24.316542416000001</v>
      </c>
      <c r="T4300" s="180"/>
      <c r="U4300" s="189">
        <f>IFERROR(IF(Tableau3[[#This Row],[Dettes]]=0,"",(Tableau3[[#This Row],[Dettes]]/Tableau3[[#This Row],[EBE]])),"")</f>
        <v>2.87</v>
      </c>
      <c r="V4300" s="190">
        <f>IFERROR(Tableau3[[#This Row],[Fonds propres]]/Tableau3[[#This Row],[Total Bilan]],"")</f>
        <v>0.35882458662832495</v>
      </c>
      <c r="W4300" s="180">
        <v>11128000000</v>
      </c>
      <c r="X4300" s="192"/>
      <c r="Y4300" s="188">
        <v>16260</v>
      </c>
      <c r="Z4300" s="192">
        <f>IFERROR(Tableau3[[#This Row],[Chiffre d''affaires]]/Tableau3[[#This Row],[Salariés]],"")</f>
        <v>425276.75276752765</v>
      </c>
      <c r="AC4300" s="177" t="s">
        <v>3016</v>
      </c>
    </row>
    <row r="4301" spans="1:29" ht="20.25" customHeight="1">
      <c r="A4301" s="217"/>
      <c r="E4301" s="215"/>
      <c r="G4301" s="202">
        <f>(G4300/G4302)-1</f>
        <v>-2.8382745538850673E-2</v>
      </c>
      <c r="H4301" s="202">
        <f>(H4300/H4302)-1</f>
        <v>1.6260162601626105E-2</v>
      </c>
      <c r="I4301" s="202">
        <f>(I4300/I4302)-1</f>
        <v>3.597122302158251E-3</v>
      </c>
      <c r="J4301" s="202">
        <f>(J4300/J4302)-1</f>
        <v>4.3224299065420579E-2</v>
      </c>
      <c r="K4301" s="188"/>
      <c r="L4301" s="188"/>
      <c r="M4301" s="188"/>
      <c r="N4301" s="188"/>
      <c r="O4301" s="188"/>
      <c r="P4301" s="188"/>
      <c r="Q4301" s="188"/>
      <c r="R4301" s="188"/>
      <c r="S4301" s="188"/>
      <c r="T4301" s="180"/>
      <c r="U4301" s="189" t="str">
        <f>IFERROR(IF(Tableau3[[#This Row],[Dettes]]=0,"",(Tableau3[[#This Row],[Dettes]]/Tableau3[[#This Row],[EBE]])),"")</f>
        <v/>
      </c>
      <c r="V4301" s="190" t="str">
        <f>IFERROR(Tableau3[[#This Row],[Fonds propres]]/Tableau3[[#This Row],[Total Bilan]],"")</f>
        <v/>
      </c>
      <c r="W4301" s="180"/>
      <c r="X4301" s="192"/>
      <c r="Y4301" s="188"/>
      <c r="Z4301" s="192" t="str">
        <f>IFERROR(Tableau3[[#This Row],[Chiffre d''affaires]]/Tableau3[[#This Row],[Salariés]],"")</f>
        <v/>
      </c>
      <c r="AC4301" s="177" t="s">
        <v>3017</v>
      </c>
    </row>
    <row r="4302" spans="1:29" ht="20.25" customHeight="1">
      <c r="A4302" s="217"/>
      <c r="E4302" s="215">
        <v>2833</v>
      </c>
      <c r="F4302" s="178">
        <v>2022</v>
      </c>
      <c r="G4302" s="188">
        <v>7117000000</v>
      </c>
      <c r="H4302" s="188">
        <v>1476000000</v>
      </c>
      <c r="I4302" s="188">
        <v>1112000000</v>
      </c>
      <c r="J4302" s="188">
        <v>856000000</v>
      </c>
      <c r="K4302" s="188">
        <v>4530000000</v>
      </c>
      <c r="L4302" s="188">
        <v>4232000000</v>
      </c>
      <c r="M4302" s="194">
        <f t="shared" ref="M4302:M4312" si="307">L4302/P4302</f>
        <v>458.32680824113186</v>
      </c>
      <c r="N4302" s="190">
        <f>J4302/L4302</f>
        <v>0.20226843100189035</v>
      </c>
      <c r="O4302" s="190">
        <f>(I4302*0.7)/(K4302+L4302)</f>
        <v>8.8838164802556491E-2</v>
      </c>
      <c r="P4302" s="188">
        <v>9233586</v>
      </c>
      <c r="Q4302" s="188">
        <f>P4302*E4302</f>
        <v>26158749138</v>
      </c>
      <c r="R4302" s="195">
        <f>Q4302/L4302</f>
        <v>6.1811789078449904</v>
      </c>
      <c r="S4302" s="197">
        <f>(Q4302+K4302)/H4302</f>
        <v>20.791835459349592</v>
      </c>
      <c r="T4302" s="180">
        <v>479000000</v>
      </c>
      <c r="U4302" s="189">
        <f>IFERROR(IF(Tableau3[[#This Row],[Dettes]]=0,"",(Tableau3[[#This Row],[Dettes]]/Tableau3[[#This Row],[EBE]])),"")</f>
        <v>3.0691056910569108</v>
      </c>
      <c r="V4302" s="190">
        <f>IFERROR(Tableau3[[#This Row],[Fonds propres]]/Tableau3[[#This Row],[Total Bilan]],"")</f>
        <v>0.36768027801911379</v>
      </c>
      <c r="W4302" s="180">
        <v>11510000000</v>
      </c>
      <c r="X4302" s="192"/>
      <c r="Y4302" s="188">
        <v>16670</v>
      </c>
      <c r="Z4302" s="192">
        <f>IFERROR(Tableau3[[#This Row],[Chiffre d''affaires]]/Tableau3[[#This Row],[Salariés]],"")</f>
        <v>426934.61307738454</v>
      </c>
      <c r="AC4302" s="177" t="s">
        <v>3018</v>
      </c>
    </row>
    <row r="4303" spans="1:29" ht="20.25" customHeight="1">
      <c r="A4303" s="217"/>
      <c r="E4303" s="215"/>
      <c r="G4303" s="202">
        <f>(G4302/G4304)-1</f>
        <v>6.4781567923399175E-2</v>
      </c>
      <c r="H4303" s="202">
        <f>(H4302/H4304)-1</f>
        <v>-4.0485829959514552E-3</v>
      </c>
      <c r="I4303" s="202">
        <f>(I4302/I4304)-1</f>
        <v>2.1120293847566529E-2</v>
      </c>
      <c r="J4303" s="202">
        <f>(J4302/J4304)-1</f>
        <v>4.2630937880633324E-2</v>
      </c>
      <c r="K4303" s="188"/>
      <c r="L4303" s="188"/>
      <c r="M4303" s="178"/>
      <c r="N4303" s="178"/>
      <c r="O4303" s="178"/>
      <c r="P4303" s="188"/>
      <c r="Q4303" s="188"/>
      <c r="R4303" s="178"/>
      <c r="S4303" s="178"/>
      <c r="T4303" s="180"/>
      <c r="U4303" s="189" t="str">
        <f>IFERROR(IF(Tableau3[[#This Row],[Dettes]]=0,"",(Tableau3[[#This Row],[Dettes]]/Tableau3[[#This Row],[EBE]])),"")</f>
        <v/>
      </c>
      <c r="V4303" s="190" t="str">
        <f>IFERROR(Tableau3[[#This Row],[Fonds propres]]/Tableau3[[#This Row],[Total Bilan]],"")</f>
        <v/>
      </c>
      <c r="W4303" s="180"/>
      <c r="X4303" s="192"/>
      <c r="Y4303" s="188"/>
      <c r="Z4303" s="192" t="str">
        <f>IFERROR(Tableau3[[#This Row],[Chiffre d''affaires]]/Tableau3[[#This Row],[Salariés]],"")</f>
        <v/>
      </c>
      <c r="AC4303" s="177" t="s">
        <v>3019</v>
      </c>
    </row>
    <row r="4304" spans="1:29" ht="20.25" customHeight="1">
      <c r="A4304" s="217"/>
      <c r="E4304" s="215">
        <v>4792</v>
      </c>
      <c r="F4304" s="178">
        <v>2021</v>
      </c>
      <c r="G4304" s="188">
        <v>6684000000</v>
      </c>
      <c r="H4304" s="188">
        <v>1482000000</v>
      </c>
      <c r="I4304" s="188">
        <v>1089000000</v>
      </c>
      <c r="J4304" s="188">
        <v>821000000</v>
      </c>
      <c r="K4304" s="188">
        <v>4394000000</v>
      </c>
      <c r="L4304" s="188">
        <v>3929000000</v>
      </c>
      <c r="M4304" s="194">
        <f t="shared" si="307"/>
        <v>425.51182173426446</v>
      </c>
      <c r="N4304" s="190">
        <f>J4304/L4304</f>
        <v>0.20895902265207431</v>
      </c>
      <c r="O4304" s="190">
        <f>(I4304*0.7)/(K4304+L4304)</f>
        <v>9.1589571068124473E-2</v>
      </c>
      <c r="P4304" s="188">
        <v>9233586</v>
      </c>
      <c r="Q4304" s="188">
        <f>P4304*E4304</f>
        <v>44247344112</v>
      </c>
      <c r="R4304" s="195">
        <f>Q4304/L4304</f>
        <v>11.261731766861796</v>
      </c>
      <c r="S4304" s="197">
        <f>(Q4304+K4304)/H4304</f>
        <v>32.821419778677466</v>
      </c>
      <c r="T4304" s="180">
        <v>843000000</v>
      </c>
      <c r="U4304" s="189">
        <f>IFERROR(IF(Tableau3[[#This Row],[Dettes]]=0,"",(Tableau3[[#This Row],[Dettes]]/Tableau3[[#This Row],[EBE]])),"")</f>
        <v>2.9649122807017543</v>
      </c>
      <c r="V4304" s="190">
        <f>IFERROR(Tableau3[[#This Row],[Fonds propres]]/Tableau3[[#This Row],[Total Bilan]],"")</f>
        <v>0.34374453193350829</v>
      </c>
      <c r="W4304" s="180">
        <v>11430000000</v>
      </c>
      <c r="Y4304" s="188">
        <v>15852</v>
      </c>
      <c r="Z4304" s="192">
        <f>IFERROR(Tableau3[[#This Row],[Chiffre d''affaires]]/Tableau3[[#This Row],[Salariés]],"")</f>
        <v>421650.26495079487</v>
      </c>
      <c r="AC4304" s="177" t="s">
        <v>4645</v>
      </c>
    </row>
    <row r="4305" spans="1:29" ht="20.25" customHeight="1">
      <c r="A4305" s="217"/>
      <c r="E4305" s="215"/>
      <c r="G4305" s="202">
        <f>(G4304/G4306)-1</f>
        <v>5.7260360645365438E-2</v>
      </c>
      <c r="H4305" s="202">
        <f>(H4304/H4306)-1</f>
        <v>6.0844667143879816E-2</v>
      </c>
      <c r="I4305" s="202">
        <f>(I4304/I4306)-1</f>
        <v>9.3373493975903665E-2</v>
      </c>
      <c r="J4305" s="202">
        <f>(J4304/J4306)-1</f>
        <v>0.10497981157469716</v>
      </c>
      <c r="K4305" s="188"/>
      <c r="L4305" s="188"/>
      <c r="M4305" s="178"/>
      <c r="N4305" s="178"/>
      <c r="O4305" s="178"/>
      <c r="P4305" s="188"/>
      <c r="Q4305" s="188"/>
      <c r="R4305" s="178"/>
      <c r="S4305" s="178"/>
      <c r="T4305" s="180"/>
      <c r="U4305" s="189" t="str">
        <f>IFERROR(IF(Tableau3[[#This Row],[Dettes]]=0,"",(Tableau3[[#This Row],[Dettes]]/Tableau3[[#This Row],[EBE]])),"")</f>
        <v/>
      </c>
      <c r="V4305" s="190" t="str">
        <f>IFERROR(Tableau3[[#This Row],[Fonds propres]]/Tableau3[[#This Row],[Total Bilan]],"")</f>
        <v/>
      </c>
      <c r="W4305" s="180"/>
      <c r="X4305" s="192"/>
      <c r="Y4305" s="188"/>
      <c r="Z4305" s="192" t="str">
        <f>IFERROR(Tableau3[[#This Row],[Chiffre d''affaires]]/Tableau3[[#This Row],[Salariés]],"")</f>
        <v/>
      </c>
      <c r="AC4305" s="177" t="s">
        <v>3020</v>
      </c>
    </row>
    <row r="4306" spans="1:29" ht="20.25" customHeight="1">
      <c r="A4306" s="217"/>
      <c r="E4306" s="215">
        <v>3730</v>
      </c>
      <c r="F4306" s="178">
        <v>2020</v>
      </c>
      <c r="G4306" s="188">
        <v>6322000000</v>
      </c>
      <c r="H4306" s="188">
        <v>1397000000</v>
      </c>
      <c r="I4306" s="188">
        <v>996000000</v>
      </c>
      <c r="J4306" s="188">
        <v>743000000</v>
      </c>
      <c r="K4306" s="188">
        <v>4040000000</v>
      </c>
      <c r="L4306" s="188">
        <v>3490000000</v>
      </c>
      <c r="M4306" s="194">
        <f t="shared" si="307"/>
        <v>377.96799639923211</v>
      </c>
      <c r="N4306" s="190">
        <f>J4306/L4306</f>
        <v>0.21289398280802294</v>
      </c>
      <c r="O4306" s="190">
        <f>(I4306*0.7)/(K4306+L4306)</f>
        <v>9.2589641434262945E-2</v>
      </c>
      <c r="P4306" s="188">
        <v>9233586</v>
      </c>
      <c r="Q4306" s="188">
        <f>P4306*E4306</f>
        <v>34441275780</v>
      </c>
      <c r="R4306" s="195">
        <f>Q4306/L4306</f>
        <v>9.8685603954154733</v>
      </c>
      <c r="S4306" s="197">
        <f>(Q4306+K4306)/H4306</f>
        <v>27.545651954187544</v>
      </c>
      <c r="T4306" s="180">
        <v>811000000</v>
      </c>
      <c r="U4306" s="189">
        <f>IFERROR(IF(Tableau3[[#This Row],[Dettes]]=0,"",(Tableau3[[#This Row],[Dettes]]/Tableau3[[#This Row],[EBE]])),"")</f>
        <v>2.8919112383679311</v>
      </c>
      <c r="V4306" s="190">
        <f>IFERROR(Tableau3[[#This Row],[Fonds propres]]/Tableau3[[#This Row],[Total Bilan]],"")</f>
        <v>0.32739212007504692</v>
      </c>
      <c r="W4306" s="180">
        <v>10660000000</v>
      </c>
      <c r="X4306" s="192"/>
      <c r="Y4306" s="188">
        <v>15852</v>
      </c>
      <c r="Z4306" s="192">
        <f>IFERROR(Tableau3[[#This Row],[Chiffre d''affaires]]/Tableau3[[#This Row],[Salariés]],"")</f>
        <v>398814.02977542265</v>
      </c>
      <c r="AC4306" s="177" t="s">
        <v>3021</v>
      </c>
    </row>
    <row r="4307" spans="1:29" ht="20.25" customHeight="1">
      <c r="A4307" s="217"/>
      <c r="E4307" s="215"/>
      <c r="G4307" s="202">
        <f>(G4306/G4308)-1</f>
        <v>1.9184265677897772E-2</v>
      </c>
      <c r="H4307" s="202">
        <f>(H4306/H4308)-1</f>
        <v>9.5686274509803937E-2</v>
      </c>
      <c r="I4307" s="202">
        <f>(I4306/I4308)-1</f>
        <v>8.260869565217388E-2</v>
      </c>
      <c r="J4307" s="202">
        <f>(J4306/J4308)-1</f>
        <v>5.8404558404558493E-2</v>
      </c>
      <c r="K4307" s="188"/>
      <c r="L4307" s="188"/>
      <c r="M4307" s="178"/>
      <c r="N4307" s="178"/>
      <c r="O4307" s="178"/>
      <c r="P4307" s="188"/>
      <c r="Q4307" s="188"/>
      <c r="R4307" s="178"/>
      <c r="S4307" s="178"/>
      <c r="T4307" s="180"/>
      <c r="U4307" s="189" t="str">
        <f>IFERROR(IF(Tableau3[[#This Row],[Dettes]]=0,"",(Tableau3[[#This Row],[Dettes]]/Tableau3[[#This Row],[EBE]])),"")</f>
        <v/>
      </c>
      <c r="V4307" s="190" t="str">
        <f>IFERROR(Tableau3[[#This Row],[Fonds propres]]/Tableau3[[#This Row],[Total Bilan]],"")</f>
        <v/>
      </c>
      <c r="W4307" s="180"/>
      <c r="X4307" s="192"/>
      <c r="Y4307" s="188"/>
      <c r="Z4307" s="192" t="str">
        <f>IFERROR(Tableau3[[#This Row],[Chiffre d''affaires]]/Tableau3[[#This Row],[Salariés]],"")</f>
        <v/>
      </c>
      <c r="AC4307" s="177" t="s">
        <v>3022</v>
      </c>
    </row>
    <row r="4308" spans="1:29" ht="20.25" customHeight="1">
      <c r="A4308" s="217"/>
      <c r="E4308" s="215">
        <v>3031</v>
      </c>
      <c r="F4308" s="178">
        <v>2019</v>
      </c>
      <c r="G4308" s="188">
        <v>6203000000</v>
      </c>
      <c r="H4308" s="188">
        <v>1275000000</v>
      </c>
      <c r="I4308" s="188">
        <v>920000000</v>
      </c>
      <c r="J4308" s="188">
        <v>702000000</v>
      </c>
      <c r="K4308" s="188">
        <v>3679000000</v>
      </c>
      <c r="L4308" s="188">
        <v>3640000000</v>
      </c>
      <c r="M4308" s="194">
        <f t="shared" si="307"/>
        <v>394.21303922441399</v>
      </c>
      <c r="N4308" s="190">
        <f>J4308/L4308</f>
        <v>0.19285714285714287</v>
      </c>
      <c r="O4308" s="190">
        <f>(I4308*0.7)/(K4308+L4308)</f>
        <v>8.7990162590517826E-2</v>
      </c>
      <c r="P4308" s="188">
        <v>9233586</v>
      </c>
      <c r="Q4308" s="188">
        <f>P4308*E4308</f>
        <v>27986999166</v>
      </c>
      <c r="R4308" s="195">
        <f>Q4308/L4308</f>
        <v>7.6887360346153848</v>
      </c>
      <c r="S4308" s="197">
        <f>(Q4308+K4308)/H4308</f>
        <v>24.836077777254904</v>
      </c>
      <c r="T4308" s="180">
        <v>787000000</v>
      </c>
      <c r="U4308" s="189">
        <f>IFERROR(IF(Tableau3[[#This Row],[Dettes]]=0,"",(Tableau3[[#This Row],[Dettes]]/Tableau3[[#This Row],[EBE]])),"")</f>
        <v>2.8854901960784312</v>
      </c>
      <c r="V4308" s="190">
        <f>IFERROR(Tableau3[[#This Row],[Fonds propres]]/Tableau3[[#This Row],[Total Bilan]],"")</f>
        <v>0.35</v>
      </c>
      <c r="W4308" s="180">
        <v>10400000000</v>
      </c>
      <c r="X4308" s="192"/>
      <c r="Y4308" s="188">
        <v>14969</v>
      </c>
      <c r="Z4308" s="192">
        <f>IFERROR(Tableau3[[#This Row],[Chiffre d''affaires]]/Tableau3[[#This Row],[Salariés]],"")</f>
        <v>414389.73879350658</v>
      </c>
      <c r="AC4308" s="177" t="s">
        <v>3023</v>
      </c>
    </row>
    <row r="4309" spans="1:29" ht="20.25" customHeight="1">
      <c r="A4309" s="217"/>
      <c r="E4309" s="215"/>
      <c r="G4309" s="202">
        <f>(G4308/G4310)-1</f>
        <v>0.12230866654604666</v>
      </c>
      <c r="H4309" s="202">
        <f>(H4308/H4310)-1</f>
        <v>0.11353711790393017</v>
      </c>
      <c r="I4309" s="202">
        <f>(I4308/I4310)-1</f>
        <v>4.1902604756511863E-2</v>
      </c>
      <c r="J4309" s="202">
        <f>(J4308/J4310)-1</f>
        <v>5.8823529411764719E-2</v>
      </c>
      <c r="K4309" s="188"/>
      <c r="L4309" s="188"/>
      <c r="M4309" s="178"/>
      <c r="N4309" s="178"/>
      <c r="O4309" s="178"/>
      <c r="P4309" s="188"/>
      <c r="Q4309" s="188"/>
      <c r="R4309" s="178"/>
      <c r="S4309" s="178"/>
      <c r="T4309" s="180"/>
      <c r="U4309" s="189" t="str">
        <f>IFERROR(IF(Tableau3[[#This Row],[Dettes]]=0,"",(Tableau3[[#This Row],[Dettes]]/Tableau3[[#This Row],[EBE]])),"")</f>
        <v/>
      </c>
      <c r="V4309" s="190" t="str">
        <f>IFERROR(Tableau3[[#This Row],[Fonds propres]]/Tableau3[[#This Row],[Total Bilan]],"")</f>
        <v/>
      </c>
      <c r="W4309" s="180"/>
      <c r="X4309" s="192"/>
      <c r="Y4309" s="188"/>
      <c r="Z4309" s="192" t="str">
        <f>IFERROR(Tableau3[[#This Row],[Chiffre d''affaires]]/Tableau3[[#This Row],[Salariés]],"")</f>
        <v/>
      </c>
      <c r="AC4309" s="177" t="s">
        <v>3024</v>
      </c>
    </row>
    <row r="4310" spans="1:29" ht="20.25" customHeight="1">
      <c r="A4310" s="217"/>
      <c r="E4310" s="215">
        <v>2276</v>
      </c>
      <c r="F4310" s="178">
        <v>2018</v>
      </c>
      <c r="G4310" s="188">
        <v>5527000000</v>
      </c>
      <c r="H4310" s="188">
        <v>1145000000</v>
      </c>
      <c r="I4310" s="188">
        <v>883000000</v>
      </c>
      <c r="J4310" s="188">
        <v>663000000</v>
      </c>
      <c r="K4310" s="188">
        <v>2847000000</v>
      </c>
      <c r="L4310" s="188">
        <v>3710000000</v>
      </c>
      <c r="M4310" s="194">
        <f t="shared" si="307"/>
        <v>401.79405920949887</v>
      </c>
      <c r="N4310" s="190">
        <f>J4310/L4310</f>
        <v>0.17870619946091645</v>
      </c>
      <c r="O4310" s="190">
        <f>(I4310*0.7)/(K4310+L4310)</f>
        <v>9.4265670276040867E-2</v>
      </c>
      <c r="P4310" s="188">
        <v>9233586</v>
      </c>
      <c r="Q4310" s="188">
        <f>P4310*E4310</f>
        <v>21015641736</v>
      </c>
      <c r="R4310" s="195">
        <f>Q4310/L4310</f>
        <v>5.664593459838275</v>
      </c>
      <c r="S4310" s="197">
        <f>(Q4310+K4310)/H4310</f>
        <v>20.840735140611354</v>
      </c>
      <c r="T4310" s="180">
        <v>703000000</v>
      </c>
      <c r="U4310" s="189">
        <f>IFERROR(IF(Tableau3[[#This Row],[Dettes]]=0,"",(Tableau3[[#This Row],[Dettes]]/Tableau3[[#This Row],[EBE]])),"")</f>
        <v>2.4864628820960699</v>
      </c>
      <c r="V4310" s="190">
        <f>IFERROR(Tableau3[[#This Row],[Fonds propres]]/Tableau3[[#This Row],[Total Bilan]],"")</f>
        <v>0.39978448275862066</v>
      </c>
      <c r="W4310" s="180">
        <v>9280000000</v>
      </c>
      <c r="X4310" s="192"/>
      <c r="Y4310" s="188">
        <v>13598</v>
      </c>
      <c r="Z4310" s="192">
        <f>IFERROR(Tableau3[[#This Row],[Chiffre d''affaires]]/Tableau3[[#This Row],[Salariés]],"")</f>
        <v>406456.83188704221</v>
      </c>
      <c r="AC4310" s="177" t="s">
        <v>3025</v>
      </c>
    </row>
    <row r="4311" spans="1:29" ht="20.25" customHeight="1">
      <c r="A4311" s="217"/>
      <c r="E4311" s="215"/>
      <c r="G4311" s="202">
        <f>(G4310/G4312)-1</f>
        <v>9.4238764601069169E-2</v>
      </c>
      <c r="H4311" s="202">
        <f>(H4310/H4312)-1</f>
        <v>5.1423324150596805E-2</v>
      </c>
      <c r="I4311" s="202">
        <f>(I4310/I4312)-1</f>
        <v>1.6110471806674243E-2</v>
      </c>
      <c r="J4311" s="202">
        <f>(J4310/J4312)-1</f>
        <v>-7.9166666666666718E-2</v>
      </c>
      <c r="K4311" s="188"/>
      <c r="L4311" s="188"/>
      <c r="M4311" s="178"/>
      <c r="N4311" s="178"/>
      <c r="O4311" s="178"/>
      <c r="P4311" s="188"/>
      <c r="Q4311" s="188"/>
      <c r="R4311" s="178"/>
      <c r="S4311" s="178"/>
      <c r="T4311" s="180"/>
      <c r="U4311" s="189" t="str">
        <f>IFERROR(IF(Tableau3[[#This Row],[Dettes]]=0,"",(Tableau3[[#This Row],[Dettes]]/Tableau3[[#This Row],[EBE]])),"")</f>
        <v/>
      </c>
      <c r="V4311" s="190" t="str">
        <f>IFERROR(Tableau3[[#This Row],[Fonds propres]]/Tableau3[[#This Row],[Total Bilan]],"")</f>
        <v/>
      </c>
      <c r="W4311" s="180"/>
      <c r="X4311" s="192"/>
      <c r="Y4311" s="188"/>
      <c r="Z4311" s="192" t="str">
        <f>IFERROR(Tableau3[[#This Row],[Chiffre d''affaires]]/Tableau3[[#This Row],[Salariés]],"")</f>
        <v/>
      </c>
      <c r="AC4311" s="177" t="s">
        <v>3026</v>
      </c>
    </row>
    <row r="4312" spans="1:29" ht="20.25" customHeight="1">
      <c r="A4312" s="217"/>
      <c r="E4312" s="215">
        <v>2252</v>
      </c>
      <c r="F4312" s="178">
        <v>2017</v>
      </c>
      <c r="G4312" s="188">
        <v>5051000000</v>
      </c>
      <c r="H4312" s="188">
        <v>1089000000</v>
      </c>
      <c r="I4312" s="188">
        <v>869000000</v>
      </c>
      <c r="J4312" s="188">
        <v>720000000</v>
      </c>
      <c r="K4312" s="188">
        <v>1074000000</v>
      </c>
      <c r="L4312" s="188">
        <v>3538000000</v>
      </c>
      <c r="M4312" s="194">
        <f t="shared" si="307"/>
        <v>383.16641010329033</v>
      </c>
      <c r="N4312" s="190">
        <f>J4312/L4312</f>
        <v>0.20350480497456189</v>
      </c>
      <c r="O4312" s="190">
        <f>(I4312*0.7)/(K4312+L4312)</f>
        <v>0.13189505637467477</v>
      </c>
      <c r="P4312" s="188">
        <v>9233586</v>
      </c>
      <c r="Q4312" s="188">
        <f>P4312*E4312</f>
        <v>20794035672</v>
      </c>
      <c r="R4312" s="195">
        <f>Q4312/L4312</f>
        <v>5.8773419084228378</v>
      </c>
      <c r="S4312" s="197">
        <f>(Q4312+K4312)/H4312</f>
        <v>20.080840837465566</v>
      </c>
      <c r="T4312" s="180"/>
      <c r="U4312" s="189">
        <f>IFERROR(IF(Tableau3[[#This Row],[Dettes]]=0,"",(Tableau3[[#This Row],[Dettes]]/Tableau3[[#This Row],[EBE]])),"")</f>
        <v>0.98622589531680438</v>
      </c>
      <c r="V4312" s="190">
        <f>IFERROR(Tableau3[[#This Row],[Fonds propres]]/Tableau3[[#This Row],[Total Bilan]],"")</f>
        <v>0.38124999999999998</v>
      </c>
      <c r="W4312" s="180">
        <v>9280000000</v>
      </c>
      <c r="X4312" s="192"/>
      <c r="Y4312" s="188">
        <v>11170</v>
      </c>
      <c r="Z4312" s="192">
        <f>IFERROR(Tableau3[[#This Row],[Chiffre d''affaires]]/Tableau3[[#This Row],[Salariés]],"")</f>
        <v>452193.37511190691</v>
      </c>
      <c r="AC4312" s="177" t="s">
        <v>572</v>
      </c>
    </row>
    <row r="4313" spans="1:29" ht="20.25" customHeight="1">
      <c r="A4313" s="217"/>
      <c r="G4313" s="188"/>
      <c r="H4313" s="188"/>
      <c r="I4313" s="188"/>
      <c r="J4313" s="188"/>
      <c r="K4313" s="188"/>
      <c r="L4313" s="188"/>
      <c r="M4313" s="178"/>
      <c r="N4313" s="178"/>
      <c r="O4313" s="178"/>
      <c r="P4313" s="188"/>
      <c r="Q4313" s="188"/>
      <c r="R4313" s="178"/>
      <c r="S4313" s="178"/>
      <c r="T4313" s="180"/>
      <c r="U4313" s="189" t="str">
        <f>IFERROR(IF(Tableau3[[#This Row],[Dettes]]=0,"",(Tableau3[[#This Row],[Dettes]]/Tableau3[[#This Row],[EBE]])),"")</f>
        <v/>
      </c>
      <c r="V4313" s="190" t="str">
        <f>IFERROR(Tableau3[[#This Row],[Fonds propres]]/Tableau3[[#This Row],[Total Bilan]],"")</f>
        <v/>
      </c>
      <c r="W4313" s="180"/>
      <c r="X4313" s="192"/>
      <c r="Y4313" s="188"/>
      <c r="Z4313" s="192" t="str">
        <f>IFERROR(Tableau3[[#This Row],[Chiffre d''affaires]]/Tableau3[[#This Row],[Salariés]],"")</f>
        <v/>
      </c>
      <c r="AC4313" s="177" t="s">
        <v>3027</v>
      </c>
    </row>
    <row r="4314" spans="1:29" ht="20.25" customHeight="1">
      <c r="A4314" s="217"/>
      <c r="F4314" s="178">
        <v>2016</v>
      </c>
      <c r="G4314" s="188"/>
      <c r="H4314" s="188"/>
      <c r="I4314" s="188"/>
      <c r="J4314" s="188"/>
      <c r="K4314" s="188"/>
      <c r="L4314" s="188"/>
      <c r="M4314" s="178"/>
      <c r="N4314" s="178"/>
      <c r="O4314" s="178"/>
      <c r="P4314" s="188"/>
      <c r="Q4314" s="188"/>
      <c r="R4314" s="178"/>
      <c r="S4314" s="178"/>
      <c r="T4314" s="180"/>
      <c r="U4314" s="189" t="str">
        <f>IFERROR(IF(Tableau3[[#This Row],[Dettes]]=0,"",(Tableau3[[#This Row],[Dettes]]/Tableau3[[#This Row],[EBE]])),"")</f>
        <v/>
      </c>
      <c r="V4314" s="190" t="str">
        <f>IFERROR(Tableau3[[#This Row],[Fonds propres]]/Tableau3[[#This Row],[Total Bilan]],"")</f>
        <v/>
      </c>
      <c r="W4314" s="180"/>
      <c r="X4314" s="192"/>
      <c r="Y4314" s="180"/>
      <c r="Z4314" s="192" t="str">
        <f>IFERROR(Tableau3[[#This Row],[Chiffre d''affaires]]/Tableau3[[#This Row],[Salariés]],"")</f>
        <v/>
      </c>
      <c r="AC4314" s="177" t="s">
        <v>155</v>
      </c>
    </row>
    <row r="4315" spans="1:29" ht="20.25" customHeight="1">
      <c r="A4315" s="217"/>
      <c r="G4315" s="188"/>
      <c r="H4315" s="188"/>
      <c r="I4315" s="188"/>
      <c r="J4315" s="188"/>
      <c r="K4315" s="188"/>
      <c r="L4315" s="188"/>
      <c r="M4315" s="178"/>
      <c r="N4315" s="178"/>
      <c r="O4315" s="178"/>
      <c r="P4315" s="188"/>
      <c r="Q4315" s="188"/>
      <c r="R4315" s="178"/>
      <c r="S4315" s="178"/>
      <c r="T4315" s="180"/>
      <c r="U4315" s="189" t="str">
        <f>IFERROR(IF(Tableau3[[#This Row],[Dettes]]=0,"",(Tableau3[[#This Row],[Dettes]]/Tableau3[[#This Row],[EBE]])),"")</f>
        <v/>
      </c>
      <c r="V4315" s="190" t="str">
        <f>IFERROR(Tableau3[[#This Row],[Fonds propres]]/Tableau3[[#This Row],[Total Bilan]],"")</f>
        <v/>
      </c>
      <c r="W4315" s="180"/>
      <c r="X4315" s="192"/>
      <c r="Y4315" s="180"/>
      <c r="Z4315" s="192" t="str">
        <f>IFERROR(Tableau3[[#This Row],[Chiffre d''affaires]]/Tableau3[[#This Row],[Salariés]],"")</f>
        <v/>
      </c>
      <c r="AC4315" s="177" t="s">
        <v>3028</v>
      </c>
    </row>
    <row r="4316" spans="1:29" ht="20.25" customHeight="1">
      <c r="A4316" s="217"/>
      <c r="F4316" s="178">
        <v>2015</v>
      </c>
      <c r="G4316" s="188"/>
      <c r="H4316" s="188"/>
      <c r="I4316" s="188"/>
      <c r="J4316" s="188"/>
      <c r="K4316" s="188"/>
      <c r="L4316" s="188"/>
      <c r="M4316" s="178"/>
      <c r="N4316" s="178"/>
      <c r="O4316" s="178"/>
      <c r="P4316" s="188"/>
      <c r="Q4316" s="188"/>
      <c r="R4316" s="178"/>
      <c r="S4316" s="178"/>
      <c r="T4316" s="180"/>
      <c r="U4316" s="189" t="str">
        <f>IFERROR(IF(Tableau3[[#This Row],[Dettes]]=0,"",(Tableau3[[#This Row],[Dettes]]/Tableau3[[#This Row],[EBE]])),"")</f>
        <v/>
      </c>
      <c r="V4316" s="190" t="str">
        <f>IFERROR(Tableau3[[#This Row],[Fonds propres]]/Tableau3[[#This Row],[Total Bilan]],"")</f>
        <v/>
      </c>
      <c r="W4316" s="180"/>
      <c r="X4316" s="192"/>
      <c r="Y4316" s="180"/>
      <c r="Z4316" s="192" t="str">
        <f>IFERROR(Tableau3[[#This Row],[Chiffre d''affaires]]/Tableau3[[#This Row],[Salariés]],"")</f>
        <v/>
      </c>
    </row>
    <row r="4317" spans="1:29" ht="20.25" customHeight="1">
      <c r="A4317" s="217"/>
      <c r="G4317" s="188"/>
      <c r="H4317" s="188"/>
      <c r="I4317" s="188"/>
      <c r="J4317" s="188"/>
      <c r="K4317" s="188"/>
      <c r="L4317" s="188"/>
      <c r="M4317" s="178"/>
      <c r="N4317" s="178"/>
      <c r="O4317" s="178"/>
      <c r="P4317" s="188"/>
      <c r="Q4317" s="188"/>
      <c r="R4317" s="178"/>
      <c r="S4317" s="178"/>
      <c r="T4317" s="180"/>
      <c r="U4317" s="189" t="str">
        <f>IFERROR(IF(Tableau3[[#This Row],[Dettes]]=0,"",(Tableau3[[#This Row],[Dettes]]/Tableau3[[#This Row],[EBE]])),"")</f>
        <v/>
      </c>
      <c r="V4317" s="190" t="str">
        <f>IFERROR(Tableau3[[#This Row],[Fonds propres]]/Tableau3[[#This Row],[Total Bilan]],"")</f>
        <v/>
      </c>
      <c r="W4317" s="180"/>
      <c r="X4317" s="192"/>
      <c r="Y4317" s="180"/>
      <c r="Z4317" s="192" t="str">
        <f>IFERROR(Tableau3[[#This Row],[Chiffre d''affaires]]/Tableau3[[#This Row],[Salariés]],"")</f>
        <v/>
      </c>
    </row>
    <row r="4318" spans="1:29" ht="20.25" customHeight="1">
      <c r="A4318" s="217"/>
      <c r="F4318" s="178">
        <v>2014</v>
      </c>
      <c r="G4318" s="188"/>
      <c r="H4318" s="188"/>
      <c r="I4318" s="188"/>
      <c r="J4318" s="188"/>
      <c r="K4318" s="188"/>
      <c r="L4318" s="188"/>
      <c r="M4318" s="178"/>
      <c r="N4318" s="178"/>
      <c r="O4318" s="178"/>
      <c r="P4318" s="188"/>
      <c r="Q4318" s="188"/>
      <c r="R4318" s="178"/>
      <c r="S4318" s="178"/>
      <c r="T4318" s="180"/>
      <c r="U4318" s="189" t="str">
        <f>IFERROR(IF(Tableau3[[#This Row],[Dettes]]=0,"",(Tableau3[[#This Row],[Dettes]]/Tableau3[[#This Row],[EBE]])),"")</f>
        <v/>
      </c>
      <c r="V4318" s="190" t="str">
        <f>IFERROR(Tableau3[[#This Row],[Fonds propres]]/Tableau3[[#This Row],[Total Bilan]],"")</f>
        <v/>
      </c>
      <c r="W4318" s="180"/>
      <c r="X4318" s="192"/>
      <c r="Y4318" s="180"/>
      <c r="Z4318" s="192" t="str">
        <f>IFERROR(Tableau3[[#This Row],[Chiffre d''affaires]]/Tableau3[[#This Row],[Salariés]],"")</f>
        <v/>
      </c>
    </row>
    <row r="4319" spans="1:29" ht="20.25" customHeight="1">
      <c r="A4319" s="217"/>
      <c r="G4319" s="188"/>
      <c r="H4319" s="188"/>
      <c r="I4319" s="188"/>
      <c r="J4319" s="188"/>
      <c r="K4319" s="188"/>
      <c r="L4319" s="188"/>
      <c r="M4319" s="178"/>
      <c r="N4319" s="178"/>
      <c r="O4319" s="178"/>
      <c r="P4319" s="188"/>
      <c r="Q4319" s="188"/>
      <c r="R4319" s="178"/>
      <c r="S4319" s="178"/>
      <c r="T4319" s="180"/>
      <c r="U4319" s="189" t="str">
        <f>IFERROR(IF(Tableau3[[#This Row],[Dettes]]=0,"",(Tableau3[[#This Row],[Dettes]]/Tableau3[[#This Row],[EBE]])),"")</f>
        <v/>
      </c>
      <c r="V4319" s="190" t="str">
        <f>IFERROR(Tableau3[[#This Row],[Fonds propres]]/Tableau3[[#This Row],[Total Bilan]],"")</f>
        <v/>
      </c>
      <c r="W4319" s="180"/>
      <c r="X4319" s="192"/>
      <c r="Y4319" s="180"/>
      <c r="Z4319" s="192" t="str">
        <f>IFERROR(Tableau3[[#This Row],[Chiffre d''affaires]]/Tableau3[[#This Row],[Salariés]],"")</f>
        <v/>
      </c>
    </row>
    <row r="4320" spans="1:29" ht="20.25" customHeight="1">
      <c r="A4320" s="217"/>
      <c r="F4320" s="178">
        <v>2013</v>
      </c>
      <c r="G4320" s="188"/>
      <c r="H4320" s="188"/>
      <c r="I4320" s="188"/>
      <c r="J4320" s="188"/>
      <c r="K4320" s="188"/>
      <c r="L4320" s="188"/>
      <c r="M4320" s="178"/>
      <c r="N4320" s="178"/>
      <c r="O4320" s="178"/>
      <c r="P4320" s="188"/>
      <c r="Q4320" s="188"/>
      <c r="R4320" s="178"/>
      <c r="S4320" s="178"/>
      <c r="T4320" s="180"/>
      <c r="U4320" s="189" t="str">
        <f>IFERROR(IF(Tableau3[[#This Row],[Dettes]]=0,"",(Tableau3[[#This Row],[Dettes]]/Tableau3[[#This Row],[EBE]])),"")</f>
        <v/>
      </c>
      <c r="V4320" s="190" t="str">
        <f>IFERROR(Tableau3[[#This Row],[Fonds propres]]/Tableau3[[#This Row],[Total Bilan]],"")</f>
        <v/>
      </c>
      <c r="W4320" s="180"/>
      <c r="X4320" s="192"/>
      <c r="Y4320" s="180"/>
      <c r="Z4320" s="192" t="str">
        <f>IFERROR(Tableau3[[#This Row],[Chiffre d''affaires]]/Tableau3[[#This Row],[Salariés]],"")</f>
        <v/>
      </c>
    </row>
    <row r="4321" spans="1:29" ht="20.25" customHeight="1">
      <c r="A4321" s="217"/>
      <c r="G4321" s="188"/>
      <c r="H4321" s="188"/>
      <c r="I4321" s="188"/>
      <c r="J4321" s="188"/>
      <c r="K4321" s="188"/>
      <c r="L4321" s="188"/>
      <c r="M4321" s="188"/>
      <c r="N4321" s="188"/>
      <c r="O4321" s="188"/>
      <c r="P4321" s="188"/>
      <c r="Q4321" s="188"/>
      <c r="R4321" s="188"/>
      <c r="S4321" s="188"/>
      <c r="T4321" s="180"/>
      <c r="U4321" s="189" t="str">
        <f>IFERROR(IF(Tableau3[[#This Row],[Dettes]]=0,"",(Tableau3[[#This Row],[Dettes]]/Tableau3[[#This Row],[EBE]])),"")</f>
        <v/>
      </c>
      <c r="V4321" s="190" t="str">
        <f>IFERROR(Tableau3[[#This Row],[Fonds propres]]/Tableau3[[#This Row],[Total Bilan]],"")</f>
        <v/>
      </c>
      <c r="W4321" s="180"/>
      <c r="X4321" s="192"/>
      <c r="Y4321" s="188"/>
      <c r="Z4321" s="192" t="str">
        <f>IFERROR(Tableau3[[#This Row],[Chiffre d''affaires]]/Tableau3[[#This Row],[Salariés]],"")</f>
        <v/>
      </c>
    </row>
    <row r="4322" spans="1:29" ht="20.25" customHeight="1">
      <c r="A4322" s="217"/>
      <c r="F4322" s="178">
        <v>2012</v>
      </c>
      <c r="G4322" s="188"/>
      <c r="H4322" s="188"/>
      <c r="I4322" s="188"/>
      <c r="J4322" s="188"/>
      <c r="K4322" s="188"/>
      <c r="L4322" s="188"/>
      <c r="M4322" s="188"/>
      <c r="N4322" s="188"/>
      <c r="O4322" s="188"/>
      <c r="P4322" s="188"/>
      <c r="Q4322" s="188"/>
      <c r="R4322" s="188"/>
      <c r="S4322" s="188"/>
      <c r="T4322" s="180"/>
      <c r="U4322" s="189" t="str">
        <f>IFERROR(IF(Tableau3[[#This Row],[Dettes]]=0,"",(Tableau3[[#This Row],[Dettes]]/Tableau3[[#This Row],[EBE]])),"")</f>
        <v/>
      </c>
      <c r="V4322" s="190" t="str">
        <f>IFERROR(Tableau3[[#This Row],[Fonds propres]]/Tableau3[[#This Row],[Total Bilan]],"")</f>
        <v/>
      </c>
      <c r="W4322" s="180"/>
      <c r="X4322" s="192"/>
      <c r="Y4322" s="188"/>
      <c r="Z4322" s="192" t="str">
        <f>IFERROR(Tableau3[[#This Row],[Chiffre d''affaires]]/Tableau3[[#This Row],[Salariés]],"")</f>
        <v/>
      </c>
    </row>
    <row r="4323" spans="1:29" ht="20.25" customHeight="1">
      <c r="A4323" s="217"/>
      <c r="G4323" s="188"/>
      <c r="H4323" s="188"/>
      <c r="I4323" s="188"/>
      <c r="J4323" s="188"/>
      <c r="K4323" s="188"/>
      <c r="L4323" s="188"/>
      <c r="M4323" s="188"/>
      <c r="N4323" s="188"/>
      <c r="O4323" s="188"/>
      <c r="P4323" s="188"/>
      <c r="Q4323" s="188"/>
      <c r="R4323" s="188"/>
      <c r="S4323" s="188"/>
      <c r="T4323" s="180"/>
      <c r="U4323" s="189" t="str">
        <f>IFERROR(IF(Tableau3[[#This Row],[Dettes]]=0,"",(Tableau3[[#This Row],[Dettes]]/Tableau3[[#This Row],[EBE]])),"")</f>
        <v/>
      </c>
      <c r="V4323" s="190" t="str">
        <f>IFERROR(Tableau3[[#This Row],[Fonds propres]]/Tableau3[[#This Row],[Total Bilan]],"")</f>
        <v/>
      </c>
      <c r="W4323" s="180"/>
      <c r="X4323" s="192"/>
      <c r="Y4323" s="188"/>
      <c r="Z4323" s="192" t="str">
        <f>IFERROR(Tableau3[[#This Row],[Chiffre d''affaires]]/Tableau3[[#This Row],[Salariés]],"")</f>
        <v/>
      </c>
    </row>
    <row r="4324" spans="1:29" ht="20.25" customHeight="1">
      <c r="A4324" s="217"/>
      <c r="F4324" s="178">
        <v>2011</v>
      </c>
      <c r="G4324" s="188"/>
      <c r="H4324" s="188"/>
      <c r="I4324" s="188"/>
      <c r="J4324" s="188"/>
      <c r="K4324" s="188"/>
      <c r="L4324" s="188"/>
      <c r="M4324" s="188"/>
      <c r="N4324" s="188"/>
      <c r="O4324" s="188"/>
      <c r="P4324" s="188"/>
      <c r="Q4324" s="188"/>
      <c r="R4324" s="188"/>
      <c r="S4324" s="188"/>
      <c r="T4324" s="180"/>
      <c r="U4324" s="189" t="str">
        <f>IFERROR(IF(Tableau3[[#This Row],[Dettes]]=0,"",(Tableau3[[#This Row],[Dettes]]/Tableau3[[#This Row],[EBE]])),"")</f>
        <v/>
      </c>
      <c r="V4324" s="190" t="str">
        <f>IFERROR(Tableau3[[#This Row],[Fonds propres]]/Tableau3[[#This Row],[Total Bilan]],"")</f>
        <v/>
      </c>
      <c r="W4324" s="180"/>
      <c r="X4324" s="192"/>
      <c r="Y4324" s="188"/>
      <c r="Z4324" s="192" t="str">
        <f>IFERROR(Tableau3[[#This Row],[Chiffre d''affaires]]/Tableau3[[#This Row],[Salariés]],"")</f>
        <v/>
      </c>
    </row>
    <row r="4325" spans="1:29" ht="20.25" customHeight="1">
      <c r="A4325" s="217"/>
      <c r="G4325" s="188"/>
      <c r="H4325" s="188"/>
      <c r="I4325" s="188"/>
      <c r="J4325" s="188"/>
      <c r="K4325" s="188"/>
      <c r="L4325" s="188"/>
      <c r="M4325" s="188"/>
      <c r="N4325" s="188"/>
      <c r="O4325" s="188"/>
      <c r="P4325" s="188"/>
      <c r="Q4325" s="188"/>
      <c r="R4325" s="188"/>
      <c r="S4325" s="188"/>
      <c r="T4325" s="180"/>
      <c r="U4325" s="189" t="str">
        <f>IFERROR(IF(Tableau3[[#This Row],[Dettes]]=0,"",(Tableau3[[#This Row],[Dettes]]/Tableau3[[#This Row],[EBE]])),"")</f>
        <v/>
      </c>
      <c r="V4325" s="190" t="str">
        <f>IFERROR(Tableau3[[#This Row],[Fonds propres]]/Tableau3[[#This Row],[Total Bilan]],"")</f>
        <v/>
      </c>
      <c r="W4325" s="180"/>
      <c r="X4325" s="192"/>
      <c r="Y4325" s="188"/>
      <c r="Z4325" s="192" t="str">
        <f>IFERROR(Tableau3[[#This Row],[Chiffre d''affaires]]/Tableau3[[#This Row],[Salariés]],"")</f>
        <v/>
      </c>
    </row>
    <row r="4326" spans="1:29" ht="20.25" customHeight="1">
      <c r="A4326" s="217"/>
      <c r="G4326" s="188"/>
      <c r="H4326" s="188"/>
      <c r="I4326" s="188"/>
      <c r="J4326" s="188"/>
      <c r="K4326" s="188"/>
      <c r="L4326" s="188"/>
      <c r="M4326" s="188"/>
      <c r="N4326" s="188"/>
      <c r="O4326" s="188"/>
      <c r="P4326" s="188"/>
      <c r="Q4326" s="188"/>
      <c r="R4326" s="188"/>
      <c r="S4326" s="188"/>
      <c r="T4326" s="180"/>
      <c r="U4326" s="189" t="str">
        <f>IFERROR(IF(Tableau3[[#This Row],[Dettes]]=0,"",(Tableau3[[#This Row],[Dettes]]/Tableau3[[#This Row],[EBE]])),"")</f>
        <v/>
      </c>
      <c r="V4326" s="190" t="str">
        <f>IFERROR(Tableau3[[#This Row],[Fonds propres]]/Tableau3[[#This Row],[Total Bilan]],"")</f>
        <v/>
      </c>
      <c r="W4326" s="180"/>
      <c r="X4326" s="192"/>
      <c r="Y4326" s="188"/>
      <c r="Z4326" s="192" t="str">
        <f>IFERROR(Tableau3[[#This Row],[Chiffre d''affaires]]/Tableau3[[#This Row],[Salariés]],"")</f>
        <v/>
      </c>
    </row>
    <row r="4327" spans="1:29" ht="20.25" customHeight="1">
      <c r="A4327" s="217"/>
      <c r="G4327" s="188"/>
      <c r="H4327" s="188"/>
      <c r="I4327" s="188"/>
      <c r="J4327" s="188"/>
      <c r="K4327" s="188"/>
      <c r="L4327" s="188"/>
      <c r="M4327" s="188"/>
      <c r="N4327" s="188"/>
      <c r="O4327" s="188"/>
      <c r="P4327" s="188"/>
      <c r="Q4327" s="188"/>
      <c r="R4327" s="188"/>
      <c r="S4327" s="188"/>
      <c r="T4327" s="180"/>
      <c r="U4327" s="189" t="str">
        <f>IFERROR(IF(Tableau3[[#This Row],[Dettes]]=0,"",(Tableau3[[#This Row],[Dettes]]/Tableau3[[#This Row],[EBE]])),"")</f>
        <v/>
      </c>
      <c r="V4327" s="190" t="str">
        <f>IFERROR(Tableau3[[#This Row],[Fonds propres]]/Tableau3[[#This Row],[Total Bilan]],"")</f>
        <v/>
      </c>
      <c r="W4327" s="180"/>
      <c r="X4327" s="192"/>
      <c r="Y4327" s="188"/>
      <c r="Z4327" s="192" t="str">
        <f>IFERROR(Tableau3[[#This Row],[Chiffre d''affaires]]/Tableau3[[#This Row],[Salariés]],"")</f>
        <v/>
      </c>
    </row>
    <row r="4328" spans="1:29" ht="20.25" customHeight="1">
      <c r="A4328" s="217" t="s">
        <v>3029</v>
      </c>
      <c r="B4328" s="216" t="s">
        <v>3030</v>
      </c>
      <c r="C4328" s="178" t="s">
        <v>84</v>
      </c>
      <c r="F4328" s="178">
        <v>2025</v>
      </c>
      <c r="G4328" s="188"/>
      <c r="H4328" s="188"/>
      <c r="I4328" s="188"/>
      <c r="J4328" s="188"/>
      <c r="K4328" s="188"/>
      <c r="L4328" s="188"/>
      <c r="M4328" s="188"/>
      <c r="N4328" s="188"/>
      <c r="O4328" s="188"/>
      <c r="P4328" s="188"/>
      <c r="Q4328" s="188"/>
      <c r="R4328" s="188"/>
      <c r="S4328" s="188"/>
      <c r="T4328" s="180"/>
      <c r="U4328" s="189" t="str">
        <f>IFERROR(IF(Tableau3[[#This Row],[Dettes]]=0,"",(Tableau3[[#This Row],[Dettes]]/Tableau3[[#This Row],[EBE]])),"")</f>
        <v/>
      </c>
      <c r="V4328" s="190" t="str">
        <f>IFERROR(Tableau3[[#This Row],[Fonds propres]]/Tableau3[[#This Row],[Total Bilan]],"")</f>
        <v/>
      </c>
      <c r="W4328" s="180"/>
      <c r="X4328" s="192"/>
      <c r="Y4328" s="180"/>
      <c r="Z4328" s="192" t="str">
        <f>IFERROR(Tableau3[[#This Row],[Chiffre d''affaires]]/Tableau3[[#This Row],[Salariés]],"")</f>
        <v/>
      </c>
      <c r="AC4328" s="6" t="s">
        <v>3031</v>
      </c>
    </row>
    <row r="4329" spans="1:29" ht="20.25" customHeight="1">
      <c r="A4329" s="217"/>
      <c r="G4329" s="188"/>
      <c r="H4329" s="188"/>
      <c r="I4329" s="188"/>
      <c r="J4329" s="188"/>
      <c r="K4329" s="188"/>
      <c r="L4329" s="188"/>
      <c r="M4329" s="188"/>
      <c r="N4329" s="188"/>
      <c r="O4329" s="188"/>
      <c r="P4329" s="188"/>
      <c r="Q4329" s="188"/>
      <c r="R4329" s="188"/>
      <c r="S4329" s="188"/>
      <c r="T4329" s="180"/>
      <c r="U4329" s="189" t="str">
        <f>IFERROR(IF(Tableau3[[#This Row],[Dettes]]=0,"",(Tableau3[[#This Row],[Dettes]]/Tableau3[[#This Row],[EBE]])),"")</f>
        <v/>
      </c>
      <c r="V4329" s="190" t="str">
        <f>IFERROR(Tableau3[[#This Row],[Fonds propres]]/Tableau3[[#This Row],[Total Bilan]],"")</f>
        <v/>
      </c>
      <c r="W4329" s="180"/>
      <c r="X4329" s="192"/>
      <c r="Y4329" s="180"/>
      <c r="Z4329" s="192" t="str">
        <f>IFERROR(Tableau3[[#This Row],[Chiffre d''affaires]]/Tableau3[[#This Row],[Salariés]],"")</f>
        <v/>
      </c>
      <c r="AC4329" s="6" t="s">
        <v>5194</v>
      </c>
    </row>
    <row r="4330" spans="1:29" ht="20.25" customHeight="1">
      <c r="A4330" s="217"/>
      <c r="E4330" s="187">
        <v>848</v>
      </c>
      <c r="F4330" s="178">
        <v>2024</v>
      </c>
      <c r="G4330" s="188">
        <v>807609000</v>
      </c>
      <c r="H4330" s="188">
        <f>Tableau3[[#This Row],[Chiffre d''affaires]]*0.2</f>
        <v>161521800</v>
      </c>
      <c r="I4330" s="188">
        <f>Tableau3[[#This Row],[Chiffre d''affaires]]*0.17</f>
        <v>137293530</v>
      </c>
      <c r="J4330" s="188">
        <v>92000000</v>
      </c>
      <c r="K4330" s="188">
        <v>140000000</v>
      </c>
      <c r="L4330" s="188">
        <v>550000000</v>
      </c>
      <c r="M4330" s="194">
        <f>L4330/P4330</f>
        <v>263.15789473684208</v>
      </c>
      <c r="N4330" s="190">
        <f>J4330/L4332</f>
        <v>0.19763355302164518</v>
      </c>
      <c r="O4330" s="190">
        <f>(I4330*0.75)/(K4332+L4332)</f>
        <v>0.1664710159454334</v>
      </c>
      <c r="P4330" s="188">
        <v>2090000</v>
      </c>
      <c r="Q4330" s="188">
        <f>P4330*E4330</f>
        <v>1772320000</v>
      </c>
      <c r="R4330" s="195">
        <f>Q4330/L4330</f>
        <v>3.2223999999999999</v>
      </c>
      <c r="S4330" s="197">
        <f>(Q4330+K4330)/H4330</f>
        <v>11.839392577348692</v>
      </c>
      <c r="T4330" s="180"/>
      <c r="U4330" s="189">
        <f>IFERROR(IF(Tableau3[[#This Row],[Dettes]]=0,"",(Tableau3[[#This Row],[Dettes]]/Tableau3[[#This Row],[EBE]])),"")</f>
        <v>0.86675606636379732</v>
      </c>
      <c r="V4330" s="190" t="str">
        <f>IFERROR(Tableau3[[#This Row],[Fonds propres]]/Tableau3[[#This Row],[Total Bilan]],"")</f>
        <v/>
      </c>
      <c r="W4330" s="180"/>
      <c r="X4330" s="192"/>
      <c r="Y4330" s="180"/>
      <c r="Z4330" s="192" t="str">
        <f>IFERROR(Tableau3[[#This Row],[Chiffre d''affaires]]/Tableau3[[#This Row],[Salariés]],"")</f>
        <v/>
      </c>
      <c r="AC4330" s="6" t="s">
        <v>4818</v>
      </c>
    </row>
    <row r="4331" spans="1:29" ht="20.25" customHeight="1">
      <c r="A4331" s="217"/>
      <c r="G4331" s="202">
        <f>(G4330/G4332)-1</f>
        <v>0.11992306508266903</v>
      </c>
      <c r="H4331" s="202">
        <f>(H4330/H4332)-1</f>
        <v>0.21536343115124157</v>
      </c>
      <c r="I4331" s="202">
        <f>(I4330/I4332)-1</f>
        <v>0.22817080698113368</v>
      </c>
      <c r="J4331" s="202">
        <f>(J4330/J4332)-1</f>
        <v>0.2332770315558057</v>
      </c>
      <c r="K4331" s="188"/>
      <c r="L4331" s="188"/>
      <c r="M4331" s="188"/>
      <c r="N4331" s="188"/>
      <c r="O4331" s="188"/>
      <c r="P4331" s="188"/>
      <c r="Q4331" s="188"/>
      <c r="R4331" s="188"/>
      <c r="S4331" s="188"/>
      <c r="T4331" s="180"/>
      <c r="U4331" s="189" t="str">
        <f>IFERROR(IF(Tableau3[[#This Row],[Dettes]]=0,"",(Tableau3[[#This Row],[Dettes]]/Tableau3[[#This Row],[EBE]])),"")</f>
        <v/>
      </c>
      <c r="V4331" s="190" t="str">
        <f>IFERROR(Tableau3[[#This Row],[Fonds propres]]/Tableau3[[#This Row],[Total Bilan]],"")</f>
        <v/>
      </c>
      <c r="W4331" s="180"/>
      <c r="X4331" s="192"/>
      <c r="Y4331" s="180"/>
      <c r="Z4331" s="192" t="str">
        <f>IFERROR(Tableau3[[#This Row],[Chiffre d''affaires]]/Tableau3[[#This Row],[Salariés]],"")</f>
        <v/>
      </c>
      <c r="AC4331" s="6" t="s">
        <v>3032</v>
      </c>
    </row>
    <row r="4332" spans="1:29" ht="20.25" customHeight="1">
      <c r="A4332" s="217"/>
      <c r="E4332" s="187">
        <v>830</v>
      </c>
      <c r="F4332" s="178">
        <v>2023</v>
      </c>
      <c r="G4332" s="188">
        <v>721129000</v>
      </c>
      <c r="H4332" s="188">
        <v>132900000</v>
      </c>
      <c r="I4332" s="188">
        <v>111787000</v>
      </c>
      <c r="J4332" s="188">
        <v>74598000</v>
      </c>
      <c r="K4332" s="188">
        <v>153039000</v>
      </c>
      <c r="L4332" s="188">
        <v>465508000</v>
      </c>
      <c r="M4332" s="194">
        <f>L4332/P4332</f>
        <v>222.7311004784689</v>
      </c>
      <c r="N4332" s="190">
        <f>J4332/L4334</f>
        <v>0.1797585483987566</v>
      </c>
      <c r="O4332" s="190">
        <f>(I4332*0.75)/(K4334+L4334)</f>
        <v>0.14336469996785248</v>
      </c>
      <c r="P4332" s="188">
        <v>2090000</v>
      </c>
      <c r="Q4332" s="188">
        <f>P4332*E4332</f>
        <v>1734700000</v>
      </c>
      <c r="R4332" s="195">
        <f>Q4332/L4332</f>
        <v>3.726466569854868</v>
      </c>
      <c r="S4332" s="197">
        <f>(Q4332+K4332)/H4332</f>
        <v>14.204206170052672</v>
      </c>
      <c r="T4332" s="180">
        <v>20605000</v>
      </c>
      <c r="U4332" s="189">
        <f>IFERROR(IF(Tableau3[[#This Row],[Dettes]]=0,"",(Tableau3[[#This Row],[Dettes]]/Tableau3[[#This Row],[EBE]])),"")</f>
        <v>1.1515349887133184</v>
      </c>
      <c r="V4332" s="190">
        <f>IFERROR(Tableau3[[#This Row],[Fonds propres]]/Tableau3[[#This Row],[Total Bilan]],"")</f>
        <v>0.50209571473256176</v>
      </c>
      <c r="W4332" s="180">
        <v>927130000</v>
      </c>
      <c r="X4332" s="192"/>
      <c r="Y4332" s="180">
        <v>2358</v>
      </c>
      <c r="Z4332" s="192">
        <f>IFERROR(Tableau3[[#This Row],[Chiffre d''affaires]]/Tableau3[[#This Row],[Salariés]],"")</f>
        <v>305822.3070398643</v>
      </c>
      <c r="AC4332" s="6" t="s">
        <v>4446</v>
      </c>
    </row>
    <row r="4333" spans="1:29" ht="20.25" customHeight="1">
      <c r="A4333" s="217"/>
      <c r="E4333" s="187"/>
      <c r="G4333" s="202">
        <f>(G4332/G4334)-1</f>
        <v>2.5734065205671897E-2</v>
      </c>
      <c r="H4333" s="202">
        <f>(H4332/H4334)-1</f>
        <v>5.1424050632911333E-2</v>
      </c>
      <c r="I4333" s="202">
        <f>(I4332/I4334)-1</f>
        <v>-3.1389614674645072E-3</v>
      </c>
      <c r="J4333" s="202">
        <f>(J4332/J4334)-1</f>
        <v>-1.8705603788476743E-2</v>
      </c>
      <c r="K4333" s="188"/>
      <c r="L4333" s="188"/>
      <c r="M4333" s="178"/>
      <c r="N4333" s="178"/>
      <c r="O4333" s="178"/>
      <c r="P4333" s="188"/>
      <c r="Q4333" s="188"/>
      <c r="R4333" s="178"/>
      <c r="S4333" s="178"/>
      <c r="T4333" s="180"/>
      <c r="U4333" s="189" t="str">
        <f>IFERROR(IF(Tableau3[[#This Row],[Dettes]]=0,"",(Tableau3[[#This Row],[Dettes]]/Tableau3[[#This Row],[EBE]])),"")</f>
        <v/>
      </c>
      <c r="V4333" s="190" t="str">
        <f>IFERROR(Tableau3[[#This Row],[Fonds propres]]/Tableau3[[#This Row],[Total Bilan]],"")</f>
        <v/>
      </c>
      <c r="W4333" s="180"/>
      <c r="X4333" s="192"/>
      <c r="Y4333" s="180"/>
      <c r="Z4333" s="192" t="str">
        <f>IFERROR(Tableau3[[#This Row],[Chiffre d''affaires]]/Tableau3[[#This Row],[Salariés]],"")</f>
        <v/>
      </c>
      <c r="AC4333" s="6" t="s">
        <v>3033</v>
      </c>
    </row>
    <row r="4334" spans="1:29" ht="20.25" customHeight="1">
      <c r="A4334" s="217"/>
      <c r="E4334" s="187">
        <v>837</v>
      </c>
      <c r="F4334" s="178">
        <v>2022</v>
      </c>
      <c r="G4334" s="188">
        <v>703037000</v>
      </c>
      <c r="H4334" s="188">
        <v>126400000</v>
      </c>
      <c r="I4334" s="188">
        <v>112139000</v>
      </c>
      <c r="J4334" s="188">
        <v>76020000</v>
      </c>
      <c r="K4334" s="188">
        <v>169814000</v>
      </c>
      <c r="L4334" s="188">
        <v>414990000</v>
      </c>
      <c r="M4334" s="194">
        <f>L4334/P4334</f>
        <v>198.55980861244018</v>
      </c>
      <c r="N4334" s="190">
        <f>J4334/L4336</f>
        <v>0.13930731170973062</v>
      </c>
      <c r="O4334" s="190">
        <f>(I4334*0.75)/(K4336+L4336)</f>
        <v>0.17954880235685922</v>
      </c>
      <c r="P4334" s="188">
        <v>2090000</v>
      </c>
      <c r="Q4334" s="188">
        <f>P4334*E4334</f>
        <v>1749330000</v>
      </c>
      <c r="R4334" s="195">
        <f>Q4334/L4334</f>
        <v>4.2153545868575151</v>
      </c>
      <c r="S4334" s="197">
        <f>(Q4334+K4334)/H4334</f>
        <v>15.183101265822785</v>
      </c>
      <c r="T4334" s="180">
        <v>-20494000</v>
      </c>
      <c r="U4334" s="189">
        <f>IFERROR(IF(Tableau3[[#This Row],[Dettes]]=0,"",(Tableau3[[#This Row],[Dettes]]/Tableau3[[#This Row],[EBE]])),"")</f>
        <v>1.3434651898734178</v>
      </c>
      <c r="V4334" s="190">
        <f>IFERROR(Tableau3[[#This Row],[Fonds propres]]/Tableau3[[#This Row],[Total Bilan]],"")</f>
        <v>0.48982901604553275</v>
      </c>
      <c r="W4334" s="180">
        <v>847214000</v>
      </c>
      <c r="X4334" s="192"/>
      <c r="Y4334" s="180">
        <v>2223</v>
      </c>
      <c r="Z4334" s="192">
        <f>IFERROR(Tableau3[[#This Row],[Chiffre d''affaires]]/Tableau3[[#This Row],[Salariés]],"")</f>
        <v>316255.96041385515</v>
      </c>
      <c r="AC4334" s="10" t="s">
        <v>3034</v>
      </c>
    </row>
    <row r="4335" spans="1:29" ht="20.25" customHeight="1">
      <c r="A4335" s="217"/>
      <c r="E4335" s="187"/>
      <c r="G4335" s="202">
        <f>(G4334/G4336)-1</f>
        <v>0.15993565418247813</v>
      </c>
      <c r="H4335" s="202">
        <f>(H4334/H4336)-1</f>
        <v>8.7779690189328852E-2</v>
      </c>
      <c r="I4335" s="202">
        <f>(I4334/I4336)-1</f>
        <v>0.18414994720168965</v>
      </c>
      <c r="J4335" s="202">
        <f>(J4334/J4336)-1</f>
        <v>5.8774373259052881E-2</v>
      </c>
      <c r="K4335" s="188"/>
      <c r="L4335" s="188"/>
      <c r="M4335" s="178"/>
      <c r="N4335" s="178"/>
      <c r="O4335" s="178"/>
      <c r="P4335" s="188"/>
      <c r="Q4335" s="188"/>
      <c r="R4335" s="178"/>
      <c r="S4335" s="178"/>
      <c r="T4335" s="180"/>
      <c r="U4335" s="189" t="str">
        <f>IFERROR(IF(Tableau3[[#This Row],[Dettes]]=0,"",(Tableau3[[#This Row],[Dettes]]/Tableau3[[#This Row],[EBE]])),"")</f>
        <v/>
      </c>
      <c r="V4335" s="190" t="str">
        <f>IFERROR(Tableau3[[#This Row],[Fonds propres]]/Tableau3[[#This Row],[Total Bilan]],"")</f>
        <v/>
      </c>
      <c r="W4335" s="180"/>
      <c r="X4335" s="192"/>
      <c r="Y4335" s="180"/>
      <c r="Z4335" s="192" t="str">
        <f>IFERROR(Tableau3[[#This Row],[Chiffre d''affaires]]/Tableau3[[#This Row],[Salariés]],"")</f>
        <v/>
      </c>
      <c r="AC4335" s="6" t="s">
        <v>4494</v>
      </c>
    </row>
    <row r="4336" spans="1:29" ht="20.25" customHeight="1">
      <c r="A4336" s="217"/>
      <c r="E4336" s="187">
        <v>975</v>
      </c>
      <c r="F4336" s="178">
        <v>2021</v>
      </c>
      <c r="G4336" s="188">
        <v>606100000</v>
      </c>
      <c r="H4336" s="188">
        <v>116200000</v>
      </c>
      <c r="I4336" s="188">
        <v>94700000</v>
      </c>
      <c r="J4336" s="188">
        <v>71800000</v>
      </c>
      <c r="K4336" s="188">
        <v>-77280000</v>
      </c>
      <c r="L4336" s="188">
        <v>545700000</v>
      </c>
      <c r="M4336" s="194">
        <f>L4336/P4336</f>
        <v>251.03147392782603</v>
      </c>
      <c r="N4336" s="190">
        <f>J4336/L4338</f>
        <v>0.15074532857442788</v>
      </c>
      <c r="O4336" s="190">
        <f>(I4336*0.75)/(K4338+L4338)</f>
        <v>0.1720900368288428</v>
      </c>
      <c r="P4336" s="188">
        <v>2173831</v>
      </c>
      <c r="Q4336" s="188">
        <f>P4336*E4336</f>
        <v>2119485225</v>
      </c>
      <c r="R4336" s="195">
        <f>Q4336/L4336</f>
        <v>3.8839751236943374</v>
      </c>
      <c r="S4336" s="197">
        <f>(Q4336+K4336)/H4336</f>
        <v>17.574915877796901</v>
      </c>
      <c r="T4336" s="180"/>
      <c r="U4336" s="189">
        <f>IFERROR(IF(Tableau3[[#This Row],[Dettes]]=0,"",(Tableau3[[#This Row],[Dettes]]/Tableau3[[#This Row],[EBE]])),"")</f>
        <v>-0.66506024096385541</v>
      </c>
      <c r="V4336" s="190">
        <f>IFERROR(Tableau3[[#This Row],[Fonds propres]]/Tableau3[[#This Row],[Total Bilan]],"")</f>
        <v>0.69666794331673687</v>
      </c>
      <c r="W4336" s="180">
        <v>783300000</v>
      </c>
      <c r="X4336" s="192"/>
      <c r="Y4336" s="180">
        <v>2123</v>
      </c>
      <c r="Z4336" s="192">
        <f>IFERROR(Tableau3[[#This Row],[Chiffre d''affaires]]/Tableau3[[#This Row],[Salariés]],"")</f>
        <v>285492.22797927458</v>
      </c>
      <c r="AC4336" s="6" t="s">
        <v>3036</v>
      </c>
    </row>
    <row r="4337" spans="1:29" ht="20.25" customHeight="1">
      <c r="A4337" s="217"/>
      <c r="E4337" s="187"/>
      <c r="G4337" s="202">
        <f>(G4336/G4338)-1</f>
        <v>0.12595207133568631</v>
      </c>
      <c r="H4337" s="202">
        <f>(H4336/H4338)-1</f>
        <v>0.29832402234636879</v>
      </c>
      <c r="I4337" s="202">
        <f>(I4336/I4338)-1</f>
        <v>0.38653001464128844</v>
      </c>
      <c r="J4337" s="202">
        <f>(J4336/J4338)-1</f>
        <v>0.4189723320158103</v>
      </c>
      <c r="K4337" s="188"/>
      <c r="L4337" s="188"/>
      <c r="M4337" s="178"/>
      <c r="N4337" s="178"/>
      <c r="O4337" s="178"/>
      <c r="P4337" s="188"/>
      <c r="Q4337" s="188"/>
      <c r="R4337" s="178"/>
      <c r="S4337" s="178"/>
      <c r="T4337" s="180"/>
      <c r="U4337" s="189" t="str">
        <f>IFERROR(IF(Tableau3[[#This Row],[Dettes]]=0,"",(Tableau3[[#This Row],[Dettes]]/Tableau3[[#This Row],[EBE]])),"")</f>
        <v/>
      </c>
      <c r="V4337" s="190" t="str">
        <f>IFERROR(Tableau3[[#This Row],[Fonds propres]]/Tableau3[[#This Row],[Total Bilan]],"")</f>
        <v/>
      </c>
      <c r="W4337" s="180"/>
      <c r="X4337" s="192"/>
      <c r="Y4337" s="180"/>
      <c r="Z4337" s="192" t="str">
        <f>IFERROR(Tableau3[[#This Row],[Chiffre d''affaires]]/Tableau3[[#This Row],[Salariés]],"")</f>
        <v/>
      </c>
      <c r="AC4337" s="6" t="s">
        <v>4785</v>
      </c>
    </row>
    <row r="4338" spans="1:29" ht="20.25" customHeight="1">
      <c r="A4338" s="217"/>
      <c r="E4338" s="187">
        <v>905</v>
      </c>
      <c r="F4338" s="178">
        <v>2020</v>
      </c>
      <c r="G4338" s="188">
        <v>538300000</v>
      </c>
      <c r="H4338" s="188">
        <v>89500000</v>
      </c>
      <c r="I4338" s="188">
        <v>68300000</v>
      </c>
      <c r="J4338" s="188">
        <v>50600000</v>
      </c>
      <c r="K4338" s="188">
        <v>-63580000</v>
      </c>
      <c r="L4338" s="188">
        <v>476300000</v>
      </c>
      <c r="M4338" s="194">
        <f>L4338/P4338</f>
        <v>219.2357633689858</v>
      </c>
      <c r="N4338" s="190">
        <f>J4338/L4340</f>
        <v>0.1109405832054374</v>
      </c>
      <c r="O4338" s="190">
        <f>(I4338*0.75)/(K4340+L4340)</f>
        <v>0.1150477259966311</v>
      </c>
      <c r="P4338" s="188">
        <v>2172547</v>
      </c>
      <c r="Q4338" s="188">
        <f>P4338*E4338</f>
        <v>1966155035</v>
      </c>
      <c r="R4338" s="195">
        <f>Q4338/L4338</f>
        <v>4.127976138988033</v>
      </c>
      <c r="S4338" s="197">
        <f>(Q4338+K4338)/H4338</f>
        <v>21.257821620111731</v>
      </c>
      <c r="T4338" s="180"/>
      <c r="U4338" s="189">
        <f>IFERROR(IF(Tableau3[[#This Row],[Dettes]]=0,"",(Tableau3[[#This Row],[Dettes]]/Tableau3[[#This Row],[EBE]])),"")</f>
        <v>-0.71039106145251396</v>
      </c>
      <c r="V4338" s="190">
        <f>IFERROR(Tableau3[[#This Row],[Fonds propres]]/Tableau3[[#This Row],[Total Bilan]],"")</f>
        <v>0.71121397640734663</v>
      </c>
      <c r="W4338" s="180">
        <v>669700000</v>
      </c>
      <c r="X4338" s="192"/>
      <c r="Y4338" s="180">
        <v>1992</v>
      </c>
      <c r="Z4338" s="192">
        <f>IFERROR(Tableau3[[#This Row],[Chiffre d''affaires]]/Tableau3[[#This Row],[Salariés]],"")</f>
        <v>270230.92369477911</v>
      </c>
      <c r="AC4338" s="6" t="s">
        <v>3037</v>
      </c>
    </row>
    <row r="4339" spans="1:29" ht="20.25" customHeight="1">
      <c r="A4339" s="217"/>
      <c r="E4339" s="187"/>
      <c r="G4339" s="202">
        <f>(G4338/G4340)-1</f>
        <v>-2.886523543207653E-2</v>
      </c>
      <c r="H4339" s="202">
        <f>(H4338/H4340)-1</f>
        <v>-5.590717299578063E-2</v>
      </c>
      <c r="I4339" s="202">
        <f>(I4338/I4340)-1</f>
        <v>-8.4450402144772063E-2</v>
      </c>
      <c r="J4339" s="202">
        <f>(J4338/J4340)-1</f>
        <v>-4.5283018867924518E-2</v>
      </c>
      <c r="K4339" s="188"/>
      <c r="L4339" s="188"/>
      <c r="M4339" s="178"/>
      <c r="N4339" s="178"/>
      <c r="O4339" s="178"/>
      <c r="P4339" s="188"/>
      <c r="Q4339" s="188"/>
      <c r="R4339" s="178"/>
      <c r="S4339" s="178"/>
      <c r="T4339" s="180"/>
      <c r="U4339" s="189" t="str">
        <f>IFERROR(IF(Tableau3[[#This Row],[Dettes]]=0,"",(Tableau3[[#This Row],[Dettes]]/Tableau3[[#This Row],[EBE]])),"")</f>
        <v/>
      </c>
      <c r="V4339" s="190" t="str">
        <f>IFERROR(Tableau3[[#This Row],[Fonds propres]]/Tableau3[[#This Row],[Total Bilan]],"")</f>
        <v/>
      </c>
      <c r="W4339" s="180"/>
      <c r="X4339" s="192"/>
      <c r="Y4339" s="180"/>
      <c r="Z4339" s="192" t="str">
        <f>IFERROR(Tableau3[[#This Row],[Chiffre d''affaires]]/Tableau3[[#This Row],[Salariés]],"")</f>
        <v/>
      </c>
      <c r="AC4339" s="6" t="s">
        <v>3038</v>
      </c>
    </row>
    <row r="4340" spans="1:29" ht="20.25" customHeight="1">
      <c r="A4340" s="217"/>
      <c r="E4340" s="187">
        <v>923</v>
      </c>
      <c r="F4340" s="178">
        <v>2019</v>
      </c>
      <c r="G4340" s="188">
        <v>554300000</v>
      </c>
      <c r="H4340" s="188">
        <v>94800000</v>
      </c>
      <c r="I4340" s="188">
        <v>74600000</v>
      </c>
      <c r="J4340" s="188">
        <v>53000000</v>
      </c>
      <c r="K4340" s="188">
        <v>-10850000</v>
      </c>
      <c r="L4340" s="188">
        <v>456100000</v>
      </c>
      <c r="M4340" s="194">
        <f>L4340/P4340</f>
        <v>210.16041031274321</v>
      </c>
      <c r="N4340" s="190">
        <f>J4340/L4342</f>
        <v>0.12933138116154222</v>
      </c>
      <c r="O4340" s="190">
        <f>(I4340*0.75)/(K4342+L4342)</f>
        <v>0.13466028063250621</v>
      </c>
      <c r="P4340" s="188">
        <v>2170247</v>
      </c>
      <c r="Q4340" s="188">
        <f>P4340*E4340</f>
        <v>2003137981</v>
      </c>
      <c r="R4340" s="195">
        <f>Q4340/L4340</f>
        <v>4.3918833172549876</v>
      </c>
      <c r="S4340" s="197">
        <f>(Q4340+K4340)/H4340</f>
        <v>21.015696002109706</v>
      </c>
      <c r="T4340" s="180"/>
      <c r="U4340" s="189">
        <f>IFERROR(IF(Tableau3[[#This Row],[Dettes]]=0,"",(Tableau3[[#This Row],[Dettes]]/Tableau3[[#This Row],[EBE]])),"")</f>
        <v>-0.11445147679324895</v>
      </c>
      <c r="V4340" s="190">
        <f>IFERROR(Tableau3[[#This Row],[Fonds propres]]/Tableau3[[#This Row],[Total Bilan]],"")</f>
        <v>0.69442752740560287</v>
      </c>
      <c r="W4340" s="180">
        <v>656800000</v>
      </c>
      <c r="X4340" s="192"/>
      <c r="Y4340" s="180">
        <v>2007</v>
      </c>
      <c r="Z4340" s="192">
        <f>IFERROR(Tableau3[[#This Row],[Chiffre d''affaires]]/Tableau3[[#This Row],[Salariés]],"")</f>
        <v>276183.35824613849</v>
      </c>
      <c r="AC4340" s="6" t="s">
        <v>5210</v>
      </c>
    </row>
    <row r="4341" spans="1:29" ht="20.25" customHeight="1">
      <c r="A4341" s="217"/>
      <c r="E4341" s="187"/>
      <c r="G4341" s="202">
        <f>(G4340/G4342)-1</f>
        <v>5.6010668698799781E-2</v>
      </c>
      <c r="H4341" s="202">
        <f>(H4340/H4342)-1</f>
        <v>9.4688221709007037E-2</v>
      </c>
      <c r="I4341" s="202">
        <f>(I4340/I4342)-1</f>
        <v>6.1166429587482307E-2</v>
      </c>
      <c r="J4341" s="202">
        <f>(J4340/J4342)-1</f>
        <v>2.1194605009633882E-2</v>
      </c>
      <c r="K4341" s="188"/>
      <c r="L4341" s="188"/>
      <c r="M4341" s="178"/>
      <c r="N4341" s="178"/>
      <c r="O4341" s="178"/>
      <c r="P4341" s="188"/>
      <c r="Q4341" s="188"/>
      <c r="R4341" s="178"/>
      <c r="S4341" s="178"/>
      <c r="T4341" s="180"/>
      <c r="U4341" s="189" t="str">
        <f>IFERROR(IF(Tableau3[[#This Row],[Dettes]]=0,"",(Tableau3[[#This Row],[Dettes]]/Tableau3[[#This Row],[EBE]])),"")</f>
        <v/>
      </c>
      <c r="V4341" s="190" t="str">
        <f>IFERROR(Tableau3[[#This Row],[Fonds propres]]/Tableau3[[#This Row],[Total Bilan]],"")</f>
        <v/>
      </c>
      <c r="W4341" s="180"/>
      <c r="X4341" s="192"/>
      <c r="Y4341" s="180"/>
      <c r="Z4341" s="192" t="str">
        <f>IFERROR(Tableau3[[#This Row],[Chiffre d''affaires]]/Tableau3[[#This Row],[Salariés]],"")</f>
        <v/>
      </c>
      <c r="AC4341" s="10" t="s">
        <v>3039</v>
      </c>
    </row>
    <row r="4342" spans="1:29" ht="20.25" customHeight="1">
      <c r="A4342" s="217"/>
      <c r="E4342" s="187">
        <v>526</v>
      </c>
      <c r="F4342" s="178">
        <v>2018</v>
      </c>
      <c r="G4342" s="188">
        <v>524900000</v>
      </c>
      <c r="H4342" s="188">
        <v>86600000</v>
      </c>
      <c r="I4342" s="188">
        <v>70300000</v>
      </c>
      <c r="J4342" s="188">
        <v>51900000</v>
      </c>
      <c r="K4342" s="188">
        <v>5690000</v>
      </c>
      <c r="L4342" s="188">
        <v>409800000</v>
      </c>
      <c r="M4342" s="194">
        <f>L4342/P4342</f>
        <v>189.58801848136204</v>
      </c>
      <c r="N4342" s="190">
        <f>J4342/L4344</f>
        <v>0.14238683127572016</v>
      </c>
      <c r="O4342" s="190">
        <f>(I4342*0.75)/(K4344+L4344)</f>
        <v>0.13480172832562065</v>
      </c>
      <c r="P4342" s="188">
        <v>2161529</v>
      </c>
      <c r="Q4342" s="188">
        <f>P4342*E4342</f>
        <v>1136964254</v>
      </c>
      <c r="R4342" s="195">
        <f>Q4342/L4342</f>
        <v>2.7744369302098586</v>
      </c>
      <c r="S4342" s="197">
        <f>(Q4342+K4342)/H4342</f>
        <v>13.194621870669746</v>
      </c>
      <c r="T4342" s="180"/>
      <c r="U4342" s="189">
        <f>IFERROR(IF(Tableau3[[#This Row],[Dettes]]=0,"",(Tableau3[[#This Row],[Dettes]]/Tableau3[[#This Row],[EBE]])),"")</f>
        <v>6.5704387990762128E-2</v>
      </c>
      <c r="V4342" s="190">
        <f>IFERROR(Tableau3[[#This Row],[Fonds propres]]/Tableau3[[#This Row],[Total Bilan]],"")</f>
        <v>0.661501210653753</v>
      </c>
      <c r="W4342" s="180">
        <v>619500000</v>
      </c>
      <c r="X4342" s="192"/>
      <c r="Y4342" s="180">
        <v>1928</v>
      </c>
      <c r="Z4342" s="192">
        <f>IFERROR(Tableau3[[#This Row],[Chiffre d''affaires]]/Tableau3[[#This Row],[Salariés]],"")</f>
        <v>272251.03734439833</v>
      </c>
      <c r="AC4342" s="10" t="s">
        <v>4817</v>
      </c>
    </row>
    <row r="4343" spans="1:29" ht="20.25" customHeight="1">
      <c r="A4343" s="217"/>
      <c r="E4343" s="187"/>
      <c r="G4343" s="202">
        <f>(G4342/G4344)-1</f>
        <v>4.0642347343378349E-2</v>
      </c>
      <c r="H4343" s="202">
        <f>(H4342/H4344)-1</f>
        <v>1.2865497076023358E-2</v>
      </c>
      <c r="I4343" s="202">
        <f>(I4342/I4344)-1</f>
        <v>1.736613603473236E-2</v>
      </c>
      <c r="J4343" s="202">
        <f>(J4342/J4344)-1</f>
        <v>6.5708418891170517E-2</v>
      </c>
      <c r="K4343" s="188"/>
      <c r="L4343" s="188"/>
      <c r="M4343" s="178"/>
      <c r="N4343" s="178"/>
      <c r="O4343" s="178"/>
      <c r="P4343" s="188"/>
      <c r="Q4343" s="188"/>
      <c r="R4343" s="178"/>
      <c r="S4343" s="178"/>
      <c r="T4343" s="180"/>
      <c r="U4343" s="189" t="str">
        <f>IFERROR(IF(Tableau3[[#This Row],[Dettes]]=0,"",(Tableau3[[#This Row],[Dettes]]/Tableau3[[#This Row],[EBE]])),"")</f>
        <v/>
      </c>
      <c r="V4343" s="190" t="str">
        <f>IFERROR(Tableau3[[#This Row],[Fonds propres]]/Tableau3[[#This Row],[Total Bilan]],"")</f>
        <v/>
      </c>
      <c r="W4343" s="180"/>
      <c r="X4343" s="192"/>
      <c r="Y4343" s="180"/>
      <c r="Z4343" s="192" t="str">
        <f>IFERROR(Tableau3[[#This Row],[Chiffre d''affaires]]/Tableau3[[#This Row],[Salariés]],"")</f>
        <v/>
      </c>
      <c r="AC4343" s="216">
        <v>2018</v>
      </c>
    </row>
    <row r="4344" spans="1:29" ht="20.25" customHeight="1">
      <c r="A4344" s="217"/>
      <c r="E4344" s="187">
        <v>408</v>
      </c>
      <c r="F4344" s="178">
        <v>2017</v>
      </c>
      <c r="G4344" s="188">
        <v>504400000</v>
      </c>
      <c r="H4344" s="188">
        <v>85500000</v>
      </c>
      <c r="I4344" s="188">
        <v>69100000</v>
      </c>
      <c r="J4344" s="188">
        <v>48700000</v>
      </c>
      <c r="K4344" s="188">
        <v>26630000</v>
      </c>
      <c r="L4344" s="188">
        <v>364500000</v>
      </c>
      <c r="M4344" s="194">
        <f>L4344/P4344</f>
        <v>158.47826086956522</v>
      </c>
      <c r="N4344" s="190">
        <f>J4344/L4346</f>
        <v>0.14079213645562302</v>
      </c>
      <c r="O4344" s="190">
        <f>(I4344*0.75)/(K4346+L4346)</f>
        <v>0.14045857386779412</v>
      </c>
      <c r="P4344" s="188">
        <v>2300000</v>
      </c>
      <c r="Q4344" s="188">
        <f>P4344*E4344</f>
        <v>938400000</v>
      </c>
      <c r="R4344" s="195">
        <f>Q4344/L4344</f>
        <v>2.5744855967078188</v>
      </c>
      <c r="S4344" s="197">
        <f>(Q4344+K4344)/H4344</f>
        <v>11.286900584795321</v>
      </c>
      <c r="T4344" s="180"/>
      <c r="U4344" s="189">
        <f>IFERROR(IF(Tableau3[[#This Row],[Dettes]]=0,"",(Tableau3[[#This Row],[Dettes]]/Tableau3[[#This Row],[EBE]])),"")</f>
        <v>0.31146198830409355</v>
      </c>
      <c r="V4344" s="190">
        <f>IFERROR(Tableau3[[#This Row],[Fonds propres]]/Tableau3[[#This Row],[Total Bilan]],"")</f>
        <v>0.62553629655054055</v>
      </c>
      <c r="W4344" s="180">
        <v>582700000</v>
      </c>
      <c r="X4344" s="192"/>
      <c r="Y4344" s="180">
        <v>1747</v>
      </c>
      <c r="Z4344" s="192">
        <f>IFERROR(Tableau3[[#This Row],[Chiffre d''affaires]]/Tableau3[[#This Row],[Salariés]],"")</f>
        <v>288723.52604464797</v>
      </c>
      <c r="AC4344" s="216">
        <v>2019</v>
      </c>
    </row>
    <row r="4345" spans="1:29" ht="20.25" customHeight="1">
      <c r="A4345" s="217"/>
      <c r="E4345" s="187"/>
      <c r="G4345" s="202">
        <f>(G4344/G4346)-1</f>
        <v>7.7087337177023318E-2</v>
      </c>
      <c r="H4345" s="202">
        <f>(H4344/H4346)-1</f>
        <v>0.11473272490221653</v>
      </c>
      <c r="I4345" s="202">
        <f>(I4344/I4346)-1</f>
        <v>0.11812297734627841</v>
      </c>
      <c r="J4345" s="202">
        <f>(J4344/J4346)-1</f>
        <v>0.16507177033492826</v>
      </c>
      <c r="K4345" s="188"/>
      <c r="L4345" s="188"/>
      <c r="M4345" s="178"/>
      <c r="N4345" s="178"/>
      <c r="O4345" s="178"/>
      <c r="P4345" s="188"/>
      <c r="Q4345" s="188"/>
      <c r="R4345" s="178"/>
      <c r="S4345" s="178"/>
      <c r="T4345" s="180"/>
      <c r="U4345" s="189" t="str">
        <f>IFERROR(IF(Tableau3[[#This Row],[Dettes]]=0,"",(Tableau3[[#This Row],[Dettes]]/Tableau3[[#This Row],[EBE]])),"")</f>
        <v/>
      </c>
      <c r="V4345" s="190" t="str">
        <f>IFERROR(Tableau3[[#This Row],[Fonds propres]]/Tableau3[[#This Row],[Total Bilan]],"")</f>
        <v/>
      </c>
      <c r="W4345" s="180"/>
      <c r="X4345" s="192"/>
      <c r="Y4345" s="180"/>
      <c r="Z4345" s="192" t="str">
        <f>IFERROR(Tableau3[[#This Row],[Chiffre d''affaires]]/Tableau3[[#This Row],[Salariés]],"")</f>
        <v/>
      </c>
      <c r="AC4345" s="216">
        <v>2020</v>
      </c>
    </row>
    <row r="4346" spans="1:29" ht="20.25" customHeight="1">
      <c r="A4346" s="217"/>
      <c r="E4346" s="187">
        <v>350</v>
      </c>
      <c r="F4346" s="178">
        <v>2016</v>
      </c>
      <c r="G4346" s="188">
        <v>468300000</v>
      </c>
      <c r="H4346" s="188">
        <v>76700000</v>
      </c>
      <c r="I4346" s="188">
        <v>61800000</v>
      </c>
      <c r="J4346" s="188">
        <v>41800000</v>
      </c>
      <c r="K4346" s="188">
        <v>23070000</v>
      </c>
      <c r="L4346" s="188">
        <v>345900000</v>
      </c>
      <c r="M4346" s="194">
        <f>L4346/P4346</f>
        <v>150.39130434782609</v>
      </c>
      <c r="N4346" s="190">
        <f>J4346/L4348</f>
        <v>0.1340602950609365</v>
      </c>
      <c r="O4346" s="190">
        <f>(I4346*0.75)/(K4348+L4348)</f>
        <v>0.13997100924080449</v>
      </c>
      <c r="P4346" s="188">
        <v>2300000</v>
      </c>
      <c r="Q4346" s="188">
        <f>P4346*E4346</f>
        <v>805000000</v>
      </c>
      <c r="R4346" s="195">
        <f>Q4346/L4346</f>
        <v>2.327262214512865</v>
      </c>
      <c r="S4346" s="197">
        <f>(Q4346+K4346)/H4346</f>
        <v>10.796219035202085</v>
      </c>
      <c r="T4346" s="180"/>
      <c r="U4346" s="189">
        <f>IFERROR(IF(Tableau3[[#This Row],[Dettes]]=0,"",(Tableau3[[#This Row],[Dettes]]/Tableau3[[#This Row],[EBE]])),"")</f>
        <v>0.30078226857887874</v>
      </c>
      <c r="V4346" s="190">
        <f>IFERROR(Tableau3[[#This Row],[Fonds propres]]/Tableau3[[#This Row],[Total Bilan]],"")</f>
        <v>0.61602849510240432</v>
      </c>
      <c r="W4346" s="180">
        <v>561500000</v>
      </c>
      <c r="X4346" s="192"/>
      <c r="Y4346" s="180">
        <v>1746</v>
      </c>
      <c r="Z4346" s="192">
        <f>IFERROR(Tableau3[[#This Row],[Chiffre d''affaires]]/Tableau3[[#This Row],[Salariés]],"")</f>
        <v>268213.05841924401</v>
      </c>
      <c r="AC4346" s="216">
        <v>2021</v>
      </c>
    </row>
    <row r="4347" spans="1:29" ht="20.25" customHeight="1">
      <c r="A4347" s="217"/>
      <c r="E4347" s="187"/>
      <c r="G4347" s="202">
        <f>(G4346/G4348)-1</f>
        <v>7.5809786354238407E-2</v>
      </c>
      <c r="H4347" s="202">
        <f>(H4346/H4348)-1</f>
        <v>0.14477611940298507</v>
      </c>
      <c r="I4347" s="202">
        <f>(I4346/I4348)-1</f>
        <v>0.17045454545454541</v>
      </c>
      <c r="J4347" s="202">
        <f>(J4346/J4348)-1</f>
        <v>0.15469613259668513</v>
      </c>
      <c r="K4347" s="188"/>
      <c r="L4347" s="188"/>
      <c r="M4347" s="178"/>
      <c r="N4347" s="178"/>
      <c r="O4347" s="178"/>
      <c r="P4347" s="188"/>
      <c r="Q4347" s="188"/>
      <c r="R4347" s="178"/>
      <c r="S4347" s="178"/>
      <c r="T4347" s="180"/>
      <c r="U4347" s="189" t="str">
        <f>IFERROR(IF(Tableau3[[#This Row],[Dettes]]=0,"",(Tableau3[[#This Row],[Dettes]]/Tableau3[[#This Row],[EBE]])),"")</f>
        <v/>
      </c>
      <c r="V4347" s="190" t="str">
        <f>IFERROR(Tableau3[[#This Row],[Fonds propres]]/Tableau3[[#This Row],[Total Bilan]],"")</f>
        <v/>
      </c>
      <c r="W4347" s="180"/>
      <c r="X4347" s="192"/>
      <c r="Y4347" s="180"/>
      <c r="Z4347" s="192" t="str">
        <f>IFERROR(Tableau3[[#This Row],[Chiffre d''affaires]]/Tableau3[[#This Row],[Salariés]],"")</f>
        <v/>
      </c>
      <c r="AC4347" s="216">
        <v>2022</v>
      </c>
    </row>
    <row r="4348" spans="1:29" ht="20.25" customHeight="1">
      <c r="A4348" s="217"/>
      <c r="E4348" s="187">
        <v>223</v>
      </c>
      <c r="F4348" s="178">
        <v>2015</v>
      </c>
      <c r="G4348" s="188">
        <v>435300000</v>
      </c>
      <c r="H4348" s="188">
        <v>67000000</v>
      </c>
      <c r="I4348" s="188">
        <v>52800000</v>
      </c>
      <c r="J4348" s="188">
        <v>36200000</v>
      </c>
      <c r="K4348" s="188">
        <v>19340000</v>
      </c>
      <c r="L4348" s="188">
        <v>311800000</v>
      </c>
      <c r="M4348" s="194">
        <f>L4348/P4348</f>
        <v>135.56521739130434</v>
      </c>
      <c r="N4348" s="190">
        <f>J4348/L4350</f>
        <v>0.13235831809872028</v>
      </c>
      <c r="O4348" s="190">
        <f>(I4348*0.75)/(K4350+L4350)</f>
        <v>0.13349064554188436</v>
      </c>
      <c r="P4348" s="188">
        <v>2300000</v>
      </c>
      <c r="Q4348" s="188">
        <f>P4348*E4348</f>
        <v>512900000</v>
      </c>
      <c r="R4348" s="195">
        <f>Q4348/L4348</f>
        <v>1.644964720974984</v>
      </c>
      <c r="S4348" s="197">
        <f>(Q4348+K4348)/H4348</f>
        <v>7.9438805970149255</v>
      </c>
      <c r="T4348" s="180"/>
      <c r="U4348" s="189">
        <f>IFERROR(IF(Tableau3[[#This Row],[Dettes]]=0,"",(Tableau3[[#This Row],[Dettes]]/Tableau3[[#This Row],[EBE]])),"")</f>
        <v>0.28865671641791046</v>
      </c>
      <c r="V4348" s="190">
        <f>IFERROR(Tableau3[[#This Row],[Fonds propres]]/Tableau3[[#This Row],[Total Bilan]],"")</f>
        <v>0.62434921906287544</v>
      </c>
      <c r="W4348" s="180">
        <v>499400000</v>
      </c>
      <c r="X4348" s="192"/>
      <c r="Y4348" s="180">
        <v>1747</v>
      </c>
      <c r="Z4348" s="192">
        <f>IFERROR(Tableau3[[#This Row],[Chiffre d''affaires]]/Tableau3[[#This Row],[Salariés]],"")</f>
        <v>249170.00572409845</v>
      </c>
      <c r="AC4348" s="216" t="s">
        <v>3041</v>
      </c>
    </row>
    <row r="4349" spans="1:29" ht="20.25" customHeight="1">
      <c r="A4349" s="217"/>
      <c r="E4349" s="187"/>
      <c r="G4349" s="202">
        <f>(G4348/G4350)-1</f>
        <v>0.11586772622404506</v>
      </c>
      <c r="H4349" s="202">
        <f>(H4348/H4350)-1</f>
        <v>0.21597096188747722</v>
      </c>
      <c r="I4349" s="202">
        <f>(I4348/I4350)-1</f>
        <v>0.24235294117647066</v>
      </c>
      <c r="J4349" s="202">
        <f>(J4348/J4350)-1</f>
        <v>0.23549488054607504</v>
      </c>
      <c r="K4349" s="188"/>
      <c r="L4349" s="188"/>
      <c r="M4349" s="178"/>
      <c r="N4349" s="178"/>
      <c r="O4349" s="178"/>
      <c r="P4349" s="188"/>
      <c r="Q4349" s="188"/>
      <c r="R4349" s="178"/>
      <c r="S4349" s="178"/>
      <c r="T4349" s="180"/>
      <c r="U4349" s="189" t="str">
        <f>IFERROR(IF(Tableau3[[#This Row],[Dettes]]=0,"",(Tableau3[[#This Row],[Dettes]]/Tableau3[[#This Row],[EBE]])),"")</f>
        <v/>
      </c>
      <c r="V4349" s="190" t="str">
        <f>IFERROR(Tableau3[[#This Row],[Fonds propres]]/Tableau3[[#This Row],[Total Bilan]],"")</f>
        <v/>
      </c>
      <c r="W4349" s="180"/>
      <c r="X4349" s="192"/>
      <c r="Y4349" s="180"/>
      <c r="Z4349" s="192" t="str">
        <f>IFERROR(Tableau3[[#This Row],[Chiffre d''affaires]]/Tableau3[[#This Row],[Salariés]],"")</f>
        <v/>
      </c>
      <c r="AC4349" s="216" t="s">
        <v>3042</v>
      </c>
    </row>
    <row r="4350" spans="1:29" ht="20.25" customHeight="1">
      <c r="A4350" s="217"/>
      <c r="E4350" s="187">
        <v>160</v>
      </c>
      <c r="F4350" s="178">
        <v>2014</v>
      </c>
      <c r="G4350" s="188">
        <v>390100000</v>
      </c>
      <c r="H4350" s="188">
        <v>55100000</v>
      </c>
      <c r="I4350" s="188">
        <v>42500000</v>
      </c>
      <c r="J4350" s="188">
        <v>29300000</v>
      </c>
      <c r="K4350" s="188">
        <v>23150000</v>
      </c>
      <c r="L4350" s="188">
        <v>273500000</v>
      </c>
      <c r="M4350" s="194">
        <f>L4350/P4350</f>
        <v>118.91304347826087</v>
      </c>
      <c r="N4350" s="190">
        <f>J4350/L4352</f>
        <v>0.123109243697479</v>
      </c>
      <c r="O4350" s="190">
        <f>(I4350*0.75)/(K4352+L4352)</f>
        <v>0.12061071590737096</v>
      </c>
      <c r="P4350" s="188">
        <v>2300000</v>
      </c>
      <c r="Q4350" s="188">
        <f>P4350*E4350</f>
        <v>368000000</v>
      </c>
      <c r="R4350" s="195">
        <f>Q4350/L4350</f>
        <v>1.3455210237659962</v>
      </c>
      <c r="S4350" s="197">
        <f>(Q4350+K4350)/H4350</f>
        <v>7.0989110707803995</v>
      </c>
      <c r="T4350" s="180"/>
      <c r="U4350" s="189">
        <f>IFERROR(IF(Tableau3[[#This Row],[Dettes]]=0,"",(Tableau3[[#This Row],[Dettes]]/Tableau3[[#This Row],[EBE]])),"")</f>
        <v>0.42014519056261346</v>
      </c>
      <c r="V4350" s="190">
        <f>IFERROR(Tableau3[[#This Row],[Fonds propres]]/Tableau3[[#This Row],[Total Bilan]],"")</f>
        <v>0.61035483151082348</v>
      </c>
      <c r="W4350" s="180">
        <v>448100000</v>
      </c>
      <c r="X4350" s="192"/>
      <c r="Y4350" s="180">
        <v>1721</v>
      </c>
      <c r="Z4350" s="192">
        <f>IFERROR(Tableau3[[#This Row],[Chiffre d''affaires]]/Tableau3[[#This Row],[Salariés]],"")</f>
        <v>226670.54038349798</v>
      </c>
      <c r="AC4350" s="177" t="s">
        <v>3043</v>
      </c>
    </row>
    <row r="4351" spans="1:29" ht="20.25" customHeight="1">
      <c r="A4351" s="217"/>
      <c r="E4351" s="187"/>
      <c r="G4351" s="202">
        <f>(G4350/G4352)-1</f>
        <v>1.540436456996197E-3</v>
      </c>
      <c r="H4351" s="202">
        <f>(H4350/H4352)-1</f>
        <v>9.5427435387674064E-2</v>
      </c>
      <c r="I4351" s="202">
        <f>(I4350/I4352)-1</f>
        <v>8.9743589743589647E-2</v>
      </c>
      <c r="J4351" s="202">
        <f>(J4350/J4352)-1</f>
        <v>0.15810276679841895</v>
      </c>
      <c r="K4351" s="188"/>
      <c r="L4351" s="188"/>
      <c r="M4351" s="178"/>
      <c r="N4351" s="178"/>
      <c r="O4351" s="178"/>
      <c r="P4351" s="188"/>
      <c r="Q4351" s="188"/>
      <c r="R4351" s="178"/>
      <c r="S4351" s="178"/>
      <c r="T4351" s="180"/>
      <c r="U4351" s="189" t="str">
        <f>IFERROR(IF(Tableau3[[#This Row],[Dettes]]=0,"",(Tableau3[[#This Row],[Dettes]]/Tableau3[[#This Row],[EBE]])),"")</f>
        <v/>
      </c>
      <c r="V4351" s="190" t="str">
        <f>IFERROR(Tableau3[[#This Row],[Fonds propres]]/Tableau3[[#This Row],[Total Bilan]],"")</f>
        <v/>
      </c>
      <c r="W4351" s="180"/>
      <c r="X4351" s="192"/>
      <c r="Y4351" s="180"/>
      <c r="Z4351" s="192" t="str">
        <f>IFERROR(Tableau3[[#This Row],[Chiffre d''affaires]]/Tableau3[[#This Row],[Salariés]],"")</f>
        <v/>
      </c>
      <c r="AC4351" s="177" t="s">
        <v>3044</v>
      </c>
    </row>
    <row r="4352" spans="1:29" ht="20.25" customHeight="1">
      <c r="A4352" s="217"/>
      <c r="E4352" s="187">
        <v>180</v>
      </c>
      <c r="F4352" s="178">
        <v>2013</v>
      </c>
      <c r="G4352" s="188">
        <v>389500000</v>
      </c>
      <c r="H4352" s="188">
        <v>50300000</v>
      </c>
      <c r="I4352" s="188">
        <v>39000000</v>
      </c>
      <c r="J4352" s="188">
        <v>25300000</v>
      </c>
      <c r="K4352" s="188">
        <v>26280000</v>
      </c>
      <c r="L4352" s="188">
        <v>238000000</v>
      </c>
      <c r="M4352" s="194">
        <f>L4352/P4352</f>
        <v>103.47826086956522</v>
      </c>
      <c r="N4352" s="190">
        <f>J4352/L4352</f>
        <v>0.10630252100840336</v>
      </c>
      <c r="O4352" s="190">
        <f>(I4352*0.7)/(K4352+L4352)</f>
        <v>0.10329953080066596</v>
      </c>
      <c r="P4352" s="188">
        <v>2300000</v>
      </c>
      <c r="Q4352" s="188">
        <f>P4352*E4352</f>
        <v>414000000</v>
      </c>
      <c r="R4352" s="195">
        <f>Q4352/L4352</f>
        <v>1.7394957983193278</v>
      </c>
      <c r="S4352" s="197">
        <f>(Q4352+K4352)/H4352</f>
        <v>8.7530815109343933</v>
      </c>
      <c r="T4352" s="180"/>
      <c r="U4352" s="189">
        <f>IFERROR(IF(Tableau3[[#This Row],[Dettes]]=0,"",(Tableau3[[#This Row],[Dettes]]/Tableau3[[#This Row],[EBE]])),"")</f>
        <v>0.5224652087475149</v>
      </c>
      <c r="V4352" s="190">
        <f>IFERROR(Tableau3[[#This Row],[Fonds propres]]/Tableau3[[#This Row],[Total Bilan]],"")</f>
        <v>0.58779945665596445</v>
      </c>
      <c r="W4352" s="180">
        <v>404900000</v>
      </c>
      <c r="X4352" s="192"/>
      <c r="Y4352" s="180">
        <v>1645</v>
      </c>
      <c r="Z4352" s="192">
        <f>IFERROR(Tableau3[[#This Row],[Chiffre d''affaires]]/Tableau3[[#This Row],[Salariés]],"")</f>
        <v>236778.11550151976</v>
      </c>
      <c r="AC4352" s="177" t="s">
        <v>3045</v>
      </c>
    </row>
    <row r="4353" spans="1:29" ht="20.25" customHeight="1">
      <c r="A4353" s="217"/>
      <c r="E4353" s="187"/>
      <c r="G4353" s="202">
        <f>(G4352/G4354)-1</f>
        <v>-1.5419615773508588E-2</v>
      </c>
      <c r="H4353" s="202">
        <f>(H4352/H4354)-1</f>
        <v>-9.6947935368043137E-2</v>
      </c>
      <c r="I4353" s="202">
        <f>(I4352/I4354)-1</f>
        <v>-6.1145883485796859E-2</v>
      </c>
      <c r="J4353" s="202">
        <f>(J4352/J4354)-1</f>
        <v>-7.8324225865209485E-2</v>
      </c>
      <c r="K4353" s="188"/>
      <c r="L4353" s="188"/>
      <c r="M4353" s="194"/>
      <c r="N4353" s="190"/>
      <c r="O4353" s="190"/>
      <c r="P4353" s="188"/>
      <c r="Q4353" s="188"/>
      <c r="R4353" s="195"/>
      <c r="S4353" s="197"/>
      <c r="T4353" s="180"/>
      <c r="U4353" s="189" t="str">
        <f>IFERROR(IF(Tableau3[[#This Row],[Dettes]]=0,"",(Tableau3[[#This Row],[Dettes]]/Tableau3[[#This Row],[EBE]])),"")</f>
        <v/>
      </c>
      <c r="V4353" s="190" t="str">
        <f>IFERROR(Tableau3[[#This Row],[Fonds propres]]/Tableau3[[#This Row],[Total Bilan]],"")</f>
        <v/>
      </c>
      <c r="W4353" s="180"/>
      <c r="X4353" s="192"/>
      <c r="Y4353" s="180"/>
      <c r="Z4353" s="192" t="str">
        <f>IFERROR(Tableau3[[#This Row],[Chiffre d''affaires]]/Tableau3[[#This Row],[Salariés]],"")</f>
        <v/>
      </c>
      <c r="AC4353" s="177" t="s">
        <v>126</v>
      </c>
    </row>
    <row r="4354" spans="1:29" ht="20.25" customHeight="1">
      <c r="A4354" s="217"/>
      <c r="E4354" s="187">
        <v>125</v>
      </c>
      <c r="F4354" s="178">
        <v>2012</v>
      </c>
      <c r="G4354" s="188">
        <v>395600000</v>
      </c>
      <c r="H4354" s="188">
        <v>55700000</v>
      </c>
      <c r="I4354" s="188">
        <v>41540000</v>
      </c>
      <c r="J4354" s="188">
        <v>27450000</v>
      </c>
      <c r="K4354" s="188"/>
      <c r="L4354" s="188"/>
      <c r="M4354" s="194"/>
      <c r="N4354" s="190"/>
      <c r="O4354" s="190"/>
      <c r="P4354" s="188"/>
      <c r="Q4354" s="188"/>
      <c r="R4354" s="195"/>
      <c r="S4354" s="197"/>
      <c r="T4354" s="180"/>
      <c r="U4354" s="189" t="str">
        <f>IFERROR(IF(Tableau3[[#This Row],[Dettes]]=0,"",(Tableau3[[#This Row],[Dettes]]/Tableau3[[#This Row],[EBE]])),"")</f>
        <v/>
      </c>
      <c r="V4354" s="190" t="str">
        <f>IFERROR(Tableau3[[#This Row],[Fonds propres]]/Tableau3[[#This Row],[Total Bilan]],"")</f>
        <v/>
      </c>
      <c r="W4354" s="180"/>
      <c r="X4354" s="192"/>
      <c r="Y4354" s="180"/>
      <c r="Z4354" s="192" t="str">
        <f>IFERROR(Tableau3[[#This Row],[Chiffre d''affaires]]/Tableau3[[#This Row],[Salariés]],"")</f>
        <v/>
      </c>
      <c r="AC4354" s="177" t="s">
        <v>3046</v>
      </c>
    </row>
    <row r="4355" spans="1:29" ht="20.25" customHeight="1">
      <c r="A4355" s="217"/>
      <c r="E4355" s="187"/>
      <c r="G4355" s="202">
        <f>(G4354/G4356)-1</f>
        <v>5.9794256322331707E-2</v>
      </c>
      <c r="H4355" s="202">
        <f>(H4354/H4356)-1</f>
        <v>0.1484536082474226</v>
      </c>
      <c r="I4355" s="202">
        <f>(I4354/I4356)-1</f>
        <v>0.16981132075471694</v>
      </c>
      <c r="J4355" s="202">
        <f>(J4354/J4356)-1</f>
        <v>0.17861743237440963</v>
      </c>
      <c r="K4355" s="188"/>
      <c r="L4355" s="188"/>
      <c r="M4355" s="194"/>
      <c r="N4355" s="190"/>
      <c r="O4355" s="190"/>
      <c r="P4355" s="188"/>
      <c r="Q4355" s="188"/>
      <c r="R4355" s="195"/>
      <c r="S4355" s="197"/>
      <c r="T4355" s="180"/>
      <c r="U4355" s="189" t="str">
        <f>IFERROR(IF(Tableau3[[#This Row],[Dettes]]=0,"",(Tableau3[[#This Row],[Dettes]]/Tableau3[[#This Row],[EBE]])),"")</f>
        <v/>
      </c>
      <c r="V4355" s="190" t="str">
        <f>IFERROR(Tableau3[[#This Row],[Fonds propres]]/Tableau3[[#This Row],[Total Bilan]],"")</f>
        <v/>
      </c>
      <c r="W4355" s="180"/>
      <c r="X4355" s="192"/>
      <c r="Y4355" s="180"/>
      <c r="Z4355" s="192" t="str">
        <f>IFERROR(Tableau3[[#This Row],[Chiffre d''affaires]]/Tableau3[[#This Row],[Salariés]],"")</f>
        <v/>
      </c>
      <c r="AC4355" s="177" t="s">
        <v>3047</v>
      </c>
    </row>
    <row r="4356" spans="1:29" ht="20.25" customHeight="1">
      <c r="A4356" s="217"/>
      <c r="E4356" s="187">
        <v>120</v>
      </c>
      <c r="F4356" s="178">
        <v>2011</v>
      </c>
      <c r="G4356" s="188">
        <v>373280000</v>
      </c>
      <c r="H4356" s="188">
        <v>48500000</v>
      </c>
      <c r="I4356" s="188">
        <v>35510000</v>
      </c>
      <c r="J4356" s="188">
        <v>23290000</v>
      </c>
      <c r="K4356" s="188"/>
      <c r="L4356" s="188"/>
      <c r="M4356" s="194"/>
      <c r="N4356" s="190"/>
      <c r="O4356" s="190"/>
      <c r="P4356" s="188"/>
      <c r="Q4356" s="188"/>
      <c r="R4356" s="195"/>
      <c r="S4356" s="197"/>
      <c r="T4356" s="180"/>
      <c r="U4356" s="189" t="str">
        <f>IFERROR(IF(Tableau3[[#This Row],[Dettes]]=0,"",(Tableau3[[#This Row],[Dettes]]/Tableau3[[#This Row],[EBE]])),"")</f>
        <v/>
      </c>
      <c r="V4356" s="190" t="str">
        <f>IFERROR(Tableau3[[#This Row],[Fonds propres]]/Tableau3[[#This Row],[Total Bilan]],"")</f>
        <v/>
      </c>
      <c r="W4356" s="180"/>
      <c r="X4356" s="192"/>
      <c r="Y4356" s="180"/>
      <c r="Z4356" s="192" t="str">
        <f>IFERROR(Tableau3[[#This Row],[Chiffre d''affaires]]/Tableau3[[#This Row],[Salariés]],"")</f>
        <v/>
      </c>
    </row>
    <row r="4357" spans="1:29" ht="20.25" customHeight="1">
      <c r="A4357" s="217"/>
      <c r="E4357" s="187"/>
      <c r="G4357" s="202">
        <f>(G4356/G4358)-1</f>
        <v>3.0448585231193981E-2</v>
      </c>
      <c r="H4357" s="202">
        <f>(H4356/H4358)-1</f>
        <v>-5.0880626223091974E-2</v>
      </c>
      <c r="I4357" s="202">
        <f>(I4356/I4358)-1</f>
        <v>-7.5019536337587955E-2</v>
      </c>
      <c r="J4357" s="202">
        <f>(J4356/J4358)-1</f>
        <v>-3.2003325020781404E-2</v>
      </c>
      <c r="K4357" s="188"/>
      <c r="L4357" s="188"/>
      <c r="M4357" s="194"/>
      <c r="N4357" s="190"/>
      <c r="O4357" s="190"/>
      <c r="P4357" s="188"/>
      <c r="Q4357" s="188"/>
      <c r="R4357" s="195"/>
      <c r="S4357" s="197"/>
      <c r="T4357" s="180"/>
      <c r="U4357" s="189" t="str">
        <f>IFERROR(IF(Tableau3[[#This Row],[Dettes]]=0,"",(Tableau3[[#This Row],[Dettes]]/Tableau3[[#This Row],[EBE]])),"")</f>
        <v/>
      </c>
      <c r="V4357" s="190" t="str">
        <f>IFERROR(Tableau3[[#This Row],[Fonds propres]]/Tableau3[[#This Row],[Total Bilan]],"")</f>
        <v/>
      </c>
      <c r="W4357" s="180"/>
      <c r="X4357" s="192"/>
      <c r="Y4357" s="180"/>
      <c r="Z4357" s="192" t="str">
        <f>IFERROR(Tableau3[[#This Row],[Chiffre d''affaires]]/Tableau3[[#This Row],[Salariés]],"")</f>
        <v/>
      </c>
    </row>
    <row r="4358" spans="1:29" ht="20.25" customHeight="1">
      <c r="A4358" s="217"/>
      <c r="E4358" s="187">
        <v>108</v>
      </c>
      <c r="F4358" s="178">
        <v>2010</v>
      </c>
      <c r="G4358" s="188">
        <v>362250000</v>
      </c>
      <c r="H4358" s="188">
        <v>51100000</v>
      </c>
      <c r="I4358" s="188">
        <v>38390000</v>
      </c>
      <c r="J4358" s="188">
        <v>24060000</v>
      </c>
      <c r="K4358" s="188"/>
      <c r="L4358" s="188"/>
      <c r="M4358" s="194"/>
      <c r="N4358" s="190"/>
      <c r="O4358" s="190"/>
      <c r="P4358" s="188"/>
      <c r="Q4358" s="188"/>
      <c r="R4358" s="195"/>
      <c r="S4358" s="197"/>
      <c r="T4358" s="180"/>
      <c r="U4358" s="189" t="str">
        <f>IFERROR(IF(Tableau3[[#This Row],[Dettes]]=0,"",(Tableau3[[#This Row],[Dettes]]/Tableau3[[#This Row],[EBE]])),"")</f>
        <v/>
      </c>
      <c r="V4358" s="190" t="str">
        <f>IFERROR(Tableau3[[#This Row],[Fonds propres]]/Tableau3[[#This Row],[Total Bilan]],"")</f>
        <v/>
      </c>
      <c r="W4358" s="180"/>
      <c r="X4358" s="192"/>
      <c r="Y4358" s="180"/>
      <c r="Z4358" s="192" t="str">
        <f>IFERROR(Tableau3[[#This Row],[Chiffre d''affaires]]/Tableau3[[#This Row],[Salariés]],"")</f>
        <v/>
      </c>
    </row>
    <row r="4359" spans="1:29" ht="20.25" customHeight="1">
      <c r="A4359" s="217"/>
      <c r="G4359" s="188"/>
      <c r="H4359" s="188"/>
      <c r="I4359" s="188"/>
      <c r="J4359" s="188"/>
      <c r="K4359" s="188"/>
      <c r="L4359" s="188"/>
      <c r="M4359" s="178"/>
      <c r="N4359" s="178"/>
      <c r="O4359" s="178"/>
      <c r="P4359" s="188"/>
      <c r="Q4359" s="188"/>
      <c r="R4359" s="178"/>
      <c r="S4359" s="178"/>
      <c r="T4359" s="180"/>
      <c r="U4359" s="189" t="str">
        <f>IFERROR(IF(Tableau3[[#This Row],[Dettes]]=0,"",(Tableau3[[#This Row],[Dettes]]/Tableau3[[#This Row],[EBE]])),"")</f>
        <v/>
      </c>
      <c r="V4359" s="190" t="str">
        <f>IFERROR(Tableau3[[#This Row],[Fonds propres]]/Tableau3[[#This Row],[Total Bilan]],"")</f>
        <v/>
      </c>
      <c r="W4359" s="180"/>
      <c r="X4359" s="192"/>
      <c r="Y4359" s="180"/>
      <c r="Z4359" s="192" t="str">
        <f>IFERROR(Tableau3[[#This Row],[Chiffre d''affaires]]/Tableau3[[#This Row],[Salariés]],"")</f>
        <v/>
      </c>
    </row>
    <row r="4360" spans="1:29" ht="20.25" customHeight="1">
      <c r="A4360" s="217"/>
      <c r="G4360" s="188"/>
      <c r="H4360" s="188"/>
      <c r="I4360" s="188"/>
      <c r="J4360" s="188"/>
      <c r="K4360" s="188"/>
      <c r="L4360" s="188"/>
      <c r="M4360" s="188"/>
      <c r="N4360" s="188"/>
      <c r="O4360" s="188"/>
      <c r="P4360" s="188"/>
      <c r="Q4360" s="188"/>
      <c r="R4360" s="188"/>
      <c r="S4360" s="188"/>
      <c r="T4360" s="180"/>
      <c r="U4360" s="189" t="str">
        <f>IFERROR(IF(Tableau3[[#This Row],[Dettes]]=0,"",(Tableau3[[#This Row],[Dettes]]/Tableau3[[#This Row],[EBE]])),"")</f>
        <v/>
      </c>
      <c r="V4360" s="190"/>
      <c r="W4360" s="180"/>
      <c r="X4360" s="192"/>
      <c r="Y4360" s="180"/>
      <c r="Z4360" s="192" t="str">
        <f>IFERROR(Tableau3[[#This Row],[Chiffre d''affaires]]/Tableau3[[#This Row],[Salariés]],"")</f>
        <v/>
      </c>
    </row>
    <row r="4361" spans="1:29" ht="20.25" customHeight="1">
      <c r="A4361" s="217"/>
      <c r="G4361" s="188"/>
      <c r="H4361" s="188"/>
      <c r="I4361" s="188"/>
      <c r="J4361" s="188"/>
      <c r="K4361" s="188"/>
      <c r="L4361" s="188"/>
      <c r="M4361" s="188"/>
      <c r="N4361" s="188"/>
      <c r="O4361" s="188"/>
      <c r="P4361" s="188"/>
      <c r="Q4361" s="188"/>
      <c r="R4361" s="188"/>
      <c r="S4361" s="188"/>
      <c r="T4361" s="180"/>
      <c r="U4361" s="189" t="str">
        <f>IFERROR(IF(Tableau3[[#This Row],[Dettes]]=0,"",(Tableau3[[#This Row],[Dettes]]/Tableau3[[#This Row],[EBE]])),"")</f>
        <v/>
      </c>
      <c r="V4361" s="190"/>
      <c r="W4361" s="180"/>
      <c r="X4361" s="192"/>
      <c r="Y4361" s="180"/>
      <c r="Z4361" s="192" t="str">
        <f>IFERROR(Tableau3[[#This Row],[Chiffre d''affaires]]/Tableau3[[#This Row],[Salariés]],"")</f>
        <v/>
      </c>
    </row>
    <row r="4362" spans="1:29" ht="20.25" customHeight="1">
      <c r="A4362" s="217" t="s">
        <v>3048</v>
      </c>
      <c r="B4362" s="216" t="s">
        <v>3030</v>
      </c>
      <c r="C4362" s="178" t="s">
        <v>564</v>
      </c>
      <c r="E4362" s="187">
        <v>90</v>
      </c>
      <c r="F4362" s="178">
        <v>2025</v>
      </c>
      <c r="G4362" s="188">
        <f>G4364*1.05</f>
        <v>5248950000</v>
      </c>
      <c r="H4362" s="188">
        <f>Tableau3[[#This Row],[Chiffre d''affaires]]*0.21</f>
        <v>1102279500</v>
      </c>
      <c r="I4362" s="188">
        <v>800000000</v>
      </c>
      <c r="J4362" s="188">
        <v>550000000</v>
      </c>
      <c r="K4362" s="188"/>
      <c r="L4362" s="188"/>
      <c r="M4362" s="194">
        <f>L4362/P4362</f>
        <v>0</v>
      </c>
      <c r="N4362" s="190">
        <f>J4362/L4364</f>
        <v>0.13682953527714201</v>
      </c>
      <c r="O4362" s="190">
        <f>(I4362*0.7)/(K4364+L4364)</f>
        <v>8.8014333762927111E-2</v>
      </c>
      <c r="P4362" s="188">
        <v>139772054</v>
      </c>
      <c r="Q4362" s="188">
        <f>P4362*E4362</f>
        <v>12579484860</v>
      </c>
      <c r="R4362" s="195" t="e">
        <f>Q4362/L4362</f>
        <v>#DIV/0!</v>
      </c>
      <c r="S4362" s="197">
        <f>(Q4362+K4362)/H4362</f>
        <v>11.412246041044943</v>
      </c>
      <c r="T4362" s="180"/>
      <c r="U4362" s="189" t="str">
        <f>IFERROR(IF(Tableau3[[#This Row],[Dettes]]=0,"",(Tableau3[[#This Row],[Dettes]]/Tableau3[[#This Row],[EBE]])),"")</f>
        <v/>
      </c>
      <c r="V4362" s="190"/>
      <c r="W4362" s="180"/>
      <c r="X4362" s="192"/>
      <c r="Y4362" s="180">
        <v>12718</v>
      </c>
      <c r="Z4362" s="192">
        <f>IFERROR(Tableau3[[#This Row],[Chiffre d''affaires]]/Tableau3[[#This Row],[Salariés]],"")</f>
        <v>412718.19468469883</v>
      </c>
      <c r="AA4362" s="178" t="s">
        <v>4461</v>
      </c>
      <c r="AC4362" s="6" t="s">
        <v>3049</v>
      </c>
    </row>
    <row r="4363" spans="1:29" ht="20.25" customHeight="1">
      <c r="A4363" s="217"/>
      <c r="G4363" s="202">
        <f>(G4362/G4364)-1</f>
        <v>5.0000000000000044E-2</v>
      </c>
      <c r="H4363" s="202">
        <f>(H4362/H4364)-1</f>
        <v>6.6653280433520479E-2</v>
      </c>
      <c r="I4363" s="202">
        <f>(I4362/I4364)-1</f>
        <v>0.11451657843410423</v>
      </c>
      <c r="J4363" s="202">
        <f>(J4362/J4364)-1</f>
        <v>0.15014638226683386</v>
      </c>
      <c r="K4363" s="188"/>
      <c r="L4363" s="188"/>
      <c r="M4363" s="188"/>
      <c r="N4363" s="188"/>
      <c r="O4363" s="188"/>
      <c r="P4363" s="188"/>
      <c r="Q4363" s="188"/>
      <c r="R4363" s="188"/>
      <c r="S4363" s="188"/>
      <c r="T4363" s="180"/>
      <c r="U4363" s="189" t="str">
        <f>IFERROR(IF(Tableau3[[#This Row],[Dettes]]=0,"",(Tableau3[[#This Row],[Dettes]]/Tableau3[[#This Row],[EBE]])),"")</f>
        <v/>
      </c>
      <c r="V4363" s="190" t="str">
        <f>IFERROR(Tableau3[[#This Row],[Fonds propres]]/Tableau3[[#This Row],[Total Bilan]],"")</f>
        <v/>
      </c>
      <c r="W4363" s="180"/>
      <c r="X4363" s="192"/>
      <c r="Y4363" s="180"/>
      <c r="Z4363" s="192" t="str">
        <f>IFERROR(Tableau3[[#This Row],[Chiffre d''affaires]]/Tableau3[[#This Row],[Salariés]],"")</f>
        <v/>
      </c>
      <c r="AA4363" s="178" t="s">
        <v>168</v>
      </c>
      <c r="AC4363" s="6" t="s">
        <v>4643</v>
      </c>
    </row>
    <row r="4364" spans="1:29" ht="20.25" customHeight="1">
      <c r="A4364" s="217"/>
      <c r="E4364" s="187">
        <v>102.65</v>
      </c>
      <c r="F4364" s="178">
        <v>2024</v>
      </c>
      <c r="G4364" s="188">
        <v>4999000000</v>
      </c>
      <c r="H4364" s="188">
        <v>1033400000</v>
      </c>
      <c r="I4364" s="188">
        <v>717800000</v>
      </c>
      <c r="J4364" s="188">
        <v>478200000</v>
      </c>
      <c r="K4364" s="188">
        <v>2343000000</v>
      </c>
      <c r="L4364" s="188">
        <v>4019600000</v>
      </c>
      <c r="M4364" s="194">
        <f>L4364/P4364</f>
        <v>28.758252347067891</v>
      </c>
      <c r="N4364" s="190">
        <f>J4364/L4366</f>
        <v>0.13168939148595865</v>
      </c>
      <c r="O4364" s="190">
        <f>(I4364*0.7)/(K4366+L4366)</f>
        <v>7.9795174492986343E-2</v>
      </c>
      <c r="P4364" s="188">
        <v>139772054</v>
      </c>
      <c r="Q4364" s="188">
        <f>P4364*E4364</f>
        <v>14347601343.1</v>
      </c>
      <c r="R4364" s="195">
        <f>Q4364/L4364</f>
        <v>3.5694102256692211</v>
      </c>
      <c r="S4364" s="197">
        <f>(Q4364+K4364)/H4364</f>
        <v>16.151152838300757</v>
      </c>
      <c r="T4364" s="180"/>
      <c r="U4364" s="189">
        <f>IFERROR(IF(Tableau3[[#This Row],[Dettes]]=0,"",(Tableau3[[#This Row],[Dettes]]/Tableau3[[#This Row],[EBE]])),"")</f>
        <v>2.2672730791561833</v>
      </c>
      <c r="V4364" s="190">
        <f>IFERROR(Tableau3[[#This Row],[Fonds propres]]/Tableau3[[#This Row],[Total Bilan]],"")</f>
        <v>0.48285223491537232</v>
      </c>
      <c r="W4364" s="180">
        <v>8324700000</v>
      </c>
      <c r="X4364" s="192"/>
      <c r="Y4364" s="180">
        <v>12718</v>
      </c>
      <c r="Z4364" s="192">
        <f>IFERROR(Tableau3[[#This Row],[Chiffre d''affaires]]/Tableau3[[#This Row],[Salariés]],"")</f>
        <v>393064.94731876079</v>
      </c>
      <c r="AA4364" s="178" t="s">
        <v>169</v>
      </c>
      <c r="AC4364" s="6" t="s">
        <v>4447</v>
      </c>
    </row>
    <row r="4365" spans="1:29" ht="20.25" customHeight="1">
      <c r="A4365" s="217"/>
      <c r="G4365" s="202">
        <f>(G4364/G4366)-1</f>
        <v>5.6871035940803338E-2</v>
      </c>
      <c r="H4365" s="202">
        <f>(H4364/H4366)-1</f>
        <v>0.14440753045404198</v>
      </c>
      <c r="I4365" s="202">
        <f>(I4364/I4366)-1</f>
        <v>0.2832477000582807</v>
      </c>
      <c r="J4365" s="202">
        <f>(J4364/J4366)-1</f>
        <v>0.40647058823529414</v>
      </c>
      <c r="K4365" s="188"/>
      <c r="L4365" s="188"/>
      <c r="M4365" s="194"/>
      <c r="N4365" s="190"/>
      <c r="O4365" s="190"/>
      <c r="P4365" s="188"/>
      <c r="Q4365" s="188"/>
      <c r="R4365" s="188"/>
      <c r="S4365" s="188"/>
      <c r="T4365" s="180"/>
      <c r="U4365" s="189" t="str">
        <f>IFERROR(IF(Tableau3[[#This Row],[Dettes]]=0,"",(Tableau3[[#This Row],[Dettes]]/Tableau3[[#This Row],[EBE]])),"")</f>
        <v/>
      </c>
      <c r="V4365" s="190" t="str">
        <f>IFERROR(Tableau3[[#This Row],[Fonds propres]]/Tableau3[[#This Row],[Total Bilan]],"")</f>
        <v/>
      </c>
      <c r="W4365" s="180"/>
      <c r="X4365" s="192"/>
      <c r="Y4365" s="180"/>
      <c r="Z4365" s="192" t="str">
        <f>IFERROR(Tableau3[[#This Row],[Chiffre d''affaires]]/Tableau3[[#This Row],[Salariés]],"")</f>
        <v/>
      </c>
      <c r="AC4365" s="6" t="s">
        <v>3032</v>
      </c>
    </row>
    <row r="4366" spans="1:29" ht="20.25" customHeight="1">
      <c r="A4366" s="217"/>
      <c r="E4366" s="187">
        <v>95.66</v>
      </c>
      <c r="F4366" s="178">
        <v>2023</v>
      </c>
      <c r="G4366" s="188">
        <v>4730000000</v>
      </c>
      <c r="H4366" s="188">
        <v>903000000</v>
      </c>
      <c r="I4366" s="188">
        <v>559362000</v>
      </c>
      <c r="J4366" s="188">
        <v>340000000</v>
      </c>
      <c r="K4366" s="188">
        <v>2665600000</v>
      </c>
      <c r="L4366" s="188">
        <v>3631272000</v>
      </c>
      <c r="M4366" s="194">
        <f>L4366/P4366</f>
        <v>25.97995733825304</v>
      </c>
      <c r="N4366" s="190">
        <f>J4366/L4368</f>
        <v>9.5737647309265261E-2</v>
      </c>
      <c r="O4366" s="190">
        <f>(I4366*0.7)/(K4368+L4368)</f>
        <v>6.2715052058406898E-2</v>
      </c>
      <c r="P4366" s="188">
        <v>139772054</v>
      </c>
      <c r="Q4366" s="188">
        <f>P4366*E4366</f>
        <v>13370594685.639999</v>
      </c>
      <c r="R4366" s="195">
        <f>Q4366/L4366</f>
        <v>3.6820691718053618</v>
      </c>
      <c r="S4366" s="197">
        <f>(Q4366+K4366)/H4366</f>
        <v>17.75879810148394</v>
      </c>
      <c r="T4366" s="180"/>
      <c r="U4366" s="189">
        <f>IFERROR(IF(Tableau3[[#This Row],[Dettes]]=0,"",(Tableau3[[#This Row],[Dettes]]/Tableau3[[#This Row],[EBE]])),"")</f>
        <v>2.9519379844961242</v>
      </c>
      <c r="V4366" s="190">
        <f>IFERROR(Tableau3[[#This Row],[Fonds propres]]/Tableau3[[#This Row],[Total Bilan]],"")</f>
        <v>0.46284108074155583</v>
      </c>
      <c r="W4366" s="180">
        <v>7845613000</v>
      </c>
      <c r="X4366" s="192"/>
      <c r="Y4366" s="180">
        <v>12435</v>
      </c>
      <c r="Z4366" s="192">
        <f>IFERROR(Tableau3[[#This Row],[Chiffre d''affaires]]/Tableau3[[#This Row],[Salariés]],"")</f>
        <v>380377.96542018495</v>
      </c>
      <c r="AC4366" s="6" t="s">
        <v>3050</v>
      </c>
    </row>
    <row r="4367" spans="1:29" ht="20.25" customHeight="1">
      <c r="A4367" s="217"/>
      <c r="G4367" s="202">
        <f>(G4366/G4368)-1</f>
        <v>2.4252923343438759E-2</v>
      </c>
      <c r="H4367" s="202">
        <f>(H4366/H4368)-1</f>
        <v>-2.0607375271149642E-2</v>
      </c>
      <c r="I4367" s="202">
        <f>(I4366/I4368)-1</f>
        <v>0.10989588810600481</v>
      </c>
      <c r="J4367" s="202">
        <f>(J4366/J4368)-1</f>
        <v>-0.16256157635467983</v>
      </c>
      <c r="K4367" s="188"/>
      <c r="L4367" s="188"/>
      <c r="M4367" s="194"/>
      <c r="N4367" s="190"/>
      <c r="O4367" s="190"/>
      <c r="P4367" s="188"/>
      <c r="Q4367" s="188"/>
      <c r="R4367" s="188"/>
      <c r="S4367" s="188"/>
      <c r="T4367" s="180"/>
      <c r="U4367" s="189" t="str">
        <f>IFERROR(IF(Tableau3[[#This Row],[Dettes]]=0,"",(Tableau3[[#This Row],[Dettes]]/Tableau3[[#This Row],[EBE]])),"")</f>
        <v/>
      </c>
      <c r="V4367" s="190" t="str">
        <f>IFERROR(Tableau3[[#This Row],[Fonds propres]]/Tableau3[[#This Row],[Total Bilan]],"")</f>
        <v/>
      </c>
      <c r="W4367" s="180"/>
      <c r="X4367" s="192"/>
      <c r="Y4367" s="180"/>
      <c r="Z4367" s="192" t="str">
        <f>IFERROR(Tableau3[[#This Row],[Chiffre d''affaires]]/Tableau3[[#This Row],[Salariés]],"")</f>
        <v/>
      </c>
      <c r="AC4367" s="6" t="s">
        <v>3051</v>
      </c>
    </row>
    <row r="4368" spans="1:29" ht="20.25" customHeight="1">
      <c r="A4368" s="217"/>
      <c r="E4368" s="187">
        <v>97.26</v>
      </c>
      <c r="F4368" s="178">
        <v>2022</v>
      </c>
      <c r="G4368" s="188">
        <v>4618000000</v>
      </c>
      <c r="H4368" s="188">
        <v>922000000</v>
      </c>
      <c r="I4368" s="188">
        <v>503977000</v>
      </c>
      <c r="J4368" s="188">
        <v>406000000</v>
      </c>
      <c r="K4368" s="188">
        <v>2692000000</v>
      </c>
      <c r="L4368" s="188">
        <v>3551372000</v>
      </c>
      <c r="M4368" s="194">
        <f>L4368/P4368</f>
        <v>25.408312308267288</v>
      </c>
      <c r="N4368" s="190">
        <f>J4368/L4370</f>
        <v>0.12735644716918929</v>
      </c>
      <c r="O4368" s="190">
        <f>(I4368*0.7)/(K4370+L4370)</f>
        <v>6.8476425119028836E-2</v>
      </c>
      <c r="P4368" s="188">
        <v>139772054</v>
      </c>
      <c r="Q4368" s="188">
        <f>P4368*E4368</f>
        <v>13594229972.040001</v>
      </c>
      <c r="R4368" s="195">
        <f>Q4368/L4368</f>
        <v>3.8278811603064957</v>
      </c>
      <c r="S4368" s="197">
        <f>(Q4368+K4368)/H4368</f>
        <v>17.664023830845988</v>
      </c>
      <c r="T4368" s="180"/>
      <c r="U4368" s="189">
        <f>IFERROR(IF(Tableau3[[#This Row],[Dettes]]=0,"",(Tableau3[[#This Row],[Dettes]]/Tableau3[[#This Row],[EBE]])),"")</f>
        <v>2.9197396963123645</v>
      </c>
      <c r="V4368" s="190">
        <f>IFERROR(Tableau3[[#This Row],[Fonds propres]]/Tableau3[[#This Row],[Total Bilan]],"")</f>
        <v>0.45630076874321512</v>
      </c>
      <c r="W4368" s="180">
        <v>7782963000</v>
      </c>
      <c r="X4368" s="192"/>
      <c r="Y4368" s="180">
        <v>12252</v>
      </c>
      <c r="Z4368" s="192">
        <f>IFERROR(Tableau3[[#This Row],[Chiffre d''affaires]]/Tableau3[[#This Row],[Salariés]],"")</f>
        <v>376918.05419523345</v>
      </c>
      <c r="AC4368" s="10" t="s">
        <v>4444</v>
      </c>
    </row>
    <row r="4369" spans="1:29" ht="20.25" customHeight="1">
      <c r="A4369" s="217"/>
      <c r="G4369" s="202">
        <f>(G4368/G4370)-1</f>
        <v>0.20700470465237841</v>
      </c>
      <c r="H4369" s="202">
        <f>(H4368/H4370)-1</f>
        <v>0.13267813267813278</v>
      </c>
      <c r="I4369" s="202">
        <f>(I4368/I4370)-1</f>
        <v>-9.8431127012522324E-2</v>
      </c>
      <c r="J4369" s="202">
        <f>(J4368/J4370)-1</f>
        <v>8.2666666666666666E-2</v>
      </c>
      <c r="K4369" s="188"/>
      <c r="L4369" s="188"/>
      <c r="M4369" s="194"/>
      <c r="N4369" s="190"/>
      <c r="O4369" s="190"/>
      <c r="P4369" s="188"/>
      <c r="Q4369" s="188"/>
      <c r="R4369" s="188"/>
      <c r="S4369" s="188"/>
      <c r="T4369" s="180"/>
      <c r="U4369" s="189" t="str">
        <f>IFERROR(IF(Tableau3[[#This Row],[Dettes]]=0,"",(Tableau3[[#This Row],[Dettes]]/Tableau3[[#This Row],[EBE]])),"")</f>
        <v/>
      </c>
      <c r="V4369" s="190" t="str">
        <f>IFERROR(Tableau3[[#This Row],[Fonds propres]]/Tableau3[[#This Row],[Total Bilan]],"")</f>
        <v/>
      </c>
      <c r="W4369" s="180"/>
      <c r="X4369" s="192"/>
      <c r="Y4369" s="180"/>
      <c r="Z4369" s="192" t="str">
        <f>IFERROR(Tableau3[[#This Row],[Chiffre d''affaires]]/Tableau3[[#This Row],[Salariés]],"")</f>
        <v/>
      </c>
      <c r="AC4369" s="6" t="s">
        <v>3035</v>
      </c>
    </row>
    <row r="4370" spans="1:29" ht="20.25" customHeight="1">
      <c r="A4370" s="217"/>
      <c r="E4370" s="178">
        <v>106.2</v>
      </c>
      <c r="F4370" s="178">
        <v>2021</v>
      </c>
      <c r="G4370" s="188">
        <v>3826000000</v>
      </c>
      <c r="H4370" s="188">
        <v>814000000</v>
      </c>
      <c r="I4370" s="188">
        <v>559000000</v>
      </c>
      <c r="J4370" s="188">
        <v>375000000</v>
      </c>
      <c r="K4370" s="188">
        <v>1964000000</v>
      </c>
      <c r="L4370" s="188">
        <v>3187903000</v>
      </c>
      <c r="M4370" s="194">
        <f>L4370/P4370</f>
        <v>22.807871164288677</v>
      </c>
      <c r="N4370" s="190">
        <f>J4370/L4372</f>
        <v>0.16291208612184521</v>
      </c>
      <c r="O4370" s="190">
        <f>(I4370*0.7)/(K4372+L4372)</f>
        <v>9.0351674207517912E-2</v>
      </c>
      <c r="P4370" s="188">
        <v>139772054</v>
      </c>
      <c r="Q4370" s="188">
        <f>P4370*E4370</f>
        <v>14843792134.800001</v>
      </c>
      <c r="R4370" s="195">
        <f>Q4370/L4370</f>
        <v>4.6562872630691716</v>
      </c>
      <c r="S4370" s="197">
        <f>(Q4370+K4370)/H4370</f>
        <v>20.648393285995088</v>
      </c>
      <c r="T4370" s="180"/>
      <c r="U4370" s="189">
        <f>IFERROR(IF(Tableau3[[#This Row],[Dettes]]=0,"",(Tableau3[[#This Row],[Dettes]]/Tableau3[[#This Row],[EBE]])),"")</f>
        <v>2.4127764127764126</v>
      </c>
      <c r="V4370" s="190">
        <f>IFERROR(Tableau3[[#This Row],[Fonds propres]]/Tableau3[[#This Row],[Total Bilan]],"")</f>
        <v>0.4777316049752735</v>
      </c>
      <c r="W4370" s="180">
        <v>6673000000</v>
      </c>
      <c r="X4370" s="192"/>
      <c r="Y4370" s="180">
        <v>11276</v>
      </c>
      <c r="Z4370" s="192">
        <f>IFERROR(Tableau3[[#This Row],[Chiffre d''affaires]]/Tableau3[[#This Row],[Salariés]],"")</f>
        <v>339304.7179851011</v>
      </c>
      <c r="AC4370" s="6" t="s">
        <v>3052</v>
      </c>
    </row>
    <row r="4371" spans="1:29" ht="20.25" customHeight="1">
      <c r="A4371" s="217"/>
      <c r="G4371" s="202">
        <f>(G4370/G4372)-1</f>
        <v>8.6931818181818166E-2</v>
      </c>
      <c r="H4371" s="202">
        <f>(H4370/H4372)-1</f>
        <v>9.7035040431266761E-2</v>
      </c>
      <c r="I4371" s="202">
        <f>(I4370/I4372)-1</f>
        <v>0.14666666666666672</v>
      </c>
      <c r="J4371" s="202">
        <f>(J4370/J4372)-1</f>
        <v>0.22149837133550498</v>
      </c>
      <c r="K4371" s="18"/>
      <c r="L4371" s="188"/>
      <c r="M4371" s="194"/>
      <c r="N4371" s="190"/>
      <c r="O4371" s="190"/>
      <c r="P4371" s="188"/>
      <c r="Q4371" s="188"/>
      <c r="R4371" s="188"/>
      <c r="S4371" s="188"/>
      <c r="T4371" s="180"/>
      <c r="U4371" s="189" t="str">
        <f>IFERROR(IF(Tableau3[[#This Row],[Dettes]]=0,"",(Tableau3[[#This Row],[Dettes]]/Tableau3[[#This Row],[EBE]])),"")</f>
        <v/>
      </c>
      <c r="V4371" s="190" t="str">
        <f>IFERROR(Tableau3[[#This Row],[Fonds propres]]/Tableau3[[#This Row],[Total Bilan]],"")</f>
        <v/>
      </c>
      <c r="W4371" s="180"/>
      <c r="X4371" s="192"/>
      <c r="Y4371" s="180"/>
      <c r="Z4371" s="192" t="str">
        <f>IFERROR(Tableau3[[#This Row],[Chiffre d''affaires]]/Tableau3[[#This Row],[Salariés]],"")</f>
        <v/>
      </c>
      <c r="AC4371" s="6" t="s">
        <v>4459</v>
      </c>
    </row>
    <row r="4372" spans="1:29" ht="20.25" customHeight="1">
      <c r="A4372" s="217"/>
      <c r="E4372" s="178">
        <v>103.1</v>
      </c>
      <c r="F4372" s="178">
        <v>2020</v>
      </c>
      <c r="G4372" s="188">
        <v>3520000000</v>
      </c>
      <c r="H4372" s="188">
        <v>742000000</v>
      </c>
      <c r="I4372" s="188">
        <v>487500000</v>
      </c>
      <c r="J4372" s="188">
        <v>307000000</v>
      </c>
      <c r="K4372" s="188">
        <v>2029000000</v>
      </c>
      <c r="L4372" s="188">
        <v>2301855000</v>
      </c>
      <c r="M4372" s="194">
        <f>L4372/P4372</f>
        <v>16.997065790836825</v>
      </c>
      <c r="N4372" s="190">
        <f>J4372/L4374</f>
        <v>0.12753554793757987</v>
      </c>
      <c r="O4372" s="190">
        <f>(I4372*0.7)/(K4374+L4374)</f>
        <v>7.3717286806366231E-2</v>
      </c>
      <c r="P4372" s="188">
        <v>135426610</v>
      </c>
      <c r="Q4372" s="188">
        <f>P4372*E4372</f>
        <v>13962483491</v>
      </c>
      <c r="R4372" s="195">
        <f>Q4372/L4372</f>
        <v>6.0657528345616907</v>
      </c>
      <c r="S4372" s="197">
        <f>(Q4372+K4372)/H4372</f>
        <v>21.551864543126683</v>
      </c>
      <c r="T4372" s="180"/>
      <c r="U4372" s="189">
        <f>IFERROR(IF(Tableau3[[#This Row],[Dettes]]=0,"",(Tableau3[[#This Row],[Dettes]]/Tableau3[[#This Row],[EBE]])),"")</f>
        <v>2.7345013477088949</v>
      </c>
      <c r="V4372" s="190">
        <f>IFERROR(Tableau3[[#This Row],[Fonds propres]]/Tableau3[[#This Row],[Total Bilan]],"")</f>
        <v>0.38751767676767679</v>
      </c>
      <c r="W4372" s="180">
        <v>5940000000</v>
      </c>
      <c r="X4372" s="192"/>
      <c r="Y4372" s="180">
        <v>10531</v>
      </c>
      <c r="Z4372" s="192">
        <f>IFERROR(Tableau3[[#This Row],[Chiffre d''affaires]]/Tableau3[[#This Row],[Salariés]],"")</f>
        <v>334251.25819010538</v>
      </c>
      <c r="AC4372" s="6" t="s">
        <v>4445</v>
      </c>
    </row>
    <row r="4373" spans="1:29" ht="20.25" customHeight="1">
      <c r="A4373" s="217"/>
      <c r="G4373" s="202">
        <f>(G4372/G4374)-1</f>
        <v>3.2863849765258246E-2</v>
      </c>
      <c r="H4373" s="202">
        <f>(H4372/H4374)-1</f>
        <v>5.8487874465049883E-2</v>
      </c>
      <c r="I4373" s="202">
        <f>(I4372/I4374)-1</f>
        <v>3.3715012722646209E-2</v>
      </c>
      <c r="J4373" s="202">
        <f>(J4372/J4374)-1</f>
        <v>3.716216216216206E-2</v>
      </c>
      <c r="K4373" s="188"/>
      <c r="L4373" s="188"/>
      <c r="M4373" s="194"/>
      <c r="N4373" s="190"/>
      <c r="O4373" s="190"/>
      <c r="P4373" s="188"/>
      <c r="Q4373" s="188"/>
      <c r="R4373" s="188"/>
      <c r="S4373" s="188"/>
      <c r="T4373" s="180"/>
      <c r="U4373" s="189" t="str">
        <f>IFERROR(IF(Tableau3[[#This Row],[Dettes]]=0,"",(Tableau3[[#This Row],[Dettes]]/Tableau3[[#This Row],[EBE]])),"")</f>
        <v/>
      </c>
      <c r="V4373" s="190" t="str">
        <f>IFERROR(Tableau3[[#This Row],[Fonds propres]]/Tableau3[[#This Row],[Total Bilan]],"")</f>
        <v/>
      </c>
      <c r="W4373" s="180"/>
      <c r="X4373" s="192"/>
      <c r="Y4373" s="180"/>
      <c r="Z4373" s="192" t="str">
        <f>IFERROR(Tableau3[[#This Row],[Chiffre d''affaires]]/Tableau3[[#This Row],[Salariés]],"")</f>
        <v/>
      </c>
      <c r="AC4373" s="6" t="s">
        <v>5238</v>
      </c>
    </row>
    <row r="4374" spans="1:29" ht="20.25" customHeight="1">
      <c r="A4374" s="217"/>
      <c r="E4374" s="178">
        <v>92.8</v>
      </c>
      <c r="F4374" s="178">
        <v>2019</v>
      </c>
      <c r="G4374" s="188">
        <v>3408000000</v>
      </c>
      <c r="H4374" s="188">
        <v>701000000</v>
      </c>
      <c r="I4374" s="188">
        <v>471600000</v>
      </c>
      <c r="J4374" s="188">
        <v>296000000</v>
      </c>
      <c r="K4374" s="188">
        <v>2222000000</v>
      </c>
      <c r="L4374" s="188">
        <v>2407172000</v>
      </c>
      <c r="M4374" s="194">
        <f>L4374/P4374</f>
        <v>17.774734226899721</v>
      </c>
      <c r="N4374" s="190">
        <f>J4374/L4376</f>
        <v>0.15644886447722822</v>
      </c>
      <c r="O4374" s="190">
        <f>(I4374*0.7)/(K4376+L4376)</f>
        <v>8.7218149998731828E-2</v>
      </c>
      <c r="P4374" s="188">
        <v>135426610</v>
      </c>
      <c r="Q4374" s="188">
        <f>P4374*E4374</f>
        <v>12567589408</v>
      </c>
      <c r="R4374" s="195">
        <f>Q4374/L4374</f>
        <v>5.2208938156475728</v>
      </c>
      <c r="S4374" s="197">
        <f>(Q4374+K4374)/H4374</f>
        <v>21.097845089871612</v>
      </c>
      <c r="T4374" s="180"/>
      <c r="U4374" s="189">
        <f>IFERROR(IF(Tableau3[[#This Row],[Dettes]]=0,"",(Tableau3[[#This Row],[Dettes]]/Tableau3[[#This Row],[EBE]])),"")</f>
        <v>3.1697574893009985</v>
      </c>
      <c r="V4374" s="190">
        <f>IFERROR(Tableau3[[#This Row],[Fonds propres]]/Tableau3[[#This Row],[Total Bilan]],"")</f>
        <v>0.4043628422644045</v>
      </c>
      <c r="W4374" s="180">
        <v>5953000000</v>
      </c>
      <c r="X4374" s="192"/>
      <c r="Y4374" s="180">
        <v>10401</v>
      </c>
      <c r="Z4374" s="192">
        <f>IFERROR(Tableau3[[#This Row],[Chiffre d''affaires]]/Tableau3[[#This Row],[Salariés]],"")</f>
        <v>327660.80184597633</v>
      </c>
      <c r="AC4374" s="6" t="s">
        <v>5211</v>
      </c>
    </row>
    <row r="4375" spans="1:29" ht="20.25" customHeight="1">
      <c r="A4375" s="217"/>
      <c r="G4375" s="202">
        <f>(G4374/G4376)-1</f>
        <v>8.0532656943563818E-2</v>
      </c>
      <c r="H4375" s="202">
        <f>(H4374/H4376)-1</f>
        <v>0.11093502377179076</v>
      </c>
      <c r="I4375" s="202">
        <f>(I4374/I4376)-1</f>
        <v>8.6635944700460765E-2</v>
      </c>
      <c r="J4375" s="202">
        <f>(J4374/J4376)-1</f>
        <v>5.7142857142857162E-2</v>
      </c>
      <c r="K4375" s="188"/>
      <c r="L4375" s="188"/>
      <c r="M4375" s="194"/>
      <c r="N4375" s="190"/>
      <c r="O4375" s="190"/>
      <c r="P4375" s="188"/>
      <c r="Q4375" s="188"/>
      <c r="R4375" s="188"/>
      <c r="S4375" s="188"/>
      <c r="T4375" s="180"/>
      <c r="U4375" s="189" t="str">
        <f>IFERROR(IF(Tableau3[[#This Row],[Dettes]]=0,"",(Tableau3[[#This Row],[Dettes]]/Tableau3[[#This Row],[EBE]])),"")</f>
        <v/>
      </c>
      <c r="V4375" s="190" t="str">
        <f>IFERROR(Tableau3[[#This Row],[Fonds propres]]/Tableau3[[#This Row],[Total Bilan]],"")</f>
        <v/>
      </c>
      <c r="W4375" s="180"/>
      <c r="X4375" s="192"/>
      <c r="Y4375" s="180"/>
      <c r="Z4375" s="192" t="str">
        <f>IFERROR(Tableau3[[#This Row],[Chiffre d''affaires]]/Tableau3[[#This Row],[Salariés]],"")</f>
        <v/>
      </c>
      <c r="AC4375" s="10" t="s">
        <v>4644</v>
      </c>
    </row>
    <row r="4376" spans="1:29" ht="20.25" customHeight="1">
      <c r="A4376" s="217"/>
      <c r="E4376" s="187">
        <v>73.12</v>
      </c>
      <c r="F4376" s="178">
        <v>2018</v>
      </c>
      <c r="G4376" s="188">
        <v>3154000000</v>
      </c>
      <c r="H4376" s="286">
        <v>631000000</v>
      </c>
      <c r="I4376" s="188">
        <v>434000000</v>
      </c>
      <c r="J4376" s="188">
        <v>280000000</v>
      </c>
      <c r="K4376" s="188">
        <v>1893000000</v>
      </c>
      <c r="L4376" s="188">
        <v>1891992000</v>
      </c>
      <c r="M4376" s="194">
        <f>L4376/P4376</f>
        <v>13.970607401307616</v>
      </c>
      <c r="N4376" s="190">
        <f>J4376/L4378</f>
        <v>0.1634801657688881</v>
      </c>
      <c r="O4376" s="190">
        <f>(I4376*0.7)/(K4378+L4378)</f>
        <v>8.3591380677568952E-2</v>
      </c>
      <c r="P4376" s="188">
        <v>135426610</v>
      </c>
      <c r="Q4376" s="188">
        <f>P4376*E4376</f>
        <v>9902393723.2000008</v>
      </c>
      <c r="R4376" s="195">
        <f>Q4376/L4376</f>
        <v>5.2338454513549744</v>
      </c>
      <c r="S4376" s="197">
        <f>(Q4376+K4376)/H4376</f>
        <v>18.693175472583203</v>
      </c>
      <c r="T4376" s="180"/>
      <c r="U4376" s="189">
        <f>IFERROR(IF(Tableau3[[#This Row],[Dettes]]=0,"",(Tableau3[[#This Row],[Dettes]]/Tableau3[[#This Row],[EBE]])),"")</f>
        <v>3</v>
      </c>
      <c r="V4376" s="190">
        <f>IFERROR(Tableau3[[#This Row],[Fonds propres]]/Tableau3[[#This Row],[Total Bilan]],"")</f>
        <v>0.38455121951219512</v>
      </c>
      <c r="W4376" s="180">
        <v>4920000000</v>
      </c>
      <c r="X4376" s="192"/>
      <c r="Y4376" s="180">
        <v>9647</v>
      </c>
      <c r="Z4376" s="192">
        <f>IFERROR(Tableau3[[#This Row],[Chiffre d''affaires]]/Tableau3[[#This Row],[Salariés]],"")</f>
        <v>326941.0179330362</v>
      </c>
      <c r="AC4376" s="10" t="s">
        <v>5236</v>
      </c>
    </row>
    <row r="4377" spans="1:29" ht="20.25" customHeight="1">
      <c r="A4377" s="217"/>
      <c r="G4377" s="202">
        <f>(G4376/G4378)-1</f>
        <v>5.2631578947368363E-2</v>
      </c>
      <c r="H4377" s="202">
        <f>(H4376/H4378)-1</f>
        <v>4.7770700636942109E-3</v>
      </c>
      <c r="I4377" s="202">
        <f>(I4376/I4378)-1</f>
        <v>5.5607043558851821E-3</v>
      </c>
      <c r="J4377" s="202">
        <f>(J4376/J4378)-1</f>
        <v>3.588605253422128E-2</v>
      </c>
      <c r="K4377" s="18"/>
      <c r="L4377" s="188"/>
      <c r="M4377" s="194"/>
      <c r="N4377" s="190"/>
      <c r="O4377" s="190"/>
      <c r="P4377" s="188"/>
      <c r="Q4377" s="188"/>
      <c r="R4377" s="188"/>
      <c r="S4377" s="188"/>
      <c r="T4377" s="180"/>
      <c r="U4377" s="189" t="str">
        <f>IFERROR(IF(Tableau3[[#This Row],[Dettes]]=0,"",(Tableau3[[#This Row],[Dettes]]/Tableau3[[#This Row],[EBE]])),"")</f>
        <v/>
      </c>
      <c r="V4377" s="190" t="str">
        <f>IFERROR(Tableau3[[#This Row],[Fonds propres]]/Tableau3[[#This Row],[Total Bilan]],"")</f>
        <v/>
      </c>
      <c r="W4377" s="180"/>
      <c r="X4377" s="192"/>
      <c r="Y4377" s="180"/>
      <c r="Z4377" s="192" t="str">
        <f>IFERROR(Tableau3[[#This Row],[Chiffre d''affaires]]/Tableau3[[#This Row],[Salariés]],"")</f>
        <v/>
      </c>
      <c r="AC4377" s="6" t="s">
        <v>3053</v>
      </c>
    </row>
    <row r="4378" spans="1:29" ht="20.25" customHeight="1">
      <c r="A4378" s="217"/>
      <c r="E4378" s="187">
        <v>67.34</v>
      </c>
      <c r="F4378" s="178">
        <v>2017</v>
      </c>
      <c r="G4378" s="188">
        <v>2996300000</v>
      </c>
      <c r="H4378" s="188">
        <v>628000000</v>
      </c>
      <c r="I4378" s="188">
        <v>431600000</v>
      </c>
      <c r="J4378" s="188">
        <v>270300000</v>
      </c>
      <c r="K4378" s="188">
        <v>1921600000</v>
      </c>
      <c r="L4378" s="188">
        <v>1712746000</v>
      </c>
      <c r="M4378" s="194">
        <f>L4378/P4378</f>
        <v>13.193991515798769</v>
      </c>
      <c r="N4378" s="190">
        <f>J4378/L4380</f>
        <v>0.16169362557427258</v>
      </c>
      <c r="O4378" s="190">
        <f>(I4378*0.7)/(K4380+L4380)</f>
        <v>8.294348905141552E-2</v>
      </c>
      <c r="P4378" s="188">
        <v>129812574</v>
      </c>
      <c r="Q4378" s="188">
        <f>P4378*E4378</f>
        <v>8741578733.1599998</v>
      </c>
      <c r="R4378" s="195">
        <f>Q4378/L4378</f>
        <v>5.103838358495655</v>
      </c>
      <c r="S4378" s="197">
        <f>(Q4378+L4378)/H4378</f>
        <v>16.647013906305734</v>
      </c>
      <c r="T4378" s="180">
        <v>176900000</v>
      </c>
      <c r="U4378" s="189">
        <f>IFERROR(IF(Tableau3[[#This Row],[Dettes]]=0,"",(Tableau3[[#This Row],[Dettes]]/Tableau3[[#This Row],[EBE]])),"")</f>
        <v>3.0598726114649684</v>
      </c>
      <c r="V4378" s="190">
        <f>IFERROR(Tableau3[[#This Row],[Fonds propres]]/Tableau3[[#This Row],[Total Bilan]],"")</f>
        <v>0.36625310067573347</v>
      </c>
      <c r="W4378" s="180">
        <v>4676400000</v>
      </c>
      <c r="X4378" s="192"/>
      <c r="Y4378" s="180">
        <v>9387</v>
      </c>
      <c r="Z4378" s="192">
        <f>IFERROR(Tableau3[[#This Row],[Chiffre d''affaires]]/Tableau3[[#This Row],[Salariés]],"")</f>
        <v>319196.76147864066</v>
      </c>
      <c r="AC4378" s="6" t="s">
        <v>3054</v>
      </c>
    </row>
    <row r="4379" spans="1:29" ht="20.25" customHeight="1">
      <c r="A4379" s="217"/>
      <c r="G4379" s="202">
        <f>(G4378/G4380)-1</f>
        <v>3.2068062827225186E-2</v>
      </c>
      <c r="H4379" s="202">
        <f>(H4378/H4380)-1</f>
        <v>4.4785668586051486E-3</v>
      </c>
      <c r="I4379" s="202">
        <f>(I4378/I4380)-1</f>
        <v>2.2022259057542071E-2</v>
      </c>
      <c r="J4379" s="202">
        <f>(J4378/J4380)-1</f>
        <v>1.8079096045197751E-2</v>
      </c>
      <c r="K4379" s="178"/>
      <c r="L4379" s="188"/>
      <c r="M4379" s="194"/>
      <c r="N4379" s="190"/>
      <c r="O4379" s="190"/>
      <c r="P4379" s="188"/>
      <c r="Q4379" s="188"/>
      <c r="R4379" s="188"/>
      <c r="S4379" s="188"/>
      <c r="T4379" s="180"/>
      <c r="U4379" s="189" t="str">
        <f>IFERROR(IF(Tableau3[[#This Row],[Dettes]]=0,"",(Tableau3[[#This Row],[Dettes]]/Tableau3[[#This Row],[EBE]])),"")</f>
        <v/>
      </c>
      <c r="V4379" s="190" t="str">
        <f>IFERROR(Tableau3[[#This Row],[Fonds propres]]/Tableau3[[#This Row],[Total Bilan]],"")</f>
        <v/>
      </c>
      <c r="W4379" s="180"/>
      <c r="X4379" s="192"/>
      <c r="Y4379" s="180"/>
      <c r="Z4379" s="192" t="str">
        <f>IFERROR(Tableau3[[#This Row],[Chiffre d''affaires]]/Tableau3[[#This Row],[Salariés]],"")</f>
        <v/>
      </c>
      <c r="AC4379" s="10">
        <v>2019</v>
      </c>
    </row>
    <row r="4380" spans="1:29" ht="20.25" customHeight="1">
      <c r="A4380" s="217"/>
      <c r="E4380" s="187">
        <v>55.82</v>
      </c>
      <c r="F4380" s="178">
        <v>2016</v>
      </c>
      <c r="G4380" s="188">
        <v>2903200000</v>
      </c>
      <c r="H4380" s="188">
        <v>625200000</v>
      </c>
      <c r="I4380" s="188">
        <v>422300000</v>
      </c>
      <c r="J4380" s="188">
        <v>265500000</v>
      </c>
      <c r="K4380" s="188">
        <v>1970800000</v>
      </c>
      <c r="L4380" s="188">
        <v>1671680000</v>
      </c>
      <c r="M4380" s="194">
        <f>L4380/P4380</f>
        <v>12.877643116451878</v>
      </c>
      <c r="N4380" s="190">
        <f>J4380/L4382</f>
        <v>0.16717038156403477</v>
      </c>
      <c r="O4380" s="190">
        <f>(I4380*0.7)/(K4382+L4382)</f>
        <v>9.3432156515692658E-2</v>
      </c>
      <c r="P4380" s="188">
        <v>129812574</v>
      </c>
      <c r="Q4380" s="188">
        <f>P4380*E4380</f>
        <v>7246137880.6800003</v>
      </c>
      <c r="R4380" s="195">
        <f>Q4380/L4380</f>
        <v>4.3346441188983542</v>
      </c>
      <c r="S4380" s="197">
        <f>(Q4380+L4380)/H4380</f>
        <v>14.263944146960974</v>
      </c>
      <c r="T4380" s="180">
        <v>27800000</v>
      </c>
      <c r="U4380" s="189">
        <f>IFERROR(IF(Tableau3[[#This Row],[Dettes]]=0,"",(Tableau3[[#This Row],[Dettes]]/Tableau3[[#This Row],[EBE]])),"")</f>
        <v>3.1522712731925782</v>
      </c>
      <c r="V4380" s="190">
        <f>IFERROR(Tableau3[[#This Row],[Fonds propres]]/Tableau3[[#This Row],[Total Bilan]],"")</f>
        <v>0.35173269930776191</v>
      </c>
      <c r="W4380" s="180">
        <v>4752700000</v>
      </c>
      <c r="X4380" s="192"/>
      <c r="Y4380" s="180">
        <v>8944</v>
      </c>
      <c r="Z4380" s="192">
        <f>IFERROR(Tableau3[[#This Row],[Chiffre d''affaires]]/Tableau3[[#This Row],[Salariés]],"")</f>
        <v>324597.49552772811</v>
      </c>
      <c r="AC4380" s="10">
        <v>2020</v>
      </c>
    </row>
    <row r="4381" spans="1:29" ht="20.25" customHeight="1">
      <c r="A4381" s="217"/>
      <c r="G4381" s="202">
        <f>(G4380/G4382)-1</f>
        <v>0.11588576699850095</v>
      </c>
      <c r="H4381" s="202">
        <f>(H4380/H4382)-1</f>
        <v>9.2624956308982931E-2</v>
      </c>
      <c r="I4381" s="202">
        <f>(I4380/I4382)-1</f>
        <v>6.8572874493927127E-2</v>
      </c>
      <c r="J4381" s="202">
        <f>(J4380/J4382)-1</f>
        <v>7.5769854132901049E-2</v>
      </c>
      <c r="K4381" s="188"/>
      <c r="L4381" s="188"/>
      <c r="M4381" s="194"/>
      <c r="N4381" s="190"/>
      <c r="O4381" s="190"/>
      <c r="P4381" s="188"/>
      <c r="Q4381" s="188"/>
      <c r="R4381" s="188"/>
      <c r="S4381" s="188"/>
      <c r="T4381" s="180"/>
      <c r="U4381" s="189" t="str">
        <f>IFERROR(IF(Tableau3[[#This Row],[Dettes]]=0,"",(Tableau3[[#This Row],[Dettes]]/Tableau3[[#This Row],[EBE]])),"")</f>
        <v/>
      </c>
      <c r="V4381" s="190" t="str">
        <f>IFERROR(Tableau3[[#This Row],[Fonds propres]]/Tableau3[[#This Row],[Total Bilan]],"")</f>
        <v/>
      </c>
      <c r="W4381" s="180"/>
      <c r="X4381" s="192"/>
      <c r="Y4381" s="180"/>
      <c r="Z4381" s="192" t="str">
        <f>IFERROR(Tableau3[[#This Row],[Chiffre d''affaires]]/Tableau3[[#This Row],[Salariés]],"")</f>
        <v/>
      </c>
      <c r="AC4381" s="10">
        <v>2021</v>
      </c>
    </row>
    <row r="4382" spans="1:29" ht="20.25" customHeight="1">
      <c r="A4382" s="217"/>
      <c r="E4382" s="187">
        <v>59.34</v>
      </c>
      <c r="F4382" s="178">
        <v>2015</v>
      </c>
      <c r="G4382" s="188">
        <v>2601700000</v>
      </c>
      <c r="H4382" s="188">
        <v>572200000</v>
      </c>
      <c r="I4382" s="188">
        <v>395200000</v>
      </c>
      <c r="J4382" s="188">
        <v>246800000</v>
      </c>
      <c r="K4382" s="188">
        <v>1575700000</v>
      </c>
      <c r="L4382" s="188">
        <v>1588200000</v>
      </c>
      <c r="M4382" s="194">
        <f>L4382/P4382</f>
        <v>12.234562115685343</v>
      </c>
      <c r="N4382" s="190">
        <f>J4382/L4384</f>
        <v>0.17232230135455942</v>
      </c>
      <c r="O4382" s="190">
        <f>(I4382*0.7)/(K4384+L4384)</f>
        <v>9.004329004329005E-2</v>
      </c>
      <c r="P4382" s="188">
        <v>129812574</v>
      </c>
      <c r="Q4382" s="188">
        <f>P4382*E4382</f>
        <v>7703078141.1600008</v>
      </c>
      <c r="R4382" s="195">
        <f>Q4382/L4382</f>
        <v>4.8501940191159809</v>
      </c>
      <c r="S4382" s="197">
        <f>(Q4382+K4382)/H4382</f>
        <v>16.215970187277176</v>
      </c>
      <c r="T4382" s="180"/>
      <c r="U4382" s="189">
        <f>IFERROR(IF(Tableau3[[#This Row],[Dettes]]=0,"",(Tableau3[[#This Row],[Dettes]]/Tableau3[[#This Row],[EBE]])),"")</f>
        <v>2.7537574274729115</v>
      </c>
      <c r="V4382" s="190">
        <f>IFERROR(Tableau3[[#This Row],[Fonds propres]]/Tableau3[[#This Row],[Total Bilan]],"")</f>
        <v>0.37960705578660547</v>
      </c>
      <c r="W4382" s="180">
        <v>4183800000</v>
      </c>
      <c r="X4382" s="192"/>
      <c r="Y4382" s="180">
        <v>8301</v>
      </c>
      <c r="Z4382" s="192">
        <f>IFERROR(Tableau3[[#This Row],[Chiffre d''affaires]]/Tableau3[[#This Row],[Salariés]],"")</f>
        <v>313420.06987109984</v>
      </c>
      <c r="AC4382" s="10">
        <v>2022</v>
      </c>
    </row>
    <row r="4383" spans="1:29" ht="20.25" customHeight="1">
      <c r="A4383" s="217"/>
      <c r="G4383" s="202">
        <f>(G4382/G4384)-1</f>
        <v>0.22663837812352661</v>
      </c>
      <c r="H4383" s="202">
        <f>(H4382/H4384)-1</f>
        <v>0.23186221743810553</v>
      </c>
      <c r="I4383" s="202">
        <f>(I4382/I4384)-1</f>
        <v>-0.14919268030139932</v>
      </c>
      <c r="J4383" s="202">
        <f>(J4382/J4384)-1</f>
        <v>0.16635160680529304</v>
      </c>
      <c r="K4383" s="188"/>
      <c r="L4383" s="188"/>
      <c r="M4383" s="194"/>
      <c r="N4383" s="190"/>
      <c r="O4383" s="190"/>
      <c r="P4383" s="188"/>
      <c r="Q4383" s="188"/>
      <c r="R4383" s="188"/>
      <c r="S4383" s="188"/>
      <c r="T4383" s="180"/>
      <c r="U4383" s="189" t="str">
        <f>IFERROR(IF(Tableau3[[#This Row],[Dettes]]=0,"",(Tableau3[[#This Row],[Dettes]]/Tableau3[[#This Row],[EBE]])),"")</f>
        <v/>
      </c>
      <c r="V4383" s="190" t="str">
        <f>IFERROR(Tableau3[[#This Row],[Fonds propres]]/Tableau3[[#This Row],[Total Bilan]],"")</f>
        <v/>
      </c>
      <c r="W4383" s="180"/>
      <c r="X4383" s="192"/>
      <c r="Y4383" s="180"/>
      <c r="Z4383" s="192" t="str">
        <f>IFERROR(Tableau3[[#This Row],[Chiffre d''affaires]]/Tableau3[[#This Row],[Salariés]],"")</f>
        <v/>
      </c>
      <c r="AC4383" s="10">
        <v>2023</v>
      </c>
    </row>
    <row r="4384" spans="1:29" ht="20.25" customHeight="1">
      <c r="A4384" s="217"/>
      <c r="E4384" s="178">
        <v>57.9</v>
      </c>
      <c r="F4384" s="178">
        <v>2014</v>
      </c>
      <c r="G4384" s="188">
        <v>2121000000</v>
      </c>
      <c r="H4384" s="188">
        <v>464500000</v>
      </c>
      <c r="I4384" s="188">
        <v>464500000</v>
      </c>
      <c r="J4384" s="188">
        <v>211600000</v>
      </c>
      <c r="K4384" s="188">
        <v>1640100000</v>
      </c>
      <c r="L4384" s="188">
        <v>1432200000</v>
      </c>
      <c r="M4384" s="194">
        <f>L4384/P4384</f>
        <v>11.032829531598379</v>
      </c>
      <c r="N4384" s="190">
        <f>J4384/L4386</f>
        <v>0.22247923457049731</v>
      </c>
      <c r="O4384" s="190">
        <f>(I4384*0.7)/(K4386+L4386)</f>
        <v>0.19172710655109382</v>
      </c>
      <c r="P4384" s="188">
        <v>129812574</v>
      </c>
      <c r="Q4384" s="188">
        <f>P4384*E4384</f>
        <v>7516148034.5999994</v>
      </c>
      <c r="R4384" s="195">
        <f>Q4384/L4384</f>
        <v>5.2479737708420604</v>
      </c>
      <c r="S4384" s="197">
        <f>(Q4384+K4384)/H4384</f>
        <v>19.712051742949406</v>
      </c>
      <c r="T4384" s="180"/>
      <c r="U4384" s="189">
        <f>IFERROR(IF(Tableau3[[#This Row],[Dettes]]=0,"",(Tableau3[[#This Row],[Dettes]]/Tableau3[[#This Row],[EBE]])),"")</f>
        <v>3.5308934337997848</v>
      </c>
      <c r="V4384" s="190">
        <f>IFERROR(Tableau3[[#This Row],[Fonds propres]]/Tableau3[[#This Row],[Total Bilan]],"")</f>
        <v>0.35806790339516975</v>
      </c>
      <c r="W4384" s="180">
        <v>3999800000</v>
      </c>
      <c r="X4384" s="192"/>
      <c r="Y4384" s="180">
        <v>8160</v>
      </c>
      <c r="Z4384" s="192">
        <f>IFERROR(Tableau3[[#This Row],[Chiffre d''affaires]]/Tableau3[[#This Row],[Salariés]],"")</f>
        <v>259926.4705882353</v>
      </c>
      <c r="AC4384" s="10" t="s">
        <v>5240</v>
      </c>
    </row>
    <row r="4385" spans="1:29" ht="20.25" customHeight="1">
      <c r="A4385" s="217"/>
      <c r="G4385" s="202">
        <f>(G4384/G4386)-1</f>
        <v>0.15876311188811187</v>
      </c>
      <c r="H4385" s="202">
        <f>(H4384/H4386)-1</f>
        <v>0.24497453765746457</v>
      </c>
      <c r="I4385" s="202">
        <f>(I4384/I4386)-1</f>
        <v>0.64076298127870013</v>
      </c>
      <c r="J4385" s="202">
        <f>(J4384/J4386)-1</f>
        <v>0.22809053975623916</v>
      </c>
      <c r="K4385" s="188"/>
      <c r="L4385" s="188"/>
      <c r="M4385" s="194"/>
      <c r="N4385" s="190"/>
      <c r="O4385" s="190"/>
      <c r="P4385" s="188"/>
      <c r="Q4385" s="188"/>
      <c r="R4385" s="188"/>
      <c r="S4385" s="188"/>
      <c r="T4385" s="180"/>
      <c r="U4385" s="189" t="str">
        <f>IFERROR(IF(Tableau3[[#This Row],[Dettes]]=0,"",(Tableau3[[#This Row],[Dettes]]/Tableau3[[#This Row],[EBE]])),"")</f>
        <v/>
      </c>
      <c r="V4385" s="190" t="str">
        <f>IFERROR(Tableau3[[#This Row],[Fonds propres]]/Tableau3[[#This Row],[Total Bilan]],"")</f>
        <v/>
      </c>
      <c r="W4385" s="180"/>
      <c r="X4385" s="192"/>
      <c r="Y4385" s="180"/>
      <c r="Z4385" s="192" t="str">
        <f>IFERROR(Tableau3[[#This Row],[Chiffre d''affaires]]/Tableau3[[#This Row],[Salariés]],"")</f>
        <v/>
      </c>
      <c r="AC4385" s="177" t="s">
        <v>5237</v>
      </c>
    </row>
    <row r="4386" spans="1:29" ht="20.25" customHeight="1">
      <c r="A4386" s="217"/>
      <c r="E4386" s="187">
        <v>33.659999999999997</v>
      </c>
      <c r="F4386" s="178">
        <v>2013</v>
      </c>
      <c r="G4386" s="188">
        <v>1830400000</v>
      </c>
      <c r="H4386" s="188">
        <v>373100000</v>
      </c>
      <c r="I4386" s="188">
        <v>283100000</v>
      </c>
      <c r="J4386" s="188">
        <v>172300000</v>
      </c>
      <c r="K4386" s="188">
        <v>744800000</v>
      </c>
      <c r="L4386" s="188">
        <v>951100000</v>
      </c>
      <c r="M4386" s="194">
        <f>L4386/P4386</f>
        <v>8.0483493310248591</v>
      </c>
      <c r="N4386" s="190">
        <f>J4386/L4388</f>
        <v>0.19654971407321048</v>
      </c>
      <c r="O4386" s="190">
        <f>(I4386*0.7)/(K4388+L4388)</f>
        <v>0.11733513013914784</v>
      </c>
      <c r="P4386" s="188">
        <v>118173300</v>
      </c>
      <c r="Q4386" s="188">
        <f>P4386*E4386</f>
        <v>3977713277.9999995</v>
      </c>
      <c r="R4386" s="195">
        <f>Q4386/L4386</f>
        <v>4.1822240332246867</v>
      </c>
      <c r="S4386" s="197">
        <f>(Q4386+K4386)/H4386</f>
        <v>12.657500075046904</v>
      </c>
      <c r="T4386" s="180"/>
      <c r="U4386" s="189">
        <f>IFERROR(IF(Tableau3[[#This Row],[Dettes]]=0,"",(Tableau3[[#This Row],[Dettes]]/Tableau3[[#This Row],[EBE]])),"")</f>
        <v>1.99624765478424</v>
      </c>
      <c r="V4386" s="190">
        <f>IFERROR(Tableau3[[#This Row],[Fonds propres]]/Tableau3[[#This Row],[Total Bilan]],"")</f>
        <v>0.43028411147303658</v>
      </c>
      <c r="W4386" s="180">
        <v>2210400000</v>
      </c>
      <c r="X4386" s="192"/>
      <c r="Y4386" s="180">
        <v>5959</v>
      </c>
      <c r="Z4386" s="192">
        <f>IFERROR(Tableau3[[#This Row],[Chiffre d''affaires]]/Tableau3[[#This Row],[Salariés]],"")</f>
        <v>307165.63181741902</v>
      </c>
      <c r="AC4386" s="177" t="s">
        <v>3055</v>
      </c>
    </row>
    <row r="4387" spans="1:29" ht="20.25" customHeight="1">
      <c r="A4387" s="217"/>
      <c r="G4387" s="202">
        <f>(G4386/G4388)-1</f>
        <v>5.5046400368897297E-2</v>
      </c>
      <c r="H4387" s="202">
        <f>(H4386/H4388)-1</f>
        <v>0.10091472410740621</v>
      </c>
      <c r="I4387" s="202">
        <f>(I4386/I4388)-1</f>
        <v>0.1205756853679969</v>
      </c>
      <c r="J4387" s="202">
        <f>(J4386/J4388)-1</f>
        <v>9.3968253968254034E-2</v>
      </c>
      <c r="K4387" s="188"/>
      <c r="L4387" s="188"/>
      <c r="M4387" s="194"/>
      <c r="N4387" s="190"/>
      <c r="O4387" s="190"/>
      <c r="P4387" s="188"/>
      <c r="Q4387" s="188"/>
      <c r="R4387" s="188"/>
      <c r="S4387" s="188"/>
      <c r="T4387" s="180"/>
      <c r="U4387" s="189" t="str">
        <f>IFERROR(IF(Tableau3[[#This Row],[Dettes]]=0,"",(Tableau3[[#This Row],[Dettes]]/Tableau3[[#This Row],[EBE]])),"")</f>
        <v/>
      </c>
      <c r="V4387" s="190" t="str">
        <f>IFERROR(Tableau3[[#This Row],[Fonds propres]]/Tableau3[[#This Row],[Total Bilan]],"")</f>
        <v/>
      </c>
      <c r="W4387" s="180"/>
      <c r="X4387" s="192"/>
      <c r="Y4387" s="180"/>
      <c r="Z4387" s="192" t="str">
        <f>IFERROR(Tableau3[[#This Row],[Chiffre d''affaires]]/Tableau3[[#This Row],[Salariés]],"")</f>
        <v/>
      </c>
      <c r="AC4387" s="177" t="s">
        <v>4460</v>
      </c>
    </row>
    <row r="4388" spans="1:29" ht="20.25" customHeight="1">
      <c r="A4388" s="217"/>
      <c r="E4388" s="187">
        <v>26.05</v>
      </c>
      <c r="F4388" s="178">
        <v>2012</v>
      </c>
      <c r="G4388" s="188">
        <v>1734900000</v>
      </c>
      <c r="H4388" s="188">
        <v>338900000</v>
      </c>
      <c r="I4388" s="188">
        <v>252638000</v>
      </c>
      <c r="J4388" s="188">
        <v>157500000</v>
      </c>
      <c r="K4388" s="188">
        <v>812300000</v>
      </c>
      <c r="L4388" s="188">
        <v>876623000</v>
      </c>
      <c r="M4388" s="194">
        <f>L4388/P4388</f>
        <v>7.4181139055945797</v>
      </c>
      <c r="N4388" s="190">
        <f>J4388/L4388</f>
        <v>0.1796667438568233</v>
      </c>
      <c r="O4388" s="190">
        <f>(I4388*0.7)/(K4388+L4388)</f>
        <v>0.10470968777143777</v>
      </c>
      <c r="P4388" s="188">
        <v>118173300</v>
      </c>
      <c r="Q4388" s="188">
        <f>P4388*E4388</f>
        <v>3078414465</v>
      </c>
      <c r="R4388" s="195">
        <f>Q4388/L4388</f>
        <v>3.5116743058304425</v>
      </c>
      <c r="S4388" s="197"/>
      <c r="T4388" s="180"/>
      <c r="U4388" s="189">
        <f>IFERROR(IF(Tableau3[[#This Row],[Dettes]]=0,"",(Tableau3[[#This Row],[Dettes]]/Tableau3[[#This Row],[EBE]])),"")</f>
        <v>2.3968722336972559</v>
      </c>
      <c r="V4388" s="190">
        <f>IFERROR(Tableau3[[#This Row],[Fonds propres]]/Tableau3[[#This Row],[Total Bilan]],"")</f>
        <v>0.40737162507551467</v>
      </c>
      <c r="W4388" s="180">
        <v>2151900000</v>
      </c>
      <c r="X4388" s="192"/>
      <c r="Y4388" s="180">
        <v>5669</v>
      </c>
      <c r="Z4388" s="192">
        <f>IFERROR(Tableau3[[#This Row],[Chiffre d''affaires]]/Tableau3[[#This Row],[Salariés]],"")</f>
        <v>306032.81001940375</v>
      </c>
      <c r="AC4388" s="177" t="s">
        <v>1176</v>
      </c>
    </row>
    <row r="4389" spans="1:29" ht="20.25" customHeight="1">
      <c r="A4389" s="217"/>
      <c r="G4389" s="188"/>
      <c r="H4389" s="188"/>
      <c r="I4389" s="188"/>
      <c r="J4389" s="188"/>
      <c r="K4389" s="188"/>
      <c r="L4389" s="188"/>
      <c r="M4389" s="194"/>
      <c r="N4389" s="190"/>
      <c r="O4389" s="190"/>
      <c r="P4389" s="188"/>
      <c r="Q4389" s="188"/>
      <c r="R4389" s="188"/>
      <c r="S4389" s="188"/>
      <c r="T4389" s="180"/>
      <c r="U4389" s="189" t="str">
        <f>IFERROR(IF(Tableau3[[#This Row],[Dettes]]=0,"",(Tableau3[[#This Row],[Dettes]]/Tableau3[[#This Row],[EBE]])),"")</f>
        <v/>
      </c>
      <c r="V4389" s="190" t="str">
        <f>IFERROR(Tableau3[[#This Row],[Fonds propres]]/Tableau3[[#This Row],[Total Bilan]],"")</f>
        <v/>
      </c>
      <c r="W4389" s="180"/>
      <c r="X4389" s="192"/>
      <c r="Y4389" s="180"/>
      <c r="Z4389" s="192" t="str">
        <f>IFERROR(Tableau3[[#This Row],[Chiffre d''affaires]]/Tableau3[[#This Row],[Salariés]],"")</f>
        <v/>
      </c>
      <c r="AC4389" s="177" t="s">
        <v>3056</v>
      </c>
    </row>
    <row r="4390" spans="1:29" ht="20.25" customHeight="1">
      <c r="A4390" s="217"/>
      <c r="F4390" s="178">
        <v>2011</v>
      </c>
      <c r="G4390" s="188"/>
      <c r="H4390" s="188"/>
      <c r="I4390" s="188"/>
      <c r="J4390" s="188"/>
      <c r="K4390" s="188"/>
      <c r="L4390" s="188"/>
      <c r="M4390" s="188"/>
      <c r="N4390" s="188"/>
      <c r="O4390" s="188"/>
      <c r="P4390" s="188"/>
      <c r="Q4390" s="188"/>
      <c r="R4390" s="188"/>
      <c r="S4390" s="188"/>
      <c r="T4390" s="180"/>
      <c r="U4390" s="189" t="str">
        <f>IFERROR(IF(Tableau3[[#This Row],[Dettes]]=0,"",(Tableau3[[#This Row],[Dettes]]/Tableau3[[#This Row],[EBE]])),"")</f>
        <v/>
      </c>
      <c r="V4390" s="190" t="str">
        <f>IFERROR(Tableau3[[#This Row],[Fonds propres]]/Tableau3[[#This Row],[Total Bilan]],"")</f>
        <v/>
      </c>
      <c r="W4390" s="180"/>
      <c r="X4390" s="192"/>
      <c r="Y4390" s="180"/>
      <c r="Z4390" s="192" t="str">
        <f>IFERROR(Tableau3[[#This Row],[Chiffre d''affaires]]/Tableau3[[#This Row],[Salariés]],"")</f>
        <v/>
      </c>
      <c r="AC4390" s="177" t="s">
        <v>5241</v>
      </c>
    </row>
    <row r="4391" spans="1:29" ht="20.25" customHeight="1">
      <c r="A4391" s="217"/>
      <c r="G4391" s="188"/>
      <c r="H4391" s="188"/>
      <c r="I4391" s="188"/>
      <c r="J4391" s="188"/>
      <c r="K4391" s="188"/>
      <c r="L4391" s="188"/>
      <c r="M4391" s="188"/>
      <c r="N4391" s="188"/>
      <c r="O4391" s="188"/>
      <c r="P4391" s="188"/>
      <c r="Q4391" s="188"/>
      <c r="R4391" s="188"/>
      <c r="S4391" s="188"/>
      <c r="T4391" s="180"/>
      <c r="U4391" s="189" t="str">
        <f>IFERROR(IF(Tableau3[[#This Row],[Dettes]]=0,"",(Tableau3[[#This Row],[Dettes]]/Tableau3[[#This Row],[EBE]])),"")</f>
        <v/>
      </c>
      <c r="V4391" s="190" t="str">
        <f>IFERROR(Tableau3[[#This Row],[Fonds propres]]/Tableau3[[#This Row],[Total Bilan]],"")</f>
        <v/>
      </c>
      <c r="W4391" s="180"/>
      <c r="X4391" s="192"/>
      <c r="Y4391" s="180"/>
      <c r="Z4391" s="192" t="str">
        <f>IFERROR(Tableau3[[#This Row],[Chiffre d''affaires]]/Tableau3[[#This Row],[Salariés]],"")</f>
        <v/>
      </c>
      <c r="AC4391" s="6" t="s">
        <v>5239</v>
      </c>
    </row>
    <row r="4392" spans="1:29" ht="20.25" customHeight="1">
      <c r="A4392" s="217"/>
      <c r="F4392" s="178">
        <v>2010</v>
      </c>
      <c r="G4392" s="188"/>
      <c r="H4392" s="188"/>
      <c r="I4392" s="188"/>
      <c r="J4392" s="188"/>
      <c r="K4392" s="188"/>
      <c r="L4392" s="188"/>
      <c r="M4392" s="188"/>
      <c r="N4392" s="188"/>
      <c r="O4392" s="188"/>
      <c r="P4392" s="188"/>
      <c r="Q4392" s="188"/>
      <c r="R4392" s="188"/>
      <c r="S4392" s="188"/>
      <c r="T4392" s="180"/>
      <c r="U4392" s="189" t="str">
        <f>IFERROR(IF(Tableau3[[#This Row],[Dettes]]=0,"",(Tableau3[[#This Row],[Dettes]]/Tableau3[[#This Row],[EBE]])),"")</f>
        <v/>
      </c>
      <c r="V4392" s="190" t="str">
        <f>IFERROR(Tableau3[[#This Row],[Fonds propres]]/Tableau3[[#This Row],[Total Bilan]],"")</f>
        <v/>
      </c>
      <c r="W4392" s="180"/>
      <c r="X4392" s="192"/>
      <c r="Y4392" s="180"/>
      <c r="Z4392" s="192" t="str">
        <f>IFERROR(Tableau3[[#This Row],[Chiffre d''affaires]]/Tableau3[[#This Row],[Salariés]],"")</f>
        <v/>
      </c>
    </row>
    <row r="4393" spans="1:29" ht="20.25" customHeight="1">
      <c r="A4393" s="217"/>
      <c r="G4393" s="188"/>
      <c r="H4393" s="188"/>
      <c r="I4393" s="188"/>
      <c r="J4393" s="188"/>
      <c r="K4393" s="188"/>
      <c r="L4393" s="188"/>
      <c r="M4393" s="188"/>
      <c r="N4393" s="188"/>
      <c r="O4393" s="188"/>
      <c r="P4393" s="188"/>
      <c r="Q4393" s="188"/>
      <c r="R4393" s="188"/>
      <c r="S4393" s="188"/>
      <c r="T4393" s="180"/>
      <c r="U4393" s="189" t="str">
        <f>IFERROR(IF(Tableau3[[#This Row],[Dettes]]=0,"",(Tableau3[[#This Row],[Dettes]]/Tableau3[[#This Row],[EBE]])),"")</f>
        <v/>
      </c>
      <c r="V4393" s="190" t="str">
        <f>IFERROR(Tableau3[[#This Row],[Fonds propres]]/Tableau3[[#This Row],[Total Bilan]],"")</f>
        <v/>
      </c>
      <c r="W4393" s="180"/>
      <c r="X4393" s="192"/>
      <c r="Y4393" s="180"/>
      <c r="Z4393" s="192" t="str">
        <f>IFERROR(Tableau3[[#This Row],[Chiffre d''affaires]]/Tableau3[[#This Row],[Salariés]],"")</f>
        <v/>
      </c>
    </row>
    <row r="4394" spans="1:29" ht="20.25" customHeight="1">
      <c r="A4394" s="217"/>
      <c r="G4394" s="188"/>
      <c r="H4394" s="188"/>
      <c r="I4394" s="188"/>
      <c r="J4394" s="188"/>
      <c r="K4394" s="188"/>
      <c r="L4394" s="188"/>
      <c r="M4394" s="188"/>
      <c r="N4394" s="188"/>
      <c r="O4394" s="188"/>
      <c r="P4394" s="188"/>
      <c r="Q4394" s="188"/>
      <c r="R4394" s="188"/>
      <c r="S4394" s="188"/>
      <c r="T4394" s="180"/>
      <c r="U4394" s="189" t="str">
        <f>IFERROR(IF(Tableau3[[#This Row],[Dettes]]=0,"",(Tableau3[[#This Row],[Dettes]]/Tableau3[[#This Row],[EBE]])),"")</f>
        <v/>
      </c>
      <c r="V4394" s="190" t="str">
        <f>IFERROR(Tableau3[[#This Row],[Fonds propres]]/Tableau3[[#This Row],[Total Bilan]],"")</f>
        <v/>
      </c>
      <c r="W4394" s="180"/>
      <c r="X4394" s="192"/>
      <c r="Y4394" s="180"/>
      <c r="Z4394" s="192" t="str">
        <f>IFERROR(Tableau3[[#This Row],[Chiffre d''affaires]]/Tableau3[[#This Row],[Salariés]],"")</f>
        <v/>
      </c>
    </row>
    <row r="4395" spans="1:29" ht="20.25" customHeight="1">
      <c r="A4395" s="217"/>
      <c r="G4395" s="188"/>
      <c r="H4395" s="188"/>
      <c r="I4395" s="188"/>
      <c r="J4395" s="188"/>
      <c r="K4395" s="188"/>
      <c r="L4395" s="188"/>
      <c r="M4395" s="188"/>
      <c r="N4395" s="188"/>
      <c r="O4395" s="188"/>
      <c r="P4395" s="188"/>
      <c r="Q4395" s="188"/>
      <c r="R4395" s="188"/>
      <c r="S4395" s="188"/>
      <c r="T4395" s="180"/>
      <c r="U4395" s="189" t="str">
        <f>IFERROR(IF(Tableau3[[#This Row],[Dettes]]=0,"",(Tableau3[[#This Row],[Dettes]]/Tableau3[[#This Row],[EBE]])),"")</f>
        <v/>
      </c>
      <c r="V4395" s="190" t="str">
        <f>IFERROR(Tableau3[[#This Row],[Fonds propres]]/Tableau3[[#This Row],[Total Bilan]],"")</f>
        <v/>
      </c>
      <c r="W4395" s="180"/>
      <c r="X4395" s="192"/>
      <c r="Y4395" s="180"/>
      <c r="Z4395" s="192" t="str">
        <f>IFERROR(Tableau3[[#This Row],[Chiffre d''affaires]]/Tableau3[[#This Row],[Salariés]],"")</f>
        <v/>
      </c>
    </row>
    <row r="4396" spans="1:29" ht="20.25" customHeight="1">
      <c r="A4396" s="217" t="s">
        <v>3057</v>
      </c>
      <c r="B4396" s="216" t="s">
        <v>3058</v>
      </c>
      <c r="C4396" s="178" t="s">
        <v>290</v>
      </c>
      <c r="D4396" s="178" t="s">
        <v>85</v>
      </c>
      <c r="E4396" s="178">
        <v>51.9</v>
      </c>
      <c r="F4396" s="178">
        <v>2025</v>
      </c>
      <c r="G4396" s="188"/>
      <c r="H4396" s="188"/>
      <c r="I4396" s="188"/>
      <c r="J4396" s="188"/>
      <c r="K4396" s="188"/>
      <c r="L4396" s="188"/>
      <c r="M4396" s="188"/>
      <c r="N4396" s="188"/>
      <c r="O4396" s="188"/>
      <c r="P4396" s="188"/>
      <c r="Q4396" s="188"/>
      <c r="R4396" s="188"/>
      <c r="S4396" s="188"/>
      <c r="T4396" s="180"/>
      <c r="U4396" s="189" t="str">
        <f>IFERROR(IF(Tableau3[[#This Row],[Dettes]]=0,"",(Tableau3[[#This Row],[Dettes]]/Tableau3[[#This Row],[EBE]])),"")</f>
        <v/>
      </c>
      <c r="V4396" s="190" t="str">
        <f>IFERROR(Tableau3[[#This Row],[Fonds propres]]/Tableau3[[#This Row],[Total Bilan]],"")</f>
        <v/>
      </c>
      <c r="W4396" s="180"/>
      <c r="X4396" s="192"/>
      <c r="Y4396" s="188"/>
      <c r="Z4396" s="192" t="str">
        <f>IFERROR(Tableau3[[#This Row],[Chiffre d''affaires]]/Tableau3[[#This Row],[Salariés]],"")</f>
        <v/>
      </c>
      <c r="AC4396" s="177" t="s">
        <v>3059</v>
      </c>
    </row>
    <row r="4397" spans="1:29" ht="20.25" customHeight="1">
      <c r="A4397" s="217"/>
      <c r="G4397" s="188"/>
      <c r="H4397" s="188"/>
      <c r="I4397" s="188"/>
      <c r="J4397" s="188"/>
      <c r="K4397" s="188"/>
      <c r="L4397" s="188"/>
      <c r="M4397" s="188"/>
      <c r="N4397" s="188"/>
      <c r="O4397" s="188"/>
      <c r="P4397" s="188"/>
      <c r="Q4397" s="188"/>
      <c r="R4397" s="188"/>
      <c r="S4397" s="188"/>
      <c r="T4397" s="180"/>
      <c r="U4397" s="189" t="str">
        <f>IFERROR(IF(Tableau3[[#This Row],[Dettes]]=0,"",(Tableau3[[#This Row],[Dettes]]/Tableau3[[#This Row],[EBE]])),"")</f>
        <v/>
      </c>
      <c r="V4397" s="190" t="str">
        <f>IFERROR(Tableau3[[#This Row],[Fonds propres]]/Tableau3[[#This Row],[Total Bilan]],"")</f>
        <v/>
      </c>
      <c r="W4397" s="180"/>
      <c r="X4397" s="192"/>
      <c r="Y4397" s="188"/>
      <c r="Z4397" s="192" t="str">
        <f>IFERROR(Tableau3[[#This Row],[Chiffre d''affaires]]/Tableau3[[#This Row],[Salariés]],"")</f>
        <v/>
      </c>
      <c r="AC4397" s="177" t="s">
        <v>3061</v>
      </c>
    </row>
    <row r="4398" spans="1:29" ht="20.25" customHeight="1">
      <c r="A4398" s="217"/>
      <c r="E4398" s="187">
        <v>49.31</v>
      </c>
      <c r="F4398" s="178">
        <v>2024</v>
      </c>
      <c r="G4398" s="188">
        <v>6951000000</v>
      </c>
      <c r="H4398" s="188">
        <v>1439000000</v>
      </c>
      <c r="I4398" s="188">
        <v>681000000</v>
      </c>
      <c r="J4398" s="188">
        <v>406000000</v>
      </c>
      <c r="K4398" s="188">
        <v>2996000000</v>
      </c>
      <c r="L4398" s="188">
        <v>5339000000</v>
      </c>
      <c r="M4398" s="194">
        <f>L4398/P4398</f>
        <v>27.665909789764321</v>
      </c>
      <c r="N4398" s="190">
        <f>J4398/L4398</f>
        <v>7.6044203034276087E-2</v>
      </c>
      <c r="O4398" s="190">
        <f>(I4398*0.7)/(K4398+L4398)</f>
        <v>5.7192561487702451E-2</v>
      </c>
      <c r="P4398" s="188">
        <v>192981183</v>
      </c>
      <c r="Q4398" s="188">
        <f>P4398*E4398</f>
        <v>9515902133.7299995</v>
      </c>
      <c r="R4398" s="195">
        <f>Q4398/L4398</f>
        <v>1.7823379160385839</v>
      </c>
      <c r="S4398" s="197">
        <f>(Q4398+K4398)/H4398</f>
        <v>8.6948590227449607</v>
      </c>
      <c r="T4398" s="180">
        <v>801000000</v>
      </c>
      <c r="U4398" s="189">
        <f>IFERROR(IF(Tableau3[[#This Row],[Dettes]]=0,"",(Tableau3[[#This Row],[Dettes]]/Tableau3[[#This Row],[EBE]])),"")</f>
        <v>2.0820013898540655</v>
      </c>
      <c r="V4398" s="190">
        <f>IFERROR(Tableau3[[#This Row],[Fonds propres]]/Tableau3[[#This Row],[Total Bilan]],"")</f>
        <v>0.49035635562086699</v>
      </c>
      <c r="W4398" s="180">
        <v>10888000000</v>
      </c>
      <c r="X4398" s="192"/>
      <c r="Y4398" s="188"/>
      <c r="Z4398" s="192" t="str">
        <f>IFERROR(Tableau3[[#This Row],[Chiffre d''affaires]]/Tableau3[[#This Row],[Salariés]],"")</f>
        <v/>
      </c>
      <c r="AC4398" s="177" t="s">
        <v>3062</v>
      </c>
    </row>
    <row r="4399" spans="1:29" ht="20.25" customHeight="1">
      <c r="A4399" s="217"/>
      <c r="G4399" s="202">
        <f>(G4398/G4400)-1</f>
        <v>6.6922486569455097E-2</v>
      </c>
      <c r="H4399" s="202">
        <f>(H4398/H4400)-1</f>
        <v>0.16612641815235007</v>
      </c>
      <c r="I4399" s="202">
        <f>(I4398/I4400)-1</f>
        <v>0.28514814115870912</v>
      </c>
      <c r="J4399" s="202">
        <f>(J4398/J4400)-1</f>
        <v>0.30883301096067051</v>
      </c>
      <c r="K4399" s="188"/>
      <c r="L4399" s="188"/>
      <c r="M4399" s="188"/>
      <c r="N4399" s="188"/>
      <c r="O4399" s="188"/>
      <c r="P4399" s="188"/>
      <c r="Q4399" s="188"/>
      <c r="R4399" s="188"/>
      <c r="S4399" s="188"/>
      <c r="T4399" s="180"/>
      <c r="U4399" s="189" t="str">
        <f>IFERROR(IF(Tableau3[[#This Row],[Dettes]]=0,"",(Tableau3[[#This Row],[Dettes]]/Tableau3[[#This Row],[EBE]])),"")</f>
        <v/>
      </c>
      <c r="V4399" s="190" t="str">
        <f>IFERROR(Tableau3[[#This Row],[Fonds propres]]/Tableau3[[#This Row],[Total Bilan]],"")</f>
        <v/>
      </c>
      <c r="W4399" s="180"/>
      <c r="X4399" s="192"/>
      <c r="Y4399" s="188"/>
      <c r="Z4399" s="192" t="str">
        <f>IFERROR(Tableau3[[#This Row],[Chiffre d''affaires]]/Tableau3[[#This Row],[Salariés]],"")</f>
        <v/>
      </c>
      <c r="AC4399" s="177" t="s">
        <v>4675</v>
      </c>
    </row>
    <row r="4400" spans="1:29" ht="20.25" customHeight="1">
      <c r="A4400" s="217"/>
      <c r="E4400" s="187">
        <v>58.98</v>
      </c>
      <c r="F4400" s="178">
        <v>2023</v>
      </c>
      <c r="G4400" s="188">
        <v>6515000000</v>
      </c>
      <c r="H4400" s="188">
        <v>1234000000</v>
      </c>
      <c r="I4400" s="188">
        <v>529900000</v>
      </c>
      <c r="J4400" s="188">
        <v>310200000</v>
      </c>
      <c r="K4400" s="188">
        <v>2705000000</v>
      </c>
      <c r="L4400" s="188">
        <v>5077500000</v>
      </c>
      <c r="M4400" s="194">
        <f>L4400/P4400</f>
        <v>26.310855395678654</v>
      </c>
      <c r="N4400" s="190">
        <f>J4400/L4400</f>
        <v>6.1093057607090107E-2</v>
      </c>
      <c r="O4400" s="190">
        <f>(I4400*0.7)/(K4400+L4400)</f>
        <v>4.7662062319306135E-2</v>
      </c>
      <c r="P4400" s="188">
        <v>192981183</v>
      </c>
      <c r="Q4400" s="188">
        <f>P4400*E4400</f>
        <v>11382030173.34</v>
      </c>
      <c r="R4400" s="195">
        <f>Q4400/L4400</f>
        <v>2.2416603000177253</v>
      </c>
      <c r="S4400" s="197">
        <f>(Q4400+K4400)/H4400</f>
        <v>11.415745683419773</v>
      </c>
      <c r="T4400" s="180">
        <v>474000000</v>
      </c>
      <c r="U4400" s="189">
        <f>IFERROR(IF(Tableau3[[#This Row],[Dettes]]=0,"",(Tableau3[[#This Row],[Dettes]]/Tableau3[[#This Row],[EBE]])),"")</f>
        <v>2.1920583468395463</v>
      </c>
      <c r="V4400" s="190">
        <f>IFERROR(Tableau3[[#This Row],[Fonds propres]]/Tableau3[[#This Row],[Total Bilan]],"")</f>
        <v>0.46631339198795069</v>
      </c>
      <c r="W4400" s="180">
        <v>10888600000</v>
      </c>
      <c r="X4400" s="192"/>
      <c r="Y4400" s="188"/>
      <c r="Z4400" s="192" t="str">
        <f>IFERROR(Tableau3[[#This Row],[Chiffre d''affaires]]/Tableau3[[#This Row],[Salariés]],"")</f>
        <v/>
      </c>
      <c r="AC4400" s="177" t="s">
        <v>3063</v>
      </c>
    </row>
    <row r="4401" spans="1:29" ht="20.25" customHeight="1">
      <c r="A4401" s="217"/>
      <c r="E4401" s="187"/>
      <c r="G4401" s="202">
        <f>(G4400/G4402)-1</f>
        <v>-2.9364878354017354E-2</v>
      </c>
      <c r="H4401" s="202">
        <f>(H4400/H4402)-1</f>
        <v>-0.12791519434628973</v>
      </c>
      <c r="I4401" s="202">
        <f>(I4400/I4402)-1</f>
        <v>-0.48895746937988238</v>
      </c>
      <c r="J4401" s="202">
        <f>(J4400/J4402)-1</f>
        <v>-0.54873436136165266</v>
      </c>
      <c r="K4401" s="188"/>
      <c r="L4401" s="188"/>
      <c r="M4401" s="188"/>
      <c r="N4401" s="188"/>
      <c r="O4401" s="188"/>
      <c r="P4401" s="188"/>
      <c r="Q4401" s="188"/>
      <c r="R4401" s="188"/>
      <c r="S4401" s="188"/>
      <c r="T4401" s="180"/>
      <c r="U4401" s="189" t="str">
        <f>IFERROR(IF(Tableau3[[#This Row],[Dettes]]=0,"",(Tableau3[[#This Row],[Dettes]]/Tableau3[[#This Row],[EBE]])),"")</f>
        <v/>
      </c>
      <c r="V4401" s="190" t="str">
        <f>IFERROR(Tableau3[[#This Row],[Fonds propres]]/Tableau3[[#This Row],[Total Bilan]],"")</f>
        <v/>
      </c>
      <c r="W4401" s="180"/>
      <c r="X4401" s="192"/>
      <c r="Y4401" s="188"/>
      <c r="Z4401" s="192" t="str">
        <f>IFERROR(Tableau3[[#This Row],[Chiffre d''affaires]]/Tableau3[[#This Row],[Salariés]],"")</f>
        <v/>
      </c>
      <c r="AC4401" s="177" t="s">
        <v>3064</v>
      </c>
    </row>
    <row r="4402" spans="1:29" ht="20.25" customHeight="1">
      <c r="A4402" s="217"/>
      <c r="E4402" s="187">
        <v>67.06</v>
      </c>
      <c r="F4402" s="178">
        <v>2022</v>
      </c>
      <c r="G4402" s="188">
        <v>6712100000</v>
      </c>
      <c r="H4402" s="188">
        <v>1415000000</v>
      </c>
      <c r="I4402" s="188">
        <v>1036900000</v>
      </c>
      <c r="J4402" s="188">
        <v>687400000</v>
      </c>
      <c r="K4402" s="188">
        <v>2839000000</v>
      </c>
      <c r="L4402" s="188">
        <v>4782100000</v>
      </c>
      <c r="M4402" s="194">
        <f>L4402/P4402</f>
        <v>24.811198226987965</v>
      </c>
      <c r="N4402" s="190">
        <f>J4402/L4402</f>
        <v>0.14374438008406348</v>
      </c>
      <c r="O4402" s="190">
        <f>(I4402*0.7)/(K4402+L4402)</f>
        <v>9.5239532350972961E-2</v>
      </c>
      <c r="P4402" s="188">
        <v>192739583</v>
      </c>
      <c r="Q4402" s="188">
        <f>P4402*E4402</f>
        <v>12925116435.98</v>
      </c>
      <c r="R4402" s="195">
        <f>Q4402/L4402</f>
        <v>2.7028118265991927</v>
      </c>
      <c r="S4402" s="197">
        <f>(Q4402+K4402)/H4402</f>
        <v>11.140718329314486</v>
      </c>
      <c r="T4402" s="180">
        <v>491000000</v>
      </c>
      <c r="U4402" s="189">
        <f>IFERROR(IF(Tableau3[[#This Row],[Dettes]]=0,"",(Tableau3[[#This Row],[Dettes]]/Tableau3[[#This Row],[EBE]])),"")</f>
        <v>2.0063604240282684</v>
      </c>
      <c r="V4402" s="190">
        <f>IFERROR(Tableau3[[#This Row],[Fonds propres]]/Tableau3[[#This Row],[Total Bilan]],"")</f>
        <v>0.47425001239648934</v>
      </c>
      <c r="W4402" s="180">
        <v>10083500000</v>
      </c>
      <c r="X4402" s="192"/>
      <c r="Y4402" s="188">
        <v>61379</v>
      </c>
      <c r="Z4402" s="192">
        <f>IFERROR(Tableau3[[#This Row],[Chiffre d''affaires]]/Tableau3[[#This Row],[Salariés]],"")</f>
        <v>109354.99112074162</v>
      </c>
      <c r="AC4402" s="177" t="s">
        <v>3065</v>
      </c>
    </row>
    <row r="4403" spans="1:29" ht="20.25" customHeight="1">
      <c r="A4403" s="217"/>
      <c r="E4403" s="187"/>
      <c r="G4403" s="202">
        <f>(G4402/G4404)-1</f>
        <v>-8.3361864924003104E-4</v>
      </c>
      <c r="H4403" s="202">
        <f>(H4402/H4404)-1</f>
        <v>-0.25604626708727651</v>
      </c>
      <c r="I4403" s="202">
        <f>(I4402/I4404)-1</f>
        <v>-0.29596686583378595</v>
      </c>
      <c r="J4403" s="202">
        <f>(J4402/J4404)-1</f>
        <v>-0.34119225608587311</v>
      </c>
      <c r="K4403" s="188"/>
      <c r="L4403" s="188"/>
      <c r="M4403" s="178"/>
      <c r="N4403" s="178"/>
      <c r="O4403" s="178"/>
      <c r="P4403" s="188"/>
      <c r="Q4403" s="188"/>
      <c r="R4403" s="178"/>
      <c r="S4403" s="178"/>
      <c r="T4403" s="180"/>
      <c r="U4403" s="189" t="str">
        <f>IFERROR(IF(Tableau3[[#This Row],[Dettes]]=0,"",(Tableau3[[#This Row],[Dettes]]/Tableau3[[#This Row],[EBE]])),"")</f>
        <v/>
      </c>
      <c r="V4403" s="190" t="str">
        <f>IFERROR(Tableau3[[#This Row],[Fonds propres]]/Tableau3[[#This Row],[Total Bilan]],"")</f>
        <v/>
      </c>
      <c r="W4403" s="180"/>
      <c r="X4403" s="192"/>
      <c r="Y4403" s="188"/>
      <c r="Z4403" s="192" t="str">
        <f>IFERROR(Tableau3[[#This Row],[Chiffre d''affaires]]/Tableau3[[#This Row],[Salariés]],"")</f>
        <v/>
      </c>
      <c r="AC4403" s="177" t="s">
        <v>3066</v>
      </c>
    </row>
    <row r="4404" spans="1:29" ht="20.25" customHeight="1">
      <c r="A4404" s="217"/>
      <c r="E4404" s="187">
        <v>108.8</v>
      </c>
      <c r="F4404" s="178">
        <v>2021</v>
      </c>
      <c r="G4404" s="188">
        <v>6717700000</v>
      </c>
      <c r="H4404" s="188">
        <v>1902000000</v>
      </c>
      <c r="I4404" s="188">
        <v>1472800000</v>
      </c>
      <c r="J4404" s="188">
        <v>1043400000</v>
      </c>
      <c r="K4404" s="188">
        <v>2238800000</v>
      </c>
      <c r="L4404" s="188">
        <v>4677200000</v>
      </c>
      <c r="M4404" s="194">
        <f>L4404/P4404</f>
        <v>24.328497424623713</v>
      </c>
      <c r="N4404" s="190">
        <f>J4404/L4404</f>
        <v>0.22308218592320192</v>
      </c>
      <c r="O4404" s="190">
        <f>(I4404*0.7)/(K4404+L4404)</f>
        <v>0.14906882591093115</v>
      </c>
      <c r="P4404" s="188">
        <v>192251906</v>
      </c>
      <c r="Q4404" s="188">
        <f>P4404*E4404</f>
        <v>20917007372.799999</v>
      </c>
      <c r="R4404" s="195">
        <f>Q4404/L4404</f>
        <v>4.4721216481655688</v>
      </c>
      <c r="S4404" s="197">
        <f>(Q4404+K4404)/H4404</f>
        <v>12.174451825867507</v>
      </c>
      <c r="T4404" s="180">
        <v>1015000000</v>
      </c>
      <c r="U4404" s="189">
        <f>IFERROR(IF(Tableau3[[#This Row],[Dettes]]=0,"",(Tableau3[[#This Row],[Dettes]]/Tableau3[[#This Row],[EBE]])),"")</f>
        <v>1.1770767613038906</v>
      </c>
      <c r="V4404" s="190" t="str">
        <f>IFERROR(Tableau3[[#This Row],[Fonds propres]]/Tableau3[[#This Row],[Total Bilan]],"")</f>
        <v/>
      </c>
      <c r="W4404" s="180"/>
      <c r="X4404" s="192"/>
      <c r="Y4404" s="188">
        <v>50357</v>
      </c>
      <c r="Z4404" s="192">
        <f>IFERROR(Tableau3[[#This Row],[Chiffre d''affaires]]/Tableau3[[#This Row],[Salariés]],"")</f>
        <v>133401.51319578211</v>
      </c>
      <c r="AC4404" s="177" t="s">
        <v>4632</v>
      </c>
    </row>
    <row r="4405" spans="1:29" ht="20.25" customHeight="1">
      <c r="A4405" s="217"/>
      <c r="E4405" s="187"/>
      <c r="G4405" s="202">
        <f>(G4404/G4406)-1</f>
        <v>0.23509836366979231</v>
      </c>
      <c r="H4405" s="202">
        <f>(H4404/H4406)-1</f>
        <v>0.34607218683651797</v>
      </c>
      <c r="I4405" s="202">
        <f>(I4404/I4406)-1</f>
        <v>0.438843298163345</v>
      </c>
      <c r="J4405" s="202">
        <f>(J4404/J4406)-1</f>
        <v>0.47685774946921433</v>
      </c>
      <c r="K4405" s="188"/>
      <c r="L4405" s="188"/>
      <c r="M4405" s="178"/>
      <c r="N4405" s="178"/>
      <c r="O4405" s="178"/>
      <c r="P4405" s="188"/>
      <c r="Q4405" s="188"/>
      <c r="R4405" s="178"/>
      <c r="S4405" s="178"/>
      <c r="T4405" s="180"/>
      <c r="U4405" s="189" t="str">
        <f>IFERROR(IF(Tableau3[[#This Row],[Dettes]]=0,"",(Tableau3[[#This Row],[Dettes]]/Tableau3[[#This Row],[EBE]])),"")</f>
        <v/>
      </c>
      <c r="V4405" s="190" t="str">
        <f>IFERROR(Tableau3[[#This Row],[Fonds propres]]/Tableau3[[#This Row],[Total Bilan]],"")</f>
        <v/>
      </c>
      <c r="W4405" s="180"/>
      <c r="X4405" s="192"/>
      <c r="Y4405" s="188"/>
      <c r="Z4405" s="192" t="str">
        <f>IFERROR(Tableau3[[#This Row],[Chiffre d''affaires]]/Tableau3[[#This Row],[Salariés]],"")</f>
        <v/>
      </c>
      <c r="AC4405" s="177" t="s">
        <v>4679</v>
      </c>
    </row>
    <row r="4406" spans="1:29" ht="20.25" customHeight="1">
      <c r="A4406" s="217"/>
      <c r="C4406" s="178" t="s">
        <v>3068</v>
      </c>
      <c r="E4406" s="187">
        <v>68.63</v>
      </c>
      <c r="F4406" s="178">
        <v>2020</v>
      </c>
      <c r="G4406" s="188">
        <v>5439000000</v>
      </c>
      <c r="H4406" s="188">
        <v>1413000000</v>
      </c>
      <c r="I4406" s="188">
        <v>1023600000</v>
      </c>
      <c r="J4406" s="188">
        <v>706500000</v>
      </c>
      <c r="K4406" s="188">
        <v>2242300000</v>
      </c>
      <c r="L4406" s="188">
        <v>4647600000</v>
      </c>
      <c r="M4406" s="194">
        <f>L4406/P4406</f>
        <v>24.359269347709755</v>
      </c>
      <c r="N4406" s="190">
        <f>J4406/L4406</f>
        <v>0.15201394268009294</v>
      </c>
      <c r="O4406" s="190">
        <f>(I4406*0.7)/(K4406+L4406)</f>
        <v>0.10399570385636947</v>
      </c>
      <c r="P4406" s="188">
        <v>190793900</v>
      </c>
      <c r="Q4406" s="188">
        <f>P4406*E4406</f>
        <v>13094185357</v>
      </c>
      <c r="R4406" s="195">
        <f>Q4406/L4406</f>
        <v>2.8174079862724848</v>
      </c>
      <c r="S4406" s="197">
        <f>(Q4406+K4406)/H4406</f>
        <v>10.853846678697806</v>
      </c>
      <c r="T4406" s="180">
        <v>873200000</v>
      </c>
      <c r="U4406" s="189">
        <f>IFERROR(IF(Tableau3[[#This Row],[Dettes]]=0,"",(Tableau3[[#This Row],[Dettes]]/Tableau3[[#This Row],[EBE]])),"")</f>
        <v>1.5869072894550602</v>
      </c>
      <c r="V4406" s="190" t="str">
        <f>IFERROR(Tableau3[[#This Row],[Fonds propres]]/Tableau3[[#This Row],[Total Bilan]],"")</f>
        <v/>
      </c>
      <c r="W4406" s="180"/>
      <c r="X4406" s="192"/>
      <c r="Y4406" s="188">
        <v>44741</v>
      </c>
      <c r="Z4406" s="192">
        <f>IFERROR(Tableau3[[#This Row],[Chiffre d''affaires]]/Tableau3[[#This Row],[Salariés]],"")</f>
        <v>121566.34853937104</v>
      </c>
      <c r="AC4406" s="177" t="s">
        <v>4676</v>
      </c>
    </row>
    <row r="4407" spans="1:29" ht="20.25" customHeight="1">
      <c r="A4407" s="217"/>
      <c r="E4407" s="187"/>
      <c r="G4407" s="202">
        <f>(G4406/G4408)-1</f>
        <v>0.19197896120973046</v>
      </c>
      <c r="H4407" s="202">
        <f>(H4406/H4408)-1</f>
        <v>0.51772287862513422</v>
      </c>
      <c r="I4407" s="202">
        <f>(I4406/I4408)-1</f>
        <v>0.78482999128160413</v>
      </c>
      <c r="J4407" s="202">
        <f>(J4406/J4408)-1</f>
        <v>0.96577629382303831</v>
      </c>
      <c r="K4407" s="188"/>
      <c r="L4407" s="188"/>
      <c r="M4407" s="178"/>
      <c r="N4407" s="178"/>
      <c r="O4407" s="178"/>
      <c r="P4407" s="188"/>
      <c r="Q4407" s="188"/>
      <c r="R4407" s="178"/>
      <c r="S4407" s="178"/>
      <c r="T4407" s="180"/>
      <c r="U4407" s="189" t="str">
        <f>IFERROR(IF(Tableau3[[#This Row],[Dettes]]=0,"",(Tableau3[[#This Row],[Dettes]]/Tableau3[[#This Row],[EBE]])),"")</f>
        <v/>
      </c>
      <c r="V4407" s="190" t="str">
        <f>IFERROR(Tableau3[[#This Row],[Fonds propres]]/Tableau3[[#This Row],[Total Bilan]],"")</f>
        <v/>
      </c>
      <c r="W4407" s="180"/>
      <c r="X4407" s="192"/>
      <c r="Y4407" s="188"/>
      <c r="Z4407" s="192" t="str">
        <f>IFERROR(Tableau3[[#This Row],[Chiffre d''affaires]]/Tableau3[[#This Row],[Salariés]],"")</f>
        <v/>
      </c>
      <c r="AC4407" s="177" t="s">
        <v>4678</v>
      </c>
    </row>
    <row r="4408" spans="1:29" ht="20.25" customHeight="1">
      <c r="A4408" s="217"/>
      <c r="E4408" s="187">
        <v>49.42</v>
      </c>
      <c r="F4408" s="178">
        <v>2019</v>
      </c>
      <c r="G4408" s="188">
        <v>4563000000</v>
      </c>
      <c r="H4408" s="188">
        <v>931000000</v>
      </c>
      <c r="I4408" s="188">
        <v>573500000</v>
      </c>
      <c r="J4408" s="188">
        <v>359400000</v>
      </c>
      <c r="K4408" s="188">
        <v>3244700000</v>
      </c>
      <c r="L4408" s="188">
        <v>2838600000</v>
      </c>
      <c r="M4408" s="194">
        <f>L4408/P4408</f>
        <v>15.854978279417042</v>
      </c>
      <c r="N4408" s="190">
        <f>J4408/L4408</f>
        <v>0.12661170999788629</v>
      </c>
      <c r="O4408" s="190">
        <f>(I4408*0.7)/(K4408+L4408)</f>
        <v>6.5992142422698213E-2</v>
      </c>
      <c r="P4408" s="188">
        <f>17903525*10</f>
        <v>179035250</v>
      </c>
      <c r="Q4408" s="188">
        <f>P4408*E4408</f>
        <v>8847922055</v>
      </c>
      <c r="R4408" s="195">
        <f>Q4408/L4408</f>
        <v>3.1170020626365109</v>
      </c>
      <c r="S4408" s="197">
        <f>(Q4408+K4408)/H4408</f>
        <v>12.98885290547798</v>
      </c>
      <c r="T4408" s="180">
        <v>258200000</v>
      </c>
      <c r="U4408" s="189">
        <f>IFERROR(IF(Tableau3[[#This Row],[Dettes]]=0,"",(Tableau3[[#This Row],[Dettes]]/Tableau3[[#This Row],[EBE]])),"")</f>
        <v>3.4851772287862515</v>
      </c>
      <c r="V4408" s="190" t="str">
        <f>IFERROR(Tableau3[[#This Row],[Fonds propres]]/Tableau3[[#This Row],[Total Bilan]],"")</f>
        <v/>
      </c>
      <c r="W4408" s="180"/>
      <c r="Y4408" s="180">
        <v>43320</v>
      </c>
      <c r="Z4408" s="192">
        <f>IFERROR(Tableau3[[#This Row],[Chiffre d''affaires]]/Tableau3[[#This Row],[Salariés]],"")</f>
        <v>105332.40997229917</v>
      </c>
      <c r="AC4408" s="177" t="s">
        <v>3067</v>
      </c>
    </row>
    <row r="4409" spans="1:29" ht="20.25" customHeight="1">
      <c r="A4409" s="217"/>
      <c r="E4409" s="187"/>
      <c r="G4409" s="202">
        <f>(G4408/G4410)-1</f>
        <v>0.20682359164242259</v>
      </c>
      <c r="H4409" s="202">
        <f>(H4408/H4410)-1</f>
        <v>0.29305555555555562</v>
      </c>
      <c r="I4409" s="202">
        <f>(I4408/I4410)-1</f>
        <v>0.10119047619047628</v>
      </c>
      <c r="J4409" s="202">
        <f>(J4408/J4410)-1</f>
        <v>9.2670598146586958E-3</v>
      </c>
      <c r="K4409" s="188"/>
      <c r="L4409" s="188"/>
      <c r="M4409" s="178"/>
      <c r="N4409" s="178"/>
      <c r="O4409" s="178"/>
      <c r="P4409" s="188"/>
      <c r="Q4409" s="188"/>
      <c r="R4409" s="178"/>
      <c r="S4409" s="178"/>
      <c r="T4409" s="180"/>
      <c r="U4409" s="189" t="str">
        <f>IFERROR(IF(Tableau3[[#This Row],[Dettes]]=0,"",(Tableau3[[#This Row],[Dettes]]/Tableau3[[#This Row],[EBE]])),"")</f>
        <v/>
      </c>
      <c r="V4409" s="190" t="str">
        <f>IFERROR(Tableau3[[#This Row],[Fonds propres]]/Tableau3[[#This Row],[Total Bilan]],"")</f>
        <v/>
      </c>
      <c r="W4409" s="180"/>
      <c r="Y4409" s="180"/>
      <c r="Z4409" s="192" t="str">
        <f>IFERROR(Tableau3[[#This Row],[Chiffre d''affaires]]/Tableau3[[#This Row],[Salariés]],"")</f>
        <v/>
      </c>
      <c r="AC4409" s="177" t="s">
        <v>3069</v>
      </c>
    </row>
    <row r="4410" spans="1:29" ht="20.25" customHeight="1">
      <c r="A4410" s="217"/>
      <c r="E4410" s="187">
        <v>32.6</v>
      </c>
      <c r="F4410" s="178">
        <v>2018</v>
      </c>
      <c r="G4410" s="188">
        <v>3781000000</v>
      </c>
      <c r="H4410" s="188">
        <v>720000000</v>
      </c>
      <c r="I4410" s="188">
        <v>520800000</v>
      </c>
      <c r="J4410" s="188">
        <v>356100000</v>
      </c>
      <c r="K4410" s="188">
        <v>2651000000</v>
      </c>
      <c r="L4410" s="188">
        <v>2669200000</v>
      </c>
      <c r="M4410" s="194">
        <f>L4410/P4410</f>
        <v>15.035918450027316</v>
      </c>
      <c r="N4410" s="190">
        <f>J4410/L4410</f>
        <v>0.13341075977821071</v>
      </c>
      <c r="O4410" s="190">
        <f>(I4410*0.7)/(K4410+L4410)</f>
        <v>6.8523739709033499E-2</v>
      </c>
      <c r="P4410" s="188">
        <f>17752158*10</f>
        <v>177521580</v>
      </c>
      <c r="Q4410" s="188">
        <f>P4410*E4410</f>
        <v>5787203508</v>
      </c>
      <c r="R4410" s="195">
        <f>Q4410/L4410</f>
        <v>2.1681415809980518</v>
      </c>
      <c r="S4410" s="197">
        <f>(Q4410+K4410)/H4410</f>
        <v>11.719727094444444</v>
      </c>
      <c r="T4410" s="180">
        <v>182500000</v>
      </c>
      <c r="U4410" s="189">
        <f>IFERROR(IF(Tableau3[[#This Row],[Dettes]]=0,"",(Tableau3[[#This Row],[Dettes]]/Tableau3[[#This Row],[EBE]])),"")</f>
        <v>3.6819444444444445</v>
      </c>
      <c r="V4410" s="190" t="str">
        <f>IFERROR(Tableau3[[#This Row],[Fonds propres]]/Tableau3[[#This Row],[Total Bilan]],"")</f>
        <v/>
      </c>
      <c r="W4410" s="180"/>
      <c r="Y4410" s="180">
        <v>36518</v>
      </c>
      <c r="Z4410" s="192">
        <f>IFERROR(Tableau3[[#This Row],[Chiffre d''affaires]]/Tableau3[[#This Row],[Salariés]],"")</f>
        <v>103537.98126951093</v>
      </c>
      <c r="AC4410" s="177" t="s">
        <v>3070</v>
      </c>
    </row>
    <row r="4411" spans="1:29" ht="20.25" customHeight="1">
      <c r="A4411" s="217"/>
      <c r="E4411" s="187"/>
      <c r="G4411" s="188"/>
      <c r="H4411" s="188"/>
      <c r="I4411" s="188"/>
      <c r="J4411" s="188"/>
      <c r="K4411" s="188"/>
      <c r="L4411" s="188"/>
      <c r="M4411" s="178"/>
      <c r="N4411" s="178"/>
      <c r="O4411" s="178"/>
      <c r="P4411" s="178"/>
      <c r="Q4411" s="188"/>
      <c r="R4411" s="178"/>
      <c r="S4411" s="178"/>
      <c r="T4411" s="180"/>
      <c r="U4411" s="189" t="str">
        <f>IFERROR(IF(Tableau3[[#This Row],[Dettes]]=0,"",(Tableau3[[#This Row],[Dettes]]/Tableau3[[#This Row],[EBE]])),"")</f>
        <v/>
      </c>
      <c r="V4411" s="190" t="str">
        <f>IFERROR(Tableau3[[#This Row],[Fonds propres]]/Tableau3[[#This Row],[Total Bilan]],"")</f>
        <v/>
      </c>
      <c r="W4411" s="180"/>
      <c r="Y4411" s="180"/>
      <c r="Z4411" s="192" t="str">
        <f>IFERROR(Tableau3[[#This Row],[Chiffre d''affaires]]/Tableau3[[#This Row],[Salariés]],"")</f>
        <v/>
      </c>
      <c r="AC4411" s="177" t="s">
        <v>4723</v>
      </c>
    </row>
    <row r="4412" spans="1:29" ht="20.25" customHeight="1">
      <c r="A4412" s="217"/>
      <c r="E4412" s="187"/>
      <c r="F4412" s="178" t="s">
        <v>800</v>
      </c>
      <c r="G4412" s="188"/>
      <c r="H4412" s="188"/>
      <c r="I4412" s="178"/>
      <c r="J4412" s="188"/>
      <c r="K4412" s="188"/>
      <c r="L4412" s="188"/>
      <c r="M4412" s="178"/>
      <c r="N4412" s="178"/>
      <c r="O4412" s="178"/>
      <c r="P4412" s="178"/>
      <c r="Q4412" s="178"/>
      <c r="R4412" s="178"/>
      <c r="S4412" s="178"/>
      <c r="T4412" s="180"/>
      <c r="U4412" s="189" t="str">
        <f>IFERROR(IF(Tableau3[[#This Row],[Dettes]]=0,"",(Tableau3[[#This Row],[Dettes]]/Tableau3[[#This Row],[EBE]])),"")</f>
        <v/>
      </c>
      <c r="V4412" s="190" t="str">
        <f>IFERROR(Tableau3[[#This Row],[Fonds propres]]/Tableau3[[#This Row],[Total Bilan]],"")</f>
        <v/>
      </c>
      <c r="W4412" s="180"/>
      <c r="Y4412" s="180"/>
      <c r="Z4412" s="192" t="str">
        <f>IFERROR(Tableau3[[#This Row],[Chiffre d''affaires]]/Tableau3[[#This Row],[Salariés]],"")</f>
        <v/>
      </c>
      <c r="AC4412" s="177" t="s">
        <v>4677</v>
      </c>
    </row>
    <row r="4413" spans="1:29" ht="20.25" customHeight="1">
      <c r="A4413" s="217"/>
      <c r="E4413" s="187"/>
      <c r="G4413" s="188"/>
      <c r="H4413" s="188"/>
      <c r="I4413" s="178"/>
      <c r="J4413" s="188"/>
      <c r="K4413" s="178"/>
      <c r="L4413" s="188"/>
      <c r="M4413" s="178"/>
      <c r="N4413" s="178"/>
      <c r="O4413" s="178"/>
      <c r="P4413" s="178"/>
      <c r="Q4413" s="178"/>
      <c r="R4413" s="178"/>
      <c r="S4413" s="178"/>
      <c r="T4413" s="180"/>
      <c r="U4413" s="189" t="str">
        <f>IFERROR(IF(Tableau3[[#This Row],[Dettes]]=0,"",(Tableau3[[#This Row],[Dettes]]/Tableau3[[#This Row],[EBE]])),"")</f>
        <v/>
      </c>
      <c r="V4413" s="190" t="str">
        <f>IFERROR(Tableau3[[#This Row],[Fonds propres]]/Tableau3[[#This Row],[Total Bilan]],"")</f>
        <v/>
      </c>
      <c r="W4413" s="180"/>
      <c r="Y4413" s="180"/>
      <c r="Z4413" s="192" t="str">
        <f>IFERROR(Tableau3[[#This Row],[Chiffre d''affaires]]/Tableau3[[#This Row],[Salariés]],"")</f>
        <v/>
      </c>
      <c r="AC4413" s="177" t="s">
        <v>3071</v>
      </c>
    </row>
    <row r="4414" spans="1:29" ht="20.25" customHeight="1">
      <c r="A4414" s="217"/>
      <c r="E4414" s="187">
        <v>21.2</v>
      </c>
      <c r="F4414" s="178">
        <v>2014</v>
      </c>
      <c r="G4414" s="188">
        <v>1410200000</v>
      </c>
      <c r="H4414" s="188">
        <v>230000000</v>
      </c>
      <c r="I4414" s="188">
        <v>189884000</v>
      </c>
      <c r="J4414" s="188">
        <v>128195000</v>
      </c>
      <c r="K4414" s="188">
        <v>493612000</v>
      </c>
      <c r="L4414" s="188">
        <v>656483000</v>
      </c>
      <c r="M4414" s="194">
        <f>L4414/P4414</f>
        <v>4.3177038928150431</v>
      </c>
      <c r="N4414" s="190">
        <f>J4414/L4414</f>
        <v>0.19527542982834284</v>
      </c>
      <c r="O4414" s="190">
        <f>(I4414*0.7)/(K4414+L4414)</f>
        <v>0.11557201796373341</v>
      </c>
      <c r="P4414" s="188">
        <f>15204447*10</f>
        <v>152044470</v>
      </c>
      <c r="Q4414" s="188">
        <f>P4414*E4414</f>
        <v>3223342764</v>
      </c>
      <c r="R4414" s="195">
        <f>Q4414/L4414</f>
        <v>4.9100171124004737</v>
      </c>
      <c r="S4414" s="197">
        <f>(Q4414+K4414)/H4414</f>
        <v>16.160672886956522</v>
      </c>
      <c r="T4414" s="180"/>
      <c r="U4414" s="189">
        <f>IFERROR(IF(Tableau3[[#This Row],[Dettes]]=0,"",(Tableau3[[#This Row],[Dettes]]/Tableau3[[#This Row],[EBE]])),"")</f>
        <v>2.1461391304347828</v>
      </c>
      <c r="V4414" s="190" t="str">
        <f>IFERROR(Tableau3[[#This Row],[Fonds propres]]/Tableau3[[#This Row],[Total Bilan]],"")</f>
        <v/>
      </c>
      <c r="W4414" s="180"/>
      <c r="Y4414" s="180">
        <v>14855</v>
      </c>
      <c r="Z4414" s="192">
        <f>IFERROR(Tableau3[[#This Row],[Chiffre d''affaires]]/Tableau3[[#This Row],[Salariés]],"")</f>
        <v>94930.999663412993</v>
      </c>
      <c r="AC4414" s="177" t="s">
        <v>3072</v>
      </c>
    </row>
    <row r="4415" spans="1:29" ht="20.25" customHeight="1">
      <c r="A4415" s="217"/>
      <c r="G4415" s="188"/>
      <c r="H4415" s="188"/>
      <c r="I4415" s="178"/>
      <c r="J4415" s="188"/>
      <c r="K4415" s="178"/>
      <c r="L4415" s="178"/>
      <c r="M4415" s="178"/>
      <c r="N4415" s="178"/>
      <c r="O4415" s="178"/>
      <c r="P4415" s="178"/>
      <c r="Q4415" s="178"/>
      <c r="R4415" s="178"/>
      <c r="S4415" s="178"/>
      <c r="T4415" s="180"/>
      <c r="U4415" s="189" t="str">
        <f>IFERROR(IF(Tableau3[[#This Row],[Dettes]]=0,"",(Tableau3[[#This Row],[Dettes]]/Tableau3[[#This Row],[EBE]])),"")</f>
        <v/>
      </c>
      <c r="V4415" s="190" t="str">
        <f>IFERROR(Tableau3[[#This Row],[Fonds propres]]/Tableau3[[#This Row],[Total Bilan]],"")</f>
        <v/>
      </c>
      <c r="W4415" s="180"/>
      <c r="Y4415" s="180"/>
      <c r="Z4415" s="192" t="str">
        <f>IFERROR(Tableau3[[#This Row],[Chiffre d''affaires]]/Tableau3[[#This Row],[Salariés]],"")</f>
        <v/>
      </c>
      <c r="AC4415" s="177" t="s">
        <v>155</v>
      </c>
    </row>
    <row r="4416" spans="1:29" ht="20.25" customHeight="1">
      <c r="A4416" s="217"/>
      <c r="G4416" s="188"/>
      <c r="H4416" s="188"/>
      <c r="I4416" s="178"/>
      <c r="J4416" s="188"/>
      <c r="K4416" s="178"/>
      <c r="L4416" s="178"/>
      <c r="M4416" s="178"/>
      <c r="N4416" s="178"/>
      <c r="O4416" s="178"/>
      <c r="P4416" s="178"/>
      <c r="Q4416" s="178"/>
      <c r="R4416" s="178"/>
      <c r="S4416" s="178"/>
      <c r="T4416" s="180"/>
      <c r="U4416" s="189" t="str">
        <f>IFERROR(IF(Tableau3[[#This Row],[Dettes]]=0,"",(Tableau3[[#This Row],[Dettes]]/Tableau3[[#This Row],[EBE]])),"")</f>
        <v/>
      </c>
      <c r="V4416" s="190" t="str">
        <f>IFERROR(Tableau3[[#This Row],[Fonds propres]]/Tableau3[[#This Row],[Total Bilan]],"")</f>
        <v/>
      </c>
      <c r="W4416" s="180"/>
      <c r="Y4416" s="180"/>
      <c r="Z4416" s="192" t="str">
        <f>IFERROR(Tableau3[[#This Row],[Chiffre d''affaires]]/Tableau3[[#This Row],[Salariés]],"")</f>
        <v/>
      </c>
      <c r="AC4416" s="177" t="s">
        <v>3073</v>
      </c>
    </row>
    <row r="4417" spans="1:29" ht="20.25" customHeight="1">
      <c r="A4417" s="217"/>
      <c r="G4417" s="188"/>
      <c r="H4417" s="188"/>
      <c r="I4417" s="178"/>
      <c r="J4417" s="188"/>
      <c r="K4417" s="178"/>
      <c r="L4417" s="178"/>
      <c r="M4417" s="178"/>
      <c r="N4417" s="178"/>
      <c r="O4417" s="178"/>
      <c r="P4417" s="178"/>
      <c r="Q4417" s="178"/>
      <c r="R4417" s="178"/>
      <c r="S4417" s="178"/>
      <c r="T4417" s="180"/>
      <c r="U4417" s="189" t="str">
        <f>IFERROR(IF(Tableau3[[#This Row],[Dettes]]=0,"",(Tableau3[[#This Row],[Dettes]]/Tableau3[[#This Row],[EBE]])),"")</f>
        <v/>
      </c>
      <c r="V4417" s="190" t="str">
        <f>IFERROR(Tableau3[[#This Row],[Fonds propres]]/Tableau3[[#This Row],[Total Bilan]],"")</f>
        <v/>
      </c>
      <c r="W4417" s="180"/>
      <c r="Y4417" s="180"/>
      <c r="Z4417" s="192" t="str">
        <f>IFERROR(Tableau3[[#This Row],[Chiffre d''affaires]]/Tableau3[[#This Row],[Salariés]],"")</f>
        <v/>
      </c>
    </row>
    <row r="4418" spans="1:29" ht="20.25" customHeight="1">
      <c r="A4418" s="217" t="s">
        <v>3074</v>
      </c>
      <c r="B4418" s="216" t="s">
        <v>3075</v>
      </c>
      <c r="C4418" s="178" t="s">
        <v>99</v>
      </c>
      <c r="D4418" s="178" t="s">
        <v>100</v>
      </c>
      <c r="F4418" s="178">
        <v>2025</v>
      </c>
      <c r="G4418" s="188"/>
      <c r="H4418" s="188"/>
      <c r="I4418" s="178"/>
      <c r="J4418" s="188"/>
      <c r="K4418" s="178"/>
      <c r="L4418" s="178"/>
      <c r="M4418" s="178"/>
      <c r="N4418" s="178"/>
      <c r="O4418" s="178"/>
      <c r="P4418" s="178"/>
      <c r="Q4418" s="178"/>
      <c r="R4418" s="178"/>
      <c r="S4418" s="178"/>
      <c r="T4418" s="180"/>
      <c r="U4418" s="189" t="str">
        <f>IFERROR(IF(Tableau3[[#This Row],[Dettes]]=0,"",(Tableau3[[#This Row],[Dettes]]/Tableau3[[#This Row],[EBE]])),"")</f>
        <v/>
      </c>
      <c r="V4418" s="190" t="str">
        <f>IFERROR(Tableau3[[#This Row],[Fonds propres]]/Tableau3[[#This Row],[Total Bilan]],"")</f>
        <v/>
      </c>
      <c r="W4418" s="180"/>
      <c r="Y4418" s="180"/>
      <c r="Z4418" s="192" t="str">
        <f>IFERROR(Tableau3[[#This Row],[Chiffre d''affaires]]/Tableau3[[#This Row],[Salariés]],"")</f>
        <v/>
      </c>
      <c r="AC4418" s="177" t="s">
        <v>3076</v>
      </c>
    </row>
    <row r="4419" spans="1:29" ht="20.25" customHeight="1">
      <c r="A4419" s="217"/>
      <c r="G4419" s="188"/>
      <c r="H4419" s="188"/>
      <c r="I4419" s="178"/>
      <c r="J4419" s="188"/>
      <c r="K4419" s="178"/>
      <c r="L4419" s="178"/>
      <c r="M4419" s="178"/>
      <c r="N4419" s="178"/>
      <c r="O4419" s="178"/>
      <c r="P4419" s="178"/>
      <c r="Q4419" s="178"/>
      <c r="R4419" s="178"/>
      <c r="S4419" s="178"/>
      <c r="T4419" s="180"/>
      <c r="U4419" s="189" t="str">
        <f>IFERROR(IF(Tableau3[[#This Row],[Dettes]]=0,"",(Tableau3[[#This Row],[Dettes]]/Tableau3[[#This Row],[EBE]])),"")</f>
        <v/>
      </c>
      <c r="V4419" s="190" t="str">
        <f>IFERROR(Tableau3[[#This Row],[Fonds propres]]/Tableau3[[#This Row],[Total Bilan]],"")</f>
        <v/>
      </c>
      <c r="W4419" s="180"/>
      <c r="Y4419" s="180"/>
      <c r="Z4419" s="192" t="str">
        <f>IFERROR(Tableau3[[#This Row],[Chiffre d''affaires]]/Tableau3[[#This Row],[Salariés]],"")</f>
        <v/>
      </c>
      <c r="AC4419" s="177" t="s">
        <v>3078</v>
      </c>
    </row>
    <row r="4420" spans="1:29" ht="20.25" customHeight="1">
      <c r="A4420" s="217"/>
      <c r="E4420" s="178">
        <v>106.6</v>
      </c>
      <c r="F4420" s="178">
        <v>2024</v>
      </c>
      <c r="G4420" s="188"/>
      <c r="H4420" s="188"/>
      <c r="I4420" s="178"/>
      <c r="J4420" s="178"/>
      <c r="K4420" s="178"/>
      <c r="L4420" s="178"/>
      <c r="M4420" s="178"/>
      <c r="N4420" s="178"/>
      <c r="O4420" s="178"/>
      <c r="P4420" s="178"/>
      <c r="Q4420" s="178"/>
      <c r="R4420" s="178"/>
      <c r="S4420" s="178"/>
      <c r="T4420" s="180"/>
      <c r="U4420" s="189" t="str">
        <f>IFERROR(IF(Tableau3[[#This Row],[Dettes]]=0,"",(Tableau3[[#This Row],[Dettes]]/Tableau3[[#This Row],[EBE]])),"")</f>
        <v/>
      </c>
      <c r="V4420" s="190" t="str">
        <f>IFERROR(Tableau3[[#This Row],[Fonds propres]]/Tableau3[[#This Row],[Total Bilan]],"")</f>
        <v/>
      </c>
      <c r="W4420" s="180"/>
      <c r="Y4420" s="180"/>
      <c r="Z4420" s="192" t="str">
        <f>IFERROR(Tableau3[[#This Row],[Chiffre d''affaires]]/Tableau3[[#This Row],[Salariés]],"")</f>
        <v/>
      </c>
      <c r="AC4420" s="177" t="s">
        <v>3079</v>
      </c>
    </row>
    <row r="4421" spans="1:29" ht="20.25" customHeight="1">
      <c r="A4421" s="217"/>
      <c r="G4421" s="188"/>
      <c r="H4421" s="188"/>
      <c r="I4421" s="178"/>
      <c r="J4421" s="178"/>
      <c r="K4421" s="178"/>
      <c r="L4421" s="178"/>
      <c r="M4421" s="178"/>
      <c r="N4421" s="178"/>
      <c r="O4421" s="178"/>
      <c r="P4421" s="178"/>
      <c r="Q4421" s="178"/>
      <c r="R4421" s="178"/>
      <c r="S4421" s="178"/>
      <c r="T4421" s="180"/>
      <c r="U4421" s="189" t="str">
        <f>IFERROR(IF(Tableau3[[#This Row],[Dettes]]=0,"",(Tableau3[[#This Row],[Dettes]]/Tableau3[[#This Row],[EBE]])),"")</f>
        <v/>
      </c>
      <c r="V4421" s="190" t="str">
        <f>IFERROR(Tableau3[[#This Row],[Fonds propres]]/Tableau3[[#This Row],[Total Bilan]],"")</f>
        <v/>
      </c>
      <c r="W4421" s="180"/>
      <c r="Y4421" s="180"/>
      <c r="Z4421" s="192" t="str">
        <f>IFERROR(Tableau3[[#This Row],[Chiffre d''affaires]]/Tableau3[[#This Row],[Salariés]],"")</f>
        <v/>
      </c>
      <c r="AC4421" s="177" t="s">
        <v>3080</v>
      </c>
    </row>
    <row r="4422" spans="1:29" ht="20.25" customHeight="1">
      <c r="A4422" s="217"/>
      <c r="E4422" s="178">
        <v>125.6</v>
      </c>
      <c r="F4422" s="178">
        <v>2023</v>
      </c>
      <c r="G4422" s="188"/>
      <c r="H4422" s="188"/>
      <c r="I4422" s="178"/>
      <c r="J4422" s="178"/>
      <c r="K4422" s="178"/>
      <c r="L4422" s="178"/>
      <c r="M4422" s="178"/>
      <c r="N4422" s="178"/>
      <c r="O4422" s="178"/>
      <c r="P4422" s="188"/>
      <c r="Q4422" s="178"/>
      <c r="R4422" s="178"/>
      <c r="S4422" s="178"/>
      <c r="T4422" s="180"/>
      <c r="U4422" s="189" t="str">
        <f>IFERROR(IF(Tableau3[[#This Row],[Dettes]]=0,"",(Tableau3[[#This Row],[Dettes]]/Tableau3[[#This Row],[EBE]])),"")</f>
        <v/>
      </c>
      <c r="V4422" s="190" t="str">
        <f>IFERROR(Tableau3[[#This Row],[Fonds propres]]/Tableau3[[#This Row],[Total Bilan]],"")</f>
        <v/>
      </c>
      <c r="W4422" s="180"/>
      <c r="Y4422" s="180"/>
      <c r="Z4422" s="192" t="str">
        <f>IFERROR(Tableau3[[#This Row],[Chiffre d''affaires]]/Tableau3[[#This Row],[Salariés]],"")</f>
        <v/>
      </c>
      <c r="AC4422" s="177" t="s">
        <v>3081</v>
      </c>
    </row>
    <row r="4423" spans="1:29" ht="20.25" customHeight="1">
      <c r="A4423" s="217"/>
      <c r="G4423" s="188"/>
      <c r="H4423" s="188"/>
      <c r="I4423" s="178"/>
      <c r="J4423" s="178"/>
      <c r="K4423" s="178"/>
      <c r="L4423" s="178"/>
      <c r="M4423" s="178"/>
      <c r="N4423" s="178"/>
      <c r="O4423" s="178"/>
      <c r="P4423" s="188"/>
      <c r="Q4423" s="178"/>
      <c r="R4423" s="178"/>
      <c r="S4423" s="178"/>
      <c r="T4423" s="180"/>
      <c r="U4423" s="189" t="str">
        <f>IFERROR(IF(Tableau3[[#This Row],[Dettes]]=0,"",(Tableau3[[#This Row],[Dettes]]/Tableau3[[#This Row],[EBE]])),"")</f>
        <v/>
      </c>
      <c r="V4423" s="190" t="str">
        <f>IFERROR(Tableau3[[#This Row],[Fonds propres]]/Tableau3[[#This Row],[Total Bilan]],"")</f>
        <v/>
      </c>
      <c r="W4423" s="180"/>
      <c r="Y4423" s="180"/>
      <c r="Z4423" s="192" t="str">
        <f>IFERROR(Tableau3[[#This Row],[Chiffre d''affaires]]/Tableau3[[#This Row],[Salariés]],"")</f>
        <v/>
      </c>
      <c r="AC4423" s="177" t="s">
        <v>3082</v>
      </c>
    </row>
    <row r="4424" spans="1:29" ht="20.25" customHeight="1">
      <c r="A4424" s="217"/>
      <c r="E4424" s="178">
        <v>103</v>
      </c>
      <c r="F4424" s="178">
        <v>2022</v>
      </c>
      <c r="G4424" s="188">
        <v>437100000</v>
      </c>
      <c r="H4424" s="188">
        <v>120400000</v>
      </c>
      <c r="I4424" s="188">
        <v>61464000</v>
      </c>
      <c r="J4424" s="188">
        <v>46249000</v>
      </c>
      <c r="K4424" s="188">
        <v>111600000</v>
      </c>
      <c r="L4424" s="188">
        <v>274655000</v>
      </c>
      <c r="M4424" s="194">
        <f>L4424/P4424</f>
        <v>13.732749999999999</v>
      </c>
      <c r="N4424" s="190">
        <f>J4424/L4424</f>
        <v>0.16838943401722162</v>
      </c>
      <c r="O4424" s="190">
        <f>(I4424*0.7)/(K4424+L4424)</f>
        <v>0.11138962602425859</v>
      </c>
      <c r="P4424" s="188">
        <v>20000000</v>
      </c>
      <c r="Q4424" s="188">
        <f>P4424*E4424</f>
        <v>2060000000</v>
      </c>
      <c r="R4424" s="195">
        <f>Q4424/L4424</f>
        <v>7.5003185814931461</v>
      </c>
      <c r="S4424" s="197">
        <f>(Q4424+K4424)/H4424</f>
        <v>18.036544850498338</v>
      </c>
      <c r="T4424" s="180">
        <v>21600000</v>
      </c>
      <c r="U4424" s="189">
        <f>IFERROR(IF(Tableau3[[#This Row],[Dettes]]=0,"",(Tableau3[[#This Row],[Dettes]]/Tableau3[[#This Row],[EBE]])),"")</f>
        <v>0.92691029900332222</v>
      </c>
      <c r="V4424" s="190" t="str">
        <f>IFERROR(Tableau3[[#This Row],[Fonds propres]]/Tableau3[[#This Row],[Total Bilan]],"")</f>
        <v/>
      </c>
      <c r="W4424" s="180"/>
      <c r="Y4424" s="180">
        <v>1537</v>
      </c>
      <c r="Z4424" s="192">
        <f>IFERROR(Tableau3[[#This Row],[Chiffre d''affaires]]/Tableau3[[#This Row],[Salariés]],"")</f>
        <v>284385.16590761225</v>
      </c>
      <c r="AC4424" s="177" t="s">
        <v>3083</v>
      </c>
    </row>
    <row r="4425" spans="1:29" ht="20.25" customHeight="1">
      <c r="A4425" s="217"/>
      <c r="G4425" s="202">
        <f>(G4424/G4426)-1</f>
        <v>0.2038006058936932</v>
      </c>
      <c r="H4425" s="202">
        <f>(H4424/H4426)-1</f>
        <v>0.12418300653594772</v>
      </c>
      <c r="I4425" s="202">
        <f>(I4424/I4426)-1</f>
        <v>4.5715160692107348E-2</v>
      </c>
      <c r="J4425" s="202">
        <f>(J4424/J4426)-1</f>
        <v>-0.10232720638186366</v>
      </c>
      <c r="K4425" s="188"/>
      <c r="L4425" s="188"/>
      <c r="M4425" s="178"/>
      <c r="N4425" s="178"/>
      <c r="O4425" s="178"/>
      <c r="P4425" s="188"/>
      <c r="Q4425" s="178"/>
      <c r="R4425" s="178"/>
      <c r="S4425" s="178"/>
      <c r="T4425" s="180"/>
      <c r="U4425" s="189" t="str">
        <f>IFERROR(IF(Tableau3[[#This Row],[Dettes]]=0,"",(Tableau3[[#This Row],[Dettes]]/Tableau3[[#This Row],[EBE]])),"")</f>
        <v/>
      </c>
      <c r="V4425" s="190" t="str">
        <f>IFERROR(Tableau3[[#This Row],[Fonds propres]]/Tableau3[[#This Row],[Total Bilan]],"")</f>
        <v/>
      </c>
      <c r="W4425" s="180"/>
      <c r="Y4425" s="180"/>
      <c r="Z4425" s="192" t="str">
        <f>IFERROR(Tableau3[[#This Row],[Chiffre d''affaires]]/Tableau3[[#This Row],[Salariés]],"")</f>
        <v/>
      </c>
      <c r="AC4425" s="177" t="s">
        <v>3084</v>
      </c>
    </row>
    <row r="4426" spans="1:29" ht="20.25" customHeight="1">
      <c r="A4426" s="217"/>
      <c r="E4426" s="178">
        <v>142</v>
      </c>
      <c r="F4426" s="178">
        <v>2021</v>
      </c>
      <c r="G4426" s="188">
        <v>363100000</v>
      </c>
      <c r="H4426" s="188">
        <v>107100000</v>
      </c>
      <c r="I4426" s="188">
        <v>58777000</v>
      </c>
      <c r="J4426" s="188">
        <v>51521000</v>
      </c>
      <c r="K4426" s="188">
        <v>93600000</v>
      </c>
      <c r="L4426" s="188">
        <v>226397000</v>
      </c>
      <c r="M4426" s="194">
        <f>L4426/P4426</f>
        <v>11.319850000000001</v>
      </c>
      <c r="N4426" s="190">
        <f>J4426/L4426</f>
        <v>0.22756926991082038</v>
      </c>
      <c r="O4426" s="190">
        <f>(I4426*0.7)/(K4426+L4426)</f>
        <v>0.12857589289899593</v>
      </c>
      <c r="P4426" s="188">
        <v>20000000</v>
      </c>
      <c r="Q4426" s="188">
        <f>P4426*E4426</f>
        <v>2840000000</v>
      </c>
      <c r="R4426" s="195">
        <f>Q4426/L4426</f>
        <v>12.544335834838801</v>
      </c>
      <c r="S4426" s="197">
        <f>(Q4426+K4426)/H4426</f>
        <v>27.391223155929037</v>
      </c>
      <c r="T4426" s="180">
        <v>33800000</v>
      </c>
      <c r="U4426" s="189">
        <f>IFERROR(IF(Tableau3[[#This Row],[Dettes]]=0,"",(Tableau3[[#This Row],[Dettes]]/Tableau3[[#This Row],[EBE]])),"")</f>
        <v>0.87394957983193278</v>
      </c>
      <c r="V4426" s="190" t="str">
        <f>IFERROR(Tableau3[[#This Row],[Fonds propres]]/Tableau3[[#This Row],[Total Bilan]],"")</f>
        <v/>
      </c>
      <c r="W4426" s="180"/>
      <c r="Y4426" s="180">
        <v>1341</v>
      </c>
      <c r="Z4426" s="192">
        <f>IFERROR(Tableau3[[#This Row],[Chiffre d''affaires]]/Tableau3[[#This Row],[Salariés]],"")</f>
        <v>270768.08351976139</v>
      </c>
      <c r="AC4426" s="177" t="s">
        <v>3085</v>
      </c>
    </row>
    <row r="4427" spans="1:29" ht="20.25" customHeight="1">
      <c r="A4427" s="217"/>
      <c r="G4427" s="202">
        <f>(G4426/G4428)-1</f>
        <v>0.20033057851239677</v>
      </c>
      <c r="H4427" s="202">
        <f>(H4426/H4428)-1</f>
        <v>0.21566401816118042</v>
      </c>
      <c r="I4427" s="202">
        <f>(I4426/I4428)-1</f>
        <v>0.18878304310013561</v>
      </c>
      <c r="J4427" s="202">
        <f>(J4426/J4428)-1</f>
        <v>0.38904316410989193</v>
      </c>
      <c r="K4427" s="188"/>
      <c r="L4427" s="188"/>
      <c r="M4427" s="178"/>
      <c r="N4427" s="178"/>
      <c r="O4427" s="178"/>
      <c r="P4427" s="188"/>
      <c r="Q4427" s="178"/>
      <c r="R4427" s="178"/>
      <c r="S4427" s="178"/>
      <c r="T4427" s="180"/>
      <c r="U4427" s="189" t="str">
        <f>IFERROR(IF(Tableau3[[#This Row],[Dettes]]=0,"",(Tableau3[[#This Row],[Dettes]]/Tableau3[[#This Row],[EBE]])),"")</f>
        <v/>
      </c>
      <c r="V4427" s="190" t="str">
        <f>IFERROR(Tableau3[[#This Row],[Fonds propres]]/Tableau3[[#This Row],[Total Bilan]],"")</f>
        <v/>
      </c>
      <c r="W4427" s="180"/>
      <c r="Y4427" s="180"/>
      <c r="Z4427" s="192" t="str">
        <f>IFERROR(Tableau3[[#This Row],[Chiffre d''affaires]]/Tableau3[[#This Row],[Salariés]],"")</f>
        <v/>
      </c>
      <c r="AC4427" s="177" t="s">
        <v>3086</v>
      </c>
    </row>
    <row r="4428" spans="1:29" ht="20.25" customHeight="1">
      <c r="A4428" s="217"/>
      <c r="E4428" s="178">
        <v>87.6</v>
      </c>
      <c r="F4428" s="178">
        <v>2020</v>
      </c>
      <c r="G4428" s="188">
        <v>302500000</v>
      </c>
      <c r="H4428" s="188">
        <v>88100000</v>
      </c>
      <c r="I4428" s="188">
        <v>49443000</v>
      </c>
      <c r="J4428" s="188">
        <v>37091000</v>
      </c>
      <c r="K4428" s="188">
        <v>83300000</v>
      </c>
      <c r="L4428" s="188">
        <v>164717000</v>
      </c>
      <c r="M4428" s="194">
        <f>L4428/P4428</f>
        <v>8.2358499999999992</v>
      </c>
      <c r="N4428" s="190">
        <f>J4428/L4428</f>
        <v>0.22518015748222708</v>
      </c>
      <c r="O4428" s="190">
        <f>(I4428*0.7)/(K4428+L4428)</f>
        <v>0.13954728909711833</v>
      </c>
      <c r="P4428" s="188">
        <v>20000000</v>
      </c>
      <c r="Q4428" s="188">
        <f>P4428*E4428</f>
        <v>1752000000</v>
      </c>
      <c r="R4428" s="195">
        <f>Q4428/L4428</f>
        <v>10.636424898462211</v>
      </c>
      <c r="S4428" s="197">
        <f>(Q4428+K4428)/H4428</f>
        <v>20.83200908059024</v>
      </c>
      <c r="T4428" s="180">
        <v>31900000</v>
      </c>
      <c r="U4428" s="189">
        <f>IFERROR(IF(Tableau3[[#This Row],[Dettes]]=0,"",(Tableau3[[#This Row],[Dettes]]/Tableau3[[#This Row],[EBE]])),"")</f>
        <v>0.94551645856980704</v>
      </c>
      <c r="V4428" s="190" t="str">
        <f>IFERROR(Tableau3[[#This Row],[Fonds propres]]/Tableau3[[#This Row],[Total Bilan]],"")</f>
        <v/>
      </c>
      <c r="W4428" s="180"/>
      <c r="Y4428" s="180">
        <v>1183</v>
      </c>
      <c r="Z4428" s="192">
        <f>IFERROR(Tableau3[[#This Row],[Chiffre d''affaires]]/Tableau3[[#This Row],[Salariés]],"")</f>
        <v>255705.83262890956</v>
      </c>
      <c r="AC4428" s="177" t="s">
        <v>2137</v>
      </c>
    </row>
    <row r="4429" spans="1:29" ht="20.25" customHeight="1">
      <c r="A4429" s="217"/>
      <c r="G4429" s="202">
        <f>(G4428/G4430)-1</f>
        <v>-2.6078557630392796E-2</v>
      </c>
      <c r="H4429" s="202">
        <f>(H4428/H4430)-1</f>
        <v>-3.715846994535521E-2</v>
      </c>
      <c r="I4429" s="202">
        <f>(I4428/I4430)-1</f>
        <v>1.520929995411207</v>
      </c>
      <c r="J4429" s="202">
        <f>(J4428/J4430)-1</f>
        <v>2.1276667509908087</v>
      </c>
      <c r="K4429" s="188"/>
      <c r="L4429" s="188"/>
      <c r="M4429" s="178"/>
      <c r="N4429" s="178"/>
      <c r="O4429" s="178"/>
      <c r="P4429" s="188"/>
      <c r="Q4429" s="178"/>
      <c r="R4429" s="178"/>
      <c r="S4429" s="178"/>
      <c r="T4429" s="180"/>
      <c r="U4429" s="189" t="str">
        <f>IFERROR(IF(Tableau3[[#This Row],[Dettes]]=0,"",(Tableau3[[#This Row],[Dettes]]/Tableau3[[#This Row],[EBE]])),"")</f>
        <v/>
      </c>
      <c r="V4429" s="190" t="str">
        <f>IFERROR(Tableau3[[#This Row],[Fonds propres]]/Tableau3[[#This Row],[Total Bilan]],"")</f>
        <v/>
      </c>
      <c r="W4429" s="180"/>
      <c r="Y4429" s="180"/>
      <c r="Z4429" s="192" t="str">
        <f>IFERROR(Tableau3[[#This Row],[Chiffre d''affaires]]/Tableau3[[#This Row],[Salariés]],"")</f>
        <v/>
      </c>
      <c r="AC4429" s="177" t="s">
        <v>917</v>
      </c>
    </row>
    <row r="4430" spans="1:29" ht="20.25" customHeight="1">
      <c r="A4430" s="217"/>
      <c r="E4430" s="178">
        <v>72.400000000000006</v>
      </c>
      <c r="F4430" s="178">
        <v>2019</v>
      </c>
      <c r="G4430" s="188">
        <v>310600000</v>
      </c>
      <c r="H4430" s="188">
        <v>91500000</v>
      </c>
      <c r="I4430" s="188">
        <v>19613000</v>
      </c>
      <c r="J4430" s="188">
        <v>11859000</v>
      </c>
      <c r="K4430" s="188">
        <v>105600000</v>
      </c>
      <c r="L4430" s="188">
        <v>123234000</v>
      </c>
      <c r="M4430" s="194">
        <f>L4430/P4430</f>
        <v>6.1616999999999997</v>
      </c>
      <c r="N4430" s="190">
        <f>J4430/L4430</f>
        <v>9.6231559472223574E-2</v>
      </c>
      <c r="O4430" s="190">
        <f>(I4430*0.7)/(K4430+L4430)</f>
        <v>5.9995892218813636E-2</v>
      </c>
      <c r="P4430" s="188">
        <v>20000000</v>
      </c>
      <c r="Q4430" s="188">
        <f>P4430*E4430</f>
        <v>1448000000</v>
      </c>
      <c r="R4430" s="195">
        <f>Q4430/L4430</f>
        <v>11.750004057321844</v>
      </c>
      <c r="S4430" s="197">
        <f>(Q4430+K4430)/H4430</f>
        <v>16.979234972677595</v>
      </c>
      <c r="T4430" s="180">
        <v>22300000</v>
      </c>
      <c r="U4430" s="189">
        <f>IFERROR(IF(Tableau3[[#This Row],[Dettes]]=0,"",(Tableau3[[#This Row],[Dettes]]/Tableau3[[#This Row],[EBE]])),"")</f>
        <v>1.1540983606557378</v>
      </c>
      <c r="V4430" s="190" t="str">
        <f>IFERROR(Tableau3[[#This Row],[Fonds propres]]/Tableau3[[#This Row],[Total Bilan]],"")</f>
        <v/>
      </c>
      <c r="W4430" s="180"/>
      <c r="Y4430" s="180">
        <v>1101</v>
      </c>
      <c r="Z4430" s="192">
        <f>IFERROR(Tableau3[[#This Row],[Chiffre d''affaires]]/Tableau3[[#This Row],[Salariés]],"")</f>
        <v>282107.17529518617</v>
      </c>
      <c r="AC4430" s="177" t="s">
        <v>3087</v>
      </c>
    </row>
    <row r="4431" spans="1:29" ht="20.25" customHeight="1">
      <c r="A4431" s="217"/>
      <c r="G4431" s="188"/>
      <c r="H4431" s="188"/>
      <c r="I4431" s="178"/>
      <c r="J4431" s="178"/>
      <c r="K4431" s="178"/>
      <c r="L4431" s="178"/>
      <c r="M4431" s="178"/>
      <c r="N4431" s="178"/>
      <c r="O4431" s="178"/>
      <c r="P4431" s="188"/>
      <c r="Q4431" s="178"/>
      <c r="R4431" s="178"/>
      <c r="S4431" s="178"/>
      <c r="T4431" s="180"/>
      <c r="U4431" s="189" t="str">
        <f>IFERROR(IF(Tableau3[[#This Row],[Dettes]]=0,"",(Tableau3[[#This Row],[Dettes]]/Tableau3[[#This Row],[EBE]])),"")</f>
        <v/>
      </c>
      <c r="V4431" s="190" t="str">
        <f>IFERROR(Tableau3[[#This Row],[Fonds propres]]/Tableau3[[#This Row],[Total Bilan]],"")</f>
        <v/>
      </c>
      <c r="W4431" s="180"/>
      <c r="Y4431" s="180"/>
      <c r="Z4431" s="192" t="str">
        <f>IFERROR(Tableau3[[#This Row],[Chiffre d''affaires]]/Tableau3[[#This Row],[Salariés]],"")</f>
        <v/>
      </c>
      <c r="AC4431" s="177" t="s">
        <v>3088</v>
      </c>
    </row>
    <row r="4432" spans="1:29" ht="20.25" customHeight="1">
      <c r="A4432" s="217"/>
      <c r="F4432" s="178">
        <v>2018</v>
      </c>
      <c r="G4432" s="188" t="s">
        <v>3089</v>
      </c>
      <c r="H4432" s="188"/>
      <c r="I4432" s="178"/>
      <c r="J4432" s="178"/>
      <c r="K4432" s="178"/>
      <c r="L4432" s="178"/>
      <c r="M4432" s="178"/>
      <c r="N4432" s="178"/>
      <c r="O4432" s="178"/>
      <c r="P4432" s="178"/>
      <c r="Q4432" s="178"/>
      <c r="R4432" s="178"/>
      <c r="S4432" s="178"/>
      <c r="T4432" s="180"/>
      <c r="U4432" s="189" t="str">
        <f>IFERROR(IF(Tableau3[[#This Row],[Dettes]]=0,"",(Tableau3[[#This Row],[Dettes]]/Tableau3[[#This Row],[EBE]])),"")</f>
        <v/>
      </c>
      <c r="V4432" s="190" t="str">
        <f>IFERROR(Tableau3[[#This Row],[Fonds propres]]/Tableau3[[#This Row],[Total Bilan]],"")</f>
        <v/>
      </c>
      <c r="W4432" s="180"/>
      <c r="Y4432" s="180"/>
      <c r="Z4432" s="192" t="str">
        <f>IFERROR(Tableau3[[#This Row],[Chiffre d''affaires]]/Tableau3[[#This Row],[Salariés]],"")</f>
        <v/>
      </c>
    </row>
    <row r="4433" spans="1:29" ht="20.25" customHeight="1">
      <c r="A4433" s="217"/>
      <c r="G4433" s="188"/>
      <c r="H4433" s="188"/>
      <c r="I4433" s="178"/>
      <c r="J4433" s="178"/>
      <c r="K4433" s="178"/>
      <c r="L4433" s="178"/>
      <c r="M4433" s="178"/>
      <c r="N4433" s="178"/>
      <c r="O4433" s="178"/>
      <c r="P4433" s="178"/>
      <c r="Q4433" s="178"/>
      <c r="R4433" s="178"/>
      <c r="S4433" s="178"/>
      <c r="T4433" s="180"/>
      <c r="U4433" s="189" t="str">
        <f>IFERROR(IF(Tableau3[[#This Row],[Dettes]]=0,"",(Tableau3[[#This Row],[Dettes]]/Tableau3[[#This Row],[EBE]])),"")</f>
        <v/>
      </c>
      <c r="V4433" s="190" t="str">
        <f>IFERROR(Tableau3[[#This Row],[Fonds propres]]/Tableau3[[#This Row],[Total Bilan]],"")</f>
        <v/>
      </c>
      <c r="W4433" s="180"/>
      <c r="Y4433" s="180"/>
      <c r="Z4433" s="192" t="str">
        <f>IFERROR(Tableau3[[#This Row],[Chiffre d''affaires]]/Tableau3[[#This Row],[Salariés]],"")</f>
        <v/>
      </c>
    </row>
    <row r="4434" spans="1:29" ht="20.25" customHeight="1">
      <c r="A4434" s="217"/>
      <c r="F4434" s="178">
        <v>2017</v>
      </c>
      <c r="G4434" s="188"/>
      <c r="H4434" s="188"/>
      <c r="I4434" s="178"/>
      <c r="J4434" s="178"/>
      <c r="K4434" s="178"/>
      <c r="L4434" s="178"/>
      <c r="M4434" s="178"/>
      <c r="N4434" s="178"/>
      <c r="O4434" s="178"/>
      <c r="P4434" s="178"/>
      <c r="Q4434" s="178"/>
      <c r="R4434" s="178"/>
      <c r="S4434" s="178"/>
      <c r="T4434" s="180"/>
      <c r="U4434" s="189" t="str">
        <f>IFERROR(IF(Tableau3[[#This Row],[Dettes]]=0,"",(Tableau3[[#This Row],[Dettes]]/Tableau3[[#This Row],[EBE]])),"")</f>
        <v/>
      </c>
      <c r="V4434" s="190" t="str">
        <f>IFERROR(Tableau3[[#This Row],[Fonds propres]]/Tableau3[[#This Row],[Total Bilan]],"")</f>
        <v/>
      </c>
      <c r="W4434" s="180"/>
      <c r="Y4434" s="180"/>
      <c r="Z4434" s="192" t="str">
        <f>IFERROR(Tableau3[[#This Row],[Chiffre d''affaires]]/Tableau3[[#This Row],[Salariés]],"")</f>
        <v/>
      </c>
    </row>
    <row r="4435" spans="1:29" ht="20.25" customHeight="1">
      <c r="A4435" s="217"/>
      <c r="G4435" s="188"/>
      <c r="H4435" s="188"/>
      <c r="I4435" s="178"/>
      <c r="J4435" s="178"/>
      <c r="K4435" s="178"/>
      <c r="L4435" s="178"/>
      <c r="M4435" s="178"/>
      <c r="N4435" s="178"/>
      <c r="O4435" s="178"/>
      <c r="P4435" s="178"/>
      <c r="Q4435" s="178"/>
      <c r="R4435" s="178"/>
      <c r="S4435" s="178"/>
      <c r="T4435" s="180"/>
      <c r="U4435" s="189" t="str">
        <f>IFERROR(IF(Tableau3[[#This Row],[Dettes]]=0,"",(Tableau3[[#This Row],[Dettes]]/Tableau3[[#This Row],[EBE]])),"")</f>
        <v/>
      </c>
      <c r="V4435" s="190" t="str">
        <f>IFERROR(Tableau3[[#This Row],[Fonds propres]]/Tableau3[[#This Row],[Total Bilan]],"")</f>
        <v/>
      </c>
      <c r="W4435" s="180"/>
      <c r="Y4435" s="180"/>
      <c r="Z4435" s="192" t="str">
        <f>IFERROR(Tableau3[[#This Row],[Chiffre d''affaires]]/Tableau3[[#This Row],[Salariés]],"")</f>
        <v/>
      </c>
    </row>
    <row r="4436" spans="1:29" ht="20.25" customHeight="1">
      <c r="A4436" s="217"/>
      <c r="F4436" s="178">
        <v>2016</v>
      </c>
      <c r="G4436" s="188"/>
      <c r="H4436" s="188"/>
      <c r="I4436" s="178"/>
      <c r="J4436" s="178"/>
      <c r="K4436" s="178"/>
      <c r="L4436" s="178"/>
      <c r="M4436" s="178"/>
      <c r="N4436" s="178"/>
      <c r="O4436" s="178"/>
      <c r="P4436" s="178"/>
      <c r="Q4436" s="178"/>
      <c r="R4436" s="178"/>
      <c r="S4436" s="178"/>
      <c r="T4436" s="180"/>
      <c r="U4436" s="189" t="str">
        <f>IFERROR(IF(Tableau3[[#This Row],[Dettes]]=0,"",(Tableau3[[#This Row],[Dettes]]/Tableau3[[#This Row],[EBE]])),"")</f>
        <v/>
      </c>
      <c r="V4436" s="190" t="str">
        <f>IFERROR(Tableau3[[#This Row],[Fonds propres]]/Tableau3[[#This Row],[Total Bilan]],"")</f>
        <v/>
      </c>
      <c r="W4436" s="180"/>
      <c r="Y4436" s="180"/>
      <c r="Z4436" s="192" t="str">
        <f>IFERROR(Tableau3[[#This Row],[Chiffre d''affaires]]/Tableau3[[#This Row],[Salariés]],"")</f>
        <v/>
      </c>
    </row>
    <row r="4437" spans="1:29" ht="20.25" customHeight="1">
      <c r="A4437" s="217"/>
      <c r="G4437" s="188"/>
      <c r="H4437" s="188"/>
      <c r="I4437" s="178"/>
      <c r="J4437" s="178"/>
      <c r="K4437" s="178"/>
      <c r="L4437" s="178"/>
      <c r="M4437" s="178"/>
      <c r="N4437" s="178"/>
      <c r="O4437" s="178"/>
      <c r="P4437" s="178"/>
      <c r="Q4437" s="178"/>
      <c r="R4437" s="178"/>
      <c r="S4437" s="178"/>
      <c r="T4437" s="180"/>
      <c r="U4437" s="189" t="str">
        <f>IFERROR(IF(Tableau3[[#This Row],[Dettes]]=0,"",(Tableau3[[#This Row],[Dettes]]/Tableau3[[#This Row],[EBE]])),"")</f>
        <v/>
      </c>
      <c r="V4437" s="190" t="str">
        <f>IFERROR(Tableau3[[#This Row],[Fonds propres]]/Tableau3[[#This Row],[Total Bilan]],"")</f>
        <v/>
      </c>
      <c r="W4437" s="180"/>
      <c r="Y4437" s="180"/>
      <c r="Z4437" s="192" t="str">
        <f>IFERROR(Tableau3[[#This Row],[Chiffre d''affaires]]/Tableau3[[#This Row],[Salariés]],"")</f>
        <v/>
      </c>
    </row>
    <row r="4438" spans="1:29" ht="20.25" customHeight="1">
      <c r="A4438" s="217"/>
      <c r="F4438" s="217" t="s">
        <v>3090</v>
      </c>
      <c r="G4438" s="188"/>
      <c r="H4438" s="188"/>
      <c r="I4438" s="188"/>
      <c r="J4438" s="178"/>
      <c r="K4438" s="178"/>
      <c r="L4438" s="178"/>
      <c r="M4438" s="178"/>
      <c r="N4438" s="178"/>
      <c r="O4438" s="178"/>
      <c r="P4438" s="178"/>
      <c r="Q4438" s="178"/>
      <c r="R4438" s="178"/>
      <c r="S4438" s="178"/>
      <c r="T4438" s="180"/>
      <c r="U4438" s="189" t="str">
        <f>IFERROR(IF(Tableau3[[#This Row],[Dettes]]=0,"",(Tableau3[[#This Row],[Dettes]]/Tableau3[[#This Row],[EBE]])),"")</f>
        <v/>
      </c>
      <c r="V4438" s="190" t="str">
        <f>IFERROR(Tableau3[[#This Row],[Fonds propres]]/Tableau3[[#This Row],[Total Bilan]],"")</f>
        <v/>
      </c>
      <c r="W4438" s="180"/>
      <c r="Y4438" s="180"/>
      <c r="Z4438" s="192" t="str">
        <f>IFERROR(Tableau3[[#This Row],[Chiffre d''affaires]]/Tableau3[[#This Row],[Salariés]],"")</f>
        <v/>
      </c>
    </row>
    <row r="4439" spans="1:29" ht="20.25" customHeight="1">
      <c r="A4439" s="217"/>
      <c r="G4439" s="188"/>
      <c r="H4439" s="188"/>
      <c r="I4439" s="178"/>
      <c r="J4439" s="178"/>
      <c r="K4439" s="178"/>
      <c r="L4439" s="178"/>
      <c r="M4439" s="178"/>
      <c r="N4439" s="178"/>
      <c r="O4439" s="178"/>
      <c r="P4439" s="178"/>
      <c r="Q4439" s="178"/>
      <c r="R4439" s="178"/>
      <c r="S4439" s="178"/>
      <c r="T4439" s="180"/>
      <c r="U4439" s="189" t="str">
        <f>IFERROR(IF(Tableau3[[#This Row],[Dettes]]=0,"",(Tableau3[[#This Row],[Dettes]]/Tableau3[[#This Row],[EBE]])),"")</f>
        <v/>
      </c>
      <c r="V4439" s="190" t="str">
        <f>IFERROR(Tableau3[[#This Row],[Fonds propres]]/Tableau3[[#This Row],[Total Bilan]],"")</f>
        <v/>
      </c>
      <c r="W4439" s="180"/>
      <c r="Y4439" s="180"/>
      <c r="Z4439" s="192" t="str">
        <f>IFERROR(Tableau3[[#This Row],[Chiffre d''affaires]]/Tableau3[[#This Row],[Salariés]],"")</f>
        <v/>
      </c>
    </row>
    <row r="4440" spans="1:29" ht="20.25" customHeight="1">
      <c r="A4440" s="217"/>
      <c r="G4440" s="188"/>
      <c r="H4440" s="188"/>
      <c r="I4440" s="178"/>
      <c r="J4440" s="178"/>
      <c r="K4440" s="178"/>
      <c r="L4440" s="178"/>
      <c r="M4440" s="178"/>
      <c r="N4440" s="178"/>
      <c r="O4440" s="178"/>
      <c r="P4440" s="178"/>
      <c r="Q4440" s="178"/>
      <c r="R4440" s="178"/>
      <c r="S4440" s="178"/>
      <c r="T4440" s="180"/>
      <c r="U4440" s="189" t="str">
        <f>IFERROR(IF(Tableau3[[#This Row],[Dettes]]=0,"",(Tableau3[[#This Row],[Dettes]]/Tableau3[[#This Row],[EBE]])),"")</f>
        <v/>
      </c>
      <c r="V4440" s="190" t="str">
        <f>IFERROR(Tableau3[[#This Row],[Fonds propres]]/Tableau3[[#This Row],[Total Bilan]],"")</f>
        <v/>
      </c>
      <c r="W4440" s="180"/>
      <c r="Y4440" s="180"/>
      <c r="Z4440" s="192" t="str">
        <f>IFERROR(Tableau3[[#This Row],[Chiffre d''affaires]]/Tableau3[[#This Row],[Salariés]],"")</f>
        <v/>
      </c>
    </row>
    <row r="4441" spans="1:29" ht="20.25" customHeight="1">
      <c r="A4441" s="217"/>
      <c r="G4441" s="188"/>
      <c r="H4441" s="188"/>
      <c r="I4441" s="178"/>
      <c r="J4441" s="178"/>
      <c r="K4441" s="178"/>
      <c r="L4441" s="178"/>
      <c r="M4441" s="178"/>
      <c r="N4441" s="178"/>
      <c r="O4441" s="178"/>
      <c r="P4441" s="178"/>
      <c r="Q4441" s="178"/>
      <c r="R4441" s="178"/>
      <c r="S4441" s="178"/>
      <c r="T4441" s="180"/>
      <c r="U4441" s="189" t="str">
        <f>IFERROR(IF(Tableau3[[#This Row],[Dettes]]=0,"",(Tableau3[[#This Row],[Dettes]]/Tableau3[[#This Row],[EBE]])),"")</f>
        <v/>
      </c>
      <c r="V4441" s="190" t="str">
        <f>IFERROR(Tableau3[[#This Row],[Fonds propres]]/Tableau3[[#This Row],[Total Bilan]],"")</f>
        <v/>
      </c>
      <c r="W4441" s="180"/>
      <c r="Y4441" s="180"/>
      <c r="Z4441" s="192" t="str">
        <f>IFERROR(Tableau3[[#This Row],[Chiffre d''affaires]]/Tableau3[[#This Row],[Salariés]],"")</f>
        <v/>
      </c>
    </row>
    <row r="4442" spans="1:29" ht="20.25" customHeight="1">
      <c r="A4442" s="217" t="s">
        <v>3091</v>
      </c>
      <c r="B4442" s="216" t="s">
        <v>1586</v>
      </c>
      <c r="C4442" s="178" t="s">
        <v>84</v>
      </c>
      <c r="D4442" s="178" t="s">
        <v>3092</v>
      </c>
      <c r="F4442" s="178">
        <v>2025</v>
      </c>
      <c r="G4442" s="188"/>
      <c r="H4442" s="188"/>
      <c r="I4442" s="178"/>
      <c r="J4442" s="178"/>
      <c r="K4442" s="178"/>
      <c r="L4442" s="178"/>
      <c r="M4442" s="178"/>
      <c r="N4442" s="178"/>
      <c r="O4442" s="178"/>
      <c r="P4442" s="178"/>
      <c r="Q4442" s="178"/>
      <c r="R4442" s="178"/>
      <c r="S4442" s="178"/>
      <c r="T4442" s="180"/>
      <c r="U4442" s="189" t="str">
        <f>IFERROR(IF(Tableau3[[#This Row],[Dettes]]=0,"",(Tableau3[[#This Row],[Dettes]]/Tableau3[[#This Row],[EBE]])),"")</f>
        <v/>
      </c>
      <c r="V4442" s="190" t="str">
        <f>IFERROR(Tableau3[[#This Row],[Fonds propres]]/Tableau3[[#This Row],[Total Bilan]],"")</f>
        <v/>
      </c>
      <c r="W4442" s="180"/>
      <c r="Y4442" s="180"/>
      <c r="Z4442" s="192" t="str">
        <f>IFERROR(Tableau3[[#This Row],[Chiffre d''affaires]]/Tableau3[[#This Row],[Salariés]],"")</f>
        <v/>
      </c>
      <c r="AC4442" s="177" t="s">
        <v>3093</v>
      </c>
    </row>
    <row r="4443" spans="1:29" ht="20.25" customHeight="1">
      <c r="A4443" s="217"/>
      <c r="G4443" s="188"/>
      <c r="H4443" s="188"/>
      <c r="I4443" s="178"/>
      <c r="J4443" s="178"/>
      <c r="K4443" s="178"/>
      <c r="L4443" s="178"/>
      <c r="M4443" s="178"/>
      <c r="N4443" s="178"/>
      <c r="O4443" s="178"/>
      <c r="P4443" s="178"/>
      <c r="Q4443" s="178"/>
      <c r="R4443" s="178"/>
      <c r="S4443" s="178"/>
      <c r="T4443" s="180"/>
      <c r="U4443" s="189" t="str">
        <f>IFERROR(IF(Tableau3[[#This Row],[Dettes]]=0,"",(Tableau3[[#This Row],[Dettes]]/Tableau3[[#This Row],[EBE]])),"")</f>
        <v/>
      </c>
      <c r="V4443" s="190" t="str">
        <f>IFERROR(Tableau3[[#This Row],[Fonds propres]]/Tableau3[[#This Row],[Total Bilan]],"")</f>
        <v/>
      </c>
      <c r="W4443" s="180"/>
      <c r="Y4443" s="180"/>
      <c r="Z4443" s="192" t="str">
        <f>IFERROR(Tableau3[[#This Row],[Chiffre d''affaires]]/Tableau3[[#This Row],[Salariés]],"")</f>
        <v/>
      </c>
      <c r="AC4443" s="177" t="s">
        <v>3095</v>
      </c>
    </row>
    <row r="4444" spans="1:29" ht="20.25" customHeight="1">
      <c r="A4444" s="217"/>
      <c r="E4444" s="178">
        <v>12.4</v>
      </c>
      <c r="F4444" s="178">
        <v>2024</v>
      </c>
      <c r="G4444" s="188">
        <v>5006500000</v>
      </c>
      <c r="H4444" s="188">
        <v>610900000</v>
      </c>
      <c r="I4444" s="188">
        <v>184200000</v>
      </c>
      <c r="J4444" s="188">
        <v>-53900000</v>
      </c>
      <c r="K4444" s="188">
        <v>3610900000</v>
      </c>
      <c r="L4444" s="188">
        <v>1194300000</v>
      </c>
      <c r="M4444" s="194">
        <f>L4444/P4444</f>
        <v>10.8189451388078</v>
      </c>
      <c r="N4444" s="190">
        <f>J4444/L4444</f>
        <v>-4.5131039102403084E-2</v>
      </c>
      <c r="O4444" s="190">
        <f>(I4444*0.7)/(K4444+L4444)</f>
        <v>2.6833430450345457E-2</v>
      </c>
      <c r="P4444" s="188">
        <v>110389690</v>
      </c>
      <c r="Q4444" s="188">
        <f>P4444*E4444</f>
        <v>1368832156</v>
      </c>
      <c r="R4444" s="195">
        <f>Q4444/L4444</f>
        <v>1.1461376170141506</v>
      </c>
      <c r="S4444" s="197">
        <f>(Q4444+K4444)/H4444</f>
        <v>8.1514685807824527</v>
      </c>
      <c r="T4444" s="180"/>
      <c r="U4444" s="189">
        <f>IFERROR(IF(Tableau3[[#This Row],[Dettes]]=0,"",(Tableau3[[#This Row],[Dettes]]/Tableau3[[#This Row],[EBE]])),"")</f>
        <v>5.9107873629071861</v>
      </c>
      <c r="V4444" s="190">
        <f>IFERROR(Tableau3[[#This Row],[Fonds propres]]/Tableau3[[#This Row],[Total Bilan]],"")</f>
        <v>0.17320744865993734</v>
      </c>
      <c r="W4444" s="180">
        <v>6895200000</v>
      </c>
      <c r="Y4444" s="180">
        <v>38000</v>
      </c>
      <c r="Z4444" s="192">
        <f>IFERROR(Tableau3[[#This Row],[Chiffre d''affaires]]/Tableau3[[#This Row],[Salariés]],"")</f>
        <v>131750</v>
      </c>
      <c r="AC4444" s="177" t="s">
        <v>3096</v>
      </c>
    </row>
    <row r="4445" spans="1:29" ht="20.25" customHeight="1">
      <c r="A4445" s="217"/>
      <c r="G4445" s="202">
        <f>(G4444/G4446)-1</f>
        <v>6.4872912900138191E-2</v>
      </c>
      <c r="H4445" s="202">
        <f>(H4444/H4446)-1</f>
        <v>-1.6897328612809792E-2</v>
      </c>
      <c r="I4445" s="202">
        <f>(I4444/I4446)-1</f>
        <v>-0.23377703826955076</v>
      </c>
      <c r="J4445" s="202">
        <f>(J4444/J4446)-1</f>
        <v>-2.0910931174089069</v>
      </c>
      <c r="K4445" s="178"/>
      <c r="L4445" s="178"/>
      <c r="M4445" s="178"/>
      <c r="N4445" s="178"/>
      <c r="O4445" s="178"/>
      <c r="P4445" s="178"/>
      <c r="Q4445" s="178"/>
      <c r="R4445" s="178"/>
      <c r="S4445" s="178"/>
      <c r="T4445" s="180"/>
      <c r="U4445" s="189" t="str">
        <f>IFERROR(IF(Tableau3[[#This Row],[Dettes]]=0,"",(Tableau3[[#This Row],[Dettes]]/Tableau3[[#This Row],[EBE]])),"")</f>
        <v/>
      </c>
      <c r="V4445" s="190" t="str">
        <f>IFERROR(Tableau3[[#This Row],[Fonds propres]]/Tableau3[[#This Row],[Total Bilan]],"")</f>
        <v/>
      </c>
      <c r="W4445" s="180"/>
      <c r="Y4445" s="180"/>
      <c r="Z4445" s="192" t="str">
        <f>IFERROR(Tableau3[[#This Row],[Chiffre d''affaires]]/Tableau3[[#This Row],[Salariés]],"")</f>
        <v/>
      </c>
      <c r="AC4445" s="177" t="s">
        <v>3097</v>
      </c>
    </row>
    <row r="4446" spans="1:29" ht="20.25" customHeight="1">
      <c r="A4446" s="217"/>
      <c r="E4446" s="187">
        <v>19</v>
      </c>
      <c r="F4446" s="178">
        <v>2023</v>
      </c>
      <c r="G4446" s="188">
        <v>4701500000</v>
      </c>
      <c r="H4446" s="188">
        <v>621400000</v>
      </c>
      <c r="I4446" s="188">
        <v>240400000</v>
      </c>
      <c r="J4446" s="188">
        <v>49400000</v>
      </c>
      <c r="K4446" s="188">
        <v>3670000000</v>
      </c>
      <c r="L4446" s="188">
        <v>1245900000</v>
      </c>
      <c r="M4446" s="194">
        <f>L4446/P4446</f>
        <v>11.286380095822354</v>
      </c>
      <c r="N4446" s="190">
        <f>J4446/L4446</f>
        <v>3.9650052171121275E-2</v>
      </c>
      <c r="O4446" s="190">
        <f>(I4446*0.7)/(K4446+L4446)</f>
        <v>3.423177851461584E-2</v>
      </c>
      <c r="P4446" s="188">
        <v>110389690</v>
      </c>
      <c r="Q4446" s="188">
        <f>P4446*E4446</f>
        <v>2097404110</v>
      </c>
      <c r="R4446" s="195">
        <f>Q4446/L4446</f>
        <v>1.6834449875591941</v>
      </c>
      <c r="S4446" s="197">
        <f>(Q4446+K4446)/H4446</f>
        <v>9.2813069037656906</v>
      </c>
      <c r="T4446" s="180"/>
      <c r="U4446" s="189">
        <f>IFERROR(IF(Tableau3[[#This Row],[Dettes]]=0,"",(Tableau3[[#This Row],[Dettes]]/Tableau3[[#This Row],[EBE]])),"")</f>
        <v>5.9060186675249433</v>
      </c>
      <c r="V4446" s="190">
        <f>IFERROR(Tableau3[[#This Row],[Fonds propres]]/Tableau3[[#This Row],[Total Bilan]],"")</f>
        <v>0.17906522176550058</v>
      </c>
      <c r="W4446" s="180">
        <v>6957800000</v>
      </c>
      <c r="Y4446" s="180">
        <v>38000</v>
      </c>
      <c r="Z4446" s="192">
        <f>IFERROR(Tableau3[[#This Row],[Chiffre d''affaires]]/Tableau3[[#This Row],[Salariés]],"")</f>
        <v>123723.68421052632</v>
      </c>
      <c r="AC4446" s="177" t="s">
        <v>3098</v>
      </c>
    </row>
    <row r="4447" spans="1:29" ht="20.25" customHeight="1">
      <c r="A4447" s="217"/>
      <c r="G4447" s="202">
        <f>(G4446/G4448)-1</f>
        <v>9.3117879562892414E-2</v>
      </c>
      <c r="H4447" s="202">
        <f>(H4446/H4448)-1</f>
        <v>-5.6196840826245431E-2</v>
      </c>
      <c r="I4447" s="202">
        <f>(I4446/I4448)-1</f>
        <v>-0.17473395125300373</v>
      </c>
      <c r="J4447" s="202">
        <f>(J4446/J4448)-1</f>
        <v>-0.58277027027027029</v>
      </c>
      <c r="K4447" s="178"/>
      <c r="L4447" s="178"/>
      <c r="M4447" s="178"/>
      <c r="N4447" s="178"/>
      <c r="O4447" s="178"/>
      <c r="P4447" s="178"/>
      <c r="Q4447" s="178"/>
      <c r="R4447" s="178"/>
      <c r="S4447" s="178"/>
      <c r="T4447" s="180"/>
      <c r="U4447" s="189" t="str">
        <f>IFERROR(IF(Tableau3[[#This Row],[Dettes]]=0,"",(Tableau3[[#This Row],[Dettes]]/Tableau3[[#This Row],[EBE]])),"")</f>
        <v/>
      </c>
      <c r="V4447" s="190" t="str">
        <f>IFERROR(Tableau3[[#This Row],[Fonds propres]]/Tableau3[[#This Row],[Total Bilan]],"")</f>
        <v/>
      </c>
      <c r="W4447" s="180"/>
      <c r="Y4447" s="180"/>
      <c r="Z4447" s="192" t="str">
        <f>IFERROR(Tableau3[[#This Row],[Chiffre d''affaires]]/Tableau3[[#This Row],[Salariés]],"")</f>
        <v/>
      </c>
      <c r="AC4447" s="177" t="s">
        <v>3099</v>
      </c>
    </row>
    <row r="4448" spans="1:29" ht="20.25" customHeight="1">
      <c r="A4448" s="217"/>
      <c r="E4448" s="178">
        <v>18.3</v>
      </c>
      <c r="F4448" s="178">
        <v>2022</v>
      </c>
      <c r="G4448" s="188">
        <v>4301000000</v>
      </c>
      <c r="H4448" s="188">
        <v>658400000</v>
      </c>
      <c r="I4448" s="188">
        <v>291300000</v>
      </c>
      <c r="J4448" s="188">
        <v>118400000</v>
      </c>
      <c r="K4448" s="188">
        <v>3709900000</v>
      </c>
      <c r="L4448" s="188">
        <v>1212400000</v>
      </c>
      <c r="M4448" s="194">
        <f>L4448/P4448</f>
        <v>10.982909726442751</v>
      </c>
      <c r="N4448" s="190">
        <f>J4448/L4448</f>
        <v>9.7657538766083796E-2</v>
      </c>
      <c r="O4448" s="190">
        <f>(I4448*0.7)/(K4448+L4448)</f>
        <v>4.1425756252158545E-2</v>
      </c>
      <c r="P4448" s="188">
        <v>110389690</v>
      </c>
      <c r="Q4448" s="188">
        <f>P4448*E4448</f>
        <v>2020131327</v>
      </c>
      <c r="R4448" s="195">
        <f>Q4448/L4448</f>
        <v>1.6662251129990102</v>
      </c>
      <c r="S4448" s="197">
        <f>(Q4448+K4448)/H4448</f>
        <v>8.7029637408869984</v>
      </c>
      <c r="T4448" s="180">
        <v>-347800000</v>
      </c>
      <c r="U4448" s="189">
        <f>IFERROR(IF(Tableau3[[#This Row],[Dettes]]=0,"",(Tableau3[[#This Row],[Dettes]]/Tableau3[[#This Row],[EBE]])),"")</f>
        <v>5.6347205346294045</v>
      </c>
      <c r="V4448" s="190" t="str">
        <f>IFERROR(Tableau3[[#This Row],[Fonds propres]]/Tableau3[[#This Row],[Total Bilan]],"")</f>
        <v/>
      </c>
      <c r="W4448" s="180"/>
      <c r="Y4448" s="180">
        <v>35621</v>
      </c>
      <c r="Z4448" s="192">
        <f>IFERROR(Tableau3[[#This Row],[Chiffre d''affaires]]/Tableau3[[#This Row],[Salariés]],"")</f>
        <v>120743.38171303444</v>
      </c>
      <c r="AC4448" s="177" t="s">
        <v>3100</v>
      </c>
    </row>
    <row r="4449" spans="1:29" ht="20.25" customHeight="1">
      <c r="A4449" s="217"/>
      <c r="G4449" s="202">
        <f>(G4448/G4450)-1</f>
        <v>6.9208969323323322E-2</v>
      </c>
      <c r="H4449" s="202">
        <f>(H4448/H4450)-1</f>
        <v>2.267785026405722E-2</v>
      </c>
      <c r="I4449" s="202">
        <f>(I4448/I4450)-1</f>
        <v>0.16241021548284129</v>
      </c>
      <c r="J4449" s="202">
        <f>(J4448/J4450)-1</f>
        <v>0.60433604336043367</v>
      </c>
      <c r="K4449" s="188"/>
      <c r="L4449" s="188"/>
      <c r="M4449" s="178"/>
      <c r="N4449" s="178"/>
      <c r="O4449" s="178"/>
      <c r="P4449" s="188"/>
      <c r="Q4449" s="178"/>
      <c r="R4449" s="178"/>
      <c r="S4449" s="178"/>
      <c r="T4449" s="180"/>
      <c r="U4449" s="189" t="str">
        <f>IFERROR(IF(Tableau3[[#This Row],[Dettes]]=0,"",(Tableau3[[#This Row],[Dettes]]/Tableau3[[#This Row],[EBE]])),"")</f>
        <v/>
      </c>
      <c r="V4449" s="190" t="str">
        <f>IFERROR(Tableau3[[#This Row],[Fonds propres]]/Tableau3[[#This Row],[Total Bilan]],"")</f>
        <v/>
      </c>
      <c r="W4449" s="180"/>
      <c r="Y4449" s="180"/>
      <c r="Z4449" s="192" t="str">
        <f>IFERROR(Tableau3[[#This Row],[Chiffre d''affaires]]/Tableau3[[#This Row],[Salariés]],"")</f>
        <v/>
      </c>
      <c r="AC4449" s="177" t="s">
        <v>3101</v>
      </c>
    </row>
    <row r="4450" spans="1:29" ht="20.25" customHeight="1">
      <c r="A4450" s="217"/>
      <c r="E4450" s="178">
        <v>21.4</v>
      </c>
      <c r="F4450" s="178">
        <v>2021</v>
      </c>
      <c r="G4450" s="188">
        <v>4022600000</v>
      </c>
      <c r="H4450" s="188">
        <v>643800000</v>
      </c>
      <c r="I4450" s="188">
        <v>250600000</v>
      </c>
      <c r="J4450" s="188">
        <v>73800000</v>
      </c>
      <c r="K4450" s="188">
        <v>3230500000</v>
      </c>
      <c r="L4450" s="188">
        <v>1070300000</v>
      </c>
      <c r="M4450" s="194">
        <f>L4450/P4450</f>
        <v>9.6956518312534445</v>
      </c>
      <c r="N4450" s="190">
        <f>J4450/L4450</f>
        <v>6.8952630103709237E-2</v>
      </c>
      <c r="O4450" s="190">
        <f>(I4450*0.7)/(K4450+L4450)</f>
        <v>4.0787760416666666E-2</v>
      </c>
      <c r="P4450" s="188">
        <v>110389690</v>
      </c>
      <c r="Q4450" s="188">
        <f>P4450*E4450</f>
        <v>2362339366</v>
      </c>
      <c r="R4450" s="195">
        <f>Q4450/L4450</f>
        <v>2.207174965897412</v>
      </c>
      <c r="S4450" s="197">
        <f>(Q4450+K4450)/H4450</f>
        <v>8.687231074867972</v>
      </c>
      <c r="T4450" s="180">
        <v>333500000</v>
      </c>
      <c r="U4450" s="189">
        <f>IFERROR(IF(Tableau3[[#This Row],[Dettes]]=0,"",(Tableau3[[#This Row],[Dettes]]/Tableau3[[#This Row],[EBE]])),"")</f>
        <v>5.0178626902764831</v>
      </c>
      <c r="V4450" s="190" t="str">
        <f>IFERROR(Tableau3[[#This Row],[Fonds propres]]/Tableau3[[#This Row],[Total Bilan]],"")</f>
        <v/>
      </c>
      <c r="W4450" s="180"/>
      <c r="Y4450" s="180">
        <v>35550</v>
      </c>
      <c r="Z4450" s="192">
        <f>IFERROR(Tableau3[[#This Row],[Chiffre d''affaires]]/Tableau3[[#This Row],[Salariés]],"")</f>
        <v>113153.30520393811</v>
      </c>
      <c r="AC4450" s="177" t="s">
        <v>2105</v>
      </c>
    </row>
    <row r="4451" spans="1:29" ht="20.25" customHeight="1">
      <c r="A4451" s="217"/>
      <c r="G4451" s="188"/>
      <c r="H4451" s="188"/>
      <c r="I4451" s="178"/>
      <c r="J4451" s="178"/>
      <c r="K4451" s="178"/>
      <c r="L4451" s="178"/>
      <c r="M4451" s="178"/>
      <c r="N4451" s="178"/>
      <c r="O4451" s="178"/>
      <c r="P4451" s="188"/>
      <c r="Q4451" s="178"/>
      <c r="R4451" s="178"/>
      <c r="S4451" s="178"/>
      <c r="T4451" s="180"/>
      <c r="U4451" s="189" t="str">
        <f>IFERROR(IF(Tableau3[[#This Row],[Dettes]]=0,"",(Tableau3[[#This Row],[Dettes]]/Tableau3[[#This Row],[EBE]])),"")</f>
        <v/>
      </c>
      <c r="V4451" s="190" t="str">
        <f>IFERROR(Tableau3[[#This Row],[Fonds propres]]/Tableau3[[#This Row],[Total Bilan]],"")</f>
        <v/>
      </c>
      <c r="W4451" s="180"/>
      <c r="Y4451" s="180"/>
      <c r="Z4451" s="192" t="str">
        <f>IFERROR(Tableau3[[#This Row],[Chiffre d''affaires]]/Tableau3[[#This Row],[Salariés]],"")</f>
        <v/>
      </c>
      <c r="AC4451" s="177" t="s">
        <v>2676</v>
      </c>
    </row>
    <row r="4452" spans="1:29" ht="20.25" customHeight="1">
      <c r="A4452" s="217"/>
      <c r="G4452" s="188"/>
      <c r="H4452" s="188"/>
      <c r="I4452" s="178"/>
      <c r="J4452" s="178"/>
      <c r="K4452" s="178"/>
      <c r="L4452" s="178"/>
      <c r="M4452" s="178"/>
      <c r="N4452" s="178"/>
      <c r="O4452" s="178"/>
      <c r="P4452" s="188"/>
      <c r="Q4452" s="178"/>
      <c r="R4452" s="178"/>
      <c r="S4452" s="178"/>
      <c r="T4452" s="180"/>
      <c r="U4452" s="189" t="str">
        <f>IFERROR(IF(Tableau3[[#This Row],[Dettes]]=0,"",(Tableau3[[#This Row],[Dettes]]/Tableau3[[#This Row],[EBE]])),"")</f>
        <v/>
      </c>
      <c r="V4452" s="190" t="str">
        <f>IFERROR(Tableau3[[#This Row],[Fonds propres]]/Tableau3[[#This Row],[Total Bilan]],"")</f>
        <v/>
      </c>
      <c r="W4452" s="180"/>
      <c r="Y4452" s="180"/>
      <c r="Z4452" s="192" t="str">
        <f>IFERROR(Tableau3[[#This Row],[Chiffre d''affaires]]/Tableau3[[#This Row],[Salariés]],"")</f>
        <v/>
      </c>
      <c r="AC4452" s="177" t="s">
        <v>3102</v>
      </c>
    </row>
    <row r="4453" spans="1:29" ht="20.25" customHeight="1">
      <c r="A4453" s="217"/>
      <c r="G4453" s="188"/>
      <c r="H4453" s="188"/>
      <c r="I4453" s="178"/>
      <c r="J4453" s="178"/>
      <c r="K4453" s="178"/>
      <c r="L4453" s="178"/>
      <c r="M4453" s="178"/>
      <c r="N4453" s="178"/>
      <c r="O4453" s="178"/>
      <c r="P4453" s="178"/>
      <c r="Q4453" s="178"/>
      <c r="R4453" s="178"/>
      <c r="S4453" s="178"/>
      <c r="T4453" s="180"/>
      <c r="U4453" s="189" t="str">
        <f>IFERROR(IF(Tableau3[[#This Row],[Dettes]]=0,"",(Tableau3[[#This Row],[Dettes]]/Tableau3[[#This Row],[EBE]])),"")</f>
        <v/>
      </c>
      <c r="V4453" s="190" t="str">
        <f>IFERROR(Tableau3[[#This Row],[Fonds propres]]/Tableau3[[#This Row],[Total Bilan]],"")</f>
        <v/>
      </c>
      <c r="W4453" s="180"/>
      <c r="Y4453" s="180"/>
      <c r="Z4453" s="192" t="str">
        <f>IFERROR(Tableau3[[#This Row],[Chiffre d''affaires]]/Tableau3[[#This Row],[Salariés]],"")</f>
        <v/>
      </c>
      <c r="AC4453" s="177" t="s">
        <v>711</v>
      </c>
    </row>
    <row r="4454" spans="1:29" ht="20.25" customHeight="1">
      <c r="A4454" s="217"/>
      <c r="G4454" s="188"/>
      <c r="H4454" s="188"/>
      <c r="I4454" s="178"/>
      <c r="J4454" s="178"/>
      <c r="K4454" s="178"/>
      <c r="L4454" s="178"/>
      <c r="M4454" s="178"/>
      <c r="N4454" s="178"/>
      <c r="O4454" s="178"/>
      <c r="P4454" s="178"/>
      <c r="Q4454" s="178"/>
      <c r="R4454" s="178"/>
      <c r="S4454" s="178"/>
      <c r="T4454" s="180"/>
      <c r="U4454" s="189" t="str">
        <f>IFERROR(IF(Tableau3[[#This Row],[Dettes]]=0,"",(Tableau3[[#This Row],[Dettes]]/Tableau3[[#This Row],[EBE]])),"")</f>
        <v/>
      </c>
      <c r="V4454" s="190" t="str">
        <f>IFERROR(Tableau3[[#This Row],[Fonds propres]]/Tableau3[[#This Row],[Total Bilan]],"")</f>
        <v/>
      </c>
      <c r="W4454" s="180"/>
      <c r="Y4454" s="180"/>
      <c r="Z4454" s="192" t="str">
        <f>IFERROR(Tableau3[[#This Row],[Chiffre d''affaires]]/Tableau3[[#This Row],[Salariés]],"")</f>
        <v/>
      </c>
    </row>
    <row r="4455" spans="1:29" ht="20.25" customHeight="1">
      <c r="A4455" s="217"/>
      <c r="G4455" s="188"/>
      <c r="H4455" s="188"/>
      <c r="I4455" s="178"/>
      <c r="J4455" s="178"/>
      <c r="K4455" s="178"/>
      <c r="L4455" s="178"/>
      <c r="M4455" s="178"/>
      <c r="N4455" s="178"/>
      <c r="O4455" s="178"/>
      <c r="P4455" s="178"/>
      <c r="Q4455" s="178"/>
      <c r="R4455" s="178"/>
      <c r="S4455" s="178"/>
      <c r="T4455" s="180"/>
      <c r="U4455" s="189" t="str">
        <f>IFERROR(IF(Tableau3[[#This Row],[Dettes]]=0,"",(Tableau3[[#This Row],[Dettes]]/Tableau3[[#This Row],[EBE]])),"")</f>
        <v/>
      </c>
      <c r="V4455" s="190" t="str">
        <f>IFERROR(Tableau3[[#This Row],[Fonds propres]]/Tableau3[[#This Row],[Total Bilan]],"")</f>
        <v/>
      </c>
      <c r="W4455" s="180"/>
      <c r="Y4455" s="180"/>
      <c r="Z4455" s="192" t="str">
        <f>IFERROR(Tableau3[[#This Row],[Chiffre d''affaires]]/Tableau3[[#This Row],[Salariés]],"")</f>
        <v/>
      </c>
    </row>
    <row r="4456" spans="1:29" ht="20.25" customHeight="1">
      <c r="A4456" s="217"/>
      <c r="G4456" s="188"/>
      <c r="H4456" s="188"/>
      <c r="I4456" s="178"/>
      <c r="J4456" s="178"/>
      <c r="K4456" s="178"/>
      <c r="L4456" s="178"/>
      <c r="M4456" s="178"/>
      <c r="N4456" s="178"/>
      <c r="O4456" s="178"/>
      <c r="P4456" s="178"/>
      <c r="Q4456" s="178"/>
      <c r="R4456" s="178"/>
      <c r="S4456" s="178"/>
      <c r="T4456" s="180"/>
      <c r="U4456" s="189" t="str">
        <f>IFERROR(IF(Tableau3[[#This Row],[Dettes]]=0,"",(Tableau3[[#This Row],[Dettes]]/Tableau3[[#This Row],[EBE]])),"")</f>
        <v/>
      </c>
      <c r="V4456" s="190" t="str">
        <f>IFERROR(Tableau3[[#This Row],[Fonds propres]]/Tableau3[[#This Row],[Total Bilan]],"")</f>
        <v/>
      </c>
      <c r="W4456" s="180"/>
      <c r="Y4456" s="180"/>
      <c r="Z4456" s="192" t="str">
        <f>IFERROR(Tableau3[[#This Row],[Chiffre d''affaires]]/Tableau3[[#This Row],[Salariés]],"")</f>
        <v/>
      </c>
    </row>
    <row r="4457" spans="1:29" ht="20.25" customHeight="1">
      <c r="A4457" s="217"/>
      <c r="G4457" s="188"/>
      <c r="H4457" s="188"/>
      <c r="I4457" s="178"/>
      <c r="J4457" s="178"/>
      <c r="K4457" s="178"/>
      <c r="L4457" s="178"/>
      <c r="M4457" s="178"/>
      <c r="N4457" s="178"/>
      <c r="O4457" s="178"/>
      <c r="P4457" s="178"/>
      <c r="Q4457" s="178"/>
      <c r="R4457" s="178"/>
      <c r="S4457" s="178"/>
      <c r="T4457" s="180"/>
      <c r="U4457" s="189" t="str">
        <f>IFERROR(IF(Tableau3[[#This Row],[Dettes]]=0,"",(Tableau3[[#This Row],[Dettes]]/Tableau3[[#This Row],[EBE]])),"")</f>
        <v/>
      </c>
      <c r="V4457" s="190" t="str">
        <f>IFERROR(Tableau3[[#This Row],[Fonds propres]]/Tableau3[[#This Row],[Total Bilan]],"")</f>
        <v/>
      </c>
      <c r="W4457" s="180"/>
      <c r="Y4457" s="180"/>
      <c r="Z4457" s="192" t="str">
        <f>IFERROR(Tableau3[[#This Row],[Chiffre d''affaires]]/Tableau3[[#This Row],[Salariés]],"")</f>
        <v/>
      </c>
    </row>
    <row r="4458" spans="1:29" ht="20.25" customHeight="1">
      <c r="A4458" s="217"/>
      <c r="G4458" s="188"/>
      <c r="H4458" s="188"/>
      <c r="I4458" s="178"/>
      <c r="J4458" s="178"/>
      <c r="K4458" s="178"/>
      <c r="L4458" s="178"/>
      <c r="M4458" s="178"/>
      <c r="N4458" s="178"/>
      <c r="O4458" s="178"/>
      <c r="P4458" s="178"/>
      <c r="Q4458" s="178"/>
      <c r="R4458" s="178"/>
      <c r="S4458" s="178"/>
      <c r="T4458" s="180"/>
      <c r="U4458" s="189" t="str">
        <f>IFERROR(IF(Tableau3[[#This Row],[Dettes]]=0,"",(Tableau3[[#This Row],[Dettes]]/Tableau3[[#This Row],[EBE]])),"")</f>
        <v/>
      </c>
      <c r="V4458" s="190" t="str">
        <f>IFERROR(Tableau3[[#This Row],[Fonds propres]]/Tableau3[[#This Row],[Total Bilan]],"")</f>
        <v/>
      </c>
      <c r="W4458" s="180"/>
      <c r="Y4458" s="180"/>
      <c r="Z4458" s="192" t="str">
        <f>IFERROR(Tableau3[[#This Row],[Chiffre d''affaires]]/Tableau3[[#This Row],[Salariés]],"")</f>
        <v/>
      </c>
    </row>
    <row r="4459" spans="1:29" ht="20.25" customHeight="1">
      <c r="A4459" s="217"/>
      <c r="G4459" s="188"/>
      <c r="H4459" s="188"/>
      <c r="I4459" s="178"/>
      <c r="J4459" s="178"/>
      <c r="K4459" s="178"/>
      <c r="L4459" s="178"/>
      <c r="M4459" s="178"/>
      <c r="N4459" s="178"/>
      <c r="O4459" s="178"/>
      <c r="P4459" s="178"/>
      <c r="Q4459" s="178"/>
      <c r="R4459" s="178"/>
      <c r="S4459" s="178"/>
      <c r="T4459" s="180"/>
      <c r="U4459" s="189" t="str">
        <f>IFERROR(IF(Tableau3[[#This Row],[Dettes]]=0,"",(Tableau3[[#This Row],[Dettes]]/Tableau3[[#This Row],[EBE]])),"")</f>
        <v/>
      </c>
      <c r="V4459" s="190" t="str">
        <f>IFERROR(Tableau3[[#This Row],[Fonds propres]]/Tableau3[[#This Row],[Total Bilan]],"")</f>
        <v/>
      </c>
      <c r="W4459" s="180"/>
      <c r="Y4459" s="180"/>
      <c r="Z4459" s="192" t="str">
        <f>IFERROR(Tableau3[[#This Row],[Chiffre d''affaires]]/Tableau3[[#This Row],[Salariés]],"")</f>
        <v/>
      </c>
    </row>
    <row r="4460" spans="1:29" ht="20.25" customHeight="1">
      <c r="A4460" s="217" t="s">
        <v>3103</v>
      </c>
      <c r="B4460" s="216" t="s">
        <v>1582</v>
      </c>
      <c r="C4460" s="178" t="s">
        <v>1364</v>
      </c>
      <c r="D4460" s="178" t="s">
        <v>2929</v>
      </c>
      <c r="F4460" s="178">
        <v>2025</v>
      </c>
      <c r="G4460" s="188"/>
      <c r="H4460" s="188"/>
      <c r="I4460" s="178"/>
      <c r="J4460" s="178"/>
      <c r="K4460" s="178"/>
      <c r="L4460" s="178"/>
      <c r="M4460" s="178"/>
      <c r="N4460" s="178"/>
      <c r="O4460" s="178"/>
      <c r="P4460" s="178"/>
      <c r="Q4460" s="178"/>
      <c r="R4460" s="178"/>
      <c r="S4460" s="178"/>
      <c r="T4460" s="180"/>
      <c r="U4460" s="189" t="str">
        <f>IFERROR(IF(Tableau3[[#This Row],[Dettes]]=0,"",(Tableau3[[#This Row],[Dettes]]/Tableau3[[#This Row],[EBE]])),"")</f>
        <v/>
      </c>
      <c r="V4460" s="190" t="str">
        <f>IFERROR(Tableau3[[#This Row],[Fonds propres]]/Tableau3[[#This Row],[Total Bilan]],"")</f>
        <v/>
      </c>
      <c r="W4460" s="180"/>
      <c r="Y4460" s="180"/>
      <c r="Z4460" s="192" t="str">
        <f>IFERROR(Tableau3[[#This Row],[Chiffre d''affaires]]/Tableau3[[#This Row],[Salariés]],"")</f>
        <v/>
      </c>
      <c r="AC4460" s="177" t="s">
        <v>3104</v>
      </c>
    </row>
    <row r="4461" spans="1:29" ht="20.25" customHeight="1">
      <c r="A4461" s="217"/>
      <c r="G4461" s="188"/>
      <c r="H4461" s="188"/>
      <c r="I4461" s="178"/>
      <c r="J4461" s="178"/>
      <c r="K4461" s="178"/>
      <c r="L4461" s="178"/>
      <c r="M4461" s="178"/>
      <c r="N4461" s="178"/>
      <c r="O4461" s="178"/>
      <c r="P4461" s="178"/>
      <c r="Q4461" s="178"/>
      <c r="R4461" s="178"/>
      <c r="S4461" s="178"/>
      <c r="T4461" s="180"/>
      <c r="U4461" s="189" t="str">
        <f>IFERROR(IF(Tableau3[[#This Row],[Dettes]]=0,"",(Tableau3[[#This Row],[Dettes]]/Tableau3[[#This Row],[EBE]])),"")</f>
        <v/>
      </c>
      <c r="V4461" s="190" t="str">
        <f>IFERROR(Tableau3[[#This Row],[Fonds propres]]/Tableau3[[#This Row],[Total Bilan]],"")</f>
        <v/>
      </c>
      <c r="W4461" s="180"/>
      <c r="Y4461" s="180"/>
      <c r="Z4461" s="192" t="str">
        <f>IFERROR(Tableau3[[#This Row],[Chiffre d''affaires]]/Tableau3[[#This Row],[Salariés]],"")</f>
        <v/>
      </c>
      <c r="AC4461" s="177" t="s">
        <v>3105</v>
      </c>
    </row>
    <row r="4462" spans="1:29" ht="20.25" customHeight="1">
      <c r="A4462" s="217"/>
      <c r="E4462" s="233">
        <v>35.44</v>
      </c>
      <c r="F4462" s="178">
        <v>2024</v>
      </c>
      <c r="G4462" s="188">
        <v>3345000000</v>
      </c>
      <c r="H4462" s="188">
        <v>770000000</v>
      </c>
      <c r="I4462" s="188"/>
      <c r="J4462" s="188"/>
      <c r="K4462" s="188"/>
      <c r="L4462" s="188"/>
      <c r="M4462" s="188"/>
      <c r="N4462" s="188"/>
      <c r="O4462" s="178"/>
      <c r="P4462" s="178"/>
      <c r="Q4462" s="178"/>
      <c r="R4462" s="178"/>
      <c r="S4462" s="178"/>
      <c r="T4462" s="180"/>
      <c r="U4462" s="189" t="str">
        <f>IFERROR(IF(Tableau3[[#This Row],[Dettes]]=0,"",(Tableau3[[#This Row],[Dettes]]/Tableau3[[#This Row],[EBE]])),"")</f>
        <v/>
      </c>
      <c r="V4462" s="190" t="str">
        <f>IFERROR(Tableau3[[#This Row],[Fonds propres]]/Tableau3[[#This Row],[Total Bilan]],"")</f>
        <v/>
      </c>
      <c r="W4462" s="180"/>
      <c r="Y4462" s="180"/>
      <c r="Z4462" s="192" t="str">
        <f>IFERROR(Tableau3[[#This Row],[Chiffre d''affaires]]/Tableau3[[#This Row],[Salariés]],"")</f>
        <v/>
      </c>
      <c r="AC4462" s="177" t="s">
        <v>3106</v>
      </c>
    </row>
    <row r="4463" spans="1:29" ht="20.25" customHeight="1">
      <c r="A4463" s="217"/>
      <c r="E4463" s="233"/>
      <c r="G4463" s="202">
        <f>(G4462/G4464)-1</f>
        <v>0.11092660245765518</v>
      </c>
      <c r="H4463" s="202">
        <f>(H4462/H4464)-1</f>
        <v>8.6036671368124207E-2</v>
      </c>
      <c r="I4463" s="202">
        <f>(I4462/I4464)-1</f>
        <v>-1</v>
      </c>
      <c r="J4463" s="202">
        <f>(J4462/J4464)-1</f>
        <v>-1</v>
      </c>
      <c r="K4463" s="188"/>
      <c r="L4463" s="188"/>
      <c r="M4463" s="188"/>
      <c r="N4463" s="188"/>
      <c r="O4463" s="178"/>
      <c r="P4463" s="178"/>
      <c r="Q4463" s="178"/>
      <c r="R4463" s="178"/>
      <c r="S4463" s="178"/>
      <c r="T4463" s="180"/>
      <c r="U4463" s="189" t="str">
        <f>IFERROR(IF(Tableau3[[#This Row],[Dettes]]=0,"",(Tableau3[[#This Row],[Dettes]]/Tableau3[[#This Row],[EBE]])),"")</f>
        <v/>
      </c>
      <c r="V4463" s="190" t="str">
        <f>IFERROR(Tableau3[[#This Row],[Fonds propres]]/Tableau3[[#This Row],[Total Bilan]],"")</f>
        <v/>
      </c>
      <c r="W4463" s="180"/>
      <c r="Y4463" s="180"/>
      <c r="Z4463" s="192" t="str">
        <f>IFERROR(Tableau3[[#This Row],[Chiffre d''affaires]]/Tableau3[[#This Row],[Salariés]],"")</f>
        <v/>
      </c>
      <c r="AC4463" s="177" t="s">
        <v>3107</v>
      </c>
    </row>
    <row r="4464" spans="1:29" ht="20.25" customHeight="1">
      <c r="A4464" s="217"/>
      <c r="E4464" s="233">
        <v>39.47</v>
      </c>
      <c r="F4464" s="178">
        <v>2023</v>
      </c>
      <c r="G4464" s="188">
        <v>3011000000</v>
      </c>
      <c r="H4464" s="188">
        <v>709000000</v>
      </c>
      <c r="I4464" s="188">
        <v>530000000</v>
      </c>
      <c r="J4464" s="188">
        <v>241000000</v>
      </c>
      <c r="K4464" s="188">
        <v>1786560000</v>
      </c>
      <c r="L4464" s="188">
        <v>1253000000</v>
      </c>
      <c r="M4464" s="194">
        <f>L4464/P4464</f>
        <v>5.6155604356204902</v>
      </c>
      <c r="N4464" s="190">
        <f>J4464/L4464</f>
        <v>0.19233838786911411</v>
      </c>
      <c r="O4464" s="190">
        <f>(I4464*0.7)/(K4464+L4464)</f>
        <v>0.1220571398491887</v>
      </c>
      <c r="P4464" s="188">
        <v>223130000</v>
      </c>
      <c r="Q4464" s="188">
        <f>P4464*E4464</f>
        <v>8806941100</v>
      </c>
      <c r="R4464" s="195">
        <f>Q4464/L4464</f>
        <v>7.0286840383080609</v>
      </c>
      <c r="S4464" s="197">
        <f>(Q4464+K4464)/H4464</f>
        <v>14.941468406205924</v>
      </c>
      <c r="T4464" s="180">
        <v>468000000</v>
      </c>
      <c r="U4464" s="189">
        <f>IFERROR(IF(Tableau3[[#This Row],[Dettes]]=0,"",(Tableau3[[#This Row],[Dettes]]/Tableau3[[#This Row],[EBE]])),"")</f>
        <v>2.519830747531735</v>
      </c>
      <c r="V4464" s="190">
        <f>IFERROR(Tableau3[[#This Row],[Fonds propres]]/Tableau3[[#This Row],[Total Bilan]],"")</f>
        <v>0.30575890678379697</v>
      </c>
      <c r="W4464" s="180">
        <v>4098000000</v>
      </c>
      <c r="Y4464" s="180">
        <v>20570</v>
      </c>
      <c r="Z4464" s="192">
        <f>IFERROR(Tableau3[[#This Row],[Chiffre d''affaires]]/Tableau3[[#This Row],[Salariés]],"")</f>
        <v>146378.2207097715</v>
      </c>
      <c r="AC4464" s="177" t="s">
        <v>3108</v>
      </c>
    </row>
    <row r="4465" spans="1:29" ht="20.25" customHeight="1">
      <c r="A4465" s="217"/>
      <c r="E4465" s="233"/>
      <c r="G4465" s="202">
        <f>(G4464/G4466)-1</f>
        <v>0.13665534163835402</v>
      </c>
      <c r="H4465" s="202">
        <f>(H4464/H4466)-1</f>
        <v>0.22664359861591699</v>
      </c>
      <c r="I4465" s="202">
        <f>(I4464/I4466)-1</f>
        <v>0.26190476190476186</v>
      </c>
      <c r="J4465" s="202">
        <f>(J4464/J4466)-1</f>
        <v>-0.13928571428571423</v>
      </c>
      <c r="K4465" s="188"/>
      <c r="L4465" s="188"/>
      <c r="M4465" s="178"/>
      <c r="N4465" s="178"/>
      <c r="O4465" s="178"/>
      <c r="P4465" s="178"/>
      <c r="Q4465" s="178"/>
      <c r="R4465" s="178"/>
      <c r="S4465" s="178"/>
      <c r="T4465" s="180"/>
      <c r="U4465" s="189" t="str">
        <f>IFERROR(IF(Tableau3[[#This Row],[Dettes]]=0,"",(Tableau3[[#This Row],[Dettes]]/Tableau3[[#This Row],[EBE]])),"")</f>
        <v/>
      </c>
      <c r="V4465" s="190" t="str">
        <f>IFERROR(Tableau3[[#This Row],[Fonds propres]]/Tableau3[[#This Row],[Total Bilan]],"")</f>
        <v/>
      </c>
      <c r="W4465" s="180"/>
      <c r="Y4465" s="180"/>
      <c r="Z4465" s="192" t="str">
        <f>IFERROR(Tableau3[[#This Row],[Chiffre d''affaires]]/Tableau3[[#This Row],[Salariés]],"")</f>
        <v/>
      </c>
      <c r="AC4465" s="177" t="s">
        <v>3109</v>
      </c>
    </row>
    <row r="4466" spans="1:29" ht="20.25" customHeight="1">
      <c r="A4466" s="217"/>
      <c r="E4466" s="233">
        <v>25.86</v>
      </c>
      <c r="F4466" s="178">
        <v>2022</v>
      </c>
      <c r="G4466" s="188">
        <v>2649000000</v>
      </c>
      <c r="H4466" s="188">
        <v>578000000</v>
      </c>
      <c r="I4466" s="188">
        <v>420000000</v>
      </c>
      <c r="J4466" s="188">
        <v>280000000</v>
      </c>
      <c r="K4466" s="188">
        <f>12711000000/7.4569</f>
        <v>1704595743.5395405</v>
      </c>
      <c r="L4466" s="188">
        <v>1151000000</v>
      </c>
      <c r="M4466" s="194">
        <f>L4466/P4466</f>
        <v>5.0926950134949784</v>
      </c>
      <c r="N4466" s="190">
        <f>J4466/L4466</f>
        <v>0.24326672458731538</v>
      </c>
      <c r="O4466" s="190">
        <f>(I4466*0.7)/(K4466+L4466)</f>
        <v>0.10295574948419833</v>
      </c>
      <c r="P4466" s="188">
        <v>226010000</v>
      </c>
      <c r="Q4466" s="188">
        <f>P4466*E4466</f>
        <v>5844618600</v>
      </c>
      <c r="R4466" s="195">
        <f>Q4466/L4466</f>
        <v>5.0778615117289316</v>
      </c>
      <c r="S4466" s="197">
        <f>(Q4466+K4466)/H4466</f>
        <v>13.060924469791592</v>
      </c>
      <c r="T4466" s="180">
        <v>228000000</v>
      </c>
      <c r="U4466" s="189">
        <f>IFERROR(IF(Tableau3[[#This Row],[Dettes]]=0,"",(Tableau3[[#This Row],[Dettes]]/Tableau3[[#This Row],[EBE]])),"")</f>
        <v>2.9491275839784437</v>
      </c>
      <c r="V4466" s="190">
        <f>IFERROR(Tableau3[[#This Row],[Fonds propres]]/Tableau3[[#This Row],[Total Bilan]],"")</f>
        <v>0.28681784201345628</v>
      </c>
      <c r="W4466" s="180">
        <v>4013000000</v>
      </c>
      <c r="Y4466" s="180">
        <v>20570</v>
      </c>
      <c r="Z4466" s="192">
        <f>IFERROR(Tableau3[[#This Row],[Chiffre d''affaires]]/Tableau3[[#This Row],[Salariés]],"")</f>
        <v>128779.77637335926</v>
      </c>
      <c r="AC4466" s="177" t="s">
        <v>3110</v>
      </c>
    </row>
    <row r="4467" spans="1:29" ht="20.25" customHeight="1">
      <c r="A4467" s="217"/>
      <c r="E4467" s="233"/>
      <c r="G4467" s="202">
        <f>(G4466/G4468)-1</f>
        <v>0.10008305647840521</v>
      </c>
      <c r="H4467" s="202">
        <f>(H4466/H4468)-1</f>
        <v>-7.2231139646870002E-2</v>
      </c>
      <c r="I4467" s="202">
        <f>(I4466/I4468)-1</f>
        <v>-0.125</v>
      </c>
      <c r="J4467" s="202">
        <f>(J4466/J4468)-1</f>
        <v>-0.17159763313609466</v>
      </c>
      <c r="K4467" s="188"/>
      <c r="L4467" s="188"/>
      <c r="M4467" s="178"/>
      <c r="N4467" s="178"/>
      <c r="O4467" s="178"/>
      <c r="P4467" s="188"/>
      <c r="Q4467" s="178"/>
      <c r="R4467" s="178"/>
      <c r="S4467" s="178"/>
      <c r="T4467" s="180"/>
      <c r="U4467" s="189" t="str">
        <f>IFERROR(IF(Tableau3[[#This Row],[Dettes]]=0,"",(Tableau3[[#This Row],[Dettes]]/Tableau3[[#This Row],[EBE]])),"")</f>
        <v/>
      </c>
      <c r="V4467" s="190" t="str">
        <f>IFERROR(Tableau3[[#This Row],[Fonds propres]]/Tableau3[[#This Row],[Total Bilan]],"")</f>
        <v/>
      </c>
      <c r="W4467" s="180"/>
      <c r="Y4467" s="180"/>
      <c r="Z4467" s="192" t="str">
        <f>IFERROR(Tableau3[[#This Row],[Chiffre d''affaires]]/Tableau3[[#This Row],[Salariés]],"")</f>
        <v/>
      </c>
      <c r="AC4467" s="177" t="s">
        <v>3111</v>
      </c>
    </row>
    <row r="4468" spans="1:29" ht="20.25" customHeight="1">
      <c r="A4468" s="217"/>
      <c r="E4468" s="233">
        <v>45.16</v>
      </c>
      <c r="F4468" s="178">
        <v>2021</v>
      </c>
      <c r="G4468" s="188">
        <v>2408000000</v>
      </c>
      <c r="H4468" s="188">
        <v>623000000</v>
      </c>
      <c r="I4468" s="188">
        <v>480000000</v>
      </c>
      <c r="J4468" s="188">
        <v>338000000</v>
      </c>
      <c r="K4468" s="188">
        <f>9150000000/7.4569</f>
        <v>1227051455.6987488</v>
      </c>
      <c r="L4468" s="188">
        <v>1073000000</v>
      </c>
      <c r="M4468" s="194">
        <f>L4468/P4468</f>
        <v>4.5694574567754023</v>
      </c>
      <c r="N4468" s="190">
        <f>J4468/L4468</f>
        <v>0.31500465983224601</v>
      </c>
      <c r="O4468" s="190">
        <f>(I4468*0.7)/(K4468+L4468)</f>
        <v>0.14608368833119181</v>
      </c>
      <c r="P4468" s="188">
        <v>234820000</v>
      </c>
      <c r="Q4468" s="188">
        <f>P4468*E4468</f>
        <v>10604471200</v>
      </c>
      <c r="R4468" s="195">
        <f>Q4468/L4468</f>
        <v>9.8830113699906796</v>
      </c>
      <c r="S4468" s="197">
        <f>(Q4468+K4468)/H4468</f>
        <v>18.991208115086277</v>
      </c>
      <c r="T4468" s="180">
        <v>386000000</v>
      </c>
      <c r="U4468" s="189">
        <f>IFERROR(IF(Tableau3[[#This Row],[Dettes]]=0,"",(Tableau3[[#This Row],[Dettes]]/Tableau3[[#This Row],[EBE]])),"")</f>
        <v>1.9695850011215872</v>
      </c>
      <c r="V4468" s="190">
        <f>IFERROR(Tableau3[[#This Row],[Fonds propres]]/Tableau3[[#This Row],[Total Bilan]],"")</f>
        <v>0.32096918935088242</v>
      </c>
      <c r="W4468" s="180">
        <v>3343000000</v>
      </c>
      <c r="Y4468" s="180">
        <v>17500</v>
      </c>
      <c r="Z4468" s="192">
        <f>IFERROR(Tableau3[[#This Row],[Chiffre d''affaires]]/Tableau3[[#This Row],[Salariés]],"")</f>
        <v>137600</v>
      </c>
      <c r="AC4468" s="177" t="s">
        <v>3112</v>
      </c>
    </row>
    <row r="4469" spans="1:29" ht="20.25" customHeight="1">
      <c r="A4469" s="217"/>
      <c r="E4469" s="233"/>
      <c r="G4469" s="202">
        <f>(G4468/G4470)-1</f>
        <v>0.23804627249357324</v>
      </c>
      <c r="H4469" s="202">
        <f>(H4468/H4470)-1</f>
        <v>0.85416666666666674</v>
      </c>
      <c r="I4469" s="202">
        <f>(I4468/I4470)-1</f>
        <v>1.4615384615384617</v>
      </c>
      <c r="J4469" s="202">
        <f>(J4468/J4470)-1</f>
        <v>1.23841059602649</v>
      </c>
      <c r="K4469" s="188"/>
      <c r="L4469" s="188"/>
      <c r="M4469" s="178"/>
      <c r="N4469" s="178"/>
      <c r="O4469" s="178"/>
      <c r="P4469" s="188"/>
      <c r="Q4469" s="178"/>
      <c r="R4469" s="178"/>
      <c r="S4469" s="178"/>
      <c r="T4469" s="180"/>
      <c r="U4469" s="189" t="str">
        <f>IFERROR(IF(Tableau3[[#This Row],[Dettes]]=0,"",(Tableau3[[#This Row],[Dettes]]/Tableau3[[#This Row],[EBE]])),"")</f>
        <v/>
      </c>
      <c r="V4469" s="190" t="str">
        <f>IFERROR(Tableau3[[#This Row],[Fonds propres]]/Tableau3[[#This Row],[Total Bilan]],"")</f>
        <v/>
      </c>
      <c r="W4469" s="180"/>
      <c r="Y4469" s="180"/>
      <c r="Z4469" s="192" t="str">
        <f>IFERROR(Tableau3[[#This Row],[Chiffre d''affaires]]/Tableau3[[#This Row],[Salariés]],"")</f>
        <v/>
      </c>
      <c r="AC4469" s="177" t="s">
        <v>1443</v>
      </c>
    </row>
    <row r="4470" spans="1:29" ht="20.25" customHeight="1">
      <c r="A4470" s="217"/>
      <c r="E4470" s="233">
        <v>32.119999999999997</v>
      </c>
      <c r="F4470" s="178">
        <v>2020</v>
      </c>
      <c r="G4470" s="188">
        <v>1945000000</v>
      </c>
      <c r="H4470" s="188">
        <v>336000000</v>
      </c>
      <c r="I4470" s="188">
        <v>195000000</v>
      </c>
      <c r="J4470" s="188">
        <v>151000000</v>
      </c>
      <c r="K4470" s="188">
        <f>7135000000/7.4569</f>
        <v>956831927.47656536</v>
      </c>
      <c r="L4470" s="188">
        <v>1109000000</v>
      </c>
      <c r="M4470" s="194">
        <f>L4470/P4470</f>
        <v>4.6250729835682707</v>
      </c>
      <c r="N4470" s="190">
        <f>J4470/L4470</f>
        <v>0.13615870153291254</v>
      </c>
      <c r="O4470" s="190">
        <f>(I4470*0.7)/(K4470+L4470)</f>
        <v>6.6075075220052459E-2</v>
      </c>
      <c r="P4470" s="188">
        <v>239780000</v>
      </c>
      <c r="Q4470" s="188">
        <f>P4470*E4470</f>
        <v>7701733599.999999</v>
      </c>
      <c r="R4470" s="195">
        <f>Q4470/L4470</f>
        <v>6.9447552750225423</v>
      </c>
      <c r="S4470" s="197">
        <f>(Q4470+K4470)/H4470</f>
        <v>25.769540260346918</v>
      </c>
      <c r="T4470" s="180">
        <v>261000000</v>
      </c>
      <c r="U4470" s="189">
        <f>IFERROR(IF(Tableau3[[#This Row],[Dettes]]=0,"",(Tableau3[[#This Row],[Dettes]]/Tableau3[[#This Row],[EBE]])),"")</f>
        <v>2.8477140698707304</v>
      </c>
      <c r="V4470" s="190">
        <f>IFERROR(Tableau3[[#This Row],[Fonds propres]]/Tableau3[[#This Row],[Total Bilan]],"")</f>
        <v>0.37631489650492028</v>
      </c>
      <c r="W4470" s="180">
        <v>2947000000</v>
      </c>
      <c r="Y4470" s="180">
        <v>16591</v>
      </c>
      <c r="Z4470" s="192">
        <f>IFERROR(Tableau3[[#This Row],[Chiffre d''affaires]]/Tableau3[[#This Row],[Salariés]],"")</f>
        <v>117232.2343439214</v>
      </c>
      <c r="AC4470" s="177" t="s">
        <v>126</v>
      </c>
    </row>
    <row r="4471" spans="1:29" ht="20.25" customHeight="1">
      <c r="A4471" s="217"/>
      <c r="E4471" s="233"/>
      <c r="G4471" s="202">
        <f>(G4470/G4472)-1</f>
        <v>-2.7986006996501778E-2</v>
      </c>
      <c r="H4471" s="202">
        <f>(H4470/H4472)-1</f>
        <v>-0.17241379310344829</v>
      </c>
      <c r="I4471" s="202">
        <f>(I4470/I4472)-1</f>
        <v>-0.29856115107913672</v>
      </c>
      <c r="J4471" s="202">
        <f>(J4470/J4472)-1</f>
        <v>-0.22959183673469385</v>
      </c>
      <c r="K4471" s="188"/>
      <c r="L4471" s="188"/>
      <c r="M4471" s="178"/>
      <c r="N4471" s="178"/>
      <c r="O4471" s="178"/>
      <c r="P4471" s="188"/>
      <c r="Q4471" s="178"/>
      <c r="R4471" s="178"/>
      <c r="S4471" s="178"/>
      <c r="T4471" s="180"/>
      <c r="U4471" s="189" t="str">
        <f>IFERROR(IF(Tableau3[[#This Row],[Dettes]]=0,"",(Tableau3[[#This Row],[Dettes]]/Tableau3[[#This Row],[EBE]])),"")</f>
        <v/>
      </c>
      <c r="V4471" s="190" t="str">
        <f>IFERROR(Tableau3[[#This Row],[Fonds propres]]/Tableau3[[#This Row],[Total Bilan]],"")</f>
        <v/>
      </c>
      <c r="W4471" s="180"/>
      <c r="Y4471" s="180"/>
      <c r="Z4471" s="192" t="str">
        <f>IFERROR(Tableau3[[#This Row],[Chiffre d''affaires]]/Tableau3[[#This Row],[Salariés]],"")</f>
        <v/>
      </c>
      <c r="AC4471" s="177" t="s">
        <v>2695</v>
      </c>
    </row>
    <row r="4472" spans="1:29" ht="20.25" customHeight="1">
      <c r="A4472" s="217"/>
      <c r="E4472" s="233">
        <v>28.09</v>
      </c>
      <c r="F4472" s="178">
        <v>2019</v>
      </c>
      <c r="G4472" s="188">
        <v>2001000000</v>
      </c>
      <c r="H4472" s="188">
        <v>406000000</v>
      </c>
      <c r="I4472" s="188">
        <v>278000000</v>
      </c>
      <c r="J4472" s="188">
        <v>196000000</v>
      </c>
      <c r="K4472" s="188">
        <f>8185000000/7.4569</f>
        <v>1097641110.9174054</v>
      </c>
      <c r="L4472" s="188">
        <v>1022000000</v>
      </c>
      <c r="M4472" s="194">
        <f>L4472/P4472</f>
        <v>4.196263600903305</v>
      </c>
      <c r="N4472" s="190">
        <f>J4472/L4472</f>
        <v>0.19178082191780821</v>
      </c>
      <c r="O4472" s="190">
        <f>(I4472*0.7)/(K4472+L4472)</f>
        <v>9.1807994758025258E-2</v>
      </c>
      <c r="P4472" s="188">
        <v>243550000</v>
      </c>
      <c r="Q4472" s="188">
        <f>P4472*E4472</f>
        <v>6841319500</v>
      </c>
      <c r="R4472" s="195">
        <f>Q4472/L4472</f>
        <v>6.6940503913894327</v>
      </c>
      <c r="S4472" s="197">
        <f>(Q4472+K4472)/H4472</f>
        <v>19.554090174673412</v>
      </c>
      <c r="T4472" s="180">
        <v>185000000</v>
      </c>
      <c r="U4472" s="189">
        <f>IFERROR(IF(Tableau3[[#This Row],[Dettes]]=0,"",(Tableau3[[#This Row],[Dettes]]/Tableau3[[#This Row],[EBE]])),"")</f>
        <v>2.7035495342793237</v>
      </c>
      <c r="V4472" s="190">
        <f>IFERROR(Tableau3[[#This Row],[Fonds propres]]/Tableau3[[#This Row],[Total Bilan]],"")</f>
        <v>0.35023989033584646</v>
      </c>
      <c r="W4472" s="180">
        <v>2918000000</v>
      </c>
      <c r="Y4472" s="180">
        <v>15837</v>
      </c>
      <c r="Z4472" s="192">
        <f>IFERROR(Tableau3[[#This Row],[Chiffre d''affaires]]/Tableau3[[#This Row],[Salariés]],"")</f>
        <v>126349.68744080319</v>
      </c>
      <c r="AC4472" s="177" t="s">
        <v>711</v>
      </c>
    </row>
    <row r="4473" spans="1:29" ht="20.25" customHeight="1">
      <c r="A4473" s="217"/>
      <c r="E4473" s="233"/>
      <c r="G4473" s="202">
        <f>(G4472/G4474)-1</f>
        <v>7.1199143468950732E-2</v>
      </c>
      <c r="H4473" s="202">
        <f>(H4472/H4474)-1</f>
        <v>4.1025641025641102E-2</v>
      </c>
      <c r="I4473" s="202">
        <f>(I4472/I4474)-1</f>
        <v>-0.16012084592145015</v>
      </c>
      <c r="J4473" s="202">
        <f>(J4472/J4474)-1</f>
        <v>-0.19672131147540983</v>
      </c>
      <c r="K4473" s="188"/>
      <c r="L4473" s="188"/>
      <c r="M4473" s="178"/>
      <c r="N4473" s="178"/>
      <c r="O4473" s="178"/>
      <c r="P4473" s="188"/>
      <c r="Q4473" s="178"/>
      <c r="R4473" s="178"/>
      <c r="S4473" s="178"/>
      <c r="T4473" s="180"/>
      <c r="U4473" s="189" t="str">
        <f>IFERROR(IF(Tableau3[[#This Row],[Dettes]]=0,"",(Tableau3[[#This Row],[Dettes]]/Tableau3[[#This Row],[EBE]])),"")</f>
        <v/>
      </c>
      <c r="V4473" s="190" t="str">
        <f>IFERROR(Tableau3[[#This Row],[Fonds propres]]/Tableau3[[#This Row],[Total Bilan]],"")</f>
        <v/>
      </c>
      <c r="W4473" s="180"/>
      <c r="Y4473" s="180"/>
      <c r="Z4473" s="192" t="str">
        <f>IFERROR(Tableau3[[#This Row],[Chiffre d''affaires]]/Tableau3[[#This Row],[Salariés]],"")</f>
        <v/>
      </c>
    </row>
    <row r="4474" spans="1:29" ht="20.25" customHeight="1">
      <c r="A4474" s="217"/>
      <c r="E4474" s="233">
        <v>24.64</v>
      </c>
      <c r="F4474" s="178">
        <v>2018</v>
      </c>
      <c r="G4474" s="188">
        <v>1868000000</v>
      </c>
      <c r="H4474" s="188">
        <v>390000000</v>
      </c>
      <c r="I4474" s="188">
        <v>331000000</v>
      </c>
      <c r="J4474" s="188">
        <v>244000000</v>
      </c>
      <c r="K4474" s="188">
        <f>5835000000/7.4569</f>
        <v>782496747.97838247</v>
      </c>
      <c r="L4474" s="188">
        <v>945000000</v>
      </c>
      <c r="M4474" s="194">
        <f>L4474/P4474</f>
        <v>3.7930480854138238</v>
      </c>
      <c r="N4474" s="190">
        <f>J4474/L4474</f>
        <v>0.25820105820105821</v>
      </c>
      <c r="O4474" s="190">
        <f>(I4474*0.7)/(K4474+L4474)</f>
        <v>0.13412470979823773</v>
      </c>
      <c r="P4474" s="188">
        <v>249140000</v>
      </c>
      <c r="Q4474" s="188">
        <f>P4474*E4474</f>
        <v>6138809600</v>
      </c>
      <c r="R4474" s="195">
        <f>Q4474/L4474</f>
        <v>6.496094814814815</v>
      </c>
      <c r="S4474" s="197">
        <f>(Q4474+K4474)/H4474</f>
        <v>17.746939353790722</v>
      </c>
      <c r="T4474" s="180">
        <v>143000000</v>
      </c>
      <c r="U4474" s="189">
        <f>IFERROR(IF(Tableau3[[#This Row],[Dettes]]=0,"",(Tableau3[[#This Row],[Dettes]]/Tableau3[[#This Row],[EBE]])),"")</f>
        <v>2.0064019178932884</v>
      </c>
      <c r="V4474" s="190">
        <f>IFERROR(Tableau3[[#This Row],[Fonds propres]]/Tableau3[[#This Row],[Total Bilan]],"")</f>
        <v>0.39309484193011646</v>
      </c>
      <c r="W4474" s="180">
        <v>2404000000</v>
      </c>
      <c r="Y4474" s="180">
        <v>14250</v>
      </c>
      <c r="Z4474" s="192">
        <f>IFERROR(Tableau3[[#This Row],[Chiffre d''affaires]]/Tableau3[[#This Row],[Salariés]],"")</f>
        <v>131087.71929824562</v>
      </c>
    </row>
    <row r="4475" spans="1:29" ht="20.25" customHeight="1">
      <c r="A4475" s="217"/>
      <c r="G4475" s="188"/>
      <c r="H4475" s="188"/>
      <c r="I4475" s="188"/>
      <c r="J4475" s="188"/>
      <c r="K4475" s="188"/>
      <c r="L4475" s="188"/>
      <c r="M4475" s="178"/>
      <c r="N4475" s="178"/>
      <c r="O4475" s="178"/>
      <c r="P4475" s="188"/>
      <c r="Q4475" s="178"/>
      <c r="R4475" s="178"/>
      <c r="S4475" s="178"/>
      <c r="T4475" s="180"/>
      <c r="U4475" s="189" t="str">
        <f>IFERROR(IF(Tableau3[[#This Row],[Dettes]]=0,"",(Tableau3[[#This Row],[Dettes]]/Tableau3[[#This Row],[EBE]])),"")</f>
        <v/>
      </c>
      <c r="V4475" s="190" t="str">
        <f>IFERROR(Tableau3[[#This Row],[Fonds propres]]/Tableau3[[#This Row],[Total Bilan]],"")</f>
        <v/>
      </c>
      <c r="W4475" s="180"/>
      <c r="Y4475" s="180"/>
      <c r="Z4475" s="192" t="str">
        <f>IFERROR(Tableau3[[#This Row],[Chiffre d''affaires]]/Tableau3[[#This Row],[Salariés]],"")</f>
        <v/>
      </c>
    </row>
    <row r="4476" spans="1:29" ht="20.25" customHeight="1">
      <c r="A4476" s="217"/>
      <c r="G4476" s="188"/>
      <c r="H4476" s="188"/>
      <c r="I4476" s="188"/>
      <c r="J4476" s="188"/>
      <c r="K4476" s="188"/>
      <c r="L4476" s="188"/>
      <c r="M4476" s="188"/>
      <c r="N4476" s="188"/>
      <c r="O4476" s="178"/>
      <c r="P4476" s="178"/>
      <c r="Q4476" s="178"/>
      <c r="R4476" s="178"/>
      <c r="S4476" s="178"/>
      <c r="T4476" s="180"/>
      <c r="U4476" s="189" t="str">
        <f>IFERROR(IF(Tableau3[[#This Row],[Dettes]]=0,"",(Tableau3[[#This Row],[Dettes]]/Tableau3[[#This Row],[EBE]])),"")</f>
        <v/>
      </c>
      <c r="V4476" s="190" t="str">
        <f>IFERROR(Tableau3[[#This Row],[Fonds propres]]/Tableau3[[#This Row],[Total Bilan]],"")</f>
        <v/>
      </c>
      <c r="W4476" s="180"/>
      <c r="Y4476" s="180"/>
      <c r="Z4476" s="192" t="str">
        <f>IFERROR(Tableau3[[#This Row],[Chiffre d''affaires]]/Tableau3[[#This Row],[Salariés]],"")</f>
        <v/>
      </c>
    </row>
    <row r="4477" spans="1:29" ht="20.25" customHeight="1">
      <c r="A4477" s="217"/>
      <c r="G4477" s="188"/>
      <c r="H4477" s="188"/>
      <c r="I4477" s="178"/>
      <c r="J4477" s="178"/>
      <c r="K4477" s="178"/>
      <c r="L4477" s="178"/>
      <c r="M4477" s="178"/>
      <c r="N4477" s="178"/>
      <c r="O4477" s="178"/>
      <c r="P4477" s="178"/>
      <c r="Q4477" s="178"/>
      <c r="R4477" s="178"/>
      <c r="S4477" s="178"/>
      <c r="T4477" s="180"/>
      <c r="U4477" s="189" t="str">
        <f>IFERROR(IF(Tableau3[[#This Row],[Dettes]]=0,"",(Tableau3[[#This Row],[Dettes]]/Tableau3[[#This Row],[EBE]])),"")</f>
        <v/>
      </c>
      <c r="V4477" s="190" t="str">
        <f>IFERROR(Tableau3[[#This Row],[Fonds propres]]/Tableau3[[#This Row],[Total Bilan]],"")</f>
        <v/>
      </c>
      <c r="W4477" s="180"/>
      <c r="Y4477" s="180"/>
      <c r="Z4477" s="192" t="str">
        <f>IFERROR(Tableau3[[#This Row],[Chiffre d''affaires]]/Tableau3[[#This Row],[Salariés]],"")</f>
        <v/>
      </c>
    </row>
    <row r="4478" spans="1:29" ht="20.25" customHeight="1">
      <c r="A4478" s="217" t="s">
        <v>3113</v>
      </c>
      <c r="B4478" s="216" t="s">
        <v>3114</v>
      </c>
      <c r="C4478" s="178" t="s">
        <v>99</v>
      </c>
      <c r="D4478" s="178" t="s">
        <v>100</v>
      </c>
      <c r="E4478" s="187">
        <v>271</v>
      </c>
      <c r="F4478" s="178">
        <v>2025</v>
      </c>
      <c r="G4478" s="188"/>
      <c r="H4478" s="188"/>
      <c r="I4478" s="178"/>
      <c r="J4478" s="178"/>
      <c r="K4478" s="178"/>
      <c r="L4478" s="178"/>
      <c r="M4478" s="178"/>
      <c r="N4478" s="178"/>
      <c r="O4478" s="178"/>
      <c r="P4478" s="188">
        <v>59593456</v>
      </c>
      <c r="Q4478" s="188">
        <f>P4478*E4478</f>
        <v>16149826576</v>
      </c>
      <c r="R4478" s="178"/>
      <c r="S4478" s="178"/>
      <c r="T4478" s="180"/>
      <c r="U4478" s="189" t="str">
        <f>IFERROR(IF(Tableau3[[#This Row],[Dettes]]=0,"",(Tableau3[[#This Row],[Dettes]]/Tableau3[[#This Row],[EBE]])),"")</f>
        <v/>
      </c>
      <c r="V4478" s="190" t="str">
        <f>IFERROR(Tableau3[[#This Row],[Fonds propres]]/Tableau3[[#This Row],[Total Bilan]],"")</f>
        <v/>
      </c>
      <c r="W4478" s="180"/>
      <c r="Y4478" s="180"/>
      <c r="Z4478" s="192" t="str">
        <f>IFERROR(Tableau3[[#This Row],[Chiffre d''affaires]]/Tableau3[[#This Row],[Salariés]],"")</f>
        <v/>
      </c>
      <c r="AC4478" s="177" t="s">
        <v>3115</v>
      </c>
    </row>
    <row r="4479" spans="1:29" ht="20.25" customHeight="1">
      <c r="A4479" s="217"/>
      <c r="G4479" s="188"/>
      <c r="H4479" s="188"/>
      <c r="I4479" s="188"/>
      <c r="J4479" s="188"/>
      <c r="K4479" s="188"/>
      <c r="L4479" s="188"/>
      <c r="M4479" s="194"/>
      <c r="N4479" s="178"/>
      <c r="O4479" s="178"/>
      <c r="P4479" s="188"/>
      <c r="Q4479" s="188"/>
      <c r="R4479" s="178"/>
      <c r="S4479" s="178"/>
      <c r="T4479" s="180"/>
      <c r="U4479" s="189" t="str">
        <f>IFERROR(IF(Tableau3[[#This Row],[Dettes]]=0,"",(Tableau3[[#This Row],[Dettes]]/Tableau3[[#This Row],[EBE]])),"")</f>
        <v/>
      </c>
      <c r="V4479" s="190" t="str">
        <f>IFERROR(Tableau3[[#This Row],[Fonds propres]]/Tableau3[[#This Row],[Total Bilan]],"")</f>
        <v/>
      </c>
      <c r="W4479" s="180"/>
      <c r="Y4479" s="180"/>
      <c r="Z4479" s="192" t="str">
        <f>IFERROR(Tableau3[[#This Row],[Chiffre d''affaires]]/Tableau3[[#This Row],[Salariés]],"")</f>
        <v/>
      </c>
      <c r="AC4479" s="177" t="s">
        <v>3116</v>
      </c>
    </row>
    <row r="4480" spans="1:29" ht="20.25" customHeight="1">
      <c r="A4480" s="217"/>
      <c r="E4480" s="187">
        <v>296.3</v>
      </c>
      <c r="F4480" s="178">
        <v>2024</v>
      </c>
      <c r="G4480" s="188">
        <v>3626900000</v>
      </c>
      <c r="H4480" s="188">
        <v>727000000</v>
      </c>
      <c r="I4480" s="188">
        <v>669900000</v>
      </c>
      <c r="J4480" s="188">
        <v>601700000</v>
      </c>
      <c r="K4480" s="188">
        <v>1359500000</v>
      </c>
      <c r="L4480" s="188">
        <v>2491300000</v>
      </c>
      <c r="M4480" s="194">
        <f>L4480/P4480</f>
        <v>41.804925695197134</v>
      </c>
      <c r="N4480" s="190">
        <f>J4480/L4480</f>
        <v>0.24152049130975795</v>
      </c>
      <c r="O4480" s="190">
        <f>(I4480*0.7)/(K4480+L4480)</f>
        <v>0.12177469616703022</v>
      </c>
      <c r="P4480" s="188">
        <v>59593456</v>
      </c>
      <c r="Q4480" s="188">
        <f>P4480*E4480</f>
        <v>17657541012.799999</v>
      </c>
      <c r="R4480" s="195">
        <f>Q4480/L4480</f>
        <v>7.0876815368683017</v>
      </c>
      <c r="S4480" s="197">
        <f>(Q4480+K4480)/H4480</f>
        <v>26.158240732874827</v>
      </c>
      <c r="T4480" s="180">
        <v>437600000</v>
      </c>
      <c r="U4480" s="189">
        <f>IFERROR(IF(Tableau3[[#This Row],[Dettes]]=0,"",(Tableau3[[#This Row],[Dettes]]/Tableau3[[#This Row],[EBE]])),"")</f>
        <v>1.8700137551581844</v>
      </c>
      <c r="V4480" s="190">
        <f>IFERROR(Tableau3[[#This Row],[Fonds propres]]/Tableau3[[#This Row],[Total Bilan]],"")</f>
        <v>0.43014261542180326</v>
      </c>
      <c r="W4480" s="180">
        <v>5791800000</v>
      </c>
      <c r="Y4480" s="180">
        <v>18151</v>
      </c>
      <c r="Z4480" s="192">
        <f>IFERROR(Tableau3[[#This Row],[Chiffre d''affaires]]/Tableau3[[#This Row],[Salariés]],"")</f>
        <v>199818.1918351606</v>
      </c>
      <c r="AC4480" s="177" t="s">
        <v>3117</v>
      </c>
    </row>
    <row r="4481" spans="1:29" ht="20.25" customHeight="1">
      <c r="A4481" s="217"/>
      <c r="G4481" s="272">
        <f>(G4480/G4482)-1</f>
        <v>-2.9721776350989826E-2</v>
      </c>
      <c r="H4481" s="272">
        <f>(H4480/H4482)-1</f>
        <v>-9.3063872255489066E-2</v>
      </c>
      <c r="I4481" s="272">
        <f>(I4480/I4482)-1</f>
        <v>-0.10285255122539172</v>
      </c>
      <c r="J4481" s="272">
        <f>(J4480/J4482)-1</f>
        <v>-7.0733590733590757E-2</v>
      </c>
      <c r="K4481" s="178"/>
      <c r="L4481" s="178"/>
      <c r="M4481" s="178"/>
      <c r="N4481" s="178"/>
      <c r="O4481" s="178"/>
      <c r="P4481" s="188"/>
      <c r="Q4481" s="178"/>
      <c r="R4481" s="178"/>
      <c r="S4481" s="178"/>
      <c r="T4481" s="180"/>
      <c r="U4481" s="189" t="str">
        <f>IFERROR(IF(Tableau3[[#This Row],[Dettes]]=0,"",(Tableau3[[#This Row],[Dettes]]/Tableau3[[#This Row],[EBE]])),"")</f>
        <v/>
      </c>
      <c r="V4481" s="190" t="str">
        <f>IFERROR(Tableau3[[#This Row],[Fonds propres]]/Tableau3[[#This Row],[Total Bilan]],"")</f>
        <v/>
      </c>
      <c r="W4481" s="180"/>
      <c r="Y4481" s="180"/>
      <c r="Z4481" s="192"/>
      <c r="AC4481" s="177" t="s">
        <v>2702</v>
      </c>
    </row>
    <row r="4482" spans="1:29" ht="20.25" customHeight="1">
      <c r="A4482" s="217"/>
      <c r="E4482" s="178">
        <v>268.60000000000002</v>
      </c>
      <c r="F4482" s="178">
        <v>2023</v>
      </c>
      <c r="G4482" s="188">
        <v>3738000000</v>
      </c>
      <c r="H4482" s="188">
        <v>801600000</v>
      </c>
      <c r="I4482" s="188">
        <v>746700000</v>
      </c>
      <c r="J4482" s="188">
        <v>647500000</v>
      </c>
      <c r="K4482" s="188">
        <v>1495900000</v>
      </c>
      <c r="L4482" s="188">
        <v>2231400000</v>
      </c>
      <c r="M4482" s="194">
        <f>L4482/P4482</f>
        <v>37.443708584378797</v>
      </c>
      <c r="N4482" s="190">
        <f>J4482/L4482</f>
        <v>0.29017657076274983</v>
      </c>
      <c r="O4482" s="190">
        <f>(I4482*0.7)/(K4482+L4482)</f>
        <v>0.14023287634480722</v>
      </c>
      <c r="P4482" s="188">
        <v>59593456</v>
      </c>
      <c r="Q4482" s="188">
        <f>P4482*E4482</f>
        <v>16006802281.600002</v>
      </c>
      <c r="R4482" s="195">
        <f>Q4482/L4482</f>
        <v>7.173434741238685</v>
      </c>
      <c r="S4482" s="197">
        <f>(Q4482+K4482)/H4482</f>
        <v>21.834708435129745</v>
      </c>
      <c r="T4482" s="180">
        <v>274400000</v>
      </c>
      <c r="U4482" s="189">
        <f>IFERROR(IF(Tableau3[[#This Row],[Dettes]]=0,"",(Tableau3[[#This Row],[Dettes]]/Tableau3[[#This Row],[EBE]])),"")</f>
        <v>1.8661427145708582</v>
      </c>
      <c r="V4482" s="190">
        <f>IFERROR(Tableau3[[#This Row],[Fonds propres]]/Tableau3[[#This Row],[Total Bilan]],"")</f>
        <v>0.40187303016659165</v>
      </c>
      <c r="W4482" s="180">
        <v>5552500000</v>
      </c>
      <c r="Y4482" s="180">
        <v>17608</v>
      </c>
      <c r="Z4482" s="192">
        <f>IFERROR(Tableau3[[#This Row],[Chiffre d''affaires]]/Tableau3[[#This Row],[Salariés]],"")</f>
        <v>212289.86824170832</v>
      </c>
      <c r="AC4482" s="177" t="s">
        <v>3118</v>
      </c>
    </row>
    <row r="4483" spans="1:29" ht="20.25" customHeight="1">
      <c r="A4483" s="217"/>
      <c r="G4483" s="272">
        <f>(G4482/G4484)-1</f>
        <v>0.11121020244359237</v>
      </c>
      <c r="H4483" s="272">
        <f>(H4482/H4484)-1</f>
        <v>-1.6191306513887449E-3</v>
      </c>
      <c r="I4483" s="272">
        <f>(I4482/I4484)-1</f>
        <v>-1.749999999999996E-2</v>
      </c>
      <c r="J4483" s="272">
        <f>(J4482/J4484)-1</f>
        <v>-2.3112480739599928E-3</v>
      </c>
      <c r="K4483" s="188"/>
      <c r="L4483" s="188"/>
      <c r="M4483" s="178"/>
      <c r="N4483" s="178"/>
      <c r="O4483" s="178"/>
      <c r="P4483" s="188"/>
      <c r="Q4483" s="178"/>
      <c r="R4483" s="178"/>
      <c r="S4483" s="178"/>
      <c r="T4483" s="180"/>
      <c r="U4483" s="189" t="str">
        <f>IFERROR(IF(Tableau3[[#This Row],[Dettes]]=0,"",(Tableau3[[#This Row],[Dettes]]/Tableau3[[#This Row],[EBE]])),"")</f>
        <v/>
      </c>
      <c r="V4483" s="190" t="str">
        <f>IFERROR(Tableau3[[#This Row],[Fonds propres]]/Tableau3[[#This Row],[Total Bilan]],"")</f>
        <v/>
      </c>
      <c r="W4483" s="180"/>
      <c r="Y4483" s="180"/>
      <c r="Z4483" s="192" t="str">
        <f>IFERROR(Tableau3[[#This Row],[Chiffre d''affaires]]/Tableau3[[#This Row],[Salariés]],"")</f>
        <v/>
      </c>
      <c r="AC4483" s="177" t="s">
        <v>3119</v>
      </c>
    </row>
    <row r="4484" spans="1:29" ht="20.25" customHeight="1">
      <c r="A4484" s="217"/>
      <c r="E4484" s="187">
        <v>356.01</v>
      </c>
      <c r="F4484" s="178">
        <v>2022</v>
      </c>
      <c r="G4484" s="188">
        <v>3363900000</v>
      </c>
      <c r="H4484" s="188">
        <v>802900000</v>
      </c>
      <c r="I4484" s="188">
        <v>760000000</v>
      </c>
      <c r="J4484" s="188">
        <v>649000000</v>
      </c>
      <c r="K4484" s="188">
        <v>1006300000</v>
      </c>
      <c r="L4484" s="188">
        <v>2432800000</v>
      </c>
      <c r="M4484" s="194">
        <f>L4484/P4484</f>
        <v>39.824720157185197</v>
      </c>
      <c r="N4484" s="190">
        <f>J4484/L4484</f>
        <v>0.26677079907925022</v>
      </c>
      <c r="O4484" s="190">
        <f>(I4484*0.7)/(K4484+L4484)</f>
        <v>0.1546916344392428</v>
      </c>
      <c r="P4484" s="188">
        <v>61087686</v>
      </c>
      <c r="Q4484" s="188">
        <f>P4484*E4484</f>
        <v>21747827092.860001</v>
      </c>
      <c r="R4484" s="195">
        <f>Q4484/L4484</f>
        <v>8.9394225143291681</v>
      </c>
      <c r="S4484" s="197">
        <f>(Q4484+K4484)/H4484</f>
        <v>28.33992663203388</v>
      </c>
      <c r="T4484" s="180">
        <v>167600000</v>
      </c>
      <c r="U4484" s="189">
        <f>IFERROR(IF(Tableau3[[#This Row],[Dettes]]=0,"",(Tableau3[[#This Row],[Dettes]]/Tableau3[[#This Row],[EBE]])),"")</f>
        <v>1.2533316726865114</v>
      </c>
      <c r="V4484" s="190">
        <f>IFERROR(Tableau3[[#This Row],[Fonds propres]]/Tableau3[[#This Row],[Total Bilan]],"")</f>
        <v>0.43534590744783652</v>
      </c>
      <c r="W4484" s="180">
        <v>5588200000</v>
      </c>
      <c r="Y4484" s="180">
        <v>16733</v>
      </c>
      <c r="Z4484" s="192">
        <f>IFERROR(Tableau3[[#This Row],[Chiffre d''affaires]]/Tableau3[[#This Row],[Salariés]],"")</f>
        <v>201033.88513715414</v>
      </c>
      <c r="AC4484" s="177" t="s">
        <v>3120</v>
      </c>
    </row>
    <row r="4485" spans="1:29" ht="20.25" customHeight="1">
      <c r="A4485" s="217"/>
      <c r="G4485" s="272">
        <f>(G4484/G4486)-1</f>
        <v>0.29281322059953885</v>
      </c>
      <c r="H4485" s="272">
        <f>(H4484/H4486)-1</f>
        <v>0.2104628373285089</v>
      </c>
      <c r="I4485" s="272">
        <f>(I4484/I4486)-1</f>
        <v>0.22977346278317157</v>
      </c>
      <c r="J4485" s="272">
        <f>(J4484/J4486)-1</f>
        <v>0.11703958691910499</v>
      </c>
      <c r="K4485" s="188"/>
      <c r="L4485" s="188"/>
      <c r="M4485" s="178"/>
      <c r="N4485" s="178"/>
      <c r="O4485" s="178"/>
      <c r="P4485" s="188"/>
      <c r="Q4485" s="178"/>
      <c r="R4485" s="178"/>
      <c r="S4485" s="178"/>
      <c r="T4485" s="180"/>
      <c r="U4485" s="189" t="str">
        <f>IFERROR(IF(Tableau3[[#This Row],[Dettes]]=0,"",(Tableau3[[#This Row],[Dettes]]/Tableau3[[#This Row],[EBE]])),"")</f>
        <v/>
      </c>
      <c r="V4485" s="190" t="str">
        <f>IFERROR(Tableau3[[#This Row],[Fonds propres]]/Tableau3[[#This Row],[Total Bilan]],"")</f>
        <v/>
      </c>
      <c r="W4485" s="180"/>
      <c r="Y4485" s="180"/>
      <c r="Z4485" s="192" t="str">
        <f>IFERROR(Tableau3[[#This Row],[Chiffre d''affaires]]/Tableau3[[#This Row],[Salariés]],"")</f>
        <v/>
      </c>
      <c r="AC4485" s="177" t="s">
        <v>3121</v>
      </c>
    </row>
    <row r="4486" spans="1:29" ht="20.25" customHeight="1">
      <c r="A4486" s="217"/>
      <c r="E4486" s="178">
        <v>250.4</v>
      </c>
      <c r="F4486" s="178">
        <v>2021</v>
      </c>
      <c r="G4486" s="188">
        <v>2602000000</v>
      </c>
      <c r="H4486" s="188">
        <v>663300000</v>
      </c>
      <c r="I4486" s="188">
        <v>618000000</v>
      </c>
      <c r="J4486" s="188">
        <v>581000000</v>
      </c>
      <c r="K4486" s="188">
        <v>83300000</v>
      </c>
      <c r="L4486" s="188">
        <v>2772500000</v>
      </c>
      <c r="M4486" s="194">
        <f>L4486/P4486</f>
        <v>43.978147944329706</v>
      </c>
      <c r="N4486" s="190">
        <f>J4486/L4486</f>
        <v>0.20955816050495943</v>
      </c>
      <c r="O4486" s="190">
        <f>(I4486*0.7)/(K4486+L4486)</f>
        <v>0.15148119616219624</v>
      </c>
      <c r="P4486" s="188">
        <v>63042673</v>
      </c>
      <c r="Q4486" s="188">
        <f>P4486*E4486</f>
        <v>15785885319.200001</v>
      </c>
      <c r="R4486" s="195">
        <f>Q4486/L4486</f>
        <v>5.6937368148602348</v>
      </c>
      <c r="S4486" s="197">
        <f>(Q4486+K4486)/H4486</f>
        <v>23.924597194632899</v>
      </c>
      <c r="T4486" s="180">
        <v>571900000</v>
      </c>
      <c r="U4486" s="189">
        <f>IFERROR(IF(Tableau3[[#This Row],[Dettes]]=0,"",(Tableau3[[#This Row],[Dettes]]/Tableau3[[#This Row],[EBE]])),"")</f>
        <v>0.12558420021106589</v>
      </c>
      <c r="V4486" s="190">
        <f>IFERROR(Tableau3[[#This Row],[Fonds propres]]/Tableau3[[#This Row],[Total Bilan]],"")</f>
        <v>0.46788510868097744</v>
      </c>
      <c r="W4486" s="180">
        <v>5925600000</v>
      </c>
      <c r="Y4486" s="180">
        <v>14508</v>
      </c>
      <c r="Z4486" s="192">
        <f>IFERROR(Tableau3[[#This Row],[Chiffre d''affaires]]/Tableau3[[#This Row],[Salariés]],"")</f>
        <v>179349.32451061482</v>
      </c>
      <c r="AC4486" s="177" t="s">
        <v>3122</v>
      </c>
    </row>
    <row r="4487" spans="1:29" ht="20.25" customHeight="1">
      <c r="A4487" s="217"/>
      <c r="G4487" s="272">
        <f>(G4486/G4488)-1</f>
        <v>-0.10798765855330816</v>
      </c>
      <c r="H4487" s="272">
        <f>(H4486/H4488)-1</f>
        <v>0.19664441638102104</v>
      </c>
      <c r="I4487" s="272">
        <f>(I4486/I4488)-1</f>
        <v>0.21390689451974065</v>
      </c>
      <c r="J4487" s="272">
        <f>(J4486/J4488)-1</f>
        <v>0.20240066225165565</v>
      </c>
      <c r="K4487" s="188"/>
      <c r="L4487" s="188"/>
      <c r="M4487" s="178"/>
      <c r="N4487" s="178"/>
      <c r="O4487" s="178"/>
      <c r="P4487" s="188"/>
      <c r="Q4487" s="178"/>
      <c r="R4487" s="178"/>
      <c r="S4487" s="178"/>
      <c r="T4487" s="180"/>
      <c r="U4487" s="189" t="str">
        <f>IFERROR(IF(Tableau3[[#This Row],[Dettes]]=0,"",(Tableau3[[#This Row],[Dettes]]/Tableau3[[#This Row],[EBE]])),"")</f>
        <v/>
      </c>
      <c r="V4487" s="190" t="str">
        <f>IFERROR(Tableau3[[#This Row],[Fonds propres]]/Tableau3[[#This Row],[Total Bilan]],"")</f>
        <v/>
      </c>
      <c r="W4487" s="180"/>
      <c r="Y4487" s="180"/>
      <c r="Z4487" s="192" t="str">
        <f>IFERROR(Tableau3[[#This Row],[Chiffre d''affaires]]/Tableau3[[#This Row],[Salariés]],"")</f>
        <v/>
      </c>
      <c r="AC4487" s="177" t="s">
        <v>3123</v>
      </c>
    </row>
    <row r="4488" spans="1:29" ht="20.25" customHeight="1">
      <c r="A4488" s="217"/>
      <c r="E4488" s="178">
        <v>173.2</v>
      </c>
      <c r="F4488" s="178">
        <v>2020</v>
      </c>
      <c r="G4488" s="188">
        <v>2917000000</v>
      </c>
      <c r="H4488" s="188">
        <v>554300000</v>
      </c>
      <c r="I4488" s="188">
        <v>509100000</v>
      </c>
      <c r="J4488" s="188">
        <v>483200000</v>
      </c>
      <c r="K4488" s="188">
        <v>663000000</v>
      </c>
      <c r="L4488" s="188">
        <v>2029400000</v>
      </c>
      <c r="M4488" s="194">
        <f>L4488/P4488</f>
        <v>32.508063061669738</v>
      </c>
      <c r="N4488" s="190">
        <f>J4488/L4488</f>
        <v>0.23809993101409282</v>
      </c>
      <c r="O4488" s="190">
        <f>(I4488*0.7)/(K4488+L4488)</f>
        <v>0.13236146189273509</v>
      </c>
      <c r="P4488" s="188">
        <v>62427589</v>
      </c>
      <c r="Q4488" s="188">
        <f>P4488*E4488</f>
        <v>10812458414.799999</v>
      </c>
      <c r="R4488" s="195">
        <f>Q4488/L4488</f>
        <v>5.3279089458953379</v>
      </c>
      <c r="S4488" s="197">
        <f>(Q4488+K4488)/H4488</f>
        <v>20.702613052137831</v>
      </c>
      <c r="T4488" s="180">
        <v>563700000</v>
      </c>
      <c r="U4488" s="189">
        <f>IFERROR(IF(Tableau3[[#This Row],[Dettes]]=0,"",(Tableau3[[#This Row],[Dettes]]/Tableau3[[#This Row],[EBE]])),"")</f>
        <v>1.1961031932166697</v>
      </c>
      <c r="V4488" s="190">
        <f>IFERROR(Tableau3[[#This Row],[Fonds propres]]/Tableau3[[#This Row],[Total Bilan]],"")</f>
        <v>0.45233478212415024</v>
      </c>
      <c r="W4488" s="180">
        <v>4486500000</v>
      </c>
      <c r="Y4488" s="180">
        <v>15184</v>
      </c>
      <c r="Z4488" s="192">
        <f>IFERROR(Tableau3[[#This Row],[Chiffre d''affaires]]/Tableau3[[#This Row],[Salariés]],"")</f>
        <v>192110.11591148577</v>
      </c>
      <c r="AC4488" s="177" t="s">
        <v>3124</v>
      </c>
    </row>
    <row r="4489" spans="1:29" ht="20.25" customHeight="1">
      <c r="A4489" s="217"/>
      <c r="G4489" s="272">
        <f>(G4488/G4490)-1</f>
        <v>5.5736518277234914E-2</v>
      </c>
      <c r="H4489" s="272">
        <f>(H4488/H4490)-1</f>
        <v>-6.6835016835016803E-2</v>
      </c>
      <c r="I4489" s="272">
        <f>(I4488/I4490)-1</f>
        <v>-4.3045112781954886E-2</v>
      </c>
      <c r="J4489" s="272">
        <f>(J4488/J4490)-1</f>
        <v>6.4082801145122215E-2</v>
      </c>
      <c r="K4489" s="188"/>
      <c r="L4489" s="188"/>
      <c r="M4489" s="178"/>
      <c r="N4489" s="178"/>
      <c r="O4489" s="178"/>
      <c r="P4489" s="188"/>
      <c r="Q4489" s="178"/>
      <c r="R4489" s="178"/>
      <c r="S4489" s="178"/>
      <c r="T4489" s="180"/>
      <c r="U4489" s="189" t="str">
        <f>IFERROR(IF(Tableau3[[#This Row],[Dettes]]=0,"",(Tableau3[[#This Row],[Dettes]]/Tableau3[[#This Row],[EBE]])),"")</f>
        <v/>
      </c>
      <c r="V4489" s="190" t="str">
        <f>IFERROR(Tableau3[[#This Row],[Fonds propres]]/Tableau3[[#This Row],[Total Bilan]],"")</f>
        <v/>
      </c>
      <c r="W4489" s="180"/>
      <c r="Y4489" s="180"/>
      <c r="Z4489" s="192" t="str">
        <f>IFERROR(Tableau3[[#This Row],[Chiffre d''affaires]]/Tableau3[[#This Row],[Salariés]],"")</f>
        <v/>
      </c>
      <c r="AC4489" s="177" t="s">
        <v>3125</v>
      </c>
    </row>
    <row r="4490" spans="1:29" ht="20.25" customHeight="1">
      <c r="A4490" s="217"/>
      <c r="E4490" s="178">
        <v>196.1</v>
      </c>
      <c r="F4490" s="178">
        <v>2019</v>
      </c>
      <c r="G4490" s="188">
        <v>2763000000</v>
      </c>
      <c r="H4490" s="188">
        <v>594000000</v>
      </c>
      <c r="I4490" s="188">
        <v>532000000</v>
      </c>
      <c r="J4490" s="188">
        <v>454100000</v>
      </c>
      <c r="K4490" s="188">
        <v>253900000</v>
      </c>
      <c r="L4490" s="188">
        <v>2353800000</v>
      </c>
      <c r="M4490" s="194">
        <f>L4490/P4490</f>
        <v>36.569812491385981</v>
      </c>
      <c r="N4490" s="190">
        <f>J4490/L4490</f>
        <v>0.19292208343954456</v>
      </c>
      <c r="O4490" s="190">
        <f>(I4490*0.7)/(K4490+L4490)</f>
        <v>0.14280783832496069</v>
      </c>
      <c r="P4490" s="188">
        <v>64364563</v>
      </c>
      <c r="Q4490" s="188">
        <f>P4490*E4490</f>
        <v>12621890804.299999</v>
      </c>
      <c r="R4490" s="195">
        <f>Q4490/L4490</f>
        <v>5.3623463354150731</v>
      </c>
      <c r="S4490" s="197">
        <f>(Q4490+K4490)/H4490</f>
        <v>21.676415495454545</v>
      </c>
      <c r="T4490" s="180"/>
      <c r="U4490" s="189">
        <f>IFERROR(IF(Tableau3[[#This Row],[Dettes]]=0,"",(Tableau3[[#This Row],[Dettes]]/Tableau3[[#This Row],[EBE]])),"")</f>
        <v>0.42744107744107745</v>
      </c>
      <c r="V4490" s="190">
        <f>IFERROR(Tableau3[[#This Row],[Fonds propres]]/Tableau3[[#This Row],[Total Bilan]],"")</f>
        <v>0.54835177635410604</v>
      </c>
      <c r="W4490" s="180">
        <v>4292500000</v>
      </c>
      <c r="Y4490" s="180">
        <v>14740</v>
      </c>
      <c r="Z4490" s="192">
        <f>IFERROR(Tableau3[[#This Row],[Chiffre d''affaires]]/Tableau3[[#This Row],[Salariés]],"")</f>
        <v>187449.11804613296</v>
      </c>
      <c r="AC4490" s="177" t="s">
        <v>963</v>
      </c>
    </row>
    <row r="4491" spans="1:29" ht="20.25" customHeight="1">
      <c r="A4491" s="217"/>
      <c r="G4491" s="272">
        <f>(G4490/G4492)-1</f>
        <v>4.421768707482987E-2</v>
      </c>
      <c r="H4491" s="272">
        <f>(H4490/H4492)-1</f>
        <v>7.6867295141406888E-2</v>
      </c>
      <c r="I4491" s="272">
        <f>(I4490/I4492)-1</f>
        <v>0.10671936758893286</v>
      </c>
      <c r="J4491" s="272">
        <f>(J4490/J4492)-1</f>
        <v>0.13496625843539123</v>
      </c>
      <c r="K4491" s="188"/>
      <c r="L4491" s="188"/>
      <c r="M4491" s="178"/>
      <c r="N4491" s="178"/>
      <c r="O4491" s="178"/>
      <c r="P4491" s="188"/>
      <c r="Q4491" s="178"/>
      <c r="R4491" s="178"/>
      <c r="S4491" s="178"/>
      <c r="T4491" s="180"/>
      <c r="U4491" s="189" t="str">
        <f>IFERROR(IF(Tableau3[[#This Row],[Dettes]]=0,"",(Tableau3[[#This Row],[Dettes]]/Tableau3[[#This Row],[EBE]])),"")</f>
        <v/>
      </c>
      <c r="V4491" s="190" t="str">
        <f>IFERROR(Tableau3[[#This Row],[Fonds propres]]/Tableau3[[#This Row],[Total Bilan]],"")</f>
        <v/>
      </c>
      <c r="W4491" s="180"/>
      <c r="Y4491" s="180"/>
      <c r="Z4491" s="192" t="str">
        <f>IFERROR(Tableau3[[#This Row],[Chiffre d''affaires]]/Tableau3[[#This Row],[Salariés]],"")</f>
        <v/>
      </c>
      <c r="AC4491" s="177" t="s">
        <v>3126</v>
      </c>
    </row>
    <row r="4492" spans="1:29" ht="20.25" customHeight="1">
      <c r="A4492" s="217"/>
      <c r="E4492" s="178">
        <v>150.80000000000001</v>
      </c>
      <c r="F4492" s="178">
        <v>2018</v>
      </c>
      <c r="G4492" s="188">
        <v>2646000000</v>
      </c>
      <c r="H4492" s="188">
        <v>551600000</v>
      </c>
      <c r="I4492" s="188">
        <v>480700000</v>
      </c>
      <c r="J4492" s="188">
        <v>400100000</v>
      </c>
      <c r="K4492" s="188">
        <v>228000000</v>
      </c>
      <c r="L4492" s="188">
        <v>2451700000</v>
      </c>
      <c r="M4492" s="194">
        <f>L4492/P4492</f>
        <v>37.52950624827168</v>
      </c>
      <c r="N4492" s="190">
        <f>J4492/L4492</f>
        <v>0.16319288656850348</v>
      </c>
      <c r="O4492" s="190">
        <f>(I4492*0.7)/(K4492+L4492)</f>
        <v>0.12557002649550322</v>
      </c>
      <c r="P4492" s="188">
        <v>65327265</v>
      </c>
      <c r="Q4492" s="188">
        <f>P4492*E4492</f>
        <v>9851351562</v>
      </c>
      <c r="R4492" s="195">
        <f>Q4492/L4492</f>
        <v>4.0181717020842678</v>
      </c>
      <c r="S4492" s="197">
        <f>(Q4492+K4492)/H4492</f>
        <v>18.272936116751268</v>
      </c>
      <c r="T4492" s="180"/>
      <c r="U4492" s="189">
        <f>IFERROR(IF(Tableau3[[#This Row],[Dettes]]=0,"",(Tableau3[[#This Row],[Dettes]]/Tableau3[[#This Row],[EBE]])),"")</f>
        <v>0.41334300217548947</v>
      </c>
      <c r="V4492" s="190">
        <f>IFERROR(Tableau3[[#This Row],[Fonds propres]]/Tableau3[[#This Row],[Total Bilan]],"")</f>
        <v>0.56989772198977218</v>
      </c>
      <c r="W4492" s="180">
        <v>4302000000</v>
      </c>
      <c r="Y4492" s="180">
        <v>14242</v>
      </c>
      <c r="Z4492" s="192">
        <f>IFERROR(Tableau3[[#This Row],[Chiffre d''affaires]]/Tableau3[[#This Row],[Salariés]],"")</f>
        <v>185788.51284931891</v>
      </c>
    </row>
    <row r="4493" spans="1:29" ht="20.25" customHeight="1">
      <c r="A4493" s="217"/>
      <c r="G4493" s="188"/>
      <c r="H4493" s="188"/>
      <c r="I4493" s="178"/>
      <c r="J4493" s="178"/>
      <c r="K4493" s="178"/>
      <c r="L4493" s="178"/>
      <c r="M4493" s="178"/>
      <c r="N4493" s="178"/>
      <c r="O4493" s="178"/>
      <c r="P4493" s="178"/>
      <c r="Q4493" s="178"/>
      <c r="R4493" s="178"/>
      <c r="S4493" s="178"/>
      <c r="T4493" s="180"/>
      <c r="U4493" s="189" t="str">
        <f>IFERROR(IF(Tableau3[[#This Row],[Dettes]]=0,"",(Tableau3[[#This Row],[Dettes]]/Tableau3[[#This Row],[EBE]])),"")</f>
        <v/>
      </c>
      <c r="V4493" s="190" t="str">
        <f>IFERROR(Tableau3[[#This Row],[Fonds propres]]/Tableau3[[#This Row],[Total Bilan]],"")</f>
        <v/>
      </c>
      <c r="W4493" s="180"/>
      <c r="Y4493" s="180"/>
      <c r="Z4493" s="192" t="str">
        <f>IFERROR(Tableau3[[#This Row],[Chiffre d''affaires]]/Tableau3[[#This Row],[Salariés]],"")</f>
        <v/>
      </c>
    </row>
    <row r="4494" spans="1:29" ht="20.25" customHeight="1">
      <c r="A4494" s="217"/>
      <c r="G4494" s="188"/>
      <c r="H4494" s="188"/>
      <c r="I4494" s="178"/>
      <c r="J4494" s="178"/>
      <c r="K4494" s="178"/>
      <c r="L4494" s="178"/>
      <c r="M4494" s="178"/>
      <c r="N4494" s="178"/>
      <c r="O4494" s="178"/>
      <c r="P4494" s="178"/>
      <c r="Q4494" s="178"/>
      <c r="R4494" s="178"/>
      <c r="S4494" s="178"/>
      <c r="T4494" s="180"/>
      <c r="U4494" s="189"/>
      <c r="V4494" s="190"/>
      <c r="W4494" s="180"/>
      <c r="Y4494" s="180"/>
      <c r="Z4494" s="192"/>
    </row>
    <row r="4495" spans="1:29" ht="20.25" customHeight="1">
      <c r="A4495" s="217"/>
      <c r="G4495" s="188"/>
      <c r="H4495" s="188"/>
      <c r="I4495" s="178"/>
      <c r="J4495" s="178"/>
      <c r="K4495" s="178"/>
      <c r="L4495" s="178"/>
      <c r="M4495" s="178"/>
      <c r="N4495" s="178"/>
      <c r="O4495" s="178"/>
      <c r="P4495" s="178"/>
      <c r="Q4495" s="178"/>
      <c r="R4495" s="178"/>
      <c r="S4495" s="178"/>
      <c r="T4495" s="180"/>
      <c r="U4495" s="189"/>
      <c r="V4495" s="190"/>
      <c r="W4495" s="180"/>
      <c r="Y4495" s="180"/>
      <c r="Z4495" s="192"/>
    </row>
    <row r="4496" spans="1:29" ht="20.25" customHeight="1">
      <c r="A4496" s="217"/>
      <c r="G4496" s="188"/>
      <c r="H4496" s="188"/>
      <c r="I4496" s="178"/>
      <c r="J4496" s="178"/>
      <c r="K4496" s="178"/>
      <c r="L4496" s="178"/>
      <c r="M4496" s="178"/>
      <c r="N4496" s="178"/>
      <c r="O4496" s="178"/>
      <c r="P4496" s="178"/>
      <c r="Q4496" s="178"/>
      <c r="R4496" s="178"/>
      <c r="S4496" s="178"/>
      <c r="T4496" s="180"/>
      <c r="U4496" s="189" t="str">
        <f>IFERROR(IF(Tableau3[[#This Row],[Dettes]]=0,"",(Tableau3[[#This Row],[Dettes]]/Tableau3[[#This Row],[EBE]])),"")</f>
        <v/>
      </c>
      <c r="V4496" s="190" t="str">
        <f>IFERROR(Tableau3[[#This Row],[Fonds propres]]/Tableau3[[#This Row],[Total Bilan]],"")</f>
        <v/>
      </c>
      <c r="W4496" s="180"/>
      <c r="Y4496" s="180"/>
      <c r="Z4496" s="192" t="str">
        <f>IFERROR(Tableau3[[#This Row],[Chiffre d''affaires]]/Tableau3[[#This Row],[Salariés]],"")</f>
        <v/>
      </c>
    </row>
    <row r="4497" spans="1:29" ht="20.25" customHeight="1">
      <c r="A4497" s="217" t="s">
        <v>3127</v>
      </c>
      <c r="B4497" s="216" t="s">
        <v>1582</v>
      </c>
      <c r="C4497" s="178" t="s">
        <v>619</v>
      </c>
      <c r="D4497" s="178" t="s">
        <v>2929</v>
      </c>
      <c r="E4497" s="187">
        <v>20.18</v>
      </c>
      <c r="F4497" s="178">
        <v>2025</v>
      </c>
      <c r="G4497" s="188"/>
      <c r="H4497" s="188"/>
      <c r="I4497" s="178"/>
      <c r="J4497" s="178"/>
      <c r="K4497" s="178"/>
      <c r="L4497" s="178"/>
      <c r="M4497" s="178"/>
      <c r="N4497" s="178"/>
      <c r="O4497" s="178"/>
      <c r="P4497" s="178"/>
      <c r="Q4497" s="178"/>
      <c r="R4497" s="178"/>
      <c r="S4497" s="178"/>
      <c r="T4497" s="180"/>
      <c r="U4497" s="189" t="str">
        <f>IFERROR(IF(Tableau3[[#This Row],[Dettes]]=0,"",(Tableau3[[#This Row],[Dettes]]/Tableau3[[#This Row],[EBE]])),"")</f>
        <v/>
      </c>
      <c r="V4497" s="190" t="str">
        <f>IFERROR(Tableau3[[#This Row],[Fonds propres]]/Tableau3[[#This Row],[Total Bilan]],"")</f>
        <v/>
      </c>
      <c r="W4497" s="180"/>
      <c r="Y4497" s="180"/>
      <c r="Z4497" s="192" t="str">
        <f>IFERROR(Tableau3[[#This Row],[Chiffre d''affaires]]/Tableau3[[#This Row],[Salariés]],"")</f>
        <v/>
      </c>
      <c r="AC4497" s="177" t="s">
        <v>1587</v>
      </c>
    </row>
    <row r="4498" spans="1:29" ht="20.25" customHeight="1">
      <c r="A4498" s="217"/>
      <c r="G4498" s="188"/>
      <c r="H4498" s="188"/>
      <c r="I4498" s="178"/>
      <c r="J4498" s="178"/>
      <c r="K4498" s="178"/>
      <c r="L4498" s="178"/>
      <c r="M4498" s="178"/>
      <c r="N4498" s="178"/>
      <c r="O4498" s="178"/>
      <c r="P4498" s="178"/>
      <c r="Q4498" s="178"/>
      <c r="R4498" s="178"/>
      <c r="S4498" s="178"/>
      <c r="T4498" s="180"/>
      <c r="U4498" s="189" t="str">
        <f>IFERROR(IF(Tableau3[[#This Row],[Dettes]]=0,"",(Tableau3[[#This Row],[Dettes]]/Tableau3[[#This Row],[EBE]])),"")</f>
        <v/>
      </c>
      <c r="V4498" s="190" t="str">
        <f>IFERROR(Tableau3[[#This Row],[Fonds propres]]/Tableau3[[#This Row],[Total Bilan]],"")</f>
        <v/>
      </c>
      <c r="W4498" s="180"/>
      <c r="Y4498" s="180"/>
      <c r="Z4498" s="192" t="str">
        <f>IFERROR(Tableau3[[#This Row],[Chiffre d''affaires]]/Tableau3[[#This Row],[Salariés]],"")</f>
        <v/>
      </c>
      <c r="AC4498" s="177" t="s">
        <v>3129</v>
      </c>
    </row>
    <row r="4499" spans="1:29" ht="20.25" customHeight="1">
      <c r="A4499" s="217"/>
      <c r="E4499" s="187">
        <v>24.85</v>
      </c>
      <c r="F4499" s="178">
        <v>2024</v>
      </c>
      <c r="G4499" s="188">
        <v>2324000000</v>
      </c>
      <c r="H4499" s="188">
        <v>555000000</v>
      </c>
      <c r="I4499" s="188">
        <v>264000000</v>
      </c>
      <c r="J4499" s="188">
        <v>162000000</v>
      </c>
      <c r="K4499" s="188">
        <v>980000000</v>
      </c>
      <c r="L4499" s="188">
        <v>1138000000</v>
      </c>
      <c r="M4499" s="194">
        <f>L4499/P4499</f>
        <v>5.0410533104588229</v>
      </c>
      <c r="N4499" s="190">
        <f>J4499/L4499</f>
        <v>0.14235500878734622</v>
      </c>
      <c r="O4499" s="190">
        <f>(I4499*0.7)/(K4499+L4499)</f>
        <v>8.7252124645892354E-2</v>
      </c>
      <c r="P4499" s="188">
        <v>225746472</v>
      </c>
      <c r="Q4499" s="188">
        <f>P4499*E4499</f>
        <v>5609799829.2000008</v>
      </c>
      <c r="R4499" s="195">
        <f>Q4499/L4499</f>
        <v>4.9295253332161693</v>
      </c>
      <c r="S4499" s="197">
        <f>(Q4499+K4499)/H4499</f>
        <v>11.873513205765768</v>
      </c>
      <c r="T4499" s="180"/>
      <c r="U4499" s="189">
        <f>IFERROR(IF(Tableau3[[#This Row],[Dettes]]=0,"",(Tableau3[[#This Row],[Dettes]]/Tableau3[[#This Row],[EBE]])),"")</f>
        <v>1.7657657657657657</v>
      </c>
      <c r="V4499" s="190" t="str">
        <f>IFERROR(Tableau3[[#This Row],[Fonds propres]]/Tableau3[[#This Row],[Total Bilan]],"")</f>
        <v/>
      </c>
      <c r="W4499" s="180"/>
      <c r="Y4499" s="180">
        <v>20300</v>
      </c>
      <c r="Z4499" s="192">
        <f>IFERROR(Tableau3[[#This Row],[Chiffre d''affaires]]/Tableau3[[#This Row],[Salariés]],"")</f>
        <v>114482.75862068965</v>
      </c>
      <c r="AC4499" s="177" t="s">
        <v>3130</v>
      </c>
    </row>
    <row r="4500" spans="1:29" ht="20.25" customHeight="1">
      <c r="A4500" s="217"/>
      <c r="G4500" s="202">
        <f>(G4499/G4501)-1</f>
        <v>2.831858407079646E-2</v>
      </c>
      <c r="H4500" s="202">
        <f>(H4499/H4501)-1</f>
        <v>6.321839080459779E-2</v>
      </c>
      <c r="I4500" s="202">
        <f>(I4499/I4501)-1</f>
        <v>5.1792828685258918E-2</v>
      </c>
      <c r="J4500" s="202">
        <f>(J4499/J4501)-1</f>
        <v>4.5161290322580649E-2</v>
      </c>
      <c r="K4500" s="178"/>
      <c r="L4500" s="188"/>
      <c r="M4500" s="178"/>
      <c r="N4500" s="178"/>
      <c r="O4500" s="178"/>
      <c r="P4500" s="178"/>
      <c r="Q4500" s="178"/>
      <c r="R4500" s="178"/>
      <c r="S4500" s="178"/>
      <c r="T4500" s="180"/>
      <c r="U4500" s="189" t="str">
        <f>IFERROR(IF(Tableau3[[#This Row],[Dettes]]=0,"",(Tableau3[[#This Row],[Dettes]]/Tableau3[[#This Row],[EBE]])),"")</f>
        <v/>
      </c>
      <c r="V4500" s="190" t="str">
        <f>IFERROR(Tableau3[[#This Row],[Fonds propres]]/Tableau3[[#This Row],[Total Bilan]],"")</f>
        <v/>
      </c>
      <c r="W4500" s="180"/>
      <c r="Y4500" s="180"/>
      <c r="Z4500" s="192" t="str">
        <f>IFERROR(Tableau3[[#This Row],[Chiffre d''affaires]]/Tableau3[[#This Row],[Salariés]],"")</f>
        <v/>
      </c>
      <c r="AC4500" s="177" t="s">
        <v>3131</v>
      </c>
    </row>
    <row r="4501" spans="1:29" ht="20.25" customHeight="1">
      <c r="A4501" s="217"/>
      <c r="E4501" s="178">
        <v>31.3</v>
      </c>
      <c r="F4501" s="178">
        <v>2023</v>
      </c>
      <c r="G4501" s="188">
        <v>2260000000</v>
      </c>
      <c r="H4501" s="188">
        <v>522000000</v>
      </c>
      <c r="I4501" s="188">
        <v>251000000</v>
      </c>
      <c r="J4501" s="188">
        <v>155000000</v>
      </c>
      <c r="K4501" s="188">
        <v>852130000</v>
      </c>
      <c r="L4501" s="188">
        <v>1101000000</v>
      </c>
      <c r="M4501" s="194">
        <f>L4501/P4501</f>
        <v>4.877152631647772</v>
      </c>
      <c r="N4501" s="190">
        <f>J4501/L4501</f>
        <v>0.1407811080835604</v>
      </c>
      <c r="O4501" s="190">
        <f>(I4501*0.7)/(K4501+L4501)</f>
        <v>8.9958169707085547E-2</v>
      </c>
      <c r="P4501" s="188">
        <v>225746472</v>
      </c>
      <c r="Q4501" s="188">
        <f>P4501*E4501</f>
        <v>7065864573.6000004</v>
      </c>
      <c r="R4501" s="195">
        <f>Q4501/L4501</f>
        <v>6.4176789950953683</v>
      </c>
      <c r="S4501" s="197">
        <f>(Q4501+K4501)/H4501</f>
        <v>15.16857198007663</v>
      </c>
      <c r="T4501" s="180"/>
      <c r="U4501" s="189">
        <f>IFERROR(IF(Tableau3[[#This Row],[Dettes]]=0,"",(Tableau3[[#This Row],[Dettes]]/Tableau3[[#This Row],[EBE]])),"")</f>
        <v>1.6324329501915709</v>
      </c>
      <c r="V4501" s="190">
        <f>IFERROR(Tableau3[[#This Row],[Fonds propres]]/Tableau3[[#This Row],[Total Bilan]],"")</f>
        <v>0.44916060816591119</v>
      </c>
      <c r="W4501" s="180">
        <v>2451239000</v>
      </c>
      <c r="Y4501" s="180">
        <v>20300</v>
      </c>
      <c r="Z4501" s="192">
        <f>IFERROR(Tableau3[[#This Row],[Chiffre d''affaires]]/Tableau3[[#This Row],[Salariés]],"")</f>
        <v>111330.04926108374</v>
      </c>
      <c r="AC4501" s="177" t="s">
        <v>3132</v>
      </c>
    </row>
    <row r="4502" spans="1:29" ht="20.25" customHeight="1">
      <c r="A4502" s="217"/>
      <c r="G4502" s="202">
        <f>(G4501/G4503)-1</f>
        <v>6.6490491246283812E-2</v>
      </c>
      <c r="H4502" s="202">
        <f>(H4501/H4503)-1</f>
        <v>-6.2821245002855353E-3</v>
      </c>
      <c r="I4502" s="202">
        <f>(I4501/I4503)-1</f>
        <v>-0.12096378791062545</v>
      </c>
      <c r="J4502" s="202">
        <f>(J4501/J4503)-1</f>
        <v>-0.15439170758319698</v>
      </c>
      <c r="K4502" s="178"/>
      <c r="L4502" s="178"/>
      <c r="M4502" s="178"/>
      <c r="N4502" s="178"/>
      <c r="O4502" s="178"/>
      <c r="P4502" s="178"/>
      <c r="Q4502" s="178"/>
      <c r="R4502" s="178"/>
      <c r="S4502" s="178"/>
      <c r="T4502" s="180"/>
      <c r="U4502" s="189" t="str">
        <f>IFERROR(IF(Tableau3[[#This Row],[Dettes]]=0,"",(Tableau3[[#This Row],[Dettes]]/Tableau3[[#This Row],[EBE]])),"")</f>
        <v/>
      </c>
      <c r="V4502" s="190" t="str">
        <f>IFERROR(Tableau3[[#This Row],[Fonds propres]]/Tableau3[[#This Row],[Total Bilan]],"")</f>
        <v/>
      </c>
      <c r="W4502" s="180"/>
      <c r="Y4502" s="180"/>
      <c r="Z4502" s="192" t="str">
        <f>IFERROR(Tableau3[[#This Row],[Chiffre d''affaires]]/Tableau3[[#This Row],[Salariés]],"")</f>
        <v/>
      </c>
      <c r="AC4502" s="177" t="s">
        <v>3133</v>
      </c>
    </row>
    <row r="4503" spans="1:29" ht="20.25" customHeight="1">
      <c r="A4503" s="217"/>
      <c r="E4503" s="187">
        <v>27.82</v>
      </c>
      <c r="F4503" s="178">
        <v>2022</v>
      </c>
      <c r="G4503" s="188">
        <v>2119100000</v>
      </c>
      <c r="H4503" s="188">
        <v>525300000</v>
      </c>
      <c r="I4503" s="188">
        <v>285540000</v>
      </c>
      <c r="J4503" s="188">
        <v>183300000</v>
      </c>
      <c r="K4503" s="188">
        <v>830000000</v>
      </c>
      <c r="L4503" s="188">
        <v>1040350000</v>
      </c>
      <c r="M4503" s="194">
        <f>L4503/P4503</f>
        <v>4.6328940778846341</v>
      </c>
      <c r="N4503" s="190">
        <f>J4503/L4503</f>
        <v>0.1761907050511847</v>
      </c>
      <c r="O4503" s="190">
        <f>(I4503*0.7)/(K4503+L4503)</f>
        <v>0.10686662924051649</v>
      </c>
      <c r="P4503" s="188">
        <v>224557260</v>
      </c>
      <c r="Q4503" s="188">
        <f>P4503*E4503</f>
        <v>6247182973.1999998</v>
      </c>
      <c r="R4503" s="195">
        <f>Q4503/L4503</f>
        <v>6.0048858299610703</v>
      </c>
      <c r="S4503" s="197">
        <f>(Q4503+K4503)/H4503</f>
        <v>13.4726498633162</v>
      </c>
      <c r="T4503" s="180">
        <v>264840000</v>
      </c>
      <c r="U4503" s="189">
        <f>IFERROR(IF(Tableau3[[#This Row],[Dettes]]=0,"",(Tableau3[[#This Row],[Dettes]]/Tableau3[[#This Row],[EBE]])),"")</f>
        <v>1.580049495526366</v>
      </c>
      <c r="V4503" s="190">
        <f>IFERROR(Tableau3[[#This Row],[Fonds propres]]/Tableau3[[#This Row],[Total Bilan]],"")</f>
        <v>0.44492695174893693</v>
      </c>
      <c r="W4503" s="180">
        <v>2338249000</v>
      </c>
      <c r="Y4503" s="180">
        <v>19400</v>
      </c>
      <c r="Z4503" s="192">
        <f>IFERROR(Tableau3[[#This Row],[Chiffre d''affaires]]/Tableau3[[#This Row],[Salariés]],"")</f>
        <v>109231.9587628866</v>
      </c>
      <c r="AC4503" s="177" t="s">
        <v>3134</v>
      </c>
    </row>
    <row r="4504" spans="1:29" ht="20.25" customHeight="1">
      <c r="A4504" s="217"/>
      <c r="E4504" s="187"/>
      <c r="G4504" s="202">
        <f>(G4503/G4505)-1</f>
        <v>8.7777834813407951E-2</v>
      </c>
      <c r="H4504" s="202">
        <f>(H4503/H4505)-1</f>
        <v>8.8028169014084501E-2</v>
      </c>
      <c r="I4504" s="202">
        <f>(I4503/I4505)-1</f>
        <v>7.7631429973204602E-2</v>
      </c>
      <c r="J4504" s="202">
        <f>(J4503/J4505)-1</f>
        <v>4.6232876712328785E-2</v>
      </c>
      <c r="K4504" s="188"/>
      <c r="L4504" s="188"/>
      <c r="M4504" s="178"/>
      <c r="N4504" s="178"/>
      <c r="O4504" s="178"/>
      <c r="P4504" s="188"/>
      <c r="Q4504" s="178"/>
      <c r="R4504" s="178"/>
      <c r="S4504" s="178"/>
      <c r="T4504" s="180"/>
      <c r="U4504" s="189" t="str">
        <f>IFERROR(IF(Tableau3[[#This Row],[Dettes]]=0,"",(Tableau3[[#This Row],[Dettes]]/Tableau3[[#This Row],[EBE]])),"")</f>
        <v/>
      </c>
      <c r="V4504" s="190" t="str">
        <f>IFERROR(Tableau3[[#This Row],[Fonds propres]]/Tableau3[[#This Row],[Total Bilan]],"")</f>
        <v/>
      </c>
      <c r="W4504" s="180"/>
      <c r="Y4504" s="180"/>
      <c r="Z4504" s="192" t="str">
        <f>IFERROR(Tableau3[[#This Row],[Chiffre d''affaires]]/Tableau3[[#This Row],[Salariés]],"")</f>
        <v/>
      </c>
      <c r="AC4504" s="177" t="s">
        <v>572</v>
      </c>
    </row>
    <row r="4505" spans="1:29" ht="20.25" customHeight="1">
      <c r="A4505" s="217"/>
      <c r="E4505" s="187">
        <v>47.45</v>
      </c>
      <c r="F4505" s="178">
        <v>2021</v>
      </c>
      <c r="G4505" s="188">
        <v>1948100000</v>
      </c>
      <c r="H4505" s="188">
        <v>482800000</v>
      </c>
      <c r="I4505" s="188">
        <v>264970000</v>
      </c>
      <c r="J4505" s="188">
        <v>175200000</v>
      </c>
      <c r="K4505" s="188">
        <v>871200000</v>
      </c>
      <c r="L4505" s="188">
        <v>927281000</v>
      </c>
      <c r="M4505" s="194">
        <f>L4505/P4505</f>
        <v>4.1215919885241998</v>
      </c>
      <c r="N4505" s="190">
        <f>J4505/L4505</f>
        <v>0.18893949083395434</v>
      </c>
      <c r="O4505" s="190">
        <f>(I4505*0.7)/(K4505+L4505)</f>
        <v>0.1031309199263156</v>
      </c>
      <c r="P4505" s="188">
        <v>224981270</v>
      </c>
      <c r="Q4505" s="188">
        <f>P4505*E4505</f>
        <v>10675361261.5</v>
      </c>
      <c r="R4505" s="195">
        <f>Q4505/L4505</f>
        <v>11.512541787764443</v>
      </c>
      <c r="S4505" s="197">
        <f>(Q4505+K4505)/H4505</f>
        <v>23.915826970795361</v>
      </c>
      <c r="T4505" s="180">
        <v>-71240000</v>
      </c>
      <c r="U4505" s="189">
        <f>IFERROR(IF(Tableau3[[#This Row],[Dettes]]=0,"",(Tableau3[[#This Row],[Dettes]]/Tableau3[[#This Row],[EBE]])),"")</f>
        <v>1.8044739022369511</v>
      </c>
      <c r="V4505" s="190" t="str">
        <f>IFERROR(Tableau3[[#This Row],[Fonds propres]]/Tableau3[[#This Row],[Total Bilan]],"")</f>
        <v/>
      </c>
      <c r="W4505" s="180"/>
      <c r="Y4505" s="180"/>
      <c r="Z4505" s="192" t="str">
        <f>IFERROR(Tableau3[[#This Row],[Chiffre d''affaires]]/Tableau3[[#This Row],[Salariés]],"")</f>
        <v/>
      </c>
      <c r="AC4505" s="177" t="s">
        <v>3135</v>
      </c>
    </row>
    <row r="4506" spans="1:29" ht="20.25" customHeight="1">
      <c r="A4506" s="217"/>
      <c r="E4506" s="187"/>
      <c r="G4506" s="202">
        <f>(G4505/G4507)-1</f>
        <v>0.2958823920707776</v>
      </c>
      <c r="H4506" s="202">
        <f>(H4505/H4507)-1</f>
        <v>0.3198469108802624</v>
      </c>
      <c r="I4506" s="202">
        <f>(I4505/I4507)-1</f>
        <v>0.58769249206063878</v>
      </c>
      <c r="J4506" s="202">
        <f>(J4505/J4507)-1</f>
        <v>0.81366459627329202</v>
      </c>
      <c r="K4506" s="188"/>
      <c r="L4506" s="188"/>
      <c r="M4506" s="178"/>
      <c r="N4506" s="178"/>
      <c r="O4506" s="178"/>
      <c r="P4506" s="188"/>
      <c r="Q4506" s="178"/>
      <c r="R4506" s="178"/>
      <c r="S4506" s="178"/>
      <c r="T4506" s="180"/>
      <c r="U4506" s="189" t="str">
        <f>IFERROR(IF(Tableau3[[#This Row],[Dettes]]=0,"",(Tableau3[[#This Row],[Dettes]]/Tableau3[[#This Row],[EBE]])),"")</f>
        <v/>
      </c>
      <c r="V4506" s="190" t="str">
        <f>IFERROR(Tableau3[[#This Row],[Fonds propres]]/Tableau3[[#This Row],[Total Bilan]],"")</f>
        <v/>
      </c>
      <c r="W4506" s="180"/>
      <c r="Y4506" s="180"/>
      <c r="Z4506" s="192" t="str">
        <f>IFERROR(Tableau3[[#This Row],[Chiffre d''affaires]]/Tableau3[[#This Row],[Salariés]],"")</f>
        <v/>
      </c>
      <c r="AC4506" s="177" t="s">
        <v>2695</v>
      </c>
    </row>
    <row r="4507" spans="1:29" ht="20.25" customHeight="1">
      <c r="A4507" s="217"/>
      <c r="E4507" s="187">
        <v>34.04</v>
      </c>
      <c r="F4507" s="178">
        <v>2020</v>
      </c>
      <c r="G4507" s="188">
        <v>1503300000</v>
      </c>
      <c r="H4507" s="188">
        <v>365800000</v>
      </c>
      <c r="I4507" s="188">
        <v>166890000</v>
      </c>
      <c r="J4507" s="188">
        <v>96600000</v>
      </c>
      <c r="K4507" s="188">
        <v>633700000</v>
      </c>
      <c r="L4507" s="188">
        <v>800883000</v>
      </c>
      <c r="M4507" s="194">
        <f>L4507/P4507</f>
        <v>3.5786029247820008</v>
      </c>
      <c r="N4507" s="190">
        <f>J4507/L4507</f>
        <v>0.120616869130697</v>
      </c>
      <c r="O4507" s="190">
        <f>(I4507*0.7)/(K4507+L4507)</f>
        <v>8.1433420025191994E-2</v>
      </c>
      <c r="P4507" s="188">
        <v>223797671</v>
      </c>
      <c r="Q4507" s="188">
        <f>P4507*E4507</f>
        <v>7618072720.8400002</v>
      </c>
      <c r="R4507" s="195">
        <f>Q4507/L4507</f>
        <v>9.5120919295827235</v>
      </c>
      <c r="S4507" s="197">
        <f>(Q4507+K4507)/H4507</f>
        <v>22.558153966211044</v>
      </c>
      <c r="T4507" s="180">
        <v>257190000</v>
      </c>
      <c r="U4507" s="189">
        <f>IFERROR(IF(Tableau3[[#This Row],[Dettes]]=0,"",(Tableau3[[#This Row],[Dettes]]/Tableau3[[#This Row],[EBE]])),"")</f>
        <v>1.7323674138873701</v>
      </c>
      <c r="V4507" s="190" t="str">
        <f>IFERROR(Tableau3[[#This Row],[Fonds propres]]/Tableau3[[#This Row],[Total Bilan]],"")</f>
        <v/>
      </c>
      <c r="W4507" s="180"/>
      <c r="Y4507" s="180"/>
      <c r="Z4507" s="192" t="str">
        <f>IFERROR(Tableau3[[#This Row],[Chiffre d''affaires]]/Tableau3[[#This Row],[Salariés]],"")</f>
        <v/>
      </c>
      <c r="AC4507" s="177" t="s">
        <v>3126</v>
      </c>
    </row>
    <row r="4508" spans="1:29" ht="20.25" customHeight="1">
      <c r="A4508" s="217"/>
      <c r="E4508" s="187"/>
      <c r="G4508" s="202">
        <f>(G4507/G4509)-1</f>
        <v>-0.13209398995439059</v>
      </c>
      <c r="H4508" s="202">
        <f>(H4507/H4509)-1</f>
        <v>-6.8737270875763756E-2</v>
      </c>
      <c r="I4508" s="202">
        <f>(I4507/I4509)-1</f>
        <v>-0.17528167622059698</v>
      </c>
      <c r="J4508" s="202">
        <f>(J4507/J4509)-1</f>
        <v>-0.23996852871754526</v>
      </c>
      <c r="K4508" s="188"/>
      <c r="L4508" s="178"/>
      <c r="M4508" s="178"/>
      <c r="N4508" s="178"/>
      <c r="O4508" s="178"/>
      <c r="P4508" s="188"/>
      <c r="Q4508" s="178"/>
      <c r="R4508" s="178"/>
      <c r="S4508" s="178"/>
      <c r="T4508" s="180"/>
      <c r="U4508" s="189" t="str">
        <f>IFERROR(IF(Tableau3[[#This Row],[Dettes]]=0,"",(Tableau3[[#This Row],[Dettes]]/Tableau3[[#This Row],[EBE]])),"")</f>
        <v/>
      </c>
      <c r="V4508" s="190" t="str">
        <f>IFERROR(Tableau3[[#This Row],[Fonds propres]]/Tableau3[[#This Row],[Total Bilan]],"")</f>
        <v/>
      </c>
      <c r="W4508" s="180"/>
      <c r="Y4508" s="180"/>
      <c r="Z4508" s="192" t="str">
        <f>IFERROR(Tableau3[[#This Row],[Chiffre d''affaires]]/Tableau3[[#This Row],[Salariés]],"")</f>
        <v/>
      </c>
    </row>
    <row r="4509" spans="1:29" ht="20.25" customHeight="1">
      <c r="A4509" s="217"/>
      <c r="E4509" s="187">
        <v>25.64</v>
      </c>
      <c r="F4509" s="178">
        <v>2019</v>
      </c>
      <c r="G4509" s="188">
        <v>1732100000</v>
      </c>
      <c r="H4509" s="188">
        <v>392800000</v>
      </c>
      <c r="I4509" s="188">
        <v>202360000</v>
      </c>
      <c r="J4509" s="188">
        <v>127100000</v>
      </c>
      <c r="K4509" s="188">
        <v>786700000</v>
      </c>
      <c r="L4509" s="188">
        <v>695031000</v>
      </c>
      <c r="M4509" s="194">
        <f>L4509/P4509</f>
        <v>3.132694153706459</v>
      </c>
      <c r="N4509" s="190">
        <f>J4509/L4509</f>
        <v>0.18286954107082992</v>
      </c>
      <c r="O4509" s="190">
        <f>(I4509*0.7)/(K4509+L4509)</f>
        <v>9.5598998738637447E-2</v>
      </c>
      <c r="P4509" s="188">
        <v>221863663</v>
      </c>
      <c r="Q4509" s="188">
        <f>P4509*E4509</f>
        <v>5688584319.3199997</v>
      </c>
      <c r="R4509" s="195">
        <f>Q4509/L4509</f>
        <v>8.1846483384482127</v>
      </c>
      <c r="S4509" s="197">
        <f>(Q4509+K4509)/H4509</f>
        <v>16.484939713136455</v>
      </c>
      <c r="T4509" s="180">
        <v>159340000</v>
      </c>
      <c r="U4509" s="189">
        <f>IFERROR(IF(Tableau3[[#This Row],[Dettes]]=0,"",(Tableau3[[#This Row],[Dettes]]/Tableau3[[#This Row],[EBE]])),"")</f>
        <v>2.0028004073319754</v>
      </c>
      <c r="V4509" s="190" t="str">
        <f>IFERROR(Tableau3[[#This Row],[Fonds propres]]/Tableau3[[#This Row],[Total Bilan]],"")</f>
        <v/>
      </c>
      <c r="W4509" s="180"/>
      <c r="Y4509" s="180"/>
      <c r="Z4509" s="192" t="str">
        <f>IFERROR(Tableau3[[#This Row],[Chiffre d''affaires]]/Tableau3[[#This Row],[Salariés]],"")</f>
        <v/>
      </c>
    </row>
    <row r="4510" spans="1:29" ht="20.25" customHeight="1">
      <c r="A4510" s="217"/>
      <c r="E4510" s="187"/>
      <c r="G4510" s="202">
        <f>(G4509/G4511)-1</f>
        <v>0.27154602848333576</v>
      </c>
      <c r="H4510" s="202">
        <f>(H4509/H4511)-1</f>
        <v>0.67935014963659679</v>
      </c>
      <c r="I4510" s="202">
        <f>(I4509/I4511)-1</f>
        <v>0.24444991082959233</v>
      </c>
      <c r="J4510" s="202">
        <f>(J4509/J4511)-1</f>
        <v>0.18674136321195145</v>
      </c>
      <c r="K4510" s="188"/>
      <c r="L4510" s="178"/>
      <c r="M4510" s="178"/>
      <c r="N4510" s="178"/>
      <c r="O4510" s="178"/>
      <c r="P4510" s="188"/>
      <c r="Q4510" s="178"/>
      <c r="R4510" s="178"/>
      <c r="S4510" s="178"/>
      <c r="T4510" s="180"/>
      <c r="U4510" s="189" t="str">
        <f>IFERROR(IF(Tableau3[[#This Row],[Dettes]]=0,"",(Tableau3[[#This Row],[Dettes]]/Tableau3[[#This Row],[EBE]])),"")</f>
        <v/>
      </c>
      <c r="V4510" s="190" t="str">
        <f>IFERROR(Tableau3[[#This Row],[Fonds propres]]/Tableau3[[#This Row],[Total Bilan]],"")</f>
        <v/>
      </c>
      <c r="W4510" s="180"/>
      <c r="Y4510" s="180"/>
      <c r="Z4510" s="192" t="str">
        <f>IFERROR(Tableau3[[#This Row],[Chiffre d''affaires]]/Tableau3[[#This Row],[Salariés]],"")</f>
        <v/>
      </c>
    </row>
    <row r="4511" spans="1:29" ht="20.25" customHeight="1">
      <c r="A4511" s="217"/>
      <c r="E4511" s="187">
        <v>14.05</v>
      </c>
      <c r="F4511" s="178">
        <v>2018</v>
      </c>
      <c r="G4511" s="188">
        <v>1362200000</v>
      </c>
      <c r="H4511" s="188">
        <v>233900000</v>
      </c>
      <c r="I4511" s="188">
        <v>162610000</v>
      </c>
      <c r="J4511" s="188">
        <v>107100000</v>
      </c>
      <c r="K4511" s="188">
        <v>840900000</v>
      </c>
      <c r="L4511" s="188">
        <v>594519000</v>
      </c>
      <c r="M4511" s="194">
        <f>L4511/P4511</f>
        <v>2.7053294935051504</v>
      </c>
      <c r="N4511" s="190">
        <f>J4511/L4511</f>
        <v>0.1801456303330928</v>
      </c>
      <c r="O4511" s="190">
        <f>(I4511*0.7)/(K4511+L4511)</f>
        <v>7.929879707597573E-2</v>
      </c>
      <c r="P4511" s="188">
        <v>219758444</v>
      </c>
      <c r="Q4511" s="188">
        <f>P4511*E4511</f>
        <v>3087606138.2000003</v>
      </c>
      <c r="R4511" s="195">
        <f>Q4511/L4511</f>
        <v>5.1934524181733472</v>
      </c>
      <c r="S4511" s="197">
        <f>(Q4511+K4511)/H4511</f>
        <v>16.79566540487388</v>
      </c>
      <c r="T4511" s="180">
        <v>132620000</v>
      </c>
      <c r="U4511" s="189">
        <f>IFERROR(IF(Tableau3[[#This Row],[Dettes]]=0,"",(Tableau3[[#This Row],[Dettes]]/Tableau3[[#This Row],[EBE]])),"")</f>
        <v>3.5951261222744764</v>
      </c>
      <c r="V4511" s="190" t="str">
        <f>IFERROR(Tableau3[[#This Row],[Fonds propres]]/Tableau3[[#This Row],[Total Bilan]],"")</f>
        <v/>
      </c>
      <c r="W4511" s="180"/>
      <c r="Y4511" s="180"/>
      <c r="Z4511" s="192" t="str">
        <f>IFERROR(Tableau3[[#This Row],[Chiffre d''affaires]]/Tableau3[[#This Row],[Salariés]],"")</f>
        <v/>
      </c>
    </row>
    <row r="4512" spans="1:29" ht="20.25" customHeight="1">
      <c r="A4512" s="217"/>
      <c r="G4512" s="188"/>
      <c r="H4512" s="188"/>
      <c r="I4512" s="178"/>
      <c r="J4512" s="178"/>
      <c r="K4512" s="178"/>
      <c r="L4512" s="178"/>
      <c r="M4512" s="178"/>
      <c r="N4512" s="178"/>
      <c r="O4512" s="178"/>
      <c r="P4512" s="188"/>
      <c r="Q4512" s="178"/>
      <c r="R4512" s="178"/>
      <c r="S4512" s="178"/>
      <c r="T4512" s="180"/>
      <c r="U4512" s="189" t="str">
        <f>IFERROR(IF(Tableau3[[#This Row],[Dettes]]=0,"",(Tableau3[[#This Row],[Dettes]]/Tableau3[[#This Row],[EBE]])),"")</f>
        <v/>
      </c>
      <c r="V4512" s="190" t="str">
        <f>IFERROR(Tableau3[[#This Row],[Fonds propres]]/Tableau3[[#This Row],[Total Bilan]],"")</f>
        <v/>
      </c>
      <c r="W4512" s="180"/>
      <c r="Y4512" s="180"/>
      <c r="Z4512" s="192" t="str">
        <f>IFERROR(Tableau3[[#This Row],[Chiffre d''affaires]]/Tableau3[[#This Row],[Salariés]],"")</f>
        <v/>
      </c>
    </row>
    <row r="4513" spans="1:28" ht="20.25" customHeight="1">
      <c r="A4513" s="217"/>
      <c r="G4513" s="188"/>
      <c r="H4513" s="188"/>
      <c r="I4513" s="178"/>
      <c r="J4513" s="178"/>
      <c r="K4513" s="178"/>
      <c r="L4513" s="178"/>
      <c r="M4513" s="178"/>
      <c r="N4513" s="178"/>
      <c r="O4513" s="178"/>
      <c r="P4513" s="178"/>
      <c r="Q4513" s="178"/>
      <c r="R4513" s="178"/>
      <c r="S4513" s="178"/>
      <c r="T4513" s="180"/>
      <c r="U4513" s="189" t="str">
        <f>IFERROR(IF(Tableau3[[#This Row],[Dettes]]=0,"",(Tableau3[[#This Row],[Dettes]]/Tableau3[[#This Row],[EBE]])),"")</f>
        <v/>
      </c>
      <c r="V4513" s="190" t="str">
        <f>IFERROR(Tableau3[[#This Row],[Fonds propres]]/Tableau3[[#This Row],[Total Bilan]],"")</f>
        <v/>
      </c>
      <c r="W4513" s="180"/>
      <c r="Y4513" s="180"/>
      <c r="Z4513" s="192" t="str">
        <f>IFERROR(Tableau3[[#This Row],[Chiffre d''affaires]]/Tableau3[[#This Row],[Salariés]],"")</f>
        <v/>
      </c>
    </row>
    <row r="4514" spans="1:28" ht="20.25" customHeight="1">
      <c r="A4514" s="217"/>
      <c r="G4514" s="188"/>
      <c r="H4514" s="188"/>
      <c r="I4514" s="178"/>
      <c r="J4514" s="178"/>
      <c r="K4514" s="178"/>
      <c r="L4514" s="178"/>
      <c r="M4514" s="178"/>
      <c r="N4514" s="178"/>
      <c r="O4514" s="178"/>
      <c r="P4514" s="178"/>
      <c r="Q4514" s="178"/>
      <c r="R4514" s="178"/>
      <c r="S4514" s="178"/>
      <c r="T4514" s="180"/>
      <c r="U4514" s="189" t="str">
        <f>IFERROR(IF(Tableau3[[#This Row],[Dettes]]=0,"",(Tableau3[[#This Row],[Dettes]]/Tableau3[[#This Row],[EBE]])),"")</f>
        <v/>
      </c>
      <c r="V4514" s="190" t="str">
        <f>IFERROR(Tableau3[[#This Row],[Fonds propres]]/Tableau3[[#This Row],[Total Bilan]],"")</f>
        <v/>
      </c>
      <c r="W4514" s="180"/>
      <c r="Y4514" s="180"/>
      <c r="Z4514" s="192" t="str">
        <f>IFERROR(Tableau3[[#This Row],[Chiffre d''affaires]]/Tableau3[[#This Row],[Salariés]],"")</f>
        <v/>
      </c>
    </row>
    <row r="4515" spans="1:28" ht="20.25" customHeight="1">
      <c r="A4515" s="217" t="s">
        <v>1581</v>
      </c>
      <c r="B4515" s="216" t="s">
        <v>1582</v>
      </c>
      <c r="C4515" s="178" t="s">
        <v>1364</v>
      </c>
      <c r="D4515" s="178" t="s">
        <v>1365</v>
      </c>
      <c r="E4515" s="187"/>
      <c r="F4515" s="178">
        <v>2025</v>
      </c>
      <c r="G4515" s="188"/>
      <c r="H4515" s="188"/>
      <c r="I4515" s="188"/>
      <c r="J4515" s="188"/>
      <c r="K4515" s="188"/>
      <c r="L4515" s="188"/>
      <c r="M4515" s="188"/>
      <c r="N4515" s="188"/>
      <c r="O4515" s="188"/>
      <c r="P4515" s="188"/>
      <c r="Q4515" s="188"/>
      <c r="R4515" s="188"/>
      <c r="S4515" s="188"/>
      <c r="T4515" s="180"/>
      <c r="U4515" s="189" t="str">
        <f>IFERROR(IF(Tableau3[[#This Row],[Dettes]]=0,"",(Tableau3[[#This Row],[Dettes]]/Tableau3[[#This Row],[EBE]])),"")</f>
        <v/>
      </c>
      <c r="V4515" s="190" t="str">
        <f>IFERROR(Tableau3[[#This Row],[Fonds propres]]/Tableau3[[#This Row],[Total Bilan]],"")</f>
        <v/>
      </c>
      <c r="W4515" s="180"/>
      <c r="X4515" s="192"/>
      <c r="Y4515" s="180"/>
      <c r="Z4515" s="192" t="str">
        <f>IFERROR(Tableau3[[#This Row],[Chiffre d''affaires]]/Tableau3[[#This Row],[Salariés]],"")</f>
        <v/>
      </c>
      <c r="AA4515" s="188"/>
      <c r="AB4515" s="188"/>
    </row>
    <row r="4516" spans="1:28" ht="20.25" customHeight="1">
      <c r="A4516" s="217"/>
      <c r="E4516" s="187"/>
      <c r="G4516" s="188"/>
      <c r="H4516" s="188"/>
      <c r="I4516" s="188"/>
      <c r="J4516" s="188"/>
      <c r="K4516" s="188"/>
      <c r="L4516" s="188"/>
      <c r="M4516" s="188"/>
      <c r="N4516" s="188"/>
      <c r="O4516" s="188"/>
      <c r="P4516" s="188"/>
      <c r="Q4516" s="188"/>
      <c r="R4516" s="188"/>
      <c r="S4516" s="188"/>
      <c r="T4516" s="180"/>
      <c r="U4516" s="189" t="str">
        <f>IFERROR(IF(Tableau3[[#This Row],[Dettes]]=0,"",(Tableau3[[#This Row],[Dettes]]/Tableau3[[#This Row],[EBE]])),"")</f>
        <v/>
      </c>
      <c r="V4516" s="190" t="str">
        <f>IFERROR(Tableau3[[#This Row],[Fonds propres]]/Tableau3[[#This Row],[Total Bilan]],"")</f>
        <v/>
      </c>
      <c r="W4516" s="180"/>
      <c r="X4516" s="192"/>
      <c r="Y4516" s="180"/>
      <c r="Z4516" s="192" t="str">
        <f>IFERROR(Tableau3[[#This Row],[Chiffre d''affaires]]/Tableau3[[#This Row],[Salariés]],"")</f>
        <v/>
      </c>
      <c r="AA4516" s="188"/>
      <c r="AB4516" s="188"/>
    </row>
    <row r="4517" spans="1:28" ht="20.25" customHeight="1">
      <c r="A4517" s="217"/>
      <c r="E4517" s="187">
        <v>133.75</v>
      </c>
      <c r="F4517" s="178">
        <v>2024</v>
      </c>
      <c r="G4517" s="188"/>
      <c r="H4517" s="188"/>
      <c r="I4517" s="188"/>
      <c r="J4517" s="188"/>
      <c r="K4517" s="188"/>
      <c r="L4517" s="188"/>
      <c r="M4517" s="188"/>
      <c r="N4517" s="188"/>
      <c r="O4517" s="188"/>
      <c r="P4517" s="188"/>
      <c r="Q4517" s="188"/>
      <c r="R4517" s="188"/>
      <c r="S4517" s="188"/>
      <c r="T4517" s="180"/>
      <c r="U4517" s="189" t="str">
        <f>IFERROR(IF(Tableau3[[#This Row],[Dettes]]=0,"",(Tableau3[[#This Row],[Dettes]]/Tableau3[[#This Row],[EBE]])),"")</f>
        <v/>
      </c>
      <c r="V4517" s="190" t="str">
        <f>IFERROR(Tableau3[[#This Row],[Fonds propres]]/Tableau3[[#This Row],[Total Bilan]],"")</f>
        <v/>
      </c>
      <c r="W4517" s="180"/>
      <c r="X4517" s="192"/>
      <c r="Y4517" s="180"/>
      <c r="Z4517" s="192" t="str">
        <f>IFERROR(Tableau3[[#This Row],[Chiffre d''affaires]]/Tableau3[[#This Row],[Salariés]],"")</f>
        <v/>
      </c>
      <c r="AA4517" s="188"/>
      <c r="AB4517" s="188"/>
    </row>
    <row r="4518" spans="1:28" ht="20.25" customHeight="1">
      <c r="A4518" s="217"/>
      <c r="E4518" s="187"/>
      <c r="G4518" s="188"/>
      <c r="H4518" s="188"/>
      <c r="I4518" s="188"/>
      <c r="J4518" s="188"/>
      <c r="K4518" s="188"/>
      <c r="L4518" s="188"/>
      <c r="M4518" s="188"/>
      <c r="N4518" s="188"/>
      <c r="O4518" s="188"/>
      <c r="P4518" s="188"/>
      <c r="Q4518" s="188"/>
      <c r="R4518" s="188"/>
      <c r="S4518" s="188"/>
      <c r="T4518" s="180"/>
      <c r="U4518" s="189" t="str">
        <f>IFERROR(IF(Tableau3[[#This Row],[Dettes]]=0,"",(Tableau3[[#This Row],[Dettes]]/Tableau3[[#This Row],[EBE]])),"")</f>
        <v/>
      </c>
      <c r="V4518" s="190" t="str">
        <f>IFERROR(Tableau3[[#This Row],[Fonds propres]]/Tableau3[[#This Row],[Total Bilan]],"")</f>
        <v/>
      </c>
      <c r="W4518" s="180"/>
      <c r="X4518" s="192"/>
      <c r="Y4518" s="180"/>
      <c r="Z4518" s="192" t="str">
        <f>IFERROR(Tableau3[[#This Row],[Chiffre d''affaires]]/Tableau3[[#This Row],[Salariés]],"")</f>
        <v/>
      </c>
      <c r="AA4518" s="188"/>
      <c r="AB4518" s="188"/>
    </row>
    <row r="4519" spans="1:28" ht="20.25" customHeight="1">
      <c r="A4519" s="217"/>
      <c r="E4519" s="187">
        <v>152.94999999999999</v>
      </c>
      <c r="F4519" s="178">
        <v>2023</v>
      </c>
      <c r="G4519" s="188"/>
      <c r="H4519" s="188"/>
      <c r="I4519" s="178"/>
      <c r="J4519" s="178"/>
      <c r="K4519" s="178"/>
      <c r="L4519" s="178"/>
      <c r="M4519" s="188"/>
      <c r="N4519" s="188"/>
      <c r="O4519" s="188"/>
      <c r="P4519" s="188"/>
      <c r="Q4519" s="188"/>
      <c r="R4519" s="188"/>
      <c r="S4519" s="188"/>
      <c r="T4519" s="180"/>
      <c r="U4519" s="189" t="str">
        <f>IFERROR(IF(Tableau3[[#This Row],[Dettes]]=0,"",(Tableau3[[#This Row],[Dettes]]/Tableau3[[#This Row],[EBE]])),"")</f>
        <v/>
      </c>
      <c r="V4519" s="190" t="str">
        <f>IFERROR(Tableau3[[#This Row],[Fonds propres]]/Tableau3[[#This Row],[Total Bilan]],"")</f>
        <v/>
      </c>
      <c r="W4519" s="180"/>
      <c r="X4519" s="192"/>
      <c r="Y4519" s="180"/>
      <c r="Z4519" s="192" t="str">
        <f>IFERROR(Tableau3[[#This Row],[Chiffre d''affaires]]/Tableau3[[#This Row],[Salariés]],"")</f>
        <v/>
      </c>
      <c r="AA4519" s="188"/>
      <c r="AB4519" s="188"/>
    </row>
    <row r="4520" spans="1:28" ht="20.25" customHeight="1">
      <c r="A4520" s="217"/>
      <c r="G4520" s="188"/>
      <c r="H4520" s="188"/>
      <c r="I4520" s="178"/>
      <c r="J4520" s="178"/>
      <c r="K4520" s="178"/>
      <c r="L4520" s="178"/>
      <c r="M4520" s="188"/>
      <c r="N4520" s="188"/>
      <c r="O4520" s="188"/>
      <c r="P4520" s="188"/>
      <c r="Q4520" s="188"/>
      <c r="R4520" s="188"/>
      <c r="S4520" s="188"/>
      <c r="T4520" s="180"/>
      <c r="U4520" s="189" t="str">
        <f>IFERROR(IF(Tableau3[[#This Row],[Dettes]]=0,"",(Tableau3[[#This Row],[Dettes]]/Tableau3[[#This Row],[EBE]])),"")</f>
        <v/>
      </c>
      <c r="V4520" s="190" t="str">
        <f>IFERROR(Tableau3[[#This Row],[Fonds propres]]/Tableau3[[#This Row],[Total Bilan]],"")</f>
        <v/>
      </c>
      <c r="W4520" s="180"/>
      <c r="X4520" s="192"/>
      <c r="Y4520" s="180"/>
      <c r="Z4520" s="192" t="str">
        <f>IFERROR(Tableau3[[#This Row],[Chiffre d''affaires]]/Tableau3[[#This Row],[Salariés]],"")</f>
        <v/>
      </c>
      <c r="AA4520" s="188"/>
      <c r="AB4520" s="188"/>
    </row>
    <row r="4521" spans="1:28" ht="20.25" customHeight="1">
      <c r="A4521" s="217"/>
      <c r="E4521" s="187">
        <v>159</v>
      </c>
      <c r="F4521" s="178">
        <v>2022</v>
      </c>
      <c r="G4521" s="188">
        <v>18687000000</v>
      </c>
      <c r="H4521" s="188">
        <v>1560000000</v>
      </c>
      <c r="I4521" s="188">
        <v>1111000000</v>
      </c>
      <c r="J4521" s="188">
        <v>570000000</v>
      </c>
      <c r="K4521" s="188">
        <v>14561000000</v>
      </c>
      <c r="L4521" s="188">
        <v>6800000000</v>
      </c>
      <c r="M4521" s="188"/>
      <c r="N4521" s="188"/>
      <c r="O4521" s="188"/>
      <c r="P4521" s="188"/>
      <c r="Q4521" s="188"/>
      <c r="R4521" s="188"/>
      <c r="S4521" s="188"/>
      <c r="T4521" s="180"/>
      <c r="U4521" s="189">
        <f>IFERROR(IF(Tableau3[[#This Row],[Dettes]]=0,"",(Tableau3[[#This Row],[Dettes]]/Tableau3[[#This Row],[EBE]])),"")</f>
        <v>9.3339743589743591</v>
      </c>
      <c r="V4521" s="190" t="str">
        <f>IFERROR(Tableau3[[#This Row],[Fonds propres]]/Tableau3[[#This Row],[Total Bilan]],"")</f>
        <v/>
      </c>
      <c r="W4521" s="180"/>
      <c r="X4521" s="192"/>
      <c r="Y4521" s="180"/>
      <c r="Z4521" s="192" t="str">
        <f>IFERROR(Tableau3[[#This Row],[Chiffre d''affaires]]/Tableau3[[#This Row],[Salariés]],"")</f>
        <v/>
      </c>
      <c r="AA4521" s="188"/>
      <c r="AB4521" s="188"/>
    </row>
    <row r="4522" spans="1:28" ht="20.25" customHeight="1">
      <c r="A4522" s="217"/>
      <c r="E4522" s="187"/>
      <c r="G4522" s="188"/>
      <c r="H4522" s="188"/>
      <c r="I4522" s="188"/>
      <c r="J4522" s="188"/>
      <c r="K4522" s="188"/>
      <c r="L4522" s="178"/>
      <c r="M4522" s="188"/>
      <c r="N4522" s="188"/>
      <c r="O4522" s="188"/>
      <c r="P4522" s="188"/>
      <c r="Q4522" s="188"/>
      <c r="R4522" s="188"/>
      <c r="S4522" s="188"/>
      <c r="T4522" s="180"/>
      <c r="U4522" s="189" t="str">
        <f>IFERROR(IF(Tableau3[[#This Row],[Dettes]]=0,"",(Tableau3[[#This Row],[Dettes]]/Tableau3[[#This Row],[EBE]])),"")</f>
        <v/>
      </c>
      <c r="V4522" s="190" t="str">
        <f>IFERROR(Tableau3[[#This Row],[Fonds propres]]/Tableau3[[#This Row],[Total Bilan]],"")</f>
        <v/>
      </c>
      <c r="W4522" s="180"/>
      <c r="X4522" s="192"/>
      <c r="Y4522" s="180"/>
      <c r="Z4522" s="192" t="str">
        <f>IFERROR(Tableau3[[#This Row],[Chiffre d''affaires]]/Tableau3[[#This Row],[Salariés]],"")</f>
        <v/>
      </c>
      <c r="AA4522" s="188"/>
      <c r="AB4522" s="188"/>
    </row>
    <row r="4523" spans="1:28" ht="20.25" customHeight="1">
      <c r="A4523" s="217"/>
      <c r="E4523" s="187">
        <v>411</v>
      </c>
      <c r="F4523" s="178">
        <v>2021</v>
      </c>
      <c r="G4523" s="188">
        <v>15775000000</v>
      </c>
      <c r="H4523" s="188">
        <v>2619000000</v>
      </c>
      <c r="I4523" s="188">
        <v>2397000000</v>
      </c>
      <c r="J4523" s="188">
        <v>1790000000</v>
      </c>
      <c r="K4523" s="188">
        <v>4829000000</v>
      </c>
      <c r="L4523" s="188">
        <v>6225000000</v>
      </c>
      <c r="M4523" s="188"/>
      <c r="N4523" s="188"/>
      <c r="O4523" s="188"/>
      <c r="P4523" s="188"/>
      <c r="Q4523" s="188"/>
      <c r="R4523" s="188"/>
      <c r="S4523" s="188"/>
      <c r="T4523" s="180"/>
      <c r="U4523" s="189">
        <f>IFERROR(IF(Tableau3[[#This Row],[Dettes]]=0,"",(Tableau3[[#This Row],[Dettes]]/Tableau3[[#This Row],[EBE]])),"")</f>
        <v>1.8438335242458954</v>
      </c>
      <c r="V4523" s="190" t="str">
        <f>IFERROR(Tableau3[[#This Row],[Fonds propres]]/Tableau3[[#This Row],[Total Bilan]],"")</f>
        <v/>
      </c>
      <c r="W4523" s="180"/>
      <c r="X4523" s="192"/>
      <c r="Y4523" s="180"/>
      <c r="Z4523" s="192" t="str">
        <f>IFERROR(Tableau3[[#This Row],[Chiffre d''affaires]]/Tableau3[[#This Row],[Salariés]],"")</f>
        <v/>
      </c>
      <c r="AA4523" s="188"/>
      <c r="AB4523" s="188"/>
    </row>
    <row r="4524" spans="1:28" ht="20.25" customHeight="1">
      <c r="A4524" s="217"/>
      <c r="E4524" s="187"/>
      <c r="G4524" s="188"/>
      <c r="H4524" s="188"/>
      <c r="I4524" s="188"/>
      <c r="J4524" s="188"/>
      <c r="K4524" s="188"/>
      <c r="L4524" s="188"/>
      <c r="M4524" s="188"/>
      <c r="N4524" s="188"/>
      <c r="O4524" s="188"/>
      <c r="P4524" s="188"/>
      <c r="Q4524" s="188"/>
      <c r="R4524" s="188"/>
      <c r="S4524" s="188"/>
      <c r="T4524" s="180"/>
      <c r="U4524" s="189" t="str">
        <f>IFERROR(IF(Tableau3[[#This Row],[Dettes]]=0,"",(Tableau3[[#This Row],[Dettes]]/Tableau3[[#This Row],[EBE]])),"")</f>
        <v/>
      </c>
      <c r="V4524" s="190" t="str">
        <f>IFERROR(Tableau3[[#This Row],[Fonds propres]]/Tableau3[[#This Row],[Total Bilan]],"")</f>
        <v/>
      </c>
      <c r="W4524" s="180"/>
      <c r="X4524" s="192"/>
      <c r="Y4524" s="180"/>
      <c r="Z4524" s="192" t="str">
        <f>IFERROR(Tableau3[[#This Row],[Chiffre d''affaires]]/Tableau3[[#This Row],[Salariés]],"")</f>
        <v/>
      </c>
      <c r="AA4524" s="188"/>
      <c r="AB4524" s="188"/>
    </row>
    <row r="4525" spans="1:28" ht="20.25" customHeight="1">
      <c r="A4525" s="217"/>
      <c r="E4525" s="187"/>
      <c r="F4525" s="178">
        <v>2020</v>
      </c>
      <c r="G4525" s="188">
        <v>13449000000</v>
      </c>
      <c r="H4525" s="188"/>
      <c r="I4525" s="188"/>
      <c r="J4525" s="188"/>
      <c r="K4525" s="188">
        <v>3755000000</v>
      </c>
      <c r="L4525" s="188">
        <v>5178000000</v>
      </c>
      <c r="M4525" s="188"/>
      <c r="N4525" s="188"/>
      <c r="O4525" s="188"/>
      <c r="P4525" s="188"/>
      <c r="Q4525" s="188"/>
      <c r="R4525" s="188"/>
      <c r="S4525" s="188"/>
      <c r="T4525" s="180"/>
      <c r="U4525" s="189" t="str">
        <f>IFERROR(IF(Tableau3[[#This Row],[Dettes]]=0,"",(Tableau3[[#This Row],[Dettes]]/Tableau3[[#This Row],[EBE]])),"")</f>
        <v/>
      </c>
      <c r="V4525" s="190" t="str">
        <f>IFERROR(Tableau3[[#This Row],[Fonds propres]]/Tableau3[[#This Row],[Total Bilan]],"")</f>
        <v/>
      </c>
      <c r="W4525" s="180"/>
      <c r="X4525" s="192"/>
      <c r="Y4525" s="180"/>
      <c r="Z4525" s="192" t="str">
        <f>IFERROR(Tableau3[[#This Row],[Chiffre d''affaires]]/Tableau3[[#This Row],[Salariés]],"")</f>
        <v/>
      </c>
      <c r="AA4525" s="188"/>
      <c r="AB4525" s="188"/>
    </row>
    <row r="4526" spans="1:28" ht="20.25" customHeight="1">
      <c r="A4526" s="217"/>
      <c r="E4526" s="187"/>
      <c r="G4526" s="188"/>
      <c r="H4526" s="188"/>
      <c r="I4526" s="188"/>
      <c r="J4526" s="188"/>
      <c r="K4526" s="188"/>
      <c r="L4526" s="188"/>
      <c r="M4526" s="188"/>
      <c r="N4526" s="188"/>
      <c r="O4526" s="188"/>
      <c r="P4526" s="188"/>
      <c r="Q4526" s="188"/>
      <c r="R4526" s="188"/>
      <c r="S4526" s="188"/>
      <c r="T4526" s="180"/>
      <c r="U4526" s="189" t="str">
        <f>IFERROR(IF(Tableau3[[#This Row],[Dettes]]=0,"",(Tableau3[[#This Row],[Dettes]]/Tableau3[[#This Row],[EBE]])),"")</f>
        <v/>
      </c>
      <c r="V4526" s="190" t="str">
        <f>IFERROR(Tableau3[[#This Row],[Fonds propres]]/Tableau3[[#This Row],[Total Bilan]],"")</f>
        <v/>
      </c>
      <c r="W4526" s="180"/>
      <c r="X4526" s="192"/>
      <c r="Y4526" s="180"/>
      <c r="Z4526" s="192" t="str">
        <f>IFERROR(Tableau3[[#This Row],[Chiffre d''affaires]]/Tableau3[[#This Row],[Salariés]],"")</f>
        <v/>
      </c>
      <c r="AA4526" s="188"/>
      <c r="AB4526" s="188"/>
    </row>
    <row r="4527" spans="1:28" ht="20.25" customHeight="1">
      <c r="A4527" s="217"/>
      <c r="E4527" s="187"/>
      <c r="F4527" s="178">
        <v>2019</v>
      </c>
      <c r="G4527" s="188"/>
      <c r="H4527" s="188"/>
      <c r="I4527" s="188"/>
      <c r="J4527" s="188"/>
      <c r="K4527" s="188">
        <v>4805000000</v>
      </c>
      <c r="L4527" s="188">
        <v>4849000000</v>
      </c>
      <c r="M4527" s="188"/>
      <c r="N4527" s="188"/>
      <c r="O4527" s="188"/>
      <c r="P4527" s="188"/>
      <c r="Q4527" s="188"/>
      <c r="R4527" s="188"/>
      <c r="S4527" s="188"/>
      <c r="T4527" s="180"/>
      <c r="U4527" s="189" t="str">
        <f>IFERROR(IF(Tableau3[[#This Row],[Dettes]]=0,"",(Tableau3[[#This Row],[Dettes]]/Tableau3[[#This Row],[EBE]])),"")</f>
        <v/>
      </c>
      <c r="V4527" s="190" t="str">
        <f>IFERROR(Tableau3[[#This Row],[Fonds propres]]/Tableau3[[#This Row],[Total Bilan]],"")</f>
        <v/>
      </c>
      <c r="W4527" s="180"/>
      <c r="X4527" s="192"/>
      <c r="Y4527" s="180"/>
      <c r="Z4527" s="192" t="str">
        <f>IFERROR(Tableau3[[#This Row],[Chiffre d''affaires]]/Tableau3[[#This Row],[Salariés]],"")</f>
        <v/>
      </c>
      <c r="AA4527" s="188"/>
      <c r="AB4527" s="188"/>
    </row>
    <row r="4528" spans="1:28" ht="20.25" customHeight="1">
      <c r="A4528" s="217"/>
      <c r="E4528" s="234"/>
      <c r="G4528" s="188"/>
      <c r="H4528" s="188"/>
      <c r="I4528" s="188"/>
      <c r="J4528" s="188"/>
      <c r="K4528" s="188"/>
      <c r="L4528" s="188"/>
      <c r="M4528" s="188"/>
      <c r="N4528" s="188"/>
      <c r="O4528" s="188"/>
      <c r="P4528" s="188"/>
      <c r="Q4528" s="188"/>
      <c r="R4528" s="188"/>
      <c r="S4528" s="188"/>
      <c r="T4528" s="180"/>
      <c r="U4528" s="189" t="str">
        <f>IFERROR(IF(Tableau3[[#This Row],[Dettes]]=0,"",(Tableau3[[#This Row],[Dettes]]/Tableau3[[#This Row],[EBE]])),"")</f>
        <v/>
      </c>
      <c r="V4528" s="190" t="str">
        <f>IFERROR(Tableau3[[#This Row],[Fonds propres]]/Tableau3[[#This Row],[Total Bilan]],"")</f>
        <v/>
      </c>
      <c r="W4528" s="180"/>
      <c r="X4528" s="192"/>
      <c r="Y4528" s="180"/>
      <c r="Z4528" s="192" t="str">
        <f>IFERROR(Tableau3[[#This Row],[Chiffre d''affaires]]/Tableau3[[#This Row],[Salariés]],"")</f>
        <v/>
      </c>
      <c r="AA4528" s="188"/>
      <c r="AB4528" s="188"/>
    </row>
    <row r="4529" spans="1:29" ht="20.25" customHeight="1">
      <c r="A4529" s="217"/>
      <c r="E4529" s="234"/>
      <c r="F4529" s="178">
        <v>2018</v>
      </c>
      <c r="G4529" s="188"/>
      <c r="H4529" s="188"/>
      <c r="I4529" s="188"/>
      <c r="J4529" s="188"/>
      <c r="K4529" s="188">
        <v>2699000000</v>
      </c>
      <c r="L4529" s="188">
        <v>5096000000</v>
      </c>
      <c r="M4529" s="188"/>
      <c r="N4529" s="188"/>
      <c r="O4529" s="188"/>
      <c r="P4529" s="188"/>
      <c r="Q4529" s="188"/>
      <c r="R4529" s="188"/>
      <c r="S4529" s="188"/>
      <c r="T4529" s="180"/>
      <c r="U4529" s="189" t="str">
        <f>IFERROR(IF(Tableau3[[#This Row],[Dettes]]=0,"",(Tableau3[[#This Row],[Dettes]]/Tableau3[[#This Row],[EBE]])),"")</f>
        <v/>
      </c>
      <c r="V4529" s="190" t="str">
        <f>IFERROR(Tableau3[[#This Row],[Fonds propres]]/Tableau3[[#This Row],[Total Bilan]],"")</f>
        <v/>
      </c>
      <c r="W4529" s="180"/>
      <c r="X4529" s="192"/>
      <c r="Y4529" s="180"/>
      <c r="Z4529" s="192" t="str">
        <f>IFERROR(Tableau3[[#This Row],[Chiffre d''affaires]]/Tableau3[[#This Row],[Salariés]],"")</f>
        <v/>
      </c>
      <c r="AA4529" s="188"/>
      <c r="AB4529" s="188"/>
    </row>
    <row r="4530" spans="1:29" ht="20.25" customHeight="1">
      <c r="A4530" s="217"/>
      <c r="E4530" s="234"/>
      <c r="G4530" s="188"/>
      <c r="H4530" s="188"/>
      <c r="I4530" s="188"/>
      <c r="J4530" s="188"/>
      <c r="K4530" s="188"/>
      <c r="L4530" s="188"/>
      <c r="M4530" s="188"/>
      <c r="N4530" s="188"/>
      <c r="O4530" s="188"/>
      <c r="P4530" s="188"/>
      <c r="Q4530" s="188"/>
      <c r="R4530" s="188"/>
      <c r="S4530" s="188"/>
      <c r="T4530" s="180"/>
      <c r="U4530" s="189" t="str">
        <f>IFERROR(IF(Tableau3[[#This Row],[Dettes]]=0,"",(Tableau3[[#This Row],[Dettes]]/Tableau3[[#This Row],[EBE]])),"")</f>
        <v/>
      </c>
      <c r="V4530" s="190" t="str">
        <f>IFERROR(Tableau3[[#This Row],[Fonds propres]]/Tableau3[[#This Row],[Total Bilan]],"")</f>
        <v/>
      </c>
      <c r="W4530" s="180"/>
      <c r="X4530" s="192"/>
      <c r="Y4530" s="180"/>
      <c r="Z4530" s="192" t="str">
        <f>IFERROR(Tableau3[[#This Row],[Chiffre d''affaires]]/Tableau3[[#This Row],[Salariés]],"")</f>
        <v/>
      </c>
      <c r="AA4530" s="188"/>
      <c r="AB4530" s="188"/>
    </row>
    <row r="4531" spans="1:29" ht="20.25" customHeight="1">
      <c r="A4531" s="217"/>
      <c r="E4531" s="234"/>
      <c r="G4531" s="188"/>
      <c r="H4531" s="188"/>
      <c r="I4531" s="188"/>
      <c r="J4531" s="188"/>
      <c r="K4531" s="188"/>
      <c r="L4531" s="188"/>
      <c r="M4531" s="188"/>
      <c r="N4531" s="188"/>
      <c r="O4531" s="188"/>
      <c r="P4531" s="188"/>
      <c r="Q4531" s="188"/>
      <c r="R4531" s="188"/>
      <c r="S4531" s="188"/>
      <c r="T4531" s="180"/>
      <c r="U4531" s="189" t="str">
        <f>IFERROR(IF(Tableau3[[#This Row],[Dettes]]=0,"",(Tableau3[[#This Row],[Dettes]]/Tableau3[[#This Row],[EBE]])),"")</f>
        <v/>
      </c>
      <c r="V4531" s="190" t="str">
        <f>IFERROR(Tableau3[[#This Row],[Fonds propres]]/Tableau3[[#This Row],[Total Bilan]],"")</f>
        <v/>
      </c>
      <c r="W4531" s="180"/>
      <c r="X4531" s="192"/>
      <c r="Y4531" s="180"/>
      <c r="Z4531" s="192" t="str">
        <f>IFERROR(Tableau3[[#This Row],[Chiffre d''affaires]]/Tableau3[[#This Row],[Salariés]],"")</f>
        <v/>
      </c>
      <c r="AA4531" s="188"/>
      <c r="AB4531" s="188"/>
    </row>
    <row r="4532" spans="1:29" ht="20.25" customHeight="1">
      <c r="A4532" s="217"/>
      <c r="E4532" s="234"/>
      <c r="G4532" s="188"/>
      <c r="H4532" s="188"/>
      <c r="I4532" s="188"/>
      <c r="J4532" s="188"/>
      <c r="K4532" s="188"/>
      <c r="L4532" s="188"/>
      <c r="M4532" s="188"/>
      <c r="N4532" s="188"/>
      <c r="O4532" s="188"/>
      <c r="P4532" s="188"/>
      <c r="Q4532" s="188"/>
      <c r="R4532" s="188"/>
      <c r="S4532" s="188"/>
      <c r="T4532" s="180"/>
      <c r="U4532" s="189" t="str">
        <f>IFERROR(IF(Tableau3[[#This Row],[Dettes]]=0,"",(Tableau3[[#This Row],[Dettes]]/Tableau3[[#This Row],[EBE]])),"")</f>
        <v/>
      </c>
      <c r="V4532" s="190" t="str">
        <f>IFERROR(Tableau3[[#This Row],[Fonds propres]]/Tableau3[[#This Row],[Total Bilan]],"")</f>
        <v/>
      </c>
      <c r="W4532" s="180"/>
      <c r="X4532" s="192"/>
      <c r="Y4532" s="180"/>
      <c r="Z4532" s="192" t="str">
        <f>IFERROR(Tableau3[[#This Row],[Chiffre d''affaires]]/Tableau3[[#This Row],[Salariés]],"")</f>
        <v/>
      </c>
      <c r="AA4532" s="188"/>
      <c r="AB4532" s="188"/>
    </row>
    <row r="4533" spans="1:29" ht="20.25" customHeight="1">
      <c r="A4533" s="217"/>
      <c r="G4533" s="188"/>
      <c r="H4533" s="188"/>
      <c r="I4533" s="188"/>
      <c r="J4533" s="188"/>
      <c r="K4533" s="188"/>
      <c r="L4533" s="188"/>
      <c r="M4533" s="188"/>
      <c r="N4533" s="188"/>
      <c r="O4533" s="188"/>
      <c r="P4533" s="188"/>
      <c r="Q4533" s="188"/>
      <c r="R4533" s="188"/>
      <c r="S4533" s="188"/>
      <c r="T4533" s="180"/>
      <c r="U4533" s="189" t="str">
        <f>IFERROR(IF(Tableau3[[#This Row],[Dettes]]=0,"",(Tableau3[[#This Row],[Dettes]]/Tableau3[[#This Row],[EBE]])),"")</f>
        <v/>
      </c>
      <c r="V4533" s="190" t="str">
        <f>IFERROR(Tableau3[[#This Row],[Fonds propres]]/Tableau3[[#This Row],[Total Bilan]],"")</f>
        <v/>
      </c>
      <c r="W4533" s="180"/>
      <c r="X4533" s="192"/>
      <c r="Y4533" s="180"/>
      <c r="Z4533" s="192" t="str">
        <f>IFERROR(Tableau3[[#This Row],[Chiffre d''affaires]]/Tableau3[[#This Row],[Salariés]],"")</f>
        <v/>
      </c>
      <c r="AA4533" s="188"/>
      <c r="AB4533" s="188"/>
    </row>
    <row r="4534" spans="1:29" ht="20.25" customHeight="1">
      <c r="A4534" s="217"/>
      <c r="E4534" s="187"/>
      <c r="G4534" s="188"/>
      <c r="H4534" s="188"/>
      <c r="I4534" s="188"/>
      <c r="J4534" s="188"/>
      <c r="K4534" s="188"/>
      <c r="L4534" s="188"/>
      <c r="M4534" s="188"/>
      <c r="N4534" s="188"/>
      <c r="O4534" s="188"/>
      <c r="P4534" s="188"/>
      <c r="Q4534" s="188"/>
      <c r="R4534" s="188"/>
      <c r="S4534" s="188"/>
      <c r="T4534" s="180"/>
      <c r="U4534" s="189" t="str">
        <f>IFERROR(IF(Tableau3[[#This Row],[Dettes]]=0,"",(Tableau3[[#This Row],[Dettes]]/Tableau3[[#This Row],[EBE]])),"")</f>
        <v/>
      </c>
      <c r="V4534" s="190" t="str">
        <f>IFERROR(Tableau3[[#This Row],[Fonds propres]]/Tableau3[[#This Row],[Total Bilan]],"")</f>
        <v/>
      </c>
      <c r="W4534" s="180"/>
      <c r="X4534" s="192"/>
      <c r="Y4534" s="180"/>
      <c r="Z4534" s="192" t="str">
        <f>IFERROR(Tableau3[[#This Row],[Chiffre d''affaires]]/Tableau3[[#This Row],[Salariés]],"")</f>
        <v/>
      </c>
      <c r="AA4534" s="188"/>
      <c r="AB4534" s="188"/>
    </row>
    <row r="4535" spans="1:29" ht="20.25" customHeight="1">
      <c r="A4535" s="217"/>
      <c r="E4535" s="187"/>
      <c r="G4535" s="188"/>
      <c r="H4535" s="188"/>
      <c r="I4535" s="188"/>
      <c r="J4535" s="188"/>
      <c r="K4535" s="188"/>
      <c r="L4535" s="188"/>
      <c r="M4535" s="188"/>
      <c r="N4535" s="188"/>
      <c r="O4535" s="188"/>
      <c r="P4535" s="188"/>
      <c r="Q4535" s="188"/>
      <c r="R4535" s="188"/>
      <c r="S4535" s="188"/>
      <c r="T4535" s="180"/>
      <c r="U4535" s="189" t="str">
        <f>IFERROR(IF(Tableau3[[#This Row],[Dettes]]=0,"",(Tableau3[[#This Row],[Dettes]]/Tableau3[[#This Row],[EBE]])),"")</f>
        <v/>
      </c>
      <c r="V4535" s="190" t="str">
        <f>IFERROR(Tableau3[[#This Row],[Fonds propres]]/Tableau3[[#This Row],[Total Bilan]],"")</f>
        <v/>
      </c>
      <c r="W4535" s="180"/>
      <c r="X4535" s="192"/>
      <c r="Y4535" s="180"/>
      <c r="Z4535" s="192" t="str">
        <f>IFERROR(Tableau3[[#This Row],[Chiffre d''affaires]]/Tableau3[[#This Row],[Salariés]],"")</f>
        <v/>
      </c>
      <c r="AA4535" s="188"/>
      <c r="AB4535" s="188"/>
    </row>
    <row r="4536" spans="1:29" ht="20.25" customHeight="1">
      <c r="A4536" s="217" t="s">
        <v>1512</v>
      </c>
      <c r="B4536" s="216" t="s">
        <v>1513</v>
      </c>
      <c r="C4536" s="178" t="s">
        <v>84</v>
      </c>
      <c r="D4536" s="178" t="s">
        <v>85</v>
      </c>
      <c r="F4536" s="178">
        <v>2025</v>
      </c>
      <c r="G4536" s="188"/>
      <c r="H4536" s="178"/>
      <c r="I4536" s="178"/>
      <c r="J4536" s="178"/>
      <c r="K4536" s="178"/>
      <c r="L4536" s="178"/>
      <c r="M4536" s="178"/>
      <c r="N4536" s="178"/>
      <c r="O4536" s="178"/>
      <c r="P4536" s="178"/>
      <c r="Q4536" s="178"/>
      <c r="R4536" s="178"/>
      <c r="S4536" s="178"/>
      <c r="T4536" s="180"/>
      <c r="U4536" s="189" t="str">
        <f>IFERROR(IF(Tableau3[[#This Row],[Dettes]]=0,"",(Tableau3[[#This Row],[Dettes]]/Tableau3[[#This Row],[EBE]])),"")</f>
        <v/>
      </c>
      <c r="V4536" s="190" t="str">
        <f>IFERROR(Tableau3[[#This Row],[Fonds propres]]/Tableau3[[#This Row],[Total Bilan]],"")</f>
        <v/>
      </c>
      <c r="W4536" s="180"/>
      <c r="X4536" s="182" t="s">
        <v>3962</v>
      </c>
      <c r="Y4536" s="180"/>
      <c r="Z4536" s="192" t="str">
        <f>IFERROR(Tableau3[[#This Row],[Chiffre d''affaires]]/Tableau3[[#This Row],[Salariés]],"")</f>
        <v/>
      </c>
      <c r="AA4536" s="177"/>
      <c r="AC4536" s="177" t="s">
        <v>5165</v>
      </c>
    </row>
    <row r="4537" spans="1:29" ht="20.25" customHeight="1">
      <c r="G4537" s="188"/>
      <c r="H4537" s="178"/>
      <c r="I4537" s="178"/>
      <c r="J4537" s="178"/>
      <c r="K4537" s="178"/>
      <c r="L4537" s="178"/>
      <c r="M4537" s="178"/>
      <c r="N4537" s="178"/>
      <c r="O4537" s="178"/>
      <c r="P4537" s="178"/>
      <c r="Q4537" s="178"/>
      <c r="R4537" s="178"/>
      <c r="S4537" s="178"/>
      <c r="T4537" s="180"/>
      <c r="U4537" s="189" t="str">
        <f>IFERROR(IF(Tableau3[[#This Row],[Dettes]]=0,"",(Tableau3[[#This Row],[Dettes]]/Tableau3[[#This Row],[EBE]])),"")</f>
        <v/>
      </c>
      <c r="V4537" s="190" t="str">
        <f>IFERROR(Tableau3[[#This Row],[Fonds propres]]/Tableau3[[#This Row],[Total Bilan]],"")</f>
        <v/>
      </c>
      <c r="W4537" s="180"/>
      <c r="Y4537" s="180"/>
      <c r="Z4537" s="192" t="str">
        <f>IFERROR(Tableau3[[#This Row],[Chiffre d''affaires]]/Tableau3[[#This Row],[Salariés]],"")</f>
        <v/>
      </c>
      <c r="AA4537" s="177"/>
      <c r="AC4537" s="177" t="s">
        <v>5144</v>
      </c>
    </row>
    <row r="4538" spans="1:29" ht="20.25" customHeight="1">
      <c r="A4538" s="217"/>
      <c r="E4538" s="178">
        <v>232.3</v>
      </c>
      <c r="F4538" s="178">
        <v>2024</v>
      </c>
      <c r="G4538" s="188">
        <v>26508000000</v>
      </c>
      <c r="H4538" s="188">
        <v>6545000000</v>
      </c>
      <c r="I4538" s="188">
        <v>3448000000</v>
      </c>
      <c r="J4538" s="188">
        <v>2359000000</v>
      </c>
      <c r="K4538" s="188">
        <v>7319000000</v>
      </c>
      <c r="L4538" s="188">
        <v>40376000000</v>
      </c>
      <c r="M4538" s="194">
        <f>L4538/P4538</f>
        <v>88.25216283317036</v>
      </c>
      <c r="N4538" s="190">
        <f>J4538/L4538</f>
        <v>5.8425797503467408E-2</v>
      </c>
      <c r="O4538" s="190">
        <f>(I4538*0.7)/(K4538+L4538)</f>
        <v>5.0604885208093094E-2</v>
      </c>
      <c r="P4538" s="188">
        <v>457507201</v>
      </c>
      <c r="Q4538" s="188">
        <f>P4538*E4538</f>
        <v>106278922792.3</v>
      </c>
      <c r="R4538" s="195">
        <f>Q4538/L4538</f>
        <v>2.6322301068035467</v>
      </c>
      <c r="S4538" s="197">
        <f>(Q4538+K4538)/H4538</f>
        <v>17.356443512956456</v>
      </c>
      <c r="T4538" s="180"/>
      <c r="U4538" s="189">
        <f>IFERROR(IF(Tableau3[[#This Row],[Dettes]]=0,"",(Tableau3[[#This Row],[Dettes]]/Tableau3[[#This Row],[EBE]])),"")</f>
        <v>1.1182582123758595</v>
      </c>
      <c r="V4538" s="190">
        <f>IFERROR(Tableau3[[#This Row],[Fonds propres]]/Tableau3[[#This Row],[Total Bilan]],"")</f>
        <v>0.6282833312585584</v>
      </c>
      <c r="W4538" s="180">
        <v>64264000000</v>
      </c>
      <c r="Y4538" s="180">
        <v>200000</v>
      </c>
      <c r="Z4538" s="192">
        <f>IFERROR(Tableau3[[#This Row],[Chiffre d''affaires]]/Tableau3[[#This Row],[Salariés]],"")</f>
        <v>132540</v>
      </c>
      <c r="AA4538" s="177"/>
      <c r="AC4538" s="177" t="s">
        <v>5145</v>
      </c>
    </row>
    <row r="4539" spans="1:29" ht="20.25" customHeight="1">
      <c r="A4539" s="217"/>
      <c r="G4539" s="202">
        <f>(G4538/G4540)-1</f>
        <v>4.3827525103366849E-2</v>
      </c>
      <c r="H4539" s="202">
        <f>(H4538/H4540)-1</f>
        <v>6.4573845152895215E-2</v>
      </c>
      <c r="I4539" s="202">
        <f>(I4538/I4540)-1</f>
        <v>8.5642317380352662E-2</v>
      </c>
      <c r="J4539" s="202">
        <f>(J4538/J4540)-1</f>
        <v>3.0581039755351647E-2</v>
      </c>
      <c r="K4539" s="178"/>
      <c r="L4539" s="178"/>
      <c r="M4539" s="178"/>
      <c r="N4539" s="178"/>
      <c r="O4539" s="178"/>
      <c r="P4539" s="188"/>
      <c r="Q4539" s="178"/>
      <c r="R4539" s="178"/>
      <c r="S4539" s="178"/>
      <c r="T4539" s="180"/>
      <c r="U4539" s="189" t="str">
        <f>IFERROR(IF(Tableau3[[#This Row],[Dettes]]=0,"",(Tableau3[[#This Row],[Dettes]]/Tableau3[[#This Row],[EBE]])),"")</f>
        <v/>
      </c>
      <c r="V4539" s="190" t="str">
        <f>IFERROR(Tableau3[[#This Row],[Fonds propres]]/Tableau3[[#This Row],[Total Bilan]],"")</f>
        <v/>
      </c>
      <c r="W4539" s="180"/>
      <c r="Y4539" s="180"/>
      <c r="Z4539" s="192" t="str">
        <f>IFERROR(Tableau3[[#This Row],[Chiffre d''affaires]]/Tableau3[[#This Row],[Salariés]],"")</f>
        <v/>
      </c>
      <c r="AA4539" s="177"/>
      <c r="AC4539" s="177" t="s">
        <v>5164</v>
      </c>
    </row>
    <row r="4540" spans="1:29" ht="20.25" customHeight="1">
      <c r="E4540" s="187">
        <v>177.35</v>
      </c>
      <c r="F4540" s="178">
        <v>2023</v>
      </c>
      <c r="G4540" s="188">
        <v>25395000000</v>
      </c>
      <c r="H4540" s="188">
        <v>6148000000</v>
      </c>
      <c r="I4540" s="188">
        <v>3176000000</v>
      </c>
      <c r="J4540" s="188">
        <v>2289000000</v>
      </c>
      <c r="K4540" s="188">
        <v>5859000000</v>
      </c>
      <c r="L4540" s="188">
        <v>38239000000</v>
      </c>
      <c r="M4540" s="194">
        <f>L4540/P4540</f>
        <v>84.25522672866903</v>
      </c>
      <c r="N4540" s="190">
        <f>J4540/L4540</f>
        <v>5.9860351996652635E-2</v>
      </c>
      <c r="O4540" s="190">
        <f>(I4540*0.7)/(K4540+L4540)</f>
        <v>5.0414984806567191E-2</v>
      </c>
      <c r="P4540" s="188">
        <v>453847215</v>
      </c>
      <c r="Q4540" s="188">
        <f>P4540*E4540</f>
        <v>80489803580.25</v>
      </c>
      <c r="R4540" s="195">
        <f>Q4540/L4540</f>
        <v>2.1049139250568789</v>
      </c>
      <c r="S4540" s="197">
        <f>(Q4540+K4540)/H4540</f>
        <v>14.045023353976903</v>
      </c>
      <c r="T4540" s="180"/>
      <c r="U4540" s="189">
        <f>IFERROR(IF(Tableau3[[#This Row],[Dettes]]=0,"",(Tableau3[[#This Row],[Dettes]]/Tableau3[[#This Row],[EBE]])),"")</f>
        <v>0.95299284320104094</v>
      </c>
      <c r="V4540" s="190">
        <f>IFERROR(Tableau3[[#This Row],[Fonds propres]]/Tableau3[[#This Row],[Total Bilan]],"")</f>
        <v>0.63180939477553988</v>
      </c>
      <c r="W4540" s="180">
        <v>60523000000</v>
      </c>
      <c r="Y4540" s="180">
        <v>191706</v>
      </c>
      <c r="Z4540" s="192">
        <f>IFERROR(Tableau3[[#This Row],[Chiffre d''affaires]]/Tableau3[[#This Row],[Salariés]],"")</f>
        <v>132468.46734061532</v>
      </c>
      <c r="AA4540" s="177"/>
      <c r="AC4540" s="177" t="s">
        <v>4999</v>
      </c>
    </row>
    <row r="4541" spans="1:29" ht="20.25" customHeight="1">
      <c r="G4541" s="202">
        <f>(G4540/G4542)-1</f>
        <v>3.6784518657630549E-2</v>
      </c>
      <c r="H4541" s="202">
        <f>(H4540/H4542)-1</f>
        <v>3.4274522604864632E-3</v>
      </c>
      <c r="I4541" s="202">
        <f>(I4540/I4542)-1</f>
        <v>6.0183718720303592E-3</v>
      </c>
      <c r="J4541" s="202">
        <f>(J4540/J4542)-1</f>
        <v>6.3661710037174801E-2</v>
      </c>
      <c r="K4541" s="178"/>
      <c r="L4541" s="178"/>
      <c r="M4541" s="178"/>
      <c r="N4541" s="178"/>
      <c r="O4541" s="178"/>
      <c r="P4541" s="188"/>
      <c r="Q4541" s="178"/>
      <c r="R4541" s="178"/>
      <c r="S4541" s="178"/>
      <c r="T4541" s="180"/>
      <c r="U4541" s="189" t="str">
        <f>IFERROR(IF(Tableau3[[#This Row],[Dettes]]=0,"",(Tableau3[[#This Row],[Dettes]]/Tableau3[[#This Row],[EBE]])),"")</f>
        <v/>
      </c>
      <c r="V4541" s="190" t="str">
        <f>IFERROR(Tableau3[[#This Row],[Fonds propres]]/Tableau3[[#This Row],[Total Bilan]],"")</f>
        <v/>
      </c>
      <c r="W4541" s="180"/>
      <c r="Y4541" s="180"/>
      <c r="Z4541" s="192" t="str">
        <f>IFERROR(Tableau3[[#This Row],[Chiffre d''affaires]]/Tableau3[[#This Row],[Salariés]],"")</f>
        <v/>
      </c>
      <c r="AA4541" s="177"/>
      <c r="AC4541" s="177" t="s">
        <v>5163</v>
      </c>
    </row>
    <row r="4542" spans="1:29" ht="20.25" customHeight="1">
      <c r="A4542" s="217"/>
      <c r="E4542" s="187">
        <v>187.24</v>
      </c>
      <c r="F4542" s="178">
        <v>2022</v>
      </c>
      <c r="G4542" s="188">
        <v>24494000000</v>
      </c>
      <c r="H4542" s="188">
        <v>6127000000</v>
      </c>
      <c r="I4542" s="188">
        <v>3157000000</v>
      </c>
      <c r="J4542" s="188">
        <v>2152000000</v>
      </c>
      <c r="K4542" s="188">
        <v>7062000000</v>
      </c>
      <c r="L4542" s="188">
        <v>37455000000</v>
      </c>
      <c r="M4542" s="194">
        <f>L4542/P4542</f>
        <v>83.663132597903243</v>
      </c>
      <c r="N4542" s="190">
        <f>J4542/L4542</f>
        <v>5.7455613402749968E-2</v>
      </c>
      <c r="O4542" s="190">
        <f>(I4542*0.7)/(K4542+L4542)</f>
        <v>4.964170990857425E-2</v>
      </c>
      <c r="P4542" s="188">
        <v>447688233</v>
      </c>
      <c r="Q4542" s="188">
        <f>P4542*E4542</f>
        <v>83825144746.919998</v>
      </c>
      <c r="R4542" s="195">
        <f>Q4542/L4542</f>
        <v>2.2380228206359631</v>
      </c>
      <c r="S4542" s="197">
        <f>(Q4542+K4542)/H4542</f>
        <v>14.833873795808715</v>
      </c>
      <c r="T4542" s="180"/>
      <c r="U4542" s="189">
        <f>IFERROR(IF(Tableau3[[#This Row],[Dettes]]=0,"",(Tableau3[[#This Row],[Dettes]]/Tableau3[[#This Row],[EBE]])),"")</f>
        <v>1.1526032315978456</v>
      </c>
      <c r="V4542" s="190">
        <f>IFERROR(Tableau3[[#This Row],[Fonds propres]]/Tableau3[[#This Row],[Total Bilan]],"")</f>
        <v>0.6184673304601972</v>
      </c>
      <c r="W4542" s="180">
        <v>60561000000</v>
      </c>
      <c r="Y4542" s="180">
        <v>200121</v>
      </c>
      <c r="Z4542" s="192">
        <f>IFERROR(Tableau3[[#This Row],[Chiffre d''affaires]]/Tableau3[[#This Row],[Salariés]],"")</f>
        <v>122395.95044997777</v>
      </c>
      <c r="AA4542" s="177"/>
      <c r="AC4542" s="177" t="s">
        <v>1515</v>
      </c>
    </row>
    <row r="4543" spans="1:29" ht="20.25" customHeight="1">
      <c r="A4543" s="217"/>
      <c r="F4543" s="234"/>
      <c r="G4543" s="202">
        <f>(G4542/G4544)-1</f>
        <v>0.11336363636363633</v>
      </c>
      <c r="H4543" s="202">
        <f>(H4542/H4544)-1</f>
        <v>0.36155555555555563</v>
      </c>
      <c r="I4543" s="202">
        <f>(I4542/I4544)-1</f>
        <v>-7.1470588235294064E-2</v>
      </c>
      <c r="J4543" s="202">
        <f>(J4542/J4544)-1</f>
        <v>-6.434782608695655E-2</v>
      </c>
      <c r="K4543" s="178"/>
      <c r="L4543" s="178"/>
      <c r="M4543" s="178"/>
      <c r="N4543" s="178"/>
      <c r="O4543" s="178"/>
      <c r="P4543" s="178"/>
      <c r="Q4543" s="178"/>
      <c r="R4543" s="178"/>
      <c r="S4543" s="178"/>
      <c r="T4543" s="180"/>
      <c r="U4543" s="189" t="str">
        <f>IFERROR(IF(Tableau3[[#This Row],[Dettes]]=0,"",(Tableau3[[#This Row],[Dettes]]/Tableau3[[#This Row],[EBE]])),"")</f>
        <v/>
      </c>
      <c r="V4543" s="190" t="str">
        <f>IFERROR(Tableau3[[#This Row],[Fonds propres]]/Tableau3[[#This Row],[Total Bilan]],"")</f>
        <v/>
      </c>
      <c r="W4543" s="180"/>
      <c r="Y4543" s="180"/>
      <c r="Z4543" s="192" t="str">
        <f>IFERROR(Tableau3[[#This Row],[Chiffre d''affaires]]/Tableau3[[#This Row],[Salariés]],"")</f>
        <v/>
      </c>
      <c r="AA4543" s="177"/>
      <c r="AC4543" s="177" t="s">
        <v>5012</v>
      </c>
    </row>
    <row r="4544" spans="1:29" ht="20.25" customHeight="1">
      <c r="A4544" s="217"/>
      <c r="E4544" s="187">
        <v>187.24</v>
      </c>
      <c r="F4544" s="178">
        <v>2021</v>
      </c>
      <c r="G4544" s="188">
        <v>22000000000</v>
      </c>
      <c r="H4544" s="188">
        <v>4500000000</v>
      </c>
      <c r="I4544" s="188">
        <v>3400000000</v>
      </c>
      <c r="J4544" s="188">
        <v>2300000000</v>
      </c>
      <c r="K4544" s="188">
        <v>1945000000</v>
      </c>
      <c r="L4544" s="188">
        <v>34380000000</v>
      </c>
      <c r="M4544" s="194">
        <f>L4544/P4544</f>
        <v>78.59581440390788</v>
      </c>
      <c r="N4544" s="190">
        <f>J4544/L4544</f>
        <v>6.689936009307737E-2</v>
      </c>
      <c r="O4544" s="190">
        <f>(I4544*0.7)/(K4544+L4544)</f>
        <v>6.5519614590502415E-2</v>
      </c>
      <c r="P4544" s="188">
        <v>437427874</v>
      </c>
      <c r="Q4544" s="188">
        <f>P4544*E4544</f>
        <v>81903995127.76001</v>
      </c>
      <c r="R4544" s="195">
        <f>Q4544/L4544</f>
        <v>2.3823151578755093</v>
      </c>
      <c r="S4544" s="197">
        <f>(Q4544+K4544)/H4544</f>
        <v>18.633110028391112</v>
      </c>
      <c r="T4544" s="180"/>
      <c r="U4544" s="189">
        <f>IFERROR(IF(Tableau3[[#This Row],[Dettes]]=0,"",(Tableau3[[#This Row],[Dettes]]/Tableau3[[#This Row],[EBE]])),"")</f>
        <v>0.43222222222222223</v>
      </c>
      <c r="V4544" s="190">
        <f>IFERROR(Tableau3[[#This Row],[Fonds propres]]/Tableau3[[#This Row],[Total Bilan]],"")</f>
        <v>0.57864175713203736</v>
      </c>
      <c r="W4544" s="180">
        <v>59415000000</v>
      </c>
      <c r="Y4544" s="180">
        <v>193371</v>
      </c>
      <c r="Z4544" s="192">
        <f>IFERROR(Tableau3[[#This Row],[Chiffre d''affaires]]/Tableau3[[#This Row],[Salariés]],"")</f>
        <v>113770.93773109722</v>
      </c>
      <c r="AA4544" s="177"/>
      <c r="AC4544" s="177" t="s">
        <v>5011</v>
      </c>
    </row>
    <row r="4545" spans="1:29" ht="20.25" customHeight="1">
      <c r="A4545" s="217"/>
      <c r="F4545" s="234"/>
      <c r="G4545" s="202">
        <f>(G4544/G4546)-1</f>
        <v>0.52470718691524021</v>
      </c>
      <c r="H4545" s="202">
        <f>(H4544/H4546)-1</f>
        <v>0.73879443585780535</v>
      </c>
      <c r="I4545" s="202">
        <f>(I4544/I4546)-1</f>
        <v>1.4745269286754001</v>
      </c>
      <c r="J4545" s="202">
        <f>(J4544/J4546)-1</f>
        <v>1.9187817258883251</v>
      </c>
      <c r="K4545" s="178"/>
      <c r="L4545" s="178"/>
      <c r="M4545" s="178"/>
      <c r="N4545" s="178"/>
      <c r="O4545" s="178"/>
      <c r="P4545" s="178"/>
      <c r="Q4545" s="178"/>
      <c r="R4545" s="178"/>
      <c r="S4545" s="178"/>
      <c r="T4545" s="180"/>
      <c r="U4545" s="189" t="str">
        <f>IFERROR(IF(Tableau3[[#This Row],[Dettes]]=0,"",(Tableau3[[#This Row],[Dettes]]/Tableau3[[#This Row],[EBE]])),"")</f>
        <v/>
      </c>
      <c r="V4545" s="190" t="str">
        <f>IFERROR(Tableau3[[#This Row],[Fonds propres]]/Tableau3[[#This Row],[Total Bilan]],"")</f>
        <v/>
      </c>
      <c r="W4545" s="180"/>
      <c r="Y4545" s="180"/>
      <c r="Z4545" s="192" t="str">
        <f>IFERROR(Tableau3[[#This Row],[Chiffre d''affaires]]/Tableau3[[#This Row],[Salariés]],"")</f>
        <v/>
      </c>
      <c r="AA4545" s="177"/>
      <c r="AC4545" s="177" t="s">
        <v>5166</v>
      </c>
    </row>
    <row r="4546" spans="1:29" ht="20.25" customHeight="1">
      <c r="A4546" s="217"/>
      <c r="E4546" s="178">
        <v>127.6</v>
      </c>
      <c r="F4546" s="178">
        <v>2020</v>
      </c>
      <c r="G4546" s="188">
        <v>14429000000</v>
      </c>
      <c r="H4546" s="188">
        <v>2588000000</v>
      </c>
      <c r="I4546" s="188">
        <v>1374000000</v>
      </c>
      <c r="J4546" s="188">
        <v>788000000</v>
      </c>
      <c r="K4546" s="188">
        <v>2975000000</v>
      </c>
      <c r="L4546" s="188">
        <v>32798000000</v>
      </c>
      <c r="M4546" s="194">
        <f>L4546/P4546</f>
        <v>74.774791212347438</v>
      </c>
      <c r="N4546" s="190">
        <f>J4546/L4546</f>
        <v>2.4025855235075309E-2</v>
      </c>
      <c r="O4546" s="190">
        <f>(I4546*0.7)/(K4546+L4546)</f>
        <v>2.6886199088698177E-2</v>
      </c>
      <c r="P4546" s="188">
        <v>438623759</v>
      </c>
      <c r="Q4546" s="188">
        <f>P4546*E4546</f>
        <v>55968391648.399994</v>
      </c>
      <c r="R4546" s="195">
        <f>Q4546/L4546</f>
        <v>1.7064574561985486</v>
      </c>
      <c r="S4546" s="197">
        <f>(Q4546+K4546)/H4546</f>
        <v>22.775653650850074</v>
      </c>
      <c r="T4546" s="180"/>
      <c r="U4546" s="189">
        <f>IFERROR(IF(Tableau3[[#This Row],[Dettes]]=0,"",(Tableau3[[#This Row],[Dettes]]/Tableau3[[#This Row],[EBE]])),"")</f>
        <v>1.1495363214837713</v>
      </c>
      <c r="V4546" s="190" t="str">
        <f>IFERROR(Tableau3[[#This Row],[Fonds propres]]/Tableau3[[#This Row],[Total Bilan]],"")</f>
        <v/>
      </c>
      <c r="W4546" s="180"/>
      <c r="Y4546" s="180">
        <v>151017</v>
      </c>
      <c r="Z4546" s="192">
        <f>IFERROR(Tableau3[[#This Row],[Chiffre d''affaires]]/Tableau3[[#This Row],[Salariés]],"")</f>
        <v>95545.534608686445</v>
      </c>
      <c r="AA4546" s="177"/>
      <c r="AC4546" s="177" t="s">
        <v>5167</v>
      </c>
    </row>
    <row r="4547" spans="1:29" ht="20.25" customHeight="1">
      <c r="A4547" s="217"/>
      <c r="G4547" s="202">
        <f>(G4546/G4548)-1</f>
        <v>-0.17027027027027031</v>
      </c>
      <c r="H4547" s="202">
        <f>(H4546/H4548)-1</f>
        <v>-0.31894736842105265</v>
      </c>
      <c r="I4547" s="202">
        <f>(I4546/I4548)-1</f>
        <v>-0.51137980085348511</v>
      </c>
      <c r="J4547" s="202">
        <f>(J4546/J4548)-1</f>
        <v>-0.61635832521908474</v>
      </c>
      <c r="K4547" s="178"/>
      <c r="L4547" s="178"/>
      <c r="M4547" s="178"/>
      <c r="N4547" s="178"/>
      <c r="O4547" s="178"/>
      <c r="P4547" s="178"/>
      <c r="Q4547" s="178"/>
      <c r="R4547" s="178"/>
      <c r="S4547" s="178"/>
      <c r="T4547" s="180"/>
      <c r="U4547" s="189" t="str">
        <f>IFERROR(IF(Tableau3[[#This Row],[Dettes]]=0,"",(Tableau3[[#This Row],[Dettes]]/Tableau3[[#This Row],[EBE]])),"")</f>
        <v/>
      </c>
      <c r="V4547" s="190" t="str">
        <f>IFERROR(Tableau3[[#This Row],[Fonds propres]]/Tableau3[[#This Row],[Total Bilan]],"")</f>
        <v/>
      </c>
      <c r="W4547" s="180"/>
      <c r="Y4547" s="180"/>
      <c r="Z4547" s="192" t="str">
        <f>IFERROR(Tableau3[[#This Row],[Chiffre d''affaires]]/Tableau3[[#This Row],[Salariés]],"")</f>
        <v/>
      </c>
      <c r="AA4547" s="177"/>
      <c r="AC4547" s="177" t="s">
        <v>5019</v>
      </c>
    </row>
    <row r="4548" spans="1:29" ht="20.25" customHeight="1">
      <c r="A4548" s="217"/>
      <c r="E4548" s="178">
        <v>138.19999999999999</v>
      </c>
      <c r="F4548" s="178">
        <v>2019</v>
      </c>
      <c r="G4548" s="188">
        <v>17390000000</v>
      </c>
      <c r="H4548" s="188">
        <v>3800000000</v>
      </c>
      <c r="I4548" s="188">
        <v>2812000000</v>
      </c>
      <c r="J4548" s="188">
        <v>2054000000</v>
      </c>
      <c r="K4548" s="188">
        <v>4046000000</v>
      </c>
      <c r="L4548" s="188">
        <v>35332000000</v>
      </c>
      <c r="M4548" s="194">
        <f>L4548/P4548</f>
        <v>80.746965468040983</v>
      </c>
      <c r="N4548" s="190">
        <f>J4548/L4548</f>
        <v>5.8134269217706327E-2</v>
      </c>
      <c r="O4548" s="190">
        <f>(I4548*0.7)/(K4548+L4548)</f>
        <v>4.9987302554725985E-2</v>
      </c>
      <c r="P4548" s="188">
        <v>437564431</v>
      </c>
      <c r="Q4548" s="188">
        <f>P4548*E4548</f>
        <v>60471404364.199997</v>
      </c>
      <c r="R4548" s="195">
        <f>Q4548/L4548</f>
        <v>1.7115194261349485</v>
      </c>
      <c r="S4548" s="197">
        <f>(Q4548+K4548)/H4548</f>
        <v>16.97826430636842</v>
      </c>
      <c r="T4548" s="180"/>
      <c r="U4548" s="189">
        <f>IFERROR(IF(Tableau3[[#This Row],[Dettes]]=0,"",(Tableau3[[#This Row],[Dettes]]/Tableau3[[#This Row],[EBE]])),"")</f>
        <v>1.0647368421052632</v>
      </c>
      <c r="V4548" s="190" t="str">
        <f>IFERROR(Tableau3[[#This Row],[Fonds propres]]/Tableau3[[#This Row],[Total Bilan]],"")</f>
        <v/>
      </c>
      <c r="W4548" s="180"/>
      <c r="Y4548" s="180">
        <v>153000</v>
      </c>
      <c r="Z4548" s="192">
        <f>IFERROR(Tableau3[[#This Row],[Chiffre d''affaires]]/Tableau3[[#This Row],[Salariés]],"")</f>
        <v>113660.13071895424</v>
      </c>
      <c r="AA4548" s="177"/>
      <c r="AC4548" s="177" t="s">
        <v>5018</v>
      </c>
    </row>
    <row r="4549" spans="1:29" ht="20.25" customHeight="1">
      <c r="A4549" s="217"/>
      <c r="G4549" s="202">
        <f>(G4548/G4550)-1</f>
        <v>7.6113861386138515E-2</v>
      </c>
      <c r="H4549" s="202"/>
      <c r="I4549" s="202">
        <f>(I4548/I4550)-1</f>
        <v>7.4102368220015258E-2</v>
      </c>
      <c r="J4549" s="202">
        <f>(J4548/J4550)-1</f>
        <v>0.10075026795284026</v>
      </c>
      <c r="K4549" s="178"/>
      <c r="L4549" s="178"/>
      <c r="M4549" s="178"/>
      <c r="N4549" s="178"/>
      <c r="O4549" s="178"/>
      <c r="P4549" s="178"/>
      <c r="Q4549" s="178"/>
      <c r="R4549" s="178"/>
      <c r="S4549" s="178"/>
      <c r="T4549" s="180"/>
      <c r="U4549" s="189" t="str">
        <f>IFERROR(IF(Tableau3[[#This Row],[Dettes]]=0,"",(Tableau3[[#This Row],[Dettes]]/Tableau3[[#This Row],[EBE]])),"")</f>
        <v/>
      </c>
      <c r="V4549" s="190" t="str">
        <f>IFERROR(Tableau3[[#This Row],[Fonds propres]]/Tableau3[[#This Row],[Total Bilan]],"")</f>
        <v/>
      </c>
      <c r="W4549" s="180"/>
      <c r="Y4549" s="180"/>
      <c r="Z4549" s="192" t="str">
        <f>IFERROR(Tableau3[[#This Row],[Chiffre d''affaires]]/Tableau3[[#This Row],[Salariés]],"")</f>
        <v/>
      </c>
      <c r="AA4549" s="177"/>
      <c r="AC4549" s="177" t="s">
        <v>5168</v>
      </c>
    </row>
    <row r="4550" spans="1:29" ht="20.25" customHeight="1">
      <c r="A4550" s="217"/>
      <c r="E4550" s="187">
        <v>109.75</v>
      </c>
      <c r="F4550" s="178">
        <v>2018</v>
      </c>
      <c r="G4550" s="188">
        <v>16160000000</v>
      </c>
      <c r="H4550" s="188" t="s">
        <v>819</v>
      </c>
      <c r="I4550" s="188">
        <v>2618000000</v>
      </c>
      <c r="J4550" s="188">
        <v>1866000000</v>
      </c>
      <c r="K4550" s="188">
        <v>3849000000</v>
      </c>
      <c r="L4550" s="188">
        <v>33403000000</v>
      </c>
      <c r="M4550" s="194">
        <f>L4550/P4550</f>
        <v>78.268001643892816</v>
      </c>
      <c r="N4550" s="190">
        <f>J4550/L4550</f>
        <v>5.586324581624405E-2</v>
      </c>
      <c r="O4550" s="190">
        <f>(I4550*0.7)/(K4550+L4550)</f>
        <v>4.9194674111457101E-2</v>
      </c>
      <c r="P4550" s="188">
        <v>426777218</v>
      </c>
      <c r="Q4550" s="188">
        <f>P4550*E4550</f>
        <v>46838799675.5</v>
      </c>
      <c r="R4550" s="195">
        <f>Q4550/L4550</f>
        <v>1.4022333226207226</v>
      </c>
      <c r="S4550" s="197"/>
      <c r="T4550" s="180"/>
      <c r="U4550" s="189" t="str">
        <f>IFERROR(IF(Tableau3[[#This Row],[Dettes]]=0,"",(Tableau3[[#This Row],[Dettes]]/Tableau3[[#This Row],[EBE]])),"")</f>
        <v/>
      </c>
      <c r="V4550" s="190" t="str">
        <f>IFERROR(Tableau3[[#This Row],[Fonds propres]]/Tableau3[[#This Row],[Total Bilan]],"")</f>
        <v/>
      </c>
      <c r="W4550" s="180"/>
      <c r="Y4550" s="180"/>
      <c r="Z4550" s="192" t="str">
        <f>IFERROR(Tableau3[[#This Row],[Chiffre d''affaires]]/Tableau3[[#This Row],[Salariés]],"")</f>
        <v/>
      </c>
      <c r="AA4550" s="177"/>
      <c r="AC4550" s="177" t="s">
        <v>5017</v>
      </c>
    </row>
    <row r="4551" spans="1:29" ht="20.25" customHeight="1">
      <c r="A4551" s="217"/>
      <c r="G4551" s="188"/>
      <c r="H4551" s="178"/>
      <c r="I4551" s="178"/>
      <c r="J4551" s="178"/>
      <c r="K4551" s="178"/>
      <c r="L4551" s="178"/>
      <c r="M4551" s="178"/>
      <c r="N4551" s="178"/>
      <c r="O4551" s="178"/>
      <c r="P4551" s="178"/>
      <c r="Q4551" s="178"/>
      <c r="R4551" s="178"/>
      <c r="S4551" s="178"/>
      <c r="T4551" s="180"/>
      <c r="U4551" s="189" t="str">
        <f>IFERROR(IF(Tableau3[[#This Row],[Dettes]]=0,"",(Tableau3[[#This Row],[Dettes]]/Tableau3[[#This Row],[EBE]])),"")</f>
        <v/>
      </c>
      <c r="V4551" s="190" t="str">
        <f>IFERROR(Tableau3[[#This Row],[Fonds propres]]/Tableau3[[#This Row],[Total Bilan]],"")</f>
        <v/>
      </c>
      <c r="W4551" s="180"/>
      <c r="Y4551" s="180"/>
      <c r="Z4551" s="192" t="str">
        <f>IFERROR(Tableau3[[#This Row],[Chiffre d''affaires]]/Tableau3[[#This Row],[Salariés]],"")</f>
        <v/>
      </c>
      <c r="AA4551" s="177"/>
      <c r="AC4551" s="177" t="s">
        <v>1516</v>
      </c>
    </row>
    <row r="4552" spans="1:29" ht="20.25" customHeight="1">
      <c r="A4552" s="217"/>
      <c r="G4552" s="188"/>
      <c r="H4552" s="178"/>
      <c r="I4552" s="178"/>
      <c r="J4552" s="178"/>
      <c r="K4552" s="178"/>
      <c r="L4552" s="178"/>
      <c r="M4552" s="178"/>
      <c r="N4552" s="178"/>
      <c r="O4552" s="178"/>
      <c r="P4552" s="178"/>
      <c r="Q4552" s="178"/>
      <c r="R4552" s="178"/>
      <c r="S4552" s="178"/>
      <c r="T4552" s="180"/>
      <c r="U4552" s="189" t="str">
        <f>IFERROR(IF(Tableau3[[#This Row],[Dettes]]=0,"",(Tableau3[[#This Row],[Dettes]]/Tableau3[[#This Row],[EBE]])),"")</f>
        <v/>
      </c>
      <c r="V4552" s="190" t="str">
        <f>IFERROR(Tableau3[[#This Row],[Fonds propres]]/Tableau3[[#This Row],[Total Bilan]],"")</f>
        <v/>
      </c>
      <c r="W4552" s="180"/>
      <c r="Y4552" s="180"/>
      <c r="Z4552" s="192" t="str">
        <f>IFERROR(Tableau3[[#This Row],[Chiffre d''affaires]]/Tableau3[[#This Row],[Salariés]],"")</f>
        <v/>
      </c>
      <c r="AA4552" s="177"/>
      <c r="AC4552" s="177" t="s">
        <v>5014</v>
      </c>
    </row>
    <row r="4553" spans="1:29" ht="20.25" customHeight="1">
      <c r="G4553" s="188"/>
      <c r="H4553" s="178"/>
      <c r="I4553" s="178"/>
      <c r="J4553" s="178"/>
      <c r="K4553" s="178"/>
      <c r="L4553" s="178"/>
      <c r="M4553" s="178"/>
      <c r="N4553" s="178"/>
      <c r="O4553" s="178"/>
      <c r="P4553" s="178"/>
      <c r="Q4553" s="178"/>
      <c r="R4553" s="178"/>
      <c r="S4553" s="178"/>
      <c r="T4553" s="180"/>
      <c r="U4553" s="189" t="str">
        <f>IFERROR(IF(Tableau3[[#This Row],[Dettes]]=0,"",(Tableau3[[#This Row],[Dettes]]/Tableau3[[#This Row],[EBE]])),"")</f>
        <v/>
      </c>
      <c r="V4553" s="190" t="str">
        <f>IFERROR(Tableau3[[#This Row],[Fonds propres]]/Tableau3[[#This Row],[Total Bilan]],"")</f>
        <v/>
      </c>
      <c r="W4553" s="180"/>
      <c r="Y4553" s="180"/>
      <c r="Z4553" s="192" t="str">
        <f>IFERROR(Tableau3[[#This Row],[Chiffre d''affaires]]/Tableau3[[#This Row],[Salariés]],"")</f>
        <v/>
      </c>
      <c r="AA4553" s="177"/>
      <c r="AC4553" s="177" t="s">
        <v>1517</v>
      </c>
    </row>
    <row r="4554" spans="1:29" ht="20.25" customHeight="1">
      <c r="A4554" s="217"/>
      <c r="G4554" s="188"/>
      <c r="H4554" s="178"/>
      <c r="I4554" s="178"/>
      <c r="J4554" s="178"/>
      <c r="K4554" s="178"/>
      <c r="L4554" s="178"/>
      <c r="M4554" s="178"/>
      <c r="N4554" s="178"/>
      <c r="O4554" s="178"/>
      <c r="P4554" s="178"/>
      <c r="Q4554" s="178"/>
      <c r="R4554" s="178"/>
      <c r="S4554" s="178"/>
      <c r="T4554" s="180"/>
      <c r="U4554" s="189" t="str">
        <f>IFERROR(IF(Tableau3[[#This Row],[Dettes]]=0,"",(Tableau3[[#This Row],[Dettes]]/Tableau3[[#This Row],[EBE]])),"")</f>
        <v/>
      </c>
      <c r="V4554" s="190" t="str">
        <f>IFERROR(Tableau3[[#This Row],[Fonds propres]]/Tableau3[[#This Row],[Total Bilan]],"")</f>
        <v/>
      </c>
      <c r="W4554" s="180"/>
      <c r="Y4554" s="180"/>
      <c r="Z4554" s="192" t="str">
        <f>IFERROR(Tableau3[[#This Row],[Chiffre d''affaires]]/Tableau3[[#This Row],[Salariés]],"")</f>
        <v/>
      </c>
      <c r="AA4554" s="177"/>
      <c r="AC4554" s="177" t="s">
        <v>1518</v>
      </c>
    </row>
    <row r="4555" spans="1:29" ht="20.25" customHeight="1">
      <c r="A4555" s="217"/>
      <c r="G4555" s="188"/>
      <c r="H4555" s="178"/>
      <c r="I4555" s="178"/>
      <c r="J4555" s="178"/>
      <c r="K4555" s="178"/>
      <c r="L4555" s="178"/>
      <c r="M4555" s="178"/>
      <c r="N4555" s="178"/>
      <c r="O4555" s="178"/>
      <c r="P4555" s="178"/>
      <c r="Q4555" s="178"/>
      <c r="R4555" s="178"/>
      <c r="S4555" s="178"/>
      <c r="T4555" s="180"/>
      <c r="U4555" s="189" t="str">
        <f>IFERROR(IF(Tableau3[[#This Row],[Dettes]]=0,"",(Tableau3[[#This Row],[Dettes]]/Tableau3[[#This Row],[EBE]])),"")</f>
        <v/>
      </c>
      <c r="V4555" s="190" t="str">
        <f>IFERROR(Tableau3[[#This Row],[Fonds propres]]/Tableau3[[#This Row],[Total Bilan]],"")</f>
        <v/>
      </c>
      <c r="W4555" s="180"/>
      <c r="Y4555" s="180"/>
      <c r="Z4555" s="192" t="str">
        <f>IFERROR(Tableau3[[#This Row],[Chiffre d''affaires]]/Tableau3[[#This Row],[Salariés]],"")</f>
        <v/>
      </c>
      <c r="AA4555" s="177"/>
      <c r="AC4555" s="177" t="s">
        <v>5010</v>
      </c>
    </row>
    <row r="4556" spans="1:29" ht="20.25" customHeight="1">
      <c r="A4556" s="217"/>
      <c r="G4556" s="188"/>
      <c r="H4556" s="188"/>
      <c r="I4556" s="178"/>
      <c r="J4556" s="178"/>
      <c r="K4556" s="178"/>
      <c r="L4556" s="178"/>
      <c r="M4556" s="178"/>
      <c r="N4556" s="178"/>
      <c r="O4556" s="178"/>
      <c r="P4556" s="178"/>
      <c r="Q4556" s="178"/>
      <c r="R4556" s="178"/>
      <c r="S4556" s="178"/>
      <c r="T4556" s="180"/>
      <c r="U4556" s="189" t="str">
        <f>IFERROR(IF(Tableau3[[#This Row],[Dettes]]=0,"",(Tableau3[[#This Row],[Dettes]]/Tableau3[[#This Row],[EBE]])),"")</f>
        <v/>
      </c>
      <c r="V4556" s="190" t="str">
        <f>IFERROR(Tableau3[[#This Row],[Fonds propres]]/Tableau3[[#This Row],[Total Bilan]],"")</f>
        <v/>
      </c>
      <c r="W4556" s="180"/>
      <c r="Y4556" s="180"/>
      <c r="Z4556" s="192" t="str">
        <f>IFERROR(Tableau3[[#This Row],[Chiffre d''affaires]]/Tableau3[[#This Row],[Salariés]],"")</f>
        <v/>
      </c>
      <c r="AA4556" s="177"/>
      <c r="AC4556" s="177" t="s">
        <v>5015</v>
      </c>
    </row>
    <row r="4557" spans="1:29" ht="20.25" customHeight="1">
      <c r="A4557" s="217"/>
      <c r="G4557" s="188"/>
      <c r="H4557" s="178"/>
      <c r="I4557" s="178"/>
      <c r="J4557" s="178"/>
      <c r="K4557" s="178"/>
      <c r="L4557" s="178"/>
      <c r="M4557" s="178"/>
      <c r="N4557" s="178"/>
      <c r="O4557" s="178"/>
      <c r="P4557" s="178"/>
      <c r="Q4557" s="178"/>
      <c r="R4557" s="178"/>
      <c r="S4557" s="178"/>
      <c r="T4557" s="180"/>
      <c r="U4557" s="189" t="str">
        <f>IFERROR(IF(Tableau3[[#This Row],[Dettes]]=0,"",(Tableau3[[#This Row],[Dettes]]/Tableau3[[#This Row],[EBE]])),"")</f>
        <v/>
      </c>
      <c r="V4557" s="190" t="str">
        <f>IFERROR(Tableau3[[#This Row],[Fonds propres]]/Tableau3[[#This Row],[Total Bilan]],"")</f>
        <v/>
      </c>
      <c r="W4557" s="180"/>
      <c r="Y4557" s="180"/>
      <c r="Z4557" s="192" t="str">
        <f>IFERROR(Tableau3[[#This Row],[Chiffre d''affaires]]/Tableau3[[#This Row],[Salariés]],"")</f>
        <v/>
      </c>
      <c r="AA4557" s="177"/>
      <c r="AC4557" s="177" t="s">
        <v>5016</v>
      </c>
    </row>
    <row r="4558" spans="1:29" ht="20.25" customHeight="1">
      <c r="A4558" s="217"/>
      <c r="G4558" s="188"/>
      <c r="H4558" s="178"/>
      <c r="I4558" s="178"/>
      <c r="J4558" s="178"/>
      <c r="K4558" s="178"/>
      <c r="L4558" s="178"/>
      <c r="M4558" s="178"/>
      <c r="N4558" s="178"/>
      <c r="O4558" s="178"/>
      <c r="P4558" s="178"/>
      <c r="Q4558" s="178"/>
      <c r="R4558" s="178"/>
      <c r="S4558" s="178"/>
      <c r="T4558" s="180"/>
      <c r="U4558" s="189" t="str">
        <f>IFERROR(IF(Tableau3[[#This Row],[Dettes]]=0,"",(Tableau3[[#This Row],[Dettes]]/Tableau3[[#This Row],[EBE]])),"")</f>
        <v/>
      </c>
      <c r="V4558" s="190" t="str">
        <f>IFERROR(Tableau3[[#This Row],[Fonds propres]]/Tableau3[[#This Row],[Total Bilan]],"")</f>
        <v/>
      </c>
      <c r="W4558" s="180"/>
      <c r="Y4558" s="180"/>
      <c r="Z4558" s="192" t="str">
        <f>IFERROR(Tableau3[[#This Row],[Chiffre d''affaires]]/Tableau3[[#This Row],[Salariés]],"")</f>
        <v/>
      </c>
      <c r="AA4558" s="177"/>
      <c r="AC4558" s="177" t="s">
        <v>5009</v>
      </c>
    </row>
    <row r="4559" spans="1:29" ht="20.25" customHeight="1">
      <c r="A4559" s="217"/>
      <c r="G4559" s="188"/>
      <c r="H4559" s="178"/>
      <c r="I4559" s="178"/>
      <c r="J4559" s="178"/>
      <c r="K4559" s="178"/>
      <c r="L4559" s="178"/>
      <c r="M4559" s="178"/>
      <c r="N4559" s="178"/>
      <c r="O4559" s="178"/>
      <c r="P4559" s="178"/>
      <c r="Q4559" s="178"/>
      <c r="R4559" s="178"/>
      <c r="S4559" s="178"/>
      <c r="T4559" s="180"/>
      <c r="U4559" s="189" t="str">
        <f>IFERROR(IF(Tableau3[[#This Row],[Dettes]]=0,"",(Tableau3[[#This Row],[Dettes]]/Tableau3[[#This Row],[EBE]])),"")</f>
        <v/>
      </c>
      <c r="V4559" s="190" t="str">
        <f>IFERROR(Tableau3[[#This Row],[Fonds propres]]/Tableau3[[#This Row],[Total Bilan]],"")</f>
        <v/>
      </c>
      <c r="W4559" s="180"/>
      <c r="Y4559" s="180"/>
      <c r="Z4559" s="192" t="str">
        <f>IFERROR(Tableau3[[#This Row],[Chiffre d''affaires]]/Tableau3[[#This Row],[Salariés]],"")</f>
        <v/>
      </c>
      <c r="AA4559" s="177"/>
      <c r="AC4559" s="177" t="s">
        <v>5013</v>
      </c>
    </row>
    <row r="4560" spans="1:29" ht="20.25" customHeight="1">
      <c r="A4560" s="217"/>
      <c r="G4560" s="188"/>
      <c r="H4560" s="178"/>
      <c r="I4560" s="178"/>
      <c r="J4560" s="178"/>
      <c r="K4560" s="178"/>
      <c r="L4560" s="178"/>
      <c r="M4560" s="178"/>
      <c r="N4560" s="178"/>
      <c r="O4560" s="178"/>
      <c r="P4560" s="178"/>
      <c r="Q4560" s="178"/>
      <c r="R4560" s="178"/>
      <c r="S4560" s="178"/>
      <c r="T4560" s="180"/>
      <c r="U4560" s="189" t="str">
        <f>IFERROR(IF(Tableau3[[#This Row],[Dettes]]=0,"",(Tableau3[[#This Row],[Dettes]]/Tableau3[[#This Row],[EBE]])),"")</f>
        <v/>
      </c>
      <c r="V4560" s="190" t="str">
        <f>IFERROR(Tableau3[[#This Row],[Fonds propres]]/Tableau3[[#This Row],[Total Bilan]],"")</f>
        <v/>
      </c>
      <c r="W4560" s="180"/>
      <c r="Y4560" s="180"/>
      <c r="Z4560" s="192" t="str">
        <f>IFERROR(Tableau3[[#This Row],[Chiffre d''affaires]]/Tableau3[[#This Row],[Salariés]],"")</f>
        <v/>
      </c>
      <c r="AA4560" s="177"/>
      <c r="AC4560" s="177" t="s">
        <v>4998</v>
      </c>
    </row>
    <row r="4561" spans="1:29" ht="20.25" customHeight="1">
      <c r="A4561" s="217"/>
      <c r="G4561" s="188"/>
      <c r="H4561" s="178"/>
      <c r="I4561" s="178"/>
      <c r="J4561" s="178"/>
      <c r="K4561" s="178"/>
      <c r="L4561" s="178"/>
      <c r="M4561" s="178"/>
      <c r="N4561" s="178"/>
      <c r="O4561" s="178"/>
      <c r="P4561" s="178"/>
      <c r="Q4561" s="178"/>
      <c r="R4561" s="178"/>
      <c r="S4561" s="178"/>
      <c r="T4561" s="180"/>
      <c r="U4561" s="189" t="str">
        <f>IFERROR(IF(Tableau3[[#This Row],[Dettes]]=0,"",(Tableau3[[#This Row],[Dettes]]/Tableau3[[#This Row],[EBE]])),"")</f>
        <v/>
      </c>
      <c r="V4561" s="190" t="str">
        <f>IFERROR(Tableau3[[#This Row],[Fonds propres]]/Tableau3[[#This Row],[Total Bilan]],"")</f>
        <v/>
      </c>
      <c r="W4561" s="180"/>
      <c r="Y4561" s="180"/>
      <c r="Z4561" s="192" t="str">
        <f>IFERROR(Tableau3[[#This Row],[Chiffre d''affaires]]/Tableau3[[#This Row],[Salariés]],"")</f>
        <v/>
      </c>
      <c r="AA4561" s="177"/>
      <c r="AC4561" s="177" t="s">
        <v>5143</v>
      </c>
    </row>
    <row r="4562" spans="1:29" ht="20.25" customHeight="1">
      <c r="A4562" s="217"/>
      <c r="G4562" s="188"/>
      <c r="H4562" s="178"/>
      <c r="I4562" s="178"/>
      <c r="J4562" s="178"/>
      <c r="K4562" s="178"/>
      <c r="L4562" s="178"/>
      <c r="M4562" s="178"/>
      <c r="N4562" s="178"/>
      <c r="O4562" s="178"/>
      <c r="P4562" s="178"/>
      <c r="Q4562" s="178"/>
      <c r="R4562" s="178"/>
      <c r="S4562" s="178"/>
      <c r="T4562" s="180"/>
      <c r="U4562" s="189" t="str">
        <f>IFERROR(IF(Tableau3[[#This Row],[Dettes]]=0,"",(Tableau3[[#This Row],[Dettes]]/Tableau3[[#This Row],[EBE]])),"")</f>
        <v/>
      </c>
      <c r="V4562" s="190" t="str">
        <f>IFERROR(Tableau3[[#This Row],[Fonds propres]]/Tableau3[[#This Row],[Total Bilan]],"")</f>
        <v/>
      </c>
      <c r="W4562" s="180"/>
      <c r="Y4562" s="180"/>
      <c r="Z4562" s="192" t="str">
        <f>IFERROR(Tableau3[[#This Row],[Chiffre d''affaires]]/Tableau3[[#This Row],[Salariés]],"")</f>
        <v/>
      </c>
      <c r="AA4562" s="177"/>
      <c r="AC4562" s="177" t="s">
        <v>5142</v>
      </c>
    </row>
    <row r="4563" spans="1:29" ht="20.25" customHeight="1">
      <c r="A4563" s="217"/>
      <c r="F4563" s="232"/>
      <c r="G4563" s="188"/>
      <c r="H4563" s="178"/>
      <c r="I4563" s="178"/>
      <c r="J4563" s="178"/>
      <c r="K4563" s="178"/>
      <c r="L4563" s="178"/>
      <c r="M4563" s="178"/>
      <c r="N4563" s="178"/>
      <c r="O4563" s="178"/>
      <c r="P4563" s="178"/>
      <c r="Q4563" s="178"/>
      <c r="R4563" s="178"/>
      <c r="S4563" s="178"/>
      <c r="T4563" s="180"/>
      <c r="U4563" s="189" t="str">
        <f>IFERROR(IF(Tableau3[[#This Row],[Dettes]]=0,"",(Tableau3[[#This Row],[Dettes]]/Tableau3[[#This Row],[EBE]])),"")</f>
        <v/>
      </c>
      <c r="V4563" s="190" t="str">
        <f>IFERROR(Tableau3[[#This Row],[Fonds propres]]/Tableau3[[#This Row],[Total Bilan]],"")</f>
        <v/>
      </c>
      <c r="W4563" s="180"/>
      <c r="Y4563" s="180"/>
      <c r="Z4563" s="192" t="str">
        <f>IFERROR(Tableau3[[#This Row],[Chiffre d''affaires]]/Tableau3[[#This Row],[Salariés]],"")</f>
        <v/>
      </c>
      <c r="AA4563" s="177"/>
      <c r="AC4563" s="177" t="s">
        <v>1519</v>
      </c>
    </row>
    <row r="4564" spans="1:29" ht="20.25" customHeight="1">
      <c r="A4564" s="217"/>
      <c r="F4564" s="232"/>
      <c r="G4564" s="188"/>
      <c r="H4564" s="178"/>
      <c r="I4564" s="178"/>
      <c r="J4564" s="178"/>
      <c r="K4564" s="178"/>
      <c r="L4564" s="178"/>
      <c r="M4564" s="178"/>
      <c r="N4564" s="178"/>
      <c r="O4564" s="178"/>
      <c r="P4564" s="178"/>
      <c r="Q4564" s="178"/>
      <c r="R4564" s="178"/>
      <c r="S4564" s="178"/>
      <c r="T4564" s="180"/>
      <c r="U4564" s="189" t="str">
        <f>IFERROR(IF(Tableau3[[#This Row],[Dettes]]=0,"",(Tableau3[[#This Row],[Dettes]]/Tableau3[[#This Row],[EBE]])),"")</f>
        <v/>
      </c>
      <c r="V4564" s="190" t="str">
        <f>IFERROR(Tableau3[[#This Row],[Fonds propres]]/Tableau3[[#This Row],[Total Bilan]],"")</f>
        <v/>
      </c>
      <c r="W4564" s="180"/>
      <c r="Y4564" s="180"/>
      <c r="Z4564" s="192" t="str">
        <f>IFERROR(Tableau3[[#This Row],[Chiffre d''affaires]]/Tableau3[[#This Row],[Salariés]],"")</f>
        <v/>
      </c>
      <c r="AA4564" s="177"/>
    </row>
    <row r="4565" spans="1:29" ht="20.25" customHeight="1">
      <c r="A4565" s="217"/>
      <c r="F4565" s="232"/>
      <c r="G4565" s="188"/>
      <c r="H4565" s="178"/>
      <c r="I4565" s="178"/>
      <c r="J4565" s="178"/>
      <c r="K4565" s="178"/>
      <c r="L4565" s="178"/>
      <c r="M4565" s="178"/>
      <c r="N4565" s="178"/>
      <c r="O4565" s="178"/>
      <c r="P4565" s="178"/>
      <c r="Q4565" s="178"/>
      <c r="R4565" s="178"/>
      <c r="S4565" s="178"/>
      <c r="T4565" s="180"/>
      <c r="U4565" s="189" t="str">
        <f>IFERROR(IF(Tableau3[[#This Row],[Dettes]]=0,"",(Tableau3[[#This Row],[Dettes]]/Tableau3[[#This Row],[EBE]])),"")</f>
        <v/>
      </c>
      <c r="V4565" s="190" t="str">
        <f>IFERROR(Tableau3[[#This Row],[Fonds propres]]/Tableau3[[#This Row],[Total Bilan]],"")</f>
        <v/>
      </c>
      <c r="W4565" s="180"/>
      <c r="Y4565" s="180"/>
      <c r="Z4565" s="192" t="str">
        <f>IFERROR(Tableau3[[#This Row],[Chiffre d''affaires]]/Tableau3[[#This Row],[Salariés]],"")</f>
        <v/>
      </c>
      <c r="AA4565" s="177"/>
    </row>
    <row r="4566" spans="1:29" ht="20.25" customHeight="1">
      <c r="A4566" s="217"/>
      <c r="F4566" s="224" t="s">
        <v>1887</v>
      </c>
      <c r="G4566" s="188"/>
      <c r="H4566" s="178"/>
      <c r="I4566" s="178"/>
      <c r="J4566" s="178"/>
      <c r="K4566" s="178"/>
      <c r="L4566" s="178"/>
      <c r="M4566" s="178"/>
      <c r="N4566" s="178"/>
      <c r="O4566" s="178"/>
      <c r="P4566" s="178"/>
      <c r="Q4566" s="178"/>
      <c r="R4566" s="178"/>
      <c r="S4566" s="178"/>
      <c r="T4566" s="180"/>
      <c r="U4566" s="189" t="str">
        <f>IFERROR(IF(Tableau3[[#This Row],[Dettes]]=0,"",(Tableau3[[#This Row],[Dettes]]/Tableau3[[#This Row],[EBE]])),"")</f>
        <v/>
      </c>
      <c r="V4566" s="190" t="str">
        <f>IFERROR(Tableau3[[#This Row],[Fonds propres]]/Tableau3[[#This Row],[Total Bilan]],"")</f>
        <v/>
      </c>
      <c r="W4566" s="180"/>
      <c r="Y4566" s="180"/>
      <c r="Z4566" s="192" t="str">
        <f>IFERROR(Tableau3[[#This Row],[Chiffre d''affaires]]/Tableau3[[#This Row],[Salariés]],"")</f>
        <v/>
      </c>
      <c r="AA4566" s="177"/>
    </row>
    <row r="4567" spans="1:29" ht="20.25" customHeight="1">
      <c r="A4567" s="217"/>
      <c r="E4567" s="187"/>
      <c r="G4567" s="188"/>
      <c r="H4567" s="178"/>
      <c r="I4567" s="178"/>
      <c r="J4567" s="178"/>
      <c r="K4567" s="178"/>
      <c r="L4567" s="178"/>
      <c r="M4567" s="178"/>
      <c r="N4567" s="178"/>
      <c r="O4567" s="178"/>
      <c r="P4567" s="178"/>
      <c r="Q4567" s="178"/>
      <c r="R4567" s="178"/>
      <c r="S4567" s="178"/>
      <c r="T4567" s="180"/>
      <c r="U4567" s="189" t="str">
        <f>IFERROR(IF(Tableau3[[#This Row],[Dettes]]=0,"",(Tableau3[[#This Row],[Dettes]]/Tableau3[[#This Row],[EBE]])),"")</f>
        <v/>
      </c>
      <c r="V4567" s="190" t="str">
        <f>IFERROR(Tableau3[[#This Row],[Fonds propres]]/Tableau3[[#This Row],[Total Bilan]],"")</f>
        <v/>
      </c>
      <c r="W4567" s="180"/>
      <c r="Y4567" s="180"/>
      <c r="Z4567" s="192" t="str">
        <f>IFERROR(Tableau3[[#This Row],[Chiffre d''affaires]]/Tableau3[[#This Row],[Salariés]],"")</f>
        <v/>
      </c>
      <c r="AA4567" s="177"/>
    </row>
    <row r="4568" spans="1:29" ht="20.25" customHeight="1">
      <c r="A4568" s="217" t="s">
        <v>1888</v>
      </c>
      <c r="B4568" s="216" t="s">
        <v>1889</v>
      </c>
      <c r="C4568" s="178" t="s">
        <v>427</v>
      </c>
      <c r="D4568" s="178" t="s">
        <v>85</v>
      </c>
      <c r="E4568" s="187">
        <v>25.5</v>
      </c>
      <c r="F4568" s="178">
        <v>2018</v>
      </c>
      <c r="G4568" s="188">
        <f>G4570*1.08</f>
        <v>3726000000.0000005</v>
      </c>
      <c r="H4568" s="188">
        <f>H4570*1.07</f>
        <v>590640000</v>
      </c>
      <c r="I4568" s="188">
        <f>I4570*1.08</f>
        <v>353160000</v>
      </c>
      <c r="J4568" s="188">
        <v>250000000</v>
      </c>
      <c r="K4568" s="188">
        <f>K4570</f>
        <v>832000000</v>
      </c>
      <c r="L4568" s="188">
        <f>L4570</f>
        <v>1039000000</v>
      </c>
      <c r="M4568" s="194">
        <f>L4568/P4568</f>
        <v>4.0838357162492382</v>
      </c>
      <c r="N4568" s="190">
        <f>J4568/L4568</f>
        <v>0.24061597690086622</v>
      </c>
      <c r="O4568" s="190">
        <f>(I4568*0.64)/(K4568+(M4568*P4568))</f>
        <v>0.12080299305184393</v>
      </c>
      <c r="P4568" s="188">
        <f>57193094/0.2248</f>
        <v>254417677.93594307</v>
      </c>
      <c r="Q4568" s="188">
        <f>P4568*E4568</f>
        <v>6487650787.3665485</v>
      </c>
      <c r="R4568" s="195">
        <f>Q4568/L4568</f>
        <v>6.2441297279755039</v>
      </c>
      <c r="S4568" s="197">
        <f>(Q4568+K4568)/H4568</f>
        <v>12.392744797789767</v>
      </c>
      <c r="T4568" s="180"/>
      <c r="U4568" s="189">
        <f>IFERROR(IF(Tableau3[[#This Row],[Dettes]]=0,"",(Tableau3[[#This Row],[Dettes]]/Tableau3[[#This Row],[EBE]])),"")</f>
        <v>1.4086414736556956</v>
      </c>
      <c r="V4568" s="190" t="str">
        <f>IFERROR(Tableau3[[#This Row],[Fonds propres]]/Tableau3[[#This Row],[Total Bilan]],"")</f>
        <v/>
      </c>
      <c r="W4568" s="180"/>
      <c r="X4568" s="191"/>
      <c r="Y4568" s="180">
        <v>31802</v>
      </c>
      <c r="Z4568" s="192">
        <f>IFERROR(Tableau3[[#This Row],[Chiffre d''affaires]]/Tableau3[[#This Row],[Salariés]],"")</f>
        <v>117162.44261367212</v>
      </c>
      <c r="AA4568" s="197"/>
      <c r="AB4568" s="197"/>
      <c r="AC4568" s="177" t="s">
        <v>1890</v>
      </c>
    </row>
    <row r="4569" spans="1:29" ht="20.25" customHeight="1">
      <c r="A4569" s="217"/>
      <c r="E4569" s="187"/>
      <c r="G4569" s="202">
        <f>(G4568/G4570)-1</f>
        <v>8.0000000000000071E-2</v>
      </c>
      <c r="H4569" s="203">
        <f>(H4568/H4570)-1</f>
        <v>7.0000000000000062E-2</v>
      </c>
      <c r="I4569" s="203">
        <f>(I4568/I4570)-1</f>
        <v>8.0000000000000071E-2</v>
      </c>
      <c r="J4569" s="203">
        <f>(J4568/J4570)-1</f>
        <v>9.6491228070175517E-2</v>
      </c>
      <c r="K4569" s="188"/>
      <c r="L4569" s="188"/>
      <c r="M4569" s="178"/>
      <c r="N4569" s="178"/>
      <c r="O4569" s="178"/>
      <c r="P4569" s="178"/>
      <c r="Q4569" s="178"/>
      <c r="R4569" s="178"/>
      <c r="S4569" s="178"/>
      <c r="T4569" s="180"/>
      <c r="U4569" s="189" t="str">
        <f>IFERROR(IF(Tableau3[[#This Row],[Dettes]]=0,"",(Tableau3[[#This Row],[Dettes]]/Tableau3[[#This Row],[EBE]])),"")</f>
        <v/>
      </c>
      <c r="V4569" s="190" t="str">
        <f>IFERROR(Tableau3[[#This Row],[Fonds propres]]/Tableau3[[#This Row],[Total Bilan]],"")</f>
        <v/>
      </c>
      <c r="W4569" s="180"/>
      <c r="Y4569" s="180"/>
      <c r="Z4569" s="192" t="str">
        <f>IFERROR(Tableau3[[#This Row],[Chiffre d''affaires]]/Tableau3[[#This Row],[Salariés]],"")</f>
        <v/>
      </c>
      <c r="AA4569" s="177"/>
      <c r="AC4569" s="177" t="s">
        <v>1891</v>
      </c>
    </row>
    <row r="4570" spans="1:29" ht="20.25" customHeight="1">
      <c r="A4570" s="217"/>
      <c r="E4570" s="187">
        <v>21.3</v>
      </c>
      <c r="F4570" s="178">
        <v>2017</v>
      </c>
      <c r="G4570" s="188">
        <v>3450000000</v>
      </c>
      <c r="H4570" s="188">
        <v>552000000</v>
      </c>
      <c r="I4570" s="188">
        <v>327000000</v>
      </c>
      <c r="J4570" s="188">
        <v>228000000</v>
      </c>
      <c r="K4570" s="188">
        <v>832000000</v>
      </c>
      <c r="L4570" s="188">
        <v>1039000000</v>
      </c>
      <c r="M4570" s="194">
        <f>L4570/P4570</f>
        <v>4.0838357162492382</v>
      </c>
      <c r="N4570" s="190">
        <f>J4570/L4570</f>
        <v>0.21944177093358999</v>
      </c>
      <c r="O4570" s="190">
        <f>(I4570*0.64)/(K4570+(M4570*P4570))</f>
        <v>0.11185462319615179</v>
      </c>
      <c r="P4570" s="188">
        <f>57193094/0.2248</f>
        <v>254417677.93594307</v>
      </c>
      <c r="Q4570" s="188">
        <f>P4570*E4570</f>
        <v>5419096540.0355873</v>
      </c>
      <c r="R4570" s="195">
        <f>Q4570/L4570</f>
        <v>5.2156848316030677</v>
      </c>
      <c r="S4570" s="197">
        <f>(Q4570+K4570)/H4570</f>
        <v>11.324450253687658</v>
      </c>
      <c r="T4570" s="180"/>
      <c r="U4570" s="189">
        <f>IFERROR(IF(Tableau3[[#This Row],[Dettes]]=0,"",(Tableau3[[#This Row],[Dettes]]/Tableau3[[#This Row],[EBE]])),"")</f>
        <v>1.5072463768115942</v>
      </c>
      <c r="V4570" s="190" t="str">
        <f>IFERROR(Tableau3[[#This Row],[Fonds propres]]/Tableau3[[#This Row],[Total Bilan]],"")</f>
        <v/>
      </c>
      <c r="W4570" s="180"/>
      <c r="X4570" s="191"/>
      <c r="Y4570" s="180"/>
      <c r="Z4570" s="192" t="str">
        <f>IFERROR(Tableau3[[#This Row],[Chiffre d''affaires]]/Tableau3[[#This Row],[Salariés]],"")</f>
        <v/>
      </c>
      <c r="AA4570" s="197"/>
      <c r="AB4570" s="197"/>
      <c r="AC4570" s="177" t="s">
        <v>1892</v>
      </c>
    </row>
    <row r="4571" spans="1:29" ht="20.25" customHeight="1">
      <c r="A4571" s="217"/>
      <c r="E4571" s="187"/>
      <c r="G4571" s="202">
        <f>(G4570/G4572)-1</f>
        <v>4.0410132689987943E-2</v>
      </c>
      <c r="H4571" s="203">
        <f>(H4570/H4572)-1</f>
        <v>2.7932960893854775E-2</v>
      </c>
      <c r="I4571" s="203">
        <f>(I4570/I4572)-1</f>
        <v>-8.6592178770949713E-2</v>
      </c>
      <c r="J4571" s="203">
        <f>(J4570/J4572)-1</f>
        <v>-1.2987012987012991E-2</v>
      </c>
      <c r="K4571" s="188"/>
      <c r="L4571" s="188"/>
      <c r="M4571" s="178"/>
      <c r="N4571" s="178"/>
      <c r="O4571" s="178"/>
      <c r="P4571" s="178"/>
      <c r="Q4571" s="178"/>
      <c r="R4571" s="178"/>
      <c r="S4571" s="178"/>
      <c r="T4571" s="180"/>
      <c r="U4571" s="189" t="str">
        <f>IFERROR(IF(Tableau3[[#This Row],[Dettes]]=0,"",(Tableau3[[#This Row],[Dettes]]/Tableau3[[#This Row],[EBE]])),"")</f>
        <v/>
      </c>
      <c r="V4571" s="190" t="str">
        <f>IFERROR(Tableau3[[#This Row],[Fonds propres]]/Tableau3[[#This Row],[Total Bilan]],"")</f>
        <v/>
      </c>
      <c r="W4571" s="180"/>
      <c r="Y4571" s="180"/>
      <c r="Z4571" s="192" t="str">
        <f>IFERROR(Tableau3[[#This Row],[Chiffre d''affaires]]/Tableau3[[#This Row],[Salariés]],"")</f>
        <v/>
      </c>
      <c r="AA4571" s="177"/>
      <c r="AC4571" s="177" t="s">
        <v>1893</v>
      </c>
    </row>
    <row r="4572" spans="1:29" ht="20.25" customHeight="1">
      <c r="A4572" s="217"/>
      <c r="E4572" s="187">
        <v>20.91</v>
      </c>
      <c r="F4572" s="178">
        <v>2016</v>
      </c>
      <c r="G4572" s="188">
        <v>3316000000</v>
      </c>
      <c r="H4572" s="188">
        <v>537000000</v>
      </c>
      <c r="I4572" s="188">
        <v>358000000</v>
      </c>
      <c r="J4572" s="188">
        <v>231000000</v>
      </c>
      <c r="K4572" s="188">
        <v>750000000</v>
      </c>
      <c r="L4572" s="188">
        <v>947000000</v>
      </c>
      <c r="M4572" s="194">
        <f>L4572/P4572</f>
        <v>3.7222256239538289</v>
      </c>
      <c r="N4572" s="190">
        <f>J4572/L4572</f>
        <v>0.24392819429778248</v>
      </c>
      <c r="O4572" s="190">
        <f>(I4572*0.64)/(K4572+(M4572*P4572))</f>
        <v>0.13501473187978785</v>
      </c>
      <c r="P4572" s="188">
        <f>57193094/0.2248</f>
        <v>254417677.93594307</v>
      </c>
      <c r="Q4572" s="188">
        <f>P4572*E4572</f>
        <v>5319873645.6405697</v>
      </c>
      <c r="R4572" s="195">
        <f>Q4572/L4572</f>
        <v>5.6176068063786371</v>
      </c>
      <c r="S4572" s="197">
        <f>(Q4572+K4572)/H4572</f>
        <v>11.303302878287839</v>
      </c>
      <c r="T4572" s="180"/>
      <c r="U4572" s="189">
        <f>IFERROR(IF(Tableau3[[#This Row],[Dettes]]=0,"",(Tableau3[[#This Row],[Dettes]]/Tableau3[[#This Row],[EBE]])),"")</f>
        <v>1.3966480446927374</v>
      </c>
      <c r="V4572" s="190" t="str">
        <f>IFERROR(Tableau3[[#This Row],[Fonds propres]]/Tableau3[[#This Row],[Total Bilan]],"")</f>
        <v/>
      </c>
      <c r="W4572" s="180"/>
      <c r="X4572" s="191"/>
      <c r="Y4572" s="180"/>
      <c r="Z4572" s="192" t="str">
        <f>IFERROR(Tableau3[[#This Row],[Chiffre d''affaires]]/Tableau3[[#This Row],[Salariés]],"")</f>
        <v/>
      </c>
      <c r="AA4572" s="197"/>
      <c r="AB4572" s="197"/>
      <c r="AC4572" s="177" t="s">
        <v>1894</v>
      </c>
    </row>
    <row r="4573" spans="1:29" ht="20.25" customHeight="1">
      <c r="A4573" s="217"/>
      <c r="E4573" s="187"/>
      <c r="G4573" s="202">
        <f>(G4572/G4574)-1</f>
        <v>3.4633385335413491E-2</v>
      </c>
      <c r="H4573" s="203">
        <f>(H4572/H4574)-1</f>
        <v>4.8828125E-2</v>
      </c>
      <c r="I4573" s="203">
        <f>(I4572/I4574)-1</f>
        <v>1.4164305949008416E-2</v>
      </c>
      <c r="J4573" s="203" t="e">
        <f>(J4572/J4574)-1</f>
        <v>#DIV/0!</v>
      </c>
      <c r="K4573" s="188"/>
      <c r="L4573" s="188"/>
      <c r="M4573" s="178"/>
      <c r="N4573" s="178"/>
      <c r="O4573" s="178"/>
      <c r="P4573" s="178"/>
      <c r="Q4573" s="178"/>
      <c r="R4573" s="178"/>
      <c r="S4573" s="178"/>
      <c r="T4573" s="180"/>
      <c r="U4573" s="189" t="str">
        <f>IFERROR(IF(Tableau3[[#This Row],[Dettes]]=0,"",(Tableau3[[#This Row],[Dettes]]/Tableau3[[#This Row],[EBE]])),"")</f>
        <v/>
      </c>
      <c r="V4573" s="190" t="str">
        <f>IFERROR(Tableau3[[#This Row],[Fonds propres]]/Tableau3[[#This Row],[Total Bilan]],"")</f>
        <v/>
      </c>
      <c r="W4573" s="180"/>
      <c r="Y4573" s="180"/>
      <c r="Z4573" s="192" t="str">
        <f>IFERROR(Tableau3[[#This Row],[Chiffre d''affaires]]/Tableau3[[#This Row],[Salariés]],"")</f>
        <v/>
      </c>
      <c r="AA4573" s="177"/>
      <c r="AC4573" s="177" t="s">
        <v>1895</v>
      </c>
    </row>
    <row r="4574" spans="1:29" ht="20.25" customHeight="1">
      <c r="A4574" s="217"/>
      <c r="E4574" s="187">
        <v>27.66</v>
      </c>
      <c r="F4574" s="178">
        <v>2015</v>
      </c>
      <c r="G4574" s="188">
        <v>3205000000</v>
      </c>
      <c r="H4574" s="188">
        <v>512000000</v>
      </c>
      <c r="I4574" s="188">
        <v>353000000</v>
      </c>
      <c r="J4574" s="188"/>
      <c r="K4574" s="188">
        <v>941000000</v>
      </c>
      <c r="L4574" s="188"/>
      <c r="M4574" s="188"/>
      <c r="N4574" s="188"/>
      <c r="O4574" s="188"/>
      <c r="P4574" s="188">
        <f>57193094/0.2248</f>
        <v>254417677.93594307</v>
      </c>
      <c r="Q4574" s="188">
        <f>P4574*E4574</f>
        <v>7037192971.7081852</v>
      </c>
      <c r="R4574" s="188"/>
      <c r="S4574" s="197">
        <f>(Q4574+K4574)/H4574</f>
        <v>15.582408147867548</v>
      </c>
      <c r="T4574" s="180"/>
      <c r="U4574" s="189">
        <f>IFERROR(IF(Tableau3[[#This Row],[Dettes]]=0,"",(Tableau3[[#This Row],[Dettes]]/Tableau3[[#This Row],[EBE]])),"")</f>
        <v>1.837890625</v>
      </c>
      <c r="V4574" s="190" t="str">
        <f>IFERROR(Tableau3[[#This Row],[Fonds propres]]/Tableau3[[#This Row],[Total Bilan]],"")</f>
        <v/>
      </c>
      <c r="W4574" s="180"/>
      <c r="X4574" s="191"/>
      <c r="Y4574" s="180"/>
      <c r="Z4574" s="192" t="str">
        <f>IFERROR(Tableau3[[#This Row],[Chiffre d''affaires]]/Tableau3[[#This Row],[Salariés]],"")</f>
        <v/>
      </c>
      <c r="AA4574" s="197"/>
      <c r="AB4574" s="197"/>
      <c r="AC4574" s="177" t="s">
        <v>1896</v>
      </c>
    </row>
    <row r="4575" spans="1:29" ht="20.25" customHeight="1">
      <c r="A4575" s="217"/>
      <c r="F4575" s="188"/>
      <c r="G4575" s="202">
        <f>(G4574/G4576)-1</f>
        <v>0.13773517926872558</v>
      </c>
      <c r="H4575" s="203">
        <f>(H4574/H4576)-1</f>
        <v>0.14031180400890864</v>
      </c>
      <c r="I4575" s="203" t="e">
        <f>(I4574/I4576)-1</f>
        <v>#DIV/0!</v>
      </c>
      <c r="J4575" s="203" t="e">
        <f>(J4574/J4576)-1</f>
        <v>#DIV/0!</v>
      </c>
      <c r="K4575" s="188"/>
      <c r="L4575" s="188"/>
      <c r="M4575" s="188"/>
      <c r="N4575" s="188"/>
      <c r="O4575" s="188"/>
      <c r="P4575" s="188"/>
      <c r="Q4575" s="188"/>
      <c r="R4575" s="188"/>
      <c r="S4575" s="188"/>
      <c r="T4575" s="180"/>
      <c r="U4575" s="189" t="str">
        <f>IFERROR(IF(Tableau3[[#This Row],[Dettes]]=0,"",(Tableau3[[#This Row],[Dettes]]/Tableau3[[#This Row],[EBE]])),"")</f>
        <v/>
      </c>
      <c r="V4575" s="190" t="str">
        <f>IFERROR(Tableau3[[#This Row],[Fonds propres]]/Tableau3[[#This Row],[Total Bilan]],"")</f>
        <v/>
      </c>
      <c r="W4575" s="180"/>
      <c r="X4575" s="192"/>
      <c r="Y4575" s="180"/>
      <c r="Z4575" s="192" t="str">
        <f>IFERROR(Tableau3[[#This Row],[Chiffre d''affaires]]/Tableau3[[#This Row],[Salariés]],"")</f>
        <v/>
      </c>
      <c r="AA4575" s="188"/>
      <c r="AB4575" s="188"/>
    </row>
    <row r="4576" spans="1:29" ht="20.25" customHeight="1">
      <c r="A4576" s="217"/>
      <c r="F4576" s="178">
        <v>2014</v>
      </c>
      <c r="G4576" s="188">
        <v>2817000000</v>
      </c>
      <c r="H4576" s="188">
        <v>449000000</v>
      </c>
      <c r="I4576" s="188"/>
      <c r="J4576" s="188"/>
      <c r="K4576" s="188">
        <v>922000000</v>
      </c>
      <c r="L4576" s="188"/>
      <c r="M4576" s="188"/>
      <c r="N4576" s="188"/>
      <c r="O4576" s="188"/>
      <c r="P4576" s="188"/>
      <c r="Q4576" s="188"/>
      <c r="R4576" s="188"/>
      <c r="S4576" s="188"/>
      <c r="T4576" s="180"/>
      <c r="U4576" s="189">
        <f>IFERROR(IF(Tableau3[[#This Row],[Dettes]]=0,"",(Tableau3[[#This Row],[Dettes]]/Tableau3[[#This Row],[EBE]])),"")</f>
        <v>2.0534521158129175</v>
      </c>
      <c r="V4576" s="190" t="str">
        <f>IFERROR(Tableau3[[#This Row],[Fonds propres]]/Tableau3[[#This Row],[Total Bilan]],"")</f>
        <v/>
      </c>
      <c r="W4576" s="180"/>
      <c r="X4576" s="192"/>
      <c r="Y4576" s="180"/>
      <c r="Z4576" s="192" t="str">
        <f>IFERROR(Tableau3[[#This Row],[Chiffre d''affaires]]/Tableau3[[#This Row],[Salariés]],"")</f>
        <v/>
      </c>
      <c r="AA4576" s="188"/>
      <c r="AB4576" s="188"/>
    </row>
    <row r="4577" spans="1:29" ht="20.25" customHeight="1">
      <c r="A4577" s="217"/>
      <c r="G4577" s="202">
        <f>(G4576/G4578)-1</f>
        <v>7.5190839694656564E-2</v>
      </c>
      <c r="H4577" s="203">
        <f>(H4576/H4578)-1</f>
        <v>0.12250000000000005</v>
      </c>
      <c r="I4577" s="203" t="e">
        <f>(I4576/I4578)-1</f>
        <v>#DIV/0!</v>
      </c>
      <c r="J4577" s="203" t="e">
        <f>(J4576/J4578)-1</f>
        <v>#DIV/0!</v>
      </c>
      <c r="K4577" s="188"/>
      <c r="L4577" s="188"/>
      <c r="M4577" s="188"/>
      <c r="N4577" s="188"/>
      <c r="O4577" s="188"/>
      <c r="P4577" s="188"/>
      <c r="Q4577" s="188"/>
      <c r="R4577" s="188"/>
      <c r="S4577" s="188"/>
      <c r="T4577" s="180"/>
      <c r="U4577" s="189" t="str">
        <f>IFERROR(IF(Tableau3[[#This Row],[Dettes]]=0,"",(Tableau3[[#This Row],[Dettes]]/Tableau3[[#This Row],[EBE]])),"")</f>
        <v/>
      </c>
      <c r="V4577" s="190" t="str">
        <f>IFERROR(Tableau3[[#This Row],[Fonds propres]]/Tableau3[[#This Row],[Total Bilan]],"")</f>
        <v/>
      </c>
      <c r="W4577" s="180"/>
      <c r="X4577" s="192"/>
      <c r="Y4577" s="180"/>
      <c r="Z4577" s="192" t="str">
        <f>IFERROR(Tableau3[[#This Row],[Chiffre d''affaires]]/Tableau3[[#This Row],[Salariés]],"")</f>
        <v/>
      </c>
      <c r="AA4577" s="188"/>
      <c r="AB4577" s="188"/>
    </row>
    <row r="4578" spans="1:29" ht="20.25" customHeight="1">
      <c r="A4578" s="217"/>
      <c r="F4578" s="178">
        <v>2013</v>
      </c>
      <c r="G4578" s="188">
        <v>2620000000</v>
      </c>
      <c r="H4578" s="188">
        <v>400000000</v>
      </c>
      <c r="I4578" s="203"/>
      <c r="J4578" s="203"/>
      <c r="K4578" s="188">
        <v>837000000</v>
      </c>
      <c r="L4578" s="188"/>
      <c r="M4578" s="188"/>
      <c r="N4578" s="188"/>
      <c r="O4578" s="188"/>
      <c r="P4578" s="188"/>
      <c r="Q4578" s="188"/>
      <c r="R4578" s="188"/>
      <c r="S4578" s="188"/>
      <c r="T4578" s="180"/>
      <c r="U4578" s="189">
        <f>IFERROR(IF(Tableau3[[#This Row],[Dettes]]=0,"",(Tableau3[[#This Row],[Dettes]]/Tableau3[[#This Row],[EBE]])),"")</f>
        <v>2.0924999999999998</v>
      </c>
      <c r="V4578" s="190" t="str">
        <f>IFERROR(Tableau3[[#This Row],[Fonds propres]]/Tableau3[[#This Row],[Total Bilan]],"")</f>
        <v/>
      </c>
      <c r="W4578" s="180"/>
      <c r="X4578" s="192"/>
      <c r="Y4578" s="180"/>
      <c r="Z4578" s="192" t="str">
        <f>IFERROR(Tableau3[[#This Row],[Chiffre d''affaires]]/Tableau3[[#This Row],[Salariés]],"")</f>
        <v/>
      </c>
      <c r="AA4578" s="188"/>
      <c r="AB4578" s="188"/>
    </row>
    <row r="4579" spans="1:29" ht="20.25" customHeight="1">
      <c r="A4579" s="217"/>
      <c r="G4579" s="188"/>
      <c r="H4579" s="188"/>
      <c r="I4579" s="188"/>
      <c r="J4579" s="188"/>
      <c r="K4579" s="188"/>
      <c r="L4579" s="188"/>
      <c r="M4579" s="188"/>
      <c r="N4579" s="188"/>
      <c r="O4579" s="188"/>
      <c r="P4579" s="188"/>
      <c r="Q4579" s="188"/>
      <c r="R4579" s="188"/>
      <c r="S4579" s="188"/>
      <c r="T4579" s="180"/>
      <c r="U4579" s="189" t="str">
        <f>IFERROR(IF(Tableau3[[#This Row],[Dettes]]=0,"",(Tableau3[[#This Row],[Dettes]]/Tableau3[[#This Row],[EBE]])),"")</f>
        <v/>
      </c>
      <c r="V4579" s="190" t="str">
        <f>IFERROR(Tableau3[[#This Row],[Fonds propres]]/Tableau3[[#This Row],[Total Bilan]],"")</f>
        <v/>
      </c>
      <c r="W4579" s="180"/>
      <c r="X4579" s="192"/>
      <c r="Y4579" s="180"/>
      <c r="Z4579" s="192" t="str">
        <f>IFERROR(Tableau3[[#This Row],[Chiffre d''affaires]]/Tableau3[[#This Row],[Salariés]],"")</f>
        <v/>
      </c>
      <c r="AA4579" s="188"/>
      <c r="AB4579" s="188"/>
    </row>
    <row r="4580" spans="1:29" ht="20.25" customHeight="1">
      <c r="A4580" s="217"/>
      <c r="F4580" s="178">
        <v>2012</v>
      </c>
      <c r="G4580" s="188">
        <v>2518000000</v>
      </c>
      <c r="H4580" s="188">
        <v>372000000</v>
      </c>
      <c r="I4580" s="188"/>
      <c r="J4580" s="188"/>
      <c r="K4580" s="188">
        <v>1017000000</v>
      </c>
      <c r="L4580" s="188"/>
      <c r="M4580" s="188"/>
      <c r="N4580" s="188"/>
      <c r="O4580" s="188"/>
      <c r="P4580" s="188"/>
      <c r="Q4580" s="188"/>
      <c r="R4580" s="188"/>
      <c r="S4580" s="188"/>
      <c r="T4580" s="180"/>
      <c r="U4580" s="189">
        <f>IFERROR(IF(Tableau3[[#This Row],[Dettes]]=0,"",(Tableau3[[#This Row],[Dettes]]/Tableau3[[#This Row],[EBE]])),"")</f>
        <v>2.7338709677419355</v>
      </c>
      <c r="V4580" s="190" t="str">
        <f>IFERROR(Tableau3[[#This Row],[Fonds propres]]/Tableau3[[#This Row],[Total Bilan]],"")</f>
        <v/>
      </c>
      <c r="W4580" s="180"/>
      <c r="X4580" s="192"/>
      <c r="Y4580" s="180"/>
      <c r="Z4580" s="192" t="str">
        <f>IFERROR(Tableau3[[#This Row],[Chiffre d''affaires]]/Tableau3[[#This Row],[Salariés]],"")</f>
        <v/>
      </c>
      <c r="AA4580" s="188"/>
      <c r="AB4580" s="188"/>
    </row>
    <row r="4581" spans="1:29" ht="20.25" customHeight="1">
      <c r="A4581" s="217"/>
      <c r="G4581" s="188"/>
      <c r="H4581" s="188"/>
      <c r="I4581" s="188"/>
      <c r="J4581" s="188"/>
      <c r="K4581" s="188"/>
      <c r="L4581" s="188"/>
      <c r="M4581" s="188"/>
      <c r="N4581" s="188"/>
      <c r="O4581" s="188"/>
      <c r="P4581" s="188"/>
      <c r="Q4581" s="188"/>
      <c r="R4581" s="188"/>
      <c r="S4581" s="188"/>
      <c r="T4581" s="180"/>
      <c r="U4581" s="189" t="str">
        <f>IFERROR(IF(Tableau3[[#This Row],[Dettes]]=0,"",(Tableau3[[#This Row],[Dettes]]/Tableau3[[#This Row],[EBE]])),"")</f>
        <v/>
      </c>
      <c r="V4581" s="190" t="str">
        <f>IFERROR(Tableau3[[#This Row],[Fonds propres]]/Tableau3[[#This Row],[Total Bilan]],"")</f>
        <v/>
      </c>
      <c r="W4581" s="180"/>
      <c r="X4581" s="192"/>
      <c r="Y4581" s="180"/>
      <c r="Z4581" s="192" t="str">
        <f>IFERROR(Tableau3[[#This Row],[Chiffre d''affaires]]/Tableau3[[#This Row],[Salariés]],"")</f>
        <v/>
      </c>
      <c r="AA4581" s="188"/>
      <c r="AB4581" s="188"/>
    </row>
    <row r="4582" spans="1:29" ht="20.25" customHeight="1">
      <c r="A4582" s="217"/>
      <c r="F4582" s="178">
        <v>2011</v>
      </c>
      <c r="G4582" s="188"/>
      <c r="H4582" s="188">
        <v>348000000</v>
      </c>
      <c r="I4582" s="188"/>
      <c r="J4582" s="188"/>
      <c r="K4582" s="188"/>
      <c r="L4582" s="188"/>
      <c r="M4582" s="188"/>
      <c r="N4582" s="188"/>
      <c r="O4582" s="188"/>
      <c r="P4582" s="188"/>
      <c r="Q4582" s="188"/>
      <c r="R4582" s="188"/>
      <c r="S4582" s="188"/>
      <c r="T4582" s="180"/>
      <c r="U4582" s="189" t="str">
        <f>IFERROR(IF(Tableau3[[#This Row],[Dettes]]=0,"",(Tableau3[[#This Row],[Dettes]]/Tableau3[[#This Row],[EBE]])),"")</f>
        <v/>
      </c>
      <c r="V4582" s="190" t="str">
        <f>IFERROR(Tableau3[[#This Row],[Fonds propres]]/Tableau3[[#This Row],[Total Bilan]],"")</f>
        <v/>
      </c>
      <c r="W4582" s="180"/>
      <c r="X4582" s="192"/>
      <c r="Y4582" s="180"/>
      <c r="Z4582" s="192" t="str">
        <f>IFERROR(Tableau3[[#This Row],[Chiffre d''affaires]]/Tableau3[[#This Row],[Salariés]],"")</f>
        <v/>
      </c>
      <c r="AA4582" s="188"/>
      <c r="AB4582" s="188"/>
    </row>
    <row r="4583" spans="1:29" ht="20.25" customHeight="1">
      <c r="A4583" s="217"/>
      <c r="F4583" s="217" t="s">
        <v>1897</v>
      </c>
      <c r="G4583" s="188"/>
      <c r="H4583" s="188"/>
      <c r="I4583" s="188"/>
      <c r="J4583" s="188"/>
      <c r="K4583" s="188"/>
      <c r="L4583" s="188"/>
      <c r="M4583" s="188"/>
      <c r="N4583" s="188"/>
      <c r="O4583" s="188"/>
      <c r="P4583" s="188"/>
      <c r="Q4583" s="188"/>
      <c r="R4583" s="188"/>
      <c r="S4583" s="188"/>
      <c r="T4583" s="180"/>
      <c r="U4583" s="189" t="str">
        <f>IFERROR(IF(Tableau3[[#This Row],[Dettes]]=0,"",(Tableau3[[#This Row],[Dettes]]/Tableau3[[#This Row],[EBE]])),"")</f>
        <v/>
      </c>
      <c r="V4583" s="190" t="str">
        <f>IFERROR(Tableau3[[#This Row],[Fonds propres]]/Tableau3[[#This Row],[Total Bilan]],"")</f>
        <v/>
      </c>
      <c r="W4583" s="180"/>
      <c r="X4583" s="192"/>
      <c r="Y4583" s="180"/>
      <c r="Z4583" s="192" t="str">
        <f>IFERROR(Tableau3[[#This Row],[Chiffre d''affaires]]/Tableau3[[#This Row],[Salariés]],"")</f>
        <v/>
      </c>
      <c r="AA4583" s="188"/>
      <c r="AB4583" s="188"/>
    </row>
    <row r="4584" spans="1:29" ht="20.25" customHeight="1">
      <c r="A4584" s="217"/>
      <c r="G4584" s="188"/>
      <c r="H4584" s="188"/>
      <c r="I4584" s="188"/>
      <c r="J4584" s="188"/>
      <c r="K4584" s="188"/>
      <c r="L4584" s="188"/>
      <c r="M4584" s="188"/>
      <c r="N4584" s="188"/>
      <c r="O4584" s="188"/>
      <c r="P4584" s="188"/>
      <c r="Q4584" s="188"/>
      <c r="R4584" s="188"/>
      <c r="S4584" s="259" t="s">
        <v>1898</v>
      </c>
      <c r="T4584" s="180"/>
      <c r="U4584" s="189" t="str">
        <f>IFERROR(IF(Tableau3[[#This Row],[Dettes]]=0,"",(Tableau3[[#This Row],[Dettes]]/Tableau3[[#This Row],[EBE]])),"")</f>
        <v/>
      </c>
      <c r="V4584" s="190" t="str">
        <f>IFERROR(Tableau3[[#This Row],[Fonds propres]]/Tableau3[[#This Row],[Total Bilan]],"")</f>
        <v/>
      </c>
      <c r="W4584" s="180"/>
      <c r="X4584" s="192"/>
      <c r="Y4584" s="180"/>
      <c r="Z4584" s="192" t="str">
        <f>IFERROR(Tableau3[[#This Row],[Chiffre d''affaires]]/Tableau3[[#This Row],[Salariés]],"")</f>
        <v/>
      </c>
      <c r="AA4584" s="188"/>
      <c r="AB4584" s="188"/>
    </row>
    <row r="4585" spans="1:29" ht="20.25" customHeight="1">
      <c r="A4585" s="217"/>
      <c r="G4585" s="188"/>
      <c r="H4585" s="188"/>
      <c r="I4585" s="188"/>
      <c r="J4585" s="188"/>
      <c r="K4585" s="188"/>
      <c r="L4585" s="188"/>
      <c r="M4585" s="188"/>
      <c r="N4585" s="188"/>
      <c r="O4585" s="188"/>
      <c r="P4585" s="188"/>
      <c r="Q4585" s="188"/>
      <c r="R4585" s="188"/>
      <c r="S4585" s="178"/>
      <c r="T4585" s="180"/>
      <c r="U4585" s="189" t="str">
        <f>IFERROR(IF(Tableau3[[#This Row],[Dettes]]=0,"",(Tableau3[[#This Row],[Dettes]]/Tableau3[[#This Row],[EBE]])),"")</f>
        <v/>
      </c>
      <c r="V4585" s="190" t="str">
        <f>IFERROR(Tableau3[[#This Row],[Fonds propres]]/Tableau3[[#This Row],[Total Bilan]],"")</f>
        <v/>
      </c>
      <c r="W4585" s="180"/>
      <c r="X4585" s="192"/>
      <c r="Y4585" s="180"/>
      <c r="Z4585" s="192" t="str">
        <f>IFERROR(Tableau3[[#This Row],[Chiffre d''affaires]]/Tableau3[[#This Row],[Salariés]],"")</f>
        <v/>
      </c>
      <c r="AA4585" s="188"/>
      <c r="AB4585" s="188"/>
    </row>
    <row r="4586" spans="1:29" ht="20.25" customHeight="1">
      <c r="A4586" s="217"/>
      <c r="G4586" s="188"/>
      <c r="H4586" s="188"/>
      <c r="I4586" s="178"/>
      <c r="J4586" s="178"/>
      <c r="K4586" s="178"/>
      <c r="L4586" s="178"/>
      <c r="M4586" s="178"/>
      <c r="N4586" s="178"/>
      <c r="O4586" s="178"/>
      <c r="P4586" s="178"/>
      <c r="Q4586" s="178"/>
      <c r="R4586" s="178"/>
      <c r="S4586" s="178"/>
      <c r="T4586" s="180"/>
      <c r="U4586" s="189" t="str">
        <f>IFERROR(IF(Tableau3[[#This Row],[Dettes]]=0,"",(Tableau3[[#This Row],[Dettes]]/Tableau3[[#This Row],[EBE]])),"")</f>
        <v/>
      </c>
      <c r="V4586" s="190" t="str">
        <f>IFERROR(Tableau3[[#This Row],[Fonds propres]]/Tableau3[[#This Row],[Total Bilan]],"")</f>
        <v/>
      </c>
      <c r="W4586" s="180"/>
      <c r="Y4586" s="180"/>
      <c r="Z4586" s="192" t="str">
        <f>IFERROR(Tableau3[[#This Row],[Chiffre d''affaires]]/Tableau3[[#This Row],[Salariés]],"")</f>
        <v/>
      </c>
    </row>
    <row r="4587" spans="1:29" ht="20.25" customHeight="1">
      <c r="A4587" s="217"/>
      <c r="G4587" s="188"/>
      <c r="H4587" s="188"/>
      <c r="I4587" s="178"/>
      <c r="J4587" s="178"/>
      <c r="K4587" s="178"/>
      <c r="L4587" s="178"/>
      <c r="M4587" s="178"/>
      <c r="N4587" s="178"/>
      <c r="O4587" s="178"/>
      <c r="P4587" s="178"/>
      <c r="Q4587" s="178"/>
      <c r="R4587" s="178"/>
      <c r="S4587" s="178"/>
      <c r="T4587" s="180"/>
      <c r="U4587" s="189" t="str">
        <f>IFERROR(IF(Tableau3[[#This Row],[Dettes]]=0,"",(Tableau3[[#This Row],[Dettes]]/Tableau3[[#This Row],[EBE]])),"")</f>
        <v/>
      </c>
      <c r="V4587" s="190" t="str">
        <f>IFERROR(Tableau3[[#This Row],[Fonds propres]]/Tableau3[[#This Row],[Total Bilan]],"")</f>
        <v/>
      </c>
      <c r="W4587" s="180"/>
      <c r="Y4587" s="180"/>
      <c r="Z4587" s="192" t="str">
        <f>IFERROR(Tableau3[[#This Row],[Chiffre d''affaires]]/Tableau3[[#This Row],[Salariés]],"")</f>
        <v/>
      </c>
    </row>
    <row r="4588" spans="1:29" ht="20.25" customHeight="1">
      <c r="A4588" s="217"/>
      <c r="G4588" s="188"/>
      <c r="H4588" s="188"/>
      <c r="I4588" s="178"/>
      <c r="J4588" s="178"/>
      <c r="K4588" s="178"/>
      <c r="L4588" s="178"/>
      <c r="M4588" s="178"/>
      <c r="N4588" s="178"/>
      <c r="O4588" s="178"/>
      <c r="P4588" s="178"/>
      <c r="Q4588" s="178"/>
      <c r="R4588" s="178"/>
      <c r="S4588" s="178"/>
      <c r="T4588" s="180"/>
      <c r="U4588" s="189" t="str">
        <f>IFERROR(IF(Tableau3[[#This Row],[Dettes]]=0,"",(Tableau3[[#This Row],[Dettes]]/Tableau3[[#This Row],[EBE]])),"")</f>
        <v/>
      </c>
      <c r="V4588" s="190" t="str">
        <f>IFERROR(Tableau3[[#This Row],[Fonds propres]]/Tableau3[[#This Row],[Total Bilan]],"")</f>
        <v/>
      </c>
      <c r="W4588" s="180"/>
      <c r="Y4588" s="180"/>
      <c r="Z4588" s="192" t="str">
        <f>IFERROR(Tableau3[[#This Row],[Chiffre d''affaires]]/Tableau3[[#This Row],[Salariés]],"")</f>
        <v/>
      </c>
    </row>
    <row r="4589" spans="1:29" ht="20.25" customHeight="1">
      <c r="A4589" s="217" t="s">
        <v>3136</v>
      </c>
      <c r="B4589" s="216" t="s">
        <v>3137</v>
      </c>
      <c r="C4589" s="178" t="s">
        <v>84</v>
      </c>
      <c r="D4589" s="178" t="s">
        <v>85</v>
      </c>
      <c r="F4589" s="178">
        <v>2025</v>
      </c>
      <c r="G4589" s="188"/>
      <c r="H4589" s="188"/>
      <c r="I4589" s="178"/>
      <c r="J4589" s="178"/>
      <c r="K4589" s="178"/>
      <c r="L4589" s="178"/>
      <c r="M4589" s="178"/>
      <c r="N4589" s="178"/>
      <c r="O4589" s="178"/>
      <c r="P4589" s="178"/>
      <c r="Q4589" s="178"/>
      <c r="R4589" s="178"/>
      <c r="S4589" s="178"/>
      <c r="T4589" s="180"/>
      <c r="U4589" s="189" t="str">
        <f>IFERROR(IF(Tableau3[[#This Row],[Dettes]]=0,"",(Tableau3[[#This Row],[Dettes]]/Tableau3[[#This Row],[EBE]])),"")</f>
        <v/>
      </c>
      <c r="V4589" s="190" t="str">
        <f>IFERROR(Tableau3[[#This Row],[Fonds propres]]/Tableau3[[#This Row],[Total Bilan]],"")</f>
        <v/>
      </c>
      <c r="W4589" s="180"/>
      <c r="Y4589" s="180"/>
      <c r="Z4589" s="192" t="str">
        <f>IFERROR(Tableau3[[#This Row],[Chiffre d''affaires]]/Tableau3[[#This Row],[Salariés]],"")</f>
        <v/>
      </c>
      <c r="AC4589" s="177" t="s">
        <v>3138</v>
      </c>
    </row>
    <row r="4590" spans="1:29" ht="20.25" customHeight="1">
      <c r="A4590" s="217"/>
      <c r="G4590" s="188"/>
      <c r="H4590" s="188"/>
      <c r="I4590" s="178"/>
      <c r="J4590" s="178"/>
      <c r="K4590" s="178"/>
      <c r="L4590" s="178"/>
      <c r="M4590" s="178"/>
      <c r="N4590" s="178"/>
      <c r="O4590" s="178"/>
      <c r="P4590" s="178"/>
      <c r="Q4590" s="178"/>
      <c r="R4590" s="178"/>
      <c r="S4590" s="178"/>
      <c r="T4590" s="180"/>
      <c r="U4590" s="189" t="str">
        <f>IFERROR(IF(Tableau3[[#This Row],[Dettes]]=0,"",(Tableau3[[#This Row],[Dettes]]/Tableau3[[#This Row],[EBE]])),"")</f>
        <v/>
      </c>
      <c r="V4590" s="190" t="str">
        <f>IFERROR(Tableau3[[#This Row],[Fonds propres]]/Tableau3[[#This Row],[Total Bilan]],"")</f>
        <v/>
      </c>
      <c r="W4590" s="180"/>
      <c r="Y4590" s="180"/>
      <c r="Z4590" s="192" t="str">
        <f>IFERROR(Tableau3[[#This Row],[Chiffre d''affaires]]/Tableau3[[#This Row],[Salariés]],"")</f>
        <v/>
      </c>
      <c r="AC4590" s="177" t="s">
        <v>3140</v>
      </c>
    </row>
    <row r="4591" spans="1:29" ht="20.25" customHeight="1">
      <c r="A4591" s="217"/>
      <c r="E4591" s="187">
        <v>379.5</v>
      </c>
      <c r="F4591" s="178">
        <v>2024</v>
      </c>
      <c r="G4591" s="188">
        <v>3271000000</v>
      </c>
      <c r="H4591" s="188">
        <v>513500000</v>
      </c>
      <c r="I4591" s="188">
        <v>147800000</v>
      </c>
      <c r="J4591" s="188">
        <v>52800000</v>
      </c>
      <c r="K4591" s="188">
        <v>1136300000</v>
      </c>
      <c r="L4591" s="188">
        <v>622000000</v>
      </c>
      <c r="M4591" s="194">
        <f>L4591/P4591</f>
        <v>102.62062047528856</v>
      </c>
      <c r="N4591" s="190">
        <f>J4591/L4593</f>
        <v>0.12784503631961258</v>
      </c>
      <c r="O4591" s="190">
        <f>(I4591*0.7)/(K4593+L4593)</f>
        <v>6.6748387096774192E-2</v>
      </c>
      <c r="P4591" s="188">
        <v>6061160</v>
      </c>
      <c r="Q4591" s="188">
        <f>P4591*E4591</f>
        <v>2300210220</v>
      </c>
      <c r="R4591" s="195">
        <f>Q4591/L4591</f>
        <v>3.6980871704180065</v>
      </c>
      <c r="S4591" s="197">
        <f>(Q4591+K4591)/H4591</f>
        <v>6.6923275949367085</v>
      </c>
      <c r="T4591" s="180">
        <v>390400000</v>
      </c>
      <c r="U4591" s="189">
        <f>IFERROR(IF(Tableau3[[#This Row],[Dettes]]=0,"",(Tableau3[[#This Row],[Dettes]]/Tableau3[[#This Row],[EBE]])),"")</f>
        <v>2.2128529698149952</v>
      </c>
      <c r="V4591" s="190" t="str">
        <f>IFERROR(Tableau3[[#This Row],[Fonds propres]]/Tableau3[[#This Row],[Total Bilan]],"")</f>
        <v/>
      </c>
      <c r="W4591" s="180"/>
      <c r="Y4591" s="180">
        <v>42000</v>
      </c>
      <c r="Z4591" s="192">
        <f>IFERROR(Tableau3[[#This Row],[Chiffre d''affaires]]/Tableau3[[#This Row],[Salariés]],"")</f>
        <v>77880.952380952382</v>
      </c>
      <c r="AC4591" s="177" t="s">
        <v>3141</v>
      </c>
    </row>
    <row r="4592" spans="1:29" ht="20.25" customHeight="1">
      <c r="A4592" s="217"/>
      <c r="E4592" s="187"/>
      <c r="G4592" s="202">
        <f>(G4591/G4593)-1</f>
        <v>0.19075354932653799</v>
      </c>
      <c r="H4592" s="202">
        <f>(H4591/H4593)-1</f>
        <v>0.14620535714285721</v>
      </c>
      <c r="I4592" s="202">
        <f>(I4591/I4593)-1</f>
        <v>0.23166666666666669</v>
      </c>
      <c r="J4592" s="202">
        <f>(J4591/J4593)-1</f>
        <v>1.538461538461533E-2</v>
      </c>
      <c r="K4592" s="178"/>
      <c r="L4592" s="178"/>
      <c r="M4592" s="178" t="s">
        <v>4741</v>
      </c>
      <c r="N4592" s="178" t="s">
        <v>4741</v>
      </c>
      <c r="O4592" s="178" t="s">
        <v>4741</v>
      </c>
      <c r="P4592" s="178"/>
      <c r="Q4592" s="178" t="s">
        <v>4741</v>
      </c>
      <c r="R4592" s="178" t="s">
        <v>4741</v>
      </c>
      <c r="S4592" s="178" t="s">
        <v>4742</v>
      </c>
      <c r="T4592" s="180"/>
      <c r="U4592" s="189" t="str">
        <f>IFERROR(IF(Tableau3[[#This Row],[Dettes]]=0,"",(Tableau3[[#This Row],[Dettes]]/Tableau3[[#This Row],[EBE]])),"")</f>
        <v/>
      </c>
      <c r="V4592" s="190" t="str">
        <f>IFERROR(Tableau3[[#This Row],[Fonds propres]]/Tableau3[[#This Row],[Total Bilan]],"")</f>
        <v/>
      </c>
      <c r="W4592" s="180"/>
      <c r="Y4592" s="180"/>
      <c r="Z4592" s="192" t="str">
        <f>IFERROR(Tableau3[[#This Row],[Chiffre d''affaires]]/Tableau3[[#This Row],[Salariés]],"")</f>
        <v/>
      </c>
      <c r="AC4592" s="177" t="s">
        <v>3142</v>
      </c>
    </row>
    <row r="4593" spans="1:29" ht="20.25" customHeight="1">
      <c r="A4593" s="217"/>
      <c r="E4593" s="187">
        <v>306</v>
      </c>
      <c r="F4593" s="178">
        <v>2023</v>
      </c>
      <c r="G4593" s="188">
        <v>2747000000</v>
      </c>
      <c r="H4593" s="188">
        <v>448000000</v>
      </c>
      <c r="I4593" s="188">
        <v>120000000</v>
      </c>
      <c r="J4593" s="188">
        <v>52000000</v>
      </c>
      <c r="K4593" s="188">
        <v>1137000000</v>
      </c>
      <c r="L4593" s="188">
        <v>413000000</v>
      </c>
      <c r="M4593" s="194">
        <f>L4593/P4593</f>
        <v>72.632497150977116</v>
      </c>
      <c r="N4593" s="190">
        <f>J4593/L4595</f>
        <v>0.16014782876501385</v>
      </c>
      <c r="O4593" s="190">
        <f>(I4593*0.7)/(K4595+L4595)</f>
        <v>6.1461915563035048E-2</v>
      </c>
      <c r="P4593" s="188">
        <v>5686160</v>
      </c>
      <c r="Q4593" s="188">
        <f>P4593*E4593</f>
        <v>1739964960</v>
      </c>
      <c r="R4593" s="195">
        <f>Q4593/L4593</f>
        <v>4.2129902179176755</v>
      </c>
      <c r="S4593" s="197">
        <f>(Q4593+K4593)/H4593</f>
        <v>6.4217967857142861</v>
      </c>
      <c r="T4593" s="180">
        <v>356900000</v>
      </c>
      <c r="U4593" s="189">
        <f>IFERROR(IF(Tableau3[[#This Row],[Dettes]]=0,"",(Tableau3[[#This Row],[Dettes]]/Tableau3[[#This Row],[EBE]])),"")</f>
        <v>2.5379464285714284</v>
      </c>
      <c r="V4593" s="190">
        <f>IFERROR(Tableau3[[#This Row],[Fonds propres]]/Tableau3[[#This Row],[Total Bilan]],"")</f>
        <v>0.15952105059868676</v>
      </c>
      <c r="W4593" s="180">
        <v>2589000000</v>
      </c>
      <c r="Y4593" s="180">
        <v>26569</v>
      </c>
      <c r="Z4593" s="192">
        <f>IFERROR(Tableau3[[#This Row],[Chiffre d''affaires]]/Tableau3[[#This Row],[Salariés]],"")</f>
        <v>103391.17016071362</v>
      </c>
      <c r="AC4593" s="177" t="s">
        <v>3143</v>
      </c>
    </row>
    <row r="4594" spans="1:29" ht="20.25" customHeight="1">
      <c r="A4594" s="217" t="s">
        <v>4746</v>
      </c>
      <c r="B4594" s="216" t="s">
        <v>4745</v>
      </c>
      <c r="C4594" s="178" t="s">
        <v>4745</v>
      </c>
      <c r="D4594" s="178" t="s">
        <v>4745</v>
      </c>
      <c r="E4594" s="187" t="s">
        <v>4745</v>
      </c>
      <c r="F4594" s="178" t="s">
        <v>4743</v>
      </c>
      <c r="G4594" s="202">
        <f>(G4593/G4595)-1</f>
        <v>0.10708096562285907</v>
      </c>
      <c r="H4594" s="202">
        <f>(H4593/H4595)-1</f>
        <v>0.20171673819742497</v>
      </c>
      <c r="I4594" s="202">
        <f>(I4593/I4595)-1</f>
        <v>0.10905730129390023</v>
      </c>
      <c r="J4594" s="202">
        <f>(J4593/J4595)-1</f>
        <v>0.24700239808153479</v>
      </c>
      <c r="K4594" s="178" t="s">
        <v>4741</v>
      </c>
      <c r="L4594" s="178" t="s">
        <v>4741</v>
      </c>
      <c r="M4594" s="178" t="s">
        <v>4741</v>
      </c>
      <c r="N4594" s="178" t="s">
        <v>4741</v>
      </c>
      <c r="O4594" s="178" t="s">
        <v>4741</v>
      </c>
      <c r="P4594" s="178" t="s">
        <v>4741</v>
      </c>
      <c r="Q4594" s="178" t="s">
        <v>4741</v>
      </c>
      <c r="R4594" s="178" t="s">
        <v>4741</v>
      </c>
      <c r="S4594" s="178" t="s">
        <v>4742</v>
      </c>
      <c r="T4594" s="180" t="s">
        <v>4742</v>
      </c>
      <c r="U4594" s="189" t="s">
        <v>4744</v>
      </c>
      <c r="V4594" s="190" t="str">
        <f>IFERROR(Tableau3[[#This Row],[Fonds propres]]/Tableau3[[#This Row],[Total Bilan]],"")</f>
        <v/>
      </c>
      <c r="W4594" s="180"/>
      <c r="Y4594" s="180"/>
      <c r="Z4594" s="192" t="str">
        <f>IFERROR(Tableau3[[#This Row],[Chiffre d''affaires]]/Tableau3[[#This Row],[Salariés]],"")</f>
        <v/>
      </c>
      <c r="AC4594" s="177" t="s">
        <v>5148</v>
      </c>
    </row>
    <row r="4595" spans="1:29" ht="20.25" customHeight="1">
      <c r="A4595" s="217" t="s">
        <v>4747</v>
      </c>
      <c r="E4595" s="187">
        <v>268</v>
      </c>
      <c r="F4595" s="178">
        <v>2022</v>
      </c>
      <c r="G4595" s="188">
        <v>2481300000</v>
      </c>
      <c r="H4595" s="188">
        <v>372800000</v>
      </c>
      <c r="I4595" s="188">
        <v>108200000</v>
      </c>
      <c r="J4595" s="188">
        <v>41700000</v>
      </c>
      <c r="K4595" s="188">
        <v>1042000000</v>
      </c>
      <c r="L4595" s="188">
        <v>324700000</v>
      </c>
      <c r="M4595" s="194">
        <f>L4595/P4595</f>
        <v>57.103563740731879</v>
      </c>
      <c r="N4595" s="190">
        <f t="shared" ref="N4595" si="308">J4595/L4597</f>
        <v>0.15600448933782268</v>
      </c>
      <c r="O4595" s="190">
        <f t="shared" ref="O4595" si="309">(I4595*0.7)/(K4597+L4597)</f>
        <v>7.7475450081833055E-2</v>
      </c>
      <c r="P4595" s="188">
        <v>5686160</v>
      </c>
      <c r="Q4595" s="188">
        <f>P4595*E4595</f>
        <v>1523890880</v>
      </c>
      <c r="R4595" s="195">
        <f>Q4595/L4595</f>
        <v>4.6932272251308902</v>
      </c>
      <c r="S4595" s="197">
        <f>(Q4595+K4595)/H4595</f>
        <v>6.8827545064377684</v>
      </c>
      <c r="T4595" s="180"/>
      <c r="U4595" s="189">
        <f>IFERROR(IF(Tableau3[[#This Row],[Dettes]]=0,"",(Tableau3[[#This Row],[Dettes]]/Tableau3[[#This Row],[EBE]])),"")</f>
        <v>2.7950643776824036</v>
      </c>
      <c r="V4595" s="190">
        <f>IFERROR(Tableau3[[#This Row],[Fonds propres]]/Tableau3[[#This Row],[Total Bilan]],"")</f>
        <v>0.14322893692104102</v>
      </c>
      <c r="W4595" s="180">
        <v>2267000000</v>
      </c>
      <c r="Y4595" s="180">
        <v>24843</v>
      </c>
      <c r="Z4595" s="192">
        <f>IFERROR(Tableau3[[#This Row],[Chiffre d''affaires]]/Tableau3[[#This Row],[Salariés]],"")</f>
        <v>99879.241637483399</v>
      </c>
      <c r="AC4595" s="6" t="s">
        <v>5147</v>
      </c>
    </row>
    <row r="4596" spans="1:29" ht="20.25" customHeight="1">
      <c r="A4596" s="217" t="s">
        <v>4748</v>
      </c>
      <c r="E4596" s="187"/>
      <c r="G4596" s="202">
        <f>(G4595/G4597)-1</f>
        <v>0.29849808990528026</v>
      </c>
      <c r="H4596" s="202">
        <f>(H4595/H4597)-1</f>
        <v>0.37767923133776793</v>
      </c>
      <c r="I4596" s="202">
        <f>(I4595/I4597)-1</f>
        <v>0.43121693121693117</v>
      </c>
      <c r="J4596" s="202">
        <f>(J4595/J4597)-1</f>
        <v>0.16806722689075637</v>
      </c>
      <c r="K4596" s="188"/>
      <c r="L4596" s="188"/>
      <c r="M4596" s="178"/>
      <c r="N4596" s="178"/>
      <c r="O4596" s="178"/>
      <c r="P4596" s="188"/>
      <c r="Q4596" s="178"/>
      <c r="R4596" s="178"/>
      <c r="S4596" s="178"/>
      <c r="T4596" s="180"/>
      <c r="U4596" s="189" t="str">
        <f>IFERROR(IF(Tableau3[[#This Row],[Dettes]]=0,"",(Tableau3[[#This Row],[Dettes]]/Tableau3[[#This Row],[EBE]])),"")</f>
        <v/>
      </c>
      <c r="V4596" s="190" t="str">
        <f>IFERROR(Tableau3[[#This Row],[Fonds propres]]/Tableau3[[#This Row],[Total Bilan]],"")</f>
        <v/>
      </c>
      <c r="W4596" s="180"/>
      <c r="Y4596" s="180"/>
      <c r="Z4596" s="192" t="str">
        <f>IFERROR(Tableau3[[#This Row],[Chiffre d''affaires]]/Tableau3[[#This Row],[Salariés]],"")</f>
        <v/>
      </c>
      <c r="AC4596" s="10" t="s">
        <v>3155</v>
      </c>
    </row>
    <row r="4597" spans="1:29" ht="20.25" customHeight="1">
      <c r="A4597" s="217"/>
      <c r="E4597" s="187">
        <v>367</v>
      </c>
      <c r="F4597" s="178">
        <v>2021</v>
      </c>
      <c r="G4597" s="188">
        <v>1910900000</v>
      </c>
      <c r="H4597" s="188">
        <v>270600000</v>
      </c>
      <c r="I4597" s="188">
        <v>75600000</v>
      </c>
      <c r="J4597" s="188">
        <v>35700000</v>
      </c>
      <c r="K4597" s="188">
        <v>710300000</v>
      </c>
      <c r="L4597" s="188">
        <v>267300000</v>
      </c>
      <c r="M4597" s="194">
        <f>L4597/P4597</f>
        <v>47.111383083047869</v>
      </c>
      <c r="N4597" s="190">
        <f t="shared" ref="N4597" si="310">J4597/L4599</f>
        <v>0.15575916230366493</v>
      </c>
      <c r="O4597" s="190">
        <f t="shared" ref="O4597" si="311">(I4597*0.7)/(K4599+L4599)</f>
        <v>7.9304660572456165E-2</v>
      </c>
      <c r="P4597" s="188">
        <v>5673788</v>
      </c>
      <c r="Q4597" s="188">
        <f>P4597*E4597</f>
        <v>2082280196</v>
      </c>
      <c r="R4597" s="195">
        <f>Q4597/L4597</f>
        <v>7.7900493677515898</v>
      </c>
      <c r="S4597" s="197">
        <f>(Q4597+K4597)/H4597</f>
        <v>10.319956378418329</v>
      </c>
      <c r="T4597" s="180"/>
      <c r="U4597" s="189">
        <f>IFERROR(IF(Tableau3[[#This Row],[Dettes]]=0,"",(Tableau3[[#This Row],[Dettes]]/Tableau3[[#This Row],[EBE]])),"")</f>
        <v>2.6249076127124908</v>
      </c>
      <c r="V4597" s="190">
        <f>IFERROR(Tableau3[[#This Row],[Fonds propres]]/Tableau3[[#This Row],[Total Bilan]],"")</f>
        <v>0.15732783990582697</v>
      </c>
      <c r="W4597" s="180">
        <v>1699000000</v>
      </c>
      <c r="Y4597" s="180">
        <v>24442</v>
      </c>
      <c r="Z4597" s="192">
        <f>IFERROR(Tableau3[[#This Row],[Chiffre d''affaires]]/Tableau3[[#This Row],[Salariés]],"")</f>
        <v>78180.999918173635</v>
      </c>
      <c r="AC4597" s="10" t="s">
        <v>5150</v>
      </c>
    </row>
    <row r="4598" spans="1:29" ht="20.25" customHeight="1">
      <c r="A4598" s="217"/>
      <c r="E4598" s="187"/>
      <c r="G4598" s="202">
        <f>(G4597/G4599)-1</f>
        <v>0.16319698076454836</v>
      </c>
      <c r="H4598" s="202">
        <f>(H4597/H4599)-1</f>
        <v>0.2091152815013404</v>
      </c>
      <c r="I4598" s="202">
        <f>(I4597/I4599)-1</f>
        <v>0.24958677685950414</v>
      </c>
      <c r="J4598" s="202">
        <f>(J4597/J4599)-1</f>
        <v>0.26595744680851063</v>
      </c>
      <c r="K4598" s="188"/>
      <c r="L4598" s="188"/>
      <c r="M4598" s="178"/>
      <c r="N4598" s="178"/>
      <c r="O4598" s="178"/>
      <c r="P4598" s="188"/>
      <c r="Q4598" s="178"/>
      <c r="R4598" s="178"/>
      <c r="S4598" s="178"/>
      <c r="T4598" s="180"/>
      <c r="U4598" s="189" t="str">
        <f>IFERROR(IF(Tableau3[[#This Row],[Dettes]]=0,"",(Tableau3[[#This Row],[Dettes]]/Tableau3[[#This Row],[EBE]])),"")</f>
        <v/>
      </c>
      <c r="V4598" s="190" t="str">
        <f>IFERROR(Tableau3[[#This Row],[Fonds propres]]/Tableau3[[#This Row],[Total Bilan]],"")</f>
        <v/>
      </c>
      <c r="W4598" s="180"/>
      <c r="Y4598" s="180"/>
      <c r="Z4598" s="192" t="str">
        <f>IFERROR(Tableau3[[#This Row],[Chiffre d''affaires]]/Tableau3[[#This Row],[Salariés]],"")</f>
        <v/>
      </c>
      <c r="AC4598" s="177" t="s">
        <v>3144</v>
      </c>
    </row>
    <row r="4599" spans="1:29" ht="20.25" customHeight="1">
      <c r="A4599" s="217"/>
      <c r="E4599" s="187">
        <v>226</v>
      </c>
      <c r="F4599" s="178">
        <v>2020</v>
      </c>
      <c r="G4599" s="188">
        <v>1642800000</v>
      </c>
      <c r="H4599" s="188">
        <v>223800000</v>
      </c>
      <c r="I4599" s="188">
        <v>60500000</v>
      </c>
      <c r="J4599" s="188">
        <v>28200000</v>
      </c>
      <c r="K4599" s="188">
        <v>438100000</v>
      </c>
      <c r="L4599" s="188">
        <v>229200000</v>
      </c>
      <c r="M4599" s="194">
        <f>L4599/P4599</f>
        <v>40.570486174969602</v>
      </c>
      <c r="N4599" s="190">
        <f t="shared" ref="N4599" si="312">J4599/L4601</f>
        <v>0.14611398963730571</v>
      </c>
      <c r="O4599" s="190">
        <f t="shared" ref="O4599" si="313">(I4599*0.7)/(K4601+L4601)</f>
        <v>6.3988275111809503E-2</v>
      </c>
      <c r="P4599" s="188">
        <v>5649427</v>
      </c>
      <c r="Q4599" s="188">
        <f>P4599*E4599</f>
        <v>1276770502</v>
      </c>
      <c r="R4599" s="195">
        <f>Q4599/L4599</f>
        <v>5.5705519284467711</v>
      </c>
      <c r="S4599" s="197">
        <f>(Q4599+K4599)/H4599</f>
        <v>7.6625134137622881</v>
      </c>
      <c r="T4599" s="180"/>
      <c r="U4599" s="189">
        <f>IFERROR(IF(Tableau3[[#This Row],[Dettes]]=0,"",(Tableau3[[#This Row],[Dettes]]/Tableau3[[#This Row],[EBE]])),"")</f>
        <v>1.9575513851653261</v>
      </c>
      <c r="V4599" s="190">
        <f>IFERROR(Tableau3[[#This Row],[Fonds propres]]/Tableau3[[#This Row],[Total Bilan]],"")</f>
        <v>0.1817605075337034</v>
      </c>
      <c r="W4599" s="180">
        <v>1261000000</v>
      </c>
      <c r="Y4599" s="180">
        <v>21187</v>
      </c>
      <c r="Z4599" s="192">
        <f>IFERROR(Tableau3[[#This Row],[Chiffre d''affaires]]/Tableau3[[#This Row],[Salariés]],"")</f>
        <v>77538.112993816962</v>
      </c>
      <c r="AC4599" s="177" t="s">
        <v>3145</v>
      </c>
    </row>
    <row r="4600" spans="1:29" ht="20.25" customHeight="1">
      <c r="A4600" s="217"/>
      <c r="E4600" s="187"/>
      <c r="G4600" s="202">
        <f>(G4599/G4601)-1</f>
        <v>7.0925684485006579E-2</v>
      </c>
      <c r="H4600" s="202">
        <f>(H4599/H4601)-1</f>
        <v>0.13604060913705585</v>
      </c>
      <c r="I4600" s="202">
        <f>(I4599/I4601)-1</f>
        <v>0.14150943396226423</v>
      </c>
      <c r="J4600" s="202">
        <f>(J4599/J4601)-1</f>
        <v>0.87999999999999989</v>
      </c>
      <c r="K4600" s="178"/>
      <c r="L4600" s="178"/>
      <c r="M4600" s="178"/>
      <c r="N4600" s="178"/>
      <c r="O4600" s="178"/>
      <c r="P4600" s="188"/>
      <c r="Q4600" s="178"/>
      <c r="R4600" s="178"/>
      <c r="S4600" s="178"/>
      <c r="T4600" s="180"/>
      <c r="U4600" s="189" t="str">
        <f>IFERROR(IF(Tableau3[[#This Row],[Dettes]]=0,"",(Tableau3[[#This Row],[Dettes]]/Tableau3[[#This Row],[EBE]])),"")</f>
        <v/>
      </c>
      <c r="V4600" s="190" t="str">
        <f>IFERROR(Tableau3[[#This Row],[Fonds propres]]/Tableau3[[#This Row],[Total Bilan]],"")</f>
        <v/>
      </c>
      <c r="W4600" s="180"/>
      <c r="Y4600" s="180"/>
      <c r="Z4600" s="192" t="str">
        <f>IFERROR(Tableau3[[#This Row],[Chiffre d''affaires]]/Tableau3[[#This Row],[Salariés]],"")</f>
        <v/>
      </c>
      <c r="AC4600" s="177" t="s">
        <v>3146</v>
      </c>
    </row>
    <row r="4601" spans="1:29" ht="20.25" customHeight="1">
      <c r="A4601" s="217"/>
      <c r="E4601" s="187">
        <v>180.4</v>
      </c>
      <c r="F4601" s="178">
        <v>2019</v>
      </c>
      <c r="G4601" s="188">
        <v>1534000000</v>
      </c>
      <c r="H4601" s="188">
        <v>197000000</v>
      </c>
      <c r="I4601" s="188">
        <v>53000000</v>
      </c>
      <c r="J4601" s="188">
        <v>15000000</v>
      </c>
      <c r="K4601" s="188">
        <v>468840000</v>
      </c>
      <c r="L4601" s="188">
        <v>193000000</v>
      </c>
      <c r="M4601" s="194">
        <f>L4601/P4601</f>
        <v>34.162756683111404</v>
      </c>
      <c r="N4601" s="190">
        <f t="shared" ref="N4601" si="314">J4601/L4603</f>
        <v>8.3798882681564241E-2</v>
      </c>
      <c r="O4601" s="190">
        <f t="shared" ref="O4601" si="315">(I4601*0.7)/(K4603+L4603)</f>
        <v>0.15330578512396695</v>
      </c>
      <c r="P4601" s="188">
        <v>5649427</v>
      </c>
      <c r="Q4601" s="188">
        <f t="shared" ref="Q4601" si="316">P4601*E4601</f>
        <v>1019156630.8000001</v>
      </c>
      <c r="R4601" s="195">
        <f t="shared" ref="R4601" si="317">Q4601/L4601</f>
        <v>5.2806043046632132</v>
      </c>
      <c r="S4601" s="197">
        <f t="shared" ref="S4601" si="318">(Q4601+K4601)/H4601</f>
        <v>7.553282389847717</v>
      </c>
      <c r="T4601" s="180"/>
      <c r="U4601" s="189">
        <f>IFERROR(IF(Tableau3[[#This Row],[Dettes]]=0,"",(Tableau3[[#This Row],[Dettes]]/Tableau3[[#This Row],[EBE]])),"")</f>
        <v>2.3798984771573606</v>
      </c>
      <c r="V4601" s="190">
        <f>IFERROR(Tableau3[[#This Row],[Fonds propres]]/Tableau3[[#This Row],[Total Bilan]],"")</f>
        <v>0.16218487394957984</v>
      </c>
      <c r="W4601" s="180">
        <v>1190000000</v>
      </c>
      <c r="Y4601" s="180">
        <v>20040</v>
      </c>
      <c r="Z4601" s="192">
        <f>IFERROR(Tableau3[[#This Row],[Chiffre d''affaires]]/Tableau3[[#This Row],[Salariés]],"")</f>
        <v>76546.906187624743</v>
      </c>
      <c r="AC4601" s="254" t="s">
        <v>5146</v>
      </c>
    </row>
    <row r="4602" spans="1:29" ht="20.25" customHeight="1">
      <c r="A4602" s="217"/>
      <c r="E4602" s="187"/>
      <c r="G4602" s="202">
        <f>(G4601/G4603)-1</f>
        <v>8.7943262411347423E-2</v>
      </c>
      <c r="H4602" s="202">
        <f>(H4601/H4603)-1</f>
        <v>1.6621621621621623</v>
      </c>
      <c r="I4602" s="202">
        <f>(I4601/I4603)-1</f>
        <v>0.15217391304347827</v>
      </c>
      <c r="J4602" s="202">
        <f>(J4601/J4603)-1</f>
        <v>-0.4</v>
      </c>
      <c r="K4602" s="178"/>
      <c r="L4602" s="178"/>
      <c r="M4602" s="178"/>
      <c r="N4602" s="178"/>
      <c r="O4602" s="178"/>
      <c r="P4602" s="188"/>
      <c r="Q4602" s="178"/>
      <c r="R4602" s="178"/>
      <c r="S4602" s="178"/>
      <c r="T4602" s="180"/>
      <c r="U4602" s="189" t="str">
        <f>IFERROR(IF(Tableau3[[#This Row],[Dettes]]=0,"",(Tableau3[[#This Row],[Dettes]]/Tableau3[[#This Row],[EBE]])),"")</f>
        <v/>
      </c>
      <c r="V4602" s="190" t="str">
        <f>IFERROR(Tableau3[[#This Row],[Fonds propres]]/Tableau3[[#This Row],[Total Bilan]],"")</f>
        <v/>
      </c>
      <c r="W4602" s="180"/>
      <c r="Y4602" s="180"/>
      <c r="Z4602" s="192" t="str">
        <f>IFERROR(Tableau3[[#This Row],[Chiffre d''affaires]]/Tableau3[[#This Row],[Salariés]],"")</f>
        <v/>
      </c>
      <c r="AC4602" s="177" t="s">
        <v>3147</v>
      </c>
    </row>
    <row r="4603" spans="1:29" ht="20.25" customHeight="1">
      <c r="A4603" s="217"/>
      <c r="E4603" s="187">
        <v>115</v>
      </c>
      <c r="F4603" s="178">
        <v>2018</v>
      </c>
      <c r="G4603" s="188">
        <v>1410000000</v>
      </c>
      <c r="H4603" s="188">
        <v>74000000</v>
      </c>
      <c r="I4603" s="188">
        <v>46000000</v>
      </c>
      <c r="J4603" s="188">
        <v>25000000</v>
      </c>
      <c r="K4603" s="188">
        <v>63000000</v>
      </c>
      <c r="L4603" s="188">
        <v>179000000</v>
      </c>
      <c r="M4603" s="194">
        <f t="shared" ref="M4603" si="319">L4603/P4603</f>
        <v>31.684629255320939</v>
      </c>
      <c r="N4603" s="190">
        <f t="shared" ref="N4603" si="320">J4603/L4605</f>
        <v>0.16233766233766234</v>
      </c>
      <c r="O4603" s="190">
        <f t="shared" ref="O4603" si="321">(I4603*0.7)/(K4605+L4605)</f>
        <v>0.15133712459463269</v>
      </c>
      <c r="P4603" s="188">
        <v>5649427</v>
      </c>
      <c r="Q4603" s="188">
        <f t="shared" ref="Q4603" si="322">P4603*E4603</f>
        <v>649684105</v>
      </c>
      <c r="R4603" s="195">
        <f t="shared" ref="R4603" si="323">Q4603/L4603</f>
        <v>3.6295201396648045</v>
      </c>
      <c r="S4603" s="197">
        <f t="shared" ref="S4603" si="324">(Q4603+K4603)/H4603</f>
        <v>9.6308662837837833</v>
      </c>
      <c r="T4603" s="180"/>
      <c r="U4603" s="189">
        <f>IFERROR(IF(Tableau3[[#This Row],[Dettes]]=0,"",(Tableau3[[#This Row],[Dettes]]/Tableau3[[#This Row],[EBE]])),"")</f>
        <v>0.85135135135135132</v>
      </c>
      <c r="V4603" s="190">
        <f>IFERROR(Tableau3[[#This Row],[Fonds propres]]/Tableau3[[#This Row],[Total Bilan]],"")</f>
        <v>0.23708609271523179</v>
      </c>
      <c r="W4603" s="180">
        <v>755000000</v>
      </c>
      <c r="Y4603" s="180">
        <v>19669</v>
      </c>
      <c r="Z4603" s="192">
        <f>IFERROR(Tableau3[[#This Row],[Chiffre d''affaires]]/Tableau3[[#This Row],[Salariés]],"")</f>
        <v>71686.410086938835</v>
      </c>
      <c r="AC4603" s="177" t="s">
        <v>692</v>
      </c>
    </row>
    <row r="4604" spans="1:29" ht="20.25" customHeight="1">
      <c r="A4604" s="217"/>
      <c r="E4604" s="187"/>
      <c r="G4604" s="202">
        <f>(G4603/G4605)-1</f>
        <v>6.0948081264108334E-2</v>
      </c>
      <c r="H4604" s="202">
        <f>(H4603/H4605)-1</f>
        <v>0.29824561403508776</v>
      </c>
      <c r="I4604" s="202">
        <f>(I4603/I4605)-1</f>
        <v>0.31428571428571428</v>
      </c>
      <c r="J4604" s="202">
        <f>(J4603/J4605)-1</f>
        <v>0.5625</v>
      </c>
      <c r="K4604" s="178"/>
      <c r="L4604" s="178"/>
      <c r="M4604" s="178"/>
      <c r="N4604" s="178"/>
      <c r="O4604" s="178"/>
      <c r="P4604" s="188"/>
      <c r="Q4604" s="178"/>
      <c r="R4604" s="178"/>
      <c r="S4604" s="178"/>
      <c r="T4604" s="180"/>
      <c r="U4604" s="189" t="str">
        <f>IFERROR(IF(Tableau3[[#This Row],[Dettes]]=0,"",(Tableau3[[#This Row],[Dettes]]/Tableau3[[#This Row],[EBE]])),"")</f>
        <v/>
      </c>
      <c r="V4604" s="190" t="str">
        <f>IFERROR(Tableau3[[#This Row],[Fonds propres]]/Tableau3[[#This Row],[Total Bilan]],"")</f>
        <v/>
      </c>
      <c r="W4604" s="180"/>
      <c r="Y4604" s="180"/>
      <c r="Z4604" s="192" t="str">
        <f>IFERROR(Tableau3[[#This Row],[Chiffre d''affaires]]/Tableau3[[#This Row],[Salariés]],"")</f>
        <v/>
      </c>
      <c r="AC4604" s="177" t="s">
        <v>5149</v>
      </c>
    </row>
    <row r="4605" spans="1:29" ht="20.25" customHeight="1">
      <c r="A4605" s="217"/>
      <c r="E4605" s="187">
        <v>135.19999999999999</v>
      </c>
      <c r="F4605" s="178">
        <v>2017</v>
      </c>
      <c r="G4605" s="188">
        <v>1329000000</v>
      </c>
      <c r="H4605" s="188">
        <v>57000000</v>
      </c>
      <c r="I4605" s="188">
        <v>35000000</v>
      </c>
      <c r="J4605" s="188">
        <v>16000000</v>
      </c>
      <c r="K4605" s="188">
        <v>58770000</v>
      </c>
      <c r="L4605" s="188">
        <v>154000000</v>
      </c>
      <c r="M4605" s="194">
        <f t="shared" ref="M4605" si="325">L4605/P4605</f>
        <v>27.259401705695108</v>
      </c>
      <c r="N4605" s="190">
        <f t="shared" ref="N4605" si="326">J4605/L4607</f>
        <v>0.11594202898550725</v>
      </c>
      <c r="O4605" s="190">
        <f t="shared" ref="O4605" si="327">(I4605*0.7)/(K4607+L4607)</f>
        <v>0.13000795967100026</v>
      </c>
      <c r="P4605" s="188">
        <v>5649427</v>
      </c>
      <c r="Q4605" s="188">
        <f t="shared" ref="Q4605" si="328">P4605*E4605</f>
        <v>763802530.39999998</v>
      </c>
      <c r="R4605" s="195">
        <f t="shared" ref="R4605" si="329">Q4605/L4605</f>
        <v>4.9597566909090904</v>
      </c>
      <c r="S4605" s="197">
        <f t="shared" ref="S4605" si="330">(Q4605+K4605)/H4605</f>
        <v>14.431097024561403</v>
      </c>
      <c r="T4605" s="180"/>
      <c r="U4605" s="189">
        <f>IFERROR(IF(Tableau3[[#This Row],[Dettes]]=0,"",(Tableau3[[#This Row],[Dettes]]/Tableau3[[#This Row],[EBE]])),"")</f>
        <v>1.0310526315789474</v>
      </c>
      <c r="V4605" s="190">
        <f>IFERROR(Tableau3[[#This Row],[Fonds propres]]/Tableau3[[#This Row],[Total Bilan]],"")</f>
        <v>0.21957340025094102</v>
      </c>
      <c r="W4605" s="180">
        <v>701360000</v>
      </c>
      <c r="Y4605" s="180">
        <v>17820</v>
      </c>
      <c r="Z4605" s="192">
        <f>IFERROR(Tableau3[[#This Row],[Chiffre d''affaires]]/Tableau3[[#This Row],[Salariés]],"")</f>
        <v>74579.124579124575</v>
      </c>
      <c r="AC4605" s="177" t="s">
        <v>629</v>
      </c>
    </row>
    <row r="4606" spans="1:29" ht="20.25" customHeight="1">
      <c r="A4606" s="217"/>
      <c r="E4606" s="187"/>
      <c r="G4606" s="202">
        <f>(G4605/G4607)-1</f>
        <v>0.24205607476635516</v>
      </c>
      <c r="H4606" s="202">
        <f>(H4605/H4607)-1</f>
        <v>5.555555555555558E-2</v>
      </c>
      <c r="I4606" s="202">
        <f>(I4605/I4607)-1</f>
        <v>0.29629629629629628</v>
      </c>
      <c r="J4606" s="202">
        <f>(J4605/J4607)-1</f>
        <v>6.6666666666666652E-2</v>
      </c>
      <c r="K4606" s="178"/>
      <c r="L4606" s="178"/>
      <c r="M4606" s="178"/>
      <c r="N4606" s="178"/>
      <c r="O4606" s="178"/>
      <c r="P4606" s="188"/>
      <c r="Q4606" s="178"/>
      <c r="R4606" s="178"/>
      <c r="S4606" s="178"/>
      <c r="T4606" s="180"/>
      <c r="U4606" s="189" t="str">
        <f>IFERROR(IF(Tableau3[[#This Row],[Dettes]]=0,"",(Tableau3[[#This Row],[Dettes]]/Tableau3[[#This Row],[EBE]])),"")</f>
        <v/>
      </c>
      <c r="V4606" s="190" t="str">
        <f>IFERROR(Tableau3[[#This Row],[Fonds propres]]/Tableau3[[#This Row],[Total Bilan]],"")</f>
        <v/>
      </c>
      <c r="W4606" s="180"/>
      <c r="Y4606" s="180"/>
      <c r="Z4606" s="192" t="str">
        <f>IFERROR(Tableau3[[#This Row],[Chiffre d''affaires]]/Tableau3[[#This Row],[Salariés]],"")</f>
        <v/>
      </c>
      <c r="AC4606" s="177" t="s">
        <v>711</v>
      </c>
    </row>
    <row r="4607" spans="1:29" ht="20.25" customHeight="1">
      <c r="A4607" s="217"/>
      <c r="E4607" s="187">
        <v>135</v>
      </c>
      <c r="F4607" s="178">
        <v>2016</v>
      </c>
      <c r="G4607" s="188">
        <v>1070000000</v>
      </c>
      <c r="H4607" s="188">
        <v>54000000</v>
      </c>
      <c r="I4607" s="188">
        <v>27000000</v>
      </c>
      <c r="J4607" s="188">
        <v>15000000</v>
      </c>
      <c r="K4607" s="188">
        <v>50450000</v>
      </c>
      <c r="L4607" s="188">
        <v>138000000</v>
      </c>
      <c r="M4607" s="194">
        <f t="shared" ref="M4607" si="331">L4607/P4607</f>
        <v>24.427256073934579</v>
      </c>
      <c r="N4607" s="190">
        <f t="shared" ref="N4607" si="332">J4607/L4609</f>
        <v>0.12096774193548387</v>
      </c>
      <c r="O4607" s="190">
        <f t="shared" ref="O4607" si="333">(I4607*0.7)/(K4609+L4609)</f>
        <v>0.13985496522125204</v>
      </c>
      <c r="P4607" s="188">
        <v>5649427</v>
      </c>
      <c r="Q4607" s="188">
        <f t="shared" ref="Q4607" si="334">P4607*E4607</f>
        <v>762672645</v>
      </c>
      <c r="R4607" s="195">
        <f t="shared" ref="R4607" si="335">Q4607/L4607</f>
        <v>5.5266133695652178</v>
      </c>
      <c r="S4607" s="197">
        <f t="shared" ref="S4607" si="336">(Q4607+K4607)/H4607</f>
        <v>15.057826759259259</v>
      </c>
      <c r="T4607" s="180"/>
      <c r="U4607" s="189">
        <f>IFERROR(IF(Tableau3[[#This Row],[Dettes]]=0,"",(Tableau3[[#This Row],[Dettes]]/Tableau3[[#This Row],[EBE]])),"")</f>
        <v>0.93425925925925923</v>
      </c>
      <c r="V4607" s="190">
        <f>IFERROR(Tableau3[[#This Row],[Fonds propres]]/Tableau3[[#This Row],[Total Bilan]],"")</f>
        <v>0.20234604105571846</v>
      </c>
      <c r="W4607" s="180">
        <v>682000000</v>
      </c>
      <c r="Y4607" s="180">
        <v>17750</v>
      </c>
      <c r="Z4607" s="192">
        <f>IFERROR(Tableau3[[#This Row],[Chiffre d''affaires]]/Tableau3[[#This Row],[Salariés]],"")</f>
        <v>60281.690140845072</v>
      </c>
    </row>
    <row r="4608" spans="1:29" ht="20.25" customHeight="1">
      <c r="A4608" s="217"/>
      <c r="E4608" s="187"/>
      <c r="G4608" s="202">
        <f>(G4607/G4609)-1</f>
        <v>0.14930182599355524</v>
      </c>
      <c r="H4608" s="202">
        <f>(H4607/H4609)-1</f>
        <v>-0.15625</v>
      </c>
      <c r="I4608" s="202">
        <f>(I4607/I4609)-1</f>
        <v>-0.30769230769230771</v>
      </c>
      <c r="J4608" s="202">
        <f>(J4607/J4609)-1</f>
        <v>-0.2857142857142857</v>
      </c>
      <c r="K4608" s="178"/>
      <c r="L4608" s="178"/>
      <c r="M4608" s="178"/>
      <c r="N4608" s="178"/>
      <c r="O4608" s="178"/>
      <c r="P4608" s="188"/>
      <c r="Q4608" s="178"/>
      <c r="R4608" s="178"/>
      <c r="S4608" s="178"/>
      <c r="T4608" s="180"/>
      <c r="U4608" s="189" t="str">
        <f>IFERROR(IF(Tableau3[[#This Row],[Dettes]]=0,"",(Tableau3[[#This Row],[Dettes]]/Tableau3[[#This Row],[EBE]])),"")</f>
        <v/>
      </c>
      <c r="V4608" s="190" t="str">
        <f>IFERROR(Tableau3[[#This Row],[Fonds propres]]/Tableau3[[#This Row],[Total Bilan]],"")</f>
        <v/>
      </c>
      <c r="W4608" s="180"/>
      <c r="Y4608" s="180"/>
      <c r="Z4608" s="192" t="str">
        <f>IFERROR(Tableau3[[#This Row],[Chiffre d''affaires]]/Tableau3[[#This Row],[Salariés]],"")</f>
        <v/>
      </c>
    </row>
    <row r="4609" spans="1:29" ht="20.25" customHeight="1">
      <c r="A4609" s="217"/>
      <c r="E4609" s="187">
        <v>128.5</v>
      </c>
      <c r="F4609" s="178">
        <v>2015</v>
      </c>
      <c r="G4609" s="188">
        <v>931000000</v>
      </c>
      <c r="H4609" s="188">
        <v>64000000</v>
      </c>
      <c r="I4609" s="188">
        <v>39000000</v>
      </c>
      <c r="J4609" s="188">
        <v>21000000</v>
      </c>
      <c r="K4609" s="188">
        <v>11140000</v>
      </c>
      <c r="L4609" s="188">
        <v>124000000</v>
      </c>
      <c r="M4609" s="194">
        <f t="shared" ref="M4609" si="337">L4609/P4609</f>
        <v>21.949128646144114</v>
      </c>
      <c r="N4609" s="190">
        <f t="shared" ref="N4609" si="338">J4609/L4611</f>
        <v>0.20388349514563106</v>
      </c>
      <c r="O4609" s="190">
        <f t="shared" ref="O4609" si="339">(I4609*0.7)/(K4611+L4611)</f>
        <v>0.17602682313495391</v>
      </c>
      <c r="P4609" s="188">
        <v>5649427</v>
      </c>
      <c r="Q4609" s="188">
        <f t="shared" ref="Q4609" si="340">P4609*E4609</f>
        <v>725951369.5</v>
      </c>
      <c r="R4609" s="195">
        <f t="shared" ref="R4609" si="341">Q4609/L4609</f>
        <v>5.8544465282258065</v>
      </c>
      <c r="S4609" s="197">
        <f t="shared" ref="S4609" si="342">(Q4609+K4609)/H4609</f>
        <v>11.517052648437501</v>
      </c>
      <c r="T4609" s="180"/>
      <c r="U4609" s="189">
        <f>IFERROR(IF(Tableau3[[#This Row],[Dettes]]=0,"",(Tableau3[[#This Row],[Dettes]]/Tableau3[[#This Row],[EBE]])),"")</f>
        <v>0.17406250000000001</v>
      </c>
      <c r="V4609" s="190">
        <f>IFERROR(Tableau3[[#This Row],[Fonds propres]]/Tableau3[[#This Row],[Total Bilan]],"")</f>
        <v>0.2419937159696337</v>
      </c>
      <c r="W4609" s="180">
        <v>512410000</v>
      </c>
      <c r="Y4609" s="180">
        <v>14450</v>
      </c>
      <c r="Z4609" s="192">
        <f>IFERROR(Tableau3[[#This Row],[Chiffre d''affaires]]/Tableau3[[#This Row],[Salariés]],"")</f>
        <v>64429.065743944637</v>
      </c>
    </row>
    <row r="4610" spans="1:29" ht="20.25" customHeight="1">
      <c r="A4610" s="217"/>
      <c r="E4610" s="187"/>
      <c r="G4610" s="202">
        <f>(G4609/G4611)-1</f>
        <v>6.4000000000000057E-2</v>
      </c>
      <c r="H4610" s="202">
        <f>(H4609/H4611)-1</f>
        <v>3.2258064516129004E-2</v>
      </c>
      <c r="I4610" s="202">
        <f>(I4609/I4611)-1</f>
        <v>-4.8780487804878092E-2</v>
      </c>
      <c r="J4610" s="202">
        <f>(J4609/J4611)-1</f>
        <v>0.16666666666666674</v>
      </c>
      <c r="K4610" s="178"/>
      <c r="L4610" s="178"/>
      <c r="M4610" s="178"/>
      <c r="N4610" s="178"/>
      <c r="O4610" s="178"/>
      <c r="P4610" s="188"/>
      <c r="Q4610" s="178"/>
      <c r="R4610" s="178"/>
      <c r="S4610" s="178"/>
      <c r="T4610" s="180"/>
      <c r="U4610" s="189" t="str">
        <f>IFERROR(IF(Tableau3[[#This Row],[Dettes]]=0,"",(Tableau3[[#This Row],[Dettes]]/Tableau3[[#This Row],[EBE]])),"")</f>
        <v/>
      </c>
      <c r="V4610" s="190" t="str">
        <f>IFERROR(Tableau3[[#This Row],[Fonds propres]]/Tableau3[[#This Row],[Total Bilan]],"")</f>
        <v/>
      </c>
      <c r="W4610" s="180"/>
      <c r="Y4610" s="180"/>
      <c r="Z4610" s="192" t="str">
        <f>IFERROR(Tableau3[[#This Row],[Chiffre d''affaires]]/Tableau3[[#This Row],[Salariés]],"")</f>
        <v/>
      </c>
    </row>
    <row r="4611" spans="1:29" ht="20.25" customHeight="1">
      <c r="A4611" s="217"/>
      <c r="E4611" s="187">
        <v>67.05</v>
      </c>
      <c r="F4611" s="178">
        <v>2014</v>
      </c>
      <c r="G4611" s="188">
        <v>875000000</v>
      </c>
      <c r="H4611" s="188">
        <v>62000000</v>
      </c>
      <c r="I4611" s="188">
        <v>41000000</v>
      </c>
      <c r="J4611" s="188">
        <v>18000000</v>
      </c>
      <c r="K4611" s="188">
        <v>52090000</v>
      </c>
      <c r="L4611" s="188">
        <v>103000000</v>
      </c>
      <c r="M4611" s="194">
        <f t="shared" ref="M4611" si="343">L4611/P4611</f>
        <v>18.231937504458418</v>
      </c>
      <c r="N4611" s="190">
        <f t="shared" ref="N4611" si="344">J4611/L4613</f>
        <v>0.20454545454545456</v>
      </c>
      <c r="O4611" s="190">
        <f t="shared" ref="O4611" si="345">(I4611*0.7)/(K4613+L4613)</f>
        <v>0.16517985611510791</v>
      </c>
      <c r="P4611" s="188">
        <v>5649427</v>
      </c>
      <c r="Q4611" s="188">
        <f t="shared" ref="Q4611" si="346">P4611*E4611</f>
        <v>378794080.34999996</v>
      </c>
      <c r="R4611" s="195">
        <f t="shared" ref="R4611" si="347">Q4611/L4611</f>
        <v>3.6776124305825237</v>
      </c>
      <c r="S4611" s="197">
        <f t="shared" ref="S4611" si="348">(Q4611+K4611)/H4611</f>
        <v>6.9497432314516123</v>
      </c>
      <c r="T4611" s="180"/>
      <c r="U4611" s="189">
        <f>IFERROR(IF(Tableau3[[#This Row],[Dettes]]=0,"",(Tableau3[[#This Row],[Dettes]]/Tableau3[[#This Row],[EBE]])),"")</f>
        <v>0.84016129032258069</v>
      </c>
      <c r="V4611" s="190">
        <f>IFERROR(Tableau3[[#This Row],[Fonds propres]]/Tableau3[[#This Row],[Total Bilan]],"")</f>
        <v>0.1918456294585483</v>
      </c>
      <c r="W4611" s="180">
        <v>536890000</v>
      </c>
      <c r="Y4611" s="180">
        <v>13070</v>
      </c>
      <c r="Z4611" s="192">
        <f>IFERROR(Tableau3[[#This Row],[Chiffre d''affaires]]/Tableau3[[#This Row],[Salariés]],"")</f>
        <v>66947.207345065035</v>
      </c>
    </row>
    <row r="4612" spans="1:29" ht="20.25" customHeight="1">
      <c r="A4612" s="217"/>
      <c r="E4612" s="187"/>
      <c r="G4612" s="202">
        <f>(G4611/G4613)-1</f>
        <v>0.19047619047619047</v>
      </c>
      <c r="H4612" s="202">
        <f>(H4611/H4613)-1</f>
        <v>0.31914893617021267</v>
      </c>
      <c r="I4612" s="202">
        <f>(I4611/I4613)-1</f>
        <v>0.28125</v>
      </c>
      <c r="J4612" s="202">
        <f>(J4611/J4613)-1</f>
        <v>0.5</v>
      </c>
      <c r="K4612" s="178"/>
      <c r="L4612" s="178"/>
      <c r="M4612" s="178"/>
      <c r="N4612" s="178"/>
      <c r="O4612" s="178"/>
      <c r="P4612" s="188"/>
      <c r="Q4612" s="178"/>
      <c r="R4612" s="178"/>
      <c r="S4612" s="178"/>
      <c r="T4612" s="180"/>
      <c r="U4612" s="189" t="str">
        <f>IFERROR(IF(Tableau3[[#This Row],[Dettes]]=0,"",(Tableau3[[#This Row],[Dettes]]/Tableau3[[#This Row],[EBE]])),"")</f>
        <v/>
      </c>
      <c r="V4612" s="190" t="str">
        <f>IFERROR(Tableau3[[#This Row],[Fonds propres]]/Tableau3[[#This Row],[Total Bilan]],"")</f>
        <v/>
      </c>
      <c r="W4612" s="180"/>
      <c r="Y4612" s="180"/>
      <c r="Z4612" s="192" t="str">
        <f>IFERROR(Tableau3[[#This Row],[Chiffre d''affaires]]/Tableau3[[#This Row],[Salariés]],"")</f>
        <v/>
      </c>
    </row>
    <row r="4613" spans="1:29" ht="20.25" customHeight="1">
      <c r="A4613" s="217"/>
      <c r="E4613" s="187">
        <v>57.35</v>
      </c>
      <c r="F4613" s="178">
        <v>2013</v>
      </c>
      <c r="G4613" s="188">
        <v>735000000</v>
      </c>
      <c r="H4613" s="188">
        <v>47000000</v>
      </c>
      <c r="I4613" s="188">
        <v>32000000</v>
      </c>
      <c r="J4613" s="188">
        <v>12000000</v>
      </c>
      <c r="K4613" s="188">
        <v>85750000</v>
      </c>
      <c r="L4613" s="188">
        <v>88000000</v>
      </c>
      <c r="M4613" s="194">
        <f t="shared" ref="M4613" si="349">L4613/P4613</f>
        <v>15.57680097468292</v>
      </c>
      <c r="N4613" s="190">
        <f t="shared" ref="N4613" si="350">J4613/L4615</f>
        <v>0.16</v>
      </c>
      <c r="O4613" s="190">
        <f t="shared" ref="O4613" si="351">(I4613*0.7)/(K4615+L4615)</f>
        <v>0.29866666666666669</v>
      </c>
      <c r="P4613" s="188">
        <v>5649427</v>
      </c>
      <c r="Q4613" s="188">
        <f t="shared" ref="Q4613" si="352">P4613*E4613</f>
        <v>323994638.44999999</v>
      </c>
      <c r="R4613" s="195">
        <f t="shared" ref="R4613" si="353">Q4613/L4613</f>
        <v>3.6817572551136362</v>
      </c>
      <c r="S4613" s="197">
        <f t="shared" ref="S4613" si="354">(Q4613+K4613)/H4613</f>
        <v>8.7179710308510643</v>
      </c>
      <c r="T4613" s="180"/>
      <c r="U4613" s="189">
        <f>IFERROR(IF(Tableau3[[#This Row],[Dettes]]=0,"",(Tableau3[[#This Row],[Dettes]]/Tableau3[[#This Row],[EBE]])),"")</f>
        <v>1.824468085106383</v>
      </c>
      <c r="V4613" s="190">
        <f>IFERROR(Tableau3[[#This Row],[Fonds propres]]/Tableau3[[#This Row],[Total Bilan]],"")</f>
        <v>0.16964509475064099</v>
      </c>
      <c r="W4613" s="180">
        <v>518730000</v>
      </c>
      <c r="Y4613" s="180">
        <v>13060</v>
      </c>
      <c r="Z4613" s="192">
        <f>IFERROR(Tableau3[[#This Row],[Chiffre d''affaires]]/Tableau3[[#This Row],[Salariés]],"")</f>
        <v>56278.713629402759</v>
      </c>
    </row>
    <row r="4614" spans="1:29" ht="20.25" customHeight="1">
      <c r="A4614" s="217"/>
      <c r="E4614" s="187"/>
      <c r="G4614" s="202">
        <f>(G4613/G4615)-1</f>
        <v>0.3125</v>
      </c>
      <c r="H4614" s="202">
        <f>(H4613/H4615)-1</f>
        <v>0.6785714285714286</v>
      </c>
      <c r="I4614" s="202">
        <f>(I4613/I4615)-1</f>
        <v>0.68421052631578938</v>
      </c>
      <c r="J4614" s="202">
        <f>(J4613/J4615)-1</f>
        <v>2</v>
      </c>
      <c r="K4614" s="178"/>
      <c r="L4614" s="178"/>
      <c r="M4614" s="178"/>
      <c r="N4614" s="178"/>
      <c r="O4614" s="178"/>
      <c r="P4614" s="188"/>
      <c r="Q4614" s="178"/>
      <c r="R4614" s="178"/>
      <c r="S4614" s="178"/>
      <c r="T4614" s="180"/>
      <c r="U4614" s="189" t="str">
        <f>IFERROR(IF(Tableau3[[#This Row],[Dettes]]=0,"",(Tableau3[[#This Row],[Dettes]]/Tableau3[[#This Row],[EBE]])),"")</f>
        <v/>
      </c>
      <c r="V4614" s="190" t="str">
        <f>IFERROR(Tableau3[[#This Row],[Fonds propres]]/Tableau3[[#This Row],[Total Bilan]],"")</f>
        <v/>
      </c>
      <c r="W4614" s="180"/>
      <c r="Y4614" s="180"/>
      <c r="Z4614" s="192" t="str">
        <f>IFERROR(Tableau3[[#This Row],[Chiffre d''affaires]]/Tableau3[[#This Row],[Salariés]],"")</f>
        <v/>
      </c>
    </row>
    <row r="4615" spans="1:29" ht="20.25" customHeight="1">
      <c r="A4615" s="217"/>
      <c r="E4615" s="187">
        <v>26.2</v>
      </c>
      <c r="F4615" s="178">
        <v>2012</v>
      </c>
      <c r="G4615" s="188">
        <v>560000000</v>
      </c>
      <c r="H4615" s="188">
        <v>28000000</v>
      </c>
      <c r="I4615" s="188">
        <v>19000000</v>
      </c>
      <c r="J4615" s="188">
        <v>4000000</v>
      </c>
      <c r="K4615" s="188"/>
      <c r="L4615" s="188">
        <v>75000000</v>
      </c>
      <c r="M4615" s="194">
        <f t="shared" ref="M4615" si="355">L4615/P4615</f>
        <v>13.275682648877488</v>
      </c>
      <c r="N4615" s="190">
        <f t="shared" ref="N4615" si="356">J4615/L4617</f>
        <v>9.0909090909090912E-2</v>
      </c>
      <c r="O4615" s="190">
        <f t="shared" ref="O4615" si="357">(I4615*0.7)/(K4617+L4617)</f>
        <v>0.30227272727272725</v>
      </c>
      <c r="P4615" s="188">
        <v>5649427</v>
      </c>
      <c r="Q4615" s="188">
        <f t="shared" ref="Q4615" si="358">P4615*E4615</f>
        <v>148014987.40000001</v>
      </c>
      <c r="R4615" s="195">
        <f t="shared" ref="R4615" si="359">Q4615/L4615</f>
        <v>1.9735331653333335</v>
      </c>
      <c r="S4615" s="197">
        <f t="shared" ref="S4615" si="360">(Q4615+K4615)/H4615</f>
        <v>5.28624955</v>
      </c>
      <c r="T4615" s="180"/>
      <c r="U4615" s="189" t="str">
        <f>IFERROR(IF(Tableau3[[#This Row],[Dettes]]=0,"",(Tableau3[[#This Row],[Dettes]]/Tableau3[[#This Row],[EBE]])),"")</f>
        <v/>
      </c>
      <c r="V4615" s="190">
        <f>IFERROR(Tableau3[[#This Row],[Fonds propres]]/Tableau3[[#This Row],[Total Bilan]],"")</f>
        <v>0.24306455794659063</v>
      </c>
      <c r="W4615" s="180">
        <v>308560000</v>
      </c>
      <c r="Y4615" s="180">
        <v>10170</v>
      </c>
      <c r="Z4615" s="192">
        <f>IFERROR(Tableau3[[#This Row],[Chiffre d''affaires]]/Tableau3[[#This Row],[Salariés]],"")</f>
        <v>55063.913470993117</v>
      </c>
    </row>
    <row r="4616" spans="1:29" ht="20.25" customHeight="1">
      <c r="A4616" s="217"/>
      <c r="G4616" s="202">
        <f>(G4615/G4617)-1</f>
        <v>0.21212121212121215</v>
      </c>
      <c r="H4616" s="202">
        <f>(H4615/H4617)-1</f>
        <v>-6.6666666666666652E-2</v>
      </c>
      <c r="I4616" s="202">
        <f>(I4615/I4617)-1</f>
        <v>0.26666666666666661</v>
      </c>
      <c r="J4616" s="202">
        <f>(J4615/J4617)-1</f>
        <v>-0.4285714285714286</v>
      </c>
      <c r="K4616" s="178"/>
      <c r="L4616" s="178"/>
      <c r="M4616" s="178"/>
      <c r="N4616" s="178"/>
      <c r="O4616" s="178"/>
      <c r="P4616" s="188"/>
      <c r="Q4616" s="178"/>
      <c r="R4616" s="178"/>
      <c r="S4616" s="178"/>
      <c r="T4616" s="180"/>
      <c r="U4616" s="189" t="str">
        <f>IFERROR(IF(Tableau3[[#This Row],[Dettes]]=0,"",(Tableau3[[#This Row],[Dettes]]/Tableau3[[#This Row],[EBE]])),"")</f>
        <v/>
      </c>
      <c r="V4616" s="190" t="str">
        <f>IFERROR(Tableau3[[#This Row],[Fonds propres]]/Tableau3[[#This Row],[Total Bilan]],"")</f>
        <v/>
      </c>
      <c r="W4616" s="180"/>
      <c r="Y4616" s="180"/>
      <c r="Z4616" s="192" t="str">
        <f>IFERROR(Tableau3[[#This Row],[Chiffre d''affaires]]/Tableau3[[#This Row],[Salariés]],"")</f>
        <v/>
      </c>
    </row>
    <row r="4617" spans="1:29" ht="20.25" customHeight="1">
      <c r="A4617" s="217"/>
      <c r="F4617" s="178">
        <v>2011</v>
      </c>
      <c r="G4617" s="188">
        <v>462000000</v>
      </c>
      <c r="H4617" s="188">
        <v>30000000</v>
      </c>
      <c r="I4617" s="188">
        <v>15000000</v>
      </c>
      <c r="J4617" s="188">
        <v>7000000</v>
      </c>
      <c r="K4617" s="188"/>
      <c r="L4617" s="188">
        <v>44000000</v>
      </c>
      <c r="M4617" s="194">
        <f t="shared" ref="M4617" si="361">L4617/P4617</f>
        <v>7.7884004873414598</v>
      </c>
      <c r="N4617" s="190" t="e">
        <f t="shared" ref="N4617" si="362">J4617/L4619</f>
        <v>#DIV/0!</v>
      </c>
      <c r="O4617" s="190" t="e">
        <f t="shared" ref="O4617" si="363">(I4617*0.7)/(K4619+L4619)</f>
        <v>#DIV/0!</v>
      </c>
      <c r="P4617" s="188">
        <v>5649427</v>
      </c>
      <c r="Q4617" s="188">
        <f t="shared" ref="Q4617" si="364">P4617*E4617</f>
        <v>0</v>
      </c>
      <c r="R4617" s="195">
        <f t="shared" ref="R4617" si="365">Q4617/L4617</f>
        <v>0</v>
      </c>
      <c r="S4617" s="197">
        <f t="shared" ref="S4617" si="366">(Q4617+K4617)/H4617</f>
        <v>0</v>
      </c>
      <c r="T4617" s="180"/>
      <c r="U4617" s="189" t="str">
        <f>IFERROR(IF(Tableau3[[#This Row],[Dettes]]=0,"",(Tableau3[[#This Row],[Dettes]]/Tableau3[[#This Row],[EBE]])),"")</f>
        <v/>
      </c>
      <c r="V4617" s="190">
        <f>IFERROR(Tableau3[[#This Row],[Fonds propres]]/Tableau3[[#This Row],[Total Bilan]],"")</f>
        <v>0.17297637299996069</v>
      </c>
      <c r="W4617" s="180">
        <v>254370000</v>
      </c>
      <c r="Y4617" s="180">
        <v>9300</v>
      </c>
      <c r="Z4617" s="192">
        <f>IFERROR(Tableau3[[#This Row],[Chiffre d''affaires]]/Tableau3[[#This Row],[Salariés]],"")</f>
        <v>49677.419354838712</v>
      </c>
    </row>
    <row r="4618" spans="1:29" ht="20.25" customHeight="1">
      <c r="A4618" s="217"/>
      <c r="F4618" s="178" t="s">
        <v>5062</v>
      </c>
      <c r="G4618" s="188"/>
      <c r="H4618" s="188"/>
      <c r="I4618" s="178"/>
      <c r="J4618" s="178"/>
      <c r="K4618" s="178"/>
      <c r="L4618" s="178"/>
      <c r="M4618" s="178"/>
      <c r="N4618" s="178"/>
      <c r="O4618" s="178"/>
      <c r="P4618" s="188"/>
      <c r="Q4618" s="178"/>
      <c r="R4618" s="178"/>
      <c r="S4618" s="178"/>
      <c r="T4618" s="180"/>
      <c r="U4618" s="189" t="str">
        <f>IFERROR(IF(Tableau3[[#This Row],[Dettes]]=0,"",(Tableau3[[#This Row],[Dettes]]/Tableau3[[#This Row],[EBE]])),"")</f>
        <v/>
      </c>
      <c r="V4618" s="190" t="str">
        <f>IFERROR(Tableau3[[#This Row],[Fonds propres]]/Tableau3[[#This Row],[Total Bilan]],"")</f>
        <v/>
      </c>
      <c r="W4618" s="180"/>
      <c r="Y4618" s="180"/>
      <c r="Z4618" s="192" t="str">
        <f>IFERROR(Tableau3[[#This Row],[Chiffre d''affaires]]/Tableau3[[#This Row],[Salariés]],"")</f>
        <v/>
      </c>
    </row>
    <row r="4619" spans="1:29" ht="20.25" customHeight="1">
      <c r="A4619" s="217"/>
      <c r="G4619" s="188"/>
      <c r="H4619" s="188"/>
      <c r="I4619" s="178"/>
      <c r="J4619" s="178"/>
      <c r="K4619" s="178"/>
      <c r="L4619" s="178"/>
      <c r="M4619" s="178"/>
      <c r="N4619" s="178"/>
      <c r="O4619" s="178"/>
      <c r="P4619" s="178"/>
      <c r="Q4619" s="178"/>
      <c r="R4619" s="178"/>
      <c r="S4619" s="178"/>
      <c r="T4619" s="180"/>
      <c r="U4619" s="189" t="str">
        <f>IFERROR(IF(Tableau3[[#This Row],[Dettes]]=0,"",(Tableau3[[#This Row],[Dettes]]/Tableau3[[#This Row],[EBE]])),"")</f>
        <v/>
      </c>
      <c r="V4619" s="190" t="str">
        <f>IFERROR(Tableau3[[#This Row],[Fonds propres]]/Tableau3[[#This Row],[Total Bilan]],"")</f>
        <v/>
      </c>
      <c r="W4619" s="180"/>
      <c r="Y4619" s="180"/>
      <c r="Z4619" s="192" t="str">
        <f>IFERROR(Tableau3[[#This Row],[Chiffre d''affaires]]/Tableau3[[#This Row],[Salariés]],"")</f>
        <v/>
      </c>
    </row>
    <row r="4620" spans="1:29" ht="20.25" customHeight="1">
      <c r="A4620" s="217"/>
      <c r="G4620" s="188"/>
      <c r="H4620" s="188"/>
      <c r="I4620" s="178"/>
      <c r="J4620" s="178"/>
      <c r="K4620" s="178"/>
      <c r="L4620" s="178"/>
      <c r="M4620" s="178"/>
      <c r="N4620" s="178"/>
      <c r="O4620" s="178"/>
      <c r="P4620" s="178"/>
      <c r="Q4620" s="178"/>
      <c r="R4620" s="178"/>
      <c r="S4620" s="178"/>
      <c r="T4620" s="180"/>
      <c r="U4620" s="189" t="str">
        <f>IFERROR(IF(Tableau3[[#This Row],[Dettes]]=0,"",(Tableau3[[#This Row],[Dettes]]/Tableau3[[#This Row],[EBE]])),"")</f>
        <v/>
      </c>
      <c r="V4620" s="190" t="str">
        <f>IFERROR(Tableau3[[#This Row],[Fonds propres]]/Tableau3[[#This Row],[Total Bilan]],"")</f>
        <v/>
      </c>
      <c r="W4620" s="180"/>
      <c r="Y4620" s="180"/>
      <c r="Z4620" s="192" t="str">
        <f>IFERROR(Tableau3[[#This Row],[Chiffre d''affaires]]/Tableau3[[#This Row],[Salariés]],"")</f>
        <v/>
      </c>
    </row>
    <row r="4621" spans="1:29" ht="20.25" customHeight="1">
      <c r="A4621" s="217" t="s">
        <v>4720</v>
      </c>
      <c r="B4621" s="216" t="s">
        <v>4721</v>
      </c>
      <c r="C4621" s="178" t="s">
        <v>84</v>
      </c>
      <c r="D4621" s="178" t="s">
        <v>85</v>
      </c>
      <c r="E4621" s="178">
        <v>106.3</v>
      </c>
      <c r="F4621" s="178">
        <v>2025</v>
      </c>
      <c r="G4621" s="188"/>
      <c r="H4621" s="188"/>
      <c r="I4621" s="178"/>
      <c r="J4621" s="178"/>
      <c r="K4621" s="178"/>
      <c r="L4621" s="178"/>
      <c r="M4621" s="178"/>
      <c r="N4621" s="178"/>
      <c r="O4621" s="178"/>
      <c r="P4621" s="215">
        <v>98960602</v>
      </c>
      <c r="Q4621" s="215">
        <f>Tableau3[[#This Row],[Titres]]*Tableau3[[#This Row],[Cours]]</f>
        <v>10519511992.6</v>
      </c>
      <c r="R4621" s="178"/>
      <c r="S4621" s="178"/>
      <c r="T4621" s="180"/>
      <c r="U4621" s="189" t="str">
        <f>IFERROR(IF(Tableau3[[#This Row],[Dettes]]=0,"",(Tableau3[[#This Row],[Dettes]]/Tableau3[[#This Row],[EBE]])),"")</f>
        <v/>
      </c>
      <c r="V4621" s="190" t="str">
        <f>IFERROR(Tableau3[[#This Row],[Fonds propres]]/Tableau3[[#This Row],[Total Bilan]],"")</f>
        <v/>
      </c>
      <c r="W4621" s="180"/>
      <c r="X4621" s="182" t="s">
        <v>1949</v>
      </c>
      <c r="Y4621" s="180"/>
      <c r="Z4621" s="192" t="str">
        <f>IFERROR(Tableau3[[#This Row],[Chiffre d''affaires]]/Tableau3[[#This Row],[Salariés]],"")</f>
        <v/>
      </c>
      <c r="AC4621" s="6" t="s">
        <v>4866</v>
      </c>
    </row>
    <row r="4622" spans="1:29" ht="20.25" customHeight="1">
      <c r="A4622" s="217"/>
      <c r="G4622" s="188"/>
      <c r="H4622" s="188"/>
      <c r="I4622" s="178"/>
      <c r="J4622" s="178"/>
      <c r="K4622" s="178"/>
      <c r="L4622" s="178"/>
      <c r="M4622" s="178"/>
      <c r="N4622" s="178"/>
      <c r="O4622" s="178"/>
      <c r="P4622" s="178"/>
      <c r="Q4622" s="178"/>
      <c r="R4622" s="178"/>
      <c r="S4622" s="178"/>
      <c r="T4622" s="180"/>
      <c r="U4622" s="189" t="str">
        <f>IFERROR(IF(Tableau3[[#This Row],[Dettes]]=0,"",(Tableau3[[#This Row],[Dettes]]/Tableau3[[#This Row],[EBE]])),"")</f>
        <v/>
      </c>
      <c r="V4622" s="190" t="str">
        <f>IFERROR(Tableau3[[#This Row],[Fonds propres]]/Tableau3[[#This Row],[Total Bilan]],"")</f>
        <v/>
      </c>
      <c r="W4622" s="180"/>
      <c r="Y4622" s="180"/>
      <c r="Z4622" s="192" t="str">
        <f>IFERROR(Tableau3[[#This Row],[Chiffre d''affaires]]/Tableau3[[#This Row],[Salariés]],"")</f>
        <v/>
      </c>
      <c r="AC4622" s="6" t="s">
        <v>4849</v>
      </c>
    </row>
    <row r="4623" spans="1:29" ht="20.25" customHeight="1">
      <c r="A4623" s="217"/>
      <c r="E4623" s="187">
        <v>110</v>
      </c>
      <c r="F4623" s="178">
        <v>2024</v>
      </c>
      <c r="G4623" s="188">
        <v>6158000000</v>
      </c>
      <c r="H4623" s="188">
        <v>2068000000</v>
      </c>
      <c r="I4623" s="215">
        <v>985000000</v>
      </c>
      <c r="J4623" s="215">
        <v>342000000</v>
      </c>
      <c r="K4623" s="215">
        <v>8572000000</v>
      </c>
      <c r="L4623" s="215">
        <v>4415000000</v>
      </c>
      <c r="M4623" s="197">
        <f>Tableau3[[#This Row],[Fonds propres]]/Tableau3[[#This Row],[Titres]]</f>
        <v>44.613714051577816</v>
      </c>
      <c r="N4623" s="190">
        <f>Tableau3[[#This Row],[Résultat Net (PdG)]]/Tableau3[[#This Row],[Fonds propres]]</f>
        <v>7.7463193657984139E-2</v>
      </c>
      <c r="O4623" s="190">
        <f>(I4623*0.75)/(K4625+L4625)</f>
        <v>6.0075628202000485E-2</v>
      </c>
      <c r="P4623" s="215">
        <v>98960602</v>
      </c>
      <c r="Q4623" s="215">
        <f>Tableau3[[#This Row],[Titres]]*Tableau3[[#This Row],[Cours]]</f>
        <v>10885666220</v>
      </c>
      <c r="R4623" s="195">
        <f>Q4623/L4623</f>
        <v>2.4656095628539072</v>
      </c>
      <c r="S4623" s="197">
        <f>(Q4623+K4623)/H4623</f>
        <v>9.4089295067698266</v>
      </c>
      <c r="T4623" s="180"/>
      <c r="U4623" s="189">
        <f>IFERROR(IF(Tableau3[[#This Row],[Dettes]]=0,"",(Tableau3[[#This Row],[Dettes]]/Tableau3[[#This Row],[EBE]])),"")</f>
        <v>4.1450676982591874</v>
      </c>
      <c r="V4623" s="190">
        <f>IFERROR(Tableau3[[#This Row],[Fonds propres]]/Tableau3[[#This Row],[Total Bilan]],"")</f>
        <v>0.21879181327122255</v>
      </c>
      <c r="W4623" s="180">
        <v>20179000000</v>
      </c>
      <c r="Y4623" s="180"/>
      <c r="Z4623" s="192" t="str">
        <f>IFERROR(Tableau3[[#This Row],[Chiffre d''affaires]]/Tableau3[[#This Row],[Salariés]],"")</f>
        <v/>
      </c>
      <c r="AC4623" s="6" t="s">
        <v>4865</v>
      </c>
    </row>
    <row r="4624" spans="1:29" ht="20.25" customHeight="1">
      <c r="A4624" s="217"/>
      <c r="G4624" s="202">
        <f>(G4623/G4625)-1</f>
        <v>0.12065514103730668</v>
      </c>
      <c r="H4624" s="202">
        <f>(H4623/H4625)-1</f>
        <v>5.7259713701431458E-2</v>
      </c>
      <c r="I4624" s="202">
        <f>(I4623/I4625)-1</f>
        <v>-0.20500403551251012</v>
      </c>
      <c r="J4624" s="202">
        <f>(J4623/J4625)-1</f>
        <v>-0.45800316957210774</v>
      </c>
      <c r="K4624" s="178" t="s">
        <v>4839</v>
      </c>
      <c r="L4624" s="178"/>
      <c r="M4624" s="178"/>
      <c r="N4624" s="178"/>
      <c r="O4624" s="178"/>
      <c r="P4624" s="178"/>
      <c r="Q4624" s="178"/>
      <c r="R4624" s="178"/>
      <c r="S4624" s="178"/>
      <c r="T4624" s="180"/>
      <c r="U4624" s="189" t="str">
        <f>IFERROR(IF(Tableau3[[#This Row],[Dettes]]=0,"",(Tableau3[[#This Row],[Dettes]]/Tableau3[[#This Row],[EBE]])),"")</f>
        <v/>
      </c>
      <c r="V4624" s="190" t="str">
        <f>IFERROR(Tableau3[[#This Row],[Fonds propres]]/Tableau3[[#This Row],[Total Bilan]],"")</f>
        <v/>
      </c>
      <c r="W4624" s="180"/>
      <c r="Y4624" s="180"/>
      <c r="Z4624" s="192" t="str">
        <f>IFERROR(Tableau3[[#This Row],[Chiffre d''affaires]]/Tableau3[[#This Row],[Salariés]],"")</f>
        <v/>
      </c>
      <c r="AC4624" s="6" t="s">
        <v>4835</v>
      </c>
    </row>
    <row r="4625" spans="1:29" ht="20.25" customHeight="1">
      <c r="A4625" s="217"/>
      <c r="E4625" s="187">
        <v>124.4</v>
      </c>
      <c r="F4625" s="178">
        <v>2023</v>
      </c>
      <c r="G4625" s="188">
        <v>5495000000</v>
      </c>
      <c r="H4625" s="188">
        <v>1956000000</v>
      </c>
      <c r="I4625" s="215">
        <v>1239000000</v>
      </c>
      <c r="J4625" s="215">
        <v>631000000</v>
      </c>
      <c r="K4625" s="215">
        <v>7934000000</v>
      </c>
      <c r="L4625" s="215">
        <v>4363000000</v>
      </c>
      <c r="M4625" s="197">
        <f>Tableau3[[#This Row],[Fonds propres]]/Tableau3[[#This Row],[Titres]]</f>
        <v>44.088252413824243</v>
      </c>
      <c r="N4625" s="190">
        <f>Tableau3[[#This Row],[Résultat Net (PdG)]]/Tableau3[[#This Row],[Fonds propres]]</f>
        <v>0.14462525785010313</v>
      </c>
      <c r="O4625" s="190">
        <f>(I4625*0.75)/(K4627+L4627)</f>
        <v>8.1051024858264278E-2</v>
      </c>
      <c r="P4625" s="215">
        <v>98960602</v>
      </c>
      <c r="Q4625" s="215">
        <f>Tableau3[[#This Row],[Titres]]*Tableau3[[#This Row],[Cours]]</f>
        <v>12310698888.800001</v>
      </c>
      <c r="R4625" s="195">
        <f>Q4625/L4625</f>
        <v>2.8216133139582857</v>
      </c>
      <c r="S4625" s="197">
        <f>(Q4625+K4625)/H4625</f>
        <v>10.350050556646218</v>
      </c>
      <c r="T4625" s="180"/>
      <c r="U4625" s="189">
        <f>IFERROR(IF(Tableau3[[#This Row],[Dettes]]=0,"",(Tableau3[[#This Row],[Dettes]]/Tableau3[[#This Row],[EBE]])),"")</f>
        <v>4.056237218813906</v>
      </c>
      <c r="V4625" s="190">
        <f>IFERROR(Tableau3[[#This Row],[Fonds propres]]/Tableau3[[#This Row],[Total Bilan]],"")</f>
        <v>0.22192268565615464</v>
      </c>
      <c r="W4625" s="180">
        <v>19660000000</v>
      </c>
      <c r="Y4625" s="180">
        <v>28174</v>
      </c>
      <c r="Z4625" s="192">
        <f>IFERROR(Tableau3[[#This Row],[Chiffre d''affaires]]/Tableau3[[#This Row],[Salariés]],"")</f>
        <v>195037.97827784481</v>
      </c>
      <c r="AC4625" s="6" t="s">
        <v>4836</v>
      </c>
    </row>
    <row r="4626" spans="1:29" ht="20.25" customHeight="1">
      <c r="A4626" s="217"/>
      <c r="E4626" s="187"/>
      <c r="G4626" s="202">
        <f>(G4625/G4627)-1</f>
        <v>0.17214163822525608</v>
      </c>
      <c r="H4626" s="202">
        <f>(H4625/H4627)-1</f>
        <v>0.147887323943662</v>
      </c>
      <c r="I4626" s="202">
        <f>(I4625/I4627)-1</f>
        <v>0.32371794871794868</v>
      </c>
      <c r="J4626" s="202">
        <f>(J4625/J4627)-1</f>
        <v>0.22286821705426352</v>
      </c>
      <c r="K4626" s="178"/>
      <c r="L4626" s="178"/>
      <c r="M4626" s="197"/>
      <c r="N4626" s="190"/>
      <c r="O4626" s="190"/>
      <c r="P4626" s="178"/>
      <c r="Q4626" s="215"/>
      <c r="R4626" s="178"/>
      <c r="S4626" s="197"/>
      <c r="T4626" s="180"/>
      <c r="U4626" s="189" t="str">
        <f>IFERROR(IF(Tableau3[[#This Row],[Dettes]]=0,"",(Tableau3[[#This Row],[Dettes]]/Tableau3[[#This Row],[EBE]])),"")</f>
        <v/>
      </c>
      <c r="V4626" s="190" t="str">
        <f>IFERROR(Tableau3[[#This Row],[Fonds propres]]/Tableau3[[#This Row],[Total Bilan]],"")</f>
        <v/>
      </c>
      <c r="W4626" s="180"/>
      <c r="Y4626" s="180"/>
      <c r="Z4626" s="192" t="str">
        <f>IFERROR(Tableau3[[#This Row],[Chiffre d''affaires]]/Tableau3[[#This Row],[Salariés]],"")</f>
        <v/>
      </c>
      <c r="AC4626" s="6" t="s">
        <v>4864</v>
      </c>
    </row>
    <row r="4627" spans="1:29" ht="20.25" customHeight="1">
      <c r="A4627" s="217"/>
      <c r="E4627" s="187">
        <v>142.25</v>
      </c>
      <c r="F4627" s="178">
        <v>2022</v>
      </c>
      <c r="G4627" s="188">
        <v>4688000000</v>
      </c>
      <c r="H4627" s="188">
        <v>1704000000</v>
      </c>
      <c r="I4627" s="215">
        <v>936000000</v>
      </c>
      <c r="J4627" s="215">
        <v>516000000</v>
      </c>
      <c r="K4627" s="215">
        <v>7440000000</v>
      </c>
      <c r="L4627" s="215">
        <v>4025000000</v>
      </c>
      <c r="M4627" s="197">
        <f>Tableau3[[#This Row],[Fonds propres]]/Tableau3[[#This Row],[Titres]]</f>
        <v>40.672751768425982</v>
      </c>
      <c r="N4627" s="190">
        <f>Tableau3[[#This Row],[Résultat Net (PdG)]]/Tableau3[[#This Row],[Fonds propres]]</f>
        <v>0.12819875776397516</v>
      </c>
      <c r="O4627" s="190">
        <f t="shared" ref="O4627:O4647" si="367">(I4627*0.75)/(K4629+L4629)</f>
        <v>6.0900494491194584E-2</v>
      </c>
      <c r="P4627" s="215">
        <v>98960602</v>
      </c>
      <c r="Q4627" s="215">
        <f>Tableau3[[#This Row],[Titres]]*Tableau3[[#This Row],[Cours]]</f>
        <v>14077145634.5</v>
      </c>
      <c r="R4627" s="195">
        <f>Tableau3[[#This Row],[Capi]]/Tableau3[[#This Row],[Fonds propres]]</f>
        <v>3.4974274868322981</v>
      </c>
      <c r="S4627" s="197">
        <f t="shared" ref="S4627:S4649" si="368">(Q4627+K4627)/H4627</f>
        <v>12.627432884096244</v>
      </c>
      <c r="T4627" s="180"/>
      <c r="U4627" s="189">
        <f>IFERROR(IF(Tableau3[[#This Row],[Dettes]]=0,"",(Tableau3[[#This Row],[Dettes]]/Tableau3[[#This Row],[EBE]])),"")</f>
        <v>4.3661971830985919</v>
      </c>
      <c r="V4627" s="190">
        <f>IFERROR(Tableau3[[#This Row],[Fonds propres]]/Tableau3[[#This Row],[Total Bilan]],"")</f>
        <v>0.21358450517378616</v>
      </c>
      <c r="W4627" s="180">
        <v>18845000000</v>
      </c>
      <c r="Y4627" s="180">
        <v>26184</v>
      </c>
      <c r="Z4627" s="192">
        <f>IFERROR(Tableau3[[#This Row],[Chiffre d''affaires]]/Tableau3[[#This Row],[Salariés]],"")</f>
        <v>179040.635502597</v>
      </c>
      <c r="AC4627" s="6" t="s">
        <v>4834</v>
      </c>
    </row>
    <row r="4628" spans="1:29" ht="20.25" customHeight="1">
      <c r="A4628" s="217"/>
      <c r="E4628" s="187"/>
      <c r="G4628" s="202">
        <f>(G4627/G4629)-1</f>
        <v>0.68815268275117036</v>
      </c>
      <c r="H4628" s="202">
        <f>(H4627/H4629)-1</f>
        <v>1.2689747003994674</v>
      </c>
      <c r="I4628" s="202">
        <f>(I4627/I4629)-1</f>
        <v>-33.275862068965516</v>
      </c>
      <c r="J4628" s="202">
        <f>(J4627/J4629)-1</f>
        <v>-3.0806451612903225</v>
      </c>
      <c r="K4628" s="215"/>
      <c r="L4628" s="178"/>
      <c r="M4628" s="197"/>
      <c r="N4628" s="190"/>
      <c r="O4628" s="190"/>
      <c r="P4628" s="178"/>
      <c r="Q4628" s="215"/>
      <c r="R4628" s="178"/>
      <c r="S4628" s="197"/>
      <c r="T4628" s="180"/>
      <c r="U4628" s="189" t="str">
        <f>IFERROR(IF(Tableau3[[#This Row],[Dettes]]=0,"",(Tableau3[[#This Row],[Dettes]]/Tableau3[[#This Row],[EBE]])),"")</f>
        <v/>
      </c>
      <c r="V4628" s="190" t="str">
        <f>IFERROR(Tableau3[[#This Row],[Fonds propres]]/Tableau3[[#This Row],[Total Bilan]],"")</f>
        <v/>
      </c>
      <c r="W4628" s="180"/>
      <c r="Y4628" s="180"/>
      <c r="Z4628" s="192" t="str">
        <f>IFERROR(Tableau3[[#This Row],[Chiffre d''affaires]]/Tableau3[[#This Row],[Salariés]],"")</f>
        <v/>
      </c>
      <c r="AC4628" s="177" t="s">
        <v>4837</v>
      </c>
    </row>
    <row r="4629" spans="1:29" ht="20.25" customHeight="1">
      <c r="A4629" s="217"/>
      <c r="E4629" s="187">
        <v>119.65</v>
      </c>
      <c r="F4629" s="178">
        <v>2021</v>
      </c>
      <c r="G4629" s="188">
        <v>2777000000</v>
      </c>
      <c r="H4629" s="188">
        <v>751000000</v>
      </c>
      <c r="I4629" s="215">
        <v>-29000000</v>
      </c>
      <c r="J4629" s="215">
        <v>-248000000</v>
      </c>
      <c r="K4629" s="215">
        <v>8011000000</v>
      </c>
      <c r="L4629" s="215">
        <v>3516000000</v>
      </c>
      <c r="M4629" s="197">
        <f>Tableau3[[#This Row],[Fonds propres]]/Tableau3[[#This Row],[Titres]]</f>
        <v>35.52929073733808</v>
      </c>
      <c r="N4629" s="190">
        <f>Tableau3[[#This Row],[Résultat Net (PdG)]]/Tableau3[[#This Row],[Fonds propres]]</f>
        <v>-7.0534698521046643E-2</v>
      </c>
      <c r="O4629" s="190">
        <f t="shared" si="367"/>
        <v>-1.953125E-3</v>
      </c>
      <c r="P4629" s="215">
        <v>98960602</v>
      </c>
      <c r="Q4629" s="215">
        <f>Tableau3[[#This Row],[Titres]]*Tableau3[[#This Row],[Cours]]</f>
        <v>11840636029.300001</v>
      </c>
      <c r="R4629" s="195">
        <f>Tableau3[[#This Row],[Capi]]/Tableau3[[#This Row],[Fonds propres]]</f>
        <v>3.3676439218714451</v>
      </c>
      <c r="S4629" s="197">
        <f t="shared" si="368"/>
        <v>26.433603234753665</v>
      </c>
      <c r="T4629" s="180"/>
      <c r="U4629" s="189">
        <f>IFERROR(IF(Tableau3[[#This Row],[Dettes]]=0,"",(Tableau3[[#This Row],[Dettes]]/Tableau3[[#This Row],[EBE]])),"")</f>
        <v>10.66711051930759</v>
      </c>
      <c r="V4629" s="190">
        <f>IFERROR(Tableau3[[#This Row],[Fonds propres]]/Tableau3[[#This Row],[Total Bilan]],"")</f>
        <v>0.19148240932360308</v>
      </c>
      <c r="W4629" s="180">
        <v>18362000000</v>
      </c>
      <c r="Y4629" s="180">
        <v>25720</v>
      </c>
      <c r="Z4629" s="192">
        <f>IFERROR(Tableau3[[#This Row],[Chiffre d''affaires]]/Tableau3[[#This Row],[Salariés]],"")</f>
        <v>107970.45101088646</v>
      </c>
      <c r="AC4629" s="177" t="s">
        <v>4838</v>
      </c>
    </row>
    <row r="4630" spans="1:29" ht="20.25" customHeight="1">
      <c r="A4630" s="217"/>
      <c r="E4630" s="187"/>
      <c r="G4630" s="202">
        <f>(G4629/G4631)-1</f>
        <v>0.29948525970987361</v>
      </c>
      <c r="H4630" s="202">
        <f>(H4629/H4631)-1</f>
        <v>3.4702380952380949</v>
      </c>
      <c r="I4630" s="202">
        <f>(I4629/I4631)-1</f>
        <v>-0.97417631344612643</v>
      </c>
      <c r="J4630" s="202">
        <f>(J4629/J4631)-1</f>
        <v>-0.78785286569717705</v>
      </c>
      <c r="K4630" s="178"/>
      <c r="L4630" s="178"/>
      <c r="M4630" s="197"/>
      <c r="N4630" s="190"/>
      <c r="O4630" s="190"/>
      <c r="P4630" s="178"/>
      <c r="Q4630" s="215"/>
      <c r="R4630" s="195"/>
      <c r="S4630" s="197"/>
      <c r="T4630" s="180"/>
      <c r="U4630" s="189" t="str">
        <f>IFERROR(IF(Tableau3[[#This Row],[Dettes]]=0,"",(Tableau3[[#This Row],[Dettes]]/Tableau3[[#This Row],[EBE]])),"")</f>
        <v/>
      </c>
      <c r="V4630" s="190" t="str">
        <f>IFERROR(Tableau3[[#This Row],[Fonds propres]]/Tableau3[[#This Row],[Total Bilan]],"")</f>
        <v/>
      </c>
      <c r="W4630" s="180"/>
      <c r="Y4630" s="180"/>
      <c r="Z4630" s="192" t="str">
        <f>IFERROR(Tableau3[[#This Row],[Chiffre d''affaires]]/Tableau3[[#This Row],[Salariés]],"")</f>
        <v/>
      </c>
      <c r="AC4630" s="177" t="s">
        <v>4972</v>
      </c>
    </row>
    <row r="4631" spans="1:29" ht="20.25" customHeight="1">
      <c r="A4631" s="217"/>
      <c r="E4631" s="187">
        <v>95</v>
      </c>
      <c r="F4631" s="178">
        <v>2020</v>
      </c>
      <c r="G4631" s="188">
        <v>2137000000</v>
      </c>
      <c r="H4631" s="188">
        <v>168000000</v>
      </c>
      <c r="I4631" s="215">
        <v>-1123000000</v>
      </c>
      <c r="J4631" s="215">
        <v>-1169000000</v>
      </c>
      <c r="K4631" s="215">
        <v>7484000000</v>
      </c>
      <c r="L4631" s="215">
        <v>3652000000</v>
      </c>
      <c r="M4631" s="197">
        <f>Tableau3[[#This Row],[Fonds propres]]/Tableau3[[#This Row],[Titres]]</f>
        <v>36.903575020693587</v>
      </c>
      <c r="N4631" s="190">
        <f>Tableau3[[#This Row],[Résultat Net (PdG)]]/Tableau3[[#This Row],[Fonds propres]]</f>
        <v>-0.32009857612267251</v>
      </c>
      <c r="O4631" s="190">
        <f t="shared" si="367"/>
        <v>-8.188314213494069E-2</v>
      </c>
      <c r="P4631" s="215">
        <v>98960602</v>
      </c>
      <c r="Q4631" s="215">
        <f>Tableau3[[#This Row],[Titres]]*Tableau3[[#This Row],[Cours]]</f>
        <v>9401257190</v>
      </c>
      <c r="R4631" s="195">
        <f>Tableau3[[#This Row],[Capi]]/Tableau3[[#This Row],[Fonds propres]]</f>
        <v>2.5742763389923331</v>
      </c>
      <c r="S4631" s="197">
        <f t="shared" si="368"/>
        <v>100.50748327380953</v>
      </c>
      <c r="T4631" s="180"/>
      <c r="U4631" s="189">
        <f>IFERROR(IF(Tableau3[[#This Row],[Dettes]]=0,"",(Tableau3[[#This Row],[Dettes]]/Tableau3[[#This Row],[EBE]])),"")</f>
        <v>44.547619047619051</v>
      </c>
      <c r="V4631" s="190">
        <f>IFERROR(Tableau3[[#This Row],[Fonds propres]]/Tableau3[[#This Row],[Total Bilan]],"")</f>
        <v>0.19666128163704899</v>
      </c>
      <c r="W4631" s="180">
        <v>18570000000</v>
      </c>
      <c r="Y4631" s="180">
        <v>24447</v>
      </c>
      <c r="Z4631" s="192">
        <f>IFERROR(Tableau3[[#This Row],[Chiffre d''affaires]]/Tableau3[[#This Row],[Salariés]],"")</f>
        <v>87413.588579375792</v>
      </c>
      <c r="AC4631" s="177" t="s">
        <v>457</v>
      </c>
    </row>
    <row r="4632" spans="1:29" ht="20.25" customHeight="1">
      <c r="A4632" s="217"/>
      <c r="E4632" s="187"/>
      <c r="G4632" s="202">
        <f>(G4631/G4633)-1</f>
        <v>-0.54531914893617017</v>
      </c>
      <c r="H4632" s="202">
        <f>(H4631/H4633)-1</f>
        <v>-0.90519187358916475</v>
      </c>
      <c r="I4632" s="202">
        <f>(I4631/I4633)-1</f>
        <v>-2.0265082266910421</v>
      </c>
      <c r="J4632" s="202">
        <f>(J4631/J4633)-1</f>
        <v>-2.9880952380952381</v>
      </c>
      <c r="K4632" s="178"/>
      <c r="L4632" s="178"/>
      <c r="M4632" s="197"/>
      <c r="N4632" s="190"/>
      <c r="O4632" s="190"/>
      <c r="P4632" s="178"/>
      <c r="Q4632" s="215"/>
      <c r="R4632" s="195"/>
      <c r="S4632" s="197"/>
      <c r="T4632" s="180"/>
      <c r="U4632" s="189" t="str">
        <f>IFERROR(IF(Tableau3[[#This Row],[Dettes]]=0,"",(Tableau3[[#This Row],[Dettes]]/Tableau3[[#This Row],[EBE]])),"")</f>
        <v/>
      </c>
      <c r="V4632" s="190" t="str">
        <f>IFERROR(Tableau3[[#This Row],[Fonds propres]]/Tableau3[[#This Row],[Total Bilan]],"")</f>
        <v/>
      </c>
      <c r="W4632" s="180"/>
      <c r="Y4632" s="180"/>
      <c r="Z4632" s="192" t="str">
        <f>IFERROR(Tableau3[[#This Row],[Chiffre d''affaires]]/Tableau3[[#This Row],[Salariés]],"")</f>
        <v/>
      </c>
      <c r="AC4632" s="177" t="s">
        <v>4847</v>
      </c>
    </row>
    <row r="4633" spans="1:29" ht="20.25" customHeight="1">
      <c r="A4633" s="217"/>
      <c r="E4633" s="187">
        <v>171</v>
      </c>
      <c r="F4633" s="178">
        <v>2019</v>
      </c>
      <c r="G4633" s="188">
        <v>4700000000</v>
      </c>
      <c r="H4633" s="188">
        <v>1772000000</v>
      </c>
      <c r="I4633" s="215">
        <v>1094000000</v>
      </c>
      <c r="J4633" s="215">
        <v>588000000</v>
      </c>
      <c r="K4633" s="215">
        <v>5254000000</v>
      </c>
      <c r="L4633" s="215">
        <v>5032000000</v>
      </c>
      <c r="M4633" s="197">
        <f>Tableau3[[#This Row],[Fonds propres]]/Tableau3[[#This Row],[Titres]]</f>
        <v>50.848518484153928</v>
      </c>
      <c r="N4633" s="190">
        <f>Tableau3[[#This Row],[Résultat Net (PdG)]]/Tableau3[[#This Row],[Fonds propres]]</f>
        <v>0.11685214626391097</v>
      </c>
      <c r="O4633" s="190">
        <f t="shared" si="367"/>
        <v>8.3792892156862739E-2</v>
      </c>
      <c r="P4633" s="215">
        <v>98960602</v>
      </c>
      <c r="Q4633" s="215">
        <f>Tableau3[[#This Row],[Titres]]*Tableau3[[#This Row],[Cours]]</f>
        <v>16922262942</v>
      </c>
      <c r="R4633" s="195">
        <f>Tableau3[[#This Row],[Capi]]/Tableau3[[#This Row],[Fonds propres]]</f>
        <v>3.3629298374403818</v>
      </c>
      <c r="S4633" s="197">
        <f t="shared" si="368"/>
        <v>12.51482107336343</v>
      </c>
      <c r="T4633" s="180"/>
      <c r="U4633" s="189">
        <f>IFERROR(IF(Tableau3[[#This Row],[Dettes]]=0,"",(Tableau3[[#This Row],[Dettes]]/Tableau3[[#This Row],[EBE]])),"")</f>
        <v>2.9650112866817158</v>
      </c>
      <c r="V4633" s="190">
        <f>IFERROR(Tableau3[[#This Row],[Fonds propres]]/Tableau3[[#This Row],[Total Bilan]],"")</f>
        <v>0.29964866313344846</v>
      </c>
      <c r="W4633" s="180">
        <v>16793000000</v>
      </c>
      <c r="Y4633" s="180">
        <v>26122</v>
      </c>
      <c r="Z4633" s="192">
        <f>IFERROR(Tableau3[[#This Row],[Chiffre d''affaires]]/Tableau3[[#This Row],[Salariés]],"")</f>
        <v>179924.96746037822</v>
      </c>
      <c r="AC4633" s="216" t="s">
        <v>3155</v>
      </c>
    </row>
    <row r="4634" spans="1:29" ht="20.25" customHeight="1">
      <c r="A4634" s="217"/>
      <c r="E4634" s="187"/>
      <c r="G4634" s="202">
        <f>(G4633/G4635)-1</f>
        <v>4.957570343903539E-2</v>
      </c>
      <c r="H4634" s="202">
        <f>(H4633/H4635)-1</f>
        <v>-9.6379398266190686E-2</v>
      </c>
      <c r="I4634" s="202">
        <f>(I4633/I4635)-1</f>
        <v>-0.1141700404858299</v>
      </c>
      <c r="J4634" s="202">
        <f>(J4633/J4635)-1</f>
        <v>-3.6065573770491799E-2</v>
      </c>
      <c r="K4634" s="178"/>
      <c r="L4634" s="178"/>
      <c r="M4634" s="197"/>
      <c r="N4634" s="190"/>
      <c r="O4634" s="190"/>
      <c r="P4634" s="178"/>
      <c r="Q4634" s="215"/>
      <c r="R4634" s="195"/>
      <c r="S4634" s="197"/>
      <c r="T4634" s="180"/>
      <c r="U4634" s="189" t="str">
        <f>IFERROR(IF(Tableau3[[#This Row],[Dettes]]=0,"",(Tableau3[[#This Row],[Dettes]]/Tableau3[[#This Row],[EBE]])),"")</f>
        <v/>
      </c>
      <c r="V4634" s="190" t="str">
        <f>IFERROR(Tableau3[[#This Row],[Fonds propres]]/Tableau3[[#This Row],[Total Bilan]],"")</f>
        <v/>
      </c>
      <c r="W4634" s="180"/>
      <c r="Y4634" s="180"/>
      <c r="Z4634" s="192" t="str">
        <f>IFERROR(Tableau3[[#This Row],[Chiffre d''affaires]]/Tableau3[[#This Row],[Salariés]],"")</f>
        <v/>
      </c>
      <c r="AC4634" s="216" t="s">
        <v>4846</v>
      </c>
    </row>
    <row r="4635" spans="1:29" ht="20.25" customHeight="1">
      <c r="A4635" s="217"/>
      <c r="E4635" s="187">
        <v>167.2</v>
      </c>
      <c r="F4635" s="178">
        <v>2018</v>
      </c>
      <c r="G4635" s="188">
        <v>4478000000</v>
      </c>
      <c r="H4635" s="188">
        <v>1961000000</v>
      </c>
      <c r="I4635" s="215">
        <v>1235000000</v>
      </c>
      <c r="J4635" s="215">
        <v>610000000</v>
      </c>
      <c r="K4635" s="215">
        <v>4942000000</v>
      </c>
      <c r="L4635" s="215">
        <v>4850000000</v>
      </c>
      <c r="M4635" s="197">
        <f>Tableau3[[#This Row],[Fonds propres]]/Tableau3[[#This Row],[Titres]]</f>
        <v>49.009402752016406</v>
      </c>
      <c r="N4635" s="190">
        <f>Tableau3[[#This Row],[Résultat Net (PdG)]]/Tableau3[[#This Row],[Fonds propres]]</f>
        <v>0.12577319587628866</v>
      </c>
      <c r="O4635" s="190">
        <f t="shared" si="367"/>
        <v>0.11061022211607356</v>
      </c>
      <c r="P4635" s="215">
        <v>98960602</v>
      </c>
      <c r="Q4635" s="215">
        <f>Tableau3[[#This Row],[Titres]]*Tableau3[[#This Row],[Cours]]</f>
        <v>16546212654.4</v>
      </c>
      <c r="R4635" s="195">
        <f>Tableau3[[#This Row],[Capi]]/Tableau3[[#This Row],[Fonds propres]]</f>
        <v>3.4115902380206187</v>
      </c>
      <c r="S4635" s="197">
        <f t="shared" si="368"/>
        <v>10.957783097603265</v>
      </c>
      <c r="T4635" s="180"/>
      <c r="U4635" s="189">
        <f>IFERROR(IF(Tableau3[[#This Row],[Dettes]]=0,"",(Tableau3[[#This Row],[Dettes]]/Tableau3[[#This Row],[EBE]])),"")</f>
        <v>2.5201427842937276</v>
      </c>
      <c r="V4635" s="190">
        <f>IFERROR(Tableau3[[#This Row],[Fonds propres]]/Tableau3[[#This Row],[Total Bilan]],"")</f>
        <v>0.30186095724155099</v>
      </c>
      <c r="W4635" s="180">
        <v>16067000000</v>
      </c>
      <c r="Y4635" s="180">
        <v>25819</v>
      </c>
      <c r="Z4635" s="192">
        <f>IFERROR(Tableau3[[#This Row],[Chiffre d''affaires]]/Tableau3[[#This Row],[Salariés]],"")</f>
        <v>173438.16569193228</v>
      </c>
      <c r="AC4635" s="177" t="s">
        <v>4841</v>
      </c>
    </row>
    <row r="4636" spans="1:29" ht="20.25" customHeight="1">
      <c r="A4636" s="217"/>
      <c r="E4636" s="187"/>
      <c r="G4636" s="202">
        <f>(G4635/G4637)-1</f>
        <v>0.23804257672103946</v>
      </c>
      <c r="H4636" s="202">
        <f>(H4635/H4637)-1</f>
        <v>0.25143586470963619</v>
      </c>
      <c r="I4636" s="202">
        <f>(I4635/I4637)-1</f>
        <v>0.19902912621359214</v>
      </c>
      <c r="J4636" s="202">
        <f>(J4635/J4637)-1</f>
        <v>6.8301225919439545E-2</v>
      </c>
      <c r="K4636" s="178"/>
      <c r="L4636" s="178"/>
      <c r="M4636" s="197"/>
      <c r="N4636" s="190"/>
      <c r="O4636" s="190"/>
      <c r="P4636" s="178"/>
      <c r="Q4636" s="215"/>
      <c r="R4636" s="195"/>
      <c r="S4636" s="197"/>
      <c r="T4636" s="180"/>
      <c r="U4636" s="189" t="str">
        <f>IFERROR(IF(Tableau3[[#This Row],[Dettes]]=0,"",(Tableau3[[#This Row],[Dettes]]/Tableau3[[#This Row],[EBE]])),"")</f>
        <v/>
      </c>
      <c r="V4636" s="190" t="str">
        <f>IFERROR(Tableau3[[#This Row],[Fonds propres]]/Tableau3[[#This Row],[Total Bilan]],"")</f>
        <v/>
      </c>
      <c r="W4636" s="180"/>
      <c r="Y4636" s="180"/>
      <c r="Z4636" s="192" t="str">
        <f>IFERROR(Tableau3[[#This Row],[Chiffre d''affaires]]/Tableau3[[#This Row],[Salariés]],"")</f>
        <v/>
      </c>
      <c r="AC4636" s="177" t="s">
        <v>4845</v>
      </c>
    </row>
    <row r="4637" spans="1:29" ht="20.25" customHeight="1">
      <c r="A4637" s="217"/>
      <c r="E4637" s="187">
        <v>167.3</v>
      </c>
      <c r="F4637" s="178">
        <v>2017</v>
      </c>
      <c r="G4637" s="188">
        <v>3617000000</v>
      </c>
      <c r="H4637" s="188">
        <v>1567000000</v>
      </c>
      <c r="I4637" s="215">
        <v>1030000000</v>
      </c>
      <c r="J4637" s="215">
        <v>571000000</v>
      </c>
      <c r="K4637" s="215">
        <v>3797000000</v>
      </c>
      <c r="L4637" s="215">
        <v>4577000000</v>
      </c>
      <c r="M4637" s="197">
        <f>Tableau3[[#This Row],[Fonds propres]]/Tableau3[[#This Row],[Titres]]</f>
        <v>46.250730088540287</v>
      </c>
      <c r="N4637" s="190">
        <f>Tableau3[[#This Row],[Résultat Net (PdG)]]/Tableau3[[#This Row],[Fonds propres]]</f>
        <v>0.12475420581166703</v>
      </c>
      <c r="O4637" s="190">
        <f t="shared" si="367"/>
        <v>0.11046761046761047</v>
      </c>
      <c r="P4637" s="215">
        <v>98960600</v>
      </c>
      <c r="Q4637" s="215">
        <f>Tableau3[[#This Row],[Titres]]*Tableau3[[#This Row],[Cours]]</f>
        <v>16556108380.000002</v>
      </c>
      <c r="R4637" s="195">
        <f>Tableau3[[#This Row],[Capi]]/Tableau3[[#This Row],[Fonds propres]]</f>
        <v>3.6172401966353509</v>
      </c>
      <c r="S4637" s="197">
        <f t="shared" si="368"/>
        <v>12.988582246330568</v>
      </c>
      <c r="T4637" s="180"/>
      <c r="U4637" s="189">
        <f>IFERROR(IF(Tableau3[[#This Row],[Dettes]]=0,"",(Tableau3[[#This Row],[Dettes]]/Tableau3[[#This Row],[EBE]])),"")</f>
        <v>2.4231014677728142</v>
      </c>
      <c r="V4637" s="190">
        <f>IFERROR(Tableau3[[#This Row],[Fonds propres]]/Tableau3[[#This Row],[Total Bilan]],"")</f>
        <v>0.32060801344914541</v>
      </c>
      <c r="W4637" s="180">
        <v>14276000000</v>
      </c>
      <c r="Y4637" s="180">
        <v>17422</v>
      </c>
      <c r="Z4637" s="192">
        <f>IFERROR(Tableau3[[#This Row],[Chiffre d''affaires]]/Tableau3[[#This Row],[Salariés]],"")</f>
        <v>207611.06646768455</v>
      </c>
      <c r="AC4637" s="216">
        <v>2019</v>
      </c>
    </row>
    <row r="4638" spans="1:29" ht="20.25" customHeight="1">
      <c r="A4638" s="217"/>
      <c r="E4638" s="187"/>
      <c r="G4638" s="202">
        <f>(G4637/G4639)-1</f>
        <v>0.22734984730234142</v>
      </c>
      <c r="H4638" s="202">
        <f>(H4637/H4639)-1</f>
        <v>0.31129707112970717</v>
      </c>
      <c r="I4638" s="202">
        <f>(I4637/I4639)-1</f>
        <v>0.5512048192771084</v>
      </c>
      <c r="J4638" s="202">
        <f>(J4637/J4639)-1</f>
        <v>0.31264367816091965</v>
      </c>
      <c r="K4638" s="178"/>
      <c r="L4638" s="178"/>
      <c r="M4638" s="197"/>
      <c r="N4638" s="190"/>
      <c r="O4638" s="190"/>
      <c r="P4638" s="178"/>
      <c r="Q4638" s="215"/>
      <c r="R4638" s="195"/>
      <c r="S4638" s="197"/>
      <c r="T4638" s="180"/>
      <c r="U4638" s="189" t="str">
        <f>IFERROR(IF(Tableau3[[#This Row],[Dettes]]=0,"",(Tableau3[[#This Row],[Dettes]]/Tableau3[[#This Row],[EBE]])),"")</f>
        <v/>
      </c>
      <c r="V4638" s="190" t="str">
        <f>IFERROR(Tableau3[[#This Row],[Fonds propres]]/Tableau3[[#This Row],[Total Bilan]],"")</f>
        <v/>
      </c>
      <c r="W4638" s="180"/>
      <c r="Y4638" s="180"/>
      <c r="Z4638" s="192" t="str">
        <f>IFERROR(Tableau3[[#This Row],[Chiffre d''affaires]]/Tableau3[[#This Row],[Salariés]],"")</f>
        <v/>
      </c>
      <c r="AC4638" s="274" t="s">
        <v>4863</v>
      </c>
    </row>
    <row r="4639" spans="1:29" ht="20.25" customHeight="1">
      <c r="A4639" s="217"/>
      <c r="E4639" s="187">
        <v>102.7</v>
      </c>
      <c r="F4639" s="178">
        <v>2016</v>
      </c>
      <c r="G4639" s="188">
        <v>2947000000</v>
      </c>
      <c r="H4639" s="188">
        <v>1195000000</v>
      </c>
      <c r="I4639" s="215">
        <v>664000000</v>
      </c>
      <c r="J4639" s="215">
        <v>435000000</v>
      </c>
      <c r="K4639" s="215">
        <v>2709000000</v>
      </c>
      <c r="L4639" s="215">
        <v>4284000000</v>
      </c>
      <c r="M4639" s="197">
        <f>Tableau3[[#This Row],[Fonds propres]]/Tableau3[[#This Row],[Titres]]</f>
        <v>43.289955800591343</v>
      </c>
      <c r="N4639" s="190">
        <f>Tableau3[[#This Row],[Résultat Net (PdG)]]/Tableau3[[#This Row],[Fonds propres]]</f>
        <v>0.1015406162464986</v>
      </c>
      <c r="O4639" s="190">
        <f t="shared" si="367"/>
        <v>7.321376065862982E-2</v>
      </c>
      <c r="P4639" s="215">
        <v>98960600</v>
      </c>
      <c r="Q4639" s="215">
        <f>Tableau3[[#This Row],[Titres]]*Tableau3[[#This Row],[Cours]]</f>
        <v>10163253620</v>
      </c>
      <c r="R4639" s="195">
        <f>Tableau3[[#This Row],[Capi]]/Tableau3[[#This Row],[Fonds propres]]</f>
        <v>2.3723747945845006</v>
      </c>
      <c r="S4639" s="197">
        <f t="shared" si="368"/>
        <v>10.771760351464435</v>
      </c>
      <c r="T4639" s="180"/>
      <c r="U4639" s="189">
        <f>IFERROR(IF(Tableau3[[#This Row],[Dettes]]=0,"",(Tableau3[[#This Row],[Dettes]]/Tableau3[[#This Row],[EBE]])),"")</f>
        <v>2.2669456066945606</v>
      </c>
      <c r="V4639" s="190">
        <f>IFERROR(Tableau3[[#This Row],[Fonds propres]]/Tableau3[[#This Row],[Total Bilan]],"")</f>
        <v>0.40445619335347432</v>
      </c>
      <c r="W4639" s="180">
        <v>10592000000</v>
      </c>
      <c r="Y4639" s="180">
        <v>8947</v>
      </c>
      <c r="Z4639" s="192">
        <f>IFERROR(Tableau3[[#This Row],[Chiffre d''affaires]]/Tableau3[[#This Row],[Salariés]],"")</f>
        <v>329384.15111210459</v>
      </c>
      <c r="AC4639" s="216" t="s">
        <v>4851</v>
      </c>
    </row>
    <row r="4640" spans="1:29" ht="20.25" customHeight="1">
      <c r="A4640" s="217"/>
      <c r="G4640" s="202">
        <f>(G4639/G4641)-1</f>
        <v>1.063100137174211E-2</v>
      </c>
      <c r="H4640" s="202">
        <f>(H4639/H4641)-1</f>
        <v>9.2905405405405705E-3</v>
      </c>
      <c r="I4640" s="202">
        <f>(I4639/I4641)-1</f>
        <v>-0.15628970775095297</v>
      </c>
      <c r="J4640" s="202">
        <f>(J4639/J4641)-1</f>
        <v>1.1627906976744207E-2</v>
      </c>
      <c r="K4640" s="178"/>
      <c r="L4640" s="178"/>
      <c r="M4640" s="197"/>
      <c r="N4640" s="190"/>
      <c r="O4640" s="190"/>
      <c r="P4640" s="178"/>
      <c r="Q4640" s="215"/>
      <c r="R4640" s="195"/>
      <c r="S4640" s="197"/>
      <c r="T4640" s="180"/>
      <c r="U4640" s="189" t="str">
        <f>IFERROR(IF(Tableau3[[#This Row],[Dettes]]=0,"",(Tableau3[[#This Row],[Dettes]]/Tableau3[[#This Row],[EBE]])),"")</f>
        <v/>
      </c>
      <c r="V4640" s="190" t="str">
        <f>IFERROR(Tableau3[[#This Row],[Fonds propres]]/Tableau3[[#This Row],[Total Bilan]],"")</f>
        <v/>
      </c>
      <c r="W4640" s="180"/>
      <c r="Y4640" s="180"/>
      <c r="Z4640" s="192" t="str">
        <f>IFERROR(Tableau3[[#This Row],[Chiffre d''affaires]]/Tableau3[[#This Row],[Salariés]],"")</f>
        <v/>
      </c>
      <c r="AC4640" s="216">
        <v>2022</v>
      </c>
    </row>
    <row r="4641" spans="1:29" ht="20.25" customHeight="1">
      <c r="A4641" s="217"/>
      <c r="E4641" s="187">
        <v>104.35</v>
      </c>
      <c r="F4641" s="178">
        <v>2015</v>
      </c>
      <c r="G4641" s="188">
        <v>2916000000</v>
      </c>
      <c r="H4641" s="188">
        <v>1184000000</v>
      </c>
      <c r="I4641" s="215">
        <v>787000000</v>
      </c>
      <c r="J4641" s="215">
        <v>430000000</v>
      </c>
      <c r="K4641" s="215">
        <v>2676000000</v>
      </c>
      <c r="L4641" s="215">
        <v>4126000000</v>
      </c>
      <c r="M4641" s="197">
        <f>Tableau3[[#This Row],[Fonds propres]]/Tableau3[[#This Row],[Titres]]</f>
        <v>41.693360792072802</v>
      </c>
      <c r="N4641" s="190">
        <f>Tableau3[[#This Row],[Résultat Net (PdG)]]/Tableau3[[#This Row],[Fonds propres]]</f>
        <v>0.10421715947649055</v>
      </c>
      <c r="O4641" s="190">
        <f t="shared" si="367"/>
        <v>8.7006191037735853E-2</v>
      </c>
      <c r="P4641" s="215">
        <v>98960600</v>
      </c>
      <c r="Q4641" s="215">
        <f>Tableau3[[#This Row],[Titres]]*Tableau3[[#This Row],[Cours]]</f>
        <v>10326538610</v>
      </c>
      <c r="R4641" s="195">
        <f>Tableau3[[#This Row],[Capi]]/Tableau3[[#This Row],[Fonds propres]]</f>
        <v>2.5027965608337372</v>
      </c>
      <c r="S4641" s="197">
        <f t="shared" si="368"/>
        <v>10.981873826013514</v>
      </c>
      <c r="T4641" s="180"/>
      <c r="U4641" s="189">
        <f>IFERROR(IF(Tableau3[[#This Row],[Dettes]]=0,"",(Tableau3[[#This Row],[Dettes]]/Tableau3[[#This Row],[EBE]])),"")</f>
        <v>2.2601351351351351</v>
      </c>
      <c r="V4641" s="190">
        <f>IFERROR(Tableau3[[#This Row],[Fonds propres]]/Tableau3[[#This Row],[Total Bilan]],"")</f>
        <v>0.39540009583133684</v>
      </c>
      <c r="W4641" s="180">
        <v>10435000000</v>
      </c>
      <c r="Y4641" s="180">
        <v>8996</v>
      </c>
      <c r="Z4641" s="192">
        <f>IFERROR(Tableau3[[#This Row],[Chiffre d''affaires]]/Tableau3[[#This Row],[Salariés]],"")</f>
        <v>324144.0640284571</v>
      </c>
      <c r="AC4641" s="216" t="s">
        <v>4842</v>
      </c>
    </row>
    <row r="4642" spans="1:29" ht="20.25" customHeight="1">
      <c r="A4642" s="217"/>
      <c r="E4642" s="187"/>
      <c r="G4642" s="202">
        <f>(G4641/G4643)-1</f>
        <v>4.4786814761734073E-2</v>
      </c>
      <c r="H4642" s="202">
        <f>(H4641/H4643)-1</f>
        <v>6.7628494138863848E-2</v>
      </c>
      <c r="I4642" s="202">
        <f>(I4641/I4643)-1</f>
        <v>6.7842605156037905E-2</v>
      </c>
      <c r="J4642" s="202">
        <f>(J4641/J4643)-1</f>
        <v>6.9651741293532243E-2</v>
      </c>
      <c r="K4642" s="178"/>
      <c r="L4642" s="178"/>
      <c r="M4642" s="197"/>
      <c r="N4642" s="190"/>
      <c r="O4642" s="190"/>
      <c r="P4642" s="178"/>
      <c r="Q4642" s="215"/>
      <c r="R4642" s="195"/>
      <c r="S4642" s="197"/>
      <c r="T4642" s="180"/>
      <c r="U4642" s="189" t="str">
        <f>IFERROR(IF(Tableau3[[#This Row],[Dettes]]=0,"",(Tableau3[[#This Row],[Dettes]]/Tableau3[[#This Row],[EBE]])),"")</f>
        <v/>
      </c>
      <c r="V4642" s="190" t="str">
        <f>IFERROR(Tableau3[[#This Row],[Fonds propres]]/Tableau3[[#This Row],[Total Bilan]],"")</f>
        <v/>
      </c>
      <c r="W4642" s="180"/>
      <c r="Y4642" s="180"/>
      <c r="Z4642" s="192" t="str">
        <f>IFERROR(Tableau3[[#This Row],[Chiffre d''affaires]]/Tableau3[[#This Row],[Salariés]],"")</f>
        <v/>
      </c>
      <c r="AC4642" s="216" t="s">
        <v>4971</v>
      </c>
    </row>
    <row r="4643" spans="1:29" ht="20.25" customHeight="1">
      <c r="A4643" s="217"/>
      <c r="E4643" s="187">
        <v>106.4</v>
      </c>
      <c r="F4643" s="178">
        <v>2014</v>
      </c>
      <c r="G4643" s="188">
        <v>2791000000</v>
      </c>
      <c r="H4643" s="188">
        <v>1109000000</v>
      </c>
      <c r="I4643" s="215">
        <v>737000000</v>
      </c>
      <c r="J4643" s="215">
        <v>402000000</v>
      </c>
      <c r="K4643" s="215">
        <v>2804000000</v>
      </c>
      <c r="L4643" s="215">
        <v>3980000000</v>
      </c>
      <c r="M4643" s="197">
        <f>Tableau3[[#This Row],[Fonds propres]]/Tableau3[[#This Row],[Titres]]</f>
        <v>40.218026163948075</v>
      </c>
      <c r="N4643" s="190">
        <f>Tableau3[[#This Row],[Résultat Net (PdG)]]/Tableau3[[#This Row],[Fonds propres]]</f>
        <v>0.10100502512562815</v>
      </c>
      <c r="O4643" s="190">
        <f t="shared" si="367"/>
        <v>8.100087924970692E-2</v>
      </c>
      <c r="P4643" s="215">
        <v>98960600</v>
      </c>
      <c r="Q4643" s="215">
        <f>Tableau3[[#This Row],[Titres]]*Tableau3[[#This Row],[Cours]]</f>
        <v>10529407840</v>
      </c>
      <c r="R4643" s="195">
        <f>Tableau3[[#This Row],[Capi]]/Tableau3[[#This Row],[Fonds propres]]</f>
        <v>2.6455798592964825</v>
      </c>
      <c r="S4643" s="197">
        <f t="shared" si="368"/>
        <v>12.022910586113616</v>
      </c>
      <c r="T4643" s="180"/>
      <c r="U4643" s="189">
        <f>IFERROR(IF(Tableau3[[#This Row],[Dettes]]=0,"",(Tableau3[[#This Row],[Dettes]]/Tableau3[[#This Row],[EBE]])),"")</f>
        <v>2.5284039675383227</v>
      </c>
      <c r="V4643" s="190">
        <f>IFERROR(Tableau3[[#This Row],[Fonds propres]]/Tableau3[[#This Row],[Total Bilan]],"")</f>
        <v>0.40645424836601307</v>
      </c>
      <c r="W4643" s="180">
        <v>9792000000</v>
      </c>
      <c r="Y4643" s="180">
        <v>8966</v>
      </c>
      <c r="Z4643" s="192">
        <f>IFERROR(Tableau3[[#This Row],[Chiffre d''affaires]]/Tableau3[[#This Row],[Salariés]],"")</f>
        <v>311287.08454160159</v>
      </c>
      <c r="AC4643" s="177" t="s">
        <v>4848</v>
      </c>
    </row>
    <row r="4644" spans="1:29" ht="20.25" customHeight="1">
      <c r="A4644" s="217"/>
      <c r="E4644" s="187"/>
      <c r="G4644" s="202">
        <f>(G4643/G4645)-1</f>
        <v>1.3435003631081965E-2</v>
      </c>
      <c r="H4644" s="202">
        <f>(H4643/H4645)-1</f>
        <v>3.1627906976744224E-2</v>
      </c>
      <c r="I4644" s="202">
        <f>(I4643/I4645)-1</f>
        <v>8.382352941176463E-2</v>
      </c>
      <c r="J4644" s="202">
        <f>(J4643/J4645)-1</f>
        <v>0.31803278688524594</v>
      </c>
      <c r="K4644" s="178"/>
      <c r="L4644" s="178"/>
      <c r="M4644" s="197"/>
      <c r="N4644" s="190"/>
      <c r="O4644" s="190"/>
      <c r="P4644" s="178"/>
      <c r="Q4644" s="215"/>
      <c r="R4644" s="195"/>
      <c r="S4644" s="197"/>
      <c r="T4644" s="180"/>
      <c r="U4644" s="189" t="str">
        <f>IFERROR(IF(Tableau3[[#This Row],[Dettes]]=0,"",(Tableau3[[#This Row],[Dettes]]/Tableau3[[#This Row],[EBE]])),"")</f>
        <v/>
      </c>
      <c r="V4644" s="190" t="str">
        <f>IFERROR(Tableau3[[#This Row],[Fonds propres]]/Tableau3[[#This Row],[Total Bilan]],"")</f>
        <v/>
      </c>
      <c r="W4644" s="180"/>
      <c r="Y4644" s="180"/>
      <c r="Z4644" s="192" t="str">
        <f>IFERROR(Tableau3[[#This Row],[Chiffre d''affaires]]/Tableau3[[#This Row],[Salariés]],"")</f>
        <v/>
      </c>
      <c r="AC4644" s="216" t="s">
        <v>4843</v>
      </c>
    </row>
    <row r="4645" spans="1:29" ht="20.25" customHeight="1">
      <c r="A4645" s="217"/>
      <c r="E4645" s="187">
        <v>87.94</v>
      </c>
      <c r="F4645" s="178">
        <v>2013</v>
      </c>
      <c r="G4645" s="188">
        <v>2754000000</v>
      </c>
      <c r="H4645" s="188">
        <v>1075000000</v>
      </c>
      <c r="I4645" s="215">
        <v>680000000</v>
      </c>
      <c r="J4645" s="215">
        <v>305000000</v>
      </c>
      <c r="K4645" s="215">
        <v>2999000000</v>
      </c>
      <c r="L4645" s="215">
        <v>3825000000</v>
      </c>
      <c r="M4645" s="197">
        <f>Tableau3[[#This Row],[Fonds propres]]/Tableau3[[#This Row],[Titres]]</f>
        <v>38.651746250527985</v>
      </c>
      <c r="N4645" s="190">
        <f>Tableau3[[#This Row],[Résultat Net (PdG)]]/Tableau3[[#This Row],[Fonds propres]]</f>
        <v>7.9738562091503262E-2</v>
      </c>
      <c r="O4645" s="190">
        <f t="shared" si="367"/>
        <v>7.5712589073634207E-2</v>
      </c>
      <c r="P4645" s="215">
        <v>98960600</v>
      </c>
      <c r="Q4645" s="215">
        <f>Tableau3[[#This Row],[Titres]]*Tableau3[[#This Row],[Cours]]</f>
        <v>8702595164</v>
      </c>
      <c r="R4645" s="195">
        <f>Tableau3[[#This Row],[Capi]]/Tableau3[[#This Row],[Fonds propres]]</f>
        <v>2.2751882781699346</v>
      </c>
      <c r="S4645" s="197">
        <f t="shared" si="368"/>
        <v>10.88520480372093</v>
      </c>
      <c r="T4645" s="180"/>
      <c r="U4645" s="189">
        <f>IFERROR(IF(Tableau3[[#This Row],[Dettes]]=0,"",(Tableau3[[#This Row],[Dettes]]/Tableau3[[#This Row],[EBE]])),"")</f>
        <v>2.789767441860465</v>
      </c>
      <c r="V4645" s="190">
        <f>IFERROR(Tableau3[[#This Row],[Fonds propres]]/Tableau3[[#This Row],[Total Bilan]],"")</f>
        <v>0.39686656982776508</v>
      </c>
      <c r="W4645" s="180">
        <v>9638000000</v>
      </c>
      <c r="Y4645" s="180">
        <v>9026</v>
      </c>
      <c r="Z4645" s="192">
        <f>IFERROR(Tableau3[[#This Row],[Chiffre d''affaires]]/Tableau3[[#This Row],[Salariés]],"")</f>
        <v>305118.54642144917</v>
      </c>
      <c r="AC4645" s="177" t="s">
        <v>4844</v>
      </c>
    </row>
    <row r="4646" spans="1:29" ht="20.25" customHeight="1">
      <c r="A4646" s="217"/>
      <c r="E4646" s="187"/>
      <c r="G4646" s="202">
        <f>(G4645/G4647)-1</f>
        <v>4.318181818181821E-2</v>
      </c>
      <c r="H4646" s="202">
        <f>(H4645/H4647)-1</f>
        <v>5.7030481809242861E-2</v>
      </c>
      <c r="I4646" s="202">
        <f>(I4645/I4647)-1</f>
        <v>5.9190031152647871E-2</v>
      </c>
      <c r="J4646" s="202">
        <f>(J4645/J4647)-1</f>
        <v>-0.1055718475073314</v>
      </c>
      <c r="K4646" s="178"/>
      <c r="L4646" s="178"/>
      <c r="M4646" s="197"/>
      <c r="N4646" s="190"/>
      <c r="O4646" s="190"/>
      <c r="P4646" s="178"/>
      <c r="Q4646" s="215"/>
      <c r="R4646" s="195"/>
      <c r="S4646" s="197"/>
      <c r="T4646" s="180"/>
      <c r="U4646" s="189" t="str">
        <f>IFERROR(IF(Tableau3[[#This Row],[Dettes]]=0,"",(Tableau3[[#This Row],[Dettes]]/Tableau3[[#This Row],[EBE]])),"")</f>
        <v/>
      </c>
      <c r="V4646" s="190" t="str">
        <f>IFERROR(Tableau3[[#This Row],[Fonds propres]]/Tableau3[[#This Row],[Total Bilan]],"")</f>
        <v/>
      </c>
      <c r="W4646" s="180"/>
      <c r="Y4646" s="180"/>
      <c r="Z4646" s="192" t="str">
        <f>IFERROR(Tableau3[[#This Row],[Chiffre d''affaires]]/Tableau3[[#This Row],[Salariés]],"")</f>
        <v/>
      </c>
      <c r="AC4646" s="177" t="s">
        <v>3157</v>
      </c>
    </row>
    <row r="4647" spans="1:29" ht="20.25" customHeight="1">
      <c r="A4647" s="217"/>
      <c r="E4647" s="187">
        <v>60.76</v>
      </c>
      <c r="F4647" s="178">
        <v>2012</v>
      </c>
      <c r="G4647" s="188">
        <v>2640000000</v>
      </c>
      <c r="H4647" s="188">
        <v>1017000000</v>
      </c>
      <c r="I4647" s="215">
        <v>642000000</v>
      </c>
      <c r="J4647" s="215">
        <v>341000000</v>
      </c>
      <c r="K4647" s="215">
        <v>3003000000</v>
      </c>
      <c r="L4647" s="215">
        <v>3733000000</v>
      </c>
      <c r="M4647" s="197">
        <f>Tableau3[[#This Row],[Fonds propres]]/Tableau3[[#This Row],[Titres]]</f>
        <v>37.722083334175416</v>
      </c>
      <c r="N4647" s="190">
        <f>Tableau3[[#This Row],[Résultat Net (PdG)]]/Tableau3[[#This Row],[Fonds propres]]</f>
        <v>9.134744173586927E-2</v>
      </c>
      <c r="O4647" s="190">
        <f t="shared" si="367"/>
        <v>8.2945736434108533E-2</v>
      </c>
      <c r="P4647" s="215">
        <v>98960600</v>
      </c>
      <c r="Q4647" s="215">
        <f>Tableau3[[#This Row],[Titres]]*Tableau3[[#This Row],[Cours]]</f>
        <v>6012846056</v>
      </c>
      <c r="R4647" s="195">
        <f>Tableau3[[#This Row],[Capi]]/Tableau3[[#This Row],[Fonds propres]]</f>
        <v>1.6107275799624967</v>
      </c>
      <c r="S4647" s="197">
        <f t="shared" si="368"/>
        <v>8.8651386981317604</v>
      </c>
      <c r="T4647" s="180"/>
      <c r="U4647" s="189">
        <f>IFERROR(IF(Tableau3[[#This Row],[Dettes]]=0,"",(Tableau3[[#This Row],[Dettes]]/Tableau3[[#This Row],[EBE]])),"")</f>
        <v>2.9528023598820057</v>
      </c>
      <c r="V4647" s="190">
        <f>IFERROR(Tableau3[[#This Row],[Fonds propres]]/Tableau3[[#This Row],[Total Bilan]],"")</f>
        <v>0.39784717041457957</v>
      </c>
      <c r="W4647" s="180">
        <v>9383000000</v>
      </c>
      <c r="Y4647" s="180">
        <v>9035</v>
      </c>
      <c r="Z4647" s="192">
        <f>IFERROR(Tableau3[[#This Row],[Chiffre d''affaires]]/Tableau3[[#This Row],[Salariés]],"")</f>
        <v>292197.01162147208</v>
      </c>
      <c r="AC4647" s="177" t="s">
        <v>3044</v>
      </c>
    </row>
    <row r="4648" spans="1:29" ht="20.25" customHeight="1">
      <c r="A4648" s="217"/>
      <c r="E4648" s="187"/>
      <c r="G4648" s="202">
        <f>(G4647/G4649)-1</f>
        <v>5.5155875299760293E-2</v>
      </c>
      <c r="H4648" s="202">
        <f>(H4647/H4649)-1</f>
        <v>4.629629629629628E-2</v>
      </c>
      <c r="I4648" s="202">
        <f>(I4647/I4649)-1</f>
        <v>5.7660626029653939E-2</v>
      </c>
      <c r="J4648" s="202">
        <f>(J4647/J4649)-1</f>
        <v>-2.011494252873558E-2</v>
      </c>
      <c r="K4648" s="178"/>
      <c r="L4648" s="178"/>
      <c r="M4648" s="197"/>
      <c r="N4648" s="190"/>
      <c r="O4648" s="190"/>
      <c r="P4648" s="178"/>
      <c r="Q4648" s="215"/>
      <c r="R4648" s="195"/>
      <c r="S4648" s="197"/>
      <c r="T4648" s="180"/>
      <c r="U4648" s="189" t="str">
        <f>IFERROR(IF(Tableau3[[#This Row],[Dettes]]=0,"",(Tableau3[[#This Row],[Dettes]]/Tableau3[[#This Row],[EBE]])),"")</f>
        <v/>
      </c>
      <c r="V4648" s="190" t="str">
        <f>IFERROR(Tableau3[[#This Row],[Fonds propres]]/Tableau3[[#This Row],[Total Bilan]],"")</f>
        <v/>
      </c>
      <c r="W4648" s="180"/>
      <c r="Y4648" s="180"/>
      <c r="Z4648" s="192" t="str">
        <f>IFERROR(Tableau3[[#This Row],[Chiffre d''affaires]]/Tableau3[[#This Row],[Salariés]],"")</f>
        <v/>
      </c>
      <c r="AC4648" s="177" t="s">
        <v>2105</v>
      </c>
    </row>
    <row r="4649" spans="1:29" ht="20.25" customHeight="1">
      <c r="A4649" s="217"/>
      <c r="E4649" s="187">
        <v>56.45</v>
      </c>
      <c r="F4649" s="178">
        <v>2011</v>
      </c>
      <c r="G4649" s="188">
        <v>2502000000</v>
      </c>
      <c r="H4649" s="188">
        <v>972000000</v>
      </c>
      <c r="I4649" s="215">
        <v>607000000</v>
      </c>
      <c r="J4649" s="215">
        <v>348000000</v>
      </c>
      <c r="K4649" s="215">
        <v>2206000000</v>
      </c>
      <c r="L4649" s="215">
        <v>3599000000</v>
      </c>
      <c r="M4649" s="197">
        <f>Tableau3[[#This Row],[Fonds propres]]/Tableau3[[#This Row],[Titres]]</f>
        <v>36.368009086444502</v>
      </c>
      <c r="N4649" s="190">
        <f>Tableau3[[#This Row],[Résultat Net (PdG)]]/Tableau3[[#This Row],[Fonds propres]]</f>
        <v>9.6693525979438727E-2</v>
      </c>
      <c r="O4649" s="190"/>
      <c r="P4649" s="215">
        <v>98960600</v>
      </c>
      <c r="Q4649" s="215">
        <f>Tableau3[[#This Row],[Titres]]*Tableau3[[#This Row],[Cours]]</f>
        <v>5586325870</v>
      </c>
      <c r="R4649" s="195">
        <f>Tableau3[[#This Row],[Capi]]/Tableau3[[#This Row],[Fonds propres]]</f>
        <v>1.5521883495415394</v>
      </c>
      <c r="S4649" s="197">
        <f t="shared" si="368"/>
        <v>8.0167961625514401</v>
      </c>
      <c r="T4649" s="180"/>
      <c r="U4649" s="189">
        <f>IFERROR(IF(Tableau3[[#This Row],[Dettes]]=0,"",(Tableau3[[#This Row],[Dettes]]/Tableau3[[#This Row],[EBE]])),"")</f>
        <v>2.2695473251028808</v>
      </c>
      <c r="V4649" s="190">
        <f>IFERROR(Tableau3[[#This Row],[Fonds propres]]/Tableau3[[#This Row],[Total Bilan]],"")</f>
        <v>0.40648294556132819</v>
      </c>
      <c r="W4649" s="180">
        <v>8854000000</v>
      </c>
      <c r="Y4649" s="180">
        <v>9092</v>
      </c>
      <c r="Z4649" s="192">
        <f>IFERROR(Tableau3[[#This Row],[Chiffre d''affaires]]/Tableau3[[#This Row],[Salariés]],"")</f>
        <v>275186.97756269248</v>
      </c>
      <c r="AC4649" s="177" t="s">
        <v>4840</v>
      </c>
    </row>
    <row r="4650" spans="1:29" ht="20.25" customHeight="1">
      <c r="A4650" s="217"/>
      <c r="G4650" s="202"/>
      <c r="H4650" s="202"/>
      <c r="I4650" s="202"/>
      <c r="J4650" s="202"/>
      <c r="K4650" s="178"/>
      <c r="L4650" s="178"/>
      <c r="M4650" s="178"/>
      <c r="N4650" s="178"/>
      <c r="O4650" s="178"/>
      <c r="P4650" s="178"/>
      <c r="Q4650" s="178"/>
      <c r="R4650" s="195"/>
      <c r="S4650" s="178"/>
      <c r="T4650" s="180"/>
      <c r="U4650" s="189" t="str">
        <f>IFERROR(IF(Tableau3[[#This Row],[Dettes]]=0,"",(Tableau3[[#This Row],[Dettes]]/Tableau3[[#This Row],[EBE]])),"")</f>
        <v/>
      </c>
      <c r="V4650" s="190" t="str">
        <f>IFERROR(Tableau3[[#This Row],[Fonds propres]]/Tableau3[[#This Row],[Total Bilan]],"")</f>
        <v/>
      </c>
      <c r="W4650" s="180"/>
      <c r="Y4650" s="180"/>
      <c r="Z4650" s="192" t="str">
        <f>IFERROR(Tableau3[[#This Row],[Chiffre d''affaires]]/Tableau3[[#This Row],[Salariés]],"")</f>
        <v/>
      </c>
      <c r="AC4650" s="177" t="s">
        <v>4850</v>
      </c>
    </row>
    <row r="4651" spans="1:29" ht="20.25" customHeight="1">
      <c r="A4651" s="217"/>
      <c r="G4651" s="188"/>
      <c r="H4651" s="188"/>
      <c r="I4651" s="178"/>
      <c r="J4651" s="178"/>
      <c r="K4651" s="178"/>
      <c r="L4651" s="178"/>
      <c r="M4651" s="178"/>
      <c r="N4651" s="178"/>
      <c r="O4651" s="178"/>
      <c r="P4651" s="178"/>
      <c r="Q4651" s="178"/>
      <c r="R4651" s="178"/>
      <c r="S4651" s="178"/>
      <c r="T4651" s="180"/>
      <c r="U4651" s="189" t="str">
        <f>IFERROR(IF(Tableau3[[#This Row],[Dettes]]=0,"",(Tableau3[[#This Row],[Dettes]]/Tableau3[[#This Row],[EBE]])),"")</f>
        <v/>
      </c>
      <c r="V4651" s="190" t="str">
        <f>IFERROR(Tableau3[[#This Row],[Fonds propres]]/Tableau3[[#This Row],[Total Bilan]],"")</f>
        <v/>
      </c>
      <c r="W4651" s="180"/>
      <c r="Y4651" s="180"/>
      <c r="Z4651" s="192" t="str">
        <f>IFERROR(Tableau3[[#This Row],[Chiffre d''affaires]]/Tableau3[[#This Row],[Salariés]],"")</f>
        <v/>
      </c>
      <c r="AC4651" s="177" t="s">
        <v>4862</v>
      </c>
    </row>
  </sheetData>
  <sheetProtection selectLockedCells="1" selectUnlockedCells="1"/>
  <protectedRanges>
    <protectedRange sqref="AC3845 AC3879 AC3883 AC3847:AC3877 AC3795:AC3806 AC3789:AC3790 AC2192:AC2193 AC2213:AC2216 AC2195:AC2210 AC3887:AC3908 AC3919 X330:X359 AC940:AC952 AA1:AA55 AC168:AC175 AC233:AC237 AC223 AC225:AC230 AC212:AC221 AC2765:AC2766 AC3950:AC3969 AC3943:AC3946 AC4104:AC4114 X1197:X1350 AC578:AC604 AC572:AC575 AA3258:AA3291 AA3294:AA3324 AC3757:AC3767 G3760:J3766 K3766 K3764 K3760:K3762 L3760:W3766 AC3774:AC3778 AC4101:AC4102 AC3808:AC3816 AC3841:AC3843 X2674:X2748 AC2679:AC2682 AC2687:AC2691 AC2675:AC2677 AC1:AC6 AC29:AC32 K1:K3 AC8:AC9 AC13:AC27 X2191:X2218 AA2193:AA2218 X2751:X2774 AC3971:AC4009 AC4014:AC4099 I4384:J4384 G4362:J4363 AC4393 G4384 L4378:L4380 K4362:L4377 AC4386:AC4391 AC4362:AC4384 X2776:X2818 AC1052:AC1053 A271:I271 AC1587 AA1356:AA1417 AC269:AC274 X243:X328 X101:X241 AC293:AC298 AC239:AC246 AC34:AC59 AC4117:AC4120 AC4122:AC4235 AC2162:AC2190 AC1991:AC2003 AC1088:AC1096 AC1098:AC1107 H3227:L3227 M3227:S3232 AC3211 G3205:L3206 AC3204:AC3205 X3114:X3179 AC3195:AC3201 AC3185:AC3193 AC2650:AC2664 AC2636:AC2639 AC2634 AC1795:AC1988 AC1784 AC3232 AC3237:AC3239 G3228:L3232 AC3265:AC3273 X1418:X1452 X1352:X1416 AA1789:AA2096 X1787:X2094 AC3450:AC3451 AC476:AC551 AC334:AC436 AC469:AC472 AC1590:AC1617 AC1415:AC1421 AC1426:AC1431 AC1434:AC1445 AC1490:AC1523 A101:F270 AC65:AC84 AA332:AA656 AC2666:AC2673 AC4405 AC4395:AC4403 X1044:X1104 W101:W179 AC4323:AC4360 AC4317:AC4321 AC3131:AC3134 AC3178:AC3183 M3205:R3210 H3207:L3210 AA1420:AA1647 AC4012 AC732:AC750 AC607:AC620 AC3213:AC3215 AC4408:AC4410 AC4412:AC4491 AC2263:AC2284 AC2218 AC1055:AC1068 AC1070:AC1084 AC2817:AC2846 X3876:X3908 X3786:X3874 AC3910:AC3911 AC3913:AC3917 AC3922:AC3926 AC3928:AC3941 AC2643:AC2648 A4553 A4554:B4561 G4556 H4555:H4556 C4543:D4561 A4543:B4552 AC2720:AC2721 AC2714:AC2716 AC3823:AC3839 AC753:AC772 X728:X788 X362:X726 AA659:AA727 AA730:AA788 AC250:AC258 W181:W788 AC260:AC267 X4624:X1048576 AC3005:AC3008 AC3011:AC3043 AC2982:AC3003 X1706:X1785 AC1716:AC1718 AC1709 AC1720:AC1721 AC1723:AC1727 AC1730:AC1779 AC3245:AC3260 AC3328:AC3342 AC3276:AC3324 X3326:X3400 X3403:X3440 AC3408 AC3344:AC3397 AC3399:AC3406 AC3412:AC3426 AC3428:AC3435 AA3327:AA3406 AC2568:AC2631 AC2641 AC4646:AC1048576 AC4636:AC4638 AC4644 W3524:W3759 X3524:X3784 AC3219:AC3222 AC3224:AC3230 Y101:Z788 W3205:W3522 AA3050:AA3255 AB241:AB788 H3211:S3226 G3207:G3227 X3181:X3254 AA1169:AA1354 W1169:W1456 AC794 AC774:AC792 B810 C789:AB810 A789:B809 AC799:AC810 AC883:AC885 AC897 AC881 P881:P898 AC899:AC917 G3203:R3204 S3203:S3210 X933:X934 X3910:X4093 AC285:AC291 AC300:AC330 AC276:AC282 AC2941:AC2978 X3292:X3323 X3256:X3290 AC2007:AC2015 AC3123:AC3129 AC3136:AC3176 G101:J146 H147:J179 G147:G176 B3760:D3760 AC3780:AC3787 G3757:S3759 G1630:V1631 I1634:N1635 G1632:N1633 O1632:V1635 AC1632:AC1635 AC1638:AC1648 G1629:L1629 I1628:L1628 M1628:V1629 A4562:D4585 AC2099:AC2148 G4365:J4383 AC553:AC569 AC3681:AC3755 AA3408:AA3945 AC2693:AC2708 AC1112:AC1133 AC2456:AC2476 AC2480:AC2481 AC2483:AC2565 G4562:W4585 G1634:H1681 G3233:S3441 AC3437:AC3446 AC4550:AC4555 AC2150:AC2157 AC1568:AC1585 AC1526:AC1564 AC694:AC697 AC623:AC651 AC655:AC663 AC711:AC716 AC667:AC692 AC1483:AC1486 AC1448:AC1449 AC1451:AC1480 G180:J270 G1151:H1158 AC1141:AC1160 AC1135:AC1138 A963:E1168 G1142:K1150 I1151:W1168 X1106:X1195 H1159:H1162 G1160:G1162 F1142:F1168 AC1162:AC1167 AC1170:AC1354 AC4237:AC4259 AC933:AC936 H2779:L2780 H2781:M2796 M2777:M2780 AC2799:AC2813 AC2782:AC2786 G2775:L2778 AC2788:AC2795 M2775:S2776 N2777:S2796 AC2357:AC2360 AC2440:AC2454 AC700:AC707 AC719:AC728 S3442:S3755 AC3456:AC3490 AC3505:AC3506 AC3495:AC3499 X3497:X3522 X3442:X3495 AC3508:AC3677 G3442:R3756 AC2768:AC2769 AC2723:AC2750 AC2772:AC2780 X1673:X1704 X1644 X1454:X1642 AC4598:AC4600 AC4602:AC4634 AC2020:AC2030 G4536:H4554 K4381:L4514 AB1169:AB2218 Y1169:Z2218 A1169:F2148 A2149:W2218 X2096:X2189 AA2099:AA2190 A2253:S2670 A933:W962 W1458:W2148 A4586:W1048576 AC4586:AC4594 T2455:T2670 I4536:W4561 G2671:S2774 A4534:W4535 A2857:W2865 W2671:W2774 G4557:H4561 X2639:X2672 AA2641:AA2819 A2866:D3758 T2671:V2856 T2866:V3759 A2671:F2856 H2797:S2856 G2780:G2856 AC2848:AC2939 AA2822:AA3047 X2821:X2976 W2776:W2856 F963:K1140 A811:AC880 X936:X1042 A881:O932 Y4534:AB1048576 AA3947:AA4295 X4534:X4622 A4536:D4541 B3762:D4295 A3760:A4295 G4385:J4514 G3767:W4361 Q881:AB932 P901:P932 AC4262:AC4315 AB1:AB239 AA58:AA329 K5:K788 Y4296:AB4514 E2866:F4514 A4296:D4514 X4095:X4514 A2219:AC2252 Y2253:Z4295 AB2253:AB4295 U2253:W2670 AC4493:AC4514 T2253:T2453 M4362:W4514 AC2253:AC2261 AA2253:AA2638 X2253:X2637 AC4560 E4536:E4585 F4536:F4561 F4563:F4585 AC2042:AC2045 AC1653:AC1670 AC1672:AC1676 AC86:AC166 A1:J100 L1:Z100 L963:W1150 Y933:AB1168 AC4562:AC4563 AC4534:AC4542 AC4566:AC4584 AC2047:AC2097 AC2034:AC2040 AC1620:AC1629 AC2755:AC2762 AC955:AC960 AC962:AC1050 AC2362:AC2437 AC2286:AC2355 G1163:H1628 I1169:V1627 AC1380:AC1383 AC1386:AC1413 AC1360:AC1376 A272:J788 L101:V788 AC3107:AC3121 AC3045:AC3101 W3097:W3202 W3093:W3094 W2866:W3091 AC3104:AC3105 X3087:X3111 X2979:X3085 G2866:S3202 AC1683 AA1650:AA1686 AA1689:AA1786 I1636:V1680 G1683:V2148 I1681:P1681 G1682:P1682 Q1681:V1682 AC1679:AC1681 AC1696:AC1706 AC1687:AC1693 AC463:AC464 AC441:AC461 AC466 H4364:J4364 A4515:AC4533 AC1786:AC1793" name="Plage1"/>
    <protectedRange sqref="AC1785" name="Plage1_1"/>
  </protectedRanges>
  <phoneticPr fontId="4" type="noConversion"/>
  <conditionalFormatting sqref="T10:W11 T13:W14 T16:W16 T18:W18 T20:W20 T22:W22 T24:W56 T58:U83 T84:W179 T180:V180 T181:W330 T331:V331 T332:W616 T617:V617 T618:W624 T625:U625 T626:W1079 T1081:W1230 T1232:W1232 T1235:W1456 T1457:V1457 T1458:W1656 T1657:V1657 T1658:W1825 T1826:V1830 T1831:W2264 T2266:W2370 T2371:V2371 T2372:W2453 U2454:W2454 T2455:W2774 T2775:V2775 T2776:W3093 T3094:V3096 T3097:W3202 T3203:V3207 T3208:W3326 U3327:W3327 T3328:W3380 T3381:V3381 T3382:W3522 T3523:V3523 T3524:W3636 T3641:W3825 T3828:W3838 T3839:V3839 T3840:W4281 T4515:W4585 T9 V9:W9 V12:W12 T15 V15:W15 T17 V17:W17 T19 V19:W19 T21 V21:W21 T23 V23:W23 V57:V58 W61:W62 V61:V75 W64:W65 W67:W68 W70:W71 W73:W74 V76:W83 T1231 W1231 W1828:W1830 L2371 W3093:W3094 W3205:W3207">
    <cfRule type="cellIs" dxfId="182" priority="29" operator="lessThan">
      <formula>0</formula>
    </cfRule>
  </conditionalFormatting>
  <conditionalFormatting sqref="U1081:U3637 U5:U56 U58:U1079 U3641:U3825 U3828:U4493 U4496:U4630">
    <cfRule type="cellIs" dxfId="181" priority="17" operator="lessThan">
      <formula>0</formula>
    </cfRule>
  </conditionalFormatting>
  <conditionalFormatting sqref="U3637">
    <cfRule type="cellIs" dxfId="180" priority="5" operator="lessThan">
      <formula>0</formula>
    </cfRule>
  </conditionalFormatting>
  <conditionalFormatting sqref="U3639">
    <cfRule type="cellIs" dxfId="179" priority="12" operator="lessThan">
      <formula>0</formula>
    </cfRule>
    <cfRule type="cellIs" dxfId="178" priority="13" operator="lessThan">
      <formula>0</formula>
    </cfRule>
  </conditionalFormatting>
  <conditionalFormatting sqref="V1080">
    <cfRule type="cellIs" dxfId="177" priority="1" operator="lessThan">
      <formula>0</formula>
    </cfRule>
  </conditionalFormatting>
  <conditionalFormatting sqref="V1084">
    <cfRule type="cellIs" dxfId="176" priority="16" operator="lessThan">
      <formula>0</formula>
    </cfRule>
  </conditionalFormatting>
  <conditionalFormatting sqref="V3637">
    <cfRule type="cellIs" dxfId="175" priority="10" operator="lessThan">
      <formula>0</formula>
    </cfRule>
  </conditionalFormatting>
  <conditionalFormatting sqref="V3639">
    <cfRule type="cellIs" dxfId="174" priority="14" operator="lessThan">
      <formula>0</formula>
    </cfRule>
  </conditionalFormatting>
  <conditionalFormatting sqref="X2349">
    <cfRule type="cellIs" dxfId="173" priority="25" operator="lessThan">
      <formula>0</formula>
    </cfRule>
  </conditionalFormatting>
  <conditionalFormatting sqref="AB1011:AB1026">
    <cfRule type="cellIs" dxfId="172" priority="21" operator="lessThan">
      <formula>0</formula>
    </cfRule>
  </conditionalFormatting>
  <pageMargins left="0.75" right="0.75" top="1" bottom="1" header="0.5" footer="0.5"/>
  <pageSetup paperSize="4294967295" orientation="landscape" horizontalDpi="4294967292" verticalDpi="4294967292" r:id="rId1"/>
  <ignoredErrors>
    <ignoredError sqref="G365 G2435 G3946:J3946 G3948:J3948 I3950 G3950 G3952:N3965 Q4625:S4625 Q4627:S4627 Q4629:S4629 Q4631:S4631 Q4633:S4633 Q4635:S4635 Q4637:S4637 Q4639:S4639 Q4641:S4641 Q4643:S4643 Q4645:S4645 Q4647:S4647 Q4649:S4649 M4625:O4625 M4627:O4627 M4629:O4629 M4631:O4631 M4633:O4633 M4635:O4635 M4637:O4637 M4639:O4639 M4641:O4641 M4643:O4643 M4645:O4645 M4647:O4647 M4649:N4649 G4626:J4626 G4628:J4628 G4630:J4630 G4632:J4632 G4634:J4634 G4636:J4636 G4638:J4638 G4640:J4640 G4642:J4642 G4644:J4644 G4646:J4646 G4648:J4648 Z4625 G4624:J4624" unlockedFormula="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21BA-07C1-444E-A278-6AAFA68B16A4}">
  <sheetPr codeName="Feuil6"/>
  <dimension ref="A1:A10001"/>
  <sheetViews>
    <sheetView workbookViewId="0"/>
  </sheetViews>
  <sheetFormatPr baseColWidth="10" defaultColWidth="11" defaultRowHeight="16"/>
  <cols>
    <col min="1" max="1" width="32" customWidth="1"/>
  </cols>
  <sheetData>
    <row r="1" spans="1:1">
      <c r="A1" s="1" t="s">
        <v>3158</v>
      </c>
    </row>
    <row r="2" spans="1:1">
      <c r="A2">
        <v>1</v>
      </c>
    </row>
    <row r="3" spans="1:1">
      <c r="A3">
        <v>2</v>
      </c>
    </row>
    <row r="4" spans="1:1">
      <c r="A4">
        <v>3</v>
      </c>
    </row>
    <row r="5" spans="1:1">
      <c r="A5">
        <v>4</v>
      </c>
    </row>
    <row r="6" spans="1:1">
      <c r="A6">
        <v>5</v>
      </c>
    </row>
    <row r="7" spans="1:1">
      <c r="A7">
        <v>6</v>
      </c>
    </row>
    <row r="8" spans="1:1">
      <c r="A8">
        <v>7</v>
      </c>
    </row>
    <row r="9" spans="1:1">
      <c r="A9">
        <v>8</v>
      </c>
    </row>
    <row r="10" spans="1:1">
      <c r="A10">
        <v>9</v>
      </c>
    </row>
    <row r="11" spans="1:1">
      <c r="A11">
        <v>10</v>
      </c>
    </row>
    <row r="12" spans="1:1">
      <c r="A12">
        <v>11</v>
      </c>
    </row>
    <row r="13" spans="1:1">
      <c r="A13">
        <v>12</v>
      </c>
    </row>
    <row r="14" spans="1:1">
      <c r="A14">
        <v>13</v>
      </c>
    </row>
    <row r="15" spans="1:1">
      <c r="A15">
        <v>14</v>
      </c>
    </row>
    <row r="16" spans="1:1">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row r="28" spans="1:1">
      <c r="A28">
        <v>27</v>
      </c>
    </row>
    <row r="29" spans="1:1">
      <c r="A29">
        <v>28</v>
      </c>
    </row>
    <row r="30" spans="1:1">
      <c r="A30">
        <v>29</v>
      </c>
    </row>
    <row r="31" spans="1:1">
      <c r="A31">
        <v>30</v>
      </c>
    </row>
    <row r="32" spans="1:1">
      <c r="A32">
        <v>31</v>
      </c>
    </row>
    <row r="33" spans="1:1">
      <c r="A33">
        <v>32</v>
      </c>
    </row>
    <row r="34" spans="1:1">
      <c r="A34">
        <v>33</v>
      </c>
    </row>
    <row r="35" spans="1:1">
      <c r="A35">
        <v>34</v>
      </c>
    </row>
    <row r="36" spans="1:1">
      <c r="A36">
        <v>35</v>
      </c>
    </row>
    <row r="37" spans="1:1">
      <c r="A37">
        <v>36</v>
      </c>
    </row>
    <row r="38" spans="1:1">
      <c r="A38">
        <v>37</v>
      </c>
    </row>
    <row r="39" spans="1:1">
      <c r="A39">
        <v>38</v>
      </c>
    </row>
    <row r="40" spans="1:1">
      <c r="A40">
        <v>39</v>
      </c>
    </row>
    <row r="41" spans="1:1">
      <c r="A41">
        <v>40</v>
      </c>
    </row>
    <row r="42" spans="1:1">
      <c r="A42">
        <v>41</v>
      </c>
    </row>
    <row r="43" spans="1:1">
      <c r="A43">
        <v>42</v>
      </c>
    </row>
    <row r="44" spans="1:1">
      <c r="A44">
        <v>43</v>
      </c>
    </row>
    <row r="45" spans="1:1">
      <c r="A45">
        <v>44</v>
      </c>
    </row>
    <row r="46" spans="1:1">
      <c r="A46">
        <v>45</v>
      </c>
    </row>
    <row r="47" spans="1:1">
      <c r="A47">
        <v>46</v>
      </c>
    </row>
    <row r="48" spans="1:1">
      <c r="A48">
        <v>47</v>
      </c>
    </row>
    <row r="49" spans="1:1">
      <c r="A49">
        <v>48</v>
      </c>
    </row>
    <row r="50" spans="1:1">
      <c r="A50">
        <v>49</v>
      </c>
    </row>
    <row r="51" spans="1:1">
      <c r="A51">
        <v>50</v>
      </c>
    </row>
    <row r="52" spans="1:1">
      <c r="A52">
        <v>51</v>
      </c>
    </row>
    <row r="53" spans="1:1">
      <c r="A53">
        <v>52</v>
      </c>
    </row>
    <row r="54" spans="1:1">
      <c r="A54">
        <v>53</v>
      </c>
    </row>
    <row r="55" spans="1:1">
      <c r="A55">
        <v>54</v>
      </c>
    </row>
    <row r="56" spans="1:1">
      <c r="A56">
        <v>55</v>
      </c>
    </row>
    <row r="57" spans="1:1">
      <c r="A57">
        <v>56</v>
      </c>
    </row>
    <row r="58" spans="1:1">
      <c r="A58">
        <v>57</v>
      </c>
    </row>
    <row r="59" spans="1:1">
      <c r="A59">
        <v>58</v>
      </c>
    </row>
    <row r="60" spans="1:1">
      <c r="A60">
        <v>59</v>
      </c>
    </row>
    <row r="61" spans="1:1">
      <c r="A61">
        <v>60</v>
      </c>
    </row>
    <row r="62" spans="1:1">
      <c r="A62">
        <v>61</v>
      </c>
    </row>
    <row r="63" spans="1:1">
      <c r="A63">
        <v>62</v>
      </c>
    </row>
    <row r="64" spans="1:1">
      <c r="A64">
        <v>63</v>
      </c>
    </row>
    <row r="65" spans="1:1">
      <c r="A65">
        <v>64</v>
      </c>
    </row>
    <row r="66" spans="1:1">
      <c r="A66">
        <v>65</v>
      </c>
    </row>
    <row r="67" spans="1:1">
      <c r="A67">
        <v>66</v>
      </c>
    </row>
    <row r="68" spans="1:1">
      <c r="A68">
        <v>67</v>
      </c>
    </row>
    <row r="69" spans="1:1">
      <c r="A69">
        <v>68</v>
      </c>
    </row>
    <row r="70" spans="1:1">
      <c r="A70">
        <v>69</v>
      </c>
    </row>
    <row r="71" spans="1:1">
      <c r="A71">
        <v>70</v>
      </c>
    </row>
    <row r="72" spans="1:1">
      <c r="A72">
        <v>71</v>
      </c>
    </row>
    <row r="73" spans="1:1">
      <c r="A73">
        <v>72</v>
      </c>
    </row>
    <row r="74" spans="1:1">
      <c r="A74">
        <v>73</v>
      </c>
    </row>
    <row r="75" spans="1:1">
      <c r="A75">
        <v>74</v>
      </c>
    </row>
    <row r="76" spans="1:1">
      <c r="A76">
        <v>75</v>
      </c>
    </row>
    <row r="77" spans="1:1">
      <c r="A77">
        <v>76</v>
      </c>
    </row>
    <row r="78" spans="1:1">
      <c r="A78">
        <v>77</v>
      </c>
    </row>
    <row r="79" spans="1:1">
      <c r="A79">
        <v>78</v>
      </c>
    </row>
    <row r="80" spans="1:1">
      <c r="A80">
        <v>79</v>
      </c>
    </row>
    <row r="81" spans="1:1">
      <c r="A81">
        <v>80</v>
      </c>
    </row>
    <row r="82" spans="1:1">
      <c r="A82">
        <v>81</v>
      </c>
    </row>
    <row r="83" spans="1:1">
      <c r="A83">
        <v>82</v>
      </c>
    </row>
    <row r="84" spans="1:1">
      <c r="A84">
        <v>83</v>
      </c>
    </row>
    <row r="85" spans="1:1">
      <c r="A85">
        <v>84</v>
      </c>
    </row>
    <row r="86" spans="1:1">
      <c r="A86">
        <v>85</v>
      </c>
    </row>
    <row r="87" spans="1:1">
      <c r="A87">
        <v>86</v>
      </c>
    </row>
    <row r="88" spans="1:1">
      <c r="A88">
        <v>87</v>
      </c>
    </row>
    <row r="89" spans="1:1">
      <c r="A89">
        <v>88</v>
      </c>
    </row>
    <row r="90" spans="1:1">
      <c r="A90">
        <v>89</v>
      </c>
    </row>
    <row r="91" spans="1:1">
      <c r="A91">
        <v>90</v>
      </c>
    </row>
    <row r="92" spans="1:1">
      <c r="A92">
        <v>91</v>
      </c>
    </row>
    <row r="93" spans="1:1">
      <c r="A93">
        <v>92</v>
      </c>
    </row>
    <row r="94" spans="1:1">
      <c r="A94">
        <v>93</v>
      </c>
    </row>
    <row r="95" spans="1:1">
      <c r="A95">
        <v>94</v>
      </c>
    </row>
    <row r="96" spans="1:1">
      <c r="A96">
        <v>95</v>
      </c>
    </row>
    <row r="97" spans="1:1">
      <c r="A97">
        <v>96</v>
      </c>
    </row>
    <row r="98" spans="1:1">
      <c r="A98">
        <v>97</v>
      </c>
    </row>
    <row r="99" spans="1:1">
      <c r="A99">
        <v>98</v>
      </c>
    </row>
    <row r="100" spans="1:1">
      <c r="A100">
        <v>99</v>
      </c>
    </row>
    <row r="101" spans="1:1">
      <c r="A101">
        <v>100</v>
      </c>
    </row>
    <row r="102" spans="1:1">
      <c r="A102">
        <v>101</v>
      </c>
    </row>
    <row r="103" spans="1:1">
      <c r="A103">
        <v>102</v>
      </c>
    </row>
    <row r="104" spans="1:1">
      <c r="A104">
        <v>103</v>
      </c>
    </row>
    <row r="105" spans="1:1">
      <c r="A105">
        <v>104</v>
      </c>
    </row>
    <row r="106" spans="1:1">
      <c r="A106">
        <v>105</v>
      </c>
    </row>
    <row r="107" spans="1:1">
      <c r="A107">
        <v>106</v>
      </c>
    </row>
    <row r="108" spans="1:1">
      <c r="A108">
        <v>107</v>
      </c>
    </row>
    <row r="109" spans="1:1">
      <c r="A109">
        <v>108</v>
      </c>
    </row>
    <row r="110" spans="1:1">
      <c r="A110">
        <v>109</v>
      </c>
    </row>
    <row r="111" spans="1:1">
      <c r="A111">
        <v>110</v>
      </c>
    </row>
    <row r="112" spans="1:1">
      <c r="A112">
        <v>111</v>
      </c>
    </row>
    <row r="113" spans="1:1">
      <c r="A113">
        <v>112</v>
      </c>
    </row>
    <row r="114" spans="1:1">
      <c r="A114">
        <v>113</v>
      </c>
    </row>
    <row r="115" spans="1:1">
      <c r="A115">
        <v>114</v>
      </c>
    </row>
    <row r="116" spans="1:1">
      <c r="A116">
        <v>115</v>
      </c>
    </row>
    <row r="117" spans="1:1">
      <c r="A117">
        <v>116</v>
      </c>
    </row>
    <row r="118" spans="1:1">
      <c r="A118">
        <v>117</v>
      </c>
    </row>
    <row r="119" spans="1:1">
      <c r="A119">
        <v>118</v>
      </c>
    </row>
    <row r="120" spans="1:1">
      <c r="A120">
        <v>119</v>
      </c>
    </row>
    <row r="121" spans="1:1">
      <c r="A121">
        <v>120</v>
      </c>
    </row>
    <row r="122" spans="1:1">
      <c r="A122">
        <v>121</v>
      </c>
    </row>
    <row r="123" spans="1:1">
      <c r="A123">
        <v>122</v>
      </c>
    </row>
    <row r="124" spans="1:1">
      <c r="A124">
        <v>123</v>
      </c>
    </row>
    <row r="125" spans="1:1">
      <c r="A125">
        <v>124</v>
      </c>
    </row>
    <row r="126" spans="1:1">
      <c r="A126">
        <v>125</v>
      </c>
    </row>
    <row r="127" spans="1:1">
      <c r="A127">
        <v>126</v>
      </c>
    </row>
    <row r="128" spans="1:1">
      <c r="A128">
        <v>127</v>
      </c>
    </row>
    <row r="129" spans="1:1">
      <c r="A129">
        <v>128</v>
      </c>
    </row>
    <row r="130" spans="1:1">
      <c r="A130">
        <v>129</v>
      </c>
    </row>
    <row r="131" spans="1:1">
      <c r="A131">
        <v>130</v>
      </c>
    </row>
    <row r="132" spans="1:1">
      <c r="A132">
        <v>131</v>
      </c>
    </row>
    <row r="133" spans="1:1">
      <c r="A133">
        <v>132</v>
      </c>
    </row>
    <row r="134" spans="1:1">
      <c r="A134">
        <v>133</v>
      </c>
    </row>
    <row r="135" spans="1:1">
      <c r="A135">
        <v>134</v>
      </c>
    </row>
    <row r="136" spans="1:1">
      <c r="A136">
        <v>135</v>
      </c>
    </row>
    <row r="137" spans="1:1">
      <c r="A137">
        <v>136</v>
      </c>
    </row>
    <row r="138" spans="1:1">
      <c r="A138">
        <v>137</v>
      </c>
    </row>
    <row r="139" spans="1:1">
      <c r="A139">
        <v>138</v>
      </c>
    </row>
    <row r="140" spans="1:1">
      <c r="A140">
        <v>139</v>
      </c>
    </row>
    <row r="141" spans="1:1">
      <c r="A141">
        <v>140</v>
      </c>
    </row>
    <row r="142" spans="1:1">
      <c r="A142">
        <v>141</v>
      </c>
    </row>
    <row r="143" spans="1:1">
      <c r="A143">
        <v>142</v>
      </c>
    </row>
    <row r="144" spans="1:1">
      <c r="A144">
        <v>143</v>
      </c>
    </row>
    <row r="145" spans="1:1">
      <c r="A145">
        <v>144</v>
      </c>
    </row>
    <row r="146" spans="1:1">
      <c r="A146">
        <v>145</v>
      </c>
    </row>
    <row r="147" spans="1:1">
      <c r="A147">
        <v>146</v>
      </c>
    </row>
    <row r="148" spans="1:1">
      <c r="A148">
        <v>147</v>
      </c>
    </row>
    <row r="149" spans="1:1">
      <c r="A149">
        <v>148</v>
      </c>
    </row>
    <row r="150" spans="1:1">
      <c r="A150">
        <v>149</v>
      </c>
    </row>
    <row r="151" spans="1:1">
      <c r="A151">
        <v>150</v>
      </c>
    </row>
    <row r="152" spans="1:1">
      <c r="A152">
        <v>151</v>
      </c>
    </row>
    <row r="153" spans="1:1">
      <c r="A153">
        <v>152</v>
      </c>
    </row>
    <row r="154" spans="1:1">
      <c r="A154">
        <v>153</v>
      </c>
    </row>
    <row r="155" spans="1:1">
      <c r="A155">
        <v>154</v>
      </c>
    </row>
    <row r="156" spans="1:1">
      <c r="A156">
        <v>155</v>
      </c>
    </row>
    <row r="157" spans="1:1">
      <c r="A157">
        <v>156</v>
      </c>
    </row>
    <row r="158" spans="1:1">
      <c r="A158">
        <v>157</v>
      </c>
    </row>
    <row r="159" spans="1:1">
      <c r="A159">
        <v>158</v>
      </c>
    </row>
    <row r="160" spans="1:1">
      <c r="A160">
        <v>159</v>
      </c>
    </row>
    <row r="161" spans="1:1">
      <c r="A161">
        <v>160</v>
      </c>
    </row>
    <row r="162" spans="1:1">
      <c r="A162">
        <v>161</v>
      </c>
    </row>
    <row r="163" spans="1:1">
      <c r="A163">
        <v>162</v>
      </c>
    </row>
    <row r="164" spans="1:1">
      <c r="A164">
        <v>163</v>
      </c>
    </row>
    <row r="165" spans="1:1">
      <c r="A165">
        <v>164</v>
      </c>
    </row>
    <row r="166" spans="1:1">
      <c r="A166">
        <v>165</v>
      </c>
    </row>
    <row r="167" spans="1:1">
      <c r="A167">
        <v>166</v>
      </c>
    </row>
    <row r="168" spans="1:1">
      <c r="A168">
        <v>167</v>
      </c>
    </row>
    <row r="169" spans="1:1">
      <c r="A169">
        <v>168</v>
      </c>
    </row>
    <row r="170" spans="1:1">
      <c r="A170">
        <v>169</v>
      </c>
    </row>
    <row r="171" spans="1:1">
      <c r="A171">
        <v>170</v>
      </c>
    </row>
    <row r="172" spans="1:1">
      <c r="A172">
        <v>171</v>
      </c>
    </row>
    <row r="173" spans="1:1">
      <c r="A173">
        <v>172</v>
      </c>
    </row>
    <row r="174" spans="1:1">
      <c r="A174">
        <v>173</v>
      </c>
    </row>
    <row r="175" spans="1:1">
      <c r="A175">
        <v>174</v>
      </c>
    </row>
    <row r="176" spans="1:1">
      <c r="A176">
        <v>175</v>
      </c>
    </row>
    <row r="177" spans="1:1">
      <c r="A177">
        <v>176</v>
      </c>
    </row>
    <row r="178" spans="1:1">
      <c r="A178">
        <v>177</v>
      </c>
    </row>
    <row r="179" spans="1:1">
      <c r="A179">
        <v>178</v>
      </c>
    </row>
    <row r="180" spans="1:1">
      <c r="A180">
        <v>179</v>
      </c>
    </row>
    <row r="181" spans="1:1">
      <c r="A181">
        <v>180</v>
      </c>
    </row>
    <row r="182" spans="1:1">
      <c r="A182">
        <v>181</v>
      </c>
    </row>
    <row r="183" spans="1:1">
      <c r="A183">
        <v>182</v>
      </c>
    </row>
    <row r="184" spans="1:1">
      <c r="A184">
        <v>183</v>
      </c>
    </row>
    <row r="185" spans="1:1">
      <c r="A185">
        <v>184</v>
      </c>
    </row>
    <row r="186" spans="1:1">
      <c r="A186">
        <v>185</v>
      </c>
    </row>
    <row r="187" spans="1:1">
      <c r="A187">
        <v>186</v>
      </c>
    </row>
    <row r="188" spans="1:1">
      <c r="A188">
        <v>187</v>
      </c>
    </row>
    <row r="189" spans="1:1">
      <c r="A189">
        <v>188</v>
      </c>
    </row>
    <row r="190" spans="1:1">
      <c r="A190">
        <v>189</v>
      </c>
    </row>
    <row r="191" spans="1:1">
      <c r="A191">
        <v>190</v>
      </c>
    </row>
    <row r="192" spans="1:1">
      <c r="A192">
        <v>191</v>
      </c>
    </row>
    <row r="193" spans="1:1">
      <c r="A193">
        <v>192</v>
      </c>
    </row>
    <row r="194" spans="1:1">
      <c r="A194">
        <v>193</v>
      </c>
    </row>
    <row r="195" spans="1:1">
      <c r="A195">
        <v>194</v>
      </c>
    </row>
    <row r="196" spans="1:1">
      <c r="A196">
        <v>195</v>
      </c>
    </row>
    <row r="197" spans="1:1">
      <c r="A197">
        <v>196</v>
      </c>
    </row>
    <row r="198" spans="1:1">
      <c r="A198">
        <v>197</v>
      </c>
    </row>
    <row r="199" spans="1:1">
      <c r="A199">
        <v>198</v>
      </c>
    </row>
    <row r="200" spans="1:1">
      <c r="A200">
        <v>199</v>
      </c>
    </row>
    <row r="201" spans="1:1">
      <c r="A201">
        <v>200</v>
      </c>
    </row>
    <row r="202" spans="1:1">
      <c r="A202">
        <v>201</v>
      </c>
    </row>
    <row r="203" spans="1:1">
      <c r="A203">
        <v>202</v>
      </c>
    </row>
    <row r="204" spans="1:1">
      <c r="A204">
        <v>203</v>
      </c>
    </row>
    <row r="205" spans="1:1">
      <c r="A205">
        <v>204</v>
      </c>
    </row>
    <row r="206" spans="1:1">
      <c r="A206">
        <v>205</v>
      </c>
    </row>
    <row r="207" spans="1:1">
      <c r="A207">
        <v>206</v>
      </c>
    </row>
    <row r="208" spans="1:1">
      <c r="A208">
        <v>207</v>
      </c>
    </row>
    <row r="209" spans="1:1">
      <c r="A209">
        <v>208</v>
      </c>
    </row>
    <row r="210" spans="1:1">
      <c r="A210">
        <v>209</v>
      </c>
    </row>
    <row r="211" spans="1:1">
      <c r="A211">
        <v>210</v>
      </c>
    </row>
    <row r="212" spans="1:1">
      <c r="A212">
        <v>211</v>
      </c>
    </row>
    <row r="213" spans="1:1">
      <c r="A213">
        <v>212</v>
      </c>
    </row>
    <row r="214" spans="1:1">
      <c r="A214">
        <v>213</v>
      </c>
    </row>
    <row r="215" spans="1:1">
      <c r="A215">
        <v>214</v>
      </c>
    </row>
    <row r="216" spans="1:1">
      <c r="A216">
        <v>215</v>
      </c>
    </row>
    <row r="217" spans="1:1">
      <c r="A217">
        <v>216</v>
      </c>
    </row>
    <row r="218" spans="1:1">
      <c r="A218">
        <v>217</v>
      </c>
    </row>
    <row r="219" spans="1:1">
      <c r="A219">
        <v>218</v>
      </c>
    </row>
    <row r="220" spans="1:1">
      <c r="A220">
        <v>219</v>
      </c>
    </row>
    <row r="221" spans="1:1">
      <c r="A221">
        <v>220</v>
      </c>
    </row>
    <row r="222" spans="1:1">
      <c r="A222">
        <v>221</v>
      </c>
    </row>
    <row r="223" spans="1:1">
      <c r="A223">
        <v>222</v>
      </c>
    </row>
    <row r="224" spans="1:1">
      <c r="A224">
        <v>223</v>
      </c>
    </row>
    <row r="225" spans="1:1">
      <c r="A225">
        <v>224</v>
      </c>
    </row>
    <row r="226" spans="1:1">
      <c r="A226">
        <v>225</v>
      </c>
    </row>
    <row r="227" spans="1:1">
      <c r="A227">
        <v>226</v>
      </c>
    </row>
    <row r="228" spans="1:1">
      <c r="A228">
        <v>227</v>
      </c>
    </row>
    <row r="229" spans="1:1">
      <c r="A229">
        <v>228</v>
      </c>
    </row>
    <row r="230" spans="1:1">
      <c r="A230">
        <v>229</v>
      </c>
    </row>
    <row r="231" spans="1:1">
      <c r="A231">
        <v>230</v>
      </c>
    </row>
    <row r="232" spans="1:1">
      <c r="A232">
        <v>231</v>
      </c>
    </row>
    <row r="233" spans="1:1">
      <c r="A233">
        <v>232</v>
      </c>
    </row>
    <row r="234" spans="1:1">
      <c r="A234">
        <v>233</v>
      </c>
    </row>
    <row r="235" spans="1:1">
      <c r="A235">
        <v>234</v>
      </c>
    </row>
    <row r="236" spans="1:1">
      <c r="A236">
        <v>235</v>
      </c>
    </row>
    <row r="237" spans="1:1">
      <c r="A237">
        <v>236</v>
      </c>
    </row>
    <row r="238" spans="1:1">
      <c r="A238">
        <v>237</v>
      </c>
    </row>
    <row r="239" spans="1:1">
      <c r="A239">
        <v>238</v>
      </c>
    </row>
    <row r="240" spans="1:1">
      <c r="A240">
        <v>239</v>
      </c>
    </row>
    <row r="241" spans="1:1">
      <c r="A241">
        <v>240</v>
      </c>
    </row>
    <row r="242" spans="1:1">
      <c r="A242">
        <v>241</v>
      </c>
    </row>
    <row r="243" spans="1:1">
      <c r="A243">
        <v>242</v>
      </c>
    </row>
    <row r="244" spans="1:1">
      <c r="A244">
        <v>243</v>
      </c>
    </row>
    <row r="245" spans="1:1">
      <c r="A245">
        <v>244</v>
      </c>
    </row>
    <row r="246" spans="1:1">
      <c r="A246">
        <v>245</v>
      </c>
    </row>
    <row r="247" spans="1:1">
      <c r="A247">
        <v>246</v>
      </c>
    </row>
    <row r="248" spans="1:1">
      <c r="A248">
        <v>247</v>
      </c>
    </row>
    <row r="249" spans="1:1">
      <c r="A249">
        <v>248</v>
      </c>
    </row>
    <row r="250" spans="1:1">
      <c r="A250">
        <v>249</v>
      </c>
    </row>
    <row r="251" spans="1:1">
      <c r="A251">
        <v>250</v>
      </c>
    </row>
    <row r="252" spans="1:1">
      <c r="A252">
        <v>251</v>
      </c>
    </row>
    <row r="253" spans="1:1">
      <c r="A253">
        <v>252</v>
      </c>
    </row>
    <row r="254" spans="1:1">
      <c r="A254">
        <v>253</v>
      </c>
    </row>
    <row r="255" spans="1:1">
      <c r="A255">
        <v>254</v>
      </c>
    </row>
    <row r="256" spans="1:1">
      <c r="A256">
        <v>255</v>
      </c>
    </row>
    <row r="257" spans="1:1">
      <c r="A257">
        <v>256</v>
      </c>
    </row>
    <row r="258" spans="1:1">
      <c r="A258">
        <v>257</v>
      </c>
    </row>
    <row r="259" spans="1:1">
      <c r="A259">
        <v>258</v>
      </c>
    </row>
    <row r="260" spans="1:1">
      <c r="A260">
        <v>259</v>
      </c>
    </row>
    <row r="261" spans="1:1">
      <c r="A261">
        <v>260</v>
      </c>
    </row>
    <row r="262" spans="1:1">
      <c r="A262">
        <v>261</v>
      </c>
    </row>
    <row r="263" spans="1:1">
      <c r="A263">
        <v>262</v>
      </c>
    </row>
    <row r="264" spans="1:1">
      <c r="A264">
        <v>263</v>
      </c>
    </row>
    <row r="265" spans="1:1">
      <c r="A265">
        <v>264</v>
      </c>
    </row>
    <row r="266" spans="1:1">
      <c r="A266">
        <v>265</v>
      </c>
    </row>
    <row r="267" spans="1:1">
      <c r="A267">
        <v>266</v>
      </c>
    </row>
    <row r="268" spans="1:1">
      <c r="A268">
        <v>267</v>
      </c>
    </row>
    <row r="269" spans="1:1">
      <c r="A269">
        <v>268</v>
      </c>
    </row>
    <row r="270" spans="1:1">
      <c r="A270">
        <v>269</v>
      </c>
    </row>
    <row r="271" spans="1:1">
      <c r="A271">
        <v>270</v>
      </c>
    </row>
    <row r="272" spans="1:1">
      <c r="A272">
        <v>271</v>
      </c>
    </row>
    <row r="273" spans="1:1">
      <c r="A273">
        <v>272</v>
      </c>
    </row>
    <row r="274" spans="1:1">
      <c r="A274">
        <v>273</v>
      </c>
    </row>
    <row r="275" spans="1:1">
      <c r="A275">
        <v>274</v>
      </c>
    </row>
    <row r="276" spans="1:1">
      <c r="A276">
        <v>275</v>
      </c>
    </row>
    <row r="277" spans="1:1">
      <c r="A277">
        <v>276</v>
      </c>
    </row>
    <row r="278" spans="1:1">
      <c r="A278">
        <v>277</v>
      </c>
    </row>
    <row r="279" spans="1:1">
      <c r="A279">
        <v>278</v>
      </c>
    </row>
    <row r="280" spans="1:1">
      <c r="A280">
        <v>279</v>
      </c>
    </row>
    <row r="281" spans="1:1">
      <c r="A281">
        <v>280</v>
      </c>
    </row>
    <row r="282" spans="1:1">
      <c r="A282">
        <v>281</v>
      </c>
    </row>
    <row r="283" spans="1:1">
      <c r="A283">
        <v>282</v>
      </c>
    </row>
    <row r="284" spans="1:1">
      <c r="A284">
        <v>283</v>
      </c>
    </row>
    <row r="285" spans="1:1">
      <c r="A285">
        <v>284</v>
      </c>
    </row>
    <row r="286" spans="1:1">
      <c r="A286">
        <v>285</v>
      </c>
    </row>
    <row r="287" spans="1:1">
      <c r="A287">
        <v>286</v>
      </c>
    </row>
    <row r="288" spans="1:1">
      <c r="A288">
        <v>287</v>
      </c>
    </row>
    <row r="289" spans="1:1">
      <c r="A289">
        <v>288</v>
      </c>
    </row>
    <row r="290" spans="1:1">
      <c r="A290">
        <v>289</v>
      </c>
    </row>
    <row r="291" spans="1:1">
      <c r="A291">
        <v>290</v>
      </c>
    </row>
    <row r="292" spans="1:1">
      <c r="A292">
        <v>291</v>
      </c>
    </row>
    <row r="293" spans="1:1">
      <c r="A293">
        <v>292</v>
      </c>
    </row>
    <row r="294" spans="1:1">
      <c r="A294">
        <v>293</v>
      </c>
    </row>
    <row r="295" spans="1:1">
      <c r="A295">
        <v>294</v>
      </c>
    </row>
    <row r="296" spans="1:1">
      <c r="A296">
        <v>295</v>
      </c>
    </row>
    <row r="297" spans="1:1">
      <c r="A297">
        <v>296</v>
      </c>
    </row>
    <row r="298" spans="1:1">
      <c r="A298">
        <v>297</v>
      </c>
    </row>
    <row r="299" spans="1:1">
      <c r="A299">
        <v>298</v>
      </c>
    </row>
    <row r="300" spans="1:1">
      <c r="A300">
        <v>299</v>
      </c>
    </row>
    <row r="301" spans="1:1">
      <c r="A301">
        <v>300</v>
      </c>
    </row>
    <row r="302" spans="1:1">
      <c r="A302">
        <v>301</v>
      </c>
    </row>
    <row r="303" spans="1:1">
      <c r="A303">
        <v>302</v>
      </c>
    </row>
    <row r="304" spans="1:1">
      <c r="A304">
        <v>303</v>
      </c>
    </row>
    <row r="305" spans="1:1">
      <c r="A305">
        <v>304</v>
      </c>
    </row>
    <row r="306" spans="1:1">
      <c r="A306">
        <v>305</v>
      </c>
    </row>
    <row r="307" spans="1:1">
      <c r="A307">
        <v>306</v>
      </c>
    </row>
    <row r="308" spans="1:1">
      <c r="A308">
        <v>307</v>
      </c>
    </row>
    <row r="309" spans="1:1">
      <c r="A309">
        <v>308</v>
      </c>
    </row>
    <row r="310" spans="1:1">
      <c r="A310">
        <v>309</v>
      </c>
    </row>
    <row r="311" spans="1:1">
      <c r="A311">
        <v>310</v>
      </c>
    </row>
    <row r="312" spans="1:1">
      <c r="A312">
        <v>311</v>
      </c>
    </row>
    <row r="313" spans="1:1">
      <c r="A313">
        <v>312</v>
      </c>
    </row>
    <row r="314" spans="1:1">
      <c r="A314">
        <v>313</v>
      </c>
    </row>
    <row r="315" spans="1:1">
      <c r="A315">
        <v>314</v>
      </c>
    </row>
    <row r="316" spans="1:1">
      <c r="A316">
        <v>315</v>
      </c>
    </row>
    <row r="317" spans="1:1">
      <c r="A317">
        <v>316</v>
      </c>
    </row>
    <row r="318" spans="1:1">
      <c r="A318">
        <v>317</v>
      </c>
    </row>
    <row r="319" spans="1:1">
      <c r="A319">
        <v>318</v>
      </c>
    </row>
    <row r="320" spans="1:1">
      <c r="A320">
        <v>319</v>
      </c>
    </row>
    <row r="321" spans="1:1">
      <c r="A321">
        <v>320</v>
      </c>
    </row>
    <row r="322" spans="1:1">
      <c r="A322">
        <v>321</v>
      </c>
    </row>
    <row r="323" spans="1:1">
      <c r="A323">
        <v>322</v>
      </c>
    </row>
    <row r="324" spans="1:1">
      <c r="A324">
        <v>323</v>
      </c>
    </row>
    <row r="325" spans="1:1">
      <c r="A325">
        <v>324</v>
      </c>
    </row>
    <row r="326" spans="1:1">
      <c r="A326">
        <v>325</v>
      </c>
    </row>
    <row r="327" spans="1:1">
      <c r="A327">
        <v>326</v>
      </c>
    </row>
    <row r="328" spans="1:1">
      <c r="A328">
        <v>327</v>
      </c>
    </row>
    <row r="329" spans="1:1">
      <c r="A329">
        <v>328</v>
      </c>
    </row>
    <row r="330" spans="1:1">
      <c r="A330">
        <v>329</v>
      </c>
    </row>
    <row r="331" spans="1:1">
      <c r="A331">
        <v>330</v>
      </c>
    </row>
    <row r="332" spans="1:1">
      <c r="A332">
        <v>331</v>
      </c>
    </row>
    <row r="333" spans="1:1">
      <c r="A333">
        <v>332</v>
      </c>
    </row>
    <row r="334" spans="1:1">
      <c r="A334">
        <v>333</v>
      </c>
    </row>
    <row r="335" spans="1:1">
      <c r="A335">
        <v>334</v>
      </c>
    </row>
    <row r="336" spans="1:1">
      <c r="A336">
        <v>335</v>
      </c>
    </row>
    <row r="337" spans="1:1">
      <c r="A337">
        <v>336</v>
      </c>
    </row>
    <row r="338" spans="1:1">
      <c r="A338">
        <v>337</v>
      </c>
    </row>
    <row r="339" spans="1:1">
      <c r="A339">
        <v>338</v>
      </c>
    </row>
    <row r="340" spans="1:1">
      <c r="A340">
        <v>339</v>
      </c>
    </row>
    <row r="341" spans="1:1">
      <c r="A341">
        <v>340</v>
      </c>
    </row>
    <row r="342" spans="1:1">
      <c r="A342">
        <v>341</v>
      </c>
    </row>
    <row r="343" spans="1:1">
      <c r="A343">
        <v>342</v>
      </c>
    </row>
    <row r="344" spans="1:1">
      <c r="A344">
        <v>343</v>
      </c>
    </row>
    <row r="345" spans="1:1">
      <c r="A345">
        <v>344</v>
      </c>
    </row>
    <row r="346" spans="1:1">
      <c r="A346">
        <v>345</v>
      </c>
    </row>
    <row r="347" spans="1:1">
      <c r="A347">
        <v>346</v>
      </c>
    </row>
    <row r="348" spans="1:1">
      <c r="A348">
        <v>347</v>
      </c>
    </row>
    <row r="349" spans="1:1">
      <c r="A349">
        <v>348</v>
      </c>
    </row>
    <row r="350" spans="1:1">
      <c r="A350">
        <v>349</v>
      </c>
    </row>
    <row r="351" spans="1:1">
      <c r="A351">
        <v>350</v>
      </c>
    </row>
    <row r="352" spans="1:1">
      <c r="A352">
        <v>351</v>
      </c>
    </row>
    <row r="353" spans="1:1">
      <c r="A353">
        <v>352</v>
      </c>
    </row>
    <row r="354" spans="1:1">
      <c r="A354">
        <v>353</v>
      </c>
    </row>
    <row r="355" spans="1:1">
      <c r="A355">
        <v>354</v>
      </c>
    </row>
    <row r="356" spans="1:1">
      <c r="A356">
        <v>355</v>
      </c>
    </row>
    <row r="357" spans="1:1">
      <c r="A357">
        <v>356</v>
      </c>
    </row>
    <row r="358" spans="1:1">
      <c r="A358">
        <v>357</v>
      </c>
    </row>
    <row r="359" spans="1:1">
      <c r="A359">
        <v>358</v>
      </c>
    </row>
    <row r="360" spans="1:1">
      <c r="A360">
        <v>359</v>
      </c>
    </row>
    <row r="361" spans="1:1">
      <c r="A361">
        <v>360</v>
      </c>
    </row>
    <row r="362" spans="1:1">
      <c r="A362">
        <v>361</v>
      </c>
    </row>
    <row r="363" spans="1:1">
      <c r="A363">
        <v>362</v>
      </c>
    </row>
    <row r="364" spans="1:1">
      <c r="A364">
        <v>363</v>
      </c>
    </row>
    <row r="365" spans="1:1">
      <c r="A365">
        <v>364</v>
      </c>
    </row>
    <row r="366" spans="1:1">
      <c r="A366">
        <v>365</v>
      </c>
    </row>
    <row r="367" spans="1:1">
      <c r="A367">
        <v>366</v>
      </c>
    </row>
    <row r="368" spans="1:1">
      <c r="A368">
        <v>367</v>
      </c>
    </row>
    <row r="369" spans="1:1">
      <c r="A369">
        <v>368</v>
      </c>
    </row>
    <row r="370" spans="1:1">
      <c r="A370">
        <v>369</v>
      </c>
    </row>
    <row r="371" spans="1:1">
      <c r="A371">
        <v>370</v>
      </c>
    </row>
    <row r="372" spans="1:1">
      <c r="A372">
        <v>371</v>
      </c>
    </row>
    <row r="373" spans="1:1">
      <c r="A373">
        <v>372</v>
      </c>
    </row>
    <row r="374" spans="1:1">
      <c r="A374">
        <v>373</v>
      </c>
    </row>
    <row r="375" spans="1:1">
      <c r="A375">
        <v>374</v>
      </c>
    </row>
    <row r="376" spans="1:1">
      <c r="A376">
        <v>375</v>
      </c>
    </row>
    <row r="377" spans="1:1">
      <c r="A377">
        <v>376</v>
      </c>
    </row>
    <row r="378" spans="1:1">
      <c r="A378">
        <v>377</v>
      </c>
    </row>
    <row r="379" spans="1:1">
      <c r="A379">
        <v>378</v>
      </c>
    </row>
    <row r="380" spans="1:1">
      <c r="A380">
        <v>379</v>
      </c>
    </row>
    <row r="381" spans="1:1">
      <c r="A381">
        <v>380</v>
      </c>
    </row>
    <row r="382" spans="1:1">
      <c r="A382">
        <v>381</v>
      </c>
    </row>
    <row r="383" spans="1:1">
      <c r="A383">
        <v>382</v>
      </c>
    </row>
    <row r="384" spans="1:1">
      <c r="A384">
        <v>383</v>
      </c>
    </row>
    <row r="385" spans="1:1">
      <c r="A385">
        <v>384</v>
      </c>
    </row>
    <row r="386" spans="1:1">
      <c r="A386">
        <v>385</v>
      </c>
    </row>
    <row r="387" spans="1:1">
      <c r="A387">
        <v>386</v>
      </c>
    </row>
    <row r="388" spans="1:1">
      <c r="A388">
        <v>387</v>
      </c>
    </row>
    <row r="389" spans="1:1">
      <c r="A389">
        <v>388</v>
      </c>
    </row>
    <row r="390" spans="1:1">
      <c r="A390">
        <v>389</v>
      </c>
    </row>
    <row r="391" spans="1:1">
      <c r="A391">
        <v>390</v>
      </c>
    </row>
    <row r="392" spans="1:1">
      <c r="A392">
        <v>391</v>
      </c>
    </row>
    <row r="393" spans="1:1">
      <c r="A393">
        <v>392</v>
      </c>
    </row>
    <row r="394" spans="1:1">
      <c r="A394">
        <v>393</v>
      </c>
    </row>
    <row r="395" spans="1:1">
      <c r="A395">
        <v>394</v>
      </c>
    </row>
    <row r="396" spans="1:1">
      <c r="A396">
        <v>395</v>
      </c>
    </row>
    <row r="397" spans="1:1">
      <c r="A397">
        <v>396</v>
      </c>
    </row>
    <row r="398" spans="1:1">
      <c r="A398">
        <v>397</v>
      </c>
    </row>
    <row r="399" spans="1:1">
      <c r="A399">
        <v>398</v>
      </c>
    </row>
    <row r="400" spans="1:1">
      <c r="A400">
        <v>399</v>
      </c>
    </row>
    <row r="401" spans="1:1">
      <c r="A401">
        <v>400</v>
      </c>
    </row>
    <row r="402" spans="1:1">
      <c r="A402">
        <v>401</v>
      </c>
    </row>
    <row r="403" spans="1:1">
      <c r="A403">
        <v>402</v>
      </c>
    </row>
    <row r="404" spans="1:1">
      <c r="A404">
        <v>403</v>
      </c>
    </row>
    <row r="405" spans="1:1">
      <c r="A405">
        <v>404</v>
      </c>
    </row>
    <row r="406" spans="1:1">
      <c r="A406">
        <v>405</v>
      </c>
    </row>
    <row r="407" spans="1:1">
      <c r="A407">
        <v>406</v>
      </c>
    </row>
    <row r="408" spans="1:1">
      <c r="A408">
        <v>407</v>
      </c>
    </row>
    <row r="409" spans="1:1">
      <c r="A409">
        <v>408</v>
      </c>
    </row>
    <row r="410" spans="1:1">
      <c r="A410">
        <v>409</v>
      </c>
    </row>
    <row r="411" spans="1:1">
      <c r="A411">
        <v>410</v>
      </c>
    </row>
    <row r="412" spans="1:1">
      <c r="A412">
        <v>411</v>
      </c>
    </row>
    <row r="413" spans="1:1">
      <c r="A413">
        <v>412</v>
      </c>
    </row>
    <row r="414" spans="1:1">
      <c r="A414">
        <v>413</v>
      </c>
    </row>
    <row r="415" spans="1:1">
      <c r="A415">
        <v>414</v>
      </c>
    </row>
    <row r="416" spans="1:1">
      <c r="A416">
        <v>415</v>
      </c>
    </row>
    <row r="417" spans="1:1">
      <c r="A417">
        <v>416</v>
      </c>
    </row>
    <row r="418" spans="1:1">
      <c r="A418">
        <v>417</v>
      </c>
    </row>
    <row r="419" spans="1:1">
      <c r="A419">
        <v>418</v>
      </c>
    </row>
    <row r="420" spans="1:1">
      <c r="A420">
        <v>419</v>
      </c>
    </row>
    <row r="421" spans="1:1">
      <c r="A421">
        <v>420</v>
      </c>
    </row>
    <row r="422" spans="1:1">
      <c r="A422">
        <v>421</v>
      </c>
    </row>
    <row r="423" spans="1:1">
      <c r="A423">
        <v>422</v>
      </c>
    </row>
    <row r="424" spans="1:1">
      <c r="A424">
        <v>423</v>
      </c>
    </row>
    <row r="425" spans="1:1">
      <c r="A425">
        <v>424</v>
      </c>
    </row>
    <row r="426" spans="1:1">
      <c r="A426">
        <v>425</v>
      </c>
    </row>
    <row r="427" spans="1:1">
      <c r="A427">
        <v>426</v>
      </c>
    </row>
    <row r="428" spans="1:1">
      <c r="A428">
        <v>427</v>
      </c>
    </row>
    <row r="429" spans="1:1">
      <c r="A429">
        <v>428</v>
      </c>
    </row>
    <row r="430" spans="1:1">
      <c r="A430">
        <v>429</v>
      </c>
    </row>
    <row r="431" spans="1:1">
      <c r="A431">
        <v>430</v>
      </c>
    </row>
    <row r="432" spans="1:1">
      <c r="A432">
        <v>431</v>
      </c>
    </row>
    <row r="433" spans="1:1">
      <c r="A433">
        <v>432</v>
      </c>
    </row>
    <row r="434" spans="1:1">
      <c r="A434">
        <v>433</v>
      </c>
    </row>
    <row r="435" spans="1:1">
      <c r="A435">
        <v>434</v>
      </c>
    </row>
    <row r="436" spans="1:1">
      <c r="A436">
        <v>435</v>
      </c>
    </row>
    <row r="437" spans="1:1">
      <c r="A437">
        <v>436</v>
      </c>
    </row>
    <row r="438" spans="1:1">
      <c r="A438">
        <v>437</v>
      </c>
    </row>
    <row r="439" spans="1:1">
      <c r="A439">
        <v>438</v>
      </c>
    </row>
    <row r="440" spans="1:1">
      <c r="A440">
        <v>439</v>
      </c>
    </row>
    <row r="441" spans="1:1">
      <c r="A441">
        <v>440</v>
      </c>
    </row>
    <row r="442" spans="1:1">
      <c r="A442">
        <v>441</v>
      </c>
    </row>
    <row r="443" spans="1:1">
      <c r="A443">
        <v>442</v>
      </c>
    </row>
    <row r="444" spans="1:1">
      <c r="A444">
        <v>443</v>
      </c>
    </row>
    <row r="445" spans="1:1">
      <c r="A445">
        <v>444</v>
      </c>
    </row>
    <row r="446" spans="1:1">
      <c r="A446">
        <v>445</v>
      </c>
    </row>
    <row r="447" spans="1:1">
      <c r="A447">
        <v>446</v>
      </c>
    </row>
    <row r="448" spans="1:1">
      <c r="A448">
        <v>447</v>
      </c>
    </row>
    <row r="449" spans="1:1">
      <c r="A449">
        <v>448</v>
      </c>
    </row>
    <row r="450" spans="1:1">
      <c r="A450">
        <v>449</v>
      </c>
    </row>
    <row r="451" spans="1:1">
      <c r="A451">
        <v>450</v>
      </c>
    </row>
    <row r="452" spans="1:1">
      <c r="A452">
        <v>451</v>
      </c>
    </row>
    <row r="453" spans="1:1">
      <c r="A453">
        <v>452</v>
      </c>
    </row>
    <row r="454" spans="1:1">
      <c r="A454">
        <v>453</v>
      </c>
    </row>
    <row r="455" spans="1:1">
      <c r="A455">
        <v>454</v>
      </c>
    </row>
    <row r="456" spans="1:1">
      <c r="A456">
        <v>455</v>
      </c>
    </row>
    <row r="457" spans="1:1">
      <c r="A457">
        <v>456</v>
      </c>
    </row>
    <row r="458" spans="1:1">
      <c r="A458">
        <v>457</v>
      </c>
    </row>
    <row r="459" spans="1:1">
      <c r="A459">
        <v>458</v>
      </c>
    </row>
    <row r="460" spans="1:1">
      <c r="A460">
        <v>459</v>
      </c>
    </row>
    <row r="461" spans="1:1">
      <c r="A461">
        <v>460</v>
      </c>
    </row>
    <row r="462" spans="1:1">
      <c r="A462">
        <v>461</v>
      </c>
    </row>
    <row r="463" spans="1:1">
      <c r="A463">
        <v>462</v>
      </c>
    </row>
    <row r="464" spans="1:1">
      <c r="A464">
        <v>463</v>
      </c>
    </row>
    <row r="465" spans="1:1">
      <c r="A465">
        <v>464</v>
      </c>
    </row>
    <row r="466" spans="1:1">
      <c r="A466">
        <v>465</v>
      </c>
    </row>
    <row r="467" spans="1:1">
      <c r="A467">
        <v>466</v>
      </c>
    </row>
    <row r="468" spans="1:1">
      <c r="A468">
        <v>467</v>
      </c>
    </row>
    <row r="469" spans="1:1">
      <c r="A469">
        <v>468</v>
      </c>
    </row>
    <row r="470" spans="1:1">
      <c r="A470">
        <v>469</v>
      </c>
    </row>
    <row r="471" spans="1:1">
      <c r="A471">
        <v>470</v>
      </c>
    </row>
    <row r="472" spans="1:1">
      <c r="A472">
        <v>471</v>
      </c>
    </row>
    <row r="473" spans="1:1">
      <c r="A473">
        <v>472</v>
      </c>
    </row>
    <row r="474" spans="1:1">
      <c r="A474">
        <v>473</v>
      </c>
    </row>
    <row r="475" spans="1:1">
      <c r="A475">
        <v>474</v>
      </c>
    </row>
    <row r="476" spans="1:1">
      <c r="A476">
        <v>475</v>
      </c>
    </row>
    <row r="477" spans="1:1">
      <c r="A477">
        <v>476</v>
      </c>
    </row>
    <row r="478" spans="1:1">
      <c r="A478">
        <v>477</v>
      </c>
    </row>
    <row r="479" spans="1:1">
      <c r="A479">
        <v>478</v>
      </c>
    </row>
    <row r="480" spans="1:1">
      <c r="A480">
        <v>479</v>
      </c>
    </row>
    <row r="481" spans="1:1">
      <c r="A481">
        <v>480</v>
      </c>
    </row>
    <row r="482" spans="1:1">
      <c r="A482">
        <v>481</v>
      </c>
    </row>
    <row r="483" spans="1:1">
      <c r="A483">
        <v>482</v>
      </c>
    </row>
    <row r="484" spans="1:1">
      <c r="A484">
        <v>483</v>
      </c>
    </row>
    <row r="485" spans="1:1">
      <c r="A485">
        <v>484</v>
      </c>
    </row>
    <row r="486" spans="1:1">
      <c r="A486">
        <v>485</v>
      </c>
    </row>
    <row r="487" spans="1:1">
      <c r="A487">
        <v>486</v>
      </c>
    </row>
    <row r="488" spans="1:1">
      <c r="A488">
        <v>487</v>
      </c>
    </row>
    <row r="489" spans="1:1">
      <c r="A489">
        <v>488</v>
      </c>
    </row>
    <row r="490" spans="1:1">
      <c r="A490">
        <v>489</v>
      </c>
    </row>
    <row r="491" spans="1:1">
      <c r="A491">
        <v>490</v>
      </c>
    </row>
    <row r="492" spans="1:1">
      <c r="A492">
        <v>491</v>
      </c>
    </row>
    <row r="493" spans="1:1">
      <c r="A493">
        <v>492</v>
      </c>
    </row>
    <row r="494" spans="1:1">
      <c r="A494">
        <v>493</v>
      </c>
    </row>
    <row r="495" spans="1:1">
      <c r="A495">
        <v>494</v>
      </c>
    </row>
    <row r="496" spans="1:1">
      <c r="A496">
        <v>495</v>
      </c>
    </row>
    <row r="497" spans="1:1">
      <c r="A497">
        <v>496</v>
      </c>
    </row>
    <row r="498" spans="1:1">
      <c r="A498">
        <v>497</v>
      </c>
    </row>
    <row r="499" spans="1:1">
      <c r="A499">
        <v>498</v>
      </c>
    </row>
    <row r="500" spans="1:1">
      <c r="A500">
        <v>499</v>
      </c>
    </row>
    <row r="501" spans="1:1">
      <c r="A501">
        <v>500</v>
      </c>
    </row>
    <row r="502" spans="1:1">
      <c r="A502">
        <v>501</v>
      </c>
    </row>
    <row r="503" spans="1:1">
      <c r="A503">
        <v>502</v>
      </c>
    </row>
    <row r="504" spans="1:1">
      <c r="A504">
        <v>503</v>
      </c>
    </row>
    <row r="505" spans="1:1">
      <c r="A505">
        <v>504</v>
      </c>
    </row>
    <row r="506" spans="1:1">
      <c r="A506">
        <v>505</v>
      </c>
    </row>
    <row r="507" spans="1:1">
      <c r="A507">
        <v>506</v>
      </c>
    </row>
    <row r="508" spans="1:1">
      <c r="A508">
        <v>507</v>
      </c>
    </row>
    <row r="509" spans="1:1">
      <c r="A509">
        <v>508</v>
      </c>
    </row>
    <row r="510" spans="1:1">
      <c r="A510">
        <v>509</v>
      </c>
    </row>
    <row r="511" spans="1:1">
      <c r="A511">
        <v>510</v>
      </c>
    </row>
    <row r="512" spans="1:1">
      <c r="A512">
        <v>511</v>
      </c>
    </row>
    <row r="513" spans="1:1">
      <c r="A513">
        <v>512</v>
      </c>
    </row>
    <row r="514" spans="1:1">
      <c r="A514">
        <v>513</v>
      </c>
    </row>
    <row r="515" spans="1:1">
      <c r="A515">
        <v>514</v>
      </c>
    </row>
    <row r="516" spans="1:1">
      <c r="A516">
        <v>515</v>
      </c>
    </row>
    <row r="517" spans="1:1">
      <c r="A517">
        <v>516</v>
      </c>
    </row>
    <row r="518" spans="1:1">
      <c r="A518">
        <v>517</v>
      </c>
    </row>
    <row r="519" spans="1:1">
      <c r="A519">
        <v>518</v>
      </c>
    </row>
    <row r="520" spans="1:1">
      <c r="A520">
        <v>519</v>
      </c>
    </row>
    <row r="521" spans="1:1">
      <c r="A521">
        <v>520</v>
      </c>
    </row>
    <row r="522" spans="1:1">
      <c r="A522">
        <v>521</v>
      </c>
    </row>
    <row r="523" spans="1:1">
      <c r="A523">
        <v>522</v>
      </c>
    </row>
    <row r="524" spans="1:1">
      <c r="A524">
        <v>523</v>
      </c>
    </row>
    <row r="525" spans="1:1">
      <c r="A525">
        <v>524</v>
      </c>
    </row>
    <row r="526" spans="1:1">
      <c r="A526">
        <v>525</v>
      </c>
    </row>
    <row r="527" spans="1:1">
      <c r="A527">
        <v>526</v>
      </c>
    </row>
    <row r="528" spans="1:1">
      <c r="A528">
        <v>527</v>
      </c>
    </row>
    <row r="529" spans="1:1">
      <c r="A529">
        <v>528</v>
      </c>
    </row>
    <row r="530" spans="1:1">
      <c r="A530">
        <v>529</v>
      </c>
    </row>
    <row r="531" spans="1:1">
      <c r="A531">
        <v>530</v>
      </c>
    </row>
    <row r="532" spans="1:1">
      <c r="A532">
        <v>531</v>
      </c>
    </row>
    <row r="533" spans="1:1">
      <c r="A533">
        <v>532</v>
      </c>
    </row>
    <row r="534" spans="1:1">
      <c r="A534">
        <v>533</v>
      </c>
    </row>
    <row r="535" spans="1:1">
      <c r="A535">
        <v>534</v>
      </c>
    </row>
    <row r="536" spans="1:1">
      <c r="A536">
        <v>535</v>
      </c>
    </row>
    <row r="537" spans="1:1">
      <c r="A537">
        <v>536</v>
      </c>
    </row>
    <row r="538" spans="1:1">
      <c r="A538">
        <v>537</v>
      </c>
    </row>
    <row r="539" spans="1:1">
      <c r="A539">
        <v>538</v>
      </c>
    </row>
    <row r="540" spans="1:1">
      <c r="A540">
        <v>539</v>
      </c>
    </row>
    <row r="541" spans="1:1">
      <c r="A541">
        <v>540</v>
      </c>
    </row>
    <row r="542" spans="1:1">
      <c r="A542">
        <v>541</v>
      </c>
    </row>
    <row r="543" spans="1:1">
      <c r="A543">
        <v>542</v>
      </c>
    </row>
    <row r="544" spans="1:1">
      <c r="A544">
        <v>543</v>
      </c>
    </row>
    <row r="545" spans="1:1">
      <c r="A545">
        <v>544</v>
      </c>
    </row>
    <row r="546" spans="1:1">
      <c r="A546">
        <v>545</v>
      </c>
    </row>
    <row r="547" spans="1:1">
      <c r="A547">
        <v>546</v>
      </c>
    </row>
    <row r="548" spans="1:1">
      <c r="A548">
        <v>547</v>
      </c>
    </row>
    <row r="549" spans="1:1">
      <c r="A549">
        <v>548</v>
      </c>
    </row>
    <row r="550" spans="1:1">
      <c r="A550">
        <v>549</v>
      </c>
    </row>
    <row r="551" spans="1:1">
      <c r="A551">
        <v>550</v>
      </c>
    </row>
    <row r="552" spans="1:1">
      <c r="A552">
        <v>551</v>
      </c>
    </row>
    <row r="553" spans="1:1">
      <c r="A553">
        <v>552</v>
      </c>
    </row>
    <row r="554" spans="1:1">
      <c r="A554">
        <v>553</v>
      </c>
    </row>
    <row r="555" spans="1:1">
      <c r="A555">
        <v>554</v>
      </c>
    </row>
    <row r="556" spans="1:1">
      <c r="A556">
        <v>555</v>
      </c>
    </row>
    <row r="557" spans="1:1">
      <c r="A557">
        <v>556</v>
      </c>
    </row>
    <row r="558" spans="1:1">
      <c r="A558">
        <v>557</v>
      </c>
    </row>
    <row r="559" spans="1:1">
      <c r="A559">
        <v>558</v>
      </c>
    </row>
    <row r="560" spans="1:1">
      <c r="A560">
        <v>559</v>
      </c>
    </row>
    <row r="561" spans="1:1">
      <c r="A561">
        <v>560</v>
      </c>
    </row>
    <row r="562" spans="1:1">
      <c r="A562">
        <v>561</v>
      </c>
    </row>
    <row r="563" spans="1:1">
      <c r="A563">
        <v>562</v>
      </c>
    </row>
    <row r="564" spans="1:1">
      <c r="A564">
        <v>563</v>
      </c>
    </row>
    <row r="565" spans="1:1">
      <c r="A565">
        <v>564</v>
      </c>
    </row>
    <row r="566" spans="1:1">
      <c r="A566">
        <v>565</v>
      </c>
    </row>
    <row r="567" spans="1:1">
      <c r="A567">
        <v>566</v>
      </c>
    </row>
    <row r="568" spans="1:1">
      <c r="A568">
        <v>567</v>
      </c>
    </row>
    <row r="569" spans="1:1">
      <c r="A569">
        <v>568</v>
      </c>
    </row>
    <row r="570" spans="1:1">
      <c r="A570">
        <v>569</v>
      </c>
    </row>
    <row r="571" spans="1:1">
      <c r="A571">
        <v>570</v>
      </c>
    </row>
    <row r="572" spans="1:1">
      <c r="A572">
        <v>571</v>
      </c>
    </row>
    <row r="573" spans="1:1">
      <c r="A573">
        <v>572</v>
      </c>
    </row>
    <row r="574" spans="1:1">
      <c r="A574">
        <v>573</v>
      </c>
    </row>
    <row r="575" spans="1:1">
      <c r="A575">
        <v>574</v>
      </c>
    </row>
    <row r="576" spans="1:1">
      <c r="A576">
        <v>575</v>
      </c>
    </row>
    <row r="577" spans="1:1">
      <c r="A577">
        <v>576</v>
      </c>
    </row>
    <row r="578" spans="1:1">
      <c r="A578">
        <v>577</v>
      </c>
    </row>
    <row r="579" spans="1:1">
      <c r="A579">
        <v>578</v>
      </c>
    </row>
    <row r="580" spans="1:1">
      <c r="A580">
        <v>579</v>
      </c>
    </row>
    <row r="581" spans="1:1">
      <c r="A581">
        <v>580</v>
      </c>
    </row>
    <row r="582" spans="1:1">
      <c r="A582">
        <v>581</v>
      </c>
    </row>
    <row r="583" spans="1:1">
      <c r="A583">
        <v>582</v>
      </c>
    </row>
    <row r="584" spans="1:1">
      <c r="A584">
        <v>583</v>
      </c>
    </row>
    <row r="585" spans="1:1">
      <c r="A585">
        <v>584</v>
      </c>
    </row>
    <row r="586" spans="1:1">
      <c r="A586">
        <v>585</v>
      </c>
    </row>
    <row r="587" spans="1:1">
      <c r="A587">
        <v>586</v>
      </c>
    </row>
    <row r="588" spans="1:1">
      <c r="A588">
        <v>587</v>
      </c>
    </row>
    <row r="589" spans="1:1">
      <c r="A589">
        <v>588</v>
      </c>
    </row>
    <row r="590" spans="1:1">
      <c r="A590">
        <v>589</v>
      </c>
    </row>
    <row r="591" spans="1:1">
      <c r="A591">
        <v>590</v>
      </c>
    </row>
    <row r="592" spans="1:1">
      <c r="A592">
        <v>591</v>
      </c>
    </row>
    <row r="593" spans="1:1">
      <c r="A593">
        <v>592</v>
      </c>
    </row>
    <row r="594" spans="1:1">
      <c r="A594">
        <v>593</v>
      </c>
    </row>
    <row r="595" spans="1:1">
      <c r="A595">
        <v>594</v>
      </c>
    </row>
    <row r="596" spans="1:1">
      <c r="A596">
        <v>595</v>
      </c>
    </row>
    <row r="597" spans="1:1">
      <c r="A597">
        <v>596</v>
      </c>
    </row>
    <row r="598" spans="1:1">
      <c r="A598">
        <v>597</v>
      </c>
    </row>
    <row r="599" spans="1:1">
      <c r="A599">
        <v>598</v>
      </c>
    </row>
    <row r="600" spans="1:1">
      <c r="A600">
        <v>599</v>
      </c>
    </row>
    <row r="601" spans="1:1">
      <c r="A601">
        <v>600</v>
      </c>
    </row>
    <row r="602" spans="1:1">
      <c r="A602">
        <v>601</v>
      </c>
    </row>
    <row r="603" spans="1:1">
      <c r="A603">
        <v>602</v>
      </c>
    </row>
    <row r="604" spans="1:1">
      <c r="A604">
        <v>603</v>
      </c>
    </row>
    <row r="605" spans="1:1">
      <c r="A605">
        <v>604</v>
      </c>
    </row>
    <row r="606" spans="1:1">
      <c r="A606">
        <v>605</v>
      </c>
    </row>
    <row r="607" spans="1:1">
      <c r="A607">
        <v>606</v>
      </c>
    </row>
    <row r="608" spans="1:1">
      <c r="A608">
        <v>607</v>
      </c>
    </row>
    <row r="609" spans="1:1">
      <c r="A609">
        <v>608</v>
      </c>
    </row>
    <row r="610" spans="1:1">
      <c r="A610">
        <v>609</v>
      </c>
    </row>
    <row r="611" spans="1:1">
      <c r="A611">
        <v>610</v>
      </c>
    </row>
    <row r="612" spans="1:1">
      <c r="A612">
        <v>611</v>
      </c>
    </row>
    <row r="613" spans="1:1">
      <c r="A613">
        <v>612</v>
      </c>
    </row>
    <row r="614" spans="1:1">
      <c r="A614">
        <v>613</v>
      </c>
    </row>
    <row r="615" spans="1:1">
      <c r="A615">
        <v>614</v>
      </c>
    </row>
    <row r="616" spans="1:1">
      <c r="A616">
        <v>615</v>
      </c>
    </row>
    <row r="617" spans="1:1">
      <c r="A617">
        <v>616</v>
      </c>
    </row>
    <row r="618" spans="1:1">
      <c r="A618">
        <v>617</v>
      </c>
    </row>
    <row r="619" spans="1:1">
      <c r="A619">
        <v>618</v>
      </c>
    </row>
    <row r="620" spans="1:1">
      <c r="A620">
        <v>619</v>
      </c>
    </row>
    <row r="621" spans="1:1">
      <c r="A621">
        <v>620</v>
      </c>
    </row>
    <row r="622" spans="1:1">
      <c r="A622">
        <v>621</v>
      </c>
    </row>
    <row r="623" spans="1:1">
      <c r="A623">
        <v>622</v>
      </c>
    </row>
    <row r="624" spans="1:1">
      <c r="A624">
        <v>623</v>
      </c>
    </row>
    <row r="625" spans="1:1">
      <c r="A625">
        <v>624</v>
      </c>
    </row>
    <row r="626" spans="1:1">
      <c r="A626">
        <v>625</v>
      </c>
    </row>
    <row r="627" spans="1:1">
      <c r="A627">
        <v>626</v>
      </c>
    </row>
    <row r="628" spans="1:1">
      <c r="A628">
        <v>627</v>
      </c>
    </row>
    <row r="629" spans="1:1">
      <c r="A629">
        <v>628</v>
      </c>
    </row>
    <row r="630" spans="1:1">
      <c r="A630">
        <v>629</v>
      </c>
    </row>
    <row r="631" spans="1:1">
      <c r="A631">
        <v>630</v>
      </c>
    </row>
    <row r="632" spans="1:1">
      <c r="A632">
        <v>631</v>
      </c>
    </row>
    <row r="633" spans="1:1">
      <c r="A633">
        <v>632</v>
      </c>
    </row>
    <row r="634" spans="1:1">
      <c r="A634">
        <v>633</v>
      </c>
    </row>
    <row r="635" spans="1:1">
      <c r="A635">
        <v>634</v>
      </c>
    </row>
    <row r="636" spans="1:1">
      <c r="A636">
        <v>635</v>
      </c>
    </row>
    <row r="637" spans="1:1">
      <c r="A637">
        <v>636</v>
      </c>
    </row>
    <row r="638" spans="1:1">
      <c r="A638">
        <v>637</v>
      </c>
    </row>
    <row r="639" spans="1:1">
      <c r="A639">
        <v>638</v>
      </c>
    </row>
    <row r="640" spans="1:1">
      <c r="A640">
        <v>639</v>
      </c>
    </row>
    <row r="641" spans="1:1">
      <c r="A641">
        <v>640</v>
      </c>
    </row>
    <row r="642" spans="1:1">
      <c r="A642">
        <v>641</v>
      </c>
    </row>
    <row r="643" spans="1:1">
      <c r="A643">
        <v>642</v>
      </c>
    </row>
    <row r="644" spans="1:1">
      <c r="A644">
        <v>643</v>
      </c>
    </row>
    <row r="645" spans="1:1">
      <c r="A645">
        <v>644</v>
      </c>
    </row>
    <row r="646" spans="1:1">
      <c r="A646">
        <v>645</v>
      </c>
    </row>
    <row r="647" spans="1:1">
      <c r="A647">
        <v>646</v>
      </c>
    </row>
    <row r="648" spans="1:1">
      <c r="A648">
        <v>647</v>
      </c>
    </row>
    <row r="649" spans="1:1">
      <c r="A649">
        <v>648</v>
      </c>
    </row>
    <row r="650" spans="1:1">
      <c r="A650">
        <v>649</v>
      </c>
    </row>
    <row r="651" spans="1:1">
      <c r="A651">
        <v>650</v>
      </c>
    </row>
    <row r="652" spans="1:1">
      <c r="A652">
        <v>651</v>
      </c>
    </row>
    <row r="653" spans="1:1">
      <c r="A653">
        <v>652</v>
      </c>
    </row>
    <row r="654" spans="1:1">
      <c r="A654">
        <v>653</v>
      </c>
    </row>
    <row r="655" spans="1:1">
      <c r="A655">
        <v>654</v>
      </c>
    </row>
    <row r="656" spans="1:1">
      <c r="A656">
        <v>655</v>
      </c>
    </row>
    <row r="657" spans="1:1">
      <c r="A657">
        <v>656</v>
      </c>
    </row>
    <row r="658" spans="1:1">
      <c r="A658">
        <v>657</v>
      </c>
    </row>
    <row r="659" spans="1:1">
      <c r="A659">
        <v>658</v>
      </c>
    </row>
    <row r="660" spans="1:1">
      <c r="A660">
        <v>659</v>
      </c>
    </row>
    <row r="661" spans="1:1">
      <c r="A661">
        <v>660</v>
      </c>
    </row>
    <row r="662" spans="1:1">
      <c r="A662">
        <v>661</v>
      </c>
    </row>
    <row r="663" spans="1:1">
      <c r="A663">
        <v>662</v>
      </c>
    </row>
    <row r="664" spans="1:1">
      <c r="A664">
        <v>663</v>
      </c>
    </row>
    <row r="665" spans="1:1">
      <c r="A665">
        <v>664</v>
      </c>
    </row>
    <row r="666" spans="1:1">
      <c r="A666">
        <v>665</v>
      </c>
    </row>
    <row r="667" spans="1:1">
      <c r="A667">
        <v>666</v>
      </c>
    </row>
    <row r="668" spans="1:1">
      <c r="A668">
        <v>667</v>
      </c>
    </row>
    <row r="669" spans="1:1">
      <c r="A669">
        <v>668</v>
      </c>
    </row>
    <row r="670" spans="1:1">
      <c r="A670">
        <v>669</v>
      </c>
    </row>
    <row r="671" spans="1:1">
      <c r="A671">
        <v>670</v>
      </c>
    </row>
    <row r="672" spans="1:1">
      <c r="A672">
        <v>671</v>
      </c>
    </row>
    <row r="673" spans="1:1">
      <c r="A673">
        <v>672</v>
      </c>
    </row>
    <row r="674" spans="1:1">
      <c r="A674">
        <v>673</v>
      </c>
    </row>
    <row r="675" spans="1:1">
      <c r="A675">
        <v>674</v>
      </c>
    </row>
    <row r="676" spans="1:1">
      <c r="A676">
        <v>675</v>
      </c>
    </row>
    <row r="677" spans="1:1">
      <c r="A677">
        <v>676</v>
      </c>
    </row>
    <row r="678" spans="1:1">
      <c r="A678">
        <v>677</v>
      </c>
    </row>
    <row r="679" spans="1:1">
      <c r="A679">
        <v>678</v>
      </c>
    </row>
    <row r="680" spans="1:1">
      <c r="A680">
        <v>679</v>
      </c>
    </row>
    <row r="681" spans="1:1">
      <c r="A681">
        <v>680</v>
      </c>
    </row>
    <row r="682" spans="1:1">
      <c r="A682">
        <v>681</v>
      </c>
    </row>
    <row r="683" spans="1:1">
      <c r="A683">
        <v>682</v>
      </c>
    </row>
    <row r="684" spans="1:1">
      <c r="A684">
        <v>683</v>
      </c>
    </row>
    <row r="685" spans="1:1">
      <c r="A685">
        <v>684</v>
      </c>
    </row>
    <row r="686" spans="1:1">
      <c r="A686">
        <v>685</v>
      </c>
    </row>
    <row r="687" spans="1:1">
      <c r="A687">
        <v>686</v>
      </c>
    </row>
    <row r="688" spans="1:1">
      <c r="A688">
        <v>687</v>
      </c>
    </row>
    <row r="689" spans="1:1">
      <c r="A689">
        <v>688</v>
      </c>
    </row>
    <row r="690" spans="1:1">
      <c r="A690">
        <v>689</v>
      </c>
    </row>
    <row r="691" spans="1:1">
      <c r="A691">
        <v>690</v>
      </c>
    </row>
    <row r="692" spans="1:1">
      <c r="A692">
        <v>691</v>
      </c>
    </row>
    <row r="693" spans="1:1">
      <c r="A693">
        <v>692</v>
      </c>
    </row>
    <row r="694" spans="1:1">
      <c r="A694">
        <v>693</v>
      </c>
    </row>
    <row r="695" spans="1:1">
      <c r="A695">
        <v>694</v>
      </c>
    </row>
    <row r="696" spans="1:1">
      <c r="A696">
        <v>695</v>
      </c>
    </row>
    <row r="697" spans="1:1">
      <c r="A697">
        <v>696</v>
      </c>
    </row>
    <row r="698" spans="1:1">
      <c r="A698">
        <v>697</v>
      </c>
    </row>
    <row r="699" spans="1:1">
      <c r="A699">
        <v>698</v>
      </c>
    </row>
    <row r="700" spans="1:1">
      <c r="A700">
        <v>699</v>
      </c>
    </row>
    <row r="701" spans="1:1">
      <c r="A701">
        <v>700</v>
      </c>
    </row>
    <row r="702" spans="1:1">
      <c r="A702">
        <v>701</v>
      </c>
    </row>
    <row r="703" spans="1:1">
      <c r="A703">
        <v>702</v>
      </c>
    </row>
    <row r="704" spans="1:1">
      <c r="A704">
        <v>703</v>
      </c>
    </row>
    <row r="705" spans="1:1">
      <c r="A705">
        <v>704</v>
      </c>
    </row>
    <row r="706" spans="1:1">
      <c r="A706">
        <v>705</v>
      </c>
    </row>
    <row r="707" spans="1:1">
      <c r="A707">
        <v>706</v>
      </c>
    </row>
    <row r="708" spans="1:1">
      <c r="A708">
        <v>707</v>
      </c>
    </row>
    <row r="709" spans="1:1">
      <c r="A709">
        <v>708</v>
      </c>
    </row>
    <row r="710" spans="1:1">
      <c r="A710">
        <v>709</v>
      </c>
    </row>
    <row r="711" spans="1:1">
      <c r="A711">
        <v>710</v>
      </c>
    </row>
    <row r="712" spans="1:1">
      <c r="A712">
        <v>711</v>
      </c>
    </row>
    <row r="713" spans="1:1">
      <c r="A713">
        <v>712</v>
      </c>
    </row>
    <row r="714" spans="1:1">
      <c r="A714">
        <v>713</v>
      </c>
    </row>
    <row r="715" spans="1:1">
      <c r="A715">
        <v>714</v>
      </c>
    </row>
    <row r="716" spans="1:1">
      <c r="A716">
        <v>715</v>
      </c>
    </row>
    <row r="717" spans="1:1">
      <c r="A717">
        <v>716</v>
      </c>
    </row>
    <row r="718" spans="1:1">
      <c r="A718">
        <v>717</v>
      </c>
    </row>
    <row r="719" spans="1:1">
      <c r="A719">
        <v>718</v>
      </c>
    </row>
    <row r="720" spans="1:1">
      <c r="A720">
        <v>719</v>
      </c>
    </row>
    <row r="721" spans="1:1">
      <c r="A721">
        <v>720</v>
      </c>
    </row>
    <row r="722" spans="1:1">
      <c r="A722">
        <v>721</v>
      </c>
    </row>
    <row r="723" spans="1:1">
      <c r="A723">
        <v>722</v>
      </c>
    </row>
    <row r="724" spans="1:1">
      <c r="A724">
        <v>723</v>
      </c>
    </row>
    <row r="725" spans="1:1">
      <c r="A725">
        <v>724</v>
      </c>
    </row>
    <row r="726" spans="1:1">
      <c r="A726">
        <v>725</v>
      </c>
    </row>
    <row r="727" spans="1:1">
      <c r="A727">
        <v>726</v>
      </c>
    </row>
    <row r="728" spans="1:1">
      <c r="A728">
        <v>727</v>
      </c>
    </row>
    <row r="729" spans="1:1">
      <c r="A729">
        <v>728</v>
      </c>
    </row>
    <row r="730" spans="1:1">
      <c r="A730">
        <v>729</v>
      </c>
    </row>
    <row r="731" spans="1:1">
      <c r="A731">
        <v>730</v>
      </c>
    </row>
    <row r="732" spans="1:1">
      <c r="A732">
        <v>731</v>
      </c>
    </row>
    <row r="733" spans="1:1">
      <c r="A733">
        <v>732</v>
      </c>
    </row>
    <row r="734" spans="1:1">
      <c r="A734">
        <v>733</v>
      </c>
    </row>
    <row r="735" spans="1:1">
      <c r="A735">
        <v>734</v>
      </c>
    </row>
    <row r="736" spans="1:1">
      <c r="A736">
        <v>735</v>
      </c>
    </row>
    <row r="737" spans="1:1">
      <c r="A737">
        <v>736</v>
      </c>
    </row>
    <row r="738" spans="1:1">
      <c r="A738">
        <v>737</v>
      </c>
    </row>
    <row r="739" spans="1:1">
      <c r="A739">
        <v>738</v>
      </c>
    </row>
    <row r="740" spans="1:1">
      <c r="A740">
        <v>739</v>
      </c>
    </row>
    <row r="741" spans="1:1">
      <c r="A741">
        <v>740</v>
      </c>
    </row>
    <row r="742" spans="1:1">
      <c r="A742">
        <v>741</v>
      </c>
    </row>
    <row r="743" spans="1:1">
      <c r="A743">
        <v>742</v>
      </c>
    </row>
    <row r="744" spans="1:1">
      <c r="A744">
        <v>743</v>
      </c>
    </row>
    <row r="745" spans="1:1">
      <c r="A745">
        <v>744</v>
      </c>
    </row>
    <row r="746" spans="1:1">
      <c r="A746">
        <v>745</v>
      </c>
    </row>
    <row r="747" spans="1:1">
      <c r="A747">
        <v>746</v>
      </c>
    </row>
    <row r="748" spans="1:1">
      <c r="A748">
        <v>747</v>
      </c>
    </row>
    <row r="749" spans="1:1">
      <c r="A749">
        <v>748</v>
      </c>
    </row>
    <row r="750" spans="1:1">
      <c r="A750">
        <v>749</v>
      </c>
    </row>
    <row r="751" spans="1:1">
      <c r="A751">
        <v>750</v>
      </c>
    </row>
    <row r="752" spans="1:1">
      <c r="A752">
        <v>751</v>
      </c>
    </row>
    <row r="753" spans="1:1">
      <c r="A753">
        <v>752</v>
      </c>
    </row>
    <row r="754" spans="1:1">
      <c r="A754">
        <v>753</v>
      </c>
    </row>
    <row r="755" spans="1:1">
      <c r="A755">
        <v>754</v>
      </c>
    </row>
    <row r="756" spans="1:1">
      <c r="A756">
        <v>755</v>
      </c>
    </row>
    <row r="757" spans="1:1">
      <c r="A757">
        <v>756</v>
      </c>
    </row>
    <row r="758" spans="1:1">
      <c r="A758">
        <v>757</v>
      </c>
    </row>
    <row r="759" spans="1:1">
      <c r="A759">
        <v>758</v>
      </c>
    </row>
    <row r="760" spans="1:1">
      <c r="A760">
        <v>759</v>
      </c>
    </row>
    <row r="761" spans="1:1">
      <c r="A761">
        <v>760</v>
      </c>
    </row>
    <row r="762" spans="1:1">
      <c r="A762">
        <v>761</v>
      </c>
    </row>
    <row r="763" spans="1:1">
      <c r="A763">
        <v>762</v>
      </c>
    </row>
    <row r="764" spans="1:1">
      <c r="A764">
        <v>763</v>
      </c>
    </row>
    <row r="765" spans="1:1">
      <c r="A765">
        <v>764</v>
      </c>
    </row>
    <row r="766" spans="1:1">
      <c r="A766">
        <v>765</v>
      </c>
    </row>
    <row r="767" spans="1:1">
      <c r="A767">
        <v>766</v>
      </c>
    </row>
    <row r="768" spans="1:1">
      <c r="A768">
        <v>767</v>
      </c>
    </row>
    <row r="769" spans="1:1">
      <c r="A769">
        <v>768</v>
      </c>
    </row>
    <row r="770" spans="1:1">
      <c r="A770">
        <v>769</v>
      </c>
    </row>
    <row r="771" spans="1:1">
      <c r="A771">
        <v>770</v>
      </c>
    </row>
    <row r="772" spans="1:1">
      <c r="A772">
        <v>771</v>
      </c>
    </row>
    <row r="773" spans="1:1">
      <c r="A773">
        <v>772</v>
      </c>
    </row>
    <row r="774" spans="1:1">
      <c r="A774">
        <v>773</v>
      </c>
    </row>
    <row r="775" spans="1:1">
      <c r="A775">
        <v>774</v>
      </c>
    </row>
    <row r="776" spans="1:1">
      <c r="A776">
        <v>775</v>
      </c>
    </row>
    <row r="777" spans="1:1">
      <c r="A777">
        <v>776</v>
      </c>
    </row>
    <row r="778" spans="1:1">
      <c r="A778">
        <v>777</v>
      </c>
    </row>
    <row r="779" spans="1:1">
      <c r="A779">
        <v>778</v>
      </c>
    </row>
    <row r="780" spans="1:1">
      <c r="A780">
        <v>779</v>
      </c>
    </row>
    <row r="781" spans="1:1">
      <c r="A781">
        <v>780</v>
      </c>
    </row>
    <row r="782" spans="1:1">
      <c r="A782">
        <v>781</v>
      </c>
    </row>
    <row r="783" spans="1:1">
      <c r="A783">
        <v>782</v>
      </c>
    </row>
    <row r="784" spans="1:1">
      <c r="A784">
        <v>783</v>
      </c>
    </row>
    <row r="785" spans="1:1">
      <c r="A785">
        <v>784</v>
      </c>
    </row>
    <row r="786" spans="1:1">
      <c r="A786">
        <v>785</v>
      </c>
    </row>
    <row r="787" spans="1:1">
      <c r="A787">
        <v>786</v>
      </c>
    </row>
    <row r="788" spans="1:1">
      <c r="A788">
        <v>787</v>
      </c>
    </row>
    <row r="789" spans="1:1">
      <c r="A789">
        <v>788</v>
      </c>
    </row>
    <row r="790" spans="1:1">
      <c r="A790">
        <v>789</v>
      </c>
    </row>
    <row r="791" spans="1:1">
      <c r="A791">
        <v>790</v>
      </c>
    </row>
    <row r="792" spans="1:1">
      <c r="A792">
        <v>791</v>
      </c>
    </row>
    <row r="793" spans="1:1">
      <c r="A793">
        <v>792</v>
      </c>
    </row>
    <row r="794" spans="1:1">
      <c r="A794">
        <v>793</v>
      </c>
    </row>
    <row r="795" spans="1:1">
      <c r="A795">
        <v>794</v>
      </c>
    </row>
    <row r="796" spans="1:1">
      <c r="A796">
        <v>795</v>
      </c>
    </row>
    <row r="797" spans="1:1">
      <c r="A797">
        <v>796</v>
      </c>
    </row>
    <row r="798" spans="1:1">
      <c r="A798">
        <v>797</v>
      </c>
    </row>
    <row r="799" spans="1:1">
      <c r="A799">
        <v>798</v>
      </c>
    </row>
    <row r="800" spans="1:1">
      <c r="A800">
        <v>799</v>
      </c>
    </row>
    <row r="801" spans="1:1">
      <c r="A801">
        <v>800</v>
      </c>
    </row>
    <row r="802" spans="1:1">
      <c r="A802">
        <v>801</v>
      </c>
    </row>
    <row r="803" spans="1:1">
      <c r="A803">
        <v>802</v>
      </c>
    </row>
    <row r="804" spans="1:1">
      <c r="A804">
        <v>803</v>
      </c>
    </row>
    <row r="805" spans="1:1">
      <c r="A805">
        <v>804</v>
      </c>
    </row>
    <row r="806" spans="1:1">
      <c r="A806">
        <v>805</v>
      </c>
    </row>
    <row r="807" spans="1:1">
      <c r="A807">
        <v>806</v>
      </c>
    </row>
    <row r="808" spans="1:1">
      <c r="A808">
        <v>807</v>
      </c>
    </row>
    <row r="809" spans="1:1">
      <c r="A809">
        <v>808</v>
      </c>
    </row>
    <row r="810" spans="1:1">
      <c r="A810">
        <v>809</v>
      </c>
    </row>
    <row r="811" spans="1:1">
      <c r="A811">
        <v>810</v>
      </c>
    </row>
    <row r="812" spans="1:1">
      <c r="A812">
        <v>811</v>
      </c>
    </row>
    <row r="813" spans="1:1">
      <c r="A813">
        <v>812</v>
      </c>
    </row>
    <row r="814" spans="1:1">
      <c r="A814">
        <v>813</v>
      </c>
    </row>
    <row r="815" spans="1:1">
      <c r="A815">
        <v>814</v>
      </c>
    </row>
    <row r="816" spans="1:1">
      <c r="A816">
        <v>815</v>
      </c>
    </row>
    <row r="817" spans="1:1">
      <c r="A817">
        <v>816</v>
      </c>
    </row>
    <row r="818" spans="1:1">
      <c r="A818">
        <v>817</v>
      </c>
    </row>
    <row r="819" spans="1:1">
      <c r="A819">
        <v>818</v>
      </c>
    </row>
    <row r="820" spans="1:1">
      <c r="A820">
        <v>819</v>
      </c>
    </row>
    <row r="821" spans="1:1">
      <c r="A821">
        <v>820</v>
      </c>
    </row>
    <row r="822" spans="1:1">
      <c r="A822">
        <v>821</v>
      </c>
    </row>
    <row r="823" spans="1:1">
      <c r="A823">
        <v>822</v>
      </c>
    </row>
    <row r="824" spans="1:1">
      <c r="A824">
        <v>823</v>
      </c>
    </row>
    <row r="825" spans="1:1">
      <c r="A825">
        <v>824</v>
      </c>
    </row>
    <row r="826" spans="1:1">
      <c r="A826">
        <v>825</v>
      </c>
    </row>
    <row r="827" spans="1:1">
      <c r="A827">
        <v>826</v>
      </c>
    </row>
    <row r="828" spans="1:1">
      <c r="A828">
        <v>827</v>
      </c>
    </row>
    <row r="829" spans="1:1">
      <c r="A829">
        <v>828</v>
      </c>
    </row>
    <row r="830" spans="1:1">
      <c r="A830">
        <v>829</v>
      </c>
    </row>
    <row r="831" spans="1:1">
      <c r="A831">
        <v>830</v>
      </c>
    </row>
    <row r="832" spans="1:1">
      <c r="A832">
        <v>831</v>
      </c>
    </row>
    <row r="833" spans="1:1">
      <c r="A833">
        <v>832</v>
      </c>
    </row>
    <row r="834" spans="1:1">
      <c r="A834">
        <v>833</v>
      </c>
    </row>
    <row r="835" spans="1:1">
      <c r="A835">
        <v>834</v>
      </c>
    </row>
    <row r="836" spans="1:1">
      <c r="A836">
        <v>835</v>
      </c>
    </row>
    <row r="837" spans="1:1">
      <c r="A837">
        <v>836</v>
      </c>
    </row>
    <row r="838" spans="1:1">
      <c r="A838">
        <v>837</v>
      </c>
    </row>
    <row r="839" spans="1:1">
      <c r="A839">
        <v>838</v>
      </c>
    </row>
    <row r="840" spans="1:1">
      <c r="A840">
        <v>839</v>
      </c>
    </row>
    <row r="841" spans="1:1">
      <c r="A841">
        <v>840</v>
      </c>
    </row>
    <row r="842" spans="1:1">
      <c r="A842">
        <v>841</v>
      </c>
    </row>
    <row r="843" spans="1:1">
      <c r="A843">
        <v>842</v>
      </c>
    </row>
    <row r="844" spans="1:1">
      <c r="A844">
        <v>843</v>
      </c>
    </row>
    <row r="845" spans="1:1">
      <c r="A845">
        <v>844</v>
      </c>
    </row>
    <row r="846" spans="1:1">
      <c r="A846">
        <v>845</v>
      </c>
    </row>
    <row r="847" spans="1:1">
      <c r="A847">
        <v>846</v>
      </c>
    </row>
    <row r="848" spans="1:1">
      <c r="A848">
        <v>847</v>
      </c>
    </row>
    <row r="849" spans="1:1">
      <c r="A849">
        <v>848</v>
      </c>
    </row>
    <row r="850" spans="1:1">
      <c r="A850">
        <v>849</v>
      </c>
    </row>
    <row r="851" spans="1:1">
      <c r="A851">
        <v>850</v>
      </c>
    </row>
    <row r="852" spans="1:1">
      <c r="A852">
        <v>851</v>
      </c>
    </row>
    <row r="853" spans="1:1">
      <c r="A853">
        <v>852</v>
      </c>
    </row>
    <row r="854" spans="1:1">
      <c r="A854">
        <v>853</v>
      </c>
    </row>
    <row r="855" spans="1:1">
      <c r="A855">
        <v>854</v>
      </c>
    </row>
    <row r="856" spans="1:1">
      <c r="A856">
        <v>855</v>
      </c>
    </row>
    <row r="857" spans="1:1">
      <c r="A857">
        <v>856</v>
      </c>
    </row>
    <row r="858" spans="1:1">
      <c r="A858">
        <v>857</v>
      </c>
    </row>
    <row r="859" spans="1:1">
      <c r="A859">
        <v>858</v>
      </c>
    </row>
    <row r="860" spans="1:1">
      <c r="A860">
        <v>859</v>
      </c>
    </row>
    <row r="861" spans="1:1">
      <c r="A861">
        <v>860</v>
      </c>
    </row>
    <row r="862" spans="1:1">
      <c r="A862">
        <v>861</v>
      </c>
    </row>
    <row r="863" spans="1:1">
      <c r="A863">
        <v>862</v>
      </c>
    </row>
    <row r="864" spans="1:1">
      <c r="A864">
        <v>863</v>
      </c>
    </row>
    <row r="865" spans="1:1">
      <c r="A865">
        <v>864</v>
      </c>
    </row>
    <row r="866" spans="1:1">
      <c r="A866">
        <v>865</v>
      </c>
    </row>
    <row r="867" spans="1:1">
      <c r="A867">
        <v>866</v>
      </c>
    </row>
    <row r="868" spans="1:1">
      <c r="A868">
        <v>867</v>
      </c>
    </row>
    <row r="869" spans="1:1">
      <c r="A869">
        <v>868</v>
      </c>
    </row>
    <row r="870" spans="1:1">
      <c r="A870">
        <v>869</v>
      </c>
    </row>
    <row r="871" spans="1:1">
      <c r="A871">
        <v>870</v>
      </c>
    </row>
    <row r="872" spans="1:1">
      <c r="A872">
        <v>871</v>
      </c>
    </row>
    <row r="873" spans="1:1">
      <c r="A873">
        <v>872</v>
      </c>
    </row>
    <row r="874" spans="1:1">
      <c r="A874">
        <v>873</v>
      </c>
    </row>
    <row r="875" spans="1:1">
      <c r="A875">
        <v>874</v>
      </c>
    </row>
    <row r="876" spans="1:1">
      <c r="A876">
        <v>875</v>
      </c>
    </row>
    <row r="877" spans="1:1">
      <c r="A877">
        <v>876</v>
      </c>
    </row>
    <row r="878" spans="1:1">
      <c r="A878">
        <v>877</v>
      </c>
    </row>
    <row r="879" spans="1:1">
      <c r="A879">
        <v>878</v>
      </c>
    </row>
    <row r="880" spans="1:1">
      <c r="A880">
        <v>879</v>
      </c>
    </row>
    <row r="881" spans="1:1">
      <c r="A881">
        <v>880</v>
      </c>
    </row>
    <row r="882" spans="1:1">
      <c r="A882">
        <v>881</v>
      </c>
    </row>
    <row r="883" spans="1:1">
      <c r="A883">
        <v>882</v>
      </c>
    </row>
    <row r="884" spans="1:1">
      <c r="A884">
        <v>883</v>
      </c>
    </row>
    <row r="885" spans="1:1">
      <c r="A885">
        <v>884</v>
      </c>
    </row>
    <row r="886" spans="1:1">
      <c r="A886">
        <v>885</v>
      </c>
    </row>
    <row r="887" spans="1:1">
      <c r="A887">
        <v>886</v>
      </c>
    </row>
    <row r="888" spans="1:1">
      <c r="A888">
        <v>887</v>
      </c>
    </row>
    <row r="889" spans="1:1">
      <c r="A889">
        <v>888</v>
      </c>
    </row>
    <row r="890" spans="1:1">
      <c r="A890">
        <v>889</v>
      </c>
    </row>
    <row r="891" spans="1:1">
      <c r="A891">
        <v>890</v>
      </c>
    </row>
    <row r="892" spans="1:1">
      <c r="A892">
        <v>891</v>
      </c>
    </row>
    <row r="893" spans="1:1">
      <c r="A893">
        <v>892</v>
      </c>
    </row>
    <row r="894" spans="1:1">
      <c r="A894">
        <v>893</v>
      </c>
    </row>
    <row r="895" spans="1:1">
      <c r="A895">
        <v>894</v>
      </c>
    </row>
    <row r="896" spans="1:1">
      <c r="A896">
        <v>895</v>
      </c>
    </row>
    <row r="897" spans="1:1">
      <c r="A897">
        <v>896</v>
      </c>
    </row>
    <row r="898" spans="1:1">
      <c r="A898">
        <v>897</v>
      </c>
    </row>
    <row r="899" spans="1:1">
      <c r="A899">
        <v>898</v>
      </c>
    </row>
    <row r="900" spans="1:1">
      <c r="A900">
        <v>899</v>
      </c>
    </row>
    <row r="901" spans="1:1">
      <c r="A901">
        <v>900</v>
      </c>
    </row>
    <row r="902" spans="1:1">
      <c r="A902">
        <v>901</v>
      </c>
    </row>
    <row r="903" spans="1:1">
      <c r="A903">
        <v>902</v>
      </c>
    </row>
    <row r="904" spans="1:1">
      <c r="A904">
        <v>903</v>
      </c>
    </row>
    <row r="905" spans="1:1">
      <c r="A905">
        <v>904</v>
      </c>
    </row>
    <row r="906" spans="1:1">
      <c r="A906">
        <v>905</v>
      </c>
    </row>
    <row r="907" spans="1:1">
      <c r="A907">
        <v>906</v>
      </c>
    </row>
    <row r="908" spans="1:1">
      <c r="A908">
        <v>907</v>
      </c>
    </row>
    <row r="909" spans="1:1">
      <c r="A909">
        <v>908</v>
      </c>
    </row>
    <row r="910" spans="1:1">
      <c r="A910">
        <v>909</v>
      </c>
    </row>
    <row r="911" spans="1:1">
      <c r="A911">
        <v>910</v>
      </c>
    </row>
    <row r="912" spans="1:1">
      <c r="A912">
        <v>911</v>
      </c>
    </row>
    <row r="913" spans="1:1">
      <c r="A913">
        <v>912</v>
      </c>
    </row>
    <row r="914" spans="1:1">
      <c r="A914">
        <v>913</v>
      </c>
    </row>
    <row r="915" spans="1:1">
      <c r="A915">
        <v>914</v>
      </c>
    </row>
    <row r="916" spans="1:1">
      <c r="A916">
        <v>915</v>
      </c>
    </row>
    <row r="917" spans="1:1">
      <c r="A917">
        <v>916</v>
      </c>
    </row>
    <row r="918" spans="1:1">
      <c r="A918">
        <v>917</v>
      </c>
    </row>
    <row r="919" spans="1:1">
      <c r="A919">
        <v>918</v>
      </c>
    </row>
    <row r="920" spans="1:1">
      <c r="A920">
        <v>919</v>
      </c>
    </row>
    <row r="921" spans="1:1">
      <c r="A921">
        <v>920</v>
      </c>
    </row>
    <row r="922" spans="1:1">
      <c r="A922">
        <v>921</v>
      </c>
    </row>
    <row r="923" spans="1:1">
      <c r="A923">
        <v>922</v>
      </c>
    </row>
    <row r="924" spans="1:1">
      <c r="A924">
        <v>923</v>
      </c>
    </row>
    <row r="925" spans="1:1">
      <c r="A925">
        <v>924</v>
      </c>
    </row>
    <row r="926" spans="1:1">
      <c r="A926">
        <v>925</v>
      </c>
    </row>
    <row r="927" spans="1:1">
      <c r="A927">
        <v>926</v>
      </c>
    </row>
    <row r="928" spans="1:1">
      <c r="A928">
        <v>927</v>
      </c>
    </row>
    <row r="929" spans="1:1">
      <c r="A929">
        <v>928</v>
      </c>
    </row>
    <row r="930" spans="1:1">
      <c r="A930">
        <v>929</v>
      </c>
    </row>
    <row r="931" spans="1:1">
      <c r="A931">
        <v>930</v>
      </c>
    </row>
    <row r="932" spans="1:1">
      <c r="A932">
        <v>931</v>
      </c>
    </row>
    <row r="933" spans="1:1">
      <c r="A933">
        <v>932</v>
      </c>
    </row>
    <row r="934" spans="1:1">
      <c r="A934">
        <v>933</v>
      </c>
    </row>
    <row r="935" spans="1:1">
      <c r="A935">
        <v>934</v>
      </c>
    </row>
    <row r="936" spans="1:1">
      <c r="A936">
        <v>935</v>
      </c>
    </row>
    <row r="937" spans="1:1">
      <c r="A937">
        <v>936</v>
      </c>
    </row>
    <row r="938" spans="1:1">
      <c r="A938">
        <v>937</v>
      </c>
    </row>
    <row r="939" spans="1:1">
      <c r="A939">
        <v>938</v>
      </c>
    </row>
    <row r="940" spans="1:1">
      <c r="A940">
        <v>939</v>
      </c>
    </row>
    <row r="941" spans="1:1">
      <c r="A941">
        <v>940</v>
      </c>
    </row>
    <row r="942" spans="1:1">
      <c r="A942">
        <v>941</v>
      </c>
    </row>
    <row r="943" spans="1:1">
      <c r="A943">
        <v>942</v>
      </c>
    </row>
    <row r="944" spans="1:1">
      <c r="A944">
        <v>943</v>
      </c>
    </row>
    <row r="945" spans="1:1">
      <c r="A945">
        <v>944</v>
      </c>
    </row>
    <row r="946" spans="1:1">
      <c r="A946">
        <v>945</v>
      </c>
    </row>
    <row r="947" spans="1:1">
      <c r="A947">
        <v>946</v>
      </c>
    </row>
    <row r="948" spans="1:1">
      <c r="A948">
        <v>947</v>
      </c>
    </row>
    <row r="949" spans="1:1">
      <c r="A949">
        <v>948</v>
      </c>
    </row>
    <row r="950" spans="1:1">
      <c r="A950">
        <v>949</v>
      </c>
    </row>
    <row r="951" spans="1:1">
      <c r="A951">
        <v>950</v>
      </c>
    </row>
    <row r="952" spans="1:1">
      <c r="A952">
        <v>951</v>
      </c>
    </row>
    <row r="953" spans="1:1">
      <c r="A953">
        <v>952</v>
      </c>
    </row>
    <row r="954" spans="1:1">
      <c r="A954">
        <v>953</v>
      </c>
    </row>
    <row r="955" spans="1:1">
      <c r="A955">
        <v>954</v>
      </c>
    </row>
    <row r="956" spans="1:1">
      <c r="A956">
        <v>955</v>
      </c>
    </row>
    <row r="957" spans="1:1">
      <c r="A957">
        <v>956</v>
      </c>
    </row>
    <row r="958" spans="1:1">
      <c r="A958">
        <v>957</v>
      </c>
    </row>
    <row r="959" spans="1:1">
      <c r="A959">
        <v>958</v>
      </c>
    </row>
    <row r="960" spans="1:1">
      <c r="A960">
        <v>959</v>
      </c>
    </row>
    <row r="961" spans="1:1">
      <c r="A961">
        <v>960</v>
      </c>
    </row>
    <row r="962" spans="1:1">
      <c r="A962">
        <v>961</v>
      </c>
    </row>
    <row r="963" spans="1:1">
      <c r="A963">
        <v>962</v>
      </c>
    </row>
    <row r="964" spans="1:1">
      <c r="A964">
        <v>963</v>
      </c>
    </row>
    <row r="965" spans="1:1">
      <c r="A965">
        <v>964</v>
      </c>
    </row>
    <row r="966" spans="1:1">
      <c r="A966">
        <v>965</v>
      </c>
    </row>
    <row r="967" spans="1:1">
      <c r="A967">
        <v>966</v>
      </c>
    </row>
    <row r="968" spans="1:1">
      <c r="A968">
        <v>967</v>
      </c>
    </row>
    <row r="969" spans="1:1">
      <c r="A969">
        <v>968</v>
      </c>
    </row>
    <row r="970" spans="1:1">
      <c r="A970">
        <v>969</v>
      </c>
    </row>
    <row r="971" spans="1:1">
      <c r="A971">
        <v>970</v>
      </c>
    </row>
    <row r="972" spans="1:1">
      <c r="A972">
        <v>971</v>
      </c>
    </row>
    <row r="973" spans="1:1">
      <c r="A973">
        <v>972</v>
      </c>
    </row>
    <row r="974" spans="1:1">
      <c r="A974">
        <v>973</v>
      </c>
    </row>
    <row r="975" spans="1:1">
      <c r="A975">
        <v>974</v>
      </c>
    </row>
    <row r="976" spans="1:1">
      <c r="A976">
        <v>975</v>
      </c>
    </row>
    <row r="977" spans="1:1">
      <c r="A977">
        <v>976</v>
      </c>
    </row>
    <row r="978" spans="1:1">
      <c r="A978">
        <v>977</v>
      </c>
    </row>
    <row r="979" spans="1:1">
      <c r="A979">
        <v>978</v>
      </c>
    </row>
    <row r="980" spans="1:1">
      <c r="A980">
        <v>979</v>
      </c>
    </row>
    <row r="981" spans="1:1">
      <c r="A981">
        <v>980</v>
      </c>
    </row>
    <row r="982" spans="1:1">
      <c r="A982">
        <v>981</v>
      </c>
    </row>
    <row r="983" spans="1:1">
      <c r="A983">
        <v>982</v>
      </c>
    </row>
    <row r="984" spans="1:1">
      <c r="A984">
        <v>983</v>
      </c>
    </row>
    <row r="985" spans="1:1">
      <c r="A985">
        <v>984</v>
      </c>
    </row>
    <row r="986" spans="1:1">
      <c r="A986">
        <v>985</v>
      </c>
    </row>
    <row r="987" spans="1:1">
      <c r="A987">
        <v>986</v>
      </c>
    </row>
    <row r="988" spans="1:1">
      <c r="A988">
        <v>987</v>
      </c>
    </row>
    <row r="989" spans="1:1">
      <c r="A989">
        <v>988</v>
      </c>
    </row>
    <row r="990" spans="1:1">
      <c r="A990">
        <v>989</v>
      </c>
    </row>
    <row r="991" spans="1:1">
      <c r="A991">
        <v>990</v>
      </c>
    </row>
    <row r="992" spans="1:1">
      <c r="A992">
        <v>991</v>
      </c>
    </row>
    <row r="993" spans="1:1">
      <c r="A993">
        <v>992</v>
      </c>
    </row>
    <row r="994" spans="1:1">
      <c r="A994">
        <v>993</v>
      </c>
    </row>
    <row r="995" spans="1:1">
      <c r="A995">
        <v>994</v>
      </c>
    </row>
    <row r="996" spans="1:1">
      <c r="A996">
        <v>995</v>
      </c>
    </row>
    <row r="997" spans="1:1">
      <c r="A997">
        <v>996</v>
      </c>
    </row>
    <row r="998" spans="1:1">
      <c r="A998">
        <v>997</v>
      </c>
    </row>
    <row r="999" spans="1:1">
      <c r="A999">
        <v>998</v>
      </c>
    </row>
    <row r="1000" spans="1:1">
      <c r="A1000">
        <v>999</v>
      </c>
    </row>
    <row r="1001" spans="1:1">
      <c r="A1001">
        <v>1000</v>
      </c>
    </row>
    <row r="1002" spans="1:1">
      <c r="A1002">
        <v>1001</v>
      </c>
    </row>
    <row r="1003" spans="1:1">
      <c r="A1003">
        <v>1002</v>
      </c>
    </row>
    <row r="1004" spans="1:1">
      <c r="A1004">
        <v>1003</v>
      </c>
    </row>
    <row r="1005" spans="1:1">
      <c r="A1005">
        <v>1004</v>
      </c>
    </row>
    <row r="1006" spans="1:1">
      <c r="A1006">
        <v>1005</v>
      </c>
    </row>
    <row r="1007" spans="1:1">
      <c r="A1007">
        <v>1006</v>
      </c>
    </row>
    <row r="1008" spans="1:1">
      <c r="A1008">
        <v>1007</v>
      </c>
    </row>
    <row r="1009" spans="1:1">
      <c r="A1009">
        <v>1008</v>
      </c>
    </row>
    <row r="1010" spans="1:1">
      <c r="A1010">
        <v>1009</v>
      </c>
    </row>
    <row r="1011" spans="1:1">
      <c r="A1011">
        <v>1010</v>
      </c>
    </row>
    <row r="1012" spans="1:1">
      <c r="A1012">
        <v>1011</v>
      </c>
    </row>
    <row r="1013" spans="1:1">
      <c r="A1013">
        <v>1012</v>
      </c>
    </row>
    <row r="1014" spans="1:1">
      <c r="A1014">
        <v>1013</v>
      </c>
    </row>
    <row r="1015" spans="1:1">
      <c r="A1015">
        <v>1014</v>
      </c>
    </row>
    <row r="1016" spans="1:1">
      <c r="A1016">
        <v>1015</v>
      </c>
    </row>
    <row r="1017" spans="1:1">
      <c r="A1017">
        <v>1016</v>
      </c>
    </row>
    <row r="1018" spans="1:1">
      <c r="A1018">
        <v>1017</v>
      </c>
    </row>
    <row r="1019" spans="1:1">
      <c r="A1019">
        <v>1018</v>
      </c>
    </row>
    <row r="1020" spans="1:1">
      <c r="A1020">
        <v>1019</v>
      </c>
    </row>
    <row r="1021" spans="1:1">
      <c r="A1021">
        <v>1020</v>
      </c>
    </row>
    <row r="1022" spans="1:1">
      <c r="A1022">
        <v>1021</v>
      </c>
    </row>
    <row r="1023" spans="1:1">
      <c r="A1023">
        <v>1022</v>
      </c>
    </row>
    <row r="1024" spans="1:1">
      <c r="A1024">
        <v>1023</v>
      </c>
    </row>
    <row r="1025" spans="1:1">
      <c r="A1025">
        <v>1024</v>
      </c>
    </row>
    <row r="1026" spans="1:1">
      <c r="A1026">
        <v>1025</v>
      </c>
    </row>
    <row r="1027" spans="1:1">
      <c r="A1027">
        <v>1026</v>
      </c>
    </row>
    <row r="1028" spans="1:1">
      <c r="A1028">
        <v>1027</v>
      </c>
    </row>
    <row r="1029" spans="1:1">
      <c r="A1029">
        <v>1028</v>
      </c>
    </row>
    <row r="1030" spans="1:1">
      <c r="A1030">
        <v>1029</v>
      </c>
    </row>
    <row r="1031" spans="1:1">
      <c r="A1031">
        <v>1030</v>
      </c>
    </row>
    <row r="1032" spans="1:1">
      <c r="A1032">
        <v>1031</v>
      </c>
    </row>
    <row r="1033" spans="1:1">
      <c r="A1033">
        <v>1032</v>
      </c>
    </row>
    <row r="1034" spans="1:1">
      <c r="A1034">
        <v>1033</v>
      </c>
    </row>
    <row r="1035" spans="1:1">
      <c r="A1035">
        <v>1034</v>
      </c>
    </row>
    <row r="1036" spans="1:1">
      <c r="A1036">
        <v>1035</v>
      </c>
    </row>
    <row r="1037" spans="1:1">
      <c r="A1037">
        <v>1036</v>
      </c>
    </row>
    <row r="1038" spans="1:1">
      <c r="A1038">
        <v>1037</v>
      </c>
    </row>
    <row r="1039" spans="1:1">
      <c r="A1039">
        <v>1038</v>
      </c>
    </row>
    <row r="1040" spans="1:1">
      <c r="A1040">
        <v>1039</v>
      </c>
    </row>
    <row r="1041" spans="1:1">
      <c r="A1041">
        <v>1040</v>
      </c>
    </row>
    <row r="1042" spans="1:1">
      <c r="A1042">
        <v>1041</v>
      </c>
    </row>
    <row r="1043" spans="1:1">
      <c r="A1043">
        <v>1042</v>
      </c>
    </row>
    <row r="1044" spans="1:1">
      <c r="A1044">
        <v>1043</v>
      </c>
    </row>
    <row r="1045" spans="1:1">
      <c r="A1045">
        <v>1044</v>
      </c>
    </row>
    <row r="1046" spans="1:1">
      <c r="A1046">
        <v>1045</v>
      </c>
    </row>
    <row r="1047" spans="1:1">
      <c r="A1047">
        <v>1046</v>
      </c>
    </row>
    <row r="1048" spans="1:1">
      <c r="A1048">
        <v>1047</v>
      </c>
    </row>
    <row r="1049" spans="1:1">
      <c r="A1049">
        <v>1048</v>
      </c>
    </row>
    <row r="1050" spans="1:1">
      <c r="A1050">
        <v>1049</v>
      </c>
    </row>
    <row r="1051" spans="1:1">
      <c r="A1051">
        <v>1050</v>
      </c>
    </row>
    <row r="1052" spans="1:1">
      <c r="A1052">
        <v>1051</v>
      </c>
    </row>
    <row r="1053" spans="1:1">
      <c r="A1053">
        <v>1052</v>
      </c>
    </row>
    <row r="1054" spans="1:1">
      <c r="A1054">
        <v>1053</v>
      </c>
    </row>
    <row r="1055" spans="1:1">
      <c r="A1055">
        <v>1054</v>
      </c>
    </row>
    <row r="1056" spans="1:1">
      <c r="A1056">
        <v>1055</v>
      </c>
    </row>
    <row r="1057" spans="1:1">
      <c r="A1057">
        <v>1056</v>
      </c>
    </row>
    <row r="1058" spans="1:1">
      <c r="A1058">
        <v>1057</v>
      </c>
    </row>
    <row r="1059" spans="1:1">
      <c r="A1059">
        <v>1058</v>
      </c>
    </row>
    <row r="1060" spans="1:1">
      <c r="A1060">
        <v>1059</v>
      </c>
    </row>
    <row r="1061" spans="1:1">
      <c r="A1061">
        <v>1060</v>
      </c>
    </row>
    <row r="1062" spans="1:1">
      <c r="A1062">
        <v>1061</v>
      </c>
    </row>
    <row r="1063" spans="1:1">
      <c r="A1063">
        <v>1062</v>
      </c>
    </row>
    <row r="1064" spans="1:1">
      <c r="A1064">
        <v>1063</v>
      </c>
    </row>
    <row r="1065" spans="1:1">
      <c r="A1065">
        <v>1064</v>
      </c>
    </row>
    <row r="1066" spans="1:1">
      <c r="A1066">
        <v>1065</v>
      </c>
    </row>
    <row r="1067" spans="1:1">
      <c r="A1067">
        <v>1066</v>
      </c>
    </row>
    <row r="1068" spans="1:1">
      <c r="A1068">
        <v>1067</v>
      </c>
    </row>
    <row r="1069" spans="1:1">
      <c r="A1069">
        <v>1068</v>
      </c>
    </row>
    <row r="1070" spans="1:1">
      <c r="A1070">
        <v>1069</v>
      </c>
    </row>
    <row r="1071" spans="1:1">
      <c r="A1071">
        <v>1070</v>
      </c>
    </row>
    <row r="1072" spans="1:1">
      <c r="A1072">
        <v>1071</v>
      </c>
    </row>
    <row r="1073" spans="1:1">
      <c r="A1073">
        <v>1072</v>
      </c>
    </row>
    <row r="1074" spans="1:1">
      <c r="A1074">
        <v>1073</v>
      </c>
    </row>
    <row r="1075" spans="1:1">
      <c r="A1075">
        <v>1074</v>
      </c>
    </row>
    <row r="1076" spans="1:1">
      <c r="A1076">
        <v>1075</v>
      </c>
    </row>
    <row r="1077" spans="1:1">
      <c r="A1077">
        <v>1076</v>
      </c>
    </row>
    <row r="1078" spans="1:1">
      <c r="A1078">
        <v>1077</v>
      </c>
    </row>
    <row r="1079" spans="1:1">
      <c r="A1079">
        <v>1078</v>
      </c>
    </row>
    <row r="1080" spans="1:1">
      <c r="A1080">
        <v>1079</v>
      </c>
    </row>
    <row r="1081" spans="1:1">
      <c r="A1081">
        <v>1080</v>
      </c>
    </row>
    <row r="1082" spans="1:1">
      <c r="A1082">
        <v>1081</v>
      </c>
    </row>
    <row r="1083" spans="1:1">
      <c r="A1083">
        <v>1082</v>
      </c>
    </row>
    <row r="1084" spans="1:1">
      <c r="A1084">
        <v>1083</v>
      </c>
    </row>
    <row r="1085" spans="1:1">
      <c r="A1085">
        <v>1084</v>
      </c>
    </row>
    <row r="1086" spans="1:1">
      <c r="A1086">
        <v>1085</v>
      </c>
    </row>
    <row r="1087" spans="1:1">
      <c r="A1087">
        <v>1086</v>
      </c>
    </row>
    <row r="1088" spans="1:1">
      <c r="A1088">
        <v>1087</v>
      </c>
    </row>
    <row r="1089" spans="1:1">
      <c r="A1089">
        <v>1088</v>
      </c>
    </row>
    <row r="1090" spans="1:1">
      <c r="A1090">
        <v>1089</v>
      </c>
    </row>
    <row r="1091" spans="1:1">
      <c r="A1091">
        <v>1090</v>
      </c>
    </row>
    <row r="1092" spans="1:1">
      <c r="A1092">
        <v>1091</v>
      </c>
    </row>
    <row r="1093" spans="1:1">
      <c r="A1093">
        <v>1092</v>
      </c>
    </row>
    <row r="1094" spans="1:1">
      <c r="A1094">
        <v>1093</v>
      </c>
    </row>
    <row r="1095" spans="1:1">
      <c r="A1095">
        <v>1094</v>
      </c>
    </row>
    <row r="1096" spans="1:1">
      <c r="A1096">
        <v>1095</v>
      </c>
    </row>
    <row r="1097" spans="1:1">
      <c r="A1097">
        <v>1096</v>
      </c>
    </row>
    <row r="1098" spans="1:1">
      <c r="A1098">
        <v>1097</v>
      </c>
    </row>
    <row r="1099" spans="1:1">
      <c r="A1099">
        <v>1098</v>
      </c>
    </row>
    <row r="1100" spans="1:1">
      <c r="A1100">
        <v>1099</v>
      </c>
    </row>
    <row r="1101" spans="1:1">
      <c r="A1101">
        <v>1100</v>
      </c>
    </row>
    <row r="1102" spans="1:1">
      <c r="A1102">
        <v>1101</v>
      </c>
    </row>
    <row r="1103" spans="1:1">
      <c r="A1103">
        <v>1102</v>
      </c>
    </row>
    <row r="1104" spans="1:1">
      <c r="A1104">
        <v>1103</v>
      </c>
    </row>
    <row r="1105" spans="1:1">
      <c r="A1105">
        <v>1104</v>
      </c>
    </row>
    <row r="1106" spans="1:1">
      <c r="A1106">
        <v>1105</v>
      </c>
    </row>
    <row r="1107" spans="1:1">
      <c r="A1107">
        <v>1106</v>
      </c>
    </row>
    <row r="1108" spans="1:1">
      <c r="A1108">
        <v>1107</v>
      </c>
    </row>
    <row r="1109" spans="1:1">
      <c r="A1109">
        <v>1108</v>
      </c>
    </row>
    <row r="1110" spans="1:1">
      <c r="A1110">
        <v>1109</v>
      </c>
    </row>
    <row r="1111" spans="1:1">
      <c r="A1111">
        <v>1110</v>
      </c>
    </row>
    <row r="1112" spans="1:1">
      <c r="A1112">
        <v>1111</v>
      </c>
    </row>
    <row r="1113" spans="1:1">
      <c r="A1113">
        <v>1112</v>
      </c>
    </row>
    <row r="1114" spans="1:1">
      <c r="A1114">
        <v>1113</v>
      </c>
    </row>
    <row r="1115" spans="1:1">
      <c r="A1115">
        <v>1114</v>
      </c>
    </row>
    <row r="1116" spans="1:1">
      <c r="A1116">
        <v>1115</v>
      </c>
    </row>
    <row r="1117" spans="1:1">
      <c r="A1117">
        <v>1116</v>
      </c>
    </row>
    <row r="1118" spans="1:1">
      <c r="A1118">
        <v>1117</v>
      </c>
    </row>
    <row r="1119" spans="1:1">
      <c r="A1119">
        <v>1118</v>
      </c>
    </row>
    <row r="1120" spans="1:1">
      <c r="A1120">
        <v>1119</v>
      </c>
    </row>
    <row r="1121" spans="1:1">
      <c r="A1121">
        <v>1120</v>
      </c>
    </row>
    <row r="1122" spans="1:1">
      <c r="A1122">
        <v>1121</v>
      </c>
    </row>
    <row r="1123" spans="1:1">
      <c r="A1123">
        <v>1122</v>
      </c>
    </row>
    <row r="1124" spans="1:1">
      <c r="A1124">
        <v>1123</v>
      </c>
    </row>
    <row r="1125" spans="1:1">
      <c r="A1125">
        <v>1124</v>
      </c>
    </row>
    <row r="1126" spans="1:1">
      <c r="A1126">
        <v>1125</v>
      </c>
    </row>
    <row r="1127" spans="1:1">
      <c r="A1127">
        <v>1126</v>
      </c>
    </row>
    <row r="1128" spans="1:1">
      <c r="A1128">
        <v>1127</v>
      </c>
    </row>
    <row r="1129" spans="1:1">
      <c r="A1129">
        <v>1128</v>
      </c>
    </row>
    <row r="1130" spans="1:1">
      <c r="A1130">
        <v>1129</v>
      </c>
    </row>
    <row r="1131" spans="1:1">
      <c r="A1131">
        <v>1130</v>
      </c>
    </row>
    <row r="1132" spans="1:1">
      <c r="A1132">
        <v>1131</v>
      </c>
    </row>
    <row r="1133" spans="1:1">
      <c r="A1133">
        <v>1132</v>
      </c>
    </row>
    <row r="1134" spans="1:1">
      <c r="A1134">
        <v>1133</v>
      </c>
    </row>
    <row r="1135" spans="1:1">
      <c r="A1135">
        <v>1134</v>
      </c>
    </row>
    <row r="1136" spans="1:1">
      <c r="A1136">
        <v>1135</v>
      </c>
    </row>
    <row r="1137" spans="1:1">
      <c r="A1137">
        <v>1136</v>
      </c>
    </row>
    <row r="1138" spans="1:1">
      <c r="A1138">
        <v>1137</v>
      </c>
    </row>
    <row r="1139" spans="1:1">
      <c r="A1139">
        <v>1138</v>
      </c>
    </row>
    <row r="1140" spans="1:1">
      <c r="A1140">
        <v>1139</v>
      </c>
    </row>
    <row r="1141" spans="1:1">
      <c r="A1141">
        <v>1140</v>
      </c>
    </row>
    <row r="1142" spans="1:1">
      <c r="A1142">
        <v>1141</v>
      </c>
    </row>
    <row r="1143" spans="1:1">
      <c r="A1143">
        <v>1142</v>
      </c>
    </row>
    <row r="1144" spans="1:1">
      <c r="A1144">
        <v>1143</v>
      </c>
    </row>
    <row r="1145" spans="1:1">
      <c r="A1145">
        <v>1144</v>
      </c>
    </row>
    <row r="1146" spans="1:1">
      <c r="A1146">
        <v>1145</v>
      </c>
    </row>
    <row r="1147" spans="1:1">
      <c r="A1147">
        <v>1146</v>
      </c>
    </row>
    <row r="1148" spans="1:1">
      <c r="A1148">
        <v>1147</v>
      </c>
    </row>
    <row r="1149" spans="1:1">
      <c r="A1149">
        <v>1148</v>
      </c>
    </row>
    <row r="1150" spans="1:1">
      <c r="A1150">
        <v>1149</v>
      </c>
    </row>
    <row r="1151" spans="1:1">
      <c r="A1151">
        <v>1150</v>
      </c>
    </row>
    <row r="1152" spans="1:1">
      <c r="A1152">
        <v>1151</v>
      </c>
    </row>
    <row r="1153" spans="1:1">
      <c r="A1153">
        <v>1152</v>
      </c>
    </row>
    <row r="1154" spans="1:1">
      <c r="A1154">
        <v>1153</v>
      </c>
    </row>
    <row r="1155" spans="1:1">
      <c r="A1155">
        <v>1154</v>
      </c>
    </row>
    <row r="1156" spans="1:1">
      <c r="A1156">
        <v>1155</v>
      </c>
    </row>
    <row r="1157" spans="1:1">
      <c r="A1157">
        <v>1156</v>
      </c>
    </row>
    <row r="1158" spans="1:1">
      <c r="A1158">
        <v>1157</v>
      </c>
    </row>
    <row r="1159" spans="1:1">
      <c r="A1159">
        <v>1158</v>
      </c>
    </row>
    <row r="1160" spans="1:1">
      <c r="A1160">
        <v>1159</v>
      </c>
    </row>
    <row r="1161" spans="1:1">
      <c r="A1161">
        <v>1160</v>
      </c>
    </row>
    <row r="1162" spans="1:1">
      <c r="A1162">
        <v>1161</v>
      </c>
    </row>
    <row r="1163" spans="1:1">
      <c r="A1163">
        <v>1162</v>
      </c>
    </row>
    <row r="1164" spans="1:1">
      <c r="A1164">
        <v>1163</v>
      </c>
    </row>
    <row r="1165" spans="1:1">
      <c r="A1165">
        <v>1164</v>
      </c>
    </row>
    <row r="1166" spans="1:1">
      <c r="A1166">
        <v>1165</v>
      </c>
    </row>
    <row r="1167" spans="1:1">
      <c r="A1167">
        <v>1166</v>
      </c>
    </row>
    <row r="1168" spans="1:1">
      <c r="A1168">
        <v>1167</v>
      </c>
    </row>
    <row r="1169" spans="1:1">
      <c r="A1169">
        <v>1168</v>
      </c>
    </row>
    <row r="1170" spans="1:1">
      <c r="A1170">
        <v>1169</v>
      </c>
    </row>
    <row r="1171" spans="1:1">
      <c r="A1171">
        <v>1170</v>
      </c>
    </row>
    <row r="1172" spans="1:1">
      <c r="A1172">
        <v>1171</v>
      </c>
    </row>
    <row r="1173" spans="1:1">
      <c r="A1173">
        <v>1172</v>
      </c>
    </row>
    <row r="1174" spans="1:1">
      <c r="A1174">
        <v>1173</v>
      </c>
    </row>
    <row r="1175" spans="1:1">
      <c r="A1175">
        <v>1174</v>
      </c>
    </row>
    <row r="1176" spans="1:1">
      <c r="A1176">
        <v>1175</v>
      </c>
    </row>
    <row r="1177" spans="1:1">
      <c r="A1177">
        <v>1176</v>
      </c>
    </row>
    <row r="1178" spans="1:1">
      <c r="A1178">
        <v>1177</v>
      </c>
    </row>
    <row r="1179" spans="1:1">
      <c r="A1179">
        <v>1178</v>
      </c>
    </row>
    <row r="1180" spans="1:1">
      <c r="A1180">
        <v>1179</v>
      </c>
    </row>
    <row r="1181" spans="1:1">
      <c r="A1181">
        <v>1180</v>
      </c>
    </row>
    <row r="1182" spans="1:1">
      <c r="A1182">
        <v>1181</v>
      </c>
    </row>
    <row r="1183" spans="1:1">
      <c r="A1183">
        <v>1182</v>
      </c>
    </row>
    <row r="1184" spans="1:1">
      <c r="A1184">
        <v>1183</v>
      </c>
    </row>
    <row r="1185" spans="1:1">
      <c r="A1185">
        <v>1184</v>
      </c>
    </row>
    <row r="1186" spans="1:1">
      <c r="A1186">
        <v>1185</v>
      </c>
    </row>
    <row r="1187" spans="1:1">
      <c r="A1187">
        <v>1186</v>
      </c>
    </row>
    <row r="1188" spans="1:1">
      <c r="A1188">
        <v>1187</v>
      </c>
    </row>
    <row r="1189" spans="1:1">
      <c r="A1189">
        <v>1188</v>
      </c>
    </row>
    <row r="1190" spans="1:1">
      <c r="A1190">
        <v>1189</v>
      </c>
    </row>
    <row r="1191" spans="1:1">
      <c r="A1191">
        <v>1190</v>
      </c>
    </row>
    <row r="1192" spans="1:1">
      <c r="A1192">
        <v>1191</v>
      </c>
    </row>
    <row r="1193" spans="1:1">
      <c r="A1193">
        <v>1192</v>
      </c>
    </row>
    <row r="1194" spans="1:1">
      <c r="A1194">
        <v>1193</v>
      </c>
    </row>
    <row r="1195" spans="1:1">
      <c r="A1195">
        <v>1194</v>
      </c>
    </row>
    <row r="1196" spans="1:1">
      <c r="A1196">
        <v>1195</v>
      </c>
    </row>
    <row r="1197" spans="1:1">
      <c r="A1197">
        <v>1196</v>
      </c>
    </row>
    <row r="1198" spans="1:1">
      <c r="A1198">
        <v>1197</v>
      </c>
    </row>
    <row r="1199" spans="1:1">
      <c r="A1199">
        <v>1198</v>
      </c>
    </row>
    <row r="1200" spans="1:1">
      <c r="A1200">
        <v>1199</v>
      </c>
    </row>
    <row r="1201" spans="1:1">
      <c r="A1201">
        <v>1200</v>
      </c>
    </row>
    <row r="1202" spans="1:1">
      <c r="A1202">
        <v>1201</v>
      </c>
    </row>
    <row r="1203" spans="1:1">
      <c r="A1203">
        <v>1202</v>
      </c>
    </row>
    <row r="1204" spans="1:1">
      <c r="A1204">
        <v>1203</v>
      </c>
    </row>
    <row r="1205" spans="1:1">
      <c r="A1205">
        <v>1204</v>
      </c>
    </row>
    <row r="1206" spans="1:1">
      <c r="A1206">
        <v>1205</v>
      </c>
    </row>
    <row r="1207" spans="1:1">
      <c r="A1207">
        <v>1206</v>
      </c>
    </row>
    <row r="1208" spans="1:1">
      <c r="A1208">
        <v>1207</v>
      </c>
    </row>
    <row r="1209" spans="1:1">
      <c r="A1209">
        <v>1208</v>
      </c>
    </row>
    <row r="1210" spans="1:1">
      <c r="A1210">
        <v>1209</v>
      </c>
    </row>
    <row r="1211" spans="1:1">
      <c r="A1211">
        <v>1210</v>
      </c>
    </row>
    <row r="1212" spans="1:1">
      <c r="A1212">
        <v>1211</v>
      </c>
    </row>
    <row r="1213" spans="1:1">
      <c r="A1213">
        <v>1212</v>
      </c>
    </row>
    <row r="1214" spans="1:1">
      <c r="A1214">
        <v>1213</v>
      </c>
    </row>
    <row r="1215" spans="1:1">
      <c r="A1215">
        <v>1214</v>
      </c>
    </row>
    <row r="1216" spans="1:1">
      <c r="A1216">
        <v>1215</v>
      </c>
    </row>
    <row r="1217" spans="1:1">
      <c r="A1217">
        <v>1216</v>
      </c>
    </row>
    <row r="1218" spans="1:1">
      <c r="A1218">
        <v>1217</v>
      </c>
    </row>
    <row r="1219" spans="1:1">
      <c r="A1219">
        <v>1218</v>
      </c>
    </row>
    <row r="1220" spans="1:1">
      <c r="A1220">
        <v>1219</v>
      </c>
    </row>
    <row r="1221" spans="1:1">
      <c r="A1221">
        <v>1220</v>
      </c>
    </row>
    <row r="1222" spans="1:1">
      <c r="A1222">
        <v>1221</v>
      </c>
    </row>
    <row r="1223" spans="1:1">
      <c r="A1223">
        <v>1222</v>
      </c>
    </row>
    <row r="1224" spans="1:1">
      <c r="A1224">
        <v>1223</v>
      </c>
    </row>
    <row r="1225" spans="1:1">
      <c r="A1225">
        <v>1224</v>
      </c>
    </row>
    <row r="1226" spans="1:1">
      <c r="A1226">
        <v>1225</v>
      </c>
    </row>
    <row r="1227" spans="1:1">
      <c r="A1227">
        <v>1226</v>
      </c>
    </row>
    <row r="1228" spans="1:1">
      <c r="A1228">
        <v>1227</v>
      </c>
    </row>
    <row r="1229" spans="1:1">
      <c r="A1229">
        <v>1228</v>
      </c>
    </row>
    <row r="1230" spans="1:1">
      <c r="A1230">
        <v>1229</v>
      </c>
    </row>
    <row r="1231" spans="1:1">
      <c r="A1231">
        <v>1230</v>
      </c>
    </row>
    <row r="1232" spans="1:1">
      <c r="A1232">
        <v>1231</v>
      </c>
    </row>
    <row r="1233" spans="1:1">
      <c r="A1233">
        <v>1232</v>
      </c>
    </row>
    <row r="1234" spans="1:1">
      <c r="A1234">
        <v>1233</v>
      </c>
    </row>
    <row r="1235" spans="1:1">
      <c r="A1235">
        <v>1234</v>
      </c>
    </row>
    <row r="1236" spans="1:1">
      <c r="A1236">
        <v>1235</v>
      </c>
    </row>
    <row r="1237" spans="1:1">
      <c r="A1237">
        <v>1236</v>
      </c>
    </row>
    <row r="1238" spans="1:1">
      <c r="A1238">
        <v>1237</v>
      </c>
    </row>
    <row r="1239" spans="1:1">
      <c r="A1239">
        <v>1238</v>
      </c>
    </row>
    <row r="1240" spans="1:1">
      <c r="A1240">
        <v>1239</v>
      </c>
    </row>
    <row r="1241" spans="1:1">
      <c r="A1241">
        <v>1240</v>
      </c>
    </row>
    <row r="1242" spans="1:1">
      <c r="A1242">
        <v>1241</v>
      </c>
    </row>
    <row r="1243" spans="1:1">
      <c r="A1243">
        <v>1242</v>
      </c>
    </row>
    <row r="1244" spans="1:1">
      <c r="A1244">
        <v>1243</v>
      </c>
    </row>
    <row r="1245" spans="1:1">
      <c r="A1245">
        <v>1244</v>
      </c>
    </row>
    <row r="1246" spans="1:1">
      <c r="A1246">
        <v>1245</v>
      </c>
    </row>
    <row r="1247" spans="1:1">
      <c r="A1247">
        <v>1246</v>
      </c>
    </row>
    <row r="1248" spans="1:1">
      <c r="A1248">
        <v>1247</v>
      </c>
    </row>
    <row r="1249" spans="1:1">
      <c r="A1249">
        <v>1248</v>
      </c>
    </row>
    <row r="1250" spans="1:1">
      <c r="A1250">
        <v>1249</v>
      </c>
    </row>
    <row r="1251" spans="1:1">
      <c r="A1251">
        <v>1250</v>
      </c>
    </row>
    <row r="1252" spans="1:1">
      <c r="A1252">
        <v>1251</v>
      </c>
    </row>
    <row r="1253" spans="1:1">
      <c r="A1253">
        <v>1252</v>
      </c>
    </row>
    <row r="1254" spans="1:1">
      <c r="A1254">
        <v>1253</v>
      </c>
    </row>
    <row r="1255" spans="1:1">
      <c r="A1255">
        <v>1254</v>
      </c>
    </row>
    <row r="1256" spans="1:1">
      <c r="A1256">
        <v>1255</v>
      </c>
    </row>
    <row r="1257" spans="1:1">
      <c r="A1257">
        <v>1256</v>
      </c>
    </row>
    <row r="1258" spans="1:1">
      <c r="A1258">
        <v>1257</v>
      </c>
    </row>
    <row r="1259" spans="1:1">
      <c r="A1259">
        <v>1258</v>
      </c>
    </row>
    <row r="1260" spans="1:1">
      <c r="A1260">
        <v>1259</v>
      </c>
    </row>
    <row r="1261" spans="1:1">
      <c r="A1261">
        <v>1260</v>
      </c>
    </row>
    <row r="1262" spans="1:1">
      <c r="A1262">
        <v>1261</v>
      </c>
    </row>
    <row r="1263" spans="1:1">
      <c r="A1263">
        <v>1262</v>
      </c>
    </row>
    <row r="1264" spans="1:1">
      <c r="A1264">
        <v>1263</v>
      </c>
    </row>
    <row r="1265" spans="1:1">
      <c r="A1265">
        <v>1264</v>
      </c>
    </row>
    <row r="1266" spans="1:1">
      <c r="A1266">
        <v>1265</v>
      </c>
    </row>
    <row r="1267" spans="1:1">
      <c r="A1267">
        <v>1266</v>
      </c>
    </row>
    <row r="1268" spans="1:1">
      <c r="A1268">
        <v>1267</v>
      </c>
    </row>
    <row r="1269" spans="1:1">
      <c r="A1269">
        <v>1268</v>
      </c>
    </row>
    <row r="1270" spans="1:1">
      <c r="A1270">
        <v>1269</v>
      </c>
    </row>
    <row r="1271" spans="1:1">
      <c r="A1271">
        <v>1270</v>
      </c>
    </row>
    <row r="1272" spans="1:1">
      <c r="A1272">
        <v>1271</v>
      </c>
    </row>
    <row r="1273" spans="1:1">
      <c r="A1273">
        <v>1272</v>
      </c>
    </row>
    <row r="1274" spans="1:1">
      <c r="A1274">
        <v>1273</v>
      </c>
    </row>
    <row r="1275" spans="1:1">
      <c r="A1275">
        <v>1274</v>
      </c>
    </row>
    <row r="1276" spans="1:1">
      <c r="A1276">
        <v>1275</v>
      </c>
    </row>
    <row r="1277" spans="1:1">
      <c r="A1277">
        <v>1276</v>
      </c>
    </row>
    <row r="1278" spans="1:1">
      <c r="A1278">
        <v>1277</v>
      </c>
    </row>
    <row r="1279" spans="1:1">
      <c r="A1279">
        <v>1278</v>
      </c>
    </row>
    <row r="1280" spans="1:1">
      <c r="A1280">
        <v>1279</v>
      </c>
    </row>
    <row r="1281" spans="1:1">
      <c r="A1281">
        <v>1280</v>
      </c>
    </row>
    <row r="1282" spans="1:1">
      <c r="A1282">
        <v>1281</v>
      </c>
    </row>
    <row r="1283" spans="1:1">
      <c r="A1283">
        <v>1282</v>
      </c>
    </row>
    <row r="1284" spans="1:1">
      <c r="A1284">
        <v>1283</v>
      </c>
    </row>
    <row r="1285" spans="1:1">
      <c r="A1285">
        <v>1284</v>
      </c>
    </row>
    <row r="1286" spans="1:1">
      <c r="A1286">
        <v>1285</v>
      </c>
    </row>
    <row r="1287" spans="1:1">
      <c r="A1287">
        <v>1286</v>
      </c>
    </row>
    <row r="1288" spans="1:1">
      <c r="A1288">
        <v>1287</v>
      </c>
    </row>
    <row r="1289" spans="1:1">
      <c r="A1289">
        <v>1288</v>
      </c>
    </row>
    <row r="1290" spans="1:1">
      <c r="A1290">
        <v>1289</v>
      </c>
    </row>
    <row r="1291" spans="1:1">
      <c r="A1291">
        <v>1290</v>
      </c>
    </row>
    <row r="1292" spans="1:1">
      <c r="A1292">
        <v>1291</v>
      </c>
    </row>
    <row r="1293" spans="1:1">
      <c r="A1293">
        <v>1292</v>
      </c>
    </row>
    <row r="1294" spans="1:1">
      <c r="A1294">
        <v>1293</v>
      </c>
    </row>
    <row r="1295" spans="1:1">
      <c r="A1295">
        <v>1294</v>
      </c>
    </row>
    <row r="1296" spans="1:1">
      <c r="A1296">
        <v>1295</v>
      </c>
    </row>
    <row r="1297" spans="1:1">
      <c r="A1297">
        <v>1296</v>
      </c>
    </row>
    <row r="1298" spans="1:1">
      <c r="A1298">
        <v>1297</v>
      </c>
    </row>
    <row r="1299" spans="1:1">
      <c r="A1299">
        <v>1298</v>
      </c>
    </row>
    <row r="1300" spans="1:1">
      <c r="A1300">
        <v>1299</v>
      </c>
    </row>
    <row r="1301" spans="1:1">
      <c r="A1301">
        <v>1300</v>
      </c>
    </row>
    <row r="1302" spans="1:1">
      <c r="A1302">
        <v>1301</v>
      </c>
    </row>
    <row r="1303" spans="1:1">
      <c r="A1303">
        <v>1302</v>
      </c>
    </row>
    <row r="1304" spans="1:1">
      <c r="A1304">
        <v>1303</v>
      </c>
    </row>
    <row r="1305" spans="1:1">
      <c r="A1305">
        <v>1304</v>
      </c>
    </row>
    <row r="1306" spans="1:1">
      <c r="A1306">
        <v>1305</v>
      </c>
    </row>
    <row r="1307" spans="1:1">
      <c r="A1307">
        <v>1306</v>
      </c>
    </row>
    <row r="1308" spans="1:1">
      <c r="A1308">
        <v>1307</v>
      </c>
    </row>
    <row r="1309" spans="1:1">
      <c r="A1309">
        <v>1308</v>
      </c>
    </row>
    <row r="1310" spans="1:1">
      <c r="A1310">
        <v>1309</v>
      </c>
    </row>
    <row r="1311" spans="1:1">
      <c r="A1311">
        <v>1310</v>
      </c>
    </row>
    <row r="1312" spans="1:1">
      <c r="A1312">
        <v>1311</v>
      </c>
    </row>
    <row r="1313" spans="1:1">
      <c r="A1313">
        <v>1312</v>
      </c>
    </row>
    <row r="1314" spans="1:1">
      <c r="A1314">
        <v>1313</v>
      </c>
    </row>
    <row r="1315" spans="1:1">
      <c r="A1315">
        <v>1314</v>
      </c>
    </row>
    <row r="1316" spans="1:1">
      <c r="A1316">
        <v>1315</v>
      </c>
    </row>
    <row r="1317" spans="1:1">
      <c r="A1317">
        <v>1316</v>
      </c>
    </row>
    <row r="1318" spans="1:1">
      <c r="A1318">
        <v>1317</v>
      </c>
    </row>
    <row r="1319" spans="1:1">
      <c r="A1319">
        <v>1318</v>
      </c>
    </row>
    <row r="1320" spans="1:1">
      <c r="A1320">
        <v>1319</v>
      </c>
    </row>
    <row r="1321" spans="1:1">
      <c r="A1321">
        <v>1320</v>
      </c>
    </row>
    <row r="1322" spans="1:1">
      <c r="A1322">
        <v>1321</v>
      </c>
    </row>
    <row r="1323" spans="1:1">
      <c r="A1323">
        <v>1322</v>
      </c>
    </row>
    <row r="1324" spans="1:1">
      <c r="A1324">
        <v>1323</v>
      </c>
    </row>
    <row r="1325" spans="1:1">
      <c r="A1325">
        <v>1324</v>
      </c>
    </row>
    <row r="1326" spans="1:1">
      <c r="A1326">
        <v>1325</v>
      </c>
    </row>
    <row r="1327" spans="1:1">
      <c r="A1327">
        <v>1326</v>
      </c>
    </row>
    <row r="1328" spans="1:1">
      <c r="A1328">
        <v>1327</v>
      </c>
    </row>
    <row r="1329" spans="1:1">
      <c r="A1329">
        <v>1328</v>
      </c>
    </row>
    <row r="1330" spans="1:1">
      <c r="A1330">
        <v>1329</v>
      </c>
    </row>
    <row r="1331" spans="1:1">
      <c r="A1331">
        <v>1330</v>
      </c>
    </row>
    <row r="1332" spans="1:1">
      <c r="A1332">
        <v>1331</v>
      </c>
    </row>
    <row r="1333" spans="1:1">
      <c r="A1333">
        <v>1332</v>
      </c>
    </row>
    <row r="1334" spans="1:1">
      <c r="A1334">
        <v>1333</v>
      </c>
    </row>
    <row r="1335" spans="1:1">
      <c r="A1335">
        <v>1334</v>
      </c>
    </row>
    <row r="1336" spans="1:1">
      <c r="A1336">
        <v>1335</v>
      </c>
    </row>
    <row r="1337" spans="1:1">
      <c r="A1337">
        <v>1336</v>
      </c>
    </row>
    <row r="1338" spans="1:1">
      <c r="A1338">
        <v>1337</v>
      </c>
    </row>
    <row r="1339" spans="1:1">
      <c r="A1339">
        <v>1338</v>
      </c>
    </row>
    <row r="1340" spans="1:1">
      <c r="A1340">
        <v>1339</v>
      </c>
    </row>
    <row r="1341" spans="1:1">
      <c r="A1341">
        <v>1340</v>
      </c>
    </row>
    <row r="1342" spans="1:1">
      <c r="A1342">
        <v>1341</v>
      </c>
    </row>
    <row r="1343" spans="1:1">
      <c r="A1343">
        <v>1342</v>
      </c>
    </row>
    <row r="1344" spans="1:1">
      <c r="A1344">
        <v>1343</v>
      </c>
    </row>
    <row r="1345" spans="1:1">
      <c r="A1345">
        <v>1344</v>
      </c>
    </row>
    <row r="1346" spans="1:1">
      <c r="A1346">
        <v>1345</v>
      </c>
    </row>
    <row r="1347" spans="1:1">
      <c r="A1347">
        <v>1346</v>
      </c>
    </row>
    <row r="1348" spans="1:1">
      <c r="A1348">
        <v>1347</v>
      </c>
    </row>
    <row r="1349" spans="1:1">
      <c r="A1349">
        <v>1348</v>
      </c>
    </row>
    <row r="1350" spans="1:1">
      <c r="A1350">
        <v>1349</v>
      </c>
    </row>
    <row r="1351" spans="1:1">
      <c r="A1351">
        <v>1350</v>
      </c>
    </row>
    <row r="1352" spans="1:1">
      <c r="A1352">
        <v>1351</v>
      </c>
    </row>
    <row r="1353" spans="1:1">
      <c r="A1353">
        <v>1352</v>
      </c>
    </row>
    <row r="1354" spans="1:1">
      <c r="A1354">
        <v>1353</v>
      </c>
    </row>
    <row r="1355" spans="1:1">
      <c r="A1355">
        <v>1354</v>
      </c>
    </row>
    <row r="1356" spans="1:1">
      <c r="A1356">
        <v>1355</v>
      </c>
    </row>
    <row r="1357" spans="1:1">
      <c r="A1357">
        <v>1356</v>
      </c>
    </row>
    <row r="1358" spans="1:1">
      <c r="A1358">
        <v>1357</v>
      </c>
    </row>
    <row r="1359" spans="1:1">
      <c r="A1359">
        <v>1358</v>
      </c>
    </row>
    <row r="1360" spans="1:1">
      <c r="A1360">
        <v>1359</v>
      </c>
    </row>
    <row r="1361" spans="1:1">
      <c r="A1361">
        <v>1360</v>
      </c>
    </row>
    <row r="1362" spans="1:1">
      <c r="A1362">
        <v>1361</v>
      </c>
    </row>
    <row r="1363" spans="1:1">
      <c r="A1363">
        <v>1362</v>
      </c>
    </row>
    <row r="1364" spans="1:1">
      <c r="A1364">
        <v>1363</v>
      </c>
    </row>
    <row r="1365" spans="1:1">
      <c r="A1365">
        <v>1364</v>
      </c>
    </row>
    <row r="1366" spans="1:1">
      <c r="A1366">
        <v>1365</v>
      </c>
    </row>
    <row r="1367" spans="1:1">
      <c r="A1367">
        <v>1366</v>
      </c>
    </row>
    <row r="1368" spans="1:1">
      <c r="A1368">
        <v>1367</v>
      </c>
    </row>
    <row r="1369" spans="1:1">
      <c r="A1369">
        <v>1368</v>
      </c>
    </row>
    <row r="1370" spans="1:1">
      <c r="A1370">
        <v>1369</v>
      </c>
    </row>
    <row r="1371" spans="1:1">
      <c r="A1371">
        <v>1370</v>
      </c>
    </row>
    <row r="1372" spans="1:1">
      <c r="A1372">
        <v>1371</v>
      </c>
    </row>
    <row r="1373" spans="1:1">
      <c r="A1373">
        <v>1372</v>
      </c>
    </row>
    <row r="1374" spans="1:1">
      <c r="A1374">
        <v>1373</v>
      </c>
    </row>
    <row r="1375" spans="1:1">
      <c r="A1375">
        <v>1374</v>
      </c>
    </row>
    <row r="1376" spans="1:1">
      <c r="A1376">
        <v>1375</v>
      </c>
    </row>
    <row r="1377" spans="1:1">
      <c r="A1377">
        <v>1376</v>
      </c>
    </row>
    <row r="1378" spans="1:1">
      <c r="A1378">
        <v>1377</v>
      </c>
    </row>
    <row r="1379" spans="1:1">
      <c r="A1379">
        <v>1378</v>
      </c>
    </row>
    <row r="1380" spans="1:1">
      <c r="A1380">
        <v>1379</v>
      </c>
    </row>
    <row r="1381" spans="1:1">
      <c r="A1381">
        <v>1380</v>
      </c>
    </row>
    <row r="1382" spans="1:1">
      <c r="A1382">
        <v>1381</v>
      </c>
    </row>
    <row r="1383" spans="1:1">
      <c r="A1383">
        <v>1382</v>
      </c>
    </row>
    <row r="1384" spans="1:1">
      <c r="A1384">
        <v>1383</v>
      </c>
    </row>
    <row r="1385" spans="1:1">
      <c r="A1385">
        <v>1384</v>
      </c>
    </row>
    <row r="1386" spans="1:1">
      <c r="A1386">
        <v>1385</v>
      </c>
    </row>
    <row r="1387" spans="1:1">
      <c r="A1387">
        <v>1386</v>
      </c>
    </row>
    <row r="1388" spans="1:1">
      <c r="A1388">
        <v>1387</v>
      </c>
    </row>
    <row r="1389" spans="1:1">
      <c r="A1389">
        <v>1388</v>
      </c>
    </row>
    <row r="1390" spans="1:1">
      <c r="A1390">
        <v>1389</v>
      </c>
    </row>
    <row r="1391" spans="1:1">
      <c r="A1391">
        <v>1390</v>
      </c>
    </row>
    <row r="1392" spans="1:1">
      <c r="A1392">
        <v>1391</v>
      </c>
    </row>
    <row r="1393" spans="1:1">
      <c r="A1393">
        <v>1392</v>
      </c>
    </row>
    <row r="1394" spans="1:1">
      <c r="A1394">
        <v>1393</v>
      </c>
    </row>
    <row r="1395" spans="1:1">
      <c r="A1395">
        <v>1394</v>
      </c>
    </row>
    <row r="1396" spans="1:1">
      <c r="A1396">
        <v>1395</v>
      </c>
    </row>
    <row r="1397" spans="1:1">
      <c r="A1397">
        <v>1396</v>
      </c>
    </row>
    <row r="1398" spans="1:1">
      <c r="A1398">
        <v>1397</v>
      </c>
    </row>
    <row r="1399" spans="1:1">
      <c r="A1399">
        <v>1398</v>
      </c>
    </row>
    <row r="1400" spans="1:1">
      <c r="A1400">
        <v>1399</v>
      </c>
    </row>
    <row r="1401" spans="1:1">
      <c r="A1401">
        <v>1400</v>
      </c>
    </row>
    <row r="1402" spans="1:1">
      <c r="A1402">
        <v>1401</v>
      </c>
    </row>
    <row r="1403" spans="1:1">
      <c r="A1403">
        <v>1402</v>
      </c>
    </row>
    <row r="1404" spans="1:1">
      <c r="A1404">
        <v>1403</v>
      </c>
    </row>
    <row r="1405" spans="1:1">
      <c r="A1405">
        <v>1404</v>
      </c>
    </row>
    <row r="1406" spans="1:1">
      <c r="A1406">
        <v>1405</v>
      </c>
    </row>
    <row r="1407" spans="1:1">
      <c r="A1407">
        <v>1406</v>
      </c>
    </row>
    <row r="1408" spans="1:1">
      <c r="A1408">
        <v>1407</v>
      </c>
    </row>
    <row r="1409" spans="1:1">
      <c r="A1409">
        <v>1408</v>
      </c>
    </row>
    <row r="1410" spans="1:1">
      <c r="A1410">
        <v>1409</v>
      </c>
    </row>
    <row r="1411" spans="1:1">
      <c r="A1411">
        <v>1410</v>
      </c>
    </row>
    <row r="1412" spans="1:1">
      <c r="A1412">
        <v>1411</v>
      </c>
    </row>
    <row r="1413" spans="1:1">
      <c r="A1413">
        <v>1412</v>
      </c>
    </row>
    <row r="1414" spans="1:1">
      <c r="A1414">
        <v>1413</v>
      </c>
    </row>
    <row r="1415" spans="1:1">
      <c r="A1415">
        <v>1414</v>
      </c>
    </row>
    <row r="1416" spans="1:1">
      <c r="A1416">
        <v>1415</v>
      </c>
    </row>
    <row r="1417" spans="1:1">
      <c r="A1417">
        <v>1416</v>
      </c>
    </row>
    <row r="1418" spans="1:1">
      <c r="A1418">
        <v>1417</v>
      </c>
    </row>
    <row r="1419" spans="1:1">
      <c r="A1419">
        <v>1418</v>
      </c>
    </row>
    <row r="1420" spans="1:1">
      <c r="A1420">
        <v>1419</v>
      </c>
    </row>
    <row r="1421" spans="1:1">
      <c r="A1421">
        <v>1420</v>
      </c>
    </row>
    <row r="1422" spans="1:1">
      <c r="A1422">
        <v>1421</v>
      </c>
    </row>
    <row r="1423" spans="1:1">
      <c r="A1423">
        <v>1422</v>
      </c>
    </row>
    <row r="1424" spans="1:1">
      <c r="A1424">
        <v>1423</v>
      </c>
    </row>
    <row r="1425" spans="1:1">
      <c r="A1425">
        <v>1424</v>
      </c>
    </row>
    <row r="1426" spans="1:1">
      <c r="A1426">
        <v>1425</v>
      </c>
    </row>
    <row r="1427" spans="1:1">
      <c r="A1427">
        <v>1426</v>
      </c>
    </row>
    <row r="1428" spans="1:1">
      <c r="A1428">
        <v>1427</v>
      </c>
    </row>
    <row r="1429" spans="1:1">
      <c r="A1429">
        <v>1428</v>
      </c>
    </row>
    <row r="1430" spans="1:1">
      <c r="A1430">
        <v>1429</v>
      </c>
    </row>
    <row r="1431" spans="1:1">
      <c r="A1431">
        <v>1430</v>
      </c>
    </row>
    <row r="1432" spans="1:1">
      <c r="A1432">
        <v>1431</v>
      </c>
    </row>
    <row r="1433" spans="1:1">
      <c r="A1433">
        <v>1432</v>
      </c>
    </row>
    <row r="1434" spans="1:1">
      <c r="A1434">
        <v>1433</v>
      </c>
    </row>
    <row r="1435" spans="1:1">
      <c r="A1435">
        <v>1434</v>
      </c>
    </row>
    <row r="1436" spans="1:1">
      <c r="A1436">
        <v>1435</v>
      </c>
    </row>
    <row r="1437" spans="1:1">
      <c r="A1437">
        <v>1436</v>
      </c>
    </row>
    <row r="1438" spans="1:1">
      <c r="A1438">
        <v>1437</v>
      </c>
    </row>
    <row r="1439" spans="1:1">
      <c r="A1439">
        <v>1438</v>
      </c>
    </row>
    <row r="1440" spans="1:1">
      <c r="A1440">
        <v>1439</v>
      </c>
    </row>
    <row r="1441" spans="1:1">
      <c r="A1441">
        <v>1440</v>
      </c>
    </row>
    <row r="1442" spans="1:1">
      <c r="A1442">
        <v>1441</v>
      </c>
    </row>
    <row r="1443" spans="1:1">
      <c r="A1443">
        <v>1442</v>
      </c>
    </row>
    <row r="1444" spans="1:1">
      <c r="A1444">
        <v>1443</v>
      </c>
    </row>
    <row r="1445" spans="1:1">
      <c r="A1445">
        <v>1444</v>
      </c>
    </row>
    <row r="1446" spans="1:1">
      <c r="A1446">
        <v>1445</v>
      </c>
    </row>
    <row r="1447" spans="1:1">
      <c r="A1447">
        <v>1446</v>
      </c>
    </row>
    <row r="1448" spans="1:1">
      <c r="A1448">
        <v>1447</v>
      </c>
    </row>
    <row r="1449" spans="1:1">
      <c r="A1449">
        <v>1448</v>
      </c>
    </row>
    <row r="1450" spans="1:1">
      <c r="A1450">
        <v>1449</v>
      </c>
    </row>
    <row r="1451" spans="1:1">
      <c r="A1451">
        <v>1450</v>
      </c>
    </row>
    <row r="1452" spans="1:1">
      <c r="A1452">
        <v>1451</v>
      </c>
    </row>
    <row r="1453" spans="1:1">
      <c r="A1453">
        <v>1452</v>
      </c>
    </row>
    <row r="1454" spans="1:1">
      <c r="A1454">
        <v>1453</v>
      </c>
    </row>
    <row r="1455" spans="1:1">
      <c r="A1455">
        <v>1454</v>
      </c>
    </row>
    <row r="1456" spans="1:1">
      <c r="A1456">
        <v>1455</v>
      </c>
    </row>
    <row r="1457" spans="1:1">
      <c r="A1457">
        <v>1456</v>
      </c>
    </row>
    <row r="1458" spans="1:1">
      <c r="A1458">
        <v>1457</v>
      </c>
    </row>
    <row r="1459" spans="1:1">
      <c r="A1459">
        <v>1458</v>
      </c>
    </row>
    <row r="1460" spans="1:1">
      <c r="A1460">
        <v>1459</v>
      </c>
    </row>
    <row r="1461" spans="1:1">
      <c r="A1461">
        <v>1460</v>
      </c>
    </row>
    <row r="1462" spans="1:1">
      <c r="A1462">
        <v>1461</v>
      </c>
    </row>
    <row r="1463" spans="1:1">
      <c r="A1463">
        <v>1462</v>
      </c>
    </row>
    <row r="1464" spans="1:1">
      <c r="A1464">
        <v>1463</v>
      </c>
    </row>
    <row r="1465" spans="1:1">
      <c r="A1465">
        <v>1464</v>
      </c>
    </row>
    <row r="1466" spans="1:1">
      <c r="A1466">
        <v>1465</v>
      </c>
    </row>
    <row r="1467" spans="1:1">
      <c r="A1467">
        <v>1466</v>
      </c>
    </row>
    <row r="1468" spans="1:1">
      <c r="A1468">
        <v>1467</v>
      </c>
    </row>
    <row r="1469" spans="1:1">
      <c r="A1469">
        <v>1468</v>
      </c>
    </row>
    <row r="1470" spans="1:1">
      <c r="A1470">
        <v>1469</v>
      </c>
    </row>
    <row r="1471" spans="1:1">
      <c r="A1471">
        <v>1470</v>
      </c>
    </row>
    <row r="1472" spans="1:1">
      <c r="A1472">
        <v>1471</v>
      </c>
    </row>
    <row r="1473" spans="1:1">
      <c r="A1473">
        <v>1472</v>
      </c>
    </row>
    <row r="1474" spans="1:1">
      <c r="A1474">
        <v>1473</v>
      </c>
    </row>
    <row r="1475" spans="1:1">
      <c r="A1475">
        <v>1474</v>
      </c>
    </row>
    <row r="1476" spans="1:1">
      <c r="A1476">
        <v>1475</v>
      </c>
    </row>
    <row r="1477" spans="1:1">
      <c r="A1477">
        <v>1476</v>
      </c>
    </row>
    <row r="1478" spans="1:1">
      <c r="A1478">
        <v>1477</v>
      </c>
    </row>
    <row r="1479" spans="1:1">
      <c r="A1479">
        <v>1478</v>
      </c>
    </row>
    <row r="1480" spans="1:1">
      <c r="A1480">
        <v>1479</v>
      </c>
    </row>
    <row r="1481" spans="1:1">
      <c r="A1481">
        <v>1480</v>
      </c>
    </row>
    <row r="1482" spans="1:1">
      <c r="A1482">
        <v>1481</v>
      </c>
    </row>
    <row r="1483" spans="1:1">
      <c r="A1483">
        <v>1482</v>
      </c>
    </row>
    <row r="1484" spans="1:1">
      <c r="A1484">
        <v>1483</v>
      </c>
    </row>
    <row r="1485" spans="1:1">
      <c r="A1485">
        <v>1484</v>
      </c>
    </row>
    <row r="1486" spans="1:1">
      <c r="A1486">
        <v>1485</v>
      </c>
    </row>
    <row r="1487" spans="1:1">
      <c r="A1487">
        <v>1486</v>
      </c>
    </row>
    <row r="1488" spans="1:1">
      <c r="A1488">
        <v>1487</v>
      </c>
    </row>
    <row r="1489" spans="1:1">
      <c r="A1489">
        <v>1488</v>
      </c>
    </row>
    <row r="1490" spans="1:1">
      <c r="A1490">
        <v>1489</v>
      </c>
    </row>
    <row r="1491" spans="1:1">
      <c r="A1491">
        <v>1490</v>
      </c>
    </row>
    <row r="1492" spans="1:1">
      <c r="A1492">
        <v>1491</v>
      </c>
    </row>
    <row r="1493" spans="1:1">
      <c r="A1493">
        <v>1492</v>
      </c>
    </row>
    <row r="1494" spans="1:1">
      <c r="A1494">
        <v>1493</v>
      </c>
    </row>
    <row r="1495" spans="1:1">
      <c r="A1495">
        <v>1494</v>
      </c>
    </row>
    <row r="1496" spans="1:1">
      <c r="A1496">
        <v>1495</v>
      </c>
    </row>
    <row r="1497" spans="1:1">
      <c r="A1497">
        <v>1496</v>
      </c>
    </row>
    <row r="1498" spans="1:1">
      <c r="A1498">
        <v>1497</v>
      </c>
    </row>
    <row r="1499" spans="1:1">
      <c r="A1499">
        <v>1498</v>
      </c>
    </row>
    <row r="1500" spans="1:1">
      <c r="A1500">
        <v>1499</v>
      </c>
    </row>
    <row r="1501" spans="1:1">
      <c r="A1501">
        <v>1500</v>
      </c>
    </row>
    <row r="1502" spans="1:1">
      <c r="A1502">
        <v>1501</v>
      </c>
    </row>
    <row r="1503" spans="1:1">
      <c r="A1503">
        <v>1502</v>
      </c>
    </row>
    <row r="1504" spans="1:1">
      <c r="A1504">
        <v>1503</v>
      </c>
    </row>
    <row r="1505" spans="1:1">
      <c r="A1505">
        <v>1504</v>
      </c>
    </row>
    <row r="1506" spans="1:1">
      <c r="A1506">
        <v>1505</v>
      </c>
    </row>
    <row r="1507" spans="1:1">
      <c r="A1507">
        <v>1506</v>
      </c>
    </row>
    <row r="1508" spans="1:1">
      <c r="A1508">
        <v>1507</v>
      </c>
    </row>
    <row r="1509" spans="1:1">
      <c r="A1509">
        <v>1508</v>
      </c>
    </row>
    <row r="1510" spans="1:1">
      <c r="A1510">
        <v>1509</v>
      </c>
    </row>
    <row r="1511" spans="1:1">
      <c r="A1511">
        <v>1510</v>
      </c>
    </row>
    <row r="1512" spans="1:1">
      <c r="A1512">
        <v>1511</v>
      </c>
    </row>
    <row r="1513" spans="1:1">
      <c r="A1513">
        <v>1512</v>
      </c>
    </row>
    <row r="1514" spans="1:1">
      <c r="A1514">
        <v>1513</v>
      </c>
    </row>
    <row r="1515" spans="1:1">
      <c r="A1515">
        <v>1514</v>
      </c>
    </row>
    <row r="1516" spans="1:1">
      <c r="A1516">
        <v>1515</v>
      </c>
    </row>
    <row r="1517" spans="1:1">
      <c r="A1517">
        <v>1516</v>
      </c>
    </row>
    <row r="1518" spans="1:1">
      <c r="A1518">
        <v>1517</v>
      </c>
    </row>
    <row r="1519" spans="1:1">
      <c r="A1519">
        <v>1518</v>
      </c>
    </row>
    <row r="1520" spans="1:1">
      <c r="A1520">
        <v>1519</v>
      </c>
    </row>
    <row r="1521" spans="1:1">
      <c r="A1521">
        <v>1520</v>
      </c>
    </row>
    <row r="1522" spans="1:1">
      <c r="A1522">
        <v>1521</v>
      </c>
    </row>
    <row r="1523" spans="1:1">
      <c r="A1523">
        <v>1522</v>
      </c>
    </row>
    <row r="1524" spans="1:1">
      <c r="A1524">
        <v>1523</v>
      </c>
    </row>
    <row r="1525" spans="1:1">
      <c r="A1525">
        <v>1524</v>
      </c>
    </row>
    <row r="1526" spans="1:1">
      <c r="A1526">
        <v>1525</v>
      </c>
    </row>
    <row r="1527" spans="1:1">
      <c r="A1527">
        <v>1526</v>
      </c>
    </row>
    <row r="1528" spans="1:1">
      <c r="A1528">
        <v>1527</v>
      </c>
    </row>
    <row r="1529" spans="1:1">
      <c r="A1529">
        <v>1528</v>
      </c>
    </row>
    <row r="1530" spans="1:1">
      <c r="A1530">
        <v>1529</v>
      </c>
    </row>
    <row r="1531" spans="1:1">
      <c r="A1531">
        <v>1530</v>
      </c>
    </row>
    <row r="1532" spans="1:1">
      <c r="A1532">
        <v>1531</v>
      </c>
    </row>
    <row r="1533" spans="1:1">
      <c r="A1533">
        <v>1532</v>
      </c>
    </row>
    <row r="1534" spans="1:1">
      <c r="A1534">
        <v>1533</v>
      </c>
    </row>
    <row r="1535" spans="1:1">
      <c r="A1535">
        <v>1534</v>
      </c>
    </row>
    <row r="1536" spans="1:1">
      <c r="A1536">
        <v>1535</v>
      </c>
    </row>
    <row r="1537" spans="1:1">
      <c r="A1537">
        <v>1536</v>
      </c>
    </row>
    <row r="1538" spans="1:1">
      <c r="A1538">
        <v>1537</v>
      </c>
    </row>
    <row r="1539" spans="1:1">
      <c r="A1539">
        <v>1538</v>
      </c>
    </row>
    <row r="1540" spans="1:1">
      <c r="A1540">
        <v>1539</v>
      </c>
    </row>
    <row r="1541" spans="1:1">
      <c r="A1541">
        <v>1540</v>
      </c>
    </row>
    <row r="1542" spans="1:1">
      <c r="A1542">
        <v>1541</v>
      </c>
    </row>
    <row r="1543" spans="1:1">
      <c r="A1543">
        <v>1542</v>
      </c>
    </row>
    <row r="1544" spans="1:1">
      <c r="A1544">
        <v>1543</v>
      </c>
    </row>
    <row r="1545" spans="1:1">
      <c r="A1545">
        <v>1544</v>
      </c>
    </row>
    <row r="1546" spans="1:1">
      <c r="A1546">
        <v>1545</v>
      </c>
    </row>
    <row r="1547" spans="1:1">
      <c r="A1547">
        <v>1546</v>
      </c>
    </row>
    <row r="1548" spans="1:1">
      <c r="A1548">
        <v>1547</v>
      </c>
    </row>
    <row r="1549" spans="1:1">
      <c r="A1549">
        <v>1548</v>
      </c>
    </row>
    <row r="1550" spans="1:1">
      <c r="A1550">
        <v>1549</v>
      </c>
    </row>
    <row r="1551" spans="1:1">
      <c r="A1551">
        <v>1550</v>
      </c>
    </row>
    <row r="1552" spans="1:1">
      <c r="A1552">
        <v>1551</v>
      </c>
    </row>
    <row r="1553" spans="1:1">
      <c r="A1553">
        <v>1552</v>
      </c>
    </row>
    <row r="1554" spans="1:1">
      <c r="A1554">
        <v>1553</v>
      </c>
    </row>
    <row r="1555" spans="1:1">
      <c r="A1555">
        <v>1554</v>
      </c>
    </row>
    <row r="1556" spans="1:1">
      <c r="A1556">
        <v>1555</v>
      </c>
    </row>
    <row r="1557" spans="1:1">
      <c r="A1557">
        <v>1556</v>
      </c>
    </row>
    <row r="1558" spans="1:1">
      <c r="A1558">
        <v>1557</v>
      </c>
    </row>
    <row r="1559" spans="1:1">
      <c r="A1559">
        <v>1558</v>
      </c>
    </row>
    <row r="1560" spans="1:1">
      <c r="A1560">
        <v>1559</v>
      </c>
    </row>
    <row r="1561" spans="1:1">
      <c r="A1561">
        <v>1560</v>
      </c>
    </row>
    <row r="1562" spans="1:1">
      <c r="A1562">
        <v>1561</v>
      </c>
    </row>
    <row r="1563" spans="1:1">
      <c r="A1563">
        <v>1562</v>
      </c>
    </row>
    <row r="1564" spans="1:1">
      <c r="A1564">
        <v>1563</v>
      </c>
    </row>
    <row r="1565" spans="1:1">
      <c r="A1565">
        <v>1564</v>
      </c>
    </row>
    <row r="1566" spans="1:1">
      <c r="A1566">
        <v>1565</v>
      </c>
    </row>
    <row r="1567" spans="1:1">
      <c r="A1567">
        <v>1566</v>
      </c>
    </row>
    <row r="1568" spans="1:1">
      <c r="A1568">
        <v>1567</v>
      </c>
    </row>
    <row r="1569" spans="1:1">
      <c r="A1569">
        <v>1568</v>
      </c>
    </row>
    <row r="1570" spans="1:1">
      <c r="A1570">
        <v>1569</v>
      </c>
    </row>
    <row r="1571" spans="1:1">
      <c r="A1571">
        <v>1570</v>
      </c>
    </row>
    <row r="1572" spans="1:1">
      <c r="A1572">
        <v>1571</v>
      </c>
    </row>
    <row r="1573" spans="1:1">
      <c r="A1573">
        <v>1572</v>
      </c>
    </row>
    <row r="1574" spans="1:1">
      <c r="A1574">
        <v>1573</v>
      </c>
    </row>
    <row r="1575" spans="1:1">
      <c r="A1575">
        <v>1574</v>
      </c>
    </row>
    <row r="1576" spans="1:1">
      <c r="A1576">
        <v>1575</v>
      </c>
    </row>
    <row r="1577" spans="1:1">
      <c r="A1577">
        <v>1576</v>
      </c>
    </row>
    <row r="1578" spans="1:1">
      <c r="A1578">
        <v>1577</v>
      </c>
    </row>
    <row r="1579" spans="1:1">
      <c r="A1579">
        <v>1578</v>
      </c>
    </row>
    <row r="1580" spans="1:1">
      <c r="A1580">
        <v>1579</v>
      </c>
    </row>
    <row r="1581" spans="1:1">
      <c r="A1581">
        <v>1580</v>
      </c>
    </row>
    <row r="1582" spans="1:1">
      <c r="A1582">
        <v>1581</v>
      </c>
    </row>
    <row r="1583" spans="1:1">
      <c r="A1583">
        <v>1582</v>
      </c>
    </row>
    <row r="1584" spans="1:1">
      <c r="A1584">
        <v>1583</v>
      </c>
    </row>
    <row r="1585" spans="1:1">
      <c r="A1585">
        <v>1584</v>
      </c>
    </row>
    <row r="1586" spans="1:1">
      <c r="A1586">
        <v>1585</v>
      </c>
    </row>
    <row r="1587" spans="1:1">
      <c r="A1587">
        <v>1586</v>
      </c>
    </row>
    <row r="1588" spans="1:1">
      <c r="A1588">
        <v>1587</v>
      </c>
    </row>
    <row r="1589" spans="1:1">
      <c r="A1589">
        <v>1588</v>
      </c>
    </row>
    <row r="1590" spans="1:1">
      <c r="A1590">
        <v>1589</v>
      </c>
    </row>
    <row r="1591" spans="1:1">
      <c r="A1591">
        <v>1590</v>
      </c>
    </row>
    <row r="1592" spans="1:1">
      <c r="A1592">
        <v>1591</v>
      </c>
    </row>
    <row r="1593" spans="1:1">
      <c r="A1593">
        <v>1592</v>
      </c>
    </row>
    <row r="1594" spans="1:1">
      <c r="A1594">
        <v>1593</v>
      </c>
    </row>
    <row r="1595" spans="1:1">
      <c r="A1595">
        <v>1594</v>
      </c>
    </row>
    <row r="1596" spans="1:1">
      <c r="A1596">
        <v>1595</v>
      </c>
    </row>
    <row r="1597" spans="1:1">
      <c r="A1597">
        <v>1596</v>
      </c>
    </row>
    <row r="1598" spans="1:1">
      <c r="A1598">
        <v>1597</v>
      </c>
    </row>
    <row r="1599" spans="1:1">
      <c r="A1599">
        <v>1598</v>
      </c>
    </row>
    <row r="1600" spans="1:1">
      <c r="A1600">
        <v>1599</v>
      </c>
    </row>
    <row r="1601" spans="1:1">
      <c r="A1601">
        <v>1600</v>
      </c>
    </row>
    <row r="1602" spans="1:1">
      <c r="A1602">
        <v>1601</v>
      </c>
    </row>
    <row r="1603" spans="1:1">
      <c r="A1603">
        <v>1602</v>
      </c>
    </row>
    <row r="1604" spans="1:1">
      <c r="A1604">
        <v>1603</v>
      </c>
    </row>
    <row r="1605" spans="1:1">
      <c r="A1605">
        <v>1604</v>
      </c>
    </row>
    <row r="1606" spans="1:1">
      <c r="A1606">
        <v>1605</v>
      </c>
    </row>
    <row r="1607" spans="1:1">
      <c r="A1607">
        <v>1606</v>
      </c>
    </row>
    <row r="1608" spans="1:1">
      <c r="A1608">
        <v>1607</v>
      </c>
    </row>
    <row r="1609" spans="1:1">
      <c r="A1609">
        <v>1608</v>
      </c>
    </row>
    <row r="1610" spans="1:1">
      <c r="A1610">
        <v>1609</v>
      </c>
    </row>
    <row r="1611" spans="1:1">
      <c r="A1611">
        <v>1610</v>
      </c>
    </row>
    <row r="1612" spans="1:1">
      <c r="A1612">
        <v>1611</v>
      </c>
    </row>
    <row r="1613" spans="1:1">
      <c r="A1613">
        <v>1612</v>
      </c>
    </row>
    <row r="1614" spans="1:1">
      <c r="A1614">
        <v>1613</v>
      </c>
    </row>
    <row r="1615" spans="1:1">
      <c r="A1615">
        <v>1614</v>
      </c>
    </row>
    <row r="1616" spans="1:1">
      <c r="A1616">
        <v>1615</v>
      </c>
    </row>
    <row r="1617" spans="1:1">
      <c r="A1617">
        <v>1616</v>
      </c>
    </row>
    <row r="1618" spans="1:1">
      <c r="A1618">
        <v>1617</v>
      </c>
    </row>
    <row r="1619" spans="1:1">
      <c r="A1619">
        <v>1618</v>
      </c>
    </row>
    <row r="1620" spans="1:1">
      <c r="A1620">
        <v>1619</v>
      </c>
    </row>
    <row r="1621" spans="1:1">
      <c r="A1621">
        <v>1620</v>
      </c>
    </row>
    <row r="1622" spans="1:1">
      <c r="A1622">
        <v>1621</v>
      </c>
    </row>
    <row r="1623" spans="1:1">
      <c r="A1623">
        <v>1622</v>
      </c>
    </row>
    <row r="1624" spans="1:1">
      <c r="A1624">
        <v>1623</v>
      </c>
    </row>
    <row r="1625" spans="1:1">
      <c r="A1625">
        <v>1624</v>
      </c>
    </row>
    <row r="1626" spans="1:1">
      <c r="A1626">
        <v>1625</v>
      </c>
    </row>
    <row r="1627" spans="1:1">
      <c r="A1627">
        <v>1626</v>
      </c>
    </row>
    <row r="1628" spans="1:1">
      <c r="A1628">
        <v>1627</v>
      </c>
    </row>
    <row r="1629" spans="1:1">
      <c r="A1629">
        <v>1628</v>
      </c>
    </row>
    <row r="1630" spans="1:1">
      <c r="A1630">
        <v>1629</v>
      </c>
    </row>
    <row r="1631" spans="1:1">
      <c r="A1631">
        <v>1630</v>
      </c>
    </row>
    <row r="1632" spans="1:1">
      <c r="A1632">
        <v>1631</v>
      </c>
    </row>
    <row r="1633" spans="1:1">
      <c r="A1633">
        <v>1632</v>
      </c>
    </row>
    <row r="1634" spans="1:1">
      <c r="A1634">
        <v>1633</v>
      </c>
    </row>
    <row r="1635" spans="1:1">
      <c r="A1635">
        <v>1634</v>
      </c>
    </row>
    <row r="1636" spans="1:1">
      <c r="A1636">
        <v>1635</v>
      </c>
    </row>
    <row r="1637" spans="1:1">
      <c r="A1637">
        <v>1636</v>
      </c>
    </row>
    <row r="1638" spans="1:1">
      <c r="A1638">
        <v>1637</v>
      </c>
    </row>
    <row r="1639" spans="1:1">
      <c r="A1639">
        <v>1638</v>
      </c>
    </row>
    <row r="1640" spans="1:1">
      <c r="A1640">
        <v>1639</v>
      </c>
    </row>
    <row r="1641" spans="1:1">
      <c r="A1641">
        <v>1640</v>
      </c>
    </row>
    <row r="1642" spans="1:1">
      <c r="A1642">
        <v>1641</v>
      </c>
    </row>
    <row r="1643" spans="1:1">
      <c r="A1643">
        <v>1642</v>
      </c>
    </row>
    <row r="1644" spans="1:1">
      <c r="A1644">
        <v>1643</v>
      </c>
    </row>
    <row r="1645" spans="1:1">
      <c r="A1645">
        <v>1644</v>
      </c>
    </row>
    <row r="1646" spans="1:1">
      <c r="A1646">
        <v>1645</v>
      </c>
    </row>
    <row r="1647" spans="1:1">
      <c r="A1647">
        <v>1646</v>
      </c>
    </row>
    <row r="1648" spans="1:1">
      <c r="A1648">
        <v>1647</v>
      </c>
    </row>
    <row r="1649" spans="1:1">
      <c r="A1649">
        <v>1648</v>
      </c>
    </row>
    <row r="1650" spans="1:1">
      <c r="A1650">
        <v>1649</v>
      </c>
    </row>
    <row r="1651" spans="1:1">
      <c r="A1651">
        <v>1650</v>
      </c>
    </row>
    <row r="1652" spans="1:1">
      <c r="A1652">
        <v>1651</v>
      </c>
    </row>
    <row r="1653" spans="1:1">
      <c r="A1653">
        <v>1652</v>
      </c>
    </row>
    <row r="1654" spans="1:1">
      <c r="A1654">
        <v>1653</v>
      </c>
    </row>
    <row r="1655" spans="1:1">
      <c r="A1655">
        <v>1654</v>
      </c>
    </row>
    <row r="1656" spans="1:1">
      <c r="A1656">
        <v>1655</v>
      </c>
    </row>
    <row r="1657" spans="1:1">
      <c r="A1657">
        <v>1656</v>
      </c>
    </row>
    <row r="1658" spans="1:1">
      <c r="A1658">
        <v>1657</v>
      </c>
    </row>
    <row r="1659" spans="1:1">
      <c r="A1659">
        <v>1658</v>
      </c>
    </row>
    <row r="1660" spans="1:1">
      <c r="A1660">
        <v>1659</v>
      </c>
    </row>
    <row r="1661" spans="1:1">
      <c r="A1661">
        <v>1660</v>
      </c>
    </row>
    <row r="1662" spans="1:1">
      <c r="A1662">
        <v>1661</v>
      </c>
    </row>
    <row r="1663" spans="1:1">
      <c r="A1663">
        <v>1662</v>
      </c>
    </row>
    <row r="1664" spans="1:1">
      <c r="A1664">
        <v>1663</v>
      </c>
    </row>
    <row r="1665" spans="1:1">
      <c r="A1665">
        <v>1664</v>
      </c>
    </row>
    <row r="1666" spans="1:1">
      <c r="A1666">
        <v>1665</v>
      </c>
    </row>
    <row r="1667" spans="1:1">
      <c r="A1667">
        <v>1666</v>
      </c>
    </row>
    <row r="1668" spans="1:1">
      <c r="A1668">
        <v>1667</v>
      </c>
    </row>
    <row r="1669" spans="1:1">
      <c r="A1669">
        <v>1668</v>
      </c>
    </row>
    <row r="1670" spans="1:1">
      <c r="A1670">
        <v>1669</v>
      </c>
    </row>
    <row r="1671" spans="1:1">
      <c r="A1671">
        <v>1670</v>
      </c>
    </row>
    <row r="1672" spans="1:1">
      <c r="A1672">
        <v>1671</v>
      </c>
    </row>
    <row r="1673" spans="1:1">
      <c r="A1673">
        <v>1672</v>
      </c>
    </row>
    <row r="1674" spans="1:1">
      <c r="A1674">
        <v>1673</v>
      </c>
    </row>
    <row r="1675" spans="1:1">
      <c r="A1675">
        <v>1674</v>
      </c>
    </row>
    <row r="1676" spans="1:1">
      <c r="A1676">
        <v>1675</v>
      </c>
    </row>
    <row r="1677" spans="1:1">
      <c r="A1677">
        <v>1676</v>
      </c>
    </row>
    <row r="1678" spans="1:1">
      <c r="A1678">
        <v>1677</v>
      </c>
    </row>
    <row r="1679" spans="1:1">
      <c r="A1679">
        <v>1678</v>
      </c>
    </row>
    <row r="1680" spans="1:1">
      <c r="A1680">
        <v>1679</v>
      </c>
    </row>
    <row r="1681" spans="1:1">
      <c r="A1681">
        <v>1680</v>
      </c>
    </row>
    <row r="1682" spans="1:1">
      <c r="A1682">
        <v>1681</v>
      </c>
    </row>
    <row r="1683" spans="1:1">
      <c r="A1683">
        <v>1682</v>
      </c>
    </row>
    <row r="1684" spans="1:1">
      <c r="A1684">
        <v>1683</v>
      </c>
    </row>
    <row r="1685" spans="1:1">
      <c r="A1685">
        <v>1684</v>
      </c>
    </row>
    <row r="1686" spans="1:1">
      <c r="A1686">
        <v>1685</v>
      </c>
    </row>
    <row r="1687" spans="1:1">
      <c r="A1687">
        <v>1686</v>
      </c>
    </row>
    <row r="1688" spans="1:1">
      <c r="A1688">
        <v>1687</v>
      </c>
    </row>
    <row r="1689" spans="1:1">
      <c r="A1689">
        <v>1688</v>
      </c>
    </row>
    <row r="1690" spans="1:1">
      <c r="A1690">
        <v>1689</v>
      </c>
    </row>
    <row r="1691" spans="1:1">
      <c r="A1691">
        <v>1690</v>
      </c>
    </row>
    <row r="1692" spans="1:1">
      <c r="A1692">
        <v>1691</v>
      </c>
    </row>
    <row r="1693" spans="1:1">
      <c r="A1693">
        <v>1692</v>
      </c>
    </row>
    <row r="1694" spans="1:1">
      <c r="A1694">
        <v>1693</v>
      </c>
    </row>
    <row r="1695" spans="1:1">
      <c r="A1695">
        <v>1694</v>
      </c>
    </row>
    <row r="1696" spans="1:1">
      <c r="A1696">
        <v>1695</v>
      </c>
    </row>
    <row r="1697" spans="1:1">
      <c r="A1697">
        <v>1696</v>
      </c>
    </row>
    <row r="1698" spans="1:1">
      <c r="A1698">
        <v>1697</v>
      </c>
    </row>
    <row r="1699" spans="1:1">
      <c r="A1699">
        <v>1698</v>
      </c>
    </row>
    <row r="1700" spans="1:1">
      <c r="A1700">
        <v>1699</v>
      </c>
    </row>
    <row r="1701" spans="1:1">
      <c r="A1701">
        <v>1700</v>
      </c>
    </row>
    <row r="1702" spans="1:1">
      <c r="A1702">
        <v>1701</v>
      </c>
    </row>
    <row r="1703" spans="1:1">
      <c r="A1703">
        <v>1702</v>
      </c>
    </row>
    <row r="1704" spans="1:1">
      <c r="A1704">
        <v>1703</v>
      </c>
    </row>
    <row r="1705" spans="1:1">
      <c r="A1705">
        <v>1704</v>
      </c>
    </row>
    <row r="1706" spans="1:1">
      <c r="A1706">
        <v>1705</v>
      </c>
    </row>
    <row r="1707" spans="1:1">
      <c r="A1707">
        <v>1706</v>
      </c>
    </row>
    <row r="1708" spans="1:1">
      <c r="A1708">
        <v>1707</v>
      </c>
    </row>
    <row r="1709" spans="1:1">
      <c r="A1709">
        <v>1708</v>
      </c>
    </row>
    <row r="1710" spans="1:1">
      <c r="A1710">
        <v>1709</v>
      </c>
    </row>
    <row r="1711" spans="1:1">
      <c r="A1711">
        <v>1710</v>
      </c>
    </row>
    <row r="1712" spans="1:1">
      <c r="A1712">
        <v>1711</v>
      </c>
    </row>
    <row r="1713" spans="1:1">
      <c r="A1713">
        <v>1712</v>
      </c>
    </row>
    <row r="1714" spans="1:1">
      <c r="A1714">
        <v>1713</v>
      </c>
    </row>
    <row r="1715" spans="1:1">
      <c r="A1715">
        <v>1714</v>
      </c>
    </row>
    <row r="1716" spans="1:1">
      <c r="A1716">
        <v>1715</v>
      </c>
    </row>
    <row r="1717" spans="1:1">
      <c r="A1717">
        <v>1716</v>
      </c>
    </row>
    <row r="1718" spans="1:1">
      <c r="A1718">
        <v>1717</v>
      </c>
    </row>
    <row r="1719" spans="1:1">
      <c r="A1719">
        <v>1718</v>
      </c>
    </row>
    <row r="1720" spans="1:1">
      <c r="A1720">
        <v>1719</v>
      </c>
    </row>
    <row r="1721" spans="1:1">
      <c r="A1721">
        <v>1720</v>
      </c>
    </row>
    <row r="1722" spans="1:1">
      <c r="A1722">
        <v>1721</v>
      </c>
    </row>
    <row r="1723" spans="1:1">
      <c r="A1723">
        <v>1722</v>
      </c>
    </row>
    <row r="1724" spans="1:1">
      <c r="A1724">
        <v>1723</v>
      </c>
    </row>
    <row r="1725" spans="1:1">
      <c r="A1725">
        <v>1724</v>
      </c>
    </row>
    <row r="1726" spans="1:1">
      <c r="A1726">
        <v>1725</v>
      </c>
    </row>
    <row r="1727" spans="1:1">
      <c r="A1727">
        <v>1726</v>
      </c>
    </row>
    <row r="1728" spans="1:1">
      <c r="A1728">
        <v>1727</v>
      </c>
    </row>
    <row r="1729" spans="1:1">
      <c r="A1729">
        <v>1728</v>
      </c>
    </row>
    <row r="1730" spans="1:1">
      <c r="A1730">
        <v>1729</v>
      </c>
    </row>
    <row r="1731" spans="1:1">
      <c r="A1731">
        <v>1730</v>
      </c>
    </row>
    <row r="1732" spans="1:1">
      <c r="A1732">
        <v>1731</v>
      </c>
    </row>
    <row r="1733" spans="1:1">
      <c r="A1733">
        <v>1732</v>
      </c>
    </row>
    <row r="1734" spans="1:1">
      <c r="A1734">
        <v>1733</v>
      </c>
    </row>
    <row r="1735" spans="1:1">
      <c r="A1735">
        <v>1734</v>
      </c>
    </row>
    <row r="1736" spans="1:1">
      <c r="A1736">
        <v>1735</v>
      </c>
    </row>
    <row r="1737" spans="1:1">
      <c r="A1737">
        <v>1736</v>
      </c>
    </row>
    <row r="1738" spans="1:1">
      <c r="A1738">
        <v>1737</v>
      </c>
    </row>
    <row r="1739" spans="1:1">
      <c r="A1739">
        <v>1738</v>
      </c>
    </row>
    <row r="1740" spans="1:1">
      <c r="A1740">
        <v>1739</v>
      </c>
    </row>
    <row r="1741" spans="1:1">
      <c r="A1741">
        <v>1740</v>
      </c>
    </row>
    <row r="1742" spans="1:1">
      <c r="A1742">
        <v>1741</v>
      </c>
    </row>
    <row r="1743" spans="1:1">
      <c r="A1743">
        <v>1742</v>
      </c>
    </row>
    <row r="1744" spans="1:1">
      <c r="A1744">
        <v>1743</v>
      </c>
    </row>
    <row r="1745" spans="1:1">
      <c r="A1745">
        <v>1744</v>
      </c>
    </row>
    <row r="1746" spans="1:1">
      <c r="A1746">
        <v>1745</v>
      </c>
    </row>
    <row r="1747" spans="1:1">
      <c r="A1747">
        <v>1746</v>
      </c>
    </row>
    <row r="1748" spans="1:1">
      <c r="A1748">
        <v>1747</v>
      </c>
    </row>
    <row r="1749" spans="1:1">
      <c r="A1749">
        <v>1748</v>
      </c>
    </row>
    <row r="1750" spans="1:1">
      <c r="A1750">
        <v>1749</v>
      </c>
    </row>
    <row r="1751" spans="1:1">
      <c r="A1751">
        <v>1750</v>
      </c>
    </row>
    <row r="1752" spans="1:1">
      <c r="A1752">
        <v>1751</v>
      </c>
    </row>
    <row r="1753" spans="1:1">
      <c r="A1753">
        <v>1752</v>
      </c>
    </row>
    <row r="1754" spans="1:1">
      <c r="A1754">
        <v>1753</v>
      </c>
    </row>
    <row r="1755" spans="1:1">
      <c r="A1755">
        <v>1754</v>
      </c>
    </row>
    <row r="1756" spans="1:1">
      <c r="A1756">
        <v>1755</v>
      </c>
    </row>
    <row r="1757" spans="1:1">
      <c r="A1757">
        <v>1756</v>
      </c>
    </row>
    <row r="1758" spans="1:1">
      <c r="A1758">
        <v>1757</v>
      </c>
    </row>
    <row r="1759" spans="1:1">
      <c r="A1759">
        <v>1758</v>
      </c>
    </row>
    <row r="1760" spans="1:1">
      <c r="A1760">
        <v>1759</v>
      </c>
    </row>
    <row r="1761" spans="1:1">
      <c r="A1761">
        <v>1760</v>
      </c>
    </row>
    <row r="1762" spans="1:1">
      <c r="A1762">
        <v>1761</v>
      </c>
    </row>
    <row r="1763" spans="1:1">
      <c r="A1763">
        <v>1762</v>
      </c>
    </row>
    <row r="1764" spans="1:1">
      <c r="A1764">
        <v>1763</v>
      </c>
    </row>
    <row r="1765" spans="1:1">
      <c r="A1765">
        <v>1764</v>
      </c>
    </row>
    <row r="1766" spans="1:1">
      <c r="A1766">
        <v>1765</v>
      </c>
    </row>
    <row r="1767" spans="1:1">
      <c r="A1767">
        <v>1766</v>
      </c>
    </row>
    <row r="1768" spans="1:1">
      <c r="A1768">
        <v>1767</v>
      </c>
    </row>
    <row r="1769" spans="1:1">
      <c r="A1769">
        <v>1768</v>
      </c>
    </row>
    <row r="1770" spans="1:1">
      <c r="A1770">
        <v>1769</v>
      </c>
    </row>
    <row r="1771" spans="1:1">
      <c r="A1771">
        <v>1770</v>
      </c>
    </row>
    <row r="1772" spans="1:1">
      <c r="A1772">
        <v>1771</v>
      </c>
    </row>
    <row r="1773" spans="1:1">
      <c r="A1773">
        <v>1772</v>
      </c>
    </row>
    <row r="1774" spans="1:1">
      <c r="A1774">
        <v>1773</v>
      </c>
    </row>
    <row r="1775" spans="1:1">
      <c r="A1775">
        <v>1774</v>
      </c>
    </row>
    <row r="1776" spans="1:1">
      <c r="A1776">
        <v>1775</v>
      </c>
    </row>
    <row r="1777" spans="1:1">
      <c r="A1777">
        <v>1776</v>
      </c>
    </row>
    <row r="1778" spans="1:1">
      <c r="A1778">
        <v>1777</v>
      </c>
    </row>
    <row r="1779" spans="1:1">
      <c r="A1779">
        <v>1778</v>
      </c>
    </row>
    <row r="1780" spans="1:1">
      <c r="A1780">
        <v>1779</v>
      </c>
    </row>
    <row r="1781" spans="1:1">
      <c r="A1781">
        <v>1780</v>
      </c>
    </row>
    <row r="1782" spans="1:1">
      <c r="A1782">
        <v>1781</v>
      </c>
    </row>
    <row r="1783" spans="1:1">
      <c r="A1783">
        <v>1782</v>
      </c>
    </row>
    <row r="1784" spans="1:1">
      <c r="A1784">
        <v>1783</v>
      </c>
    </row>
    <row r="1785" spans="1:1">
      <c r="A1785">
        <v>1784</v>
      </c>
    </row>
    <row r="1786" spans="1:1">
      <c r="A1786">
        <v>1785</v>
      </c>
    </row>
    <row r="1787" spans="1:1">
      <c r="A1787">
        <v>1786</v>
      </c>
    </row>
    <row r="1788" spans="1:1">
      <c r="A1788">
        <v>1787</v>
      </c>
    </row>
    <row r="1789" spans="1:1">
      <c r="A1789">
        <v>1788</v>
      </c>
    </row>
    <row r="1790" spans="1:1">
      <c r="A1790">
        <v>1789</v>
      </c>
    </row>
    <row r="1791" spans="1:1">
      <c r="A1791">
        <v>1790</v>
      </c>
    </row>
    <row r="1792" spans="1:1">
      <c r="A1792">
        <v>1791</v>
      </c>
    </row>
    <row r="1793" spans="1:1">
      <c r="A1793">
        <v>1792</v>
      </c>
    </row>
    <row r="1794" spans="1:1">
      <c r="A1794">
        <v>1793</v>
      </c>
    </row>
    <row r="1795" spans="1:1">
      <c r="A1795">
        <v>1794</v>
      </c>
    </row>
    <row r="1796" spans="1:1">
      <c r="A1796">
        <v>1795</v>
      </c>
    </row>
    <row r="1797" spans="1:1">
      <c r="A1797">
        <v>1796</v>
      </c>
    </row>
    <row r="1798" spans="1:1">
      <c r="A1798">
        <v>1797</v>
      </c>
    </row>
    <row r="1799" spans="1:1">
      <c r="A1799">
        <v>1798</v>
      </c>
    </row>
    <row r="1800" spans="1:1">
      <c r="A1800">
        <v>1799</v>
      </c>
    </row>
    <row r="1801" spans="1:1">
      <c r="A1801">
        <v>1800</v>
      </c>
    </row>
    <row r="1802" spans="1:1">
      <c r="A1802">
        <v>1801</v>
      </c>
    </row>
    <row r="1803" spans="1:1">
      <c r="A1803">
        <v>1802</v>
      </c>
    </row>
    <row r="1804" spans="1:1">
      <c r="A1804">
        <v>1803</v>
      </c>
    </row>
    <row r="1805" spans="1:1">
      <c r="A1805">
        <v>1804</v>
      </c>
    </row>
    <row r="1806" spans="1:1">
      <c r="A1806">
        <v>1805</v>
      </c>
    </row>
    <row r="1807" spans="1:1">
      <c r="A1807">
        <v>1806</v>
      </c>
    </row>
    <row r="1808" spans="1:1">
      <c r="A1808">
        <v>1807</v>
      </c>
    </row>
    <row r="1809" spans="1:1">
      <c r="A1809">
        <v>1808</v>
      </c>
    </row>
    <row r="1810" spans="1:1">
      <c r="A1810">
        <v>1809</v>
      </c>
    </row>
    <row r="1811" spans="1:1">
      <c r="A1811">
        <v>1810</v>
      </c>
    </row>
    <row r="1812" spans="1:1">
      <c r="A1812">
        <v>1811</v>
      </c>
    </row>
    <row r="1813" spans="1:1">
      <c r="A1813">
        <v>1812</v>
      </c>
    </row>
    <row r="1814" spans="1:1">
      <c r="A1814">
        <v>1813</v>
      </c>
    </row>
    <row r="1815" spans="1:1">
      <c r="A1815">
        <v>1814</v>
      </c>
    </row>
    <row r="1816" spans="1:1">
      <c r="A1816">
        <v>1815</v>
      </c>
    </row>
    <row r="1817" spans="1:1">
      <c r="A1817">
        <v>1816</v>
      </c>
    </row>
    <row r="1818" spans="1:1">
      <c r="A1818">
        <v>1817</v>
      </c>
    </row>
    <row r="1819" spans="1:1">
      <c r="A1819">
        <v>1818</v>
      </c>
    </row>
    <row r="1820" spans="1:1">
      <c r="A1820">
        <v>1819</v>
      </c>
    </row>
    <row r="1821" spans="1:1">
      <c r="A1821">
        <v>1820</v>
      </c>
    </row>
    <row r="1822" spans="1:1">
      <c r="A1822">
        <v>1821</v>
      </c>
    </row>
    <row r="1823" spans="1:1">
      <c r="A1823">
        <v>1822</v>
      </c>
    </row>
    <row r="1824" spans="1:1">
      <c r="A1824">
        <v>1823</v>
      </c>
    </row>
    <row r="1825" spans="1:1">
      <c r="A1825">
        <v>1824</v>
      </c>
    </row>
    <row r="1826" spans="1:1">
      <c r="A1826">
        <v>1825</v>
      </c>
    </row>
    <row r="1827" spans="1:1">
      <c r="A1827">
        <v>1826</v>
      </c>
    </row>
    <row r="1828" spans="1:1">
      <c r="A1828">
        <v>1827</v>
      </c>
    </row>
    <row r="1829" spans="1:1">
      <c r="A1829">
        <v>1828</v>
      </c>
    </row>
    <row r="1830" spans="1:1">
      <c r="A1830">
        <v>1829</v>
      </c>
    </row>
    <row r="1831" spans="1:1">
      <c r="A1831">
        <v>1830</v>
      </c>
    </row>
    <row r="1832" spans="1:1">
      <c r="A1832">
        <v>1831</v>
      </c>
    </row>
    <row r="1833" spans="1:1">
      <c r="A1833">
        <v>1832</v>
      </c>
    </row>
    <row r="1834" spans="1:1">
      <c r="A1834">
        <v>1833</v>
      </c>
    </row>
    <row r="1835" spans="1:1">
      <c r="A1835">
        <v>1834</v>
      </c>
    </row>
    <row r="1836" spans="1:1">
      <c r="A1836">
        <v>1835</v>
      </c>
    </row>
    <row r="1837" spans="1:1">
      <c r="A1837">
        <v>1836</v>
      </c>
    </row>
    <row r="1838" spans="1:1">
      <c r="A1838">
        <v>1837</v>
      </c>
    </row>
    <row r="1839" spans="1:1">
      <c r="A1839">
        <v>1838</v>
      </c>
    </row>
    <row r="1840" spans="1:1">
      <c r="A1840">
        <v>1839</v>
      </c>
    </row>
    <row r="1841" spans="1:1">
      <c r="A1841">
        <v>1840</v>
      </c>
    </row>
    <row r="1842" spans="1:1">
      <c r="A1842">
        <v>1841</v>
      </c>
    </row>
    <row r="1843" spans="1:1">
      <c r="A1843">
        <v>1842</v>
      </c>
    </row>
    <row r="1844" spans="1:1">
      <c r="A1844">
        <v>1843</v>
      </c>
    </row>
    <row r="1845" spans="1:1">
      <c r="A1845">
        <v>1844</v>
      </c>
    </row>
    <row r="1846" spans="1:1">
      <c r="A1846">
        <v>1845</v>
      </c>
    </row>
    <row r="1847" spans="1:1">
      <c r="A1847">
        <v>1846</v>
      </c>
    </row>
    <row r="1848" spans="1:1">
      <c r="A1848">
        <v>1847</v>
      </c>
    </row>
    <row r="1849" spans="1:1">
      <c r="A1849">
        <v>1848</v>
      </c>
    </row>
    <row r="1850" spans="1:1">
      <c r="A1850">
        <v>1849</v>
      </c>
    </row>
    <row r="1851" spans="1:1">
      <c r="A1851">
        <v>1850</v>
      </c>
    </row>
    <row r="1852" spans="1:1">
      <c r="A1852">
        <v>1851</v>
      </c>
    </row>
    <row r="1853" spans="1:1">
      <c r="A1853">
        <v>1852</v>
      </c>
    </row>
    <row r="1854" spans="1:1">
      <c r="A1854">
        <v>1853</v>
      </c>
    </row>
    <row r="1855" spans="1:1">
      <c r="A1855">
        <v>1854</v>
      </c>
    </row>
    <row r="1856" spans="1:1">
      <c r="A1856">
        <v>1855</v>
      </c>
    </row>
    <row r="1857" spans="1:1">
      <c r="A1857">
        <v>1856</v>
      </c>
    </row>
    <row r="1858" spans="1:1">
      <c r="A1858">
        <v>1857</v>
      </c>
    </row>
    <row r="1859" spans="1:1">
      <c r="A1859">
        <v>1858</v>
      </c>
    </row>
    <row r="1860" spans="1:1">
      <c r="A1860">
        <v>1859</v>
      </c>
    </row>
    <row r="1861" spans="1:1">
      <c r="A1861">
        <v>1860</v>
      </c>
    </row>
    <row r="1862" spans="1:1">
      <c r="A1862">
        <v>1861</v>
      </c>
    </row>
    <row r="1863" spans="1:1">
      <c r="A1863">
        <v>1862</v>
      </c>
    </row>
    <row r="1864" spans="1:1">
      <c r="A1864">
        <v>1863</v>
      </c>
    </row>
    <row r="1865" spans="1:1">
      <c r="A1865">
        <v>1864</v>
      </c>
    </row>
    <row r="1866" spans="1:1">
      <c r="A1866">
        <v>1865</v>
      </c>
    </row>
    <row r="1867" spans="1:1">
      <c r="A1867">
        <v>1866</v>
      </c>
    </row>
    <row r="1868" spans="1:1">
      <c r="A1868">
        <v>1867</v>
      </c>
    </row>
    <row r="1869" spans="1:1">
      <c r="A1869">
        <v>1868</v>
      </c>
    </row>
    <row r="1870" spans="1:1">
      <c r="A1870">
        <v>1869</v>
      </c>
    </row>
    <row r="1871" spans="1:1">
      <c r="A1871">
        <v>1870</v>
      </c>
    </row>
    <row r="1872" spans="1:1">
      <c r="A1872">
        <v>1871</v>
      </c>
    </row>
    <row r="1873" spans="1:1">
      <c r="A1873">
        <v>1872</v>
      </c>
    </row>
    <row r="1874" spans="1:1">
      <c r="A1874">
        <v>1873</v>
      </c>
    </row>
    <row r="1875" spans="1:1">
      <c r="A1875">
        <v>1874</v>
      </c>
    </row>
    <row r="1876" spans="1:1">
      <c r="A1876">
        <v>1875</v>
      </c>
    </row>
    <row r="1877" spans="1:1">
      <c r="A1877">
        <v>1876</v>
      </c>
    </row>
    <row r="1878" spans="1:1">
      <c r="A1878">
        <v>1877</v>
      </c>
    </row>
    <row r="1879" spans="1:1">
      <c r="A1879">
        <v>1878</v>
      </c>
    </row>
    <row r="1880" spans="1:1">
      <c r="A1880">
        <v>1879</v>
      </c>
    </row>
    <row r="1881" spans="1:1">
      <c r="A1881">
        <v>1880</v>
      </c>
    </row>
    <row r="1882" spans="1:1">
      <c r="A1882">
        <v>1881</v>
      </c>
    </row>
    <row r="1883" spans="1:1">
      <c r="A1883">
        <v>1882</v>
      </c>
    </row>
    <row r="1884" spans="1:1">
      <c r="A1884">
        <v>1883</v>
      </c>
    </row>
    <row r="1885" spans="1:1">
      <c r="A1885">
        <v>1884</v>
      </c>
    </row>
    <row r="1886" spans="1:1">
      <c r="A1886">
        <v>1885</v>
      </c>
    </row>
    <row r="1887" spans="1:1">
      <c r="A1887">
        <v>1886</v>
      </c>
    </row>
    <row r="1888" spans="1:1">
      <c r="A1888">
        <v>1887</v>
      </c>
    </row>
    <row r="1889" spans="1:1">
      <c r="A1889">
        <v>1888</v>
      </c>
    </row>
    <row r="1890" spans="1:1">
      <c r="A1890">
        <v>1889</v>
      </c>
    </row>
    <row r="1891" spans="1:1">
      <c r="A1891">
        <v>1890</v>
      </c>
    </row>
    <row r="1892" spans="1:1">
      <c r="A1892">
        <v>1891</v>
      </c>
    </row>
    <row r="1893" spans="1:1">
      <c r="A1893">
        <v>1892</v>
      </c>
    </row>
    <row r="1894" spans="1:1">
      <c r="A1894">
        <v>1893</v>
      </c>
    </row>
    <row r="1895" spans="1:1">
      <c r="A1895">
        <v>1894</v>
      </c>
    </row>
    <row r="1896" spans="1:1">
      <c r="A1896">
        <v>1895</v>
      </c>
    </row>
    <row r="1897" spans="1:1">
      <c r="A1897">
        <v>1896</v>
      </c>
    </row>
    <row r="1898" spans="1:1">
      <c r="A1898">
        <v>1897</v>
      </c>
    </row>
    <row r="1899" spans="1:1">
      <c r="A1899">
        <v>1898</v>
      </c>
    </row>
    <row r="1900" spans="1:1">
      <c r="A1900">
        <v>1899</v>
      </c>
    </row>
    <row r="1901" spans="1:1">
      <c r="A1901">
        <v>1900</v>
      </c>
    </row>
    <row r="1902" spans="1:1">
      <c r="A1902">
        <v>1901</v>
      </c>
    </row>
    <row r="1903" spans="1:1">
      <c r="A1903">
        <v>1902</v>
      </c>
    </row>
    <row r="1904" spans="1:1">
      <c r="A1904">
        <v>1903</v>
      </c>
    </row>
    <row r="1905" spans="1:1">
      <c r="A1905">
        <v>1904</v>
      </c>
    </row>
    <row r="1906" spans="1:1">
      <c r="A1906">
        <v>1905</v>
      </c>
    </row>
    <row r="1907" spans="1:1">
      <c r="A1907">
        <v>1906</v>
      </c>
    </row>
    <row r="1908" spans="1:1">
      <c r="A1908">
        <v>1907</v>
      </c>
    </row>
    <row r="1909" spans="1:1">
      <c r="A1909">
        <v>1908</v>
      </c>
    </row>
    <row r="1910" spans="1:1">
      <c r="A1910">
        <v>1909</v>
      </c>
    </row>
    <row r="1911" spans="1:1">
      <c r="A1911">
        <v>1910</v>
      </c>
    </row>
    <row r="1912" spans="1:1">
      <c r="A1912">
        <v>1911</v>
      </c>
    </row>
    <row r="1913" spans="1:1">
      <c r="A1913">
        <v>1912</v>
      </c>
    </row>
    <row r="1914" spans="1:1">
      <c r="A1914">
        <v>1913</v>
      </c>
    </row>
    <row r="1915" spans="1:1">
      <c r="A1915">
        <v>1914</v>
      </c>
    </row>
    <row r="1916" spans="1:1">
      <c r="A1916">
        <v>1915</v>
      </c>
    </row>
    <row r="1917" spans="1:1">
      <c r="A1917">
        <v>1916</v>
      </c>
    </row>
    <row r="1918" spans="1:1">
      <c r="A1918">
        <v>1917</v>
      </c>
    </row>
    <row r="1919" spans="1:1">
      <c r="A1919">
        <v>1918</v>
      </c>
    </row>
    <row r="1920" spans="1:1">
      <c r="A1920">
        <v>1919</v>
      </c>
    </row>
    <row r="1921" spans="1:1">
      <c r="A1921">
        <v>1920</v>
      </c>
    </row>
    <row r="1922" spans="1:1">
      <c r="A1922">
        <v>1921</v>
      </c>
    </row>
    <row r="1923" spans="1:1">
      <c r="A1923">
        <v>1922</v>
      </c>
    </row>
    <row r="1924" spans="1:1">
      <c r="A1924">
        <v>1923</v>
      </c>
    </row>
    <row r="1925" spans="1:1">
      <c r="A1925">
        <v>1924</v>
      </c>
    </row>
    <row r="1926" spans="1:1">
      <c r="A1926">
        <v>1925</v>
      </c>
    </row>
    <row r="1927" spans="1:1">
      <c r="A1927">
        <v>1926</v>
      </c>
    </row>
    <row r="1928" spans="1:1">
      <c r="A1928">
        <v>1927</v>
      </c>
    </row>
    <row r="1929" spans="1:1">
      <c r="A1929">
        <v>1928</v>
      </c>
    </row>
    <row r="1930" spans="1:1">
      <c r="A1930">
        <v>1929</v>
      </c>
    </row>
    <row r="1931" spans="1:1">
      <c r="A1931">
        <v>1930</v>
      </c>
    </row>
    <row r="1932" spans="1:1">
      <c r="A1932">
        <v>1931</v>
      </c>
    </row>
    <row r="1933" spans="1:1">
      <c r="A1933">
        <v>1932</v>
      </c>
    </row>
    <row r="1934" spans="1:1">
      <c r="A1934">
        <v>1933</v>
      </c>
    </row>
    <row r="1935" spans="1:1">
      <c r="A1935">
        <v>1934</v>
      </c>
    </row>
    <row r="1936" spans="1:1">
      <c r="A1936">
        <v>1935</v>
      </c>
    </row>
    <row r="1937" spans="1:1">
      <c r="A1937">
        <v>1936</v>
      </c>
    </row>
    <row r="1938" spans="1:1">
      <c r="A1938">
        <v>1937</v>
      </c>
    </row>
    <row r="1939" spans="1:1">
      <c r="A1939">
        <v>1938</v>
      </c>
    </row>
    <row r="1940" spans="1:1">
      <c r="A1940">
        <v>1939</v>
      </c>
    </row>
    <row r="1941" spans="1:1">
      <c r="A1941">
        <v>1940</v>
      </c>
    </row>
    <row r="1942" spans="1:1">
      <c r="A1942">
        <v>1941</v>
      </c>
    </row>
    <row r="1943" spans="1:1">
      <c r="A1943">
        <v>1942</v>
      </c>
    </row>
    <row r="1944" spans="1:1">
      <c r="A1944">
        <v>1943</v>
      </c>
    </row>
    <row r="1945" spans="1:1">
      <c r="A1945">
        <v>1944</v>
      </c>
    </row>
    <row r="1946" spans="1:1">
      <c r="A1946">
        <v>1945</v>
      </c>
    </row>
    <row r="1947" spans="1:1">
      <c r="A1947">
        <v>1946</v>
      </c>
    </row>
    <row r="1948" spans="1:1">
      <c r="A1948">
        <v>1947</v>
      </c>
    </row>
    <row r="1949" spans="1:1">
      <c r="A1949">
        <v>1948</v>
      </c>
    </row>
    <row r="1950" spans="1:1">
      <c r="A1950">
        <v>1949</v>
      </c>
    </row>
    <row r="1951" spans="1:1">
      <c r="A1951">
        <v>1950</v>
      </c>
    </row>
    <row r="1952" spans="1:1">
      <c r="A1952">
        <v>1951</v>
      </c>
    </row>
    <row r="1953" spans="1:1">
      <c r="A1953">
        <v>1952</v>
      </c>
    </row>
    <row r="1954" spans="1:1">
      <c r="A1954">
        <v>1953</v>
      </c>
    </row>
    <row r="1955" spans="1:1">
      <c r="A1955">
        <v>1954</v>
      </c>
    </row>
    <row r="1956" spans="1:1">
      <c r="A1956">
        <v>1955</v>
      </c>
    </row>
    <row r="1957" spans="1:1">
      <c r="A1957">
        <v>1956</v>
      </c>
    </row>
    <row r="1958" spans="1:1">
      <c r="A1958">
        <v>1957</v>
      </c>
    </row>
    <row r="1959" spans="1:1">
      <c r="A1959">
        <v>1958</v>
      </c>
    </row>
    <row r="1960" spans="1:1">
      <c r="A1960">
        <v>1959</v>
      </c>
    </row>
    <row r="1961" spans="1:1">
      <c r="A1961">
        <v>1960</v>
      </c>
    </row>
    <row r="1962" spans="1:1">
      <c r="A1962">
        <v>1961</v>
      </c>
    </row>
    <row r="1963" spans="1:1">
      <c r="A1963">
        <v>1962</v>
      </c>
    </row>
    <row r="1964" spans="1:1">
      <c r="A1964">
        <v>1963</v>
      </c>
    </row>
    <row r="1965" spans="1:1">
      <c r="A1965">
        <v>1964</v>
      </c>
    </row>
    <row r="1966" spans="1:1">
      <c r="A1966">
        <v>1965</v>
      </c>
    </row>
    <row r="1967" spans="1:1">
      <c r="A1967">
        <v>1966</v>
      </c>
    </row>
    <row r="1968" spans="1:1">
      <c r="A1968">
        <v>1967</v>
      </c>
    </row>
    <row r="1969" spans="1:1">
      <c r="A1969">
        <v>1968</v>
      </c>
    </row>
    <row r="1970" spans="1:1">
      <c r="A1970">
        <v>1969</v>
      </c>
    </row>
    <row r="1971" spans="1:1">
      <c r="A1971">
        <v>1970</v>
      </c>
    </row>
    <row r="1972" spans="1:1">
      <c r="A1972">
        <v>1971</v>
      </c>
    </row>
    <row r="1973" spans="1:1">
      <c r="A1973">
        <v>1972</v>
      </c>
    </row>
    <row r="1974" spans="1:1">
      <c r="A1974">
        <v>1973</v>
      </c>
    </row>
    <row r="1975" spans="1:1">
      <c r="A1975">
        <v>1974</v>
      </c>
    </row>
    <row r="1976" spans="1:1">
      <c r="A1976">
        <v>1975</v>
      </c>
    </row>
    <row r="1977" spans="1:1">
      <c r="A1977">
        <v>1976</v>
      </c>
    </row>
    <row r="1978" spans="1:1">
      <c r="A1978">
        <v>1977</v>
      </c>
    </row>
    <row r="1979" spans="1:1">
      <c r="A1979">
        <v>1978</v>
      </c>
    </row>
    <row r="1980" spans="1:1">
      <c r="A1980">
        <v>1979</v>
      </c>
    </row>
    <row r="1981" spans="1:1">
      <c r="A1981">
        <v>1980</v>
      </c>
    </row>
    <row r="1982" spans="1:1">
      <c r="A1982">
        <v>1981</v>
      </c>
    </row>
    <row r="1983" spans="1:1">
      <c r="A1983">
        <v>1982</v>
      </c>
    </row>
    <row r="1984" spans="1:1">
      <c r="A1984">
        <v>1983</v>
      </c>
    </row>
    <row r="1985" spans="1:1">
      <c r="A1985">
        <v>1984</v>
      </c>
    </row>
    <row r="1986" spans="1:1">
      <c r="A1986">
        <v>1985</v>
      </c>
    </row>
    <row r="1987" spans="1:1">
      <c r="A1987">
        <v>1986</v>
      </c>
    </row>
    <row r="1988" spans="1:1">
      <c r="A1988">
        <v>1987</v>
      </c>
    </row>
    <row r="1989" spans="1:1">
      <c r="A1989">
        <v>1988</v>
      </c>
    </row>
    <row r="1990" spans="1:1">
      <c r="A1990">
        <v>1989</v>
      </c>
    </row>
    <row r="1991" spans="1:1">
      <c r="A1991">
        <v>1990</v>
      </c>
    </row>
    <row r="1992" spans="1:1">
      <c r="A1992">
        <v>1991</v>
      </c>
    </row>
    <row r="1993" spans="1:1">
      <c r="A1993">
        <v>1992</v>
      </c>
    </row>
    <row r="1994" spans="1:1">
      <c r="A1994">
        <v>1993</v>
      </c>
    </row>
    <row r="1995" spans="1:1">
      <c r="A1995">
        <v>1994</v>
      </c>
    </row>
    <row r="1996" spans="1:1">
      <c r="A1996">
        <v>1995</v>
      </c>
    </row>
    <row r="1997" spans="1:1">
      <c r="A1997">
        <v>1996</v>
      </c>
    </row>
    <row r="1998" spans="1:1">
      <c r="A1998">
        <v>1997</v>
      </c>
    </row>
    <row r="1999" spans="1:1">
      <c r="A1999">
        <v>1998</v>
      </c>
    </row>
    <row r="2000" spans="1:1">
      <c r="A2000">
        <v>1999</v>
      </c>
    </row>
    <row r="2001" spans="1:1">
      <c r="A2001">
        <v>2000</v>
      </c>
    </row>
    <row r="2002" spans="1:1">
      <c r="A2002">
        <v>2001</v>
      </c>
    </row>
    <row r="2003" spans="1:1">
      <c r="A2003">
        <v>2002</v>
      </c>
    </row>
    <row r="2004" spans="1:1">
      <c r="A2004">
        <v>2003</v>
      </c>
    </row>
    <row r="2005" spans="1:1">
      <c r="A2005">
        <v>2004</v>
      </c>
    </row>
    <row r="2006" spans="1:1">
      <c r="A2006">
        <v>2005</v>
      </c>
    </row>
    <row r="2007" spans="1:1">
      <c r="A2007">
        <v>2006</v>
      </c>
    </row>
    <row r="2008" spans="1:1">
      <c r="A2008">
        <v>2007</v>
      </c>
    </row>
    <row r="2009" spans="1:1">
      <c r="A2009">
        <v>2008</v>
      </c>
    </row>
    <row r="2010" spans="1:1">
      <c r="A2010">
        <v>2009</v>
      </c>
    </row>
    <row r="2011" spans="1:1">
      <c r="A2011">
        <v>2010</v>
      </c>
    </row>
    <row r="2012" spans="1:1">
      <c r="A2012">
        <v>2011</v>
      </c>
    </row>
    <row r="2013" spans="1:1">
      <c r="A2013">
        <v>2012</v>
      </c>
    </row>
    <row r="2014" spans="1:1">
      <c r="A2014">
        <v>2013</v>
      </c>
    </row>
    <row r="2015" spans="1:1">
      <c r="A2015">
        <v>2014</v>
      </c>
    </row>
    <row r="2016" spans="1:1">
      <c r="A2016">
        <v>2015</v>
      </c>
    </row>
    <row r="2017" spans="1:1">
      <c r="A2017">
        <v>2016</v>
      </c>
    </row>
    <row r="2018" spans="1:1">
      <c r="A2018">
        <v>2017</v>
      </c>
    </row>
    <row r="2019" spans="1:1">
      <c r="A2019">
        <v>2018</v>
      </c>
    </row>
    <row r="2020" spans="1:1">
      <c r="A2020">
        <v>2019</v>
      </c>
    </row>
    <row r="2021" spans="1:1">
      <c r="A2021">
        <v>2020</v>
      </c>
    </row>
    <row r="2022" spans="1:1">
      <c r="A2022">
        <v>2021</v>
      </c>
    </row>
    <row r="2023" spans="1:1">
      <c r="A2023">
        <v>2022</v>
      </c>
    </row>
    <row r="2024" spans="1:1">
      <c r="A2024">
        <v>2023</v>
      </c>
    </row>
    <row r="2025" spans="1:1">
      <c r="A2025">
        <v>2024</v>
      </c>
    </row>
    <row r="2026" spans="1:1">
      <c r="A2026">
        <v>2025</v>
      </c>
    </row>
    <row r="2027" spans="1:1">
      <c r="A2027">
        <v>2026</v>
      </c>
    </row>
    <row r="2028" spans="1:1">
      <c r="A2028">
        <v>2027</v>
      </c>
    </row>
    <row r="2029" spans="1:1">
      <c r="A2029">
        <v>2028</v>
      </c>
    </row>
    <row r="2030" spans="1:1">
      <c r="A2030">
        <v>2029</v>
      </c>
    </row>
    <row r="2031" spans="1:1">
      <c r="A2031">
        <v>2030</v>
      </c>
    </row>
    <row r="2032" spans="1:1">
      <c r="A2032">
        <v>2031</v>
      </c>
    </row>
    <row r="2033" spans="1:1">
      <c r="A2033">
        <v>2032</v>
      </c>
    </row>
    <row r="2034" spans="1:1">
      <c r="A2034">
        <v>2033</v>
      </c>
    </row>
    <row r="2035" spans="1:1">
      <c r="A2035">
        <v>2034</v>
      </c>
    </row>
    <row r="2036" spans="1:1">
      <c r="A2036">
        <v>2035</v>
      </c>
    </row>
    <row r="2037" spans="1:1">
      <c r="A2037">
        <v>2036</v>
      </c>
    </row>
    <row r="2038" spans="1:1">
      <c r="A2038">
        <v>2037</v>
      </c>
    </row>
    <row r="2039" spans="1:1">
      <c r="A2039">
        <v>2038</v>
      </c>
    </row>
    <row r="2040" spans="1:1">
      <c r="A2040">
        <v>2039</v>
      </c>
    </row>
    <row r="2041" spans="1:1">
      <c r="A2041">
        <v>2040</v>
      </c>
    </row>
    <row r="2042" spans="1:1">
      <c r="A2042">
        <v>2041</v>
      </c>
    </row>
    <row r="2043" spans="1:1">
      <c r="A2043">
        <v>2042</v>
      </c>
    </row>
    <row r="2044" spans="1:1">
      <c r="A2044">
        <v>2043</v>
      </c>
    </row>
    <row r="2045" spans="1:1">
      <c r="A2045">
        <v>2044</v>
      </c>
    </row>
    <row r="2046" spans="1:1">
      <c r="A2046">
        <v>2045</v>
      </c>
    </row>
    <row r="2047" spans="1:1">
      <c r="A2047">
        <v>2046</v>
      </c>
    </row>
    <row r="2048" spans="1:1">
      <c r="A2048">
        <v>2047</v>
      </c>
    </row>
    <row r="2049" spans="1:1">
      <c r="A2049">
        <v>2048</v>
      </c>
    </row>
    <row r="2050" spans="1:1">
      <c r="A2050">
        <v>2049</v>
      </c>
    </row>
    <row r="2051" spans="1:1">
      <c r="A2051">
        <v>2050</v>
      </c>
    </row>
    <row r="2052" spans="1:1">
      <c r="A2052">
        <v>2051</v>
      </c>
    </row>
    <row r="2053" spans="1:1">
      <c r="A2053">
        <v>2052</v>
      </c>
    </row>
    <row r="2054" spans="1:1">
      <c r="A2054">
        <v>2053</v>
      </c>
    </row>
    <row r="2055" spans="1:1">
      <c r="A2055">
        <v>2054</v>
      </c>
    </row>
    <row r="2056" spans="1:1">
      <c r="A2056">
        <v>2055</v>
      </c>
    </row>
    <row r="2057" spans="1:1">
      <c r="A2057">
        <v>2056</v>
      </c>
    </row>
    <row r="2058" spans="1:1">
      <c r="A2058">
        <v>2057</v>
      </c>
    </row>
    <row r="2059" spans="1:1">
      <c r="A2059">
        <v>2058</v>
      </c>
    </row>
    <row r="2060" spans="1:1">
      <c r="A2060">
        <v>2059</v>
      </c>
    </row>
    <row r="2061" spans="1:1">
      <c r="A2061">
        <v>2060</v>
      </c>
    </row>
    <row r="2062" spans="1:1">
      <c r="A2062">
        <v>2061</v>
      </c>
    </row>
    <row r="2063" spans="1:1">
      <c r="A2063">
        <v>2062</v>
      </c>
    </row>
    <row r="2064" spans="1:1">
      <c r="A2064">
        <v>2063</v>
      </c>
    </row>
    <row r="2065" spans="1:1">
      <c r="A2065">
        <v>2064</v>
      </c>
    </row>
    <row r="2066" spans="1:1">
      <c r="A2066">
        <v>2065</v>
      </c>
    </row>
    <row r="2067" spans="1:1">
      <c r="A2067">
        <v>2066</v>
      </c>
    </row>
    <row r="2068" spans="1:1">
      <c r="A2068">
        <v>2067</v>
      </c>
    </row>
    <row r="2069" spans="1:1">
      <c r="A2069">
        <v>2068</v>
      </c>
    </row>
    <row r="2070" spans="1:1">
      <c r="A2070">
        <v>2069</v>
      </c>
    </row>
    <row r="2071" spans="1:1">
      <c r="A2071">
        <v>2070</v>
      </c>
    </row>
    <row r="2072" spans="1:1">
      <c r="A2072">
        <v>2071</v>
      </c>
    </row>
    <row r="2073" spans="1:1">
      <c r="A2073">
        <v>2072</v>
      </c>
    </row>
    <row r="2074" spans="1:1">
      <c r="A2074">
        <v>2073</v>
      </c>
    </row>
    <row r="2075" spans="1:1">
      <c r="A2075">
        <v>2074</v>
      </c>
    </row>
    <row r="2076" spans="1:1">
      <c r="A2076">
        <v>2075</v>
      </c>
    </row>
    <row r="2077" spans="1:1">
      <c r="A2077">
        <v>2076</v>
      </c>
    </row>
    <row r="2078" spans="1:1">
      <c r="A2078">
        <v>2077</v>
      </c>
    </row>
    <row r="2079" spans="1:1">
      <c r="A2079">
        <v>2078</v>
      </c>
    </row>
    <row r="2080" spans="1:1">
      <c r="A2080">
        <v>2079</v>
      </c>
    </row>
    <row r="2081" spans="1:1">
      <c r="A2081">
        <v>2080</v>
      </c>
    </row>
    <row r="2082" spans="1:1">
      <c r="A2082">
        <v>2081</v>
      </c>
    </row>
    <row r="2083" spans="1:1">
      <c r="A2083">
        <v>2082</v>
      </c>
    </row>
    <row r="2084" spans="1:1">
      <c r="A2084">
        <v>2083</v>
      </c>
    </row>
    <row r="2085" spans="1:1">
      <c r="A2085">
        <v>2084</v>
      </c>
    </row>
    <row r="2086" spans="1:1">
      <c r="A2086">
        <v>2085</v>
      </c>
    </row>
    <row r="2087" spans="1:1">
      <c r="A2087">
        <v>2086</v>
      </c>
    </row>
    <row r="2088" spans="1:1">
      <c r="A2088">
        <v>2087</v>
      </c>
    </row>
    <row r="2089" spans="1:1">
      <c r="A2089">
        <v>2088</v>
      </c>
    </row>
    <row r="2090" spans="1:1">
      <c r="A2090">
        <v>2089</v>
      </c>
    </row>
    <row r="2091" spans="1:1">
      <c r="A2091">
        <v>2090</v>
      </c>
    </row>
    <row r="2092" spans="1:1">
      <c r="A2092">
        <v>2091</v>
      </c>
    </row>
    <row r="2093" spans="1:1">
      <c r="A2093">
        <v>2092</v>
      </c>
    </row>
    <row r="2094" spans="1:1">
      <c r="A2094">
        <v>2093</v>
      </c>
    </row>
    <row r="2095" spans="1:1">
      <c r="A2095">
        <v>2094</v>
      </c>
    </row>
    <row r="2096" spans="1:1">
      <c r="A2096">
        <v>2095</v>
      </c>
    </row>
    <row r="2097" spans="1:1">
      <c r="A2097">
        <v>2096</v>
      </c>
    </row>
    <row r="2098" spans="1:1">
      <c r="A2098">
        <v>2097</v>
      </c>
    </row>
    <row r="2099" spans="1:1">
      <c r="A2099">
        <v>2098</v>
      </c>
    </row>
    <row r="2100" spans="1:1">
      <c r="A2100">
        <v>2099</v>
      </c>
    </row>
    <row r="2101" spans="1:1">
      <c r="A2101">
        <v>2100</v>
      </c>
    </row>
    <row r="2102" spans="1:1">
      <c r="A2102">
        <v>2101</v>
      </c>
    </row>
    <row r="2103" spans="1:1">
      <c r="A2103">
        <v>2102</v>
      </c>
    </row>
    <row r="2104" spans="1:1">
      <c r="A2104">
        <v>2103</v>
      </c>
    </row>
    <row r="2105" spans="1:1">
      <c r="A2105">
        <v>2104</v>
      </c>
    </row>
    <row r="2106" spans="1:1">
      <c r="A2106">
        <v>2105</v>
      </c>
    </row>
    <row r="2107" spans="1:1">
      <c r="A2107">
        <v>2106</v>
      </c>
    </row>
    <row r="2108" spans="1:1">
      <c r="A2108">
        <v>2107</v>
      </c>
    </row>
    <row r="2109" spans="1:1">
      <c r="A2109">
        <v>2108</v>
      </c>
    </row>
    <row r="2110" spans="1:1">
      <c r="A2110">
        <v>2109</v>
      </c>
    </row>
    <row r="2111" spans="1:1">
      <c r="A2111">
        <v>2110</v>
      </c>
    </row>
    <row r="2112" spans="1:1">
      <c r="A2112">
        <v>2111</v>
      </c>
    </row>
    <row r="2113" spans="1:1">
      <c r="A2113">
        <v>2112</v>
      </c>
    </row>
    <row r="2114" spans="1:1">
      <c r="A2114">
        <v>2113</v>
      </c>
    </row>
    <row r="2115" spans="1:1">
      <c r="A2115">
        <v>2114</v>
      </c>
    </row>
    <row r="2116" spans="1:1">
      <c r="A2116">
        <v>2115</v>
      </c>
    </row>
    <row r="2117" spans="1:1">
      <c r="A2117">
        <v>2116</v>
      </c>
    </row>
    <row r="2118" spans="1:1">
      <c r="A2118">
        <v>2117</v>
      </c>
    </row>
    <row r="2119" spans="1:1">
      <c r="A2119">
        <v>2118</v>
      </c>
    </row>
    <row r="2120" spans="1:1">
      <c r="A2120">
        <v>2119</v>
      </c>
    </row>
    <row r="2121" spans="1:1">
      <c r="A2121">
        <v>2120</v>
      </c>
    </row>
    <row r="2122" spans="1:1">
      <c r="A2122">
        <v>2121</v>
      </c>
    </row>
    <row r="2123" spans="1:1">
      <c r="A2123">
        <v>2122</v>
      </c>
    </row>
    <row r="2124" spans="1:1">
      <c r="A2124">
        <v>2123</v>
      </c>
    </row>
    <row r="2125" spans="1:1">
      <c r="A2125">
        <v>2124</v>
      </c>
    </row>
    <row r="2126" spans="1:1">
      <c r="A2126">
        <v>2125</v>
      </c>
    </row>
    <row r="2127" spans="1:1">
      <c r="A2127">
        <v>2126</v>
      </c>
    </row>
    <row r="2128" spans="1:1">
      <c r="A2128">
        <v>2127</v>
      </c>
    </row>
    <row r="2129" spans="1:1">
      <c r="A2129">
        <v>2128</v>
      </c>
    </row>
    <row r="2130" spans="1:1">
      <c r="A2130">
        <v>2129</v>
      </c>
    </row>
    <row r="2131" spans="1:1">
      <c r="A2131">
        <v>2130</v>
      </c>
    </row>
    <row r="2132" spans="1:1">
      <c r="A2132">
        <v>2131</v>
      </c>
    </row>
    <row r="2133" spans="1:1">
      <c r="A2133">
        <v>2132</v>
      </c>
    </row>
    <row r="2134" spans="1:1">
      <c r="A2134">
        <v>2133</v>
      </c>
    </row>
    <row r="2135" spans="1:1">
      <c r="A2135">
        <v>2134</v>
      </c>
    </row>
    <row r="2136" spans="1:1">
      <c r="A2136">
        <v>2135</v>
      </c>
    </row>
    <row r="2137" spans="1:1">
      <c r="A2137">
        <v>2136</v>
      </c>
    </row>
    <row r="2138" spans="1:1">
      <c r="A2138">
        <v>2137</v>
      </c>
    </row>
    <row r="2139" spans="1:1">
      <c r="A2139">
        <v>2138</v>
      </c>
    </row>
    <row r="2140" spans="1:1">
      <c r="A2140">
        <v>2139</v>
      </c>
    </row>
    <row r="2141" spans="1:1">
      <c r="A2141">
        <v>2140</v>
      </c>
    </row>
    <row r="2142" spans="1:1">
      <c r="A2142">
        <v>2141</v>
      </c>
    </row>
    <row r="2143" spans="1:1">
      <c r="A2143">
        <v>2142</v>
      </c>
    </row>
    <row r="2144" spans="1:1">
      <c r="A2144">
        <v>2143</v>
      </c>
    </row>
    <row r="2145" spans="1:1">
      <c r="A2145">
        <v>2144</v>
      </c>
    </row>
    <row r="2146" spans="1:1">
      <c r="A2146">
        <v>2145</v>
      </c>
    </row>
    <row r="2147" spans="1:1">
      <c r="A2147">
        <v>2146</v>
      </c>
    </row>
    <row r="2148" spans="1:1">
      <c r="A2148">
        <v>2147</v>
      </c>
    </row>
    <row r="2149" spans="1:1">
      <c r="A2149">
        <v>2148</v>
      </c>
    </row>
    <row r="2150" spans="1:1">
      <c r="A2150">
        <v>2149</v>
      </c>
    </row>
    <row r="2151" spans="1:1">
      <c r="A2151">
        <v>2150</v>
      </c>
    </row>
    <row r="2152" spans="1:1">
      <c r="A2152">
        <v>2151</v>
      </c>
    </row>
    <row r="2153" spans="1:1">
      <c r="A2153">
        <v>2152</v>
      </c>
    </row>
    <row r="2154" spans="1:1">
      <c r="A2154">
        <v>2153</v>
      </c>
    </row>
    <row r="2155" spans="1:1">
      <c r="A2155">
        <v>2154</v>
      </c>
    </row>
    <row r="2156" spans="1:1">
      <c r="A2156">
        <v>2155</v>
      </c>
    </row>
    <row r="2157" spans="1:1">
      <c r="A2157">
        <v>2156</v>
      </c>
    </row>
    <row r="2158" spans="1:1">
      <c r="A2158">
        <v>2157</v>
      </c>
    </row>
    <row r="2159" spans="1:1">
      <c r="A2159">
        <v>2158</v>
      </c>
    </row>
    <row r="2160" spans="1:1">
      <c r="A2160">
        <v>2159</v>
      </c>
    </row>
    <row r="2161" spans="1:1">
      <c r="A2161">
        <v>2160</v>
      </c>
    </row>
    <row r="2162" spans="1:1">
      <c r="A2162">
        <v>2161</v>
      </c>
    </row>
    <row r="2163" spans="1:1">
      <c r="A2163">
        <v>2162</v>
      </c>
    </row>
    <row r="2164" spans="1:1">
      <c r="A2164">
        <v>2163</v>
      </c>
    </row>
    <row r="2165" spans="1:1">
      <c r="A2165">
        <v>2164</v>
      </c>
    </row>
    <row r="2166" spans="1:1">
      <c r="A2166">
        <v>2165</v>
      </c>
    </row>
    <row r="2167" spans="1:1">
      <c r="A2167">
        <v>2166</v>
      </c>
    </row>
    <row r="2168" spans="1:1">
      <c r="A2168">
        <v>2167</v>
      </c>
    </row>
    <row r="2169" spans="1:1">
      <c r="A2169">
        <v>2168</v>
      </c>
    </row>
    <row r="2170" spans="1:1">
      <c r="A2170">
        <v>2169</v>
      </c>
    </row>
    <row r="2171" spans="1:1">
      <c r="A2171">
        <v>2170</v>
      </c>
    </row>
    <row r="2172" spans="1:1">
      <c r="A2172">
        <v>2171</v>
      </c>
    </row>
    <row r="2173" spans="1:1">
      <c r="A2173">
        <v>2172</v>
      </c>
    </row>
    <row r="2174" spans="1:1">
      <c r="A2174">
        <v>2173</v>
      </c>
    </row>
    <row r="2175" spans="1:1">
      <c r="A2175">
        <v>2174</v>
      </c>
    </row>
    <row r="2176" spans="1:1">
      <c r="A2176">
        <v>2175</v>
      </c>
    </row>
    <row r="2177" spans="1:1">
      <c r="A2177">
        <v>2176</v>
      </c>
    </row>
    <row r="2178" spans="1:1">
      <c r="A2178">
        <v>2177</v>
      </c>
    </row>
    <row r="2179" spans="1:1">
      <c r="A2179">
        <v>2178</v>
      </c>
    </row>
    <row r="2180" spans="1:1">
      <c r="A2180">
        <v>2179</v>
      </c>
    </row>
    <row r="2181" spans="1:1">
      <c r="A2181">
        <v>2180</v>
      </c>
    </row>
    <row r="2182" spans="1:1">
      <c r="A2182">
        <v>2181</v>
      </c>
    </row>
    <row r="2183" spans="1:1">
      <c r="A2183">
        <v>2182</v>
      </c>
    </row>
    <row r="2184" spans="1:1">
      <c r="A2184">
        <v>2183</v>
      </c>
    </row>
    <row r="2185" spans="1:1">
      <c r="A2185">
        <v>2184</v>
      </c>
    </row>
    <row r="2186" spans="1:1">
      <c r="A2186">
        <v>2185</v>
      </c>
    </row>
    <row r="2187" spans="1:1">
      <c r="A2187">
        <v>2186</v>
      </c>
    </row>
    <row r="2188" spans="1:1">
      <c r="A2188">
        <v>2187</v>
      </c>
    </row>
    <row r="2189" spans="1:1">
      <c r="A2189">
        <v>2188</v>
      </c>
    </row>
    <row r="2190" spans="1:1">
      <c r="A2190">
        <v>2189</v>
      </c>
    </row>
    <row r="2191" spans="1:1">
      <c r="A2191">
        <v>2190</v>
      </c>
    </row>
    <row r="2192" spans="1:1">
      <c r="A2192">
        <v>2191</v>
      </c>
    </row>
    <row r="2193" spans="1:1">
      <c r="A2193">
        <v>2192</v>
      </c>
    </row>
    <row r="2194" spans="1:1">
      <c r="A2194">
        <v>2193</v>
      </c>
    </row>
    <row r="2195" spans="1:1">
      <c r="A2195">
        <v>2194</v>
      </c>
    </row>
    <row r="2196" spans="1:1">
      <c r="A2196">
        <v>2195</v>
      </c>
    </row>
    <row r="2197" spans="1:1">
      <c r="A2197">
        <v>2196</v>
      </c>
    </row>
    <row r="2198" spans="1:1">
      <c r="A2198">
        <v>2197</v>
      </c>
    </row>
    <row r="2199" spans="1:1">
      <c r="A2199">
        <v>2198</v>
      </c>
    </row>
    <row r="2200" spans="1:1">
      <c r="A2200">
        <v>2199</v>
      </c>
    </row>
    <row r="2201" spans="1:1">
      <c r="A2201">
        <v>2200</v>
      </c>
    </row>
    <row r="2202" spans="1:1">
      <c r="A2202">
        <v>2201</v>
      </c>
    </row>
    <row r="2203" spans="1:1">
      <c r="A2203">
        <v>2202</v>
      </c>
    </row>
    <row r="2204" spans="1:1">
      <c r="A2204">
        <v>2203</v>
      </c>
    </row>
    <row r="2205" spans="1:1">
      <c r="A2205">
        <v>2204</v>
      </c>
    </row>
    <row r="2206" spans="1:1">
      <c r="A2206">
        <v>2205</v>
      </c>
    </row>
    <row r="2207" spans="1:1">
      <c r="A2207">
        <v>2206</v>
      </c>
    </row>
    <row r="2208" spans="1:1">
      <c r="A2208">
        <v>2207</v>
      </c>
    </row>
    <row r="2209" spans="1:1">
      <c r="A2209">
        <v>2208</v>
      </c>
    </row>
    <row r="2210" spans="1:1">
      <c r="A2210">
        <v>2209</v>
      </c>
    </row>
    <row r="2211" spans="1:1">
      <c r="A2211">
        <v>2210</v>
      </c>
    </row>
    <row r="2212" spans="1:1">
      <c r="A2212">
        <v>2211</v>
      </c>
    </row>
    <row r="2213" spans="1:1">
      <c r="A2213">
        <v>2212</v>
      </c>
    </row>
    <row r="2214" spans="1:1">
      <c r="A2214">
        <v>2213</v>
      </c>
    </row>
    <row r="2215" spans="1:1">
      <c r="A2215">
        <v>2214</v>
      </c>
    </row>
    <row r="2216" spans="1:1">
      <c r="A2216">
        <v>2215</v>
      </c>
    </row>
    <row r="2217" spans="1:1">
      <c r="A2217">
        <v>2216</v>
      </c>
    </row>
    <row r="2218" spans="1:1">
      <c r="A2218">
        <v>2217</v>
      </c>
    </row>
    <row r="2219" spans="1:1">
      <c r="A2219">
        <v>2218</v>
      </c>
    </row>
    <row r="2220" spans="1:1">
      <c r="A2220">
        <v>2219</v>
      </c>
    </row>
    <row r="2221" spans="1:1">
      <c r="A2221">
        <v>2220</v>
      </c>
    </row>
    <row r="2222" spans="1:1">
      <c r="A2222">
        <v>2221</v>
      </c>
    </row>
    <row r="2223" spans="1:1">
      <c r="A2223">
        <v>2222</v>
      </c>
    </row>
    <row r="2224" spans="1:1">
      <c r="A2224">
        <v>2223</v>
      </c>
    </row>
    <row r="2225" spans="1:1">
      <c r="A2225">
        <v>2224</v>
      </c>
    </row>
    <row r="2226" spans="1:1">
      <c r="A2226">
        <v>2225</v>
      </c>
    </row>
    <row r="2227" spans="1:1">
      <c r="A2227">
        <v>2226</v>
      </c>
    </row>
    <row r="2228" spans="1:1">
      <c r="A2228">
        <v>2227</v>
      </c>
    </row>
    <row r="2229" spans="1:1">
      <c r="A2229">
        <v>2228</v>
      </c>
    </row>
    <row r="2230" spans="1:1">
      <c r="A2230">
        <v>2229</v>
      </c>
    </row>
    <row r="2231" spans="1:1">
      <c r="A2231">
        <v>2230</v>
      </c>
    </row>
    <row r="2232" spans="1:1">
      <c r="A2232">
        <v>2231</v>
      </c>
    </row>
    <row r="2233" spans="1:1">
      <c r="A2233">
        <v>2232</v>
      </c>
    </row>
    <row r="2234" spans="1:1">
      <c r="A2234">
        <v>2233</v>
      </c>
    </row>
    <row r="2235" spans="1:1">
      <c r="A2235">
        <v>2234</v>
      </c>
    </row>
    <row r="2236" spans="1:1">
      <c r="A2236">
        <v>2235</v>
      </c>
    </row>
    <row r="2237" spans="1:1">
      <c r="A2237">
        <v>2236</v>
      </c>
    </row>
    <row r="2238" spans="1:1">
      <c r="A2238">
        <v>2237</v>
      </c>
    </row>
    <row r="2239" spans="1:1">
      <c r="A2239">
        <v>2238</v>
      </c>
    </row>
    <row r="2240" spans="1:1">
      <c r="A2240">
        <v>2239</v>
      </c>
    </row>
    <row r="2241" spans="1:1">
      <c r="A2241">
        <v>2240</v>
      </c>
    </row>
    <row r="2242" spans="1:1">
      <c r="A2242">
        <v>2241</v>
      </c>
    </row>
    <row r="2243" spans="1:1">
      <c r="A2243">
        <v>2242</v>
      </c>
    </row>
    <row r="2244" spans="1:1">
      <c r="A2244">
        <v>2243</v>
      </c>
    </row>
    <row r="2245" spans="1:1">
      <c r="A2245">
        <v>2244</v>
      </c>
    </row>
    <row r="2246" spans="1:1">
      <c r="A2246">
        <v>2245</v>
      </c>
    </row>
    <row r="2247" spans="1:1">
      <c r="A2247">
        <v>2246</v>
      </c>
    </row>
    <row r="2248" spans="1:1">
      <c r="A2248">
        <v>2247</v>
      </c>
    </row>
    <row r="2249" spans="1:1">
      <c r="A2249">
        <v>2248</v>
      </c>
    </row>
    <row r="2250" spans="1:1">
      <c r="A2250">
        <v>2249</v>
      </c>
    </row>
    <row r="2251" spans="1:1">
      <c r="A2251">
        <v>2250</v>
      </c>
    </row>
    <row r="2252" spans="1:1">
      <c r="A2252">
        <v>2251</v>
      </c>
    </row>
    <row r="2253" spans="1:1">
      <c r="A2253">
        <v>2252</v>
      </c>
    </row>
    <row r="2254" spans="1:1">
      <c r="A2254">
        <v>2253</v>
      </c>
    </row>
    <row r="2255" spans="1:1">
      <c r="A2255">
        <v>2254</v>
      </c>
    </row>
    <row r="2256" spans="1:1">
      <c r="A2256">
        <v>2255</v>
      </c>
    </row>
    <row r="2257" spans="1:1">
      <c r="A2257">
        <v>2256</v>
      </c>
    </row>
    <row r="2258" spans="1:1">
      <c r="A2258">
        <v>2257</v>
      </c>
    </row>
    <row r="2259" spans="1:1">
      <c r="A2259">
        <v>2258</v>
      </c>
    </row>
    <row r="2260" spans="1:1">
      <c r="A2260">
        <v>2259</v>
      </c>
    </row>
    <row r="2261" spans="1:1">
      <c r="A2261">
        <v>2260</v>
      </c>
    </row>
    <row r="2262" spans="1:1">
      <c r="A2262">
        <v>2261</v>
      </c>
    </row>
    <row r="2263" spans="1:1">
      <c r="A2263">
        <v>2262</v>
      </c>
    </row>
    <row r="2264" spans="1:1">
      <c r="A2264">
        <v>2263</v>
      </c>
    </row>
    <row r="2265" spans="1:1">
      <c r="A2265">
        <v>2264</v>
      </c>
    </row>
    <row r="2266" spans="1:1">
      <c r="A2266">
        <v>2265</v>
      </c>
    </row>
    <row r="2267" spans="1:1">
      <c r="A2267">
        <v>2266</v>
      </c>
    </row>
    <row r="2268" spans="1:1">
      <c r="A2268">
        <v>2267</v>
      </c>
    </row>
    <row r="2269" spans="1:1">
      <c r="A2269">
        <v>2268</v>
      </c>
    </row>
    <row r="2270" spans="1:1">
      <c r="A2270">
        <v>2269</v>
      </c>
    </row>
    <row r="2271" spans="1:1">
      <c r="A2271">
        <v>2270</v>
      </c>
    </row>
    <row r="2272" spans="1:1">
      <c r="A2272">
        <v>2271</v>
      </c>
    </row>
    <row r="2273" spans="1:1">
      <c r="A2273">
        <v>2272</v>
      </c>
    </row>
    <row r="2274" spans="1:1">
      <c r="A2274">
        <v>2273</v>
      </c>
    </row>
    <row r="2275" spans="1:1">
      <c r="A2275">
        <v>2274</v>
      </c>
    </row>
    <row r="2276" spans="1:1">
      <c r="A2276">
        <v>2275</v>
      </c>
    </row>
    <row r="2277" spans="1:1">
      <c r="A2277">
        <v>2276</v>
      </c>
    </row>
    <row r="2278" spans="1:1">
      <c r="A2278">
        <v>2277</v>
      </c>
    </row>
    <row r="2279" spans="1:1">
      <c r="A2279">
        <v>2278</v>
      </c>
    </row>
    <row r="2280" spans="1:1">
      <c r="A2280">
        <v>2279</v>
      </c>
    </row>
    <row r="2281" spans="1:1">
      <c r="A2281">
        <v>2280</v>
      </c>
    </row>
    <row r="2282" spans="1:1">
      <c r="A2282">
        <v>2281</v>
      </c>
    </row>
    <row r="2283" spans="1:1">
      <c r="A2283">
        <v>2282</v>
      </c>
    </row>
    <row r="2284" spans="1:1">
      <c r="A2284">
        <v>2283</v>
      </c>
    </row>
    <row r="2285" spans="1:1">
      <c r="A2285">
        <v>2284</v>
      </c>
    </row>
    <row r="2286" spans="1:1">
      <c r="A2286">
        <v>2285</v>
      </c>
    </row>
    <row r="2287" spans="1:1">
      <c r="A2287">
        <v>2286</v>
      </c>
    </row>
    <row r="2288" spans="1:1">
      <c r="A2288">
        <v>2287</v>
      </c>
    </row>
    <row r="2289" spans="1:1">
      <c r="A2289">
        <v>2288</v>
      </c>
    </row>
    <row r="2290" spans="1:1">
      <c r="A2290">
        <v>2289</v>
      </c>
    </row>
    <row r="2291" spans="1:1">
      <c r="A2291">
        <v>2290</v>
      </c>
    </row>
    <row r="2292" spans="1:1">
      <c r="A2292">
        <v>2291</v>
      </c>
    </row>
    <row r="2293" spans="1:1">
      <c r="A2293">
        <v>2292</v>
      </c>
    </row>
    <row r="2294" spans="1:1">
      <c r="A2294">
        <v>2293</v>
      </c>
    </row>
    <row r="2295" spans="1:1">
      <c r="A2295">
        <v>2294</v>
      </c>
    </row>
    <row r="2296" spans="1:1">
      <c r="A2296">
        <v>2295</v>
      </c>
    </row>
    <row r="2297" spans="1:1">
      <c r="A2297">
        <v>2296</v>
      </c>
    </row>
    <row r="2298" spans="1:1">
      <c r="A2298">
        <v>2297</v>
      </c>
    </row>
    <row r="2299" spans="1:1">
      <c r="A2299">
        <v>2298</v>
      </c>
    </row>
    <row r="2300" spans="1:1">
      <c r="A2300">
        <v>2299</v>
      </c>
    </row>
    <row r="2301" spans="1:1">
      <c r="A2301">
        <v>2300</v>
      </c>
    </row>
    <row r="2302" spans="1:1">
      <c r="A2302">
        <v>2301</v>
      </c>
    </row>
    <row r="2303" spans="1:1">
      <c r="A2303">
        <v>2302</v>
      </c>
    </row>
    <row r="2304" spans="1:1">
      <c r="A2304">
        <v>2303</v>
      </c>
    </row>
    <row r="2305" spans="1:1">
      <c r="A2305">
        <v>2304</v>
      </c>
    </row>
    <row r="2306" spans="1:1">
      <c r="A2306">
        <v>2305</v>
      </c>
    </row>
    <row r="2307" spans="1:1">
      <c r="A2307">
        <v>2306</v>
      </c>
    </row>
    <row r="2308" spans="1:1">
      <c r="A2308">
        <v>2307</v>
      </c>
    </row>
    <row r="2309" spans="1:1">
      <c r="A2309">
        <v>2308</v>
      </c>
    </row>
    <row r="2310" spans="1:1">
      <c r="A2310">
        <v>2309</v>
      </c>
    </row>
    <row r="2311" spans="1:1">
      <c r="A2311">
        <v>2310</v>
      </c>
    </row>
    <row r="2312" spans="1:1">
      <c r="A2312">
        <v>2311</v>
      </c>
    </row>
    <row r="2313" spans="1:1">
      <c r="A2313">
        <v>2312</v>
      </c>
    </row>
    <row r="2314" spans="1:1">
      <c r="A2314">
        <v>2313</v>
      </c>
    </row>
    <row r="2315" spans="1:1">
      <c r="A2315">
        <v>2314</v>
      </c>
    </row>
    <row r="2316" spans="1:1">
      <c r="A2316">
        <v>2315</v>
      </c>
    </row>
    <row r="2317" spans="1:1">
      <c r="A2317">
        <v>2316</v>
      </c>
    </row>
    <row r="2318" spans="1:1">
      <c r="A2318">
        <v>2317</v>
      </c>
    </row>
    <row r="2319" spans="1:1">
      <c r="A2319">
        <v>2318</v>
      </c>
    </row>
    <row r="2320" spans="1:1">
      <c r="A2320">
        <v>2319</v>
      </c>
    </row>
    <row r="2321" spans="1:1">
      <c r="A2321">
        <v>2320</v>
      </c>
    </row>
    <row r="2322" spans="1:1">
      <c r="A2322">
        <v>2321</v>
      </c>
    </row>
    <row r="2323" spans="1:1">
      <c r="A2323">
        <v>2322</v>
      </c>
    </row>
    <row r="2324" spans="1:1">
      <c r="A2324">
        <v>2323</v>
      </c>
    </row>
    <row r="2325" spans="1:1">
      <c r="A2325">
        <v>2324</v>
      </c>
    </row>
    <row r="2326" spans="1:1">
      <c r="A2326">
        <v>2325</v>
      </c>
    </row>
    <row r="2327" spans="1:1">
      <c r="A2327">
        <v>2326</v>
      </c>
    </row>
    <row r="2328" spans="1:1">
      <c r="A2328">
        <v>2327</v>
      </c>
    </row>
    <row r="2329" spans="1:1">
      <c r="A2329">
        <v>2328</v>
      </c>
    </row>
    <row r="2330" spans="1:1">
      <c r="A2330">
        <v>2329</v>
      </c>
    </row>
    <row r="2331" spans="1:1">
      <c r="A2331">
        <v>2330</v>
      </c>
    </row>
    <row r="2332" spans="1:1">
      <c r="A2332">
        <v>2331</v>
      </c>
    </row>
    <row r="2333" spans="1:1">
      <c r="A2333">
        <v>2332</v>
      </c>
    </row>
    <row r="2334" spans="1:1">
      <c r="A2334">
        <v>2333</v>
      </c>
    </row>
    <row r="2335" spans="1:1">
      <c r="A2335">
        <v>2334</v>
      </c>
    </row>
    <row r="2336" spans="1:1">
      <c r="A2336">
        <v>2335</v>
      </c>
    </row>
    <row r="2337" spans="1:1">
      <c r="A2337">
        <v>2336</v>
      </c>
    </row>
    <row r="2338" spans="1:1">
      <c r="A2338">
        <v>2337</v>
      </c>
    </row>
    <row r="2339" spans="1:1">
      <c r="A2339">
        <v>2338</v>
      </c>
    </row>
    <row r="2340" spans="1:1">
      <c r="A2340">
        <v>2339</v>
      </c>
    </row>
    <row r="2341" spans="1:1">
      <c r="A2341">
        <v>2340</v>
      </c>
    </row>
    <row r="2342" spans="1:1">
      <c r="A2342">
        <v>2341</v>
      </c>
    </row>
    <row r="2343" spans="1:1">
      <c r="A2343">
        <v>2342</v>
      </c>
    </row>
    <row r="2344" spans="1:1">
      <c r="A2344">
        <v>2343</v>
      </c>
    </row>
    <row r="2345" spans="1:1">
      <c r="A2345">
        <v>2344</v>
      </c>
    </row>
    <row r="2346" spans="1:1">
      <c r="A2346">
        <v>2345</v>
      </c>
    </row>
    <row r="2347" spans="1:1">
      <c r="A2347">
        <v>2346</v>
      </c>
    </row>
    <row r="2348" spans="1:1">
      <c r="A2348">
        <v>2347</v>
      </c>
    </row>
    <row r="2349" spans="1:1">
      <c r="A2349">
        <v>2348</v>
      </c>
    </row>
    <row r="2350" spans="1:1">
      <c r="A2350">
        <v>2349</v>
      </c>
    </row>
    <row r="2351" spans="1:1">
      <c r="A2351">
        <v>2350</v>
      </c>
    </row>
    <row r="2352" spans="1:1">
      <c r="A2352">
        <v>2351</v>
      </c>
    </row>
    <row r="2353" spans="1:1">
      <c r="A2353">
        <v>2352</v>
      </c>
    </row>
    <row r="2354" spans="1:1">
      <c r="A2354">
        <v>2353</v>
      </c>
    </row>
    <row r="2355" spans="1:1">
      <c r="A2355">
        <v>2354</v>
      </c>
    </row>
    <row r="2356" spans="1:1">
      <c r="A2356">
        <v>2355</v>
      </c>
    </row>
    <row r="2357" spans="1:1">
      <c r="A2357">
        <v>2356</v>
      </c>
    </row>
    <row r="2358" spans="1:1">
      <c r="A2358">
        <v>2357</v>
      </c>
    </row>
    <row r="2359" spans="1:1">
      <c r="A2359">
        <v>2358</v>
      </c>
    </row>
    <row r="2360" spans="1:1">
      <c r="A2360">
        <v>2359</v>
      </c>
    </row>
    <row r="2361" spans="1:1">
      <c r="A2361">
        <v>2360</v>
      </c>
    </row>
    <row r="2362" spans="1:1">
      <c r="A2362">
        <v>2361</v>
      </c>
    </row>
    <row r="2363" spans="1:1">
      <c r="A2363">
        <v>2362</v>
      </c>
    </row>
    <row r="2364" spans="1:1">
      <c r="A2364">
        <v>2363</v>
      </c>
    </row>
    <row r="2365" spans="1:1">
      <c r="A2365">
        <v>2364</v>
      </c>
    </row>
    <row r="2366" spans="1:1">
      <c r="A2366">
        <v>2365</v>
      </c>
    </row>
    <row r="2367" spans="1:1">
      <c r="A2367">
        <v>2366</v>
      </c>
    </row>
    <row r="2368" spans="1:1">
      <c r="A2368">
        <v>2367</v>
      </c>
    </row>
    <row r="2369" spans="1:1">
      <c r="A2369">
        <v>2368</v>
      </c>
    </row>
    <row r="2370" spans="1:1">
      <c r="A2370">
        <v>2369</v>
      </c>
    </row>
    <row r="2371" spans="1:1">
      <c r="A2371">
        <v>2370</v>
      </c>
    </row>
    <row r="2372" spans="1:1">
      <c r="A2372">
        <v>2371</v>
      </c>
    </row>
    <row r="2373" spans="1:1">
      <c r="A2373">
        <v>2372</v>
      </c>
    </row>
    <row r="2374" spans="1:1">
      <c r="A2374">
        <v>2373</v>
      </c>
    </row>
    <row r="2375" spans="1:1">
      <c r="A2375">
        <v>2374</v>
      </c>
    </row>
    <row r="2376" spans="1:1">
      <c r="A2376">
        <v>2375</v>
      </c>
    </row>
    <row r="2377" spans="1:1">
      <c r="A2377">
        <v>2376</v>
      </c>
    </row>
    <row r="2378" spans="1:1">
      <c r="A2378">
        <v>2377</v>
      </c>
    </row>
    <row r="2379" spans="1:1">
      <c r="A2379">
        <v>2378</v>
      </c>
    </row>
    <row r="2380" spans="1:1">
      <c r="A2380">
        <v>2379</v>
      </c>
    </row>
    <row r="2381" spans="1:1">
      <c r="A2381">
        <v>2380</v>
      </c>
    </row>
    <row r="2382" spans="1:1">
      <c r="A2382">
        <v>2381</v>
      </c>
    </row>
    <row r="2383" spans="1:1">
      <c r="A2383">
        <v>2382</v>
      </c>
    </row>
    <row r="2384" spans="1:1">
      <c r="A2384">
        <v>2383</v>
      </c>
    </row>
    <row r="2385" spans="1:1">
      <c r="A2385">
        <v>2384</v>
      </c>
    </row>
    <row r="2386" spans="1:1">
      <c r="A2386">
        <v>2385</v>
      </c>
    </row>
    <row r="2387" spans="1:1">
      <c r="A2387">
        <v>2386</v>
      </c>
    </row>
    <row r="2388" spans="1:1">
      <c r="A2388">
        <v>2387</v>
      </c>
    </row>
    <row r="2389" spans="1:1">
      <c r="A2389">
        <v>2388</v>
      </c>
    </row>
    <row r="2390" spans="1:1">
      <c r="A2390">
        <v>2389</v>
      </c>
    </row>
    <row r="2391" spans="1:1">
      <c r="A2391">
        <v>2390</v>
      </c>
    </row>
    <row r="2392" spans="1:1">
      <c r="A2392">
        <v>2391</v>
      </c>
    </row>
    <row r="2393" spans="1:1">
      <c r="A2393">
        <v>2392</v>
      </c>
    </row>
    <row r="2394" spans="1:1">
      <c r="A2394">
        <v>2393</v>
      </c>
    </row>
    <row r="2395" spans="1:1">
      <c r="A2395">
        <v>2394</v>
      </c>
    </row>
    <row r="2396" spans="1:1">
      <c r="A2396">
        <v>2395</v>
      </c>
    </row>
    <row r="2397" spans="1:1">
      <c r="A2397">
        <v>2396</v>
      </c>
    </row>
    <row r="2398" spans="1:1">
      <c r="A2398">
        <v>2397</v>
      </c>
    </row>
    <row r="2399" spans="1:1">
      <c r="A2399">
        <v>2398</v>
      </c>
    </row>
    <row r="2400" spans="1:1">
      <c r="A2400">
        <v>2399</v>
      </c>
    </row>
    <row r="2401" spans="1:1">
      <c r="A2401">
        <v>2400</v>
      </c>
    </row>
    <row r="2402" spans="1:1">
      <c r="A2402">
        <v>2401</v>
      </c>
    </row>
    <row r="2403" spans="1:1">
      <c r="A2403">
        <v>2402</v>
      </c>
    </row>
    <row r="2404" spans="1:1">
      <c r="A2404">
        <v>2403</v>
      </c>
    </row>
    <row r="2405" spans="1:1">
      <c r="A2405">
        <v>2404</v>
      </c>
    </row>
    <row r="2406" spans="1:1">
      <c r="A2406">
        <v>2405</v>
      </c>
    </row>
    <row r="2407" spans="1:1">
      <c r="A2407">
        <v>2406</v>
      </c>
    </row>
    <row r="2408" spans="1:1">
      <c r="A2408">
        <v>2407</v>
      </c>
    </row>
    <row r="2409" spans="1:1">
      <c r="A2409">
        <v>2408</v>
      </c>
    </row>
    <row r="2410" spans="1:1">
      <c r="A2410">
        <v>2409</v>
      </c>
    </row>
    <row r="2411" spans="1:1">
      <c r="A2411">
        <v>2410</v>
      </c>
    </row>
    <row r="2412" spans="1:1">
      <c r="A2412">
        <v>2411</v>
      </c>
    </row>
    <row r="2413" spans="1:1">
      <c r="A2413">
        <v>2412</v>
      </c>
    </row>
    <row r="2414" spans="1:1">
      <c r="A2414">
        <v>2413</v>
      </c>
    </row>
    <row r="2415" spans="1:1">
      <c r="A2415">
        <v>2414</v>
      </c>
    </row>
    <row r="2416" spans="1:1">
      <c r="A2416">
        <v>2415</v>
      </c>
    </row>
    <row r="2417" spans="1:1">
      <c r="A2417">
        <v>2416</v>
      </c>
    </row>
    <row r="2418" spans="1:1">
      <c r="A2418">
        <v>2417</v>
      </c>
    </row>
    <row r="2419" spans="1:1">
      <c r="A2419">
        <v>2418</v>
      </c>
    </row>
    <row r="2420" spans="1:1">
      <c r="A2420">
        <v>2419</v>
      </c>
    </row>
    <row r="2421" spans="1:1">
      <c r="A2421">
        <v>2420</v>
      </c>
    </row>
    <row r="2422" spans="1:1">
      <c r="A2422">
        <v>2421</v>
      </c>
    </row>
    <row r="2423" spans="1:1">
      <c r="A2423">
        <v>2422</v>
      </c>
    </row>
    <row r="2424" spans="1:1">
      <c r="A2424">
        <v>2423</v>
      </c>
    </row>
    <row r="2425" spans="1:1">
      <c r="A2425">
        <v>2424</v>
      </c>
    </row>
    <row r="2426" spans="1:1">
      <c r="A2426">
        <v>2425</v>
      </c>
    </row>
    <row r="2427" spans="1:1">
      <c r="A2427">
        <v>2426</v>
      </c>
    </row>
    <row r="2428" spans="1:1">
      <c r="A2428">
        <v>2427</v>
      </c>
    </row>
    <row r="2429" spans="1:1">
      <c r="A2429">
        <v>2428</v>
      </c>
    </row>
    <row r="2430" spans="1:1">
      <c r="A2430">
        <v>2429</v>
      </c>
    </row>
    <row r="2431" spans="1:1">
      <c r="A2431">
        <v>2430</v>
      </c>
    </row>
    <row r="2432" spans="1:1">
      <c r="A2432">
        <v>2431</v>
      </c>
    </row>
    <row r="2433" spans="1:1">
      <c r="A2433">
        <v>2432</v>
      </c>
    </row>
    <row r="2434" spans="1:1">
      <c r="A2434">
        <v>2433</v>
      </c>
    </row>
    <row r="2435" spans="1:1">
      <c r="A2435">
        <v>2434</v>
      </c>
    </row>
    <row r="2436" spans="1:1">
      <c r="A2436">
        <v>2435</v>
      </c>
    </row>
    <row r="2437" spans="1:1">
      <c r="A2437">
        <v>2436</v>
      </c>
    </row>
    <row r="2438" spans="1:1">
      <c r="A2438">
        <v>2437</v>
      </c>
    </row>
    <row r="2439" spans="1:1">
      <c r="A2439">
        <v>2438</v>
      </c>
    </row>
    <row r="2440" spans="1:1">
      <c r="A2440">
        <v>2439</v>
      </c>
    </row>
    <row r="2441" spans="1:1">
      <c r="A2441">
        <v>2440</v>
      </c>
    </row>
    <row r="2442" spans="1:1">
      <c r="A2442">
        <v>2441</v>
      </c>
    </row>
    <row r="2443" spans="1:1">
      <c r="A2443">
        <v>2442</v>
      </c>
    </row>
    <row r="2444" spans="1:1">
      <c r="A2444">
        <v>2443</v>
      </c>
    </row>
    <row r="2445" spans="1:1">
      <c r="A2445">
        <v>2444</v>
      </c>
    </row>
    <row r="2446" spans="1:1">
      <c r="A2446">
        <v>2445</v>
      </c>
    </row>
    <row r="2447" spans="1:1">
      <c r="A2447">
        <v>2446</v>
      </c>
    </row>
    <row r="2448" spans="1:1">
      <c r="A2448">
        <v>2447</v>
      </c>
    </row>
    <row r="2449" spans="1:1">
      <c r="A2449">
        <v>2448</v>
      </c>
    </row>
    <row r="2450" spans="1:1">
      <c r="A2450">
        <v>2449</v>
      </c>
    </row>
    <row r="2451" spans="1:1">
      <c r="A2451">
        <v>2450</v>
      </c>
    </row>
    <row r="2452" spans="1:1">
      <c r="A2452">
        <v>2451</v>
      </c>
    </row>
    <row r="2453" spans="1:1">
      <c r="A2453">
        <v>2452</v>
      </c>
    </row>
    <row r="2454" spans="1:1">
      <c r="A2454">
        <v>2453</v>
      </c>
    </row>
    <row r="2455" spans="1:1">
      <c r="A2455">
        <v>2454</v>
      </c>
    </row>
    <row r="2456" spans="1:1">
      <c r="A2456">
        <v>2455</v>
      </c>
    </row>
    <row r="2457" spans="1:1">
      <c r="A2457">
        <v>2456</v>
      </c>
    </row>
    <row r="2458" spans="1:1">
      <c r="A2458">
        <v>2457</v>
      </c>
    </row>
    <row r="2459" spans="1:1">
      <c r="A2459">
        <v>2458</v>
      </c>
    </row>
    <row r="2460" spans="1:1">
      <c r="A2460">
        <v>2459</v>
      </c>
    </row>
    <row r="2461" spans="1:1">
      <c r="A2461">
        <v>2460</v>
      </c>
    </row>
    <row r="2462" spans="1:1">
      <c r="A2462">
        <v>2461</v>
      </c>
    </row>
    <row r="2463" spans="1:1">
      <c r="A2463">
        <v>2462</v>
      </c>
    </row>
    <row r="2464" spans="1:1">
      <c r="A2464">
        <v>2463</v>
      </c>
    </row>
    <row r="2465" spans="1:1">
      <c r="A2465">
        <v>2464</v>
      </c>
    </row>
    <row r="2466" spans="1:1">
      <c r="A2466">
        <v>2465</v>
      </c>
    </row>
    <row r="2467" spans="1:1">
      <c r="A2467">
        <v>2466</v>
      </c>
    </row>
    <row r="2468" spans="1:1">
      <c r="A2468">
        <v>2467</v>
      </c>
    </row>
    <row r="2469" spans="1:1">
      <c r="A2469">
        <v>2468</v>
      </c>
    </row>
    <row r="2470" spans="1:1">
      <c r="A2470">
        <v>2469</v>
      </c>
    </row>
    <row r="2471" spans="1:1">
      <c r="A2471">
        <v>2470</v>
      </c>
    </row>
    <row r="2472" spans="1:1">
      <c r="A2472">
        <v>2471</v>
      </c>
    </row>
    <row r="2473" spans="1:1">
      <c r="A2473">
        <v>2472</v>
      </c>
    </row>
    <row r="2474" spans="1:1">
      <c r="A2474">
        <v>2473</v>
      </c>
    </row>
    <row r="2475" spans="1:1">
      <c r="A2475">
        <v>2474</v>
      </c>
    </row>
    <row r="2476" spans="1:1">
      <c r="A2476">
        <v>2475</v>
      </c>
    </row>
    <row r="2477" spans="1:1">
      <c r="A2477">
        <v>2476</v>
      </c>
    </row>
    <row r="2478" spans="1:1">
      <c r="A2478">
        <v>2477</v>
      </c>
    </row>
    <row r="2479" spans="1:1">
      <c r="A2479">
        <v>2478</v>
      </c>
    </row>
    <row r="2480" spans="1:1">
      <c r="A2480">
        <v>2479</v>
      </c>
    </row>
    <row r="2481" spans="1:1">
      <c r="A2481">
        <v>2480</v>
      </c>
    </row>
    <row r="2482" spans="1:1">
      <c r="A2482">
        <v>2481</v>
      </c>
    </row>
    <row r="2483" spans="1:1">
      <c r="A2483">
        <v>2482</v>
      </c>
    </row>
    <row r="2484" spans="1:1">
      <c r="A2484">
        <v>2483</v>
      </c>
    </row>
    <row r="2485" spans="1:1">
      <c r="A2485">
        <v>2484</v>
      </c>
    </row>
    <row r="2486" spans="1:1">
      <c r="A2486">
        <v>2485</v>
      </c>
    </row>
    <row r="2487" spans="1:1">
      <c r="A2487">
        <v>2486</v>
      </c>
    </row>
    <row r="2488" spans="1:1">
      <c r="A2488">
        <v>2487</v>
      </c>
    </row>
    <row r="2489" spans="1:1">
      <c r="A2489">
        <v>2488</v>
      </c>
    </row>
    <row r="2490" spans="1:1">
      <c r="A2490">
        <v>2489</v>
      </c>
    </row>
    <row r="2491" spans="1:1">
      <c r="A2491">
        <v>2490</v>
      </c>
    </row>
    <row r="2492" spans="1:1">
      <c r="A2492">
        <v>2491</v>
      </c>
    </row>
    <row r="2493" spans="1:1">
      <c r="A2493">
        <v>2492</v>
      </c>
    </row>
    <row r="2494" spans="1:1">
      <c r="A2494">
        <v>2493</v>
      </c>
    </row>
    <row r="2495" spans="1:1">
      <c r="A2495">
        <v>2494</v>
      </c>
    </row>
    <row r="2496" spans="1:1">
      <c r="A2496">
        <v>2495</v>
      </c>
    </row>
    <row r="2497" spans="1:1">
      <c r="A2497">
        <v>2496</v>
      </c>
    </row>
    <row r="2498" spans="1:1">
      <c r="A2498">
        <v>2497</v>
      </c>
    </row>
    <row r="2499" spans="1:1">
      <c r="A2499">
        <v>2498</v>
      </c>
    </row>
    <row r="2500" spans="1:1">
      <c r="A2500">
        <v>2499</v>
      </c>
    </row>
    <row r="2501" spans="1:1">
      <c r="A2501">
        <v>2500</v>
      </c>
    </row>
    <row r="2502" spans="1:1">
      <c r="A2502">
        <v>2501</v>
      </c>
    </row>
    <row r="2503" spans="1:1">
      <c r="A2503">
        <v>2502</v>
      </c>
    </row>
    <row r="2504" spans="1:1">
      <c r="A2504">
        <v>2503</v>
      </c>
    </row>
    <row r="2505" spans="1:1">
      <c r="A2505">
        <v>2504</v>
      </c>
    </row>
    <row r="2506" spans="1:1">
      <c r="A2506">
        <v>2505</v>
      </c>
    </row>
    <row r="2507" spans="1:1">
      <c r="A2507">
        <v>2506</v>
      </c>
    </row>
    <row r="2508" spans="1:1">
      <c r="A2508">
        <v>2507</v>
      </c>
    </row>
    <row r="2509" spans="1:1">
      <c r="A2509">
        <v>2508</v>
      </c>
    </row>
    <row r="2510" spans="1:1">
      <c r="A2510">
        <v>2509</v>
      </c>
    </row>
    <row r="2511" spans="1:1">
      <c r="A2511">
        <v>2510</v>
      </c>
    </row>
    <row r="2512" spans="1:1">
      <c r="A2512">
        <v>2511</v>
      </c>
    </row>
    <row r="2513" spans="1:1">
      <c r="A2513">
        <v>2512</v>
      </c>
    </row>
    <row r="2514" spans="1:1">
      <c r="A2514">
        <v>2513</v>
      </c>
    </row>
    <row r="2515" spans="1:1">
      <c r="A2515">
        <v>2514</v>
      </c>
    </row>
    <row r="2516" spans="1:1">
      <c r="A2516">
        <v>2515</v>
      </c>
    </row>
    <row r="2517" spans="1:1">
      <c r="A2517">
        <v>2516</v>
      </c>
    </row>
    <row r="2518" spans="1:1">
      <c r="A2518">
        <v>2517</v>
      </c>
    </row>
    <row r="2519" spans="1:1">
      <c r="A2519">
        <v>2518</v>
      </c>
    </row>
    <row r="2520" spans="1:1">
      <c r="A2520">
        <v>2519</v>
      </c>
    </row>
    <row r="2521" spans="1:1">
      <c r="A2521">
        <v>2520</v>
      </c>
    </row>
    <row r="2522" spans="1:1">
      <c r="A2522">
        <v>2521</v>
      </c>
    </row>
    <row r="2523" spans="1:1">
      <c r="A2523">
        <v>2522</v>
      </c>
    </row>
    <row r="2524" spans="1:1">
      <c r="A2524">
        <v>2523</v>
      </c>
    </row>
    <row r="2525" spans="1:1">
      <c r="A2525">
        <v>2524</v>
      </c>
    </row>
    <row r="2526" spans="1:1">
      <c r="A2526">
        <v>2525</v>
      </c>
    </row>
    <row r="2527" spans="1:1">
      <c r="A2527">
        <v>2526</v>
      </c>
    </row>
    <row r="2528" spans="1:1">
      <c r="A2528">
        <v>2527</v>
      </c>
    </row>
    <row r="2529" spans="1:1">
      <c r="A2529">
        <v>2528</v>
      </c>
    </row>
    <row r="2530" spans="1:1">
      <c r="A2530">
        <v>2529</v>
      </c>
    </row>
    <row r="2531" spans="1:1">
      <c r="A2531">
        <v>2530</v>
      </c>
    </row>
    <row r="2532" spans="1:1">
      <c r="A2532">
        <v>2531</v>
      </c>
    </row>
    <row r="2533" spans="1:1">
      <c r="A2533">
        <v>2532</v>
      </c>
    </row>
    <row r="2534" spans="1:1">
      <c r="A2534">
        <v>2533</v>
      </c>
    </row>
    <row r="2535" spans="1:1">
      <c r="A2535">
        <v>2534</v>
      </c>
    </row>
    <row r="2536" spans="1:1">
      <c r="A2536">
        <v>2535</v>
      </c>
    </row>
    <row r="2537" spans="1:1">
      <c r="A2537">
        <v>2536</v>
      </c>
    </row>
    <row r="2538" spans="1:1">
      <c r="A2538">
        <v>2537</v>
      </c>
    </row>
    <row r="2539" spans="1:1">
      <c r="A2539">
        <v>2538</v>
      </c>
    </row>
    <row r="2540" spans="1:1">
      <c r="A2540">
        <v>2539</v>
      </c>
    </row>
    <row r="2541" spans="1:1">
      <c r="A2541">
        <v>2540</v>
      </c>
    </row>
    <row r="2542" spans="1:1">
      <c r="A2542">
        <v>2541</v>
      </c>
    </row>
    <row r="2543" spans="1:1">
      <c r="A2543">
        <v>2542</v>
      </c>
    </row>
    <row r="2544" spans="1:1">
      <c r="A2544">
        <v>2543</v>
      </c>
    </row>
    <row r="2545" spans="1:1">
      <c r="A2545">
        <v>2544</v>
      </c>
    </row>
    <row r="2546" spans="1:1">
      <c r="A2546">
        <v>2545</v>
      </c>
    </row>
    <row r="2547" spans="1:1">
      <c r="A2547">
        <v>2546</v>
      </c>
    </row>
    <row r="2548" spans="1:1">
      <c r="A2548">
        <v>2547</v>
      </c>
    </row>
    <row r="2549" spans="1:1">
      <c r="A2549">
        <v>2548</v>
      </c>
    </row>
    <row r="2550" spans="1:1">
      <c r="A2550">
        <v>2549</v>
      </c>
    </row>
    <row r="2551" spans="1:1">
      <c r="A2551">
        <v>2550</v>
      </c>
    </row>
    <row r="2552" spans="1:1">
      <c r="A2552">
        <v>2551</v>
      </c>
    </row>
    <row r="2553" spans="1:1">
      <c r="A2553">
        <v>2552</v>
      </c>
    </row>
    <row r="2554" spans="1:1">
      <c r="A2554">
        <v>2553</v>
      </c>
    </row>
    <row r="2555" spans="1:1">
      <c r="A2555">
        <v>2554</v>
      </c>
    </row>
    <row r="2556" spans="1:1">
      <c r="A2556">
        <v>2555</v>
      </c>
    </row>
    <row r="2557" spans="1:1">
      <c r="A2557">
        <v>2556</v>
      </c>
    </row>
    <row r="2558" spans="1:1">
      <c r="A2558">
        <v>2557</v>
      </c>
    </row>
    <row r="2559" spans="1:1">
      <c r="A2559">
        <v>2558</v>
      </c>
    </row>
    <row r="2560" spans="1:1">
      <c r="A2560">
        <v>2559</v>
      </c>
    </row>
    <row r="2561" spans="1:1">
      <c r="A2561">
        <v>2560</v>
      </c>
    </row>
    <row r="2562" spans="1:1">
      <c r="A2562">
        <v>2561</v>
      </c>
    </row>
    <row r="2563" spans="1:1">
      <c r="A2563">
        <v>2562</v>
      </c>
    </row>
    <row r="2564" spans="1:1">
      <c r="A2564">
        <v>2563</v>
      </c>
    </row>
    <row r="2565" spans="1:1">
      <c r="A2565">
        <v>2564</v>
      </c>
    </row>
    <row r="2566" spans="1:1">
      <c r="A2566">
        <v>2565</v>
      </c>
    </row>
    <row r="2567" spans="1:1">
      <c r="A2567">
        <v>2566</v>
      </c>
    </row>
    <row r="2568" spans="1:1">
      <c r="A2568">
        <v>2567</v>
      </c>
    </row>
    <row r="2569" spans="1:1">
      <c r="A2569">
        <v>2568</v>
      </c>
    </row>
    <row r="2570" spans="1:1">
      <c r="A2570">
        <v>2569</v>
      </c>
    </row>
    <row r="2571" spans="1:1">
      <c r="A2571">
        <v>2570</v>
      </c>
    </row>
    <row r="2572" spans="1:1">
      <c r="A2572">
        <v>2571</v>
      </c>
    </row>
    <row r="2573" spans="1:1">
      <c r="A2573">
        <v>2572</v>
      </c>
    </row>
    <row r="2574" spans="1:1">
      <c r="A2574">
        <v>2573</v>
      </c>
    </row>
    <row r="2575" spans="1:1">
      <c r="A2575">
        <v>2574</v>
      </c>
    </row>
    <row r="2576" spans="1:1">
      <c r="A2576">
        <v>2575</v>
      </c>
    </row>
    <row r="2577" spans="1:1">
      <c r="A2577">
        <v>2576</v>
      </c>
    </row>
    <row r="2578" spans="1:1">
      <c r="A2578">
        <v>2577</v>
      </c>
    </row>
    <row r="2579" spans="1:1">
      <c r="A2579">
        <v>2578</v>
      </c>
    </row>
    <row r="2580" spans="1:1">
      <c r="A2580">
        <v>2579</v>
      </c>
    </row>
    <row r="2581" spans="1:1">
      <c r="A2581">
        <v>2580</v>
      </c>
    </row>
    <row r="2582" spans="1:1">
      <c r="A2582">
        <v>2581</v>
      </c>
    </row>
    <row r="2583" spans="1:1">
      <c r="A2583">
        <v>2582</v>
      </c>
    </row>
    <row r="2584" spans="1:1">
      <c r="A2584">
        <v>2583</v>
      </c>
    </row>
    <row r="2585" spans="1:1">
      <c r="A2585">
        <v>2584</v>
      </c>
    </row>
    <row r="2586" spans="1:1">
      <c r="A2586">
        <v>2585</v>
      </c>
    </row>
    <row r="2587" spans="1:1">
      <c r="A2587">
        <v>2586</v>
      </c>
    </row>
    <row r="2588" spans="1:1">
      <c r="A2588">
        <v>2587</v>
      </c>
    </row>
    <row r="2589" spans="1:1">
      <c r="A2589">
        <v>2588</v>
      </c>
    </row>
    <row r="2590" spans="1:1">
      <c r="A2590">
        <v>2589</v>
      </c>
    </row>
    <row r="2591" spans="1:1">
      <c r="A2591">
        <v>2590</v>
      </c>
    </row>
    <row r="2592" spans="1:1">
      <c r="A2592">
        <v>2591</v>
      </c>
    </row>
    <row r="2593" spans="1:1">
      <c r="A2593">
        <v>2592</v>
      </c>
    </row>
    <row r="2594" spans="1:1">
      <c r="A2594">
        <v>2593</v>
      </c>
    </row>
    <row r="2595" spans="1:1">
      <c r="A2595">
        <v>2594</v>
      </c>
    </row>
    <row r="2596" spans="1:1">
      <c r="A2596">
        <v>2595</v>
      </c>
    </row>
    <row r="2597" spans="1:1">
      <c r="A2597">
        <v>2596</v>
      </c>
    </row>
    <row r="2598" spans="1:1">
      <c r="A2598">
        <v>2597</v>
      </c>
    </row>
    <row r="2599" spans="1:1">
      <c r="A2599">
        <v>2598</v>
      </c>
    </row>
    <row r="2600" spans="1:1">
      <c r="A2600">
        <v>2599</v>
      </c>
    </row>
    <row r="2601" spans="1:1">
      <c r="A2601">
        <v>2600</v>
      </c>
    </row>
    <row r="2602" spans="1:1">
      <c r="A2602">
        <v>2601</v>
      </c>
    </row>
    <row r="2603" spans="1:1">
      <c r="A2603">
        <v>2602</v>
      </c>
    </row>
    <row r="2604" spans="1:1">
      <c r="A2604">
        <v>2603</v>
      </c>
    </row>
    <row r="2605" spans="1:1">
      <c r="A2605">
        <v>2604</v>
      </c>
    </row>
    <row r="2606" spans="1:1">
      <c r="A2606">
        <v>2605</v>
      </c>
    </row>
    <row r="2607" spans="1:1">
      <c r="A2607">
        <v>2606</v>
      </c>
    </row>
    <row r="2608" spans="1:1">
      <c r="A2608">
        <v>2607</v>
      </c>
    </row>
    <row r="2609" spans="1:1">
      <c r="A2609">
        <v>2608</v>
      </c>
    </row>
    <row r="2610" spans="1:1">
      <c r="A2610">
        <v>2609</v>
      </c>
    </row>
    <row r="2611" spans="1:1">
      <c r="A2611">
        <v>2610</v>
      </c>
    </row>
    <row r="2612" spans="1:1">
      <c r="A2612">
        <v>2611</v>
      </c>
    </row>
    <row r="2613" spans="1:1">
      <c r="A2613">
        <v>2612</v>
      </c>
    </row>
    <row r="2614" spans="1:1">
      <c r="A2614">
        <v>2613</v>
      </c>
    </row>
    <row r="2615" spans="1:1">
      <c r="A2615">
        <v>2614</v>
      </c>
    </row>
    <row r="2616" spans="1:1">
      <c r="A2616">
        <v>2615</v>
      </c>
    </row>
    <row r="2617" spans="1:1">
      <c r="A2617">
        <v>2616</v>
      </c>
    </row>
    <row r="2618" spans="1:1">
      <c r="A2618">
        <v>2617</v>
      </c>
    </row>
    <row r="2619" spans="1:1">
      <c r="A2619">
        <v>2618</v>
      </c>
    </row>
    <row r="2620" spans="1:1">
      <c r="A2620">
        <v>2619</v>
      </c>
    </row>
    <row r="2621" spans="1:1">
      <c r="A2621">
        <v>2620</v>
      </c>
    </row>
    <row r="2622" spans="1:1">
      <c r="A2622">
        <v>2621</v>
      </c>
    </row>
    <row r="2623" spans="1:1">
      <c r="A2623">
        <v>2622</v>
      </c>
    </row>
    <row r="2624" spans="1:1">
      <c r="A2624">
        <v>2623</v>
      </c>
    </row>
    <row r="2625" spans="1:1">
      <c r="A2625">
        <v>2624</v>
      </c>
    </row>
    <row r="2626" spans="1:1">
      <c r="A2626">
        <v>2625</v>
      </c>
    </row>
    <row r="2627" spans="1:1">
      <c r="A2627">
        <v>2626</v>
      </c>
    </row>
    <row r="2628" spans="1:1">
      <c r="A2628">
        <v>2627</v>
      </c>
    </row>
    <row r="2629" spans="1:1">
      <c r="A2629">
        <v>2628</v>
      </c>
    </row>
    <row r="2630" spans="1:1">
      <c r="A2630">
        <v>2629</v>
      </c>
    </row>
    <row r="2631" spans="1:1">
      <c r="A2631">
        <v>2630</v>
      </c>
    </row>
    <row r="2632" spans="1:1">
      <c r="A2632">
        <v>2631</v>
      </c>
    </row>
    <row r="2633" spans="1:1">
      <c r="A2633">
        <v>2632</v>
      </c>
    </row>
    <row r="2634" spans="1:1">
      <c r="A2634">
        <v>2633</v>
      </c>
    </row>
    <row r="2635" spans="1:1">
      <c r="A2635">
        <v>2634</v>
      </c>
    </row>
    <row r="2636" spans="1:1">
      <c r="A2636">
        <v>2635</v>
      </c>
    </row>
    <row r="2637" spans="1:1">
      <c r="A2637">
        <v>2636</v>
      </c>
    </row>
    <row r="2638" spans="1:1">
      <c r="A2638">
        <v>2637</v>
      </c>
    </row>
    <row r="2639" spans="1:1">
      <c r="A2639">
        <v>2638</v>
      </c>
    </row>
    <row r="2640" spans="1:1">
      <c r="A2640">
        <v>2639</v>
      </c>
    </row>
    <row r="2641" spans="1:1">
      <c r="A2641">
        <v>2640</v>
      </c>
    </row>
    <row r="2642" spans="1:1">
      <c r="A2642">
        <v>2641</v>
      </c>
    </row>
    <row r="2643" spans="1:1">
      <c r="A2643">
        <v>2642</v>
      </c>
    </row>
    <row r="2644" spans="1:1">
      <c r="A2644">
        <v>2643</v>
      </c>
    </row>
    <row r="2645" spans="1:1">
      <c r="A2645">
        <v>2644</v>
      </c>
    </row>
    <row r="2646" spans="1:1">
      <c r="A2646">
        <v>2645</v>
      </c>
    </row>
    <row r="2647" spans="1:1">
      <c r="A2647">
        <v>2646</v>
      </c>
    </row>
    <row r="2648" spans="1:1">
      <c r="A2648">
        <v>2647</v>
      </c>
    </row>
    <row r="2649" spans="1:1">
      <c r="A2649">
        <v>2648</v>
      </c>
    </row>
    <row r="2650" spans="1:1">
      <c r="A2650">
        <v>2649</v>
      </c>
    </row>
    <row r="2651" spans="1:1">
      <c r="A2651">
        <v>2650</v>
      </c>
    </row>
    <row r="2652" spans="1:1">
      <c r="A2652">
        <v>2651</v>
      </c>
    </row>
    <row r="2653" spans="1:1">
      <c r="A2653">
        <v>2652</v>
      </c>
    </row>
    <row r="2654" spans="1:1">
      <c r="A2654">
        <v>2653</v>
      </c>
    </row>
    <row r="2655" spans="1:1">
      <c r="A2655">
        <v>2654</v>
      </c>
    </row>
    <row r="2656" spans="1:1">
      <c r="A2656">
        <v>2655</v>
      </c>
    </row>
    <row r="2657" spans="1:1">
      <c r="A2657">
        <v>2656</v>
      </c>
    </row>
    <row r="2658" spans="1:1">
      <c r="A2658">
        <v>2657</v>
      </c>
    </row>
    <row r="2659" spans="1:1">
      <c r="A2659">
        <v>2658</v>
      </c>
    </row>
    <row r="2660" spans="1:1">
      <c r="A2660">
        <v>2659</v>
      </c>
    </row>
    <row r="2661" spans="1:1">
      <c r="A2661">
        <v>2660</v>
      </c>
    </row>
    <row r="2662" spans="1:1">
      <c r="A2662">
        <v>2661</v>
      </c>
    </row>
    <row r="2663" spans="1:1">
      <c r="A2663">
        <v>2662</v>
      </c>
    </row>
    <row r="2664" spans="1:1">
      <c r="A2664">
        <v>2663</v>
      </c>
    </row>
    <row r="2665" spans="1:1">
      <c r="A2665">
        <v>2664</v>
      </c>
    </row>
    <row r="2666" spans="1:1">
      <c r="A2666">
        <v>2665</v>
      </c>
    </row>
    <row r="2667" spans="1:1">
      <c r="A2667">
        <v>2666</v>
      </c>
    </row>
    <row r="2668" spans="1:1">
      <c r="A2668">
        <v>2667</v>
      </c>
    </row>
    <row r="2669" spans="1:1">
      <c r="A2669">
        <v>2668</v>
      </c>
    </row>
    <row r="2670" spans="1:1">
      <c r="A2670">
        <v>2669</v>
      </c>
    </row>
    <row r="2671" spans="1:1">
      <c r="A2671">
        <v>2670</v>
      </c>
    </row>
    <row r="2672" spans="1:1">
      <c r="A2672">
        <v>2671</v>
      </c>
    </row>
    <row r="2673" spans="1:1">
      <c r="A2673">
        <v>2672</v>
      </c>
    </row>
    <row r="2674" spans="1:1">
      <c r="A2674">
        <v>2673</v>
      </c>
    </row>
    <row r="2675" spans="1:1">
      <c r="A2675">
        <v>2674</v>
      </c>
    </row>
    <row r="2676" spans="1:1">
      <c r="A2676">
        <v>2675</v>
      </c>
    </row>
    <row r="2677" spans="1:1">
      <c r="A2677">
        <v>2676</v>
      </c>
    </row>
    <row r="2678" spans="1:1">
      <c r="A2678">
        <v>2677</v>
      </c>
    </row>
    <row r="2679" spans="1:1">
      <c r="A2679">
        <v>2678</v>
      </c>
    </row>
    <row r="2680" spans="1:1">
      <c r="A2680">
        <v>2679</v>
      </c>
    </row>
    <row r="2681" spans="1:1">
      <c r="A2681">
        <v>2680</v>
      </c>
    </row>
    <row r="2682" spans="1:1">
      <c r="A2682">
        <v>2681</v>
      </c>
    </row>
    <row r="2683" spans="1:1">
      <c r="A2683">
        <v>2682</v>
      </c>
    </row>
    <row r="2684" spans="1:1">
      <c r="A2684">
        <v>2683</v>
      </c>
    </row>
    <row r="2685" spans="1:1">
      <c r="A2685">
        <v>2684</v>
      </c>
    </row>
    <row r="2686" spans="1:1">
      <c r="A2686">
        <v>2685</v>
      </c>
    </row>
    <row r="2687" spans="1:1">
      <c r="A2687">
        <v>2686</v>
      </c>
    </row>
    <row r="2688" spans="1:1">
      <c r="A2688">
        <v>2687</v>
      </c>
    </row>
    <row r="2689" spans="1:1">
      <c r="A2689">
        <v>2688</v>
      </c>
    </row>
    <row r="2690" spans="1:1">
      <c r="A2690">
        <v>2689</v>
      </c>
    </row>
    <row r="2691" spans="1:1">
      <c r="A2691">
        <v>2690</v>
      </c>
    </row>
    <row r="2692" spans="1:1">
      <c r="A2692">
        <v>2691</v>
      </c>
    </row>
    <row r="2693" spans="1:1">
      <c r="A2693">
        <v>2692</v>
      </c>
    </row>
    <row r="2694" spans="1:1">
      <c r="A2694">
        <v>2693</v>
      </c>
    </row>
    <row r="2695" spans="1:1">
      <c r="A2695">
        <v>2694</v>
      </c>
    </row>
    <row r="2696" spans="1:1">
      <c r="A2696">
        <v>2695</v>
      </c>
    </row>
    <row r="2697" spans="1:1">
      <c r="A2697">
        <v>2696</v>
      </c>
    </row>
    <row r="2698" spans="1:1">
      <c r="A2698">
        <v>2697</v>
      </c>
    </row>
    <row r="2699" spans="1:1">
      <c r="A2699">
        <v>2698</v>
      </c>
    </row>
    <row r="2700" spans="1:1">
      <c r="A2700">
        <v>2699</v>
      </c>
    </row>
    <row r="2701" spans="1:1">
      <c r="A2701">
        <v>2700</v>
      </c>
    </row>
    <row r="2702" spans="1:1">
      <c r="A2702">
        <v>2701</v>
      </c>
    </row>
    <row r="2703" spans="1:1">
      <c r="A2703">
        <v>2702</v>
      </c>
    </row>
    <row r="2704" spans="1:1">
      <c r="A2704">
        <v>2703</v>
      </c>
    </row>
    <row r="2705" spans="1:1">
      <c r="A2705">
        <v>2704</v>
      </c>
    </row>
    <row r="2706" spans="1:1">
      <c r="A2706">
        <v>2705</v>
      </c>
    </row>
    <row r="2707" spans="1:1">
      <c r="A2707">
        <v>2706</v>
      </c>
    </row>
    <row r="2708" spans="1:1">
      <c r="A2708">
        <v>2707</v>
      </c>
    </row>
    <row r="2709" spans="1:1">
      <c r="A2709">
        <v>2708</v>
      </c>
    </row>
    <row r="2710" spans="1:1">
      <c r="A2710">
        <v>2709</v>
      </c>
    </row>
    <row r="2711" spans="1:1">
      <c r="A2711">
        <v>2710</v>
      </c>
    </row>
    <row r="2712" spans="1:1">
      <c r="A2712">
        <v>2711</v>
      </c>
    </row>
    <row r="2713" spans="1:1">
      <c r="A2713">
        <v>2712</v>
      </c>
    </row>
    <row r="2714" spans="1:1">
      <c r="A2714">
        <v>2713</v>
      </c>
    </row>
    <row r="2715" spans="1:1">
      <c r="A2715">
        <v>2714</v>
      </c>
    </row>
    <row r="2716" spans="1:1">
      <c r="A2716">
        <v>2715</v>
      </c>
    </row>
    <row r="2717" spans="1:1">
      <c r="A2717">
        <v>2716</v>
      </c>
    </row>
    <row r="2718" spans="1:1">
      <c r="A2718">
        <v>2717</v>
      </c>
    </row>
    <row r="2719" spans="1:1">
      <c r="A2719">
        <v>2718</v>
      </c>
    </row>
    <row r="2720" spans="1:1">
      <c r="A2720">
        <v>2719</v>
      </c>
    </row>
    <row r="2721" spans="1:1">
      <c r="A2721">
        <v>2720</v>
      </c>
    </row>
    <row r="2722" spans="1:1">
      <c r="A2722">
        <v>2721</v>
      </c>
    </row>
    <row r="2723" spans="1:1">
      <c r="A2723">
        <v>2722</v>
      </c>
    </row>
    <row r="2724" spans="1:1">
      <c r="A2724">
        <v>2723</v>
      </c>
    </row>
    <row r="2725" spans="1:1">
      <c r="A2725">
        <v>2724</v>
      </c>
    </row>
    <row r="2726" spans="1:1">
      <c r="A2726">
        <v>2725</v>
      </c>
    </row>
    <row r="2727" spans="1:1">
      <c r="A2727">
        <v>2726</v>
      </c>
    </row>
    <row r="2728" spans="1:1">
      <c r="A2728">
        <v>2727</v>
      </c>
    </row>
    <row r="2729" spans="1:1">
      <c r="A2729">
        <v>2728</v>
      </c>
    </row>
    <row r="2730" spans="1:1">
      <c r="A2730">
        <v>2729</v>
      </c>
    </row>
    <row r="2731" spans="1:1">
      <c r="A2731">
        <v>2730</v>
      </c>
    </row>
    <row r="2732" spans="1:1">
      <c r="A2732">
        <v>2731</v>
      </c>
    </row>
    <row r="2733" spans="1:1">
      <c r="A2733">
        <v>2732</v>
      </c>
    </row>
    <row r="2734" spans="1:1">
      <c r="A2734">
        <v>2733</v>
      </c>
    </row>
    <row r="2735" spans="1:1">
      <c r="A2735">
        <v>2734</v>
      </c>
    </row>
    <row r="2736" spans="1:1">
      <c r="A2736">
        <v>2735</v>
      </c>
    </row>
    <row r="2737" spans="1:1">
      <c r="A2737">
        <v>2736</v>
      </c>
    </row>
    <row r="2738" spans="1:1">
      <c r="A2738">
        <v>2737</v>
      </c>
    </row>
    <row r="2739" spans="1:1">
      <c r="A2739">
        <v>2738</v>
      </c>
    </row>
    <row r="2740" spans="1:1">
      <c r="A2740">
        <v>2739</v>
      </c>
    </row>
    <row r="2741" spans="1:1">
      <c r="A2741">
        <v>2740</v>
      </c>
    </row>
    <row r="2742" spans="1:1">
      <c r="A2742">
        <v>2741</v>
      </c>
    </row>
    <row r="2743" spans="1:1">
      <c r="A2743">
        <v>2742</v>
      </c>
    </row>
    <row r="2744" spans="1:1">
      <c r="A2744">
        <v>2743</v>
      </c>
    </row>
    <row r="2745" spans="1:1">
      <c r="A2745">
        <v>2744</v>
      </c>
    </row>
    <row r="2746" spans="1:1">
      <c r="A2746">
        <v>2745</v>
      </c>
    </row>
    <row r="2747" spans="1:1">
      <c r="A2747">
        <v>2746</v>
      </c>
    </row>
    <row r="2748" spans="1:1">
      <c r="A2748">
        <v>2747</v>
      </c>
    </row>
    <row r="2749" spans="1:1">
      <c r="A2749">
        <v>2748</v>
      </c>
    </row>
    <row r="2750" spans="1:1">
      <c r="A2750">
        <v>2749</v>
      </c>
    </row>
    <row r="2751" spans="1:1">
      <c r="A2751">
        <v>2750</v>
      </c>
    </row>
    <row r="2752" spans="1:1">
      <c r="A2752">
        <v>2751</v>
      </c>
    </row>
    <row r="2753" spans="1:1">
      <c r="A2753">
        <v>2752</v>
      </c>
    </row>
    <row r="2754" spans="1:1">
      <c r="A2754">
        <v>2753</v>
      </c>
    </row>
    <row r="2755" spans="1:1">
      <c r="A2755">
        <v>2754</v>
      </c>
    </row>
    <row r="2756" spans="1:1">
      <c r="A2756">
        <v>2755</v>
      </c>
    </row>
    <row r="2757" spans="1:1">
      <c r="A2757">
        <v>2756</v>
      </c>
    </row>
    <row r="2758" spans="1:1">
      <c r="A2758">
        <v>2757</v>
      </c>
    </row>
    <row r="2759" spans="1:1">
      <c r="A2759">
        <v>2758</v>
      </c>
    </row>
    <row r="2760" spans="1:1">
      <c r="A2760">
        <v>2759</v>
      </c>
    </row>
    <row r="2761" spans="1:1">
      <c r="A2761">
        <v>2760</v>
      </c>
    </row>
    <row r="2762" spans="1:1">
      <c r="A2762">
        <v>2761</v>
      </c>
    </row>
    <row r="2763" spans="1:1">
      <c r="A2763">
        <v>2762</v>
      </c>
    </row>
    <row r="2764" spans="1:1">
      <c r="A2764">
        <v>2763</v>
      </c>
    </row>
    <row r="2765" spans="1:1">
      <c r="A2765">
        <v>2764</v>
      </c>
    </row>
    <row r="2766" spans="1:1">
      <c r="A2766">
        <v>2765</v>
      </c>
    </row>
    <row r="2767" spans="1:1">
      <c r="A2767">
        <v>2766</v>
      </c>
    </row>
    <row r="2768" spans="1:1">
      <c r="A2768">
        <v>2767</v>
      </c>
    </row>
    <row r="2769" spans="1:1">
      <c r="A2769">
        <v>2768</v>
      </c>
    </row>
    <row r="2770" spans="1:1">
      <c r="A2770">
        <v>2769</v>
      </c>
    </row>
    <row r="2771" spans="1:1">
      <c r="A2771">
        <v>2770</v>
      </c>
    </row>
    <row r="2772" spans="1:1">
      <c r="A2772">
        <v>2771</v>
      </c>
    </row>
    <row r="2773" spans="1:1">
      <c r="A2773">
        <v>2772</v>
      </c>
    </row>
    <row r="2774" spans="1:1">
      <c r="A2774">
        <v>2773</v>
      </c>
    </row>
    <row r="2775" spans="1:1">
      <c r="A2775">
        <v>2774</v>
      </c>
    </row>
    <row r="2776" spans="1:1">
      <c r="A2776">
        <v>2775</v>
      </c>
    </row>
    <row r="2777" spans="1:1">
      <c r="A2777">
        <v>2776</v>
      </c>
    </row>
    <row r="2778" spans="1:1">
      <c r="A2778">
        <v>2777</v>
      </c>
    </row>
    <row r="2779" spans="1:1">
      <c r="A2779">
        <v>2778</v>
      </c>
    </row>
    <row r="2780" spans="1:1">
      <c r="A2780">
        <v>2779</v>
      </c>
    </row>
    <row r="2781" spans="1:1">
      <c r="A2781">
        <v>2780</v>
      </c>
    </row>
    <row r="2782" spans="1:1">
      <c r="A2782">
        <v>2781</v>
      </c>
    </row>
    <row r="2783" spans="1:1">
      <c r="A2783">
        <v>2782</v>
      </c>
    </row>
    <row r="2784" spans="1:1">
      <c r="A2784">
        <v>2783</v>
      </c>
    </row>
    <row r="2785" spans="1:1">
      <c r="A2785">
        <v>2784</v>
      </c>
    </row>
    <row r="2786" spans="1:1">
      <c r="A2786">
        <v>2785</v>
      </c>
    </row>
    <row r="2787" spans="1:1">
      <c r="A2787">
        <v>2786</v>
      </c>
    </row>
    <row r="2788" spans="1:1">
      <c r="A2788">
        <v>2787</v>
      </c>
    </row>
    <row r="2789" spans="1:1">
      <c r="A2789">
        <v>2788</v>
      </c>
    </row>
    <row r="2790" spans="1:1">
      <c r="A2790">
        <v>2789</v>
      </c>
    </row>
    <row r="2791" spans="1:1">
      <c r="A2791">
        <v>2790</v>
      </c>
    </row>
    <row r="2792" spans="1:1">
      <c r="A2792">
        <v>2791</v>
      </c>
    </row>
    <row r="2793" spans="1:1">
      <c r="A2793">
        <v>2792</v>
      </c>
    </row>
    <row r="2794" spans="1:1">
      <c r="A2794">
        <v>2793</v>
      </c>
    </row>
    <row r="2795" spans="1:1">
      <c r="A2795">
        <v>2794</v>
      </c>
    </row>
    <row r="2796" spans="1:1">
      <c r="A2796">
        <v>2795</v>
      </c>
    </row>
    <row r="2797" spans="1:1">
      <c r="A2797">
        <v>2796</v>
      </c>
    </row>
    <row r="2798" spans="1:1">
      <c r="A2798">
        <v>2797</v>
      </c>
    </row>
    <row r="2799" spans="1:1">
      <c r="A2799">
        <v>2798</v>
      </c>
    </row>
    <row r="2800" spans="1:1">
      <c r="A2800">
        <v>2799</v>
      </c>
    </row>
    <row r="2801" spans="1:1">
      <c r="A2801">
        <v>2800</v>
      </c>
    </row>
    <row r="2802" spans="1:1">
      <c r="A2802">
        <v>2801</v>
      </c>
    </row>
    <row r="2803" spans="1:1">
      <c r="A2803">
        <v>2802</v>
      </c>
    </row>
    <row r="2804" spans="1:1">
      <c r="A2804">
        <v>2803</v>
      </c>
    </row>
    <row r="2805" spans="1:1">
      <c r="A2805">
        <v>2804</v>
      </c>
    </row>
    <row r="2806" spans="1:1">
      <c r="A2806">
        <v>2805</v>
      </c>
    </row>
    <row r="2807" spans="1:1">
      <c r="A2807">
        <v>2806</v>
      </c>
    </row>
    <row r="2808" spans="1:1">
      <c r="A2808">
        <v>2807</v>
      </c>
    </row>
    <row r="2809" spans="1:1">
      <c r="A2809">
        <v>2808</v>
      </c>
    </row>
    <row r="2810" spans="1:1">
      <c r="A2810">
        <v>2809</v>
      </c>
    </row>
    <row r="2811" spans="1:1">
      <c r="A2811">
        <v>2810</v>
      </c>
    </row>
    <row r="2812" spans="1:1">
      <c r="A2812">
        <v>2811</v>
      </c>
    </row>
    <row r="2813" spans="1:1">
      <c r="A2813">
        <v>2812</v>
      </c>
    </row>
    <row r="2814" spans="1:1">
      <c r="A2814">
        <v>2813</v>
      </c>
    </row>
    <row r="2815" spans="1:1">
      <c r="A2815">
        <v>2814</v>
      </c>
    </row>
    <row r="2816" spans="1:1">
      <c r="A2816">
        <v>2815</v>
      </c>
    </row>
    <row r="2817" spans="1:1">
      <c r="A2817">
        <v>2816</v>
      </c>
    </row>
    <row r="2818" spans="1:1">
      <c r="A2818">
        <v>2817</v>
      </c>
    </row>
    <row r="2819" spans="1:1">
      <c r="A2819">
        <v>2818</v>
      </c>
    </row>
    <row r="2820" spans="1:1">
      <c r="A2820">
        <v>2819</v>
      </c>
    </row>
    <row r="2821" spans="1:1">
      <c r="A2821">
        <v>2820</v>
      </c>
    </row>
    <row r="2822" spans="1:1">
      <c r="A2822">
        <v>2821</v>
      </c>
    </row>
    <row r="2823" spans="1:1">
      <c r="A2823">
        <v>2822</v>
      </c>
    </row>
    <row r="2824" spans="1:1">
      <c r="A2824">
        <v>2823</v>
      </c>
    </row>
    <row r="2825" spans="1:1">
      <c r="A2825">
        <v>2824</v>
      </c>
    </row>
    <row r="2826" spans="1:1">
      <c r="A2826">
        <v>2825</v>
      </c>
    </row>
    <row r="2827" spans="1:1">
      <c r="A2827">
        <v>2826</v>
      </c>
    </row>
    <row r="2828" spans="1:1">
      <c r="A2828">
        <v>2827</v>
      </c>
    </row>
    <row r="2829" spans="1:1">
      <c r="A2829">
        <v>2828</v>
      </c>
    </row>
    <row r="2830" spans="1:1">
      <c r="A2830">
        <v>2829</v>
      </c>
    </row>
    <row r="2831" spans="1:1">
      <c r="A2831">
        <v>2830</v>
      </c>
    </row>
    <row r="2832" spans="1:1">
      <c r="A2832">
        <v>2831</v>
      </c>
    </row>
    <row r="2833" spans="1:1">
      <c r="A2833">
        <v>2832</v>
      </c>
    </row>
    <row r="2834" spans="1:1">
      <c r="A2834">
        <v>2833</v>
      </c>
    </row>
    <row r="2835" spans="1:1">
      <c r="A2835">
        <v>2834</v>
      </c>
    </row>
    <row r="2836" spans="1:1">
      <c r="A2836">
        <v>2835</v>
      </c>
    </row>
    <row r="2837" spans="1:1">
      <c r="A2837">
        <v>2836</v>
      </c>
    </row>
    <row r="2838" spans="1:1">
      <c r="A2838">
        <v>2837</v>
      </c>
    </row>
    <row r="2839" spans="1:1">
      <c r="A2839">
        <v>2838</v>
      </c>
    </row>
    <row r="2840" spans="1:1">
      <c r="A2840">
        <v>2839</v>
      </c>
    </row>
    <row r="2841" spans="1:1">
      <c r="A2841">
        <v>2840</v>
      </c>
    </row>
    <row r="2842" spans="1:1">
      <c r="A2842">
        <v>2841</v>
      </c>
    </row>
    <row r="2843" spans="1:1">
      <c r="A2843">
        <v>2842</v>
      </c>
    </row>
    <row r="2844" spans="1:1">
      <c r="A2844">
        <v>2843</v>
      </c>
    </row>
    <row r="2845" spans="1:1">
      <c r="A2845">
        <v>2844</v>
      </c>
    </row>
    <row r="2846" spans="1:1">
      <c r="A2846">
        <v>2845</v>
      </c>
    </row>
    <row r="2847" spans="1:1">
      <c r="A2847">
        <v>2846</v>
      </c>
    </row>
    <row r="2848" spans="1:1">
      <c r="A2848">
        <v>2847</v>
      </c>
    </row>
    <row r="2849" spans="1:1">
      <c r="A2849">
        <v>2848</v>
      </c>
    </row>
    <row r="2850" spans="1:1">
      <c r="A2850">
        <v>2849</v>
      </c>
    </row>
    <row r="2851" spans="1:1">
      <c r="A2851">
        <v>2850</v>
      </c>
    </row>
    <row r="2852" spans="1:1">
      <c r="A2852">
        <v>2851</v>
      </c>
    </row>
    <row r="2853" spans="1:1">
      <c r="A2853">
        <v>2852</v>
      </c>
    </row>
    <row r="2854" spans="1:1">
      <c r="A2854">
        <v>2853</v>
      </c>
    </row>
    <row r="2855" spans="1:1">
      <c r="A2855">
        <v>2854</v>
      </c>
    </row>
    <row r="2856" spans="1:1">
      <c r="A2856">
        <v>2855</v>
      </c>
    </row>
    <row r="2857" spans="1:1">
      <c r="A2857">
        <v>2856</v>
      </c>
    </row>
    <row r="2858" spans="1:1">
      <c r="A2858">
        <v>2857</v>
      </c>
    </row>
    <row r="2859" spans="1:1">
      <c r="A2859">
        <v>2858</v>
      </c>
    </row>
    <row r="2860" spans="1:1">
      <c r="A2860">
        <v>2859</v>
      </c>
    </row>
    <row r="2861" spans="1:1">
      <c r="A2861">
        <v>2860</v>
      </c>
    </row>
    <row r="2862" spans="1:1">
      <c r="A2862">
        <v>2861</v>
      </c>
    </row>
    <row r="2863" spans="1:1">
      <c r="A2863">
        <v>2862</v>
      </c>
    </row>
    <row r="2864" spans="1:1">
      <c r="A2864">
        <v>2863</v>
      </c>
    </row>
    <row r="2865" spans="1:1">
      <c r="A2865">
        <v>2864</v>
      </c>
    </row>
    <row r="2866" spans="1:1">
      <c r="A2866">
        <v>2865</v>
      </c>
    </row>
    <row r="2867" spans="1:1">
      <c r="A2867">
        <v>2866</v>
      </c>
    </row>
    <row r="2868" spans="1:1">
      <c r="A2868">
        <v>2867</v>
      </c>
    </row>
    <row r="2869" spans="1:1">
      <c r="A2869">
        <v>2868</v>
      </c>
    </row>
    <row r="2870" spans="1:1">
      <c r="A2870">
        <v>2869</v>
      </c>
    </row>
    <row r="2871" spans="1:1">
      <c r="A2871">
        <v>2870</v>
      </c>
    </row>
    <row r="2872" spans="1:1">
      <c r="A2872">
        <v>2871</v>
      </c>
    </row>
    <row r="2873" spans="1:1">
      <c r="A2873">
        <v>2872</v>
      </c>
    </row>
    <row r="2874" spans="1:1">
      <c r="A2874">
        <v>2873</v>
      </c>
    </row>
    <row r="2875" spans="1:1">
      <c r="A2875">
        <v>2874</v>
      </c>
    </row>
    <row r="2876" spans="1:1">
      <c r="A2876">
        <v>2875</v>
      </c>
    </row>
    <row r="2877" spans="1:1">
      <c r="A2877">
        <v>2876</v>
      </c>
    </row>
    <row r="2878" spans="1:1">
      <c r="A2878">
        <v>2877</v>
      </c>
    </row>
    <row r="2879" spans="1:1">
      <c r="A2879">
        <v>2878</v>
      </c>
    </row>
    <row r="2880" spans="1:1">
      <c r="A2880">
        <v>2879</v>
      </c>
    </row>
    <row r="2881" spans="1:1">
      <c r="A2881">
        <v>2880</v>
      </c>
    </row>
    <row r="2882" spans="1:1">
      <c r="A2882">
        <v>2881</v>
      </c>
    </row>
    <row r="2883" spans="1:1">
      <c r="A2883">
        <v>2882</v>
      </c>
    </row>
    <row r="2884" spans="1:1">
      <c r="A2884">
        <v>2883</v>
      </c>
    </row>
    <row r="2885" spans="1:1">
      <c r="A2885">
        <v>2884</v>
      </c>
    </row>
    <row r="2886" spans="1:1">
      <c r="A2886">
        <v>2885</v>
      </c>
    </row>
    <row r="2887" spans="1:1">
      <c r="A2887">
        <v>2886</v>
      </c>
    </row>
    <row r="2888" spans="1:1">
      <c r="A2888">
        <v>2887</v>
      </c>
    </row>
    <row r="2889" spans="1:1">
      <c r="A2889">
        <v>2888</v>
      </c>
    </row>
    <row r="2890" spans="1:1">
      <c r="A2890">
        <v>2889</v>
      </c>
    </row>
    <row r="2891" spans="1:1">
      <c r="A2891">
        <v>2890</v>
      </c>
    </row>
    <row r="2892" spans="1:1">
      <c r="A2892">
        <v>2891</v>
      </c>
    </row>
    <row r="2893" spans="1:1">
      <c r="A2893">
        <v>2892</v>
      </c>
    </row>
    <row r="2894" spans="1:1">
      <c r="A2894">
        <v>2893</v>
      </c>
    </row>
    <row r="2895" spans="1:1">
      <c r="A2895">
        <v>2894</v>
      </c>
    </row>
    <row r="2896" spans="1:1">
      <c r="A2896">
        <v>2895</v>
      </c>
    </row>
    <row r="2897" spans="1:1">
      <c r="A2897">
        <v>2896</v>
      </c>
    </row>
    <row r="2898" spans="1:1">
      <c r="A2898">
        <v>2897</v>
      </c>
    </row>
    <row r="2899" spans="1:1">
      <c r="A2899">
        <v>2898</v>
      </c>
    </row>
    <row r="2900" spans="1:1">
      <c r="A2900">
        <v>2899</v>
      </c>
    </row>
    <row r="2901" spans="1:1">
      <c r="A2901">
        <v>2900</v>
      </c>
    </row>
    <row r="2902" spans="1:1">
      <c r="A2902">
        <v>2901</v>
      </c>
    </row>
    <row r="2903" spans="1:1">
      <c r="A2903">
        <v>2902</v>
      </c>
    </row>
    <row r="2904" spans="1:1">
      <c r="A2904">
        <v>2903</v>
      </c>
    </row>
    <row r="2905" spans="1:1">
      <c r="A2905">
        <v>2904</v>
      </c>
    </row>
    <row r="2906" spans="1:1">
      <c r="A2906">
        <v>2905</v>
      </c>
    </row>
    <row r="2907" spans="1:1">
      <c r="A2907">
        <v>2906</v>
      </c>
    </row>
    <row r="2908" spans="1:1">
      <c r="A2908">
        <v>2907</v>
      </c>
    </row>
    <row r="2909" spans="1:1">
      <c r="A2909">
        <v>2908</v>
      </c>
    </row>
    <row r="2910" spans="1:1">
      <c r="A2910">
        <v>2909</v>
      </c>
    </row>
    <row r="2911" spans="1:1">
      <c r="A2911">
        <v>2910</v>
      </c>
    </row>
    <row r="2912" spans="1:1">
      <c r="A2912">
        <v>2911</v>
      </c>
    </row>
    <row r="2913" spans="1:1">
      <c r="A2913">
        <v>2912</v>
      </c>
    </row>
    <row r="2914" spans="1:1">
      <c r="A2914">
        <v>2913</v>
      </c>
    </row>
    <row r="2915" spans="1:1">
      <c r="A2915">
        <v>2914</v>
      </c>
    </row>
    <row r="2916" spans="1:1">
      <c r="A2916">
        <v>2915</v>
      </c>
    </row>
    <row r="2917" spans="1:1">
      <c r="A2917">
        <v>2916</v>
      </c>
    </row>
    <row r="2918" spans="1:1">
      <c r="A2918">
        <v>2917</v>
      </c>
    </row>
    <row r="2919" spans="1:1">
      <c r="A2919">
        <v>2918</v>
      </c>
    </row>
    <row r="2920" spans="1:1">
      <c r="A2920">
        <v>2919</v>
      </c>
    </row>
    <row r="2921" spans="1:1">
      <c r="A2921">
        <v>2920</v>
      </c>
    </row>
    <row r="2922" spans="1:1">
      <c r="A2922">
        <v>2921</v>
      </c>
    </row>
    <row r="2923" spans="1:1">
      <c r="A2923">
        <v>2922</v>
      </c>
    </row>
    <row r="2924" spans="1:1">
      <c r="A2924">
        <v>2923</v>
      </c>
    </row>
    <row r="2925" spans="1:1">
      <c r="A2925">
        <v>2924</v>
      </c>
    </row>
    <row r="2926" spans="1:1">
      <c r="A2926">
        <v>2925</v>
      </c>
    </row>
    <row r="2927" spans="1:1">
      <c r="A2927">
        <v>2926</v>
      </c>
    </row>
    <row r="2928" spans="1:1">
      <c r="A2928">
        <v>2927</v>
      </c>
    </row>
    <row r="2929" spans="1:1">
      <c r="A2929">
        <v>2928</v>
      </c>
    </row>
    <row r="2930" spans="1:1">
      <c r="A2930">
        <v>2929</v>
      </c>
    </row>
    <row r="2931" spans="1:1">
      <c r="A2931">
        <v>2930</v>
      </c>
    </row>
    <row r="2932" spans="1:1">
      <c r="A2932">
        <v>2931</v>
      </c>
    </row>
    <row r="2933" spans="1:1">
      <c r="A2933">
        <v>2932</v>
      </c>
    </row>
    <row r="2934" spans="1:1">
      <c r="A2934">
        <v>2933</v>
      </c>
    </row>
    <row r="2935" spans="1:1">
      <c r="A2935">
        <v>2934</v>
      </c>
    </row>
    <row r="2936" spans="1:1">
      <c r="A2936">
        <v>2935</v>
      </c>
    </row>
    <row r="2937" spans="1:1">
      <c r="A2937">
        <v>2936</v>
      </c>
    </row>
    <row r="2938" spans="1:1">
      <c r="A2938">
        <v>2937</v>
      </c>
    </row>
    <row r="2939" spans="1:1">
      <c r="A2939">
        <v>2938</v>
      </c>
    </row>
    <row r="2940" spans="1:1">
      <c r="A2940">
        <v>2939</v>
      </c>
    </row>
    <row r="2941" spans="1:1">
      <c r="A2941">
        <v>2940</v>
      </c>
    </row>
    <row r="2942" spans="1:1">
      <c r="A2942">
        <v>2941</v>
      </c>
    </row>
    <row r="2943" spans="1:1">
      <c r="A2943">
        <v>2942</v>
      </c>
    </row>
    <row r="2944" spans="1:1">
      <c r="A2944">
        <v>2943</v>
      </c>
    </row>
    <row r="2945" spans="1:1">
      <c r="A2945">
        <v>2944</v>
      </c>
    </row>
    <row r="2946" spans="1:1">
      <c r="A2946">
        <v>2945</v>
      </c>
    </row>
    <row r="2947" spans="1:1">
      <c r="A2947">
        <v>2946</v>
      </c>
    </row>
    <row r="2948" spans="1:1">
      <c r="A2948">
        <v>2947</v>
      </c>
    </row>
    <row r="2949" spans="1:1">
      <c r="A2949">
        <v>2948</v>
      </c>
    </row>
    <row r="2950" spans="1:1">
      <c r="A2950">
        <v>2949</v>
      </c>
    </row>
    <row r="2951" spans="1:1">
      <c r="A2951">
        <v>2950</v>
      </c>
    </row>
    <row r="2952" spans="1:1">
      <c r="A2952">
        <v>2951</v>
      </c>
    </row>
    <row r="2953" spans="1:1">
      <c r="A2953">
        <v>2952</v>
      </c>
    </row>
    <row r="2954" spans="1:1">
      <c r="A2954">
        <v>2953</v>
      </c>
    </row>
    <row r="2955" spans="1:1">
      <c r="A2955">
        <v>2954</v>
      </c>
    </row>
    <row r="2956" spans="1:1">
      <c r="A2956">
        <v>2955</v>
      </c>
    </row>
    <row r="2957" spans="1:1">
      <c r="A2957">
        <v>2956</v>
      </c>
    </row>
    <row r="2958" spans="1:1">
      <c r="A2958">
        <v>2957</v>
      </c>
    </row>
    <row r="2959" spans="1:1">
      <c r="A2959">
        <v>2958</v>
      </c>
    </row>
    <row r="2960" spans="1:1">
      <c r="A2960">
        <v>2959</v>
      </c>
    </row>
    <row r="2961" spans="1:1">
      <c r="A2961">
        <v>2960</v>
      </c>
    </row>
    <row r="2962" spans="1:1">
      <c r="A2962">
        <v>2961</v>
      </c>
    </row>
    <row r="2963" spans="1:1">
      <c r="A2963">
        <v>2962</v>
      </c>
    </row>
    <row r="2964" spans="1:1">
      <c r="A2964">
        <v>2963</v>
      </c>
    </row>
    <row r="2965" spans="1:1">
      <c r="A2965">
        <v>2964</v>
      </c>
    </row>
    <row r="2966" spans="1:1">
      <c r="A2966">
        <v>2965</v>
      </c>
    </row>
    <row r="2967" spans="1:1">
      <c r="A2967">
        <v>2966</v>
      </c>
    </row>
    <row r="2968" spans="1:1">
      <c r="A2968">
        <v>2967</v>
      </c>
    </row>
    <row r="2969" spans="1:1">
      <c r="A2969">
        <v>2968</v>
      </c>
    </row>
    <row r="2970" spans="1:1">
      <c r="A2970">
        <v>2969</v>
      </c>
    </row>
    <row r="2971" spans="1:1">
      <c r="A2971">
        <v>2970</v>
      </c>
    </row>
    <row r="2972" spans="1:1">
      <c r="A2972">
        <v>2971</v>
      </c>
    </row>
    <row r="2973" spans="1:1">
      <c r="A2973">
        <v>2972</v>
      </c>
    </row>
    <row r="2974" spans="1:1">
      <c r="A2974">
        <v>2973</v>
      </c>
    </row>
    <row r="2975" spans="1:1">
      <c r="A2975">
        <v>2974</v>
      </c>
    </row>
    <row r="2976" spans="1:1">
      <c r="A2976">
        <v>2975</v>
      </c>
    </row>
    <row r="2977" spans="1:1">
      <c r="A2977">
        <v>2976</v>
      </c>
    </row>
    <row r="2978" spans="1:1">
      <c r="A2978">
        <v>2977</v>
      </c>
    </row>
    <row r="2979" spans="1:1">
      <c r="A2979">
        <v>2978</v>
      </c>
    </row>
    <row r="2980" spans="1:1">
      <c r="A2980">
        <v>2979</v>
      </c>
    </row>
    <row r="2981" spans="1:1">
      <c r="A2981">
        <v>2980</v>
      </c>
    </row>
    <row r="2982" spans="1:1">
      <c r="A2982">
        <v>2981</v>
      </c>
    </row>
    <row r="2983" spans="1:1">
      <c r="A2983">
        <v>2982</v>
      </c>
    </row>
    <row r="2984" spans="1:1">
      <c r="A2984">
        <v>2983</v>
      </c>
    </row>
    <row r="2985" spans="1:1">
      <c r="A2985">
        <v>2984</v>
      </c>
    </row>
    <row r="2986" spans="1:1">
      <c r="A2986">
        <v>2985</v>
      </c>
    </row>
    <row r="2987" spans="1:1">
      <c r="A2987">
        <v>2986</v>
      </c>
    </row>
    <row r="2988" spans="1:1">
      <c r="A2988">
        <v>2987</v>
      </c>
    </row>
    <row r="2989" spans="1:1">
      <c r="A2989">
        <v>2988</v>
      </c>
    </row>
    <row r="2990" spans="1:1">
      <c r="A2990">
        <v>2989</v>
      </c>
    </row>
    <row r="2991" spans="1:1">
      <c r="A2991">
        <v>2990</v>
      </c>
    </row>
    <row r="2992" spans="1:1">
      <c r="A2992">
        <v>2991</v>
      </c>
    </row>
    <row r="2993" spans="1:1">
      <c r="A2993">
        <v>2992</v>
      </c>
    </row>
    <row r="2994" spans="1:1">
      <c r="A2994">
        <v>2993</v>
      </c>
    </row>
    <row r="2995" spans="1:1">
      <c r="A2995">
        <v>2994</v>
      </c>
    </row>
    <row r="2996" spans="1:1">
      <c r="A2996">
        <v>2995</v>
      </c>
    </row>
    <row r="2997" spans="1:1">
      <c r="A2997">
        <v>2996</v>
      </c>
    </row>
    <row r="2998" spans="1:1">
      <c r="A2998">
        <v>2997</v>
      </c>
    </row>
    <row r="2999" spans="1:1">
      <c r="A2999">
        <v>2998</v>
      </c>
    </row>
    <row r="3000" spans="1:1">
      <c r="A3000">
        <v>2999</v>
      </c>
    </row>
    <row r="3001" spans="1:1">
      <c r="A3001">
        <v>3000</v>
      </c>
    </row>
    <row r="3002" spans="1:1">
      <c r="A3002">
        <v>3001</v>
      </c>
    </row>
    <row r="3003" spans="1:1">
      <c r="A3003">
        <v>3002</v>
      </c>
    </row>
    <row r="3004" spans="1:1">
      <c r="A3004">
        <v>3003</v>
      </c>
    </row>
    <row r="3005" spans="1:1">
      <c r="A3005">
        <v>3004</v>
      </c>
    </row>
    <row r="3006" spans="1:1">
      <c r="A3006">
        <v>3005</v>
      </c>
    </row>
    <row r="3007" spans="1:1">
      <c r="A3007">
        <v>3006</v>
      </c>
    </row>
    <row r="3008" spans="1:1">
      <c r="A3008">
        <v>3007</v>
      </c>
    </row>
    <row r="3009" spans="1:1">
      <c r="A3009">
        <v>3008</v>
      </c>
    </row>
    <row r="3010" spans="1:1">
      <c r="A3010">
        <v>3009</v>
      </c>
    </row>
    <row r="3011" spans="1:1">
      <c r="A3011">
        <v>3010</v>
      </c>
    </row>
    <row r="3012" spans="1:1">
      <c r="A3012">
        <v>3011</v>
      </c>
    </row>
    <row r="3013" spans="1:1">
      <c r="A3013">
        <v>3012</v>
      </c>
    </row>
    <row r="3014" spans="1:1">
      <c r="A3014">
        <v>3013</v>
      </c>
    </row>
    <row r="3015" spans="1:1">
      <c r="A3015">
        <v>3014</v>
      </c>
    </row>
    <row r="3016" spans="1:1">
      <c r="A3016">
        <v>3015</v>
      </c>
    </row>
    <row r="3017" spans="1:1">
      <c r="A3017">
        <v>3016</v>
      </c>
    </row>
    <row r="3018" spans="1:1">
      <c r="A3018">
        <v>3017</v>
      </c>
    </row>
    <row r="3019" spans="1:1">
      <c r="A3019">
        <v>3018</v>
      </c>
    </row>
    <row r="3020" spans="1:1">
      <c r="A3020">
        <v>3019</v>
      </c>
    </row>
    <row r="3021" spans="1:1">
      <c r="A3021">
        <v>3020</v>
      </c>
    </row>
    <row r="3022" spans="1:1">
      <c r="A3022">
        <v>3021</v>
      </c>
    </row>
    <row r="3023" spans="1:1">
      <c r="A3023">
        <v>3022</v>
      </c>
    </row>
    <row r="3024" spans="1:1">
      <c r="A3024">
        <v>3023</v>
      </c>
    </row>
    <row r="3025" spans="1:1">
      <c r="A3025">
        <v>3024</v>
      </c>
    </row>
    <row r="3026" spans="1:1">
      <c r="A3026">
        <v>3025</v>
      </c>
    </row>
    <row r="3027" spans="1:1">
      <c r="A3027">
        <v>3026</v>
      </c>
    </row>
    <row r="3028" spans="1:1">
      <c r="A3028">
        <v>3027</v>
      </c>
    </row>
    <row r="3029" spans="1:1">
      <c r="A3029">
        <v>3028</v>
      </c>
    </row>
    <row r="3030" spans="1:1">
      <c r="A3030">
        <v>3029</v>
      </c>
    </row>
    <row r="3031" spans="1:1">
      <c r="A3031">
        <v>3030</v>
      </c>
    </row>
    <row r="3032" spans="1:1">
      <c r="A3032">
        <v>3031</v>
      </c>
    </row>
    <row r="3033" spans="1:1">
      <c r="A3033">
        <v>3032</v>
      </c>
    </row>
    <row r="3034" spans="1:1">
      <c r="A3034">
        <v>3033</v>
      </c>
    </row>
    <row r="3035" spans="1:1">
      <c r="A3035">
        <v>3034</v>
      </c>
    </row>
    <row r="3036" spans="1:1">
      <c r="A3036">
        <v>3035</v>
      </c>
    </row>
    <row r="3037" spans="1:1">
      <c r="A3037">
        <v>3036</v>
      </c>
    </row>
    <row r="3038" spans="1:1">
      <c r="A3038">
        <v>3037</v>
      </c>
    </row>
    <row r="3039" spans="1:1">
      <c r="A3039">
        <v>3038</v>
      </c>
    </row>
    <row r="3040" spans="1:1">
      <c r="A3040">
        <v>3039</v>
      </c>
    </row>
    <row r="3041" spans="1:1">
      <c r="A3041">
        <v>3040</v>
      </c>
    </row>
    <row r="3042" spans="1:1">
      <c r="A3042">
        <v>3041</v>
      </c>
    </row>
    <row r="3043" spans="1:1">
      <c r="A3043">
        <v>3042</v>
      </c>
    </row>
    <row r="3044" spans="1:1">
      <c r="A3044">
        <v>3043</v>
      </c>
    </row>
    <row r="3045" spans="1:1">
      <c r="A3045">
        <v>3044</v>
      </c>
    </row>
    <row r="3046" spans="1:1">
      <c r="A3046">
        <v>3045</v>
      </c>
    </row>
    <row r="3047" spans="1:1">
      <c r="A3047">
        <v>3046</v>
      </c>
    </row>
    <row r="3048" spans="1:1">
      <c r="A3048">
        <v>3047</v>
      </c>
    </row>
    <row r="3049" spans="1:1">
      <c r="A3049">
        <v>3048</v>
      </c>
    </row>
    <row r="3050" spans="1:1">
      <c r="A3050">
        <v>3049</v>
      </c>
    </row>
    <row r="3051" spans="1:1">
      <c r="A3051">
        <v>3050</v>
      </c>
    </row>
    <row r="3052" spans="1:1">
      <c r="A3052">
        <v>3051</v>
      </c>
    </row>
    <row r="3053" spans="1:1">
      <c r="A3053">
        <v>3052</v>
      </c>
    </row>
    <row r="3054" spans="1:1">
      <c r="A3054">
        <v>3053</v>
      </c>
    </row>
    <row r="3055" spans="1:1">
      <c r="A3055">
        <v>3054</v>
      </c>
    </row>
    <row r="3056" spans="1:1">
      <c r="A3056">
        <v>3055</v>
      </c>
    </row>
    <row r="3057" spans="1:1">
      <c r="A3057">
        <v>3056</v>
      </c>
    </row>
    <row r="3058" spans="1:1">
      <c r="A3058">
        <v>3057</v>
      </c>
    </row>
    <row r="3059" spans="1:1">
      <c r="A3059">
        <v>3058</v>
      </c>
    </row>
    <row r="3060" spans="1:1">
      <c r="A3060">
        <v>3059</v>
      </c>
    </row>
    <row r="3061" spans="1:1">
      <c r="A3061">
        <v>3060</v>
      </c>
    </row>
    <row r="3062" spans="1:1">
      <c r="A3062">
        <v>3061</v>
      </c>
    </row>
    <row r="3063" spans="1:1">
      <c r="A3063">
        <v>3062</v>
      </c>
    </row>
    <row r="3064" spans="1:1">
      <c r="A3064">
        <v>3063</v>
      </c>
    </row>
    <row r="3065" spans="1:1">
      <c r="A3065">
        <v>3064</v>
      </c>
    </row>
    <row r="3066" spans="1:1">
      <c r="A3066">
        <v>3065</v>
      </c>
    </row>
    <row r="3067" spans="1:1">
      <c r="A3067">
        <v>3066</v>
      </c>
    </row>
    <row r="3068" spans="1:1">
      <c r="A3068">
        <v>3067</v>
      </c>
    </row>
    <row r="3069" spans="1:1">
      <c r="A3069">
        <v>3068</v>
      </c>
    </row>
    <row r="3070" spans="1:1">
      <c r="A3070">
        <v>3069</v>
      </c>
    </row>
    <row r="3071" spans="1:1">
      <c r="A3071">
        <v>3070</v>
      </c>
    </row>
    <row r="3072" spans="1:1">
      <c r="A3072">
        <v>3071</v>
      </c>
    </row>
    <row r="3073" spans="1:1">
      <c r="A3073">
        <v>3072</v>
      </c>
    </row>
    <row r="3074" spans="1:1">
      <c r="A3074">
        <v>3073</v>
      </c>
    </row>
    <row r="3075" spans="1:1">
      <c r="A3075">
        <v>3074</v>
      </c>
    </row>
    <row r="3076" spans="1:1">
      <c r="A3076">
        <v>3075</v>
      </c>
    </row>
    <row r="3077" spans="1:1">
      <c r="A3077">
        <v>3076</v>
      </c>
    </row>
    <row r="3078" spans="1:1">
      <c r="A3078">
        <v>3077</v>
      </c>
    </row>
    <row r="3079" spans="1:1">
      <c r="A3079">
        <v>3078</v>
      </c>
    </row>
    <row r="3080" spans="1:1">
      <c r="A3080">
        <v>3079</v>
      </c>
    </row>
    <row r="3081" spans="1:1">
      <c r="A3081">
        <v>3080</v>
      </c>
    </row>
    <row r="3082" spans="1:1">
      <c r="A3082">
        <v>3081</v>
      </c>
    </row>
    <row r="3083" spans="1:1">
      <c r="A3083">
        <v>3082</v>
      </c>
    </row>
    <row r="3084" spans="1:1">
      <c r="A3084">
        <v>3083</v>
      </c>
    </row>
    <row r="3085" spans="1:1">
      <c r="A3085">
        <v>3084</v>
      </c>
    </row>
    <row r="3086" spans="1:1">
      <c r="A3086">
        <v>3085</v>
      </c>
    </row>
    <row r="3087" spans="1:1">
      <c r="A3087">
        <v>3086</v>
      </c>
    </row>
    <row r="3088" spans="1:1">
      <c r="A3088">
        <v>3087</v>
      </c>
    </row>
    <row r="3089" spans="1:1">
      <c r="A3089">
        <v>3088</v>
      </c>
    </row>
    <row r="3090" spans="1:1">
      <c r="A3090">
        <v>3089</v>
      </c>
    </row>
    <row r="3091" spans="1:1">
      <c r="A3091">
        <v>3090</v>
      </c>
    </row>
    <row r="3092" spans="1:1">
      <c r="A3092">
        <v>3091</v>
      </c>
    </row>
    <row r="3093" spans="1:1">
      <c r="A3093">
        <v>3092</v>
      </c>
    </row>
    <row r="3094" spans="1:1">
      <c r="A3094">
        <v>3093</v>
      </c>
    </row>
    <row r="3095" spans="1:1">
      <c r="A3095">
        <v>3094</v>
      </c>
    </row>
    <row r="3096" spans="1:1">
      <c r="A3096">
        <v>3095</v>
      </c>
    </row>
    <row r="3097" spans="1:1">
      <c r="A3097">
        <v>3096</v>
      </c>
    </row>
    <row r="3098" spans="1:1">
      <c r="A3098">
        <v>3097</v>
      </c>
    </row>
    <row r="3099" spans="1:1">
      <c r="A3099">
        <v>3098</v>
      </c>
    </row>
    <row r="3100" spans="1:1">
      <c r="A3100">
        <v>3099</v>
      </c>
    </row>
    <row r="3101" spans="1:1">
      <c r="A3101">
        <v>3100</v>
      </c>
    </row>
    <row r="3102" spans="1:1">
      <c r="A3102">
        <v>3101</v>
      </c>
    </row>
    <row r="3103" spans="1:1">
      <c r="A3103">
        <v>3102</v>
      </c>
    </row>
    <row r="3104" spans="1:1">
      <c r="A3104">
        <v>3103</v>
      </c>
    </row>
    <row r="3105" spans="1:1">
      <c r="A3105">
        <v>3104</v>
      </c>
    </row>
    <row r="3106" spans="1:1">
      <c r="A3106">
        <v>3105</v>
      </c>
    </row>
    <row r="3107" spans="1:1">
      <c r="A3107">
        <v>3106</v>
      </c>
    </row>
    <row r="3108" spans="1:1">
      <c r="A3108">
        <v>3107</v>
      </c>
    </row>
    <row r="3109" spans="1:1">
      <c r="A3109">
        <v>3108</v>
      </c>
    </row>
    <row r="3110" spans="1:1">
      <c r="A3110">
        <v>3109</v>
      </c>
    </row>
    <row r="3111" spans="1:1">
      <c r="A3111">
        <v>3110</v>
      </c>
    </row>
    <row r="3112" spans="1:1">
      <c r="A3112">
        <v>3111</v>
      </c>
    </row>
    <row r="3113" spans="1:1">
      <c r="A3113">
        <v>3112</v>
      </c>
    </row>
    <row r="3114" spans="1:1">
      <c r="A3114">
        <v>3113</v>
      </c>
    </row>
    <row r="3115" spans="1:1">
      <c r="A3115">
        <v>3114</v>
      </c>
    </row>
    <row r="3116" spans="1:1">
      <c r="A3116">
        <v>3115</v>
      </c>
    </row>
    <row r="3117" spans="1:1">
      <c r="A3117">
        <v>3116</v>
      </c>
    </row>
    <row r="3118" spans="1:1">
      <c r="A3118">
        <v>3117</v>
      </c>
    </row>
    <row r="3119" spans="1:1">
      <c r="A3119">
        <v>3118</v>
      </c>
    </row>
    <row r="3120" spans="1:1">
      <c r="A3120">
        <v>3119</v>
      </c>
    </row>
    <row r="3121" spans="1:1">
      <c r="A3121">
        <v>3120</v>
      </c>
    </row>
    <row r="3122" spans="1:1">
      <c r="A3122">
        <v>3121</v>
      </c>
    </row>
    <row r="3123" spans="1:1">
      <c r="A3123">
        <v>3122</v>
      </c>
    </row>
    <row r="3124" spans="1:1">
      <c r="A3124">
        <v>3123</v>
      </c>
    </row>
    <row r="3125" spans="1:1">
      <c r="A3125">
        <v>3124</v>
      </c>
    </row>
    <row r="3126" spans="1:1">
      <c r="A3126">
        <v>3125</v>
      </c>
    </row>
    <row r="3127" spans="1:1">
      <c r="A3127">
        <v>3126</v>
      </c>
    </row>
    <row r="3128" spans="1:1">
      <c r="A3128">
        <v>3127</v>
      </c>
    </row>
    <row r="3129" spans="1:1">
      <c r="A3129">
        <v>3128</v>
      </c>
    </row>
    <row r="3130" spans="1:1">
      <c r="A3130">
        <v>3129</v>
      </c>
    </row>
    <row r="3131" spans="1:1">
      <c r="A3131">
        <v>3130</v>
      </c>
    </row>
    <row r="3132" spans="1:1">
      <c r="A3132">
        <v>3131</v>
      </c>
    </row>
    <row r="3133" spans="1:1">
      <c r="A3133">
        <v>3132</v>
      </c>
    </row>
    <row r="3134" spans="1:1">
      <c r="A3134">
        <v>3133</v>
      </c>
    </row>
    <row r="3135" spans="1:1">
      <c r="A3135">
        <v>3134</v>
      </c>
    </row>
    <row r="3136" spans="1:1">
      <c r="A3136">
        <v>3135</v>
      </c>
    </row>
    <row r="3137" spans="1:1">
      <c r="A3137">
        <v>3136</v>
      </c>
    </row>
    <row r="3138" spans="1:1">
      <c r="A3138">
        <v>3137</v>
      </c>
    </row>
    <row r="3139" spans="1:1">
      <c r="A3139">
        <v>3138</v>
      </c>
    </row>
    <row r="3140" spans="1:1">
      <c r="A3140">
        <v>3139</v>
      </c>
    </row>
    <row r="3141" spans="1:1">
      <c r="A3141">
        <v>3140</v>
      </c>
    </row>
    <row r="3142" spans="1:1">
      <c r="A3142">
        <v>3141</v>
      </c>
    </row>
    <row r="3143" spans="1:1">
      <c r="A3143">
        <v>3142</v>
      </c>
    </row>
    <row r="3144" spans="1:1">
      <c r="A3144">
        <v>3143</v>
      </c>
    </row>
    <row r="3145" spans="1:1">
      <c r="A3145">
        <v>3144</v>
      </c>
    </row>
    <row r="3146" spans="1:1">
      <c r="A3146">
        <v>3145</v>
      </c>
    </row>
    <row r="3147" spans="1:1">
      <c r="A3147">
        <v>3146</v>
      </c>
    </row>
    <row r="3148" spans="1:1">
      <c r="A3148">
        <v>3147</v>
      </c>
    </row>
    <row r="3149" spans="1:1">
      <c r="A3149">
        <v>3148</v>
      </c>
    </row>
    <row r="3150" spans="1:1">
      <c r="A3150">
        <v>3149</v>
      </c>
    </row>
    <row r="3151" spans="1:1">
      <c r="A3151">
        <v>3150</v>
      </c>
    </row>
    <row r="3152" spans="1:1">
      <c r="A3152">
        <v>3151</v>
      </c>
    </row>
    <row r="3153" spans="1:1">
      <c r="A3153">
        <v>3152</v>
      </c>
    </row>
    <row r="3154" spans="1:1">
      <c r="A3154">
        <v>3153</v>
      </c>
    </row>
    <row r="3155" spans="1:1">
      <c r="A3155">
        <v>3154</v>
      </c>
    </row>
    <row r="3156" spans="1:1">
      <c r="A3156">
        <v>3155</v>
      </c>
    </row>
    <row r="3157" spans="1:1">
      <c r="A3157">
        <v>3156</v>
      </c>
    </row>
    <row r="3158" spans="1:1">
      <c r="A3158">
        <v>3157</v>
      </c>
    </row>
    <row r="3159" spans="1:1">
      <c r="A3159">
        <v>3158</v>
      </c>
    </row>
    <row r="3160" spans="1:1">
      <c r="A3160">
        <v>3159</v>
      </c>
    </row>
    <row r="3161" spans="1:1">
      <c r="A3161">
        <v>3160</v>
      </c>
    </row>
    <row r="3162" spans="1:1">
      <c r="A3162">
        <v>3161</v>
      </c>
    </row>
    <row r="3163" spans="1:1">
      <c r="A3163">
        <v>3162</v>
      </c>
    </row>
    <row r="3164" spans="1:1">
      <c r="A3164">
        <v>3163</v>
      </c>
    </row>
    <row r="3165" spans="1:1">
      <c r="A3165">
        <v>3164</v>
      </c>
    </row>
    <row r="3166" spans="1:1">
      <c r="A3166">
        <v>3165</v>
      </c>
    </row>
    <row r="3167" spans="1:1">
      <c r="A3167">
        <v>3166</v>
      </c>
    </row>
    <row r="3168" spans="1:1">
      <c r="A3168">
        <v>3167</v>
      </c>
    </row>
    <row r="3169" spans="1:1">
      <c r="A3169">
        <v>3168</v>
      </c>
    </row>
    <row r="3170" spans="1:1">
      <c r="A3170">
        <v>3169</v>
      </c>
    </row>
    <row r="3171" spans="1:1">
      <c r="A3171">
        <v>3170</v>
      </c>
    </row>
    <row r="3172" spans="1:1">
      <c r="A3172">
        <v>3171</v>
      </c>
    </row>
    <row r="3173" spans="1:1">
      <c r="A3173">
        <v>3172</v>
      </c>
    </row>
    <row r="3174" spans="1:1">
      <c r="A3174">
        <v>3173</v>
      </c>
    </row>
    <row r="3175" spans="1:1">
      <c r="A3175">
        <v>3174</v>
      </c>
    </row>
    <row r="3176" spans="1:1">
      <c r="A3176">
        <v>3175</v>
      </c>
    </row>
    <row r="3177" spans="1:1">
      <c r="A3177">
        <v>3176</v>
      </c>
    </row>
    <row r="3178" spans="1:1">
      <c r="A3178">
        <v>3177</v>
      </c>
    </row>
    <row r="3179" spans="1:1">
      <c r="A3179">
        <v>3178</v>
      </c>
    </row>
    <row r="3180" spans="1:1">
      <c r="A3180">
        <v>3179</v>
      </c>
    </row>
    <row r="3181" spans="1:1">
      <c r="A3181">
        <v>3180</v>
      </c>
    </row>
    <row r="3182" spans="1:1">
      <c r="A3182">
        <v>3181</v>
      </c>
    </row>
    <row r="3183" spans="1:1">
      <c r="A3183">
        <v>3182</v>
      </c>
    </row>
    <row r="3184" spans="1:1">
      <c r="A3184">
        <v>3183</v>
      </c>
    </row>
    <row r="3185" spans="1:1">
      <c r="A3185">
        <v>3184</v>
      </c>
    </row>
    <row r="3186" spans="1:1">
      <c r="A3186">
        <v>3185</v>
      </c>
    </row>
    <row r="3187" spans="1:1">
      <c r="A3187">
        <v>3186</v>
      </c>
    </row>
    <row r="3188" spans="1:1">
      <c r="A3188">
        <v>3187</v>
      </c>
    </row>
    <row r="3189" spans="1:1">
      <c r="A3189">
        <v>3188</v>
      </c>
    </row>
    <row r="3190" spans="1:1">
      <c r="A3190">
        <v>3189</v>
      </c>
    </row>
    <row r="3191" spans="1:1">
      <c r="A3191">
        <v>3190</v>
      </c>
    </row>
    <row r="3192" spans="1:1">
      <c r="A3192">
        <v>3191</v>
      </c>
    </row>
    <row r="3193" spans="1:1">
      <c r="A3193">
        <v>3192</v>
      </c>
    </row>
    <row r="3194" spans="1:1">
      <c r="A3194">
        <v>3193</v>
      </c>
    </row>
    <row r="3195" spans="1:1">
      <c r="A3195">
        <v>3194</v>
      </c>
    </row>
    <row r="3196" spans="1:1">
      <c r="A3196">
        <v>3195</v>
      </c>
    </row>
    <row r="3197" spans="1:1">
      <c r="A3197">
        <v>3196</v>
      </c>
    </row>
    <row r="3198" spans="1:1">
      <c r="A3198">
        <v>3197</v>
      </c>
    </row>
    <row r="3199" spans="1:1">
      <c r="A3199">
        <v>3198</v>
      </c>
    </row>
    <row r="3200" spans="1:1">
      <c r="A3200">
        <v>3199</v>
      </c>
    </row>
    <row r="3201" spans="1:1">
      <c r="A3201">
        <v>3200</v>
      </c>
    </row>
    <row r="3202" spans="1:1">
      <c r="A3202">
        <v>3201</v>
      </c>
    </row>
    <row r="3203" spans="1:1">
      <c r="A3203">
        <v>3202</v>
      </c>
    </row>
    <row r="3204" spans="1:1">
      <c r="A3204">
        <v>3203</v>
      </c>
    </row>
    <row r="3205" spans="1:1">
      <c r="A3205">
        <v>3204</v>
      </c>
    </row>
    <row r="3206" spans="1:1">
      <c r="A3206">
        <v>3205</v>
      </c>
    </row>
    <row r="3207" spans="1:1">
      <c r="A3207">
        <v>3206</v>
      </c>
    </row>
    <row r="3208" spans="1:1">
      <c r="A3208">
        <v>3207</v>
      </c>
    </row>
    <row r="3209" spans="1:1">
      <c r="A3209">
        <v>3208</v>
      </c>
    </row>
    <row r="3210" spans="1:1">
      <c r="A3210">
        <v>3209</v>
      </c>
    </row>
    <row r="3211" spans="1:1">
      <c r="A3211">
        <v>3210</v>
      </c>
    </row>
    <row r="3212" spans="1:1">
      <c r="A3212">
        <v>3211</v>
      </c>
    </row>
    <row r="3213" spans="1:1">
      <c r="A3213">
        <v>3212</v>
      </c>
    </row>
    <row r="3214" spans="1:1">
      <c r="A3214">
        <v>3213</v>
      </c>
    </row>
    <row r="3215" spans="1:1">
      <c r="A3215">
        <v>3214</v>
      </c>
    </row>
    <row r="3216" spans="1:1">
      <c r="A3216">
        <v>3215</v>
      </c>
    </row>
    <row r="3217" spans="1:1">
      <c r="A3217">
        <v>3216</v>
      </c>
    </row>
    <row r="3218" spans="1:1">
      <c r="A3218">
        <v>3217</v>
      </c>
    </row>
    <row r="3219" spans="1:1">
      <c r="A3219">
        <v>3218</v>
      </c>
    </row>
    <row r="3220" spans="1:1">
      <c r="A3220">
        <v>3219</v>
      </c>
    </row>
    <row r="3221" spans="1:1">
      <c r="A3221">
        <v>3220</v>
      </c>
    </row>
    <row r="3222" spans="1:1">
      <c r="A3222">
        <v>3221</v>
      </c>
    </row>
    <row r="3223" spans="1:1">
      <c r="A3223">
        <v>3222</v>
      </c>
    </row>
    <row r="3224" spans="1:1">
      <c r="A3224">
        <v>3223</v>
      </c>
    </row>
    <row r="3225" spans="1:1">
      <c r="A3225">
        <v>3224</v>
      </c>
    </row>
    <row r="3226" spans="1:1">
      <c r="A3226">
        <v>3225</v>
      </c>
    </row>
    <row r="3227" spans="1:1">
      <c r="A3227">
        <v>3226</v>
      </c>
    </row>
    <row r="3228" spans="1:1">
      <c r="A3228">
        <v>3227</v>
      </c>
    </row>
    <row r="3229" spans="1:1">
      <c r="A3229">
        <v>3228</v>
      </c>
    </row>
    <row r="3230" spans="1:1">
      <c r="A3230">
        <v>3229</v>
      </c>
    </row>
    <row r="3231" spans="1:1">
      <c r="A3231">
        <v>3230</v>
      </c>
    </row>
    <row r="3232" spans="1:1">
      <c r="A3232">
        <v>3231</v>
      </c>
    </row>
    <row r="3233" spans="1:1">
      <c r="A3233">
        <v>3232</v>
      </c>
    </row>
    <row r="3234" spans="1:1">
      <c r="A3234">
        <v>3233</v>
      </c>
    </row>
    <row r="3235" spans="1:1">
      <c r="A3235">
        <v>3234</v>
      </c>
    </row>
    <row r="3236" spans="1:1">
      <c r="A3236">
        <v>3235</v>
      </c>
    </row>
    <row r="3237" spans="1:1">
      <c r="A3237">
        <v>3236</v>
      </c>
    </row>
    <row r="3238" spans="1:1">
      <c r="A3238">
        <v>3237</v>
      </c>
    </row>
    <row r="3239" spans="1:1">
      <c r="A3239">
        <v>3238</v>
      </c>
    </row>
    <row r="3240" spans="1:1">
      <c r="A3240">
        <v>3239</v>
      </c>
    </row>
    <row r="3241" spans="1:1">
      <c r="A3241">
        <v>3240</v>
      </c>
    </row>
    <row r="3242" spans="1:1">
      <c r="A3242">
        <v>3241</v>
      </c>
    </row>
    <row r="3243" spans="1:1">
      <c r="A3243">
        <v>3242</v>
      </c>
    </row>
    <row r="3244" spans="1:1">
      <c r="A3244">
        <v>3243</v>
      </c>
    </row>
    <row r="3245" spans="1:1">
      <c r="A3245">
        <v>3244</v>
      </c>
    </row>
    <row r="3246" spans="1:1">
      <c r="A3246">
        <v>3245</v>
      </c>
    </row>
    <row r="3247" spans="1:1">
      <c r="A3247">
        <v>3246</v>
      </c>
    </row>
    <row r="3248" spans="1:1">
      <c r="A3248">
        <v>3247</v>
      </c>
    </row>
    <row r="3249" spans="1:1">
      <c r="A3249">
        <v>3248</v>
      </c>
    </row>
    <row r="3250" spans="1:1">
      <c r="A3250">
        <v>3249</v>
      </c>
    </row>
    <row r="3251" spans="1:1">
      <c r="A3251">
        <v>3250</v>
      </c>
    </row>
    <row r="3252" spans="1:1">
      <c r="A3252">
        <v>3251</v>
      </c>
    </row>
    <row r="3253" spans="1:1">
      <c r="A3253">
        <v>3252</v>
      </c>
    </row>
    <row r="3254" spans="1:1">
      <c r="A3254">
        <v>3253</v>
      </c>
    </row>
    <row r="3255" spans="1:1">
      <c r="A3255">
        <v>3254</v>
      </c>
    </row>
    <row r="3256" spans="1:1">
      <c r="A3256">
        <v>3255</v>
      </c>
    </row>
    <row r="3257" spans="1:1">
      <c r="A3257">
        <v>3256</v>
      </c>
    </row>
    <row r="3258" spans="1:1">
      <c r="A3258">
        <v>3257</v>
      </c>
    </row>
    <row r="3259" spans="1:1">
      <c r="A3259">
        <v>3258</v>
      </c>
    </row>
    <row r="3260" spans="1:1">
      <c r="A3260">
        <v>3259</v>
      </c>
    </row>
    <row r="3261" spans="1:1">
      <c r="A3261">
        <v>3260</v>
      </c>
    </row>
    <row r="3262" spans="1:1">
      <c r="A3262">
        <v>3261</v>
      </c>
    </row>
    <row r="3263" spans="1:1">
      <c r="A3263">
        <v>3262</v>
      </c>
    </row>
    <row r="3264" spans="1:1">
      <c r="A3264">
        <v>3263</v>
      </c>
    </row>
    <row r="3265" spans="1:1">
      <c r="A3265">
        <v>3264</v>
      </c>
    </row>
    <row r="3266" spans="1:1">
      <c r="A3266">
        <v>3265</v>
      </c>
    </row>
    <row r="3267" spans="1:1">
      <c r="A3267">
        <v>3266</v>
      </c>
    </row>
    <row r="3268" spans="1:1">
      <c r="A3268">
        <v>3267</v>
      </c>
    </row>
    <row r="3269" spans="1:1">
      <c r="A3269">
        <v>3268</v>
      </c>
    </row>
    <row r="3270" spans="1:1">
      <c r="A3270">
        <v>3269</v>
      </c>
    </row>
    <row r="3271" spans="1:1">
      <c r="A3271">
        <v>3270</v>
      </c>
    </row>
    <row r="3272" spans="1:1">
      <c r="A3272">
        <v>3271</v>
      </c>
    </row>
    <row r="3273" spans="1:1">
      <c r="A3273">
        <v>3272</v>
      </c>
    </row>
    <row r="3274" spans="1:1">
      <c r="A3274">
        <v>3273</v>
      </c>
    </row>
    <row r="3275" spans="1:1">
      <c r="A3275">
        <v>3274</v>
      </c>
    </row>
    <row r="3276" spans="1:1">
      <c r="A3276">
        <v>3275</v>
      </c>
    </row>
    <row r="3277" spans="1:1">
      <c r="A3277">
        <v>3276</v>
      </c>
    </row>
    <row r="3278" spans="1:1">
      <c r="A3278">
        <v>3277</v>
      </c>
    </row>
    <row r="3279" spans="1:1">
      <c r="A3279">
        <v>3278</v>
      </c>
    </row>
    <row r="3280" spans="1:1">
      <c r="A3280">
        <v>3279</v>
      </c>
    </row>
    <row r="3281" spans="1:1">
      <c r="A3281">
        <v>3280</v>
      </c>
    </row>
    <row r="3282" spans="1:1">
      <c r="A3282">
        <v>3281</v>
      </c>
    </row>
    <row r="3283" spans="1:1">
      <c r="A3283">
        <v>3282</v>
      </c>
    </row>
    <row r="3284" spans="1:1">
      <c r="A3284">
        <v>3283</v>
      </c>
    </row>
    <row r="3285" spans="1:1">
      <c r="A3285">
        <v>3284</v>
      </c>
    </row>
    <row r="3286" spans="1:1">
      <c r="A3286">
        <v>3285</v>
      </c>
    </row>
    <row r="3287" spans="1:1">
      <c r="A3287">
        <v>3286</v>
      </c>
    </row>
    <row r="3288" spans="1:1">
      <c r="A3288">
        <v>3287</v>
      </c>
    </row>
    <row r="3289" spans="1:1">
      <c r="A3289">
        <v>3288</v>
      </c>
    </row>
    <row r="3290" spans="1:1">
      <c r="A3290">
        <v>3289</v>
      </c>
    </row>
    <row r="3291" spans="1:1">
      <c r="A3291">
        <v>3290</v>
      </c>
    </row>
    <row r="3292" spans="1:1">
      <c r="A3292">
        <v>3291</v>
      </c>
    </row>
    <row r="3293" spans="1:1">
      <c r="A3293">
        <v>3292</v>
      </c>
    </row>
    <row r="3294" spans="1:1">
      <c r="A3294">
        <v>3293</v>
      </c>
    </row>
    <row r="3295" spans="1:1">
      <c r="A3295">
        <v>3294</v>
      </c>
    </row>
    <row r="3296" spans="1:1">
      <c r="A3296">
        <v>3295</v>
      </c>
    </row>
    <row r="3297" spans="1:1">
      <c r="A3297">
        <v>3296</v>
      </c>
    </row>
    <row r="3298" spans="1:1">
      <c r="A3298">
        <v>3297</v>
      </c>
    </row>
    <row r="3299" spans="1:1">
      <c r="A3299">
        <v>3298</v>
      </c>
    </row>
    <row r="3300" spans="1:1">
      <c r="A3300">
        <v>3299</v>
      </c>
    </row>
    <row r="3301" spans="1:1">
      <c r="A3301">
        <v>3300</v>
      </c>
    </row>
    <row r="3302" spans="1:1">
      <c r="A3302">
        <v>3301</v>
      </c>
    </row>
    <row r="3303" spans="1:1">
      <c r="A3303">
        <v>3302</v>
      </c>
    </row>
    <row r="3304" spans="1:1">
      <c r="A3304">
        <v>3303</v>
      </c>
    </row>
    <row r="3305" spans="1:1">
      <c r="A3305">
        <v>3304</v>
      </c>
    </row>
    <row r="3306" spans="1:1">
      <c r="A3306">
        <v>3305</v>
      </c>
    </row>
    <row r="3307" spans="1:1">
      <c r="A3307">
        <v>3306</v>
      </c>
    </row>
    <row r="3308" spans="1:1">
      <c r="A3308">
        <v>3307</v>
      </c>
    </row>
    <row r="3309" spans="1:1">
      <c r="A3309">
        <v>3308</v>
      </c>
    </row>
    <row r="3310" spans="1:1">
      <c r="A3310">
        <v>3309</v>
      </c>
    </row>
    <row r="3311" spans="1:1">
      <c r="A3311">
        <v>3310</v>
      </c>
    </row>
    <row r="3312" spans="1:1">
      <c r="A3312">
        <v>3311</v>
      </c>
    </row>
    <row r="3313" spans="1:1">
      <c r="A3313">
        <v>3312</v>
      </c>
    </row>
    <row r="3314" spans="1:1">
      <c r="A3314">
        <v>3313</v>
      </c>
    </row>
    <row r="3315" spans="1:1">
      <c r="A3315">
        <v>3314</v>
      </c>
    </row>
    <row r="3316" spans="1:1">
      <c r="A3316">
        <v>3315</v>
      </c>
    </row>
    <row r="3317" spans="1:1">
      <c r="A3317">
        <v>3316</v>
      </c>
    </row>
    <row r="3318" spans="1:1">
      <c r="A3318">
        <v>3317</v>
      </c>
    </row>
    <row r="3319" spans="1:1">
      <c r="A3319">
        <v>3318</v>
      </c>
    </row>
    <row r="3320" spans="1:1">
      <c r="A3320">
        <v>3319</v>
      </c>
    </row>
    <row r="3321" spans="1:1">
      <c r="A3321">
        <v>3320</v>
      </c>
    </row>
    <row r="3322" spans="1:1">
      <c r="A3322">
        <v>3321</v>
      </c>
    </row>
    <row r="3323" spans="1:1">
      <c r="A3323">
        <v>3322</v>
      </c>
    </row>
    <row r="3324" spans="1:1">
      <c r="A3324">
        <v>3323</v>
      </c>
    </row>
    <row r="3325" spans="1:1">
      <c r="A3325">
        <v>3324</v>
      </c>
    </row>
    <row r="3326" spans="1:1">
      <c r="A3326">
        <v>3325</v>
      </c>
    </row>
    <row r="3327" spans="1:1">
      <c r="A3327">
        <v>3326</v>
      </c>
    </row>
    <row r="3328" spans="1:1">
      <c r="A3328">
        <v>3327</v>
      </c>
    </row>
    <row r="3329" spans="1:1">
      <c r="A3329">
        <v>3328</v>
      </c>
    </row>
    <row r="3330" spans="1:1">
      <c r="A3330">
        <v>3329</v>
      </c>
    </row>
    <row r="3331" spans="1:1">
      <c r="A3331">
        <v>3330</v>
      </c>
    </row>
    <row r="3332" spans="1:1">
      <c r="A3332">
        <v>3331</v>
      </c>
    </row>
    <row r="3333" spans="1:1">
      <c r="A3333">
        <v>3332</v>
      </c>
    </row>
    <row r="3334" spans="1:1">
      <c r="A3334">
        <v>3333</v>
      </c>
    </row>
    <row r="3335" spans="1:1">
      <c r="A3335">
        <v>3334</v>
      </c>
    </row>
    <row r="3336" spans="1:1">
      <c r="A3336">
        <v>3335</v>
      </c>
    </row>
    <row r="3337" spans="1:1">
      <c r="A3337">
        <v>3336</v>
      </c>
    </row>
    <row r="3338" spans="1:1">
      <c r="A3338">
        <v>3337</v>
      </c>
    </row>
    <row r="3339" spans="1:1">
      <c r="A3339">
        <v>3338</v>
      </c>
    </row>
    <row r="3340" spans="1:1">
      <c r="A3340">
        <v>3339</v>
      </c>
    </row>
    <row r="3341" spans="1:1">
      <c r="A3341">
        <v>3340</v>
      </c>
    </row>
    <row r="3342" spans="1:1">
      <c r="A3342">
        <v>3341</v>
      </c>
    </row>
    <row r="3343" spans="1:1">
      <c r="A3343">
        <v>3342</v>
      </c>
    </row>
    <row r="3344" spans="1:1">
      <c r="A3344">
        <v>3343</v>
      </c>
    </row>
    <row r="3345" spans="1:1">
      <c r="A3345">
        <v>3344</v>
      </c>
    </row>
    <row r="3346" spans="1:1">
      <c r="A3346">
        <v>3345</v>
      </c>
    </row>
    <row r="3347" spans="1:1">
      <c r="A3347">
        <v>3346</v>
      </c>
    </row>
    <row r="3348" spans="1:1">
      <c r="A3348">
        <v>3347</v>
      </c>
    </row>
    <row r="3349" spans="1:1">
      <c r="A3349">
        <v>3348</v>
      </c>
    </row>
    <row r="3350" spans="1:1">
      <c r="A3350">
        <v>3349</v>
      </c>
    </row>
    <row r="3351" spans="1:1">
      <c r="A3351">
        <v>3350</v>
      </c>
    </row>
    <row r="3352" spans="1:1">
      <c r="A3352">
        <v>3351</v>
      </c>
    </row>
    <row r="3353" spans="1:1">
      <c r="A3353">
        <v>3352</v>
      </c>
    </row>
    <row r="3354" spans="1:1">
      <c r="A3354">
        <v>3353</v>
      </c>
    </row>
    <row r="3355" spans="1:1">
      <c r="A3355">
        <v>3354</v>
      </c>
    </row>
    <row r="3356" spans="1:1">
      <c r="A3356">
        <v>3355</v>
      </c>
    </row>
    <row r="3357" spans="1:1">
      <c r="A3357">
        <v>3356</v>
      </c>
    </row>
    <row r="3358" spans="1:1">
      <c r="A3358">
        <v>3357</v>
      </c>
    </row>
    <row r="3359" spans="1:1">
      <c r="A3359">
        <v>3358</v>
      </c>
    </row>
    <row r="3360" spans="1:1">
      <c r="A3360">
        <v>3359</v>
      </c>
    </row>
    <row r="3361" spans="1:1">
      <c r="A3361">
        <v>3360</v>
      </c>
    </row>
    <row r="3362" spans="1:1">
      <c r="A3362">
        <v>3361</v>
      </c>
    </row>
    <row r="3363" spans="1:1">
      <c r="A3363">
        <v>3362</v>
      </c>
    </row>
    <row r="3364" spans="1:1">
      <c r="A3364">
        <v>3363</v>
      </c>
    </row>
    <row r="3365" spans="1:1">
      <c r="A3365">
        <v>3364</v>
      </c>
    </row>
    <row r="3366" spans="1:1">
      <c r="A3366">
        <v>3365</v>
      </c>
    </row>
    <row r="3367" spans="1:1">
      <c r="A3367">
        <v>3366</v>
      </c>
    </row>
    <row r="3368" spans="1:1">
      <c r="A3368">
        <v>3367</v>
      </c>
    </row>
    <row r="3369" spans="1:1">
      <c r="A3369">
        <v>3368</v>
      </c>
    </row>
    <row r="3370" spans="1:1">
      <c r="A3370">
        <v>3369</v>
      </c>
    </row>
    <row r="3371" spans="1:1">
      <c r="A3371">
        <v>3370</v>
      </c>
    </row>
    <row r="3372" spans="1:1">
      <c r="A3372">
        <v>3371</v>
      </c>
    </row>
    <row r="3373" spans="1:1">
      <c r="A3373">
        <v>3372</v>
      </c>
    </row>
    <row r="3374" spans="1:1">
      <c r="A3374">
        <v>3373</v>
      </c>
    </row>
    <row r="3375" spans="1:1">
      <c r="A3375">
        <v>3374</v>
      </c>
    </row>
    <row r="3376" spans="1:1">
      <c r="A3376">
        <v>3375</v>
      </c>
    </row>
    <row r="3377" spans="1:1">
      <c r="A3377">
        <v>3376</v>
      </c>
    </row>
    <row r="3378" spans="1:1">
      <c r="A3378">
        <v>3377</v>
      </c>
    </row>
    <row r="3379" spans="1:1">
      <c r="A3379">
        <v>3378</v>
      </c>
    </row>
    <row r="3380" spans="1:1">
      <c r="A3380">
        <v>3379</v>
      </c>
    </row>
    <row r="3381" spans="1:1">
      <c r="A3381">
        <v>3380</v>
      </c>
    </row>
    <row r="3382" spans="1:1">
      <c r="A3382">
        <v>3381</v>
      </c>
    </row>
    <row r="3383" spans="1:1">
      <c r="A3383">
        <v>3382</v>
      </c>
    </row>
    <row r="3384" spans="1:1">
      <c r="A3384">
        <v>3383</v>
      </c>
    </row>
    <row r="3385" spans="1:1">
      <c r="A3385">
        <v>3384</v>
      </c>
    </row>
    <row r="3386" spans="1:1">
      <c r="A3386">
        <v>3385</v>
      </c>
    </row>
    <row r="3387" spans="1:1">
      <c r="A3387">
        <v>3386</v>
      </c>
    </row>
    <row r="3388" spans="1:1">
      <c r="A3388">
        <v>3387</v>
      </c>
    </row>
    <row r="3389" spans="1:1">
      <c r="A3389">
        <v>3388</v>
      </c>
    </row>
    <row r="3390" spans="1:1">
      <c r="A3390">
        <v>3389</v>
      </c>
    </row>
    <row r="3391" spans="1:1">
      <c r="A3391">
        <v>3390</v>
      </c>
    </row>
    <row r="3392" spans="1:1">
      <c r="A3392">
        <v>3391</v>
      </c>
    </row>
    <row r="3393" spans="1:1">
      <c r="A3393">
        <v>3392</v>
      </c>
    </row>
    <row r="3394" spans="1:1">
      <c r="A3394">
        <v>3393</v>
      </c>
    </row>
    <row r="3395" spans="1:1">
      <c r="A3395">
        <v>3394</v>
      </c>
    </row>
    <row r="3396" spans="1:1">
      <c r="A3396">
        <v>3395</v>
      </c>
    </row>
    <row r="3397" spans="1:1">
      <c r="A3397">
        <v>3396</v>
      </c>
    </row>
    <row r="3398" spans="1:1">
      <c r="A3398">
        <v>3397</v>
      </c>
    </row>
    <row r="3399" spans="1:1">
      <c r="A3399">
        <v>3398</v>
      </c>
    </row>
    <row r="3400" spans="1:1">
      <c r="A3400">
        <v>3399</v>
      </c>
    </row>
    <row r="3401" spans="1:1">
      <c r="A3401">
        <v>3400</v>
      </c>
    </row>
    <row r="3402" spans="1:1">
      <c r="A3402">
        <v>3401</v>
      </c>
    </row>
    <row r="3403" spans="1:1">
      <c r="A3403">
        <v>3402</v>
      </c>
    </row>
    <row r="3404" spans="1:1">
      <c r="A3404">
        <v>3403</v>
      </c>
    </row>
    <row r="3405" spans="1:1">
      <c r="A3405">
        <v>3404</v>
      </c>
    </row>
    <row r="3406" spans="1:1">
      <c r="A3406">
        <v>3405</v>
      </c>
    </row>
    <row r="3407" spans="1:1">
      <c r="A3407">
        <v>3406</v>
      </c>
    </row>
    <row r="3408" spans="1:1">
      <c r="A3408">
        <v>3407</v>
      </c>
    </row>
    <row r="3409" spans="1:1">
      <c r="A3409">
        <v>3408</v>
      </c>
    </row>
    <row r="3410" spans="1:1">
      <c r="A3410">
        <v>3409</v>
      </c>
    </row>
    <row r="3411" spans="1:1">
      <c r="A3411">
        <v>3410</v>
      </c>
    </row>
    <row r="3412" spans="1:1">
      <c r="A3412">
        <v>3411</v>
      </c>
    </row>
    <row r="3413" spans="1:1">
      <c r="A3413">
        <v>3412</v>
      </c>
    </row>
    <row r="3414" spans="1:1">
      <c r="A3414">
        <v>3413</v>
      </c>
    </row>
    <row r="3415" spans="1:1">
      <c r="A3415">
        <v>3414</v>
      </c>
    </row>
    <row r="3416" spans="1:1">
      <c r="A3416">
        <v>3415</v>
      </c>
    </row>
    <row r="3417" spans="1:1">
      <c r="A3417">
        <v>3416</v>
      </c>
    </row>
    <row r="3418" spans="1:1">
      <c r="A3418">
        <v>3417</v>
      </c>
    </row>
    <row r="3419" spans="1:1">
      <c r="A3419">
        <v>3418</v>
      </c>
    </row>
    <row r="3420" spans="1:1">
      <c r="A3420">
        <v>3419</v>
      </c>
    </row>
    <row r="3421" spans="1:1">
      <c r="A3421">
        <v>3420</v>
      </c>
    </row>
    <row r="3422" spans="1:1">
      <c r="A3422">
        <v>3421</v>
      </c>
    </row>
    <row r="3423" spans="1:1">
      <c r="A3423">
        <v>3422</v>
      </c>
    </row>
    <row r="3424" spans="1:1">
      <c r="A3424">
        <v>3423</v>
      </c>
    </row>
    <row r="3425" spans="1:1">
      <c r="A3425">
        <v>3424</v>
      </c>
    </row>
    <row r="3426" spans="1:1">
      <c r="A3426">
        <v>3425</v>
      </c>
    </row>
    <row r="3427" spans="1:1">
      <c r="A3427">
        <v>3426</v>
      </c>
    </row>
    <row r="3428" spans="1:1">
      <c r="A3428">
        <v>3427</v>
      </c>
    </row>
    <row r="3429" spans="1:1">
      <c r="A3429">
        <v>3428</v>
      </c>
    </row>
    <row r="3430" spans="1:1">
      <c r="A3430">
        <v>3429</v>
      </c>
    </row>
    <row r="3431" spans="1:1">
      <c r="A3431">
        <v>3430</v>
      </c>
    </row>
    <row r="3432" spans="1:1">
      <c r="A3432">
        <v>3431</v>
      </c>
    </row>
    <row r="3433" spans="1:1">
      <c r="A3433">
        <v>3432</v>
      </c>
    </row>
    <row r="3434" spans="1:1">
      <c r="A3434">
        <v>3433</v>
      </c>
    </row>
    <row r="3435" spans="1:1">
      <c r="A3435">
        <v>3434</v>
      </c>
    </row>
    <row r="3436" spans="1:1">
      <c r="A3436">
        <v>3435</v>
      </c>
    </row>
    <row r="3437" spans="1:1">
      <c r="A3437">
        <v>3436</v>
      </c>
    </row>
    <row r="3438" spans="1:1">
      <c r="A3438">
        <v>3437</v>
      </c>
    </row>
    <row r="3439" spans="1:1">
      <c r="A3439">
        <v>3438</v>
      </c>
    </row>
    <row r="3440" spans="1:1">
      <c r="A3440">
        <v>3439</v>
      </c>
    </row>
    <row r="3441" spans="1:1">
      <c r="A3441">
        <v>3440</v>
      </c>
    </row>
    <row r="3442" spans="1:1">
      <c r="A3442">
        <v>3441</v>
      </c>
    </row>
    <row r="3443" spans="1:1">
      <c r="A3443">
        <v>3442</v>
      </c>
    </row>
    <row r="3444" spans="1:1">
      <c r="A3444">
        <v>3443</v>
      </c>
    </row>
    <row r="3445" spans="1:1">
      <c r="A3445">
        <v>3444</v>
      </c>
    </row>
    <row r="3446" spans="1:1">
      <c r="A3446">
        <v>3445</v>
      </c>
    </row>
    <row r="3447" spans="1:1">
      <c r="A3447">
        <v>3446</v>
      </c>
    </row>
    <row r="3448" spans="1:1">
      <c r="A3448">
        <v>3447</v>
      </c>
    </row>
    <row r="3449" spans="1:1">
      <c r="A3449">
        <v>3448</v>
      </c>
    </row>
    <row r="3450" spans="1:1">
      <c r="A3450">
        <v>3449</v>
      </c>
    </row>
    <row r="3451" spans="1:1">
      <c r="A3451">
        <v>3450</v>
      </c>
    </row>
    <row r="3452" spans="1:1">
      <c r="A3452">
        <v>3451</v>
      </c>
    </row>
    <row r="3453" spans="1:1">
      <c r="A3453">
        <v>3452</v>
      </c>
    </row>
    <row r="3454" spans="1:1">
      <c r="A3454">
        <v>3453</v>
      </c>
    </row>
    <row r="3455" spans="1:1">
      <c r="A3455">
        <v>3454</v>
      </c>
    </row>
    <row r="3456" spans="1:1">
      <c r="A3456">
        <v>3455</v>
      </c>
    </row>
    <row r="3457" spans="1:1">
      <c r="A3457">
        <v>3456</v>
      </c>
    </row>
    <row r="3458" spans="1:1">
      <c r="A3458">
        <v>3457</v>
      </c>
    </row>
    <row r="3459" spans="1:1">
      <c r="A3459">
        <v>3458</v>
      </c>
    </row>
    <row r="3460" spans="1:1">
      <c r="A3460">
        <v>3459</v>
      </c>
    </row>
    <row r="3461" spans="1:1">
      <c r="A3461">
        <v>3460</v>
      </c>
    </row>
    <row r="3462" spans="1:1">
      <c r="A3462">
        <v>3461</v>
      </c>
    </row>
    <row r="3463" spans="1:1">
      <c r="A3463">
        <v>3462</v>
      </c>
    </row>
    <row r="3464" spans="1:1">
      <c r="A3464">
        <v>3463</v>
      </c>
    </row>
    <row r="3465" spans="1:1">
      <c r="A3465">
        <v>3464</v>
      </c>
    </row>
    <row r="3466" spans="1:1">
      <c r="A3466">
        <v>3465</v>
      </c>
    </row>
    <row r="3467" spans="1:1">
      <c r="A3467">
        <v>3466</v>
      </c>
    </row>
    <row r="3468" spans="1:1">
      <c r="A3468">
        <v>3467</v>
      </c>
    </row>
    <row r="3469" spans="1:1">
      <c r="A3469">
        <v>3468</v>
      </c>
    </row>
    <row r="3470" spans="1:1">
      <c r="A3470">
        <v>3469</v>
      </c>
    </row>
    <row r="3471" spans="1:1">
      <c r="A3471">
        <v>3470</v>
      </c>
    </row>
    <row r="3472" spans="1:1">
      <c r="A3472">
        <v>3471</v>
      </c>
    </row>
    <row r="3473" spans="1:1">
      <c r="A3473">
        <v>3472</v>
      </c>
    </row>
    <row r="3474" spans="1:1">
      <c r="A3474">
        <v>3473</v>
      </c>
    </row>
    <row r="3475" spans="1:1">
      <c r="A3475">
        <v>3474</v>
      </c>
    </row>
    <row r="3476" spans="1:1">
      <c r="A3476">
        <v>3475</v>
      </c>
    </row>
    <row r="3477" spans="1:1">
      <c r="A3477">
        <v>3476</v>
      </c>
    </row>
    <row r="3478" spans="1:1">
      <c r="A3478">
        <v>3477</v>
      </c>
    </row>
    <row r="3479" spans="1:1">
      <c r="A3479">
        <v>3478</v>
      </c>
    </row>
    <row r="3480" spans="1:1">
      <c r="A3480">
        <v>3479</v>
      </c>
    </row>
    <row r="3481" spans="1:1">
      <c r="A3481">
        <v>3480</v>
      </c>
    </row>
    <row r="3482" spans="1:1">
      <c r="A3482">
        <v>3481</v>
      </c>
    </row>
    <row r="3483" spans="1:1">
      <c r="A3483">
        <v>3482</v>
      </c>
    </row>
    <row r="3484" spans="1:1">
      <c r="A3484">
        <v>3483</v>
      </c>
    </row>
    <row r="3485" spans="1:1">
      <c r="A3485">
        <v>3484</v>
      </c>
    </row>
    <row r="3486" spans="1:1">
      <c r="A3486">
        <v>3485</v>
      </c>
    </row>
    <row r="3487" spans="1:1">
      <c r="A3487">
        <v>3486</v>
      </c>
    </row>
    <row r="3488" spans="1:1">
      <c r="A3488">
        <v>3487</v>
      </c>
    </row>
    <row r="3489" spans="1:1">
      <c r="A3489">
        <v>3488</v>
      </c>
    </row>
    <row r="3490" spans="1:1">
      <c r="A3490">
        <v>3489</v>
      </c>
    </row>
    <row r="3491" spans="1:1">
      <c r="A3491">
        <v>3490</v>
      </c>
    </row>
    <row r="3492" spans="1:1">
      <c r="A3492">
        <v>3491</v>
      </c>
    </row>
    <row r="3493" spans="1:1">
      <c r="A3493">
        <v>3492</v>
      </c>
    </row>
    <row r="3494" spans="1:1">
      <c r="A3494">
        <v>3493</v>
      </c>
    </row>
    <row r="3495" spans="1:1">
      <c r="A3495">
        <v>3494</v>
      </c>
    </row>
    <row r="3496" spans="1:1">
      <c r="A3496">
        <v>3495</v>
      </c>
    </row>
    <row r="3497" spans="1:1">
      <c r="A3497">
        <v>3496</v>
      </c>
    </row>
    <row r="3498" spans="1:1">
      <c r="A3498">
        <v>3497</v>
      </c>
    </row>
    <row r="3499" spans="1:1">
      <c r="A3499">
        <v>3498</v>
      </c>
    </row>
    <row r="3500" spans="1:1">
      <c r="A3500">
        <v>3499</v>
      </c>
    </row>
    <row r="3501" spans="1:1">
      <c r="A3501">
        <v>3500</v>
      </c>
    </row>
    <row r="3502" spans="1:1">
      <c r="A3502">
        <v>3501</v>
      </c>
    </row>
    <row r="3503" spans="1:1">
      <c r="A3503">
        <v>3502</v>
      </c>
    </row>
    <row r="3504" spans="1:1">
      <c r="A3504">
        <v>3503</v>
      </c>
    </row>
    <row r="3505" spans="1:1">
      <c r="A3505">
        <v>3504</v>
      </c>
    </row>
    <row r="3506" spans="1:1">
      <c r="A3506">
        <v>3505</v>
      </c>
    </row>
    <row r="3507" spans="1:1">
      <c r="A3507">
        <v>3506</v>
      </c>
    </row>
    <row r="3508" spans="1:1">
      <c r="A3508">
        <v>3507</v>
      </c>
    </row>
    <row r="3509" spans="1:1">
      <c r="A3509">
        <v>3508</v>
      </c>
    </row>
    <row r="3510" spans="1:1">
      <c r="A3510">
        <v>3509</v>
      </c>
    </row>
    <row r="3511" spans="1:1">
      <c r="A3511">
        <v>3510</v>
      </c>
    </row>
    <row r="3512" spans="1:1">
      <c r="A3512">
        <v>3511</v>
      </c>
    </row>
    <row r="3513" spans="1:1">
      <c r="A3513">
        <v>3512</v>
      </c>
    </row>
    <row r="3514" spans="1:1">
      <c r="A3514">
        <v>3513</v>
      </c>
    </row>
    <row r="3515" spans="1:1">
      <c r="A3515">
        <v>3514</v>
      </c>
    </row>
    <row r="3516" spans="1:1">
      <c r="A3516">
        <v>3515</v>
      </c>
    </row>
    <row r="3517" spans="1:1">
      <c r="A3517">
        <v>3516</v>
      </c>
    </row>
    <row r="3518" spans="1:1">
      <c r="A3518">
        <v>3517</v>
      </c>
    </row>
    <row r="3519" spans="1:1">
      <c r="A3519">
        <v>3518</v>
      </c>
    </row>
    <row r="3520" spans="1:1">
      <c r="A3520">
        <v>3519</v>
      </c>
    </row>
    <row r="3521" spans="1:1">
      <c r="A3521">
        <v>3520</v>
      </c>
    </row>
    <row r="3522" spans="1:1">
      <c r="A3522">
        <v>3521</v>
      </c>
    </row>
    <row r="3523" spans="1:1">
      <c r="A3523">
        <v>3522</v>
      </c>
    </row>
    <row r="3524" spans="1:1">
      <c r="A3524">
        <v>3523</v>
      </c>
    </row>
    <row r="3525" spans="1:1">
      <c r="A3525">
        <v>3524</v>
      </c>
    </row>
    <row r="3526" spans="1:1">
      <c r="A3526">
        <v>3525</v>
      </c>
    </row>
    <row r="3527" spans="1:1">
      <c r="A3527">
        <v>3526</v>
      </c>
    </row>
    <row r="3528" spans="1:1">
      <c r="A3528">
        <v>3527</v>
      </c>
    </row>
    <row r="3529" spans="1:1">
      <c r="A3529">
        <v>3528</v>
      </c>
    </row>
    <row r="3530" spans="1:1">
      <c r="A3530">
        <v>3529</v>
      </c>
    </row>
    <row r="3531" spans="1:1">
      <c r="A3531">
        <v>3530</v>
      </c>
    </row>
    <row r="3532" spans="1:1">
      <c r="A3532">
        <v>3531</v>
      </c>
    </row>
    <row r="3533" spans="1:1">
      <c r="A3533">
        <v>3532</v>
      </c>
    </row>
    <row r="3534" spans="1:1">
      <c r="A3534">
        <v>3533</v>
      </c>
    </row>
    <row r="3535" spans="1:1">
      <c r="A3535">
        <v>3534</v>
      </c>
    </row>
    <row r="3536" spans="1:1">
      <c r="A3536">
        <v>3535</v>
      </c>
    </row>
    <row r="3537" spans="1:1">
      <c r="A3537">
        <v>3536</v>
      </c>
    </row>
    <row r="3538" spans="1:1">
      <c r="A3538">
        <v>3537</v>
      </c>
    </row>
    <row r="3539" spans="1:1">
      <c r="A3539">
        <v>3538</v>
      </c>
    </row>
    <row r="3540" spans="1:1">
      <c r="A3540">
        <v>3539</v>
      </c>
    </row>
    <row r="3541" spans="1:1">
      <c r="A3541">
        <v>3540</v>
      </c>
    </row>
    <row r="3542" spans="1:1">
      <c r="A3542">
        <v>3541</v>
      </c>
    </row>
    <row r="3543" spans="1:1">
      <c r="A3543">
        <v>3542</v>
      </c>
    </row>
    <row r="3544" spans="1:1">
      <c r="A3544">
        <v>3543</v>
      </c>
    </row>
    <row r="3545" spans="1:1">
      <c r="A3545">
        <v>3544</v>
      </c>
    </row>
    <row r="3546" spans="1:1">
      <c r="A3546">
        <v>3545</v>
      </c>
    </row>
    <row r="3547" spans="1:1">
      <c r="A3547">
        <v>3546</v>
      </c>
    </row>
    <row r="3548" spans="1:1">
      <c r="A3548">
        <v>3547</v>
      </c>
    </row>
    <row r="3549" spans="1:1">
      <c r="A3549">
        <v>3548</v>
      </c>
    </row>
    <row r="3550" spans="1:1">
      <c r="A3550">
        <v>3549</v>
      </c>
    </row>
    <row r="3551" spans="1:1">
      <c r="A3551">
        <v>3550</v>
      </c>
    </row>
    <row r="3552" spans="1:1">
      <c r="A3552">
        <v>3551</v>
      </c>
    </row>
    <row r="3553" spans="1:1">
      <c r="A3553">
        <v>3552</v>
      </c>
    </row>
    <row r="3554" spans="1:1">
      <c r="A3554">
        <v>3553</v>
      </c>
    </row>
    <row r="3555" spans="1:1">
      <c r="A3555">
        <v>3554</v>
      </c>
    </row>
    <row r="3556" spans="1:1">
      <c r="A3556">
        <v>3555</v>
      </c>
    </row>
    <row r="3557" spans="1:1">
      <c r="A3557">
        <v>3556</v>
      </c>
    </row>
    <row r="3558" spans="1:1">
      <c r="A3558">
        <v>3557</v>
      </c>
    </row>
    <row r="3559" spans="1:1">
      <c r="A3559">
        <v>3558</v>
      </c>
    </row>
    <row r="3560" spans="1:1">
      <c r="A3560">
        <v>3559</v>
      </c>
    </row>
    <row r="3561" spans="1:1">
      <c r="A3561">
        <v>3560</v>
      </c>
    </row>
    <row r="3562" spans="1:1">
      <c r="A3562">
        <v>3561</v>
      </c>
    </row>
    <row r="3563" spans="1:1">
      <c r="A3563">
        <v>3562</v>
      </c>
    </row>
    <row r="3564" spans="1:1">
      <c r="A3564">
        <v>3563</v>
      </c>
    </row>
    <row r="3565" spans="1:1">
      <c r="A3565">
        <v>3564</v>
      </c>
    </row>
    <row r="3566" spans="1:1">
      <c r="A3566">
        <v>3565</v>
      </c>
    </row>
    <row r="3567" spans="1:1">
      <c r="A3567">
        <v>3566</v>
      </c>
    </row>
    <row r="3568" spans="1:1">
      <c r="A3568">
        <v>3567</v>
      </c>
    </row>
    <row r="3569" spans="1:1">
      <c r="A3569">
        <v>3568</v>
      </c>
    </row>
    <row r="3570" spans="1:1">
      <c r="A3570">
        <v>3569</v>
      </c>
    </row>
    <row r="3571" spans="1:1">
      <c r="A3571">
        <v>3570</v>
      </c>
    </row>
    <row r="3572" spans="1:1">
      <c r="A3572">
        <v>3571</v>
      </c>
    </row>
    <row r="3573" spans="1:1">
      <c r="A3573">
        <v>3572</v>
      </c>
    </row>
    <row r="3574" spans="1:1">
      <c r="A3574">
        <v>3573</v>
      </c>
    </row>
    <row r="3575" spans="1:1">
      <c r="A3575">
        <v>3574</v>
      </c>
    </row>
    <row r="3576" spans="1:1">
      <c r="A3576">
        <v>3575</v>
      </c>
    </row>
    <row r="3577" spans="1:1">
      <c r="A3577">
        <v>3576</v>
      </c>
    </row>
    <row r="3578" spans="1:1">
      <c r="A3578">
        <v>3577</v>
      </c>
    </row>
    <row r="3579" spans="1:1">
      <c r="A3579">
        <v>3578</v>
      </c>
    </row>
    <row r="3580" spans="1:1">
      <c r="A3580">
        <v>3579</v>
      </c>
    </row>
    <row r="3581" spans="1:1">
      <c r="A3581">
        <v>3580</v>
      </c>
    </row>
    <row r="3582" spans="1:1">
      <c r="A3582">
        <v>3581</v>
      </c>
    </row>
    <row r="3583" spans="1:1">
      <c r="A3583">
        <v>3582</v>
      </c>
    </row>
    <row r="3584" spans="1:1">
      <c r="A3584">
        <v>3583</v>
      </c>
    </row>
    <row r="3585" spans="1:1">
      <c r="A3585">
        <v>3584</v>
      </c>
    </row>
    <row r="3586" spans="1:1">
      <c r="A3586">
        <v>3585</v>
      </c>
    </row>
    <row r="3587" spans="1:1">
      <c r="A3587">
        <v>3586</v>
      </c>
    </row>
    <row r="3588" spans="1:1">
      <c r="A3588">
        <v>3587</v>
      </c>
    </row>
    <row r="3589" spans="1:1">
      <c r="A3589">
        <v>3588</v>
      </c>
    </row>
    <row r="3590" spans="1:1">
      <c r="A3590">
        <v>3589</v>
      </c>
    </row>
    <row r="3591" spans="1:1">
      <c r="A3591">
        <v>3590</v>
      </c>
    </row>
    <row r="3592" spans="1:1">
      <c r="A3592">
        <v>3591</v>
      </c>
    </row>
    <row r="3593" spans="1:1">
      <c r="A3593">
        <v>3592</v>
      </c>
    </row>
    <row r="3594" spans="1:1">
      <c r="A3594">
        <v>3593</v>
      </c>
    </row>
    <row r="3595" spans="1:1">
      <c r="A3595">
        <v>3594</v>
      </c>
    </row>
    <row r="3596" spans="1:1">
      <c r="A3596">
        <v>3595</v>
      </c>
    </row>
    <row r="3597" spans="1:1">
      <c r="A3597">
        <v>3596</v>
      </c>
    </row>
    <row r="3598" spans="1:1">
      <c r="A3598">
        <v>3597</v>
      </c>
    </row>
    <row r="3599" spans="1:1">
      <c r="A3599">
        <v>3598</v>
      </c>
    </row>
    <row r="3600" spans="1:1">
      <c r="A3600">
        <v>3599</v>
      </c>
    </row>
    <row r="3601" spans="1:1">
      <c r="A3601">
        <v>3600</v>
      </c>
    </row>
    <row r="3602" spans="1:1">
      <c r="A3602">
        <v>3601</v>
      </c>
    </row>
    <row r="3603" spans="1:1">
      <c r="A3603">
        <v>3602</v>
      </c>
    </row>
    <row r="3604" spans="1:1">
      <c r="A3604">
        <v>3603</v>
      </c>
    </row>
    <row r="3605" spans="1:1">
      <c r="A3605">
        <v>3604</v>
      </c>
    </row>
    <row r="3606" spans="1:1">
      <c r="A3606">
        <v>3605</v>
      </c>
    </row>
    <row r="3607" spans="1:1">
      <c r="A3607">
        <v>3606</v>
      </c>
    </row>
    <row r="3608" spans="1:1">
      <c r="A3608">
        <v>3607</v>
      </c>
    </row>
    <row r="3609" spans="1:1">
      <c r="A3609">
        <v>3608</v>
      </c>
    </row>
    <row r="3610" spans="1:1">
      <c r="A3610">
        <v>3609</v>
      </c>
    </row>
    <row r="3611" spans="1:1">
      <c r="A3611">
        <v>3610</v>
      </c>
    </row>
    <row r="3612" spans="1:1">
      <c r="A3612">
        <v>3611</v>
      </c>
    </row>
    <row r="3613" spans="1:1">
      <c r="A3613">
        <v>3612</v>
      </c>
    </row>
    <row r="3614" spans="1:1">
      <c r="A3614">
        <v>3613</v>
      </c>
    </row>
    <row r="3615" spans="1:1">
      <c r="A3615">
        <v>3614</v>
      </c>
    </row>
    <row r="3616" spans="1:1">
      <c r="A3616">
        <v>3615</v>
      </c>
    </row>
    <row r="3617" spans="1:1">
      <c r="A3617">
        <v>3616</v>
      </c>
    </row>
    <row r="3618" spans="1:1">
      <c r="A3618">
        <v>3617</v>
      </c>
    </row>
    <row r="3619" spans="1:1">
      <c r="A3619">
        <v>3618</v>
      </c>
    </row>
    <row r="3620" spans="1:1">
      <c r="A3620">
        <v>3619</v>
      </c>
    </row>
    <row r="3621" spans="1:1">
      <c r="A3621">
        <v>3620</v>
      </c>
    </row>
    <row r="3622" spans="1:1">
      <c r="A3622">
        <v>3621</v>
      </c>
    </row>
    <row r="3623" spans="1:1">
      <c r="A3623">
        <v>3622</v>
      </c>
    </row>
    <row r="3624" spans="1:1">
      <c r="A3624">
        <v>3623</v>
      </c>
    </row>
    <row r="3625" spans="1:1">
      <c r="A3625">
        <v>3624</v>
      </c>
    </row>
    <row r="3626" spans="1:1">
      <c r="A3626">
        <v>3625</v>
      </c>
    </row>
    <row r="3627" spans="1:1">
      <c r="A3627">
        <v>3626</v>
      </c>
    </row>
    <row r="3628" spans="1:1">
      <c r="A3628">
        <v>3627</v>
      </c>
    </row>
    <row r="3629" spans="1:1">
      <c r="A3629">
        <v>3628</v>
      </c>
    </row>
    <row r="3630" spans="1:1">
      <c r="A3630">
        <v>3629</v>
      </c>
    </row>
    <row r="3631" spans="1:1">
      <c r="A3631">
        <v>3630</v>
      </c>
    </row>
    <row r="3632" spans="1:1">
      <c r="A3632">
        <v>3631</v>
      </c>
    </row>
    <row r="3633" spans="1:1">
      <c r="A3633">
        <v>3632</v>
      </c>
    </row>
    <row r="3634" spans="1:1">
      <c r="A3634">
        <v>3633</v>
      </c>
    </row>
    <row r="3635" spans="1:1">
      <c r="A3635">
        <v>3634</v>
      </c>
    </row>
    <row r="3636" spans="1:1">
      <c r="A3636">
        <v>3635</v>
      </c>
    </row>
    <row r="3637" spans="1:1">
      <c r="A3637">
        <v>3636</v>
      </c>
    </row>
    <row r="3638" spans="1:1">
      <c r="A3638">
        <v>3637</v>
      </c>
    </row>
    <row r="3639" spans="1:1">
      <c r="A3639">
        <v>3638</v>
      </c>
    </row>
    <row r="3640" spans="1:1">
      <c r="A3640">
        <v>3639</v>
      </c>
    </row>
    <row r="3641" spans="1:1">
      <c r="A3641">
        <v>3640</v>
      </c>
    </row>
    <row r="3642" spans="1:1">
      <c r="A3642">
        <v>3641</v>
      </c>
    </row>
    <row r="3643" spans="1:1">
      <c r="A3643">
        <v>3642</v>
      </c>
    </row>
    <row r="3644" spans="1:1">
      <c r="A3644">
        <v>3643</v>
      </c>
    </row>
    <row r="3645" spans="1:1">
      <c r="A3645">
        <v>3644</v>
      </c>
    </row>
    <row r="3646" spans="1:1">
      <c r="A3646">
        <v>3645</v>
      </c>
    </row>
    <row r="3647" spans="1:1">
      <c r="A3647">
        <v>3646</v>
      </c>
    </row>
    <row r="3648" spans="1:1">
      <c r="A3648">
        <v>3647</v>
      </c>
    </row>
    <row r="3649" spans="1:1">
      <c r="A3649">
        <v>3648</v>
      </c>
    </row>
    <row r="3650" spans="1:1">
      <c r="A3650">
        <v>3649</v>
      </c>
    </row>
    <row r="3651" spans="1:1">
      <c r="A3651">
        <v>3650</v>
      </c>
    </row>
    <row r="3652" spans="1:1">
      <c r="A3652">
        <v>3651</v>
      </c>
    </row>
    <row r="3653" spans="1:1">
      <c r="A3653">
        <v>3652</v>
      </c>
    </row>
    <row r="3654" spans="1:1">
      <c r="A3654">
        <v>3653</v>
      </c>
    </row>
    <row r="3655" spans="1:1">
      <c r="A3655">
        <v>3654</v>
      </c>
    </row>
    <row r="3656" spans="1:1">
      <c r="A3656">
        <v>3655</v>
      </c>
    </row>
    <row r="3657" spans="1:1">
      <c r="A3657">
        <v>3656</v>
      </c>
    </row>
    <row r="3658" spans="1:1">
      <c r="A3658">
        <v>3657</v>
      </c>
    </row>
    <row r="3659" spans="1:1">
      <c r="A3659">
        <v>3658</v>
      </c>
    </row>
    <row r="3660" spans="1:1">
      <c r="A3660">
        <v>3659</v>
      </c>
    </row>
    <row r="3661" spans="1:1">
      <c r="A3661">
        <v>3660</v>
      </c>
    </row>
    <row r="3662" spans="1:1">
      <c r="A3662">
        <v>3661</v>
      </c>
    </row>
    <row r="3663" spans="1:1">
      <c r="A3663">
        <v>3662</v>
      </c>
    </row>
    <row r="3664" spans="1:1">
      <c r="A3664">
        <v>3663</v>
      </c>
    </row>
    <row r="3665" spans="1:1">
      <c r="A3665">
        <v>3664</v>
      </c>
    </row>
    <row r="3666" spans="1:1">
      <c r="A3666">
        <v>3665</v>
      </c>
    </row>
    <row r="3667" spans="1:1">
      <c r="A3667">
        <v>3666</v>
      </c>
    </row>
    <row r="3668" spans="1:1">
      <c r="A3668">
        <v>3667</v>
      </c>
    </row>
    <row r="3669" spans="1:1">
      <c r="A3669">
        <v>3668</v>
      </c>
    </row>
    <row r="3670" spans="1:1">
      <c r="A3670">
        <v>3669</v>
      </c>
    </row>
    <row r="3671" spans="1:1">
      <c r="A3671">
        <v>3670</v>
      </c>
    </row>
    <row r="3672" spans="1:1">
      <c r="A3672">
        <v>3671</v>
      </c>
    </row>
    <row r="3673" spans="1:1">
      <c r="A3673">
        <v>3672</v>
      </c>
    </row>
    <row r="3674" spans="1:1">
      <c r="A3674">
        <v>3673</v>
      </c>
    </row>
    <row r="3675" spans="1:1">
      <c r="A3675">
        <v>3674</v>
      </c>
    </row>
    <row r="3676" spans="1:1">
      <c r="A3676">
        <v>3675</v>
      </c>
    </row>
    <row r="3677" spans="1:1">
      <c r="A3677">
        <v>3676</v>
      </c>
    </row>
    <row r="3678" spans="1:1">
      <c r="A3678">
        <v>3677</v>
      </c>
    </row>
    <row r="3679" spans="1:1">
      <c r="A3679">
        <v>3678</v>
      </c>
    </row>
    <row r="3680" spans="1:1">
      <c r="A3680">
        <v>3679</v>
      </c>
    </row>
    <row r="3681" spans="1:1">
      <c r="A3681">
        <v>3680</v>
      </c>
    </row>
    <row r="3682" spans="1:1">
      <c r="A3682">
        <v>3681</v>
      </c>
    </row>
    <row r="3683" spans="1:1">
      <c r="A3683">
        <v>3682</v>
      </c>
    </row>
    <row r="3684" spans="1:1">
      <c r="A3684">
        <v>3683</v>
      </c>
    </row>
    <row r="3685" spans="1:1">
      <c r="A3685">
        <v>3684</v>
      </c>
    </row>
    <row r="3686" spans="1:1">
      <c r="A3686">
        <v>3685</v>
      </c>
    </row>
    <row r="3687" spans="1:1">
      <c r="A3687">
        <v>3686</v>
      </c>
    </row>
    <row r="3688" spans="1:1">
      <c r="A3688">
        <v>3687</v>
      </c>
    </row>
    <row r="3689" spans="1:1">
      <c r="A3689">
        <v>3688</v>
      </c>
    </row>
    <row r="3690" spans="1:1">
      <c r="A3690">
        <v>3689</v>
      </c>
    </row>
    <row r="3691" spans="1:1">
      <c r="A3691">
        <v>3690</v>
      </c>
    </row>
    <row r="3692" spans="1:1">
      <c r="A3692">
        <v>3691</v>
      </c>
    </row>
    <row r="3693" spans="1:1">
      <c r="A3693">
        <v>3692</v>
      </c>
    </row>
    <row r="3694" spans="1:1">
      <c r="A3694">
        <v>3693</v>
      </c>
    </row>
    <row r="3695" spans="1:1">
      <c r="A3695">
        <v>3694</v>
      </c>
    </row>
    <row r="3696" spans="1:1">
      <c r="A3696">
        <v>3695</v>
      </c>
    </row>
    <row r="3697" spans="1:1">
      <c r="A3697">
        <v>3696</v>
      </c>
    </row>
    <row r="3698" spans="1:1">
      <c r="A3698">
        <v>3697</v>
      </c>
    </row>
    <row r="3699" spans="1:1">
      <c r="A3699">
        <v>3698</v>
      </c>
    </row>
    <row r="3700" spans="1:1">
      <c r="A3700">
        <v>3699</v>
      </c>
    </row>
    <row r="3701" spans="1:1">
      <c r="A3701">
        <v>3700</v>
      </c>
    </row>
    <row r="3702" spans="1:1">
      <c r="A3702">
        <v>3701</v>
      </c>
    </row>
    <row r="3703" spans="1:1">
      <c r="A3703">
        <v>3702</v>
      </c>
    </row>
    <row r="3704" spans="1:1">
      <c r="A3704">
        <v>3703</v>
      </c>
    </row>
    <row r="3705" spans="1:1">
      <c r="A3705">
        <v>3704</v>
      </c>
    </row>
    <row r="3706" spans="1:1">
      <c r="A3706">
        <v>3705</v>
      </c>
    </row>
    <row r="3707" spans="1:1">
      <c r="A3707">
        <v>3706</v>
      </c>
    </row>
    <row r="3708" spans="1:1">
      <c r="A3708">
        <v>3707</v>
      </c>
    </row>
    <row r="3709" spans="1:1">
      <c r="A3709">
        <v>3708</v>
      </c>
    </row>
    <row r="3710" spans="1:1">
      <c r="A3710">
        <v>3709</v>
      </c>
    </row>
    <row r="3711" spans="1:1">
      <c r="A3711">
        <v>3710</v>
      </c>
    </row>
    <row r="3712" spans="1:1">
      <c r="A3712">
        <v>3711</v>
      </c>
    </row>
    <row r="3713" spans="1:1">
      <c r="A3713">
        <v>3712</v>
      </c>
    </row>
    <row r="3714" spans="1:1">
      <c r="A3714">
        <v>3713</v>
      </c>
    </row>
    <row r="3715" spans="1:1">
      <c r="A3715">
        <v>3714</v>
      </c>
    </row>
    <row r="3716" spans="1:1">
      <c r="A3716">
        <v>3715</v>
      </c>
    </row>
    <row r="3717" spans="1:1">
      <c r="A3717">
        <v>3716</v>
      </c>
    </row>
    <row r="3718" spans="1:1">
      <c r="A3718">
        <v>3717</v>
      </c>
    </row>
    <row r="3719" spans="1:1">
      <c r="A3719">
        <v>3718</v>
      </c>
    </row>
    <row r="3720" spans="1:1">
      <c r="A3720">
        <v>3719</v>
      </c>
    </row>
    <row r="3721" spans="1:1">
      <c r="A3721">
        <v>3720</v>
      </c>
    </row>
    <row r="3722" spans="1:1">
      <c r="A3722">
        <v>3721</v>
      </c>
    </row>
    <row r="3723" spans="1:1">
      <c r="A3723">
        <v>3722</v>
      </c>
    </row>
    <row r="3724" spans="1:1">
      <c r="A3724">
        <v>3723</v>
      </c>
    </row>
    <row r="3725" spans="1:1">
      <c r="A3725">
        <v>3724</v>
      </c>
    </row>
    <row r="3726" spans="1:1">
      <c r="A3726">
        <v>3725</v>
      </c>
    </row>
    <row r="3727" spans="1:1">
      <c r="A3727">
        <v>3726</v>
      </c>
    </row>
    <row r="3728" spans="1:1">
      <c r="A3728">
        <v>3727</v>
      </c>
    </row>
    <row r="3729" spans="1:1">
      <c r="A3729">
        <v>3728</v>
      </c>
    </row>
    <row r="3730" spans="1:1">
      <c r="A3730">
        <v>3729</v>
      </c>
    </row>
    <row r="3731" spans="1:1">
      <c r="A3731">
        <v>3730</v>
      </c>
    </row>
    <row r="3732" spans="1:1">
      <c r="A3732">
        <v>3731</v>
      </c>
    </row>
    <row r="3733" spans="1:1">
      <c r="A3733">
        <v>3732</v>
      </c>
    </row>
    <row r="3734" spans="1:1">
      <c r="A3734">
        <v>3733</v>
      </c>
    </row>
    <row r="3735" spans="1:1">
      <c r="A3735">
        <v>3734</v>
      </c>
    </row>
    <row r="3736" spans="1:1">
      <c r="A3736">
        <v>3735</v>
      </c>
    </row>
    <row r="3737" spans="1:1">
      <c r="A3737">
        <v>3736</v>
      </c>
    </row>
    <row r="3738" spans="1:1">
      <c r="A3738">
        <v>3737</v>
      </c>
    </row>
    <row r="3739" spans="1:1">
      <c r="A3739">
        <v>3738</v>
      </c>
    </row>
    <row r="3740" spans="1:1">
      <c r="A3740">
        <v>3739</v>
      </c>
    </row>
    <row r="3741" spans="1:1">
      <c r="A3741">
        <v>3740</v>
      </c>
    </row>
    <row r="3742" spans="1:1">
      <c r="A3742">
        <v>3741</v>
      </c>
    </row>
    <row r="3743" spans="1:1">
      <c r="A3743">
        <v>3742</v>
      </c>
    </row>
    <row r="3744" spans="1:1">
      <c r="A3744">
        <v>3743</v>
      </c>
    </row>
    <row r="3745" spans="1:1">
      <c r="A3745">
        <v>3744</v>
      </c>
    </row>
    <row r="3746" spans="1:1">
      <c r="A3746">
        <v>3745</v>
      </c>
    </row>
    <row r="3747" spans="1:1">
      <c r="A3747">
        <v>3746</v>
      </c>
    </row>
    <row r="3748" spans="1:1">
      <c r="A3748">
        <v>3747</v>
      </c>
    </row>
    <row r="3749" spans="1:1">
      <c r="A3749">
        <v>3748</v>
      </c>
    </row>
    <row r="3750" spans="1:1">
      <c r="A3750">
        <v>3749</v>
      </c>
    </row>
    <row r="3751" spans="1:1">
      <c r="A3751">
        <v>3750</v>
      </c>
    </row>
    <row r="3752" spans="1:1">
      <c r="A3752">
        <v>3751</v>
      </c>
    </row>
    <row r="3753" spans="1:1">
      <c r="A3753">
        <v>3752</v>
      </c>
    </row>
    <row r="3754" spans="1:1">
      <c r="A3754">
        <v>3753</v>
      </c>
    </row>
    <row r="3755" spans="1:1">
      <c r="A3755">
        <v>3754</v>
      </c>
    </row>
    <row r="3756" spans="1:1">
      <c r="A3756">
        <v>3755</v>
      </c>
    </row>
    <row r="3757" spans="1:1">
      <c r="A3757">
        <v>3756</v>
      </c>
    </row>
    <row r="3758" spans="1:1">
      <c r="A3758">
        <v>3757</v>
      </c>
    </row>
    <row r="3759" spans="1:1">
      <c r="A3759">
        <v>3758</v>
      </c>
    </row>
    <row r="3760" spans="1:1">
      <c r="A3760">
        <v>3759</v>
      </c>
    </row>
    <row r="3761" spans="1:1">
      <c r="A3761">
        <v>3760</v>
      </c>
    </row>
    <row r="3762" spans="1:1">
      <c r="A3762">
        <v>3761</v>
      </c>
    </row>
    <row r="3763" spans="1:1">
      <c r="A3763">
        <v>3762</v>
      </c>
    </row>
    <row r="3764" spans="1:1">
      <c r="A3764">
        <v>3763</v>
      </c>
    </row>
    <row r="3765" spans="1:1">
      <c r="A3765">
        <v>3764</v>
      </c>
    </row>
    <row r="3766" spans="1:1">
      <c r="A3766">
        <v>3765</v>
      </c>
    </row>
    <row r="3767" spans="1:1">
      <c r="A3767">
        <v>3766</v>
      </c>
    </row>
    <row r="3768" spans="1:1">
      <c r="A3768">
        <v>3767</v>
      </c>
    </row>
    <row r="3769" spans="1:1">
      <c r="A3769">
        <v>3768</v>
      </c>
    </row>
    <row r="3770" spans="1:1">
      <c r="A3770">
        <v>3769</v>
      </c>
    </row>
    <row r="3771" spans="1:1">
      <c r="A3771">
        <v>3770</v>
      </c>
    </row>
    <row r="3772" spans="1:1">
      <c r="A3772">
        <v>3771</v>
      </c>
    </row>
    <row r="3773" spans="1:1">
      <c r="A3773">
        <v>3772</v>
      </c>
    </row>
    <row r="3774" spans="1:1">
      <c r="A3774">
        <v>3773</v>
      </c>
    </row>
    <row r="3775" spans="1:1">
      <c r="A3775">
        <v>3774</v>
      </c>
    </row>
    <row r="3776" spans="1:1">
      <c r="A3776">
        <v>3775</v>
      </c>
    </row>
    <row r="3777" spans="1:1">
      <c r="A3777">
        <v>3776</v>
      </c>
    </row>
    <row r="3778" spans="1:1">
      <c r="A3778">
        <v>3777</v>
      </c>
    </row>
    <row r="3779" spans="1:1">
      <c r="A3779">
        <v>3778</v>
      </c>
    </row>
    <row r="3780" spans="1:1">
      <c r="A3780">
        <v>3779</v>
      </c>
    </row>
    <row r="3781" spans="1:1">
      <c r="A3781">
        <v>3780</v>
      </c>
    </row>
    <row r="3782" spans="1:1">
      <c r="A3782">
        <v>3781</v>
      </c>
    </row>
    <row r="3783" spans="1:1">
      <c r="A3783">
        <v>3782</v>
      </c>
    </row>
    <row r="3784" spans="1:1">
      <c r="A3784">
        <v>3783</v>
      </c>
    </row>
    <row r="3785" spans="1:1">
      <c r="A3785">
        <v>3784</v>
      </c>
    </row>
    <row r="3786" spans="1:1">
      <c r="A3786">
        <v>3785</v>
      </c>
    </row>
    <row r="3787" spans="1:1">
      <c r="A3787">
        <v>3786</v>
      </c>
    </row>
    <row r="3788" spans="1:1">
      <c r="A3788">
        <v>3787</v>
      </c>
    </row>
    <row r="3789" spans="1:1">
      <c r="A3789">
        <v>3788</v>
      </c>
    </row>
    <row r="3790" spans="1:1">
      <c r="A3790">
        <v>3789</v>
      </c>
    </row>
    <row r="3791" spans="1:1">
      <c r="A3791">
        <v>3790</v>
      </c>
    </row>
    <row r="3792" spans="1:1">
      <c r="A3792">
        <v>3791</v>
      </c>
    </row>
    <row r="3793" spans="1:1">
      <c r="A3793">
        <v>3792</v>
      </c>
    </row>
    <row r="3794" spans="1:1">
      <c r="A3794">
        <v>3793</v>
      </c>
    </row>
    <row r="3795" spans="1:1">
      <c r="A3795">
        <v>3794</v>
      </c>
    </row>
    <row r="3796" spans="1:1">
      <c r="A3796">
        <v>3795</v>
      </c>
    </row>
    <row r="3797" spans="1:1">
      <c r="A3797">
        <v>3796</v>
      </c>
    </row>
    <row r="3798" spans="1:1">
      <c r="A3798">
        <v>3797</v>
      </c>
    </row>
    <row r="3799" spans="1:1">
      <c r="A3799">
        <v>3798</v>
      </c>
    </row>
    <row r="3800" spans="1:1">
      <c r="A3800">
        <v>3799</v>
      </c>
    </row>
    <row r="3801" spans="1:1">
      <c r="A3801">
        <v>3800</v>
      </c>
    </row>
    <row r="3802" spans="1:1">
      <c r="A3802">
        <v>3801</v>
      </c>
    </row>
    <row r="3803" spans="1:1">
      <c r="A3803">
        <v>3802</v>
      </c>
    </row>
    <row r="3804" spans="1:1">
      <c r="A3804">
        <v>3803</v>
      </c>
    </row>
    <row r="3805" spans="1:1">
      <c r="A3805">
        <v>3804</v>
      </c>
    </row>
    <row r="3806" spans="1:1">
      <c r="A3806">
        <v>3805</v>
      </c>
    </row>
    <row r="3807" spans="1:1">
      <c r="A3807">
        <v>3806</v>
      </c>
    </row>
    <row r="3808" spans="1:1">
      <c r="A3808">
        <v>3807</v>
      </c>
    </row>
    <row r="3809" spans="1:1">
      <c r="A3809">
        <v>3808</v>
      </c>
    </row>
    <row r="3810" spans="1:1">
      <c r="A3810">
        <v>3809</v>
      </c>
    </row>
    <row r="3811" spans="1:1">
      <c r="A3811">
        <v>3810</v>
      </c>
    </row>
    <row r="3812" spans="1:1">
      <c r="A3812">
        <v>3811</v>
      </c>
    </row>
    <row r="3813" spans="1:1">
      <c r="A3813">
        <v>3812</v>
      </c>
    </row>
    <row r="3814" spans="1:1">
      <c r="A3814">
        <v>3813</v>
      </c>
    </row>
    <row r="3815" spans="1:1">
      <c r="A3815">
        <v>3814</v>
      </c>
    </row>
    <row r="3816" spans="1:1">
      <c r="A3816">
        <v>3815</v>
      </c>
    </row>
    <row r="3817" spans="1:1">
      <c r="A3817">
        <v>3816</v>
      </c>
    </row>
    <row r="3818" spans="1:1">
      <c r="A3818">
        <v>3817</v>
      </c>
    </row>
    <row r="3819" spans="1:1">
      <c r="A3819">
        <v>3818</v>
      </c>
    </row>
    <row r="3820" spans="1:1">
      <c r="A3820">
        <v>3819</v>
      </c>
    </row>
    <row r="3821" spans="1:1">
      <c r="A3821">
        <v>3820</v>
      </c>
    </row>
    <row r="3822" spans="1:1">
      <c r="A3822">
        <v>3821</v>
      </c>
    </row>
    <row r="3823" spans="1:1">
      <c r="A3823">
        <v>3822</v>
      </c>
    </row>
    <row r="3824" spans="1:1">
      <c r="A3824">
        <v>3823</v>
      </c>
    </row>
    <row r="3825" spans="1:1">
      <c r="A3825">
        <v>3824</v>
      </c>
    </row>
    <row r="3826" spans="1:1">
      <c r="A3826">
        <v>3825</v>
      </c>
    </row>
    <row r="3827" spans="1:1">
      <c r="A3827">
        <v>3826</v>
      </c>
    </row>
    <row r="3828" spans="1:1">
      <c r="A3828">
        <v>3827</v>
      </c>
    </row>
    <row r="3829" spans="1:1">
      <c r="A3829">
        <v>3828</v>
      </c>
    </row>
    <row r="3830" spans="1:1">
      <c r="A3830">
        <v>3829</v>
      </c>
    </row>
    <row r="3831" spans="1:1">
      <c r="A3831">
        <v>3830</v>
      </c>
    </row>
    <row r="3832" spans="1:1">
      <c r="A3832">
        <v>3831</v>
      </c>
    </row>
    <row r="3833" spans="1:1">
      <c r="A3833">
        <v>3832</v>
      </c>
    </row>
    <row r="3834" spans="1:1">
      <c r="A3834">
        <v>3833</v>
      </c>
    </row>
    <row r="3835" spans="1:1">
      <c r="A3835">
        <v>3834</v>
      </c>
    </row>
    <row r="3836" spans="1:1">
      <c r="A3836">
        <v>3835</v>
      </c>
    </row>
    <row r="3837" spans="1:1">
      <c r="A3837">
        <v>3836</v>
      </c>
    </row>
    <row r="3838" spans="1:1">
      <c r="A3838">
        <v>3837</v>
      </c>
    </row>
    <row r="3839" spans="1:1">
      <c r="A3839">
        <v>3838</v>
      </c>
    </row>
    <row r="3840" spans="1:1">
      <c r="A3840">
        <v>3839</v>
      </c>
    </row>
    <row r="3841" spans="1:1">
      <c r="A3841">
        <v>3840</v>
      </c>
    </row>
    <row r="3842" spans="1:1">
      <c r="A3842">
        <v>3841</v>
      </c>
    </row>
    <row r="3843" spans="1:1">
      <c r="A3843">
        <v>3842</v>
      </c>
    </row>
    <row r="3844" spans="1:1">
      <c r="A3844">
        <v>3843</v>
      </c>
    </row>
    <row r="3845" spans="1:1">
      <c r="A3845">
        <v>3844</v>
      </c>
    </row>
    <row r="3846" spans="1:1">
      <c r="A3846">
        <v>3845</v>
      </c>
    </row>
    <row r="3847" spans="1:1">
      <c r="A3847">
        <v>3846</v>
      </c>
    </row>
    <row r="3848" spans="1:1">
      <c r="A3848">
        <v>3847</v>
      </c>
    </row>
    <row r="3849" spans="1:1">
      <c r="A3849">
        <v>3848</v>
      </c>
    </row>
    <row r="3850" spans="1:1">
      <c r="A3850">
        <v>3849</v>
      </c>
    </row>
    <row r="3851" spans="1:1">
      <c r="A3851">
        <v>3850</v>
      </c>
    </row>
    <row r="3852" spans="1:1">
      <c r="A3852">
        <v>3851</v>
      </c>
    </row>
    <row r="3853" spans="1:1">
      <c r="A3853">
        <v>3852</v>
      </c>
    </row>
    <row r="3854" spans="1:1">
      <c r="A3854">
        <v>3853</v>
      </c>
    </row>
    <row r="3855" spans="1:1">
      <c r="A3855">
        <v>3854</v>
      </c>
    </row>
    <row r="3856" spans="1:1">
      <c r="A3856">
        <v>3855</v>
      </c>
    </row>
    <row r="3857" spans="1:1">
      <c r="A3857">
        <v>3856</v>
      </c>
    </row>
    <row r="3858" spans="1:1">
      <c r="A3858">
        <v>3857</v>
      </c>
    </row>
    <row r="3859" spans="1:1">
      <c r="A3859">
        <v>3858</v>
      </c>
    </row>
    <row r="3860" spans="1:1">
      <c r="A3860">
        <v>3859</v>
      </c>
    </row>
    <row r="3861" spans="1:1">
      <c r="A3861">
        <v>3860</v>
      </c>
    </row>
    <row r="3862" spans="1:1">
      <c r="A3862">
        <v>3861</v>
      </c>
    </row>
    <row r="3863" spans="1:1">
      <c r="A3863">
        <v>3862</v>
      </c>
    </row>
    <row r="3864" spans="1:1">
      <c r="A3864">
        <v>3863</v>
      </c>
    </row>
    <row r="3865" spans="1:1">
      <c r="A3865">
        <v>3864</v>
      </c>
    </row>
    <row r="3866" spans="1:1">
      <c r="A3866">
        <v>3865</v>
      </c>
    </row>
    <row r="3867" spans="1:1">
      <c r="A3867">
        <v>3866</v>
      </c>
    </row>
    <row r="3868" spans="1:1">
      <c r="A3868">
        <v>3867</v>
      </c>
    </row>
    <row r="3869" spans="1:1">
      <c r="A3869">
        <v>3868</v>
      </c>
    </row>
    <row r="3870" spans="1:1">
      <c r="A3870">
        <v>3869</v>
      </c>
    </row>
    <row r="3871" spans="1:1">
      <c r="A3871">
        <v>3870</v>
      </c>
    </row>
    <row r="3872" spans="1:1">
      <c r="A3872">
        <v>3871</v>
      </c>
    </row>
    <row r="3873" spans="1:1">
      <c r="A3873">
        <v>3872</v>
      </c>
    </row>
    <row r="3874" spans="1:1">
      <c r="A3874">
        <v>3873</v>
      </c>
    </row>
    <row r="3875" spans="1:1">
      <c r="A3875">
        <v>3874</v>
      </c>
    </row>
    <row r="3876" spans="1:1">
      <c r="A3876">
        <v>3875</v>
      </c>
    </row>
    <row r="3877" spans="1:1">
      <c r="A3877">
        <v>3876</v>
      </c>
    </row>
    <row r="3878" spans="1:1">
      <c r="A3878">
        <v>3877</v>
      </c>
    </row>
    <row r="3879" spans="1:1">
      <c r="A3879">
        <v>3878</v>
      </c>
    </row>
    <row r="3880" spans="1:1">
      <c r="A3880">
        <v>3879</v>
      </c>
    </row>
    <row r="3881" spans="1:1">
      <c r="A3881">
        <v>3880</v>
      </c>
    </row>
    <row r="3882" spans="1:1">
      <c r="A3882">
        <v>3881</v>
      </c>
    </row>
    <row r="3883" spans="1:1">
      <c r="A3883">
        <v>3882</v>
      </c>
    </row>
    <row r="3884" spans="1:1">
      <c r="A3884">
        <v>3883</v>
      </c>
    </row>
    <row r="3885" spans="1:1">
      <c r="A3885">
        <v>3884</v>
      </c>
    </row>
    <row r="3886" spans="1:1">
      <c r="A3886">
        <v>3885</v>
      </c>
    </row>
    <row r="3887" spans="1:1">
      <c r="A3887">
        <v>3886</v>
      </c>
    </row>
    <row r="3888" spans="1:1">
      <c r="A3888">
        <v>3887</v>
      </c>
    </row>
    <row r="3889" spans="1:1">
      <c r="A3889">
        <v>3888</v>
      </c>
    </row>
    <row r="3890" spans="1:1">
      <c r="A3890">
        <v>3889</v>
      </c>
    </row>
    <row r="3891" spans="1:1">
      <c r="A3891">
        <v>3890</v>
      </c>
    </row>
    <row r="3892" spans="1:1">
      <c r="A3892">
        <v>3891</v>
      </c>
    </row>
    <row r="3893" spans="1:1">
      <c r="A3893">
        <v>3892</v>
      </c>
    </row>
    <row r="3894" spans="1:1">
      <c r="A3894">
        <v>3893</v>
      </c>
    </row>
    <row r="3895" spans="1:1">
      <c r="A3895">
        <v>3894</v>
      </c>
    </row>
    <row r="3896" spans="1:1">
      <c r="A3896">
        <v>3895</v>
      </c>
    </row>
    <row r="3897" spans="1:1">
      <c r="A3897">
        <v>3896</v>
      </c>
    </row>
    <row r="3898" spans="1:1">
      <c r="A3898">
        <v>3897</v>
      </c>
    </row>
    <row r="3899" spans="1:1">
      <c r="A3899">
        <v>3898</v>
      </c>
    </row>
    <row r="3900" spans="1:1">
      <c r="A3900">
        <v>3899</v>
      </c>
    </row>
    <row r="3901" spans="1:1">
      <c r="A3901">
        <v>3900</v>
      </c>
    </row>
    <row r="3902" spans="1:1">
      <c r="A3902">
        <v>3901</v>
      </c>
    </row>
    <row r="3903" spans="1:1">
      <c r="A3903">
        <v>3902</v>
      </c>
    </row>
    <row r="3904" spans="1:1">
      <c r="A3904">
        <v>3903</v>
      </c>
    </row>
    <row r="3905" spans="1:1">
      <c r="A3905">
        <v>3904</v>
      </c>
    </row>
    <row r="3906" spans="1:1">
      <c r="A3906">
        <v>3905</v>
      </c>
    </row>
    <row r="3907" spans="1:1">
      <c r="A3907">
        <v>3906</v>
      </c>
    </row>
    <row r="3908" spans="1:1">
      <c r="A3908">
        <v>3907</v>
      </c>
    </row>
    <row r="3909" spans="1:1">
      <c r="A3909">
        <v>3908</v>
      </c>
    </row>
    <row r="3910" spans="1:1">
      <c r="A3910">
        <v>3909</v>
      </c>
    </row>
    <row r="3911" spans="1:1">
      <c r="A3911">
        <v>3910</v>
      </c>
    </row>
    <row r="3912" spans="1:1">
      <c r="A3912">
        <v>3911</v>
      </c>
    </row>
    <row r="3913" spans="1:1">
      <c r="A3913">
        <v>3912</v>
      </c>
    </row>
    <row r="3914" spans="1:1">
      <c r="A3914">
        <v>3913</v>
      </c>
    </row>
    <row r="3915" spans="1:1">
      <c r="A3915">
        <v>3914</v>
      </c>
    </row>
    <row r="3916" spans="1:1">
      <c r="A3916">
        <v>3915</v>
      </c>
    </row>
    <row r="3917" spans="1:1">
      <c r="A3917">
        <v>3916</v>
      </c>
    </row>
    <row r="3918" spans="1:1">
      <c r="A3918">
        <v>3917</v>
      </c>
    </row>
    <row r="3919" spans="1:1">
      <c r="A3919">
        <v>3918</v>
      </c>
    </row>
    <row r="3920" spans="1:1">
      <c r="A3920">
        <v>3919</v>
      </c>
    </row>
    <row r="3921" spans="1:1">
      <c r="A3921">
        <v>3920</v>
      </c>
    </row>
    <row r="3922" spans="1:1">
      <c r="A3922">
        <v>3921</v>
      </c>
    </row>
    <row r="3923" spans="1:1">
      <c r="A3923">
        <v>3922</v>
      </c>
    </row>
    <row r="3924" spans="1:1">
      <c r="A3924">
        <v>3923</v>
      </c>
    </row>
    <row r="3925" spans="1:1">
      <c r="A3925">
        <v>3924</v>
      </c>
    </row>
    <row r="3926" spans="1:1">
      <c r="A3926">
        <v>3925</v>
      </c>
    </row>
    <row r="3927" spans="1:1">
      <c r="A3927">
        <v>3926</v>
      </c>
    </row>
    <row r="3928" spans="1:1">
      <c r="A3928">
        <v>3927</v>
      </c>
    </row>
    <row r="3929" spans="1:1">
      <c r="A3929">
        <v>3928</v>
      </c>
    </row>
    <row r="3930" spans="1:1">
      <c r="A3930">
        <v>3929</v>
      </c>
    </row>
    <row r="3931" spans="1:1">
      <c r="A3931">
        <v>3930</v>
      </c>
    </row>
    <row r="3932" spans="1:1">
      <c r="A3932">
        <v>3931</v>
      </c>
    </row>
    <row r="3933" spans="1:1">
      <c r="A3933">
        <v>3932</v>
      </c>
    </row>
    <row r="3934" spans="1:1">
      <c r="A3934">
        <v>3933</v>
      </c>
    </row>
    <row r="3935" spans="1:1">
      <c r="A3935">
        <v>3934</v>
      </c>
    </row>
    <row r="3936" spans="1:1">
      <c r="A3936">
        <v>3935</v>
      </c>
    </row>
    <row r="3937" spans="1:1">
      <c r="A3937">
        <v>3936</v>
      </c>
    </row>
    <row r="3938" spans="1:1">
      <c r="A3938">
        <v>3937</v>
      </c>
    </row>
    <row r="3939" spans="1:1">
      <c r="A3939">
        <v>3938</v>
      </c>
    </row>
    <row r="3940" spans="1:1">
      <c r="A3940">
        <v>3939</v>
      </c>
    </row>
    <row r="3941" spans="1:1">
      <c r="A3941">
        <v>3940</v>
      </c>
    </row>
    <row r="3942" spans="1:1">
      <c r="A3942">
        <v>3941</v>
      </c>
    </row>
    <row r="3943" spans="1:1">
      <c r="A3943">
        <v>3942</v>
      </c>
    </row>
    <row r="3944" spans="1:1">
      <c r="A3944">
        <v>3943</v>
      </c>
    </row>
    <row r="3945" spans="1:1">
      <c r="A3945">
        <v>3944</v>
      </c>
    </row>
    <row r="3946" spans="1:1">
      <c r="A3946">
        <v>3945</v>
      </c>
    </row>
    <row r="3947" spans="1:1">
      <c r="A3947">
        <v>3946</v>
      </c>
    </row>
    <row r="3948" spans="1:1">
      <c r="A3948">
        <v>3947</v>
      </c>
    </row>
    <row r="3949" spans="1:1">
      <c r="A3949">
        <v>3948</v>
      </c>
    </row>
    <row r="3950" spans="1:1">
      <c r="A3950">
        <v>3949</v>
      </c>
    </row>
    <row r="3951" spans="1:1">
      <c r="A3951">
        <v>3950</v>
      </c>
    </row>
    <row r="3952" spans="1:1">
      <c r="A3952">
        <v>3951</v>
      </c>
    </row>
    <row r="3953" spans="1:1">
      <c r="A3953">
        <v>3952</v>
      </c>
    </row>
    <row r="3954" spans="1:1">
      <c r="A3954">
        <v>3953</v>
      </c>
    </row>
    <row r="3955" spans="1:1">
      <c r="A3955">
        <v>3954</v>
      </c>
    </row>
    <row r="3956" spans="1:1">
      <c r="A3956">
        <v>3955</v>
      </c>
    </row>
    <row r="3957" spans="1:1">
      <c r="A3957">
        <v>3956</v>
      </c>
    </row>
    <row r="3958" spans="1:1">
      <c r="A3958">
        <v>3957</v>
      </c>
    </row>
    <row r="3959" spans="1:1">
      <c r="A3959">
        <v>3958</v>
      </c>
    </row>
    <row r="3960" spans="1:1">
      <c r="A3960">
        <v>3959</v>
      </c>
    </row>
    <row r="3961" spans="1:1">
      <c r="A3961">
        <v>3960</v>
      </c>
    </row>
    <row r="3962" spans="1:1">
      <c r="A3962">
        <v>3961</v>
      </c>
    </row>
    <row r="3963" spans="1:1">
      <c r="A3963">
        <v>3962</v>
      </c>
    </row>
    <row r="3964" spans="1:1">
      <c r="A3964">
        <v>3963</v>
      </c>
    </row>
    <row r="3965" spans="1:1">
      <c r="A3965">
        <v>3964</v>
      </c>
    </row>
    <row r="3966" spans="1:1">
      <c r="A3966">
        <v>3965</v>
      </c>
    </row>
    <row r="3967" spans="1:1">
      <c r="A3967">
        <v>3966</v>
      </c>
    </row>
    <row r="3968" spans="1:1">
      <c r="A3968">
        <v>3967</v>
      </c>
    </row>
    <row r="3969" spans="1:1">
      <c r="A3969">
        <v>3968</v>
      </c>
    </row>
    <row r="3970" spans="1:1">
      <c r="A3970">
        <v>3969</v>
      </c>
    </row>
    <row r="3971" spans="1:1">
      <c r="A3971">
        <v>3970</v>
      </c>
    </row>
    <row r="3972" spans="1:1">
      <c r="A3972">
        <v>3971</v>
      </c>
    </row>
    <row r="3973" spans="1:1">
      <c r="A3973">
        <v>3972</v>
      </c>
    </row>
    <row r="3974" spans="1:1">
      <c r="A3974">
        <v>3973</v>
      </c>
    </row>
    <row r="3975" spans="1:1">
      <c r="A3975">
        <v>3974</v>
      </c>
    </row>
    <row r="3976" spans="1:1">
      <c r="A3976">
        <v>3975</v>
      </c>
    </row>
    <row r="3977" spans="1:1">
      <c r="A3977">
        <v>3976</v>
      </c>
    </row>
    <row r="3978" spans="1:1">
      <c r="A3978">
        <v>3977</v>
      </c>
    </row>
    <row r="3979" spans="1:1">
      <c r="A3979">
        <v>3978</v>
      </c>
    </row>
    <row r="3980" spans="1:1">
      <c r="A3980">
        <v>3979</v>
      </c>
    </row>
    <row r="3981" spans="1:1">
      <c r="A3981">
        <v>3980</v>
      </c>
    </row>
    <row r="3982" spans="1:1">
      <c r="A3982">
        <v>3981</v>
      </c>
    </row>
    <row r="3983" spans="1:1">
      <c r="A3983">
        <v>3982</v>
      </c>
    </row>
    <row r="3984" spans="1:1">
      <c r="A3984">
        <v>3983</v>
      </c>
    </row>
    <row r="3985" spans="1:1">
      <c r="A3985">
        <v>3984</v>
      </c>
    </row>
    <row r="3986" spans="1:1">
      <c r="A3986">
        <v>3985</v>
      </c>
    </row>
    <row r="3987" spans="1:1">
      <c r="A3987">
        <v>3986</v>
      </c>
    </row>
    <row r="3988" spans="1:1">
      <c r="A3988">
        <v>3987</v>
      </c>
    </row>
    <row r="3989" spans="1:1">
      <c r="A3989">
        <v>3988</v>
      </c>
    </row>
    <row r="3990" spans="1:1">
      <c r="A3990">
        <v>3989</v>
      </c>
    </row>
    <row r="3991" spans="1:1">
      <c r="A3991">
        <v>3990</v>
      </c>
    </row>
    <row r="3992" spans="1:1">
      <c r="A3992">
        <v>3991</v>
      </c>
    </row>
    <row r="3993" spans="1:1">
      <c r="A3993">
        <v>3992</v>
      </c>
    </row>
    <row r="3994" spans="1:1">
      <c r="A3994">
        <v>3993</v>
      </c>
    </row>
    <row r="3995" spans="1:1">
      <c r="A3995">
        <v>3994</v>
      </c>
    </row>
    <row r="3996" spans="1:1">
      <c r="A3996">
        <v>3995</v>
      </c>
    </row>
    <row r="3997" spans="1:1">
      <c r="A3997">
        <v>3996</v>
      </c>
    </row>
    <row r="3998" spans="1:1">
      <c r="A3998">
        <v>3997</v>
      </c>
    </row>
    <row r="3999" spans="1:1">
      <c r="A3999">
        <v>3998</v>
      </c>
    </row>
    <row r="4000" spans="1:1">
      <c r="A4000">
        <v>3999</v>
      </c>
    </row>
    <row r="4001" spans="1:1">
      <c r="A4001">
        <v>4000</v>
      </c>
    </row>
    <row r="4002" spans="1:1">
      <c r="A4002">
        <v>4001</v>
      </c>
    </row>
    <row r="4003" spans="1:1">
      <c r="A4003">
        <v>4002</v>
      </c>
    </row>
    <row r="4004" spans="1:1">
      <c r="A4004">
        <v>4003</v>
      </c>
    </row>
    <row r="4005" spans="1:1">
      <c r="A4005">
        <v>4004</v>
      </c>
    </row>
    <row r="4006" spans="1:1">
      <c r="A4006">
        <v>4005</v>
      </c>
    </row>
    <row r="4007" spans="1:1">
      <c r="A4007">
        <v>4006</v>
      </c>
    </row>
    <row r="4008" spans="1:1">
      <c r="A4008">
        <v>4007</v>
      </c>
    </row>
    <row r="4009" spans="1:1">
      <c r="A4009">
        <v>4008</v>
      </c>
    </row>
    <row r="4010" spans="1:1">
      <c r="A4010">
        <v>4009</v>
      </c>
    </row>
    <row r="4011" spans="1:1">
      <c r="A4011">
        <v>4010</v>
      </c>
    </row>
    <row r="4012" spans="1:1">
      <c r="A4012">
        <v>4011</v>
      </c>
    </row>
    <row r="4013" spans="1:1">
      <c r="A4013">
        <v>4012</v>
      </c>
    </row>
    <row r="4014" spans="1:1">
      <c r="A4014">
        <v>4013</v>
      </c>
    </row>
    <row r="4015" spans="1:1">
      <c r="A4015">
        <v>4014</v>
      </c>
    </row>
    <row r="4016" spans="1:1">
      <c r="A4016">
        <v>4015</v>
      </c>
    </row>
    <row r="4017" spans="1:1">
      <c r="A4017">
        <v>4016</v>
      </c>
    </row>
    <row r="4018" spans="1:1">
      <c r="A4018">
        <v>4017</v>
      </c>
    </row>
    <row r="4019" spans="1:1">
      <c r="A4019">
        <v>4018</v>
      </c>
    </row>
    <row r="4020" spans="1:1">
      <c r="A4020">
        <v>4019</v>
      </c>
    </row>
    <row r="4021" spans="1:1">
      <c r="A4021">
        <v>4020</v>
      </c>
    </row>
    <row r="4022" spans="1:1">
      <c r="A4022">
        <v>4021</v>
      </c>
    </row>
    <row r="4023" spans="1:1">
      <c r="A4023">
        <v>4022</v>
      </c>
    </row>
    <row r="4024" spans="1:1">
      <c r="A4024">
        <v>4023</v>
      </c>
    </row>
    <row r="4025" spans="1:1">
      <c r="A4025">
        <v>4024</v>
      </c>
    </row>
    <row r="4026" spans="1:1">
      <c r="A4026">
        <v>4025</v>
      </c>
    </row>
    <row r="4027" spans="1:1">
      <c r="A4027">
        <v>4026</v>
      </c>
    </row>
    <row r="4028" spans="1:1">
      <c r="A4028">
        <v>4027</v>
      </c>
    </row>
    <row r="4029" spans="1:1">
      <c r="A4029">
        <v>4028</v>
      </c>
    </row>
    <row r="4030" spans="1:1">
      <c r="A4030">
        <v>4029</v>
      </c>
    </row>
    <row r="4031" spans="1:1">
      <c r="A4031">
        <v>4030</v>
      </c>
    </row>
    <row r="4032" spans="1:1">
      <c r="A4032">
        <v>4031</v>
      </c>
    </row>
    <row r="4033" spans="1:1">
      <c r="A4033">
        <v>4032</v>
      </c>
    </row>
    <row r="4034" spans="1:1">
      <c r="A4034">
        <v>4033</v>
      </c>
    </row>
    <row r="4035" spans="1:1">
      <c r="A4035">
        <v>4034</v>
      </c>
    </row>
    <row r="4036" spans="1:1">
      <c r="A4036">
        <v>4035</v>
      </c>
    </row>
    <row r="4037" spans="1:1">
      <c r="A4037">
        <v>4036</v>
      </c>
    </row>
    <row r="4038" spans="1:1">
      <c r="A4038">
        <v>4037</v>
      </c>
    </row>
    <row r="4039" spans="1:1">
      <c r="A4039">
        <v>4038</v>
      </c>
    </row>
    <row r="4040" spans="1:1">
      <c r="A4040">
        <v>4039</v>
      </c>
    </row>
    <row r="4041" spans="1:1">
      <c r="A4041">
        <v>4040</v>
      </c>
    </row>
    <row r="4042" spans="1:1">
      <c r="A4042">
        <v>4041</v>
      </c>
    </row>
    <row r="4043" spans="1:1">
      <c r="A4043">
        <v>4042</v>
      </c>
    </row>
    <row r="4044" spans="1:1">
      <c r="A4044">
        <v>4043</v>
      </c>
    </row>
    <row r="4045" spans="1:1">
      <c r="A4045">
        <v>4044</v>
      </c>
    </row>
    <row r="4046" spans="1:1">
      <c r="A4046">
        <v>4045</v>
      </c>
    </row>
    <row r="4047" spans="1:1">
      <c r="A4047">
        <v>4046</v>
      </c>
    </row>
    <row r="4048" spans="1:1">
      <c r="A4048">
        <v>4047</v>
      </c>
    </row>
    <row r="4049" spans="1:1">
      <c r="A4049">
        <v>4048</v>
      </c>
    </row>
    <row r="4050" spans="1:1">
      <c r="A4050">
        <v>4049</v>
      </c>
    </row>
    <row r="4051" spans="1:1">
      <c r="A4051">
        <v>4050</v>
      </c>
    </row>
    <row r="4052" spans="1:1">
      <c r="A4052">
        <v>4051</v>
      </c>
    </row>
    <row r="4053" spans="1:1">
      <c r="A4053">
        <v>4052</v>
      </c>
    </row>
    <row r="4054" spans="1:1">
      <c r="A4054">
        <v>4053</v>
      </c>
    </row>
    <row r="4055" spans="1:1">
      <c r="A4055">
        <v>4054</v>
      </c>
    </row>
    <row r="4056" spans="1:1">
      <c r="A4056">
        <v>4055</v>
      </c>
    </row>
    <row r="4057" spans="1:1">
      <c r="A4057">
        <v>4056</v>
      </c>
    </row>
    <row r="4058" spans="1:1">
      <c r="A4058">
        <v>4057</v>
      </c>
    </row>
    <row r="4059" spans="1:1">
      <c r="A4059">
        <v>4058</v>
      </c>
    </row>
    <row r="4060" spans="1:1">
      <c r="A4060">
        <v>4059</v>
      </c>
    </row>
    <row r="4061" spans="1:1">
      <c r="A4061">
        <v>4060</v>
      </c>
    </row>
    <row r="4062" spans="1:1">
      <c r="A4062">
        <v>4061</v>
      </c>
    </row>
    <row r="4063" spans="1:1">
      <c r="A4063">
        <v>4062</v>
      </c>
    </row>
    <row r="4064" spans="1:1">
      <c r="A4064">
        <v>4063</v>
      </c>
    </row>
    <row r="4065" spans="1:1">
      <c r="A4065">
        <v>4064</v>
      </c>
    </row>
    <row r="4066" spans="1:1">
      <c r="A4066">
        <v>4065</v>
      </c>
    </row>
    <row r="4067" spans="1:1">
      <c r="A4067">
        <v>4066</v>
      </c>
    </row>
    <row r="4068" spans="1:1">
      <c r="A4068">
        <v>4067</v>
      </c>
    </row>
    <row r="4069" spans="1:1">
      <c r="A4069">
        <v>4068</v>
      </c>
    </row>
    <row r="4070" spans="1:1">
      <c r="A4070">
        <v>4069</v>
      </c>
    </row>
    <row r="4071" spans="1:1">
      <c r="A4071">
        <v>4070</v>
      </c>
    </row>
    <row r="4072" spans="1:1">
      <c r="A4072">
        <v>4071</v>
      </c>
    </row>
    <row r="4073" spans="1:1">
      <c r="A4073">
        <v>4072</v>
      </c>
    </row>
    <row r="4074" spans="1:1">
      <c r="A4074">
        <v>4073</v>
      </c>
    </row>
    <row r="4075" spans="1:1">
      <c r="A4075">
        <v>4074</v>
      </c>
    </row>
    <row r="4076" spans="1:1">
      <c r="A4076">
        <v>4075</v>
      </c>
    </row>
    <row r="4077" spans="1:1">
      <c r="A4077">
        <v>4076</v>
      </c>
    </row>
    <row r="4078" spans="1:1">
      <c r="A4078">
        <v>4077</v>
      </c>
    </row>
    <row r="4079" spans="1:1">
      <c r="A4079">
        <v>4078</v>
      </c>
    </row>
    <row r="4080" spans="1:1">
      <c r="A4080">
        <v>4079</v>
      </c>
    </row>
    <row r="4081" spans="1:1">
      <c r="A4081">
        <v>4080</v>
      </c>
    </row>
    <row r="4082" spans="1:1">
      <c r="A4082">
        <v>4081</v>
      </c>
    </row>
    <row r="4083" spans="1:1">
      <c r="A4083">
        <v>4082</v>
      </c>
    </row>
    <row r="4084" spans="1:1">
      <c r="A4084">
        <v>4083</v>
      </c>
    </row>
    <row r="4085" spans="1:1">
      <c r="A4085">
        <v>4084</v>
      </c>
    </row>
    <row r="4086" spans="1:1">
      <c r="A4086">
        <v>4085</v>
      </c>
    </row>
    <row r="4087" spans="1:1">
      <c r="A4087">
        <v>4086</v>
      </c>
    </row>
    <row r="4088" spans="1:1">
      <c r="A4088">
        <v>4087</v>
      </c>
    </row>
    <row r="4089" spans="1:1">
      <c r="A4089">
        <v>4088</v>
      </c>
    </row>
    <row r="4090" spans="1:1">
      <c r="A4090">
        <v>4089</v>
      </c>
    </row>
    <row r="4091" spans="1:1">
      <c r="A4091">
        <v>4090</v>
      </c>
    </row>
    <row r="4092" spans="1:1">
      <c r="A4092">
        <v>4091</v>
      </c>
    </row>
    <row r="4093" spans="1:1">
      <c r="A4093">
        <v>4092</v>
      </c>
    </row>
    <row r="4094" spans="1:1">
      <c r="A4094">
        <v>4093</v>
      </c>
    </row>
    <row r="4095" spans="1:1">
      <c r="A4095">
        <v>4094</v>
      </c>
    </row>
    <row r="4096" spans="1:1">
      <c r="A4096">
        <v>4095</v>
      </c>
    </row>
    <row r="4097" spans="1:1">
      <c r="A4097">
        <v>4096</v>
      </c>
    </row>
    <row r="4098" spans="1:1">
      <c r="A4098">
        <v>4097</v>
      </c>
    </row>
    <row r="4099" spans="1:1">
      <c r="A4099">
        <v>4098</v>
      </c>
    </row>
    <row r="4100" spans="1:1">
      <c r="A4100">
        <v>4099</v>
      </c>
    </row>
    <row r="4101" spans="1:1">
      <c r="A4101">
        <v>4100</v>
      </c>
    </row>
    <row r="4102" spans="1:1">
      <c r="A4102">
        <v>4101</v>
      </c>
    </row>
    <row r="4103" spans="1:1">
      <c r="A4103">
        <v>4102</v>
      </c>
    </row>
    <row r="4104" spans="1:1">
      <c r="A4104">
        <v>4103</v>
      </c>
    </row>
    <row r="4105" spans="1:1">
      <c r="A4105">
        <v>4104</v>
      </c>
    </row>
    <row r="4106" spans="1:1">
      <c r="A4106">
        <v>4105</v>
      </c>
    </row>
    <row r="4107" spans="1:1">
      <c r="A4107">
        <v>4106</v>
      </c>
    </row>
    <row r="4108" spans="1:1">
      <c r="A4108">
        <v>4107</v>
      </c>
    </row>
    <row r="4109" spans="1:1">
      <c r="A4109">
        <v>4108</v>
      </c>
    </row>
    <row r="4110" spans="1:1">
      <c r="A4110">
        <v>4109</v>
      </c>
    </row>
    <row r="4111" spans="1:1">
      <c r="A4111">
        <v>4110</v>
      </c>
    </row>
    <row r="4112" spans="1:1">
      <c r="A4112">
        <v>4111</v>
      </c>
    </row>
    <row r="4113" spans="1:1">
      <c r="A4113">
        <v>4112</v>
      </c>
    </row>
    <row r="4114" spans="1:1">
      <c r="A4114">
        <v>4113</v>
      </c>
    </row>
    <row r="4115" spans="1:1">
      <c r="A4115">
        <v>4114</v>
      </c>
    </row>
    <row r="4116" spans="1:1">
      <c r="A4116">
        <v>4115</v>
      </c>
    </row>
    <row r="4117" spans="1:1">
      <c r="A4117">
        <v>4116</v>
      </c>
    </row>
    <row r="4118" spans="1:1">
      <c r="A4118">
        <v>4117</v>
      </c>
    </row>
    <row r="4119" spans="1:1">
      <c r="A4119">
        <v>4118</v>
      </c>
    </row>
    <row r="4120" spans="1:1">
      <c r="A4120">
        <v>4119</v>
      </c>
    </row>
    <row r="4121" spans="1:1">
      <c r="A4121">
        <v>4120</v>
      </c>
    </row>
    <row r="4122" spans="1:1">
      <c r="A4122">
        <v>4121</v>
      </c>
    </row>
    <row r="4123" spans="1:1">
      <c r="A4123">
        <v>4122</v>
      </c>
    </row>
    <row r="4124" spans="1:1">
      <c r="A4124">
        <v>4123</v>
      </c>
    </row>
    <row r="4125" spans="1:1">
      <c r="A4125">
        <v>4124</v>
      </c>
    </row>
    <row r="4126" spans="1:1">
      <c r="A4126">
        <v>4125</v>
      </c>
    </row>
    <row r="4127" spans="1:1">
      <c r="A4127">
        <v>4126</v>
      </c>
    </row>
    <row r="4128" spans="1:1">
      <c r="A4128">
        <v>4127</v>
      </c>
    </row>
    <row r="4129" spans="1:1">
      <c r="A4129">
        <v>4128</v>
      </c>
    </row>
    <row r="4130" spans="1:1">
      <c r="A4130">
        <v>4129</v>
      </c>
    </row>
    <row r="4131" spans="1:1">
      <c r="A4131">
        <v>4130</v>
      </c>
    </row>
    <row r="4132" spans="1:1">
      <c r="A4132">
        <v>4131</v>
      </c>
    </row>
    <row r="4133" spans="1:1">
      <c r="A4133">
        <v>4132</v>
      </c>
    </row>
    <row r="4134" spans="1:1">
      <c r="A4134">
        <v>4133</v>
      </c>
    </row>
    <row r="4135" spans="1:1">
      <c r="A4135">
        <v>4134</v>
      </c>
    </row>
    <row r="4136" spans="1:1">
      <c r="A4136">
        <v>4135</v>
      </c>
    </row>
    <row r="4137" spans="1:1">
      <c r="A4137">
        <v>4136</v>
      </c>
    </row>
    <row r="4138" spans="1:1">
      <c r="A4138">
        <v>4137</v>
      </c>
    </row>
    <row r="4139" spans="1:1">
      <c r="A4139">
        <v>4138</v>
      </c>
    </row>
    <row r="4140" spans="1:1">
      <c r="A4140">
        <v>4139</v>
      </c>
    </row>
    <row r="4141" spans="1:1">
      <c r="A4141">
        <v>4140</v>
      </c>
    </row>
    <row r="4142" spans="1:1">
      <c r="A4142">
        <v>4141</v>
      </c>
    </row>
    <row r="4143" spans="1:1">
      <c r="A4143">
        <v>4142</v>
      </c>
    </row>
    <row r="4144" spans="1:1">
      <c r="A4144">
        <v>4143</v>
      </c>
    </row>
    <row r="4145" spans="1:1">
      <c r="A4145">
        <v>4144</v>
      </c>
    </row>
    <row r="4146" spans="1:1">
      <c r="A4146">
        <v>4145</v>
      </c>
    </row>
    <row r="4147" spans="1:1">
      <c r="A4147">
        <v>4146</v>
      </c>
    </row>
    <row r="4148" spans="1:1">
      <c r="A4148">
        <v>4147</v>
      </c>
    </row>
    <row r="4149" spans="1:1">
      <c r="A4149">
        <v>4148</v>
      </c>
    </row>
    <row r="4150" spans="1:1">
      <c r="A4150">
        <v>4149</v>
      </c>
    </row>
    <row r="4151" spans="1:1">
      <c r="A4151">
        <v>4150</v>
      </c>
    </row>
    <row r="4152" spans="1:1">
      <c r="A4152">
        <v>4151</v>
      </c>
    </row>
    <row r="4153" spans="1:1">
      <c r="A4153">
        <v>4152</v>
      </c>
    </row>
    <row r="4154" spans="1:1">
      <c r="A4154">
        <v>4153</v>
      </c>
    </row>
    <row r="4155" spans="1:1">
      <c r="A4155">
        <v>4154</v>
      </c>
    </row>
    <row r="4156" spans="1:1">
      <c r="A4156">
        <v>4155</v>
      </c>
    </row>
    <row r="4157" spans="1:1">
      <c r="A4157">
        <v>4156</v>
      </c>
    </row>
    <row r="4158" spans="1:1">
      <c r="A4158">
        <v>4157</v>
      </c>
    </row>
    <row r="4159" spans="1:1">
      <c r="A4159">
        <v>4158</v>
      </c>
    </row>
    <row r="4160" spans="1:1">
      <c r="A4160">
        <v>4159</v>
      </c>
    </row>
    <row r="4161" spans="1:1">
      <c r="A4161">
        <v>4160</v>
      </c>
    </row>
    <row r="4162" spans="1:1">
      <c r="A4162">
        <v>4161</v>
      </c>
    </row>
    <row r="4163" spans="1:1">
      <c r="A4163">
        <v>4162</v>
      </c>
    </row>
    <row r="4164" spans="1:1">
      <c r="A4164">
        <v>4163</v>
      </c>
    </row>
    <row r="4165" spans="1:1">
      <c r="A4165">
        <v>4164</v>
      </c>
    </row>
    <row r="4166" spans="1:1">
      <c r="A4166">
        <v>4165</v>
      </c>
    </row>
    <row r="4167" spans="1:1">
      <c r="A4167">
        <v>4166</v>
      </c>
    </row>
    <row r="4168" spans="1:1">
      <c r="A4168">
        <v>4167</v>
      </c>
    </row>
    <row r="4169" spans="1:1">
      <c r="A4169">
        <v>4168</v>
      </c>
    </row>
    <row r="4170" spans="1:1">
      <c r="A4170">
        <v>4169</v>
      </c>
    </row>
    <row r="4171" spans="1:1">
      <c r="A4171">
        <v>4170</v>
      </c>
    </row>
    <row r="4172" spans="1:1">
      <c r="A4172">
        <v>4171</v>
      </c>
    </row>
    <row r="4173" spans="1:1">
      <c r="A4173">
        <v>4172</v>
      </c>
    </row>
    <row r="4174" spans="1:1">
      <c r="A4174">
        <v>4173</v>
      </c>
    </row>
    <row r="4175" spans="1:1">
      <c r="A4175">
        <v>4174</v>
      </c>
    </row>
    <row r="4176" spans="1:1">
      <c r="A4176">
        <v>4175</v>
      </c>
    </row>
    <row r="4177" spans="1:1">
      <c r="A4177">
        <v>4176</v>
      </c>
    </row>
    <row r="4178" spans="1:1">
      <c r="A4178">
        <v>4177</v>
      </c>
    </row>
    <row r="4179" spans="1:1">
      <c r="A4179">
        <v>4178</v>
      </c>
    </row>
    <row r="4180" spans="1:1">
      <c r="A4180">
        <v>4179</v>
      </c>
    </row>
    <row r="4181" spans="1:1">
      <c r="A4181">
        <v>4180</v>
      </c>
    </row>
    <row r="4182" spans="1:1">
      <c r="A4182">
        <v>4181</v>
      </c>
    </row>
    <row r="4183" spans="1:1">
      <c r="A4183">
        <v>4182</v>
      </c>
    </row>
    <row r="4184" spans="1:1">
      <c r="A4184">
        <v>4183</v>
      </c>
    </row>
    <row r="4185" spans="1:1">
      <c r="A4185">
        <v>4184</v>
      </c>
    </row>
    <row r="4186" spans="1:1">
      <c r="A4186">
        <v>4185</v>
      </c>
    </row>
    <row r="4187" spans="1:1">
      <c r="A4187">
        <v>4186</v>
      </c>
    </row>
    <row r="4188" spans="1:1">
      <c r="A4188">
        <v>4187</v>
      </c>
    </row>
    <row r="4189" spans="1:1">
      <c r="A4189">
        <v>4188</v>
      </c>
    </row>
    <row r="4190" spans="1:1">
      <c r="A4190">
        <v>4189</v>
      </c>
    </row>
    <row r="4191" spans="1:1">
      <c r="A4191">
        <v>4190</v>
      </c>
    </row>
    <row r="4192" spans="1:1">
      <c r="A4192">
        <v>4191</v>
      </c>
    </row>
    <row r="4193" spans="1:1">
      <c r="A4193">
        <v>4192</v>
      </c>
    </row>
    <row r="4194" spans="1:1">
      <c r="A4194">
        <v>4193</v>
      </c>
    </row>
    <row r="4195" spans="1:1">
      <c r="A4195">
        <v>4194</v>
      </c>
    </row>
    <row r="4196" spans="1:1">
      <c r="A4196">
        <v>4195</v>
      </c>
    </row>
    <row r="4197" spans="1:1">
      <c r="A4197">
        <v>4196</v>
      </c>
    </row>
    <row r="4198" spans="1:1">
      <c r="A4198">
        <v>4197</v>
      </c>
    </row>
    <row r="4199" spans="1:1">
      <c r="A4199">
        <v>4198</v>
      </c>
    </row>
    <row r="4200" spans="1:1">
      <c r="A4200">
        <v>4199</v>
      </c>
    </row>
    <row r="4201" spans="1:1">
      <c r="A4201">
        <v>4200</v>
      </c>
    </row>
    <row r="4202" spans="1:1">
      <c r="A4202">
        <v>4201</v>
      </c>
    </row>
    <row r="4203" spans="1:1">
      <c r="A4203">
        <v>4202</v>
      </c>
    </row>
    <row r="4204" spans="1:1">
      <c r="A4204">
        <v>4203</v>
      </c>
    </row>
    <row r="4205" spans="1:1">
      <c r="A4205">
        <v>4204</v>
      </c>
    </row>
    <row r="4206" spans="1:1">
      <c r="A4206">
        <v>4205</v>
      </c>
    </row>
    <row r="4207" spans="1:1">
      <c r="A4207">
        <v>4206</v>
      </c>
    </row>
    <row r="4208" spans="1:1">
      <c r="A4208">
        <v>4207</v>
      </c>
    </row>
    <row r="4209" spans="1:1">
      <c r="A4209">
        <v>4208</v>
      </c>
    </row>
    <row r="4210" spans="1:1">
      <c r="A4210">
        <v>4209</v>
      </c>
    </row>
    <row r="4211" spans="1:1">
      <c r="A4211">
        <v>4210</v>
      </c>
    </row>
    <row r="4212" spans="1:1">
      <c r="A4212">
        <v>4211</v>
      </c>
    </row>
    <row r="4213" spans="1:1">
      <c r="A4213">
        <v>4212</v>
      </c>
    </row>
    <row r="4214" spans="1:1">
      <c r="A4214">
        <v>4213</v>
      </c>
    </row>
    <row r="4215" spans="1:1">
      <c r="A4215">
        <v>4214</v>
      </c>
    </row>
    <row r="4216" spans="1:1">
      <c r="A4216">
        <v>4215</v>
      </c>
    </row>
    <row r="4217" spans="1:1">
      <c r="A4217">
        <v>4216</v>
      </c>
    </row>
    <row r="4218" spans="1:1">
      <c r="A4218">
        <v>4217</v>
      </c>
    </row>
    <row r="4219" spans="1:1">
      <c r="A4219">
        <v>4218</v>
      </c>
    </row>
    <row r="4220" spans="1:1">
      <c r="A4220">
        <v>4219</v>
      </c>
    </row>
    <row r="4221" spans="1:1">
      <c r="A4221">
        <v>4220</v>
      </c>
    </row>
    <row r="4222" spans="1:1">
      <c r="A4222">
        <v>4221</v>
      </c>
    </row>
    <row r="4223" spans="1:1">
      <c r="A4223">
        <v>4222</v>
      </c>
    </row>
    <row r="4224" spans="1:1">
      <c r="A4224">
        <v>4223</v>
      </c>
    </row>
    <row r="4225" spans="1:1">
      <c r="A4225">
        <v>4224</v>
      </c>
    </row>
    <row r="4226" spans="1:1">
      <c r="A4226">
        <v>4225</v>
      </c>
    </row>
    <row r="4227" spans="1:1">
      <c r="A4227">
        <v>4226</v>
      </c>
    </row>
    <row r="4228" spans="1:1">
      <c r="A4228">
        <v>4227</v>
      </c>
    </row>
    <row r="4229" spans="1:1">
      <c r="A4229">
        <v>4228</v>
      </c>
    </row>
    <row r="4230" spans="1:1">
      <c r="A4230">
        <v>4229</v>
      </c>
    </row>
    <row r="4231" spans="1:1">
      <c r="A4231">
        <v>4230</v>
      </c>
    </row>
    <row r="4232" spans="1:1">
      <c r="A4232">
        <v>4231</v>
      </c>
    </row>
    <row r="4233" spans="1:1">
      <c r="A4233">
        <v>4232</v>
      </c>
    </row>
    <row r="4234" spans="1:1">
      <c r="A4234">
        <v>4233</v>
      </c>
    </row>
    <row r="4235" spans="1:1">
      <c r="A4235">
        <v>4234</v>
      </c>
    </row>
    <row r="4236" spans="1:1">
      <c r="A4236">
        <v>4235</v>
      </c>
    </row>
    <row r="4237" spans="1:1">
      <c r="A4237">
        <v>4236</v>
      </c>
    </row>
    <row r="4238" spans="1:1">
      <c r="A4238">
        <v>4237</v>
      </c>
    </row>
    <row r="4239" spans="1:1">
      <c r="A4239">
        <v>4238</v>
      </c>
    </row>
    <row r="4240" spans="1:1">
      <c r="A4240">
        <v>4239</v>
      </c>
    </row>
    <row r="4241" spans="1:1">
      <c r="A4241">
        <v>4240</v>
      </c>
    </row>
    <row r="4242" spans="1:1">
      <c r="A4242">
        <v>4241</v>
      </c>
    </row>
    <row r="4243" spans="1:1">
      <c r="A4243">
        <v>4242</v>
      </c>
    </row>
    <row r="4244" spans="1:1">
      <c r="A4244">
        <v>4243</v>
      </c>
    </row>
    <row r="4245" spans="1:1">
      <c r="A4245">
        <v>4244</v>
      </c>
    </row>
    <row r="4246" spans="1:1">
      <c r="A4246">
        <v>4245</v>
      </c>
    </row>
    <row r="4247" spans="1:1">
      <c r="A4247">
        <v>4246</v>
      </c>
    </row>
    <row r="4248" spans="1:1">
      <c r="A4248">
        <v>4247</v>
      </c>
    </row>
    <row r="4249" spans="1:1">
      <c r="A4249">
        <v>4248</v>
      </c>
    </row>
    <row r="4250" spans="1:1">
      <c r="A4250">
        <v>4249</v>
      </c>
    </row>
    <row r="4251" spans="1:1">
      <c r="A4251">
        <v>4250</v>
      </c>
    </row>
    <row r="4252" spans="1:1">
      <c r="A4252">
        <v>4251</v>
      </c>
    </row>
    <row r="4253" spans="1:1">
      <c r="A4253">
        <v>4252</v>
      </c>
    </row>
    <row r="4254" spans="1:1">
      <c r="A4254">
        <v>4253</v>
      </c>
    </row>
    <row r="4255" spans="1:1">
      <c r="A4255">
        <v>4254</v>
      </c>
    </row>
    <row r="4256" spans="1:1">
      <c r="A4256">
        <v>4255</v>
      </c>
    </row>
    <row r="4257" spans="1:1">
      <c r="A4257">
        <v>4256</v>
      </c>
    </row>
    <row r="4258" spans="1:1">
      <c r="A4258">
        <v>4257</v>
      </c>
    </row>
    <row r="4259" spans="1:1">
      <c r="A4259">
        <v>4258</v>
      </c>
    </row>
    <row r="4260" spans="1:1">
      <c r="A4260">
        <v>4259</v>
      </c>
    </row>
    <row r="4261" spans="1:1">
      <c r="A4261">
        <v>4260</v>
      </c>
    </row>
    <row r="4262" spans="1:1">
      <c r="A4262">
        <v>4261</v>
      </c>
    </row>
    <row r="4263" spans="1:1">
      <c r="A4263">
        <v>4262</v>
      </c>
    </row>
    <row r="4264" spans="1:1">
      <c r="A4264">
        <v>4263</v>
      </c>
    </row>
    <row r="4265" spans="1:1">
      <c r="A4265">
        <v>4264</v>
      </c>
    </row>
    <row r="4266" spans="1:1">
      <c r="A4266">
        <v>4265</v>
      </c>
    </row>
    <row r="4267" spans="1:1">
      <c r="A4267">
        <v>4266</v>
      </c>
    </row>
    <row r="4268" spans="1:1">
      <c r="A4268">
        <v>4267</v>
      </c>
    </row>
    <row r="4269" spans="1:1">
      <c r="A4269">
        <v>4268</v>
      </c>
    </row>
    <row r="4270" spans="1:1">
      <c r="A4270">
        <v>4269</v>
      </c>
    </row>
    <row r="4271" spans="1:1">
      <c r="A4271">
        <v>4270</v>
      </c>
    </row>
    <row r="4272" spans="1:1">
      <c r="A4272">
        <v>4271</v>
      </c>
    </row>
    <row r="4273" spans="1:1">
      <c r="A4273">
        <v>4272</v>
      </c>
    </row>
    <row r="4274" spans="1:1">
      <c r="A4274">
        <v>4273</v>
      </c>
    </row>
    <row r="4275" spans="1:1">
      <c r="A4275">
        <v>4274</v>
      </c>
    </row>
    <row r="4276" spans="1:1">
      <c r="A4276">
        <v>4275</v>
      </c>
    </row>
    <row r="4277" spans="1:1">
      <c r="A4277">
        <v>4276</v>
      </c>
    </row>
    <row r="4278" spans="1:1">
      <c r="A4278">
        <v>4277</v>
      </c>
    </row>
    <row r="4279" spans="1:1">
      <c r="A4279">
        <v>4278</v>
      </c>
    </row>
    <row r="4280" spans="1:1">
      <c r="A4280">
        <v>4279</v>
      </c>
    </row>
    <row r="4281" spans="1:1">
      <c r="A4281">
        <v>4280</v>
      </c>
    </row>
    <row r="4282" spans="1:1">
      <c r="A4282">
        <v>4281</v>
      </c>
    </row>
    <row r="4283" spans="1:1">
      <c r="A4283">
        <v>4282</v>
      </c>
    </row>
    <row r="4284" spans="1:1">
      <c r="A4284">
        <v>4283</v>
      </c>
    </row>
    <row r="4285" spans="1:1">
      <c r="A4285">
        <v>4284</v>
      </c>
    </row>
    <row r="4286" spans="1:1">
      <c r="A4286">
        <v>4285</v>
      </c>
    </row>
    <row r="4287" spans="1:1">
      <c r="A4287">
        <v>4286</v>
      </c>
    </row>
    <row r="4288" spans="1:1">
      <c r="A4288">
        <v>4287</v>
      </c>
    </row>
    <row r="4289" spans="1:1">
      <c r="A4289">
        <v>4288</v>
      </c>
    </row>
    <row r="4290" spans="1:1">
      <c r="A4290">
        <v>4289</v>
      </c>
    </row>
    <row r="4291" spans="1:1">
      <c r="A4291">
        <v>4290</v>
      </c>
    </row>
    <row r="4292" spans="1:1">
      <c r="A4292">
        <v>4291</v>
      </c>
    </row>
    <row r="4293" spans="1:1">
      <c r="A4293">
        <v>4292</v>
      </c>
    </row>
    <row r="4294" spans="1:1">
      <c r="A4294">
        <v>4293</v>
      </c>
    </row>
    <row r="4295" spans="1:1">
      <c r="A4295">
        <v>4294</v>
      </c>
    </row>
    <row r="4296" spans="1:1">
      <c r="A4296">
        <v>4295</v>
      </c>
    </row>
    <row r="4297" spans="1:1">
      <c r="A4297">
        <v>4296</v>
      </c>
    </row>
    <row r="4298" spans="1:1">
      <c r="A4298">
        <v>4297</v>
      </c>
    </row>
    <row r="4299" spans="1:1">
      <c r="A4299">
        <v>4298</v>
      </c>
    </row>
    <row r="4300" spans="1:1">
      <c r="A4300">
        <v>4299</v>
      </c>
    </row>
    <row r="4301" spans="1:1">
      <c r="A4301">
        <v>4300</v>
      </c>
    </row>
    <row r="4302" spans="1:1">
      <c r="A4302">
        <v>4301</v>
      </c>
    </row>
    <row r="4303" spans="1:1">
      <c r="A4303">
        <v>4302</v>
      </c>
    </row>
    <row r="4304" spans="1:1">
      <c r="A4304">
        <v>4303</v>
      </c>
    </row>
    <row r="4305" spans="1:1">
      <c r="A4305">
        <v>4304</v>
      </c>
    </row>
    <row r="4306" spans="1:1">
      <c r="A4306">
        <v>4305</v>
      </c>
    </row>
    <row r="4307" spans="1:1">
      <c r="A4307">
        <v>4306</v>
      </c>
    </row>
    <row r="4308" spans="1:1">
      <c r="A4308">
        <v>4307</v>
      </c>
    </row>
    <row r="4309" spans="1:1">
      <c r="A4309">
        <v>4308</v>
      </c>
    </row>
    <row r="4310" spans="1:1">
      <c r="A4310">
        <v>4309</v>
      </c>
    </row>
    <row r="4311" spans="1:1">
      <c r="A4311">
        <v>4310</v>
      </c>
    </row>
    <row r="4312" spans="1:1">
      <c r="A4312">
        <v>4311</v>
      </c>
    </row>
    <row r="4313" spans="1:1">
      <c r="A4313">
        <v>4312</v>
      </c>
    </row>
    <row r="4314" spans="1:1">
      <c r="A4314">
        <v>4313</v>
      </c>
    </row>
    <row r="4315" spans="1:1">
      <c r="A4315">
        <v>4314</v>
      </c>
    </row>
    <row r="4316" spans="1:1">
      <c r="A4316">
        <v>4315</v>
      </c>
    </row>
    <row r="4317" spans="1:1">
      <c r="A4317">
        <v>4316</v>
      </c>
    </row>
    <row r="4318" spans="1:1">
      <c r="A4318">
        <v>4317</v>
      </c>
    </row>
    <row r="4319" spans="1:1">
      <c r="A4319">
        <v>4318</v>
      </c>
    </row>
    <row r="4320" spans="1:1">
      <c r="A4320">
        <v>4319</v>
      </c>
    </row>
    <row r="4321" spans="1:1">
      <c r="A4321">
        <v>4320</v>
      </c>
    </row>
    <row r="4322" spans="1:1">
      <c r="A4322">
        <v>4321</v>
      </c>
    </row>
    <row r="4323" spans="1:1">
      <c r="A4323">
        <v>4322</v>
      </c>
    </row>
    <row r="4324" spans="1:1">
      <c r="A4324">
        <v>4323</v>
      </c>
    </row>
    <row r="4325" spans="1:1">
      <c r="A4325">
        <v>4324</v>
      </c>
    </row>
    <row r="4326" spans="1:1">
      <c r="A4326">
        <v>4325</v>
      </c>
    </row>
    <row r="4327" spans="1:1">
      <c r="A4327">
        <v>4326</v>
      </c>
    </row>
    <row r="4328" spans="1:1">
      <c r="A4328">
        <v>4327</v>
      </c>
    </row>
    <row r="4329" spans="1:1">
      <c r="A4329">
        <v>4328</v>
      </c>
    </row>
    <row r="4330" spans="1:1">
      <c r="A4330">
        <v>4329</v>
      </c>
    </row>
    <row r="4331" spans="1:1">
      <c r="A4331">
        <v>4330</v>
      </c>
    </row>
    <row r="4332" spans="1:1">
      <c r="A4332">
        <v>4331</v>
      </c>
    </row>
    <row r="4333" spans="1:1">
      <c r="A4333">
        <v>4332</v>
      </c>
    </row>
    <row r="4334" spans="1:1">
      <c r="A4334">
        <v>4333</v>
      </c>
    </row>
    <row r="4335" spans="1:1">
      <c r="A4335">
        <v>4334</v>
      </c>
    </row>
    <row r="4336" spans="1:1">
      <c r="A4336">
        <v>4335</v>
      </c>
    </row>
    <row r="4337" spans="1:1">
      <c r="A4337">
        <v>4336</v>
      </c>
    </row>
    <row r="4338" spans="1:1">
      <c r="A4338">
        <v>4337</v>
      </c>
    </row>
    <row r="4339" spans="1:1">
      <c r="A4339">
        <v>4338</v>
      </c>
    </row>
    <row r="4340" spans="1:1">
      <c r="A4340">
        <v>4339</v>
      </c>
    </row>
    <row r="4341" spans="1:1">
      <c r="A4341">
        <v>4340</v>
      </c>
    </row>
    <row r="4342" spans="1:1">
      <c r="A4342">
        <v>4341</v>
      </c>
    </row>
    <row r="4343" spans="1:1">
      <c r="A4343">
        <v>4342</v>
      </c>
    </row>
    <row r="4344" spans="1:1">
      <c r="A4344">
        <v>4343</v>
      </c>
    </row>
    <row r="4345" spans="1:1">
      <c r="A4345">
        <v>4344</v>
      </c>
    </row>
    <row r="4346" spans="1:1">
      <c r="A4346">
        <v>4345</v>
      </c>
    </row>
    <row r="4347" spans="1:1">
      <c r="A4347">
        <v>4346</v>
      </c>
    </row>
    <row r="4348" spans="1:1">
      <c r="A4348">
        <v>4347</v>
      </c>
    </row>
    <row r="4349" spans="1:1">
      <c r="A4349">
        <v>4348</v>
      </c>
    </row>
    <row r="4350" spans="1:1">
      <c r="A4350">
        <v>4349</v>
      </c>
    </row>
    <row r="4351" spans="1:1">
      <c r="A4351">
        <v>4350</v>
      </c>
    </row>
    <row r="4352" spans="1:1">
      <c r="A4352">
        <v>4351</v>
      </c>
    </row>
    <row r="4353" spans="1:1">
      <c r="A4353">
        <v>4352</v>
      </c>
    </row>
    <row r="4354" spans="1:1">
      <c r="A4354">
        <v>4353</v>
      </c>
    </row>
    <row r="4355" spans="1:1">
      <c r="A4355">
        <v>4354</v>
      </c>
    </row>
    <row r="4356" spans="1:1">
      <c r="A4356">
        <v>4355</v>
      </c>
    </row>
    <row r="4357" spans="1:1">
      <c r="A4357">
        <v>4356</v>
      </c>
    </row>
    <row r="4358" spans="1:1">
      <c r="A4358">
        <v>4357</v>
      </c>
    </row>
    <row r="4359" spans="1:1">
      <c r="A4359">
        <v>4358</v>
      </c>
    </row>
    <row r="4360" spans="1:1">
      <c r="A4360">
        <v>4359</v>
      </c>
    </row>
    <row r="4361" spans="1:1">
      <c r="A4361">
        <v>4360</v>
      </c>
    </row>
    <row r="4362" spans="1:1">
      <c r="A4362">
        <v>4361</v>
      </c>
    </row>
    <row r="4363" spans="1:1">
      <c r="A4363">
        <v>4362</v>
      </c>
    </row>
    <row r="4364" spans="1:1">
      <c r="A4364">
        <v>4363</v>
      </c>
    </row>
    <row r="4365" spans="1:1">
      <c r="A4365">
        <v>4364</v>
      </c>
    </row>
    <row r="4366" spans="1:1">
      <c r="A4366">
        <v>4365</v>
      </c>
    </row>
    <row r="4367" spans="1:1">
      <c r="A4367">
        <v>4366</v>
      </c>
    </row>
    <row r="4368" spans="1:1">
      <c r="A4368">
        <v>4367</v>
      </c>
    </row>
    <row r="4369" spans="1:1">
      <c r="A4369">
        <v>4368</v>
      </c>
    </row>
    <row r="4370" spans="1:1">
      <c r="A4370">
        <v>4369</v>
      </c>
    </row>
    <row r="4371" spans="1:1">
      <c r="A4371">
        <v>4370</v>
      </c>
    </row>
    <row r="4372" spans="1:1">
      <c r="A4372">
        <v>4371</v>
      </c>
    </row>
    <row r="4373" spans="1:1">
      <c r="A4373">
        <v>4372</v>
      </c>
    </row>
    <row r="4374" spans="1:1">
      <c r="A4374">
        <v>4373</v>
      </c>
    </row>
    <row r="4375" spans="1:1">
      <c r="A4375">
        <v>4374</v>
      </c>
    </row>
    <row r="4376" spans="1:1">
      <c r="A4376">
        <v>4375</v>
      </c>
    </row>
    <row r="4377" spans="1:1">
      <c r="A4377">
        <v>4376</v>
      </c>
    </row>
    <row r="4378" spans="1:1">
      <c r="A4378">
        <v>4377</v>
      </c>
    </row>
    <row r="4379" spans="1:1">
      <c r="A4379">
        <v>4378</v>
      </c>
    </row>
    <row r="4380" spans="1:1">
      <c r="A4380">
        <v>4379</v>
      </c>
    </row>
    <row r="4381" spans="1:1">
      <c r="A4381">
        <v>4380</v>
      </c>
    </row>
    <row r="4382" spans="1:1">
      <c r="A4382">
        <v>4381</v>
      </c>
    </row>
    <row r="4383" spans="1:1">
      <c r="A4383">
        <v>4382</v>
      </c>
    </row>
    <row r="4384" spans="1:1">
      <c r="A4384">
        <v>4383</v>
      </c>
    </row>
    <row r="4385" spans="1:1">
      <c r="A4385">
        <v>4384</v>
      </c>
    </row>
    <row r="4386" spans="1:1">
      <c r="A4386">
        <v>4385</v>
      </c>
    </row>
    <row r="4387" spans="1:1">
      <c r="A4387">
        <v>4386</v>
      </c>
    </row>
    <row r="4388" spans="1:1">
      <c r="A4388">
        <v>4387</v>
      </c>
    </row>
    <row r="4389" spans="1:1">
      <c r="A4389">
        <v>4388</v>
      </c>
    </row>
    <row r="4390" spans="1:1">
      <c r="A4390">
        <v>4389</v>
      </c>
    </row>
    <row r="4391" spans="1:1">
      <c r="A4391">
        <v>4390</v>
      </c>
    </row>
    <row r="4392" spans="1:1">
      <c r="A4392">
        <v>4391</v>
      </c>
    </row>
    <row r="4393" spans="1:1">
      <c r="A4393">
        <v>4392</v>
      </c>
    </row>
    <row r="4394" spans="1:1">
      <c r="A4394">
        <v>4393</v>
      </c>
    </row>
    <row r="4395" spans="1:1">
      <c r="A4395">
        <v>4394</v>
      </c>
    </row>
    <row r="4396" spans="1:1">
      <c r="A4396">
        <v>4395</v>
      </c>
    </row>
    <row r="4397" spans="1:1">
      <c r="A4397">
        <v>4396</v>
      </c>
    </row>
    <row r="4398" spans="1:1">
      <c r="A4398">
        <v>4397</v>
      </c>
    </row>
    <row r="4399" spans="1:1">
      <c r="A4399">
        <v>4398</v>
      </c>
    </row>
    <row r="4400" spans="1:1">
      <c r="A4400">
        <v>4399</v>
      </c>
    </row>
    <row r="4401" spans="1:1">
      <c r="A4401">
        <v>4400</v>
      </c>
    </row>
    <row r="4402" spans="1:1">
      <c r="A4402">
        <v>4401</v>
      </c>
    </row>
    <row r="4403" spans="1:1">
      <c r="A4403">
        <v>4402</v>
      </c>
    </row>
    <row r="4404" spans="1:1">
      <c r="A4404">
        <v>4403</v>
      </c>
    </row>
    <row r="4405" spans="1:1">
      <c r="A4405">
        <v>4404</v>
      </c>
    </row>
    <row r="4406" spans="1:1">
      <c r="A4406">
        <v>4405</v>
      </c>
    </row>
    <row r="4407" spans="1:1">
      <c r="A4407">
        <v>4406</v>
      </c>
    </row>
    <row r="4408" spans="1:1">
      <c r="A4408">
        <v>4407</v>
      </c>
    </row>
    <row r="4409" spans="1:1">
      <c r="A4409">
        <v>4408</v>
      </c>
    </row>
    <row r="4410" spans="1:1">
      <c r="A4410">
        <v>4409</v>
      </c>
    </row>
    <row r="4411" spans="1:1">
      <c r="A4411">
        <v>4410</v>
      </c>
    </row>
    <row r="4412" spans="1:1">
      <c r="A4412">
        <v>4411</v>
      </c>
    </row>
    <row r="4413" spans="1:1">
      <c r="A4413">
        <v>4412</v>
      </c>
    </row>
    <row r="4414" spans="1:1">
      <c r="A4414">
        <v>4413</v>
      </c>
    </row>
    <row r="4415" spans="1:1">
      <c r="A4415">
        <v>4414</v>
      </c>
    </row>
    <row r="4416" spans="1:1">
      <c r="A4416">
        <v>4415</v>
      </c>
    </row>
    <row r="4417" spans="1:1">
      <c r="A4417">
        <v>4416</v>
      </c>
    </row>
    <row r="4418" spans="1:1">
      <c r="A4418">
        <v>4417</v>
      </c>
    </row>
    <row r="4419" spans="1:1">
      <c r="A4419">
        <v>4418</v>
      </c>
    </row>
    <row r="4420" spans="1:1">
      <c r="A4420">
        <v>4419</v>
      </c>
    </row>
    <row r="4421" spans="1:1">
      <c r="A4421">
        <v>4420</v>
      </c>
    </row>
    <row r="4422" spans="1:1">
      <c r="A4422">
        <v>4421</v>
      </c>
    </row>
    <row r="4423" spans="1:1">
      <c r="A4423">
        <v>4422</v>
      </c>
    </row>
    <row r="4424" spans="1:1">
      <c r="A4424">
        <v>4423</v>
      </c>
    </row>
    <row r="4425" spans="1:1">
      <c r="A4425">
        <v>4424</v>
      </c>
    </row>
    <row r="4426" spans="1:1">
      <c r="A4426">
        <v>4425</v>
      </c>
    </row>
    <row r="4427" spans="1:1">
      <c r="A4427">
        <v>4426</v>
      </c>
    </row>
    <row r="4428" spans="1:1">
      <c r="A4428">
        <v>4427</v>
      </c>
    </row>
    <row r="4429" spans="1:1">
      <c r="A4429">
        <v>4428</v>
      </c>
    </row>
    <row r="4430" spans="1:1">
      <c r="A4430">
        <v>4429</v>
      </c>
    </row>
    <row r="4431" spans="1:1">
      <c r="A4431">
        <v>4430</v>
      </c>
    </row>
    <row r="4432" spans="1:1">
      <c r="A4432">
        <v>4431</v>
      </c>
    </row>
    <row r="4433" spans="1:1">
      <c r="A4433">
        <v>4432</v>
      </c>
    </row>
    <row r="4434" spans="1:1">
      <c r="A4434">
        <v>4433</v>
      </c>
    </row>
    <row r="4435" spans="1:1">
      <c r="A4435">
        <v>4434</v>
      </c>
    </row>
    <row r="4436" spans="1:1">
      <c r="A4436">
        <v>4435</v>
      </c>
    </row>
    <row r="4437" spans="1:1">
      <c r="A4437">
        <v>4436</v>
      </c>
    </row>
    <row r="4438" spans="1:1">
      <c r="A4438">
        <v>4437</v>
      </c>
    </row>
    <row r="4439" spans="1:1">
      <c r="A4439">
        <v>4438</v>
      </c>
    </row>
    <row r="4440" spans="1:1">
      <c r="A4440">
        <v>4439</v>
      </c>
    </row>
    <row r="4441" spans="1:1">
      <c r="A4441">
        <v>4440</v>
      </c>
    </row>
    <row r="4442" spans="1:1">
      <c r="A4442">
        <v>4441</v>
      </c>
    </row>
    <row r="4443" spans="1:1">
      <c r="A4443">
        <v>4442</v>
      </c>
    </row>
    <row r="4444" spans="1:1">
      <c r="A4444">
        <v>4443</v>
      </c>
    </row>
    <row r="4445" spans="1:1">
      <c r="A4445">
        <v>4444</v>
      </c>
    </row>
    <row r="4446" spans="1:1">
      <c r="A4446">
        <v>4445</v>
      </c>
    </row>
    <row r="4447" spans="1:1">
      <c r="A4447">
        <v>4446</v>
      </c>
    </row>
    <row r="4448" spans="1:1">
      <c r="A4448">
        <v>4447</v>
      </c>
    </row>
    <row r="4449" spans="1:1">
      <c r="A4449">
        <v>4448</v>
      </c>
    </row>
    <row r="4450" spans="1:1">
      <c r="A4450">
        <v>4449</v>
      </c>
    </row>
    <row r="4451" spans="1:1">
      <c r="A4451">
        <v>4450</v>
      </c>
    </row>
    <row r="4452" spans="1:1">
      <c r="A4452">
        <v>4451</v>
      </c>
    </row>
    <row r="4453" spans="1:1">
      <c r="A4453">
        <v>4452</v>
      </c>
    </row>
    <row r="4454" spans="1:1">
      <c r="A4454">
        <v>4453</v>
      </c>
    </row>
    <row r="4455" spans="1:1">
      <c r="A4455">
        <v>4454</v>
      </c>
    </row>
    <row r="4456" spans="1:1">
      <c r="A4456">
        <v>4455</v>
      </c>
    </row>
    <row r="4457" spans="1:1">
      <c r="A4457">
        <v>4456</v>
      </c>
    </row>
    <row r="4458" spans="1:1">
      <c r="A4458">
        <v>4457</v>
      </c>
    </row>
    <row r="4459" spans="1:1">
      <c r="A4459">
        <v>4458</v>
      </c>
    </row>
    <row r="4460" spans="1:1">
      <c r="A4460">
        <v>4459</v>
      </c>
    </row>
    <row r="4461" spans="1:1">
      <c r="A4461">
        <v>4460</v>
      </c>
    </row>
    <row r="4462" spans="1:1">
      <c r="A4462">
        <v>4461</v>
      </c>
    </row>
    <row r="4463" spans="1:1">
      <c r="A4463">
        <v>4462</v>
      </c>
    </row>
    <row r="4464" spans="1:1">
      <c r="A4464">
        <v>4463</v>
      </c>
    </row>
    <row r="4465" spans="1:1">
      <c r="A4465">
        <v>4464</v>
      </c>
    </row>
    <row r="4466" spans="1:1">
      <c r="A4466">
        <v>4465</v>
      </c>
    </row>
    <row r="4467" spans="1:1">
      <c r="A4467">
        <v>4466</v>
      </c>
    </row>
    <row r="4468" spans="1:1">
      <c r="A4468">
        <v>4467</v>
      </c>
    </row>
    <row r="4469" spans="1:1">
      <c r="A4469">
        <v>4468</v>
      </c>
    </row>
    <row r="4470" spans="1:1">
      <c r="A4470">
        <v>4469</v>
      </c>
    </row>
    <row r="4471" spans="1:1">
      <c r="A4471">
        <v>4470</v>
      </c>
    </row>
    <row r="4472" spans="1:1">
      <c r="A4472">
        <v>4471</v>
      </c>
    </row>
    <row r="4473" spans="1:1">
      <c r="A4473">
        <v>4472</v>
      </c>
    </row>
    <row r="4474" spans="1:1">
      <c r="A4474">
        <v>4473</v>
      </c>
    </row>
    <row r="4475" spans="1:1">
      <c r="A4475">
        <v>4474</v>
      </c>
    </row>
    <row r="4476" spans="1:1">
      <c r="A4476">
        <v>4475</v>
      </c>
    </row>
    <row r="4477" spans="1:1">
      <c r="A4477">
        <v>4476</v>
      </c>
    </row>
    <row r="4478" spans="1:1">
      <c r="A4478">
        <v>4477</v>
      </c>
    </row>
    <row r="4479" spans="1:1">
      <c r="A4479">
        <v>4478</v>
      </c>
    </row>
    <row r="4480" spans="1:1">
      <c r="A4480">
        <v>4479</v>
      </c>
    </row>
    <row r="4481" spans="1:1">
      <c r="A4481">
        <v>4480</v>
      </c>
    </row>
    <row r="4482" spans="1:1">
      <c r="A4482">
        <v>4481</v>
      </c>
    </row>
    <row r="4483" spans="1:1">
      <c r="A4483">
        <v>4482</v>
      </c>
    </row>
    <row r="4484" spans="1:1">
      <c r="A4484">
        <v>4483</v>
      </c>
    </row>
    <row r="4485" spans="1:1">
      <c r="A4485">
        <v>4484</v>
      </c>
    </row>
    <row r="4486" spans="1:1">
      <c r="A4486">
        <v>4485</v>
      </c>
    </row>
    <row r="4487" spans="1:1">
      <c r="A4487">
        <v>4486</v>
      </c>
    </row>
    <row r="4488" spans="1:1">
      <c r="A4488">
        <v>4487</v>
      </c>
    </row>
    <row r="4489" spans="1:1">
      <c r="A4489">
        <v>4488</v>
      </c>
    </row>
    <row r="4490" spans="1:1">
      <c r="A4490">
        <v>4489</v>
      </c>
    </row>
    <row r="4491" spans="1:1">
      <c r="A4491">
        <v>4490</v>
      </c>
    </row>
    <row r="4492" spans="1:1">
      <c r="A4492">
        <v>4491</v>
      </c>
    </row>
    <row r="4493" spans="1:1">
      <c r="A4493">
        <v>4492</v>
      </c>
    </row>
    <row r="4494" spans="1:1">
      <c r="A4494">
        <v>4493</v>
      </c>
    </row>
    <row r="4495" spans="1:1">
      <c r="A4495">
        <v>4494</v>
      </c>
    </row>
    <row r="4496" spans="1:1">
      <c r="A4496">
        <v>4495</v>
      </c>
    </row>
    <row r="4497" spans="1:1">
      <c r="A4497">
        <v>4496</v>
      </c>
    </row>
    <row r="4498" spans="1:1">
      <c r="A4498">
        <v>4497</v>
      </c>
    </row>
    <row r="4499" spans="1:1">
      <c r="A4499">
        <v>4498</v>
      </c>
    </row>
    <row r="4500" spans="1:1">
      <c r="A4500">
        <v>4499</v>
      </c>
    </row>
    <row r="4501" spans="1:1">
      <c r="A4501">
        <v>4500</v>
      </c>
    </row>
    <row r="4502" spans="1:1">
      <c r="A4502">
        <v>4501</v>
      </c>
    </row>
    <row r="4503" spans="1:1">
      <c r="A4503">
        <v>4502</v>
      </c>
    </row>
    <row r="4504" spans="1:1">
      <c r="A4504">
        <v>4503</v>
      </c>
    </row>
    <row r="4505" spans="1:1">
      <c r="A4505">
        <v>4504</v>
      </c>
    </row>
    <row r="4506" spans="1:1">
      <c r="A4506">
        <v>4505</v>
      </c>
    </row>
    <row r="4507" spans="1:1">
      <c r="A4507">
        <v>4506</v>
      </c>
    </row>
    <row r="4508" spans="1:1">
      <c r="A4508">
        <v>4507</v>
      </c>
    </row>
    <row r="4509" spans="1:1">
      <c r="A4509">
        <v>4508</v>
      </c>
    </row>
    <row r="4510" spans="1:1">
      <c r="A4510">
        <v>4509</v>
      </c>
    </row>
    <row r="4511" spans="1:1">
      <c r="A4511">
        <v>4510</v>
      </c>
    </row>
    <row r="4512" spans="1:1">
      <c r="A4512">
        <v>4511</v>
      </c>
    </row>
    <row r="4513" spans="1:1">
      <c r="A4513">
        <v>4512</v>
      </c>
    </row>
    <row r="4514" spans="1:1">
      <c r="A4514">
        <v>4513</v>
      </c>
    </row>
    <row r="4515" spans="1:1">
      <c r="A4515">
        <v>4514</v>
      </c>
    </row>
    <row r="4516" spans="1:1">
      <c r="A4516">
        <v>4515</v>
      </c>
    </row>
    <row r="4517" spans="1:1">
      <c r="A4517">
        <v>4516</v>
      </c>
    </row>
    <row r="4518" spans="1:1">
      <c r="A4518">
        <v>4517</v>
      </c>
    </row>
    <row r="4519" spans="1:1">
      <c r="A4519">
        <v>4518</v>
      </c>
    </row>
    <row r="4520" spans="1:1">
      <c r="A4520">
        <v>4519</v>
      </c>
    </row>
    <row r="4521" spans="1:1">
      <c r="A4521">
        <v>4520</v>
      </c>
    </row>
    <row r="4522" spans="1:1">
      <c r="A4522">
        <v>4521</v>
      </c>
    </row>
    <row r="4523" spans="1:1">
      <c r="A4523">
        <v>4522</v>
      </c>
    </row>
    <row r="4524" spans="1:1">
      <c r="A4524">
        <v>4523</v>
      </c>
    </row>
    <row r="4525" spans="1:1">
      <c r="A4525">
        <v>4524</v>
      </c>
    </row>
    <row r="4526" spans="1:1">
      <c r="A4526">
        <v>4525</v>
      </c>
    </row>
    <row r="4527" spans="1:1">
      <c r="A4527">
        <v>4526</v>
      </c>
    </row>
    <row r="4528" spans="1:1">
      <c r="A4528">
        <v>4527</v>
      </c>
    </row>
    <row r="4529" spans="1:1">
      <c r="A4529">
        <v>4528</v>
      </c>
    </row>
    <row r="4530" spans="1:1">
      <c r="A4530">
        <v>4529</v>
      </c>
    </row>
    <row r="4531" spans="1:1">
      <c r="A4531">
        <v>4530</v>
      </c>
    </row>
    <row r="4532" spans="1:1">
      <c r="A4532">
        <v>4531</v>
      </c>
    </row>
    <row r="4533" spans="1:1">
      <c r="A4533">
        <v>4532</v>
      </c>
    </row>
    <row r="4534" spans="1:1">
      <c r="A4534">
        <v>4533</v>
      </c>
    </row>
    <row r="4535" spans="1:1">
      <c r="A4535">
        <v>4534</v>
      </c>
    </row>
    <row r="4536" spans="1:1">
      <c r="A4536">
        <v>4535</v>
      </c>
    </row>
    <row r="4537" spans="1:1">
      <c r="A4537">
        <v>4536</v>
      </c>
    </row>
    <row r="4538" spans="1:1">
      <c r="A4538">
        <v>4537</v>
      </c>
    </row>
    <row r="4539" spans="1:1">
      <c r="A4539">
        <v>4538</v>
      </c>
    </row>
    <row r="4540" spans="1:1">
      <c r="A4540">
        <v>4539</v>
      </c>
    </row>
    <row r="4541" spans="1:1">
      <c r="A4541">
        <v>4540</v>
      </c>
    </row>
    <row r="4542" spans="1:1">
      <c r="A4542">
        <v>4541</v>
      </c>
    </row>
    <row r="4543" spans="1:1">
      <c r="A4543">
        <v>4542</v>
      </c>
    </row>
    <row r="4544" spans="1:1">
      <c r="A4544">
        <v>4543</v>
      </c>
    </row>
    <row r="4545" spans="1:1">
      <c r="A4545">
        <v>4544</v>
      </c>
    </row>
    <row r="4546" spans="1:1">
      <c r="A4546">
        <v>4545</v>
      </c>
    </row>
    <row r="4547" spans="1:1">
      <c r="A4547">
        <v>4546</v>
      </c>
    </row>
    <row r="4548" spans="1:1">
      <c r="A4548">
        <v>4547</v>
      </c>
    </row>
    <row r="4549" spans="1:1">
      <c r="A4549">
        <v>4548</v>
      </c>
    </row>
    <row r="4550" spans="1:1">
      <c r="A4550">
        <v>4549</v>
      </c>
    </row>
    <row r="4551" spans="1:1">
      <c r="A4551">
        <v>4550</v>
      </c>
    </row>
    <row r="4552" spans="1:1">
      <c r="A4552">
        <v>4551</v>
      </c>
    </row>
    <row r="4553" spans="1:1">
      <c r="A4553">
        <v>4552</v>
      </c>
    </row>
    <row r="4554" spans="1:1">
      <c r="A4554">
        <v>4553</v>
      </c>
    </row>
    <row r="4555" spans="1:1">
      <c r="A4555">
        <v>4554</v>
      </c>
    </row>
    <row r="4556" spans="1:1">
      <c r="A4556">
        <v>4555</v>
      </c>
    </row>
    <row r="4557" spans="1:1">
      <c r="A4557">
        <v>4556</v>
      </c>
    </row>
    <row r="4558" spans="1:1">
      <c r="A4558">
        <v>4557</v>
      </c>
    </row>
    <row r="4559" spans="1:1">
      <c r="A4559">
        <v>4558</v>
      </c>
    </row>
    <row r="4560" spans="1:1">
      <c r="A4560">
        <v>4559</v>
      </c>
    </row>
    <row r="4561" spans="1:1">
      <c r="A4561">
        <v>4560</v>
      </c>
    </row>
    <row r="4562" spans="1:1">
      <c r="A4562">
        <v>4561</v>
      </c>
    </row>
    <row r="4563" spans="1:1">
      <c r="A4563">
        <v>4562</v>
      </c>
    </row>
    <row r="4564" spans="1:1">
      <c r="A4564">
        <v>4563</v>
      </c>
    </row>
    <row r="4565" spans="1:1">
      <c r="A4565">
        <v>4564</v>
      </c>
    </row>
    <row r="4566" spans="1:1">
      <c r="A4566">
        <v>4565</v>
      </c>
    </row>
    <row r="4567" spans="1:1">
      <c r="A4567">
        <v>4566</v>
      </c>
    </row>
    <row r="4568" spans="1:1">
      <c r="A4568">
        <v>4567</v>
      </c>
    </row>
    <row r="4569" spans="1:1">
      <c r="A4569">
        <v>4568</v>
      </c>
    </row>
    <row r="4570" spans="1:1">
      <c r="A4570">
        <v>4569</v>
      </c>
    </row>
    <row r="4571" spans="1:1">
      <c r="A4571">
        <v>4570</v>
      </c>
    </row>
    <row r="4572" spans="1:1">
      <c r="A4572">
        <v>4571</v>
      </c>
    </row>
    <row r="4573" spans="1:1">
      <c r="A4573">
        <v>4572</v>
      </c>
    </row>
    <row r="4574" spans="1:1">
      <c r="A4574">
        <v>4573</v>
      </c>
    </row>
    <row r="4575" spans="1:1">
      <c r="A4575">
        <v>4574</v>
      </c>
    </row>
    <row r="4576" spans="1:1">
      <c r="A4576">
        <v>4575</v>
      </c>
    </row>
    <row r="4577" spans="1:1">
      <c r="A4577">
        <v>4576</v>
      </c>
    </row>
    <row r="4578" spans="1:1">
      <c r="A4578">
        <v>4577</v>
      </c>
    </row>
    <row r="4579" spans="1:1">
      <c r="A4579">
        <v>4578</v>
      </c>
    </row>
    <row r="4580" spans="1:1">
      <c r="A4580">
        <v>4579</v>
      </c>
    </row>
    <row r="4581" spans="1:1">
      <c r="A4581">
        <v>4580</v>
      </c>
    </row>
    <row r="4582" spans="1:1">
      <c r="A4582">
        <v>4581</v>
      </c>
    </row>
    <row r="4583" spans="1:1">
      <c r="A4583">
        <v>4582</v>
      </c>
    </row>
    <row r="4584" spans="1:1">
      <c r="A4584">
        <v>4583</v>
      </c>
    </row>
    <row r="4585" spans="1:1">
      <c r="A4585">
        <v>4584</v>
      </c>
    </row>
    <row r="4586" spans="1:1">
      <c r="A4586">
        <v>4585</v>
      </c>
    </row>
    <row r="4587" spans="1:1">
      <c r="A4587">
        <v>4586</v>
      </c>
    </row>
    <row r="4588" spans="1:1">
      <c r="A4588">
        <v>4587</v>
      </c>
    </row>
    <row r="4589" spans="1:1">
      <c r="A4589">
        <v>4588</v>
      </c>
    </row>
    <row r="4590" spans="1:1">
      <c r="A4590">
        <v>4589</v>
      </c>
    </row>
    <row r="4591" spans="1:1">
      <c r="A4591">
        <v>4590</v>
      </c>
    </row>
    <row r="4592" spans="1:1">
      <c r="A4592">
        <v>4591</v>
      </c>
    </row>
    <row r="4593" spans="1:1">
      <c r="A4593">
        <v>4592</v>
      </c>
    </row>
    <row r="4594" spans="1:1">
      <c r="A4594">
        <v>4593</v>
      </c>
    </row>
    <row r="4595" spans="1:1">
      <c r="A4595">
        <v>4594</v>
      </c>
    </row>
    <row r="4596" spans="1:1">
      <c r="A4596">
        <v>4595</v>
      </c>
    </row>
    <row r="4597" spans="1:1">
      <c r="A4597">
        <v>4596</v>
      </c>
    </row>
    <row r="4598" spans="1:1">
      <c r="A4598">
        <v>4597</v>
      </c>
    </row>
    <row r="4599" spans="1:1">
      <c r="A4599">
        <v>4598</v>
      </c>
    </row>
    <row r="4600" spans="1:1">
      <c r="A4600">
        <v>4599</v>
      </c>
    </row>
    <row r="4601" spans="1:1">
      <c r="A4601">
        <v>4600</v>
      </c>
    </row>
    <row r="4602" spans="1:1">
      <c r="A4602">
        <v>4601</v>
      </c>
    </row>
    <row r="4603" spans="1:1">
      <c r="A4603">
        <v>4602</v>
      </c>
    </row>
    <row r="4604" spans="1:1">
      <c r="A4604">
        <v>4603</v>
      </c>
    </row>
    <row r="4605" spans="1:1">
      <c r="A4605">
        <v>4604</v>
      </c>
    </row>
    <row r="4606" spans="1:1">
      <c r="A4606">
        <v>4605</v>
      </c>
    </row>
    <row r="4607" spans="1:1">
      <c r="A4607">
        <v>4606</v>
      </c>
    </row>
    <row r="4608" spans="1:1">
      <c r="A4608">
        <v>4607</v>
      </c>
    </row>
    <row r="4609" spans="1:1">
      <c r="A4609">
        <v>4608</v>
      </c>
    </row>
    <row r="4610" spans="1:1">
      <c r="A4610">
        <v>4609</v>
      </c>
    </row>
    <row r="4611" spans="1:1">
      <c r="A4611">
        <v>4610</v>
      </c>
    </row>
    <row r="4612" spans="1:1">
      <c r="A4612">
        <v>4611</v>
      </c>
    </row>
    <row r="4613" spans="1:1">
      <c r="A4613">
        <v>4612</v>
      </c>
    </row>
    <row r="4614" spans="1:1">
      <c r="A4614">
        <v>4613</v>
      </c>
    </row>
    <row r="4615" spans="1:1">
      <c r="A4615">
        <v>4614</v>
      </c>
    </row>
    <row r="4616" spans="1:1">
      <c r="A4616">
        <v>4615</v>
      </c>
    </row>
    <row r="4617" spans="1:1">
      <c r="A4617">
        <v>4616</v>
      </c>
    </row>
    <row r="4618" spans="1:1">
      <c r="A4618">
        <v>4617</v>
      </c>
    </row>
    <row r="4619" spans="1:1">
      <c r="A4619">
        <v>4618</v>
      </c>
    </row>
    <row r="4620" spans="1:1">
      <c r="A4620">
        <v>4619</v>
      </c>
    </row>
    <row r="4621" spans="1:1">
      <c r="A4621">
        <v>4620</v>
      </c>
    </row>
    <row r="4622" spans="1:1">
      <c r="A4622">
        <v>4621</v>
      </c>
    </row>
    <row r="4623" spans="1:1">
      <c r="A4623">
        <v>4622</v>
      </c>
    </row>
    <row r="4624" spans="1:1">
      <c r="A4624">
        <v>4623</v>
      </c>
    </row>
    <row r="4625" spans="1:1">
      <c r="A4625">
        <v>4624</v>
      </c>
    </row>
    <row r="4626" spans="1:1">
      <c r="A4626">
        <v>4625</v>
      </c>
    </row>
    <row r="4627" spans="1:1">
      <c r="A4627">
        <v>4626</v>
      </c>
    </row>
    <row r="4628" spans="1:1">
      <c r="A4628">
        <v>4627</v>
      </c>
    </row>
    <row r="4629" spans="1:1">
      <c r="A4629">
        <v>4628</v>
      </c>
    </row>
    <row r="4630" spans="1:1">
      <c r="A4630">
        <v>4629</v>
      </c>
    </row>
    <row r="4631" spans="1:1">
      <c r="A4631">
        <v>4630</v>
      </c>
    </row>
    <row r="4632" spans="1:1">
      <c r="A4632">
        <v>4631</v>
      </c>
    </row>
    <row r="4633" spans="1:1">
      <c r="A4633">
        <v>4632</v>
      </c>
    </row>
    <row r="4634" spans="1:1">
      <c r="A4634">
        <v>4633</v>
      </c>
    </row>
    <row r="4635" spans="1:1">
      <c r="A4635">
        <v>4634</v>
      </c>
    </row>
    <row r="4636" spans="1:1">
      <c r="A4636">
        <v>4635</v>
      </c>
    </row>
    <row r="4637" spans="1:1">
      <c r="A4637">
        <v>4636</v>
      </c>
    </row>
    <row r="4638" spans="1:1">
      <c r="A4638">
        <v>4637</v>
      </c>
    </row>
    <row r="4639" spans="1:1">
      <c r="A4639">
        <v>4638</v>
      </c>
    </row>
    <row r="4640" spans="1:1">
      <c r="A4640">
        <v>4639</v>
      </c>
    </row>
    <row r="4641" spans="1:1">
      <c r="A4641">
        <v>4640</v>
      </c>
    </row>
    <row r="4642" spans="1:1">
      <c r="A4642">
        <v>4641</v>
      </c>
    </row>
    <row r="4643" spans="1:1">
      <c r="A4643">
        <v>4642</v>
      </c>
    </row>
    <row r="4644" spans="1:1">
      <c r="A4644">
        <v>4643</v>
      </c>
    </row>
    <row r="4645" spans="1:1">
      <c r="A4645">
        <v>4644</v>
      </c>
    </row>
    <row r="4646" spans="1:1">
      <c r="A4646">
        <v>4645</v>
      </c>
    </row>
    <row r="4647" spans="1:1">
      <c r="A4647">
        <v>4646</v>
      </c>
    </row>
    <row r="4648" spans="1:1">
      <c r="A4648">
        <v>4647</v>
      </c>
    </row>
    <row r="4649" spans="1:1">
      <c r="A4649">
        <v>4648</v>
      </c>
    </row>
    <row r="4650" spans="1:1">
      <c r="A4650">
        <v>4649</v>
      </c>
    </row>
    <row r="4651" spans="1:1">
      <c r="A4651">
        <v>4650</v>
      </c>
    </row>
    <row r="4652" spans="1:1">
      <c r="A4652">
        <v>4651</v>
      </c>
    </row>
    <row r="4653" spans="1:1">
      <c r="A4653">
        <v>4652</v>
      </c>
    </row>
    <row r="4654" spans="1:1">
      <c r="A4654">
        <v>4653</v>
      </c>
    </row>
    <row r="4655" spans="1:1">
      <c r="A4655">
        <v>4654</v>
      </c>
    </row>
    <row r="4656" spans="1:1">
      <c r="A4656">
        <v>4655</v>
      </c>
    </row>
    <row r="4657" spans="1:1">
      <c r="A4657">
        <v>4656</v>
      </c>
    </row>
    <row r="4658" spans="1:1">
      <c r="A4658">
        <v>4657</v>
      </c>
    </row>
    <row r="4659" spans="1:1">
      <c r="A4659">
        <v>4658</v>
      </c>
    </row>
    <row r="4660" spans="1:1">
      <c r="A4660">
        <v>4659</v>
      </c>
    </row>
    <row r="4661" spans="1:1">
      <c r="A4661">
        <v>4660</v>
      </c>
    </row>
    <row r="4662" spans="1:1">
      <c r="A4662">
        <v>4661</v>
      </c>
    </row>
    <row r="4663" spans="1:1">
      <c r="A4663">
        <v>4662</v>
      </c>
    </row>
    <row r="4664" spans="1:1">
      <c r="A4664">
        <v>4663</v>
      </c>
    </row>
    <row r="4665" spans="1:1">
      <c r="A4665">
        <v>4664</v>
      </c>
    </row>
    <row r="4666" spans="1:1">
      <c r="A4666">
        <v>4665</v>
      </c>
    </row>
    <row r="4667" spans="1:1">
      <c r="A4667">
        <v>4666</v>
      </c>
    </row>
    <row r="4668" spans="1:1">
      <c r="A4668">
        <v>4667</v>
      </c>
    </row>
    <row r="4669" spans="1:1">
      <c r="A4669">
        <v>4668</v>
      </c>
    </row>
    <row r="4670" spans="1:1">
      <c r="A4670">
        <v>4669</v>
      </c>
    </row>
    <row r="4671" spans="1:1">
      <c r="A4671">
        <v>4670</v>
      </c>
    </row>
    <row r="4672" spans="1:1">
      <c r="A4672">
        <v>4671</v>
      </c>
    </row>
    <row r="4673" spans="1:1">
      <c r="A4673">
        <v>4672</v>
      </c>
    </row>
    <row r="4674" spans="1:1">
      <c r="A4674">
        <v>4673</v>
      </c>
    </row>
    <row r="4675" spans="1:1">
      <c r="A4675">
        <v>4674</v>
      </c>
    </row>
    <row r="4676" spans="1:1">
      <c r="A4676">
        <v>4675</v>
      </c>
    </row>
    <row r="4677" spans="1:1">
      <c r="A4677">
        <v>4676</v>
      </c>
    </row>
    <row r="4678" spans="1:1">
      <c r="A4678">
        <v>4677</v>
      </c>
    </row>
    <row r="4679" spans="1:1">
      <c r="A4679">
        <v>4678</v>
      </c>
    </row>
    <row r="4680" spans="1:1">
      <c r="A4680">
        <v>4679</v>
      </c>
    </row>
    <row r="4681" spans="1:1">
      <c r="A4681">
        <v>4680</v>
      </c>
    </row>
    <row r="4682" spans="1:1">
      <c r="A4682">
        <v>4681</v>
      </c>
    </row>
    <row r="4683" spans="1:1">
      <c r="A4683">
        <v>4682</v>
      </c>
    </row>
    <row r="4684" spans="1:1">
      <c r="A4684">
        <v>4683</v>
      </c>
    </row>
    <row r="4685" spans="1:1">
      <c r="A4685">
        <v>4684</v>
      </c>
    </row>
    <row r="4686" spans="1:1">
      <c r="A4686">
        <v>4685</v>
      </c>
    </row>
    <row r="4687" spans="1:1">
      <c r="A4687">
        <v>4686</v>
      </c>
    </row>
    <row r="4688" spans="1:1">
      <c r="A4688">
        <v>4687</v>
      </c>
    </row>
    <row r="4689" spans="1:1">
      <c r="A4689">
        <v>4688</v>
      </c>
    </row>
    <row r="4690" spans="1:1">
      <c r="A4690">
        <v>4689</v>
      </c>
    </row>
    <row r="4691" spans="1:1">
      <c r="A4691">
        <v>4690</v>
      </c>
    </row>
    <row r="4692" spans="1:1">
      <c r="A4692">
        <v>4691</v>
      </c>
    </row>
    <row r="4693" spans="1:1">
      <c r="A4693">
        <v>4692</v>
      </c>
    </row>
    <row r="4694" spans="1:1">
      <c r="A4694">
        <v>4693</v>
      </c>
    </row>
    <row r="4695" spans="1:1">
      <c r="A4695">
        <v>4694</v>
      </c>
    </row>
    <row r="4696" spans="1:1">
      <c r="A4696">
        <v>4695</v>
      </c>
    </row>
    <row r="4697" spans="1:1">
      <c r="A4697">
        <v>4696</v>
      </c>
    </row>
    <row r="4698" spans="1:1">
      <c r="A4698">
        <v>4697</v>
      </c>
    </row>
    <row r="4699" spans="1:1">
      <c r="A4699">
        <v>4698</v>
      </c>
    </row>
    <row r="4700" spans="1:1">
      <c r="A4700">
        <v>4699</v>
      </c>
    </row>
    <row r="4701" spans="1:1">
      <c r="A4701">
        <v>4700</v>
      </c>
    </row>
    <row r="4702" spans="1:1">
      <c r="A4702">
        <v>4701</v>
      </c>
    </row>
    <row r="4703" spans="1:1">
      <c r="A4703">
        <v>4702</v>
      </c>
    </row>
    <row r="4704" spans="1:1">
      <c r="A4704">
        <v>4703</v>
      </c>
    </row>
    <row r="4705" spans="1:1">
      <c r="A4705">
        <v>4704</v>
      </c>
    </row>
    <row r="4706" spans="1:1">
      <c r="A4706">
        <v>4705</v>
      </c>
    </row>
    <row r="4707" spans="1:1">
      <c r="A4707">
        <v>4706</v>
      </c>
    </row>
    <row r="4708" spans="1:1">
      <c r="A4708">
        <v>4707</v>
      </c>
    </row>
    <row r="4709" spans="1:1">
      <c r="A4709">
        <v>4708</v>
      </c>
    </row>
    <row r="4710" spans="1:1">
      <c r="A4710">
        <v>4709</v>
      </c>
    </row>
    <row r="4711" spans="1:1">
      <c r="A4711">
        <v>4710</v>
      </c>
    </row>
    <row r="4712" spans="1:1">
      <c r="A4712">
        <v>4711</v>
      </c>
    </row>
    <row r="4713" spans="1:1">
      <c r="A4713">
        <v>4712</v>
      </c>
    </row>
    <row r="4714" spans="1:1">
      <c r="A4714">
        <v>4713</v>
      </c>
    </row>
    <row r="4715" spans="1:1">
      <c r="A4715">
        <v>4714</v>
      </c>
    </row>
    <row r="4716" spans="1:1">
      <c r="A4716">
        <v>4715</v>
      </c>
    </row>
    <row r="4717" spans="1:1">
      <c r="A4717">
        <v>4716</v>
      </c>
    </row>
    <row r="4718" spans="1:1">
      <c r="A4718">
        <v>4717</v>
      </c>
    </row>
    <row r="4719" spans="1:1">
      <c r="A4719">
        <v>4718</v>
      </c>
    </row>
    <row r="4720" spans="1:1">
      <c r="A4720">
        <v>4719</v>
      </c>
    </row>
    <row r="4721" spans="1:1">
      <c r="A4721">
        <v>4720</v>
      </c>
    </row>
    <row r="4722" spans="1:1">
      <c r="A4722">
        <v>4721</v>
      </c>
    </row>
    <row r="4723" spans="1:1">
      <c r="A4723">
        <v>4722</v>
      </c>
    </row>
    <row r="4724" spans="1:1">
      <c r="A4724">
        <v>4723</v>
      </c>
    </row>
    <row r="4725" spans="1:1">
      <c r="A4725">
        <v>4724</v>
      </c>
    </row>
    <row r="4726" spans="1:1">
      <c r="A4726">
        <v>4725</v>
      </c>
    </row>
    <row r="4727" spans="1:1">
      <c r="A4727">
        <v>4726</v>
      </c>
    </row>
    <row r="4728" spans="1:1">
      <c r="A4728">
        <v>4727</v>
      </c>
    </row>
    <row r="4729" spans="1:1">
      <c r="A4729">
        <v>4728</v>
      </c>
    </row>
    <row r="4730" spans="1:1">
      <c r="A4730">
        <v>4729</v>
      </c>
    </row>
    <row r="4731" spans="1:1">
      <c r="A4731">
        <v>4730</v>
      </c>
    </row>
    <row r="4732" spans="1:1">
      <c r="A4732">
        <v>4731</v>
      </c>
    </row>
    <row r="4733" spans="1:1">
      <c r="A4733">
        <v>4732</v>
      </c>
    </row>
    <row r="4734" spans="1:1">
      <c r="A4734">
        <v>4733</v>
      </c>
    </row>
    <row r="4735" spans="1:1">
      <c r="A4735">
        <v>4734</v>
      </c>
    </row>
    <row r="4736" spans="1:1">
      <c r="A4736">
        <v>4735</v>
      </c>
    </row>
    <row r="4737" spans="1:1">
      <c r="A4737">
        <v>4736</v>
      </c>
    </row>
    <row r="4738" spans="1:1">
      <c r="A4738">
        <v>4737</v>
      </c>
    </row>
    <row r="4739" spans="1:1">
      <c r="A4739">
        <v>4738</v>
      </c>
    </row>
    <row r="4740" spans="1:1">
      <c r="A4740">
        <v>4739</v>
      </c>
    </row>
    <row r="4741" spans="1:1">
      <c r="A4741">
        <v>4740</v>
      </c>
    </row>
    <row r="4742" spans="1:1">
      <c r="A4742">
        <v>4741</v>
      </c>
    </row>
    <row r="4743" spans="1:1">
      <c r="A4743">
        <v>4742</v>
      </c>
    </row>
    <row r="4744" spans="1:1">
      <c r="A4744">
        <v>4743</v>
      </c>
    </row>
    <row r="4745" spans="1:1">
      <c r="A4745">
        <v>4744</v>
      </c>
    </row>
    <row r="4746" spans="1:1">
      <c r="A4746">
        <v>4745</v>
      </c>
    </row>
    <row r="4747" spans="1:1">
      <c r="A4747">
        <v>4746</v>
      </c>
    </row>
    <row r="4748" spans="1:1">
      <c r="A4748">
        <v>4747</v>
      </c>
    </row>
    <row r="4749" spans="1:1">
      <c r="A4749">
        <v>4748</v>
      </c>
    </row>
    <row r="4750" spans="1:1">
      <c r="A4750">
        <v>4749</v>
      </c>
    </row>
    <row r="4751" spans="1:1">
      <c r="A4751">
        <v>4750</v>
      </c>
    </row>
    <row r="4752" spans="1:1">
      <c r="A4752">
        <v>4751</v>
      </c>
    </row>
    <row r="4753" spans="1:1">
      <c r="A4753">
        <v>4752</v>
      </c>
    </row>
    <row r="4754" spans="1:1">
      <c r="A4754">
        <v>4753</v>
      </c>
    </row>
    <row r="4755" spans="1:1">
      <c r="A4755">
        <v>4754</v>
      </c>
    </row>
    <row r="4756" spans="1:1">
      <c r="A4756">
        <v>4755</v>
      </c>
    </row>
    <row r="4757" spans="1:1">
      <c r="A4757">
        <v>4756</v>
      </c>
    </row>
    <row r="4758" spans="1:1">
      <c r="A4758">
        <v>4757</v>
      </c>
    </row>
    <row r="4759" spans="1:1">
      <c r="A4759">
        <v>4758</v>
      </c>
    </row>
    <row r="4760" spans="1:1">
      <c r="A4760">
        <v>4759</v>
      </c>
    </row>
    <row r="4761" spans="1:1">
      <c r="A4761">
        <v>4760</v>
      </c>
    </row>
    <row r="4762" spans="1:1">
      <c r="A4762">
        <v>4761</v>
      </c>
    </row>
    <row r="4763" spans="1:1">
      <c r="A4763">
        <v>4762</v>
      </c>
    </row>
    <row r="4764" spans="1:1">
      <c r="A4764">
        <v>4763</v>
      </c>
    </row>
    <row r="4765" spans="1:1">
      <c r="A4765">
        <v>4764</v>
      </c>
    </row>
    <row r="4766" spans="1:1">
      <c r="A4766">
        <v>4765</v>
      </c>
    </row>
    <row r="4767" spans="1:1">
      <c r="A4767">
        <v>4766</v>
      </c>
    </row>
    <row r="4768" spans="1:1">
      <c r="A4768">
        <v>4767</v>
      </c>
    </row>
    <row r="4769" spans="1:1">
      <c r="A4769">
        <v>4768</v>
      </c>
    </row>
    <row r="4770" spans="1:1">
      <c r="A4770">
        <v>4769</v>
      </c>
    </row>
    <row r="4771" spans="1:1">
      <c r="A4771">
        <v>4770</v>
      </c>
    </row>
    <row r="4772" spans="1:1">
      <c r="A4772">
        <v>4771</v>
      </c>
    </row>
    <row r="4773" spans="1:1">
      <c r="A4773">
        <v>4772</v>
      </c>
    </row>
    <row r="4774" spans="1:1">
      <c r="A4774">
        <v>4773</v>
      </c>
    </row>
    <row r="4775" spans="1:1">
      <c r="A4775">
        <v>4774</v>
      </c>
    </row>
    <row r="4776" spans="1:1">
      <c r="A4776">
        <v>4775</v>
      </c>
    </row>
    <row r="4777" spans="1:1">
      <c r="A4777">
        <v>4776</v>
      </c>
    </row>
    <row r="4778" spans="1:1">
      <c r="A4778">
        <v>4777</v>
      </c>
    </row>
    <row r="4779" spans="1:1">
      <c r="A4779">
        <v>4778</v>
      </c>
    </row>
    <row r="4780" spans="1:1">
      <c r="A4780">
        <v>4779</v>
      </c>
    </row>
    <row r="4781" spans="1:1">
      <c r="A4781">
        <v>4780</v>
      </c>
    </row>
    <row r="4782" spans="1:1">
      <c r="A4782">
        <v>4781</v>
      </c>
    </row>
    <row r="4783" spans="1:1">
      <c r="A4783">
        <v>4782</v>
      </c>
    </row>
    <row r="4784" spans="1:1">
      <c r="A4784">
        <v>4783</v>
      </c>
    </row>
    <row r="4785" spans="1:1">
      <c r="A4785">
        <v>4784</v>
      </c>
    </row>
    <row r="4786" spans="1:1">
      <c r="A4786">
        <v>4785</v>
      </c>
    </row>
    <row r="4787" spans="1:1">
      <c r="A4787">
        <v>4786</v>
      </c>
    </row>
    <row r="4788" spans="1:1">
      <c r="A4788">
        <v>4787</v>
      </c>
    </row>
    <row r="4789" spans="1:1">
      <c r="A4789">
        <v>4788</v>
      </c>
    </row>
    <row r="4790" spans="1:1">
      <c r="A4790">
        <v>4789</v>
      </c>
    </row>
    <row r="4791" spans="1:1">
      <c r="A4791">
        <v>4790</v>
      </c>
    </row>
    <row r="4792" spans="1:1">
      <c r="A4792">
        <v>4791</v>
      </c>
    </row>
    <row r="4793" spans="1:1">
      <c r="A4793">
        <v>4792</v>
      </c>
    </row>
    <row r="4794" spans="1:1">
      <c r="A4794">
        <v>4793</v>
      </c>
    </row>
    <row r="4795" spans="1:1">
      <c r="A4795">
        <v>4794</v>
      </c>
    </row>
    <row r="4796" spans="1:1">
      <c r="A4796">
        <v>4795</v>
      </c>
    </row>
    <row r="4797" spans="1:1">
      <c r="A4797">
        <v>4796</v>
      </c>
    </row>
    <row r="4798" spans="1:1">
      <c r="A4798">
        <v>4797</v>
      </c>
    </row>
    <row r="4799" spans="1:1">
      <c r="A4799">
        <v>4798</v>
      </c>
    </row>
    <row r="4800" spans="1:1">
      <c r="A4800">
        <v>4799</v>
      </c>
    </row>
    <row r="4801" spans="1:1">
      <c r="A4801">
        <v>4800</v>
      </c>
    </row>
    <row r="4802" spans="1:1">
      <c r="A4802">
        <v>4801</v>
      </c>
    </row>
    <row r="4803" spans="1:1">
      <c r="A4803">
        <v>4802</v>
      </c>
    </row>
    <row r="4804" spans="1:1">
      <c r="A4804">
        <v>4803</v>
      </c>
    </row>
    <row r="4805" spans="1:1">
      <c r="A4805">
        <v>4804</v>
      </c>
    </row>
    <row r="4806" spans="1:1">
      <c r="A4806">
        <v>4805</v>
      </c>
    </row>
    <row r="4807" spans="1:1">
      <c r="A4807">
        <v>4806</v>
      </c>
    </row>
    <row r="4808" spans="1:1">
      <c r="A4808">
        <v>4807</v>
      </c>
    </row>
    <row r="4809" spans="1:1">
      <c r="A4809">
        <v>4808</v>
      </c>
    </row>
    <row r="4810" spans="1:1">
      <c r="A4810">
        <v>4809</v>
      </c>
    </row>
    <row r="4811" spans="1:1">
      <c r="A4811">
        <v>4810</v>
      </c>
    </row>
    <row r="4812" spans="1:1">
      <c r="A4812">
        <v>4811</v>
      </c>
    </row>
    <row r="4813" spans="1:1">
      <c r="A4813">
        <v>4812</v>
      </c>
    </row>
    <row r="4814" spans="1:1">
      <c r="A4814">
        <v>4813</v>
      </c>
    </row>
    <row r="4815" spans="1:1">
      <c r="A4815">
        <v>4814</v>
      </c>
    </row>
    <row r="4816" spans="1:1">
      <c r="A4816">
        <v>4815</v>
      </c>
    </row>
    <row r="4817" spans="1:1">
      <c r="A4817">
        <v>4816</v>
      </c>
    </row>
    <row r="4818" spans="1:1">
      <c r="A4818">
        <v>4817</v>
      </c>
    </row>
    <row r="4819" spans="1:1">
      <c r="A4819">
        <v>4818</v>
      </c>
    </row>
    <row r="4820" spans="1:1">
      <c r="A4820">
        <v>4819</v>
      </c>
    </row>
    <row r="4821" spans="1:1">
      <c r="A4821">
        <v>4820</v>
      </c>
    </row>
    <row r="4822" spans="1:1">
      <c r="A4822">
        <v>4821</v>
      </c>
    </row>
    <row r="4823" spans="1:1">
      <c r="A4823">
        <v>4822</v>
      </c>
    </row>
    <row r="4824" spans="1:1">
      <c r="A4824">
        <v>4823</v>
      </c>
    </row>
    <row r="4825" spans="1:1">
      <c r="A4825">
        <v>4824</v>
      </c>
    </row>
    <row r="4826" spans="1:1">
      <c r="A4826">
        <v>4825</v>
      </c>
    </row>
    <row r="4827" spans="1:1">
      <c r="A4827">
        <v>4826</v>
      </c>
    </row>
    <row r="4828" spans="1:1">
      <c r="A4828">
        <v>4827</v>
      </c>
    </row>
    <row r="4829" spans="1:1">
      <c r="A4829">
        <v>4828</v>
      </c>
    </row>
    <row r="4830" spans="1:1">
      <c r="A4830">
        <v>4829</v>
      </c>
    </row>
    <row r="4831" spans="1:1">
      <c r="A4831">
        <v>4830</v>
      </c>
    </row>
    <row r="4832" spans="1:1">
      <c r="A4832">
        <v>4831</v>
      </c>
    </row>
    <row r="4833" spans="1:1">
      <c r="A4833">
        <v>4832</v>
      </c>
    </row>
    <row r="4834" spans="1:1">
      <c r="A4834">
        <v>4833</v>
      </c>
    </row>
    <row r="4835" spans="1:1">
      <c r="A4835">
        <v>4834</v>
      </c>
    </row>
    <row r="4836" spans="1:1">
      <c r="A4836">
        <v>4835</v>
      </c>
    </row>
    <row r="4837" spans="1:1">
      <c r="A4837">
        <v>4836</v>
      </c>
    </row>
    <row r="4838" spans="1:1">
      <c r="A4838">
        <v>4837</v>
      </c>
    </row>
    <row r="4839" spans="1:1">
      <c r="A4839">
        <v>4838</v>
      </c>
    </row>
    <row r="4840" spans="1:1">
      <c r="A4840">
        <v>4839</v>
      </c>
    </row>
    <row r="4841" spans="1:1">
      <c r="A4841">
        <v>4840</v>
      </c>
    </row>
    <row r="4842" spans="1:1">
      <c r="A4842">
        <v>4841</v>
      </c>
    </row>
    <row r="4843" spans="1:1">
      <c r="A4843">
        <v>4842</v>
      </c>
    </row>
    <row r="4844" spans="1:1">
      <c r="A4844">
        <v>4843</v>
      </c>
    </row>
    <row r="4845" spans="1:1">
      <c r="A4845">
        <v>4844</v>
      </c>
    </row>
    <row r="4846" spans="1:1">
      <c r="A4846">
        <v>4845</v>
      </c>
    </row>
    <row r="4847" spans="1:1">
      <c r="A4847">
        <v>4846</v>
      </c>
    </row>
    <row r="4848" spans="1:1">
      <c r="A4848">
        <v>4847</v>
      </c>
    </row>
    <row r="4849" spans="1:1">
      <c r="A4849">
        <v>4848</v>
      </c>
    </row>
    <row r="4850" spans="1:1">
      <c r="A4850">
        <v>4849</v>
      </c>
    </row>
    <row r="4851" spans="1:1">
      <c r="A4851">
        <v>4850</v>
      </c>
    </row>
    <row r="4852" spans="1:1">
      <c r="A4852">
        <v>4851</v>
      </c>
    </row>
    <row r="4853" spans="1:1">
      <c r="A4853">
        <v>4852</v>
      </c>
    </row>
    <row r="4854" spans="1:1">
      <c r="A4854">
        <v>4853</v>
      </c>
    </row>
    <row r="4855" spans="1:1">
      <c r="A4855">
        <v>4854</v>
      </c>
    </row>
    <row r="4856" spans="1:1">
      <c r="A4856">
        <v>4855</v>
      </c>
    </row>
    <row r="4857" spans="1:1">
      <c r="A4857">
        <v>4856</v>
      </c>
    </row>
    <row r="4858" spans="1:1">
      <c r="A4858">
        <v>4857</v>
      </c>
    </row>
    <row r="4859" spans="1:1">
      <c r="A4859">
        <v>4858</v>
      </c>
    </row>
    <row r="4860" spans="1:1">
      <c r="A4860">
        <v>4859</v>
      </c>
    </row>
    <row r="4861" spans="1:1">
      <c r="A4861">
        <v>4860</v>
      </c>
    </row>
    <row r="4862" spans="1:1">
      <c r="A4862">
        <v>4861</v>
      </c>
    </row>
    <row r="4863" spans="1:1">
      <c r="A4863">
        <v>4862</v>
      </c>
    </row>
    <row r="4864" spans="1:1">
      <c r="A4864">
        <v>4863</v>
      </c>
    </row>
    <row r="4865" spans="1:1">
      <c r="A4865">
        <v>4864</v>
      </c>
    </row>
    <row r="4866" spans="1:1">
      <c r="A4866">
        <v>4865</v>
      </c>
    </row>
    <row r="4867" spans="1:1">
      <c r="A4867">
        <v>4866</v>
      </c>
    </row>
    <row r="4868" spans="1:1">
      <c r="A4868">
        <v>4867</v>
      </c>
    </row>
    <row r="4869" spans="1:1">
      <c r="A4869">
        <v>4868</v>
      </c>
    </row>
    <row r="4870" spans="1:1">
      <c r="A4870">
        <v>4869</v>
      </c>
    </row>
    <row r="4871" spans="1:1">
      <c r="A4871">
        <v>4870</v>
      </c>
    </row>
    <row r="4872" spans="1:1">
      <c r="A4872">
        <v>4871</v>
      </c>
    </row>
    <row r="4873" spans="1:1">
      <c r="A4873">
        <v>4872</v>
      </c>
    </row>
    <row r="4874" spans="1:1">
      <c r="A4874">
        <v>4873</v>
      </c>
    </row>
    <row r="4875" spans="1:1">
      <c r="A4875">
        <v>4874</v>
      </c>
    </row>
    <row r="4876" spans="1:1">
      <c r="A4876">
        <v>4875</v>
      </c>
    </row>
    <row r="4877" spans="1:1">
      <c r="A4877">
        <v>4876</v>
      </c>
    </row>
    <row r="4878" spans="1:1">
      <c r="A4878">
        <v>4877</v>
      </c>
    </row>
    <row r="4879" spans="1:1">
      <c r="A4879">
        <v>4878</v>
      </c>
    </row>
    <row r="4880" spans="1:1">
      <c r="A4880">
        <v>4879</v>
      </c>
    </row>
    <row r="4881" spans="1:1">
      <c r="A4881">
        <v>4880</v>
      </c>
    </row>
    <row r="4882" spans="1:1">
      <c r="A4882">
        <v>4881</v>
      </c>
    </row>
    <row r="4883" spans="1:1">
      <c r="A4883">
        <v>4882</v>
      </c>
    </row>
    <row r="4884" spans="1:1">
      <c r="A4884">
        <v>4883</v>
      </c>
    </row>
    <row r="4885" spans="1:1">
      <c r="A4885">
        <v>4884</v>
      </c>
    </row>
    <row r="4886" spans="1:1">
      <c r="A4886">
        <v>4885</v>
      </c>
    </row>
    <row r="4887" spans="1:1">
      <c r="A4887">
        <v>4886</v>
      </c>
    </row>
    <row r="4888" spans="1:1">
      <c r="A4888">
        <v>4887</v>
      </c>
    </row>
    <row r="4889" spans="1:1">
      <c r="A4889">
        <v>4888</v>
      </c>
    </row>
    <row r="4890" spans="1:1">
      <c r="A4890">
        <v>4889</v>
      </c>
    </row>
    <row r="4891" spans="1:1">
      <c r="A4891">
        <v>4890</v>
      </c>
    </row>
    <row r="4892" spans="1:1">
      <c r="A4892">
        <v>4891</v>
      </c>
    </row>
    <row r="4893" spans="1:1">
      <c r="A4893">
        <v>4892</v>
      </c>
    </row>
    <row r="4894" spans="1:1">
      <c r="A4894">
        <v>4893</v>
      </c>
    </row>
    <row r="4895" spans="1:1">
      <c r="A4895">
        <v>4894</v>
      </c>
    </row>
    <row r="4896" spans="1:1">
      <c r="A4896">
        <v>4895</v>
      </c>
    </row>
    <row r="4897" spans="1:1">
      <c r="A4897">
        <v>4896</v>
      </c>
    </row>
    <row r="4898" spans="1:1">
      <c r="A4898">
        <v>4897</v>
      </c>
    </row>
    <row r="4899" spans="1:1">
      <c r="A4899">
        <v>4898</v>
      </c>
    </row>
    <row r="4900" spans="1:1">
      <c r="A4900">
        <v>4899</v>
      </c>
    </row>
    <row r="4901" spans="1:1">
      <c r="A4901">
        <v>4900</v>
      </c>
    </row>
    <row r="4902" spans="1:1">
      <c r="A4902">
        <v>4901</v>
      </c>
    </row>
    <row r="4903" spans="1:1">
      <c r="A4903">
        <v>4902</v>
      </c>
    </row>
    <row r="4904" spans="1:1">
      <c r="A4904">
        <v>4903</v>
      </c>
    </row>
    <row r="4905" spans="1:1">
      <c r="A4905">
        <v>4904</v>
      </c>
    </row>
    <row r="4906" spans="1:1">
      <c r="A4906">
        <v>4905</v>
      </c>
    </row>
    <row r="4907" spans="1:1">
      <c r="A4907">
        <v>4906</v>
      </c>
    </row>
    <row r="4908" spans="1:1">
      <c r="A4908">
        <v>4907</v>
      </c>
    </row>
    <row r="4909" spans="1:1">
      <c r="A4909">
        <v>4908</v>
      </c>
    </row>
    <row r="4910" spans="1:1">
      <c r="A4910">
        <v>4909</v>
      </c>
    </row>
    <row r="4911" spans="1:1">
      <c r="A4911">
        <v>4910</v>
      </c>
    </row>
    <row r="4912" spans="1:1">
      <c r="A4912">
        <v>4911</v>
      </c>
    </row>
    <row r="4913" spans="1:1">
      <c r="A4913">
        <v>4912</v>
      </c>
    </row>
    <row r="4914" spans="1:1">
      <c r="A4914">
        <v>4913</v>
      </c>
    </row>
    <row r="4915" spans="1:1">
      <c r="A4915">
        <v>4914</v>
      </c>
    </row>
    <row r="4916" spans="1:1">
      <c r="A4916">
        <v>4915</v>
      </c>
    </row>
    <row r="4917" spans="1:1">
      <c r="A4917">
        <v>4916</v>
      </c>
    </row>
    <row r="4918" spans="1:1">
      <c r="A4918">
        <v>4917</v>
      </c>
    </row>
    <row r="4919" spans="1:1">
      <c r="A4919">
        <v>4918</v>
      </c>
    </row>
    <row r="4920" spans="1:1">
      <c r="A4920">
        <v>4919</v>
      </c>
    </row>
    <row r="4921" spans="1:1">
      <c r="A4921">
        <v>4920</v>
      </c>
    </row>
    <row r="4922" spans="1:1">
      <c r="A4922">
        <v>4921</v>
      </c>
    </row>
    <row r="4923" spans="1:1">
      <c r="A4923">
        <v>4922</v>
      </c>
    </row>
    <row r="4924" spans="1:1">
      <c r="A4924">
        <v>4923</v>
      </c>
    </row>
    <row r="4925" spans="1:1">
      <c r="A4925">
        <v>4924</v>
      </c>
    </row>
    <row r="4926" spans="1:1">
      <c r="A4926">
        <v>4925</v>
      </c>
    </row>
    <row r="4927" spans="1:1">
      <c r="A4927">
        <v>4926</v>
      </c>
    </row>
    <row r="4928" spans="1:1">
      <c r="A4928">
        <v>4927</v>
      </c>
    </row>
    <row r="4929" spans="1:1">
      <c r="A4929">
        <v>4928</v>
      </c>
    </row>
    <row r="4930" spans="1:1">
      <c r="A4930">
        <v>4929</v>
      </c>
    </row>
    <row r="4931" spans="1:1">
      <c r="A4931">
        <v>4930</v>
      </c>
    </row>
    <row r="4932" spans="1:1">
      <c r="A4932">
        <v>4931</v>
      </c>
    </row>
    <row r="4933" spans="1:1">
      <c r="A4933">
        <v>4932</v>
      </c>
    </row>
    <row r="4934" spans="1:1">
      <c r="A4934">
        <v>4933</v>
      </c>
    </row>
    <row r="4935" spans="1:1">
      <c r="A4935">
        <v>4934</v>
      </c>
    </row>
    <row r="4936" spans="1:1">
      <c r="A4936">
        <v>4935</v>
      </c>
    </row>
    <row r="4937" spans="1:1">
      <c r="A4937">
        <v>4936</v>
      </c>
    </row>
    <row r="4938" spans="1:1">
      <c r="A4938">
        <v>4937</v>
      </c>
    </row>
    <row r="4939" spans="1:1">
      <c r="A4939">
        <v>4938</v>
      </c>
    </row>
    <row r="4940" spans="1:1">
      <c r="A4940">
        <v>4939</v>
      </c>
    </row>
    <row r="4941" spans="1:1">
      <c r="A4941">
        <v>4940</v>
      </c>
    </row>
    <row r="4942" spans="1:1">
      <c r="A4942">
        <v>4941</v>
      </c>
    </row>
    <row r="4943" spans="1:1">
      <c r="A4943">
        <v>4942</v>
      </c>
    </row>
    <row r="4944" spans="1:1">
      <c r="A4944">
        <v>4943</v>
      </c>
    </row>
    <row r="4945" spans="1:1">
      <c r="A4945">
        <v>4944</v>
      </c>
    </row>
    <row r="4946" spans="1:1">
      <c r="A4946">
        <v>4945</v>
      </c>
    </row>
    <row r="4947" spans="1:1">
      <c r="A4947">
        <v>4946</v>
      </c>
    </row>
    <row r="4948" spans="1:1">
      <c r="A4948">
        <v>4947</v>
      </c>
    </row>
    <row r="4949" spans="1:1">
      <c r="A4949">
        <v>4948</v>
      </c>
    </row>
    <row r="4950" spans="1:1">
      <c r="A4950">
        <v>4949</v>
      </c>
    </row>
    <row r="4951" spans="1:1">
      <c r="A4951">
        <v>4950</v>
      </c>
    </row>
    <row r="4952" spans="1:1">
      <c r="A4952">
        <v>4951</v>
      </c>
    </row>
    <row r="4953" spans="1:1">
      <c r="A4953">
        <v>4952</v>
      </c>
    </row>
    <row r="4954" spans="1:1">
      <c r="A4954">
        <v>4953</v>
      </c>
    </row>
    <row r="4955" spans="1:1">
      <c r="A4955">
        <v>4954</v>
      </c>
    </row>
    <row r="4956" spans="1:1">
      <c r="A4956">
        <v>4955</v>
      </c>
    </row>
    <row r="4957" spans="1:1">
      <c r="A4957">
        <v>4956</v>
      </c>
    </row>
    <row r="4958" spans="1:1">
      <c r="A4958">
        <v>4957</v>
      </c>
    </row>
    <row r="4959" spans="1:1">
      <c r="A4959">
        <v>4958</v>
      </c>
    </row>
    <row r="4960" spans="1:1">
      <c r="A4960">
        <v>4959</v>
      </c>
    </row>
    <row r="4961" spans="1:1">
      <c r="A4961">
        <v>4960</v>
      </c>
    </row>
    <row r="4962" spans="1:1">
      <c r="A4962">
        <v>4961</v>
      </c>
    </row>
    <row r="4963" spans="1:1">
      <c r="A4963">
        <v>4962</v>
      </c>
    </row>
    <row r="4964" spans="1:1">
      <c r="A4964">
        <v>4963</v>
      </c>
    </row>
    <row r="4965" spans="1:1">
      <c r="A4965">
        <v>4964</v>
      </c>
    </row>
    <row r="4966" spans="1:1">
      <c r="A4966">
        <v>4965</v>
      </c>
    </row>
    <row r="4967" spans="1:1">
      <c r="A4967">
        <v>4966</v>
      </c>
    </row>
    <row r="4968" spans="1:1">
      <c r="A4968">
        <v>4967</v>
      </c>
    </row>
    <row r="4969" spans="1:1">
      <c r="A4969">
        <v>4968</v>
      </c>
    </row>
    <row r="4970" spans="1:1">
      <c r="A4970">
        <v>4969</v>
      </c>
    </row>
    <row r="4971" spans="1:1">
      <c r="A4971">
        <v>4970</v>
      </c>
    </row>
    <row r="4972" spans="1:1">
      <c r="A4972">
        <v>4971</v>
      </c>
    </row>
    <row r="4973" spans="1:1">
      <c r="A4973">
        <v>4972</v>
      </c>
    </row>
    <row r="4974" spans="1:1">
      <c r="A4974">
        <v>4973</v>
      </c>
    </row>
    <row r="4975" spans="1:1">
      <c r="A4975">
        <v>4974</v>
      </c>
    </row>
    <row r="4976" spans="1:1">
      <c r="A4976">
        <v>4975</v>
      </c>
    </row>
    <row r="4977" spans="1:1">
      <c r="A4977">
        <v>4976</v>
      </c>
    </row>
    <row r="4978" spans="1:1">
      <c r="A4978">
        <v>4977</v>
      </c>
    </row>
    <row r="4979" spans="1:1">
      <c r="A4979">
        <v>4978</v>
      </c>
    </row>
    <row r="4980" spans="1:1">
      <c r="A4980">
        <v>4979</v>
      </c>
    </row>
    <row r="4981" spans="1:1">
      <c r="A4981">
        <v>4980</v>
      </c>
    </row>
    <row r="4982" spans="1:1">
      <c r="A4982">
        <v>4981</v>
      </c>
    </row>
    <row r="4983" spans="1:1">
      <c r="A4983">
        <v>4982</v>
      </c>
    </row>
    <row r="4984" spans="1:1">
      <c r="A4984">
        <v>4983</v>
      </c>
    </row>
    <row r="4985" spans="1:1">
      <c r="A4985">
        <v>4984</v>
      </c>
    </row>
    <row r="4986" spans="1:1">
      <c r="A4986">
        <v>4985</v>
      </c>
    </row>
    <row r="4987" spans="1:1">
      <c r="A4987">
        <v>4986</v>
      </c>
    </row>
    <row r="4988" spans="1:1">
      <c r="A4988">
        <v>4987</v>
      </c>
    </row>
    <row r="4989" spans="1:1">
      <c r="A4989">
        <v>4988</v>
      </c>
    </row>
    <row r="4990" spans="1:1">
      <c r="A4990">
        <v>4989</v>
      </c>
    </row>
    <row r="4991" spans="1:1">
      <c r="A4991">
        <v>4990</v>
      </c>
    </row>
    <row r="4992" spans="1:1">
      <c r="A4992">
        <v>4991</v>
      </c>
    </row>
    <row r="4993" spans="1:1">
      <c r="A4993">
        <v>4992</v>
      </c>
    </row>
    <row r="4994" spans="1:1">
      <c r="A4994">
        <v>4993</v>
      </c>
    </row>
    <row r="4995" spans="1:1">
      <c r="A4995">
        <v>4994</v>
      </c>
    </row>
    <row r="4996" spans="1:1">
      <c r="A4996">
        <v>4995</v>
      </c>
    </row>
    <row r="4997" spans="1:1">
      <c r="A4997">
        <v>4996</v>
      </c>
    </row>
    <row r="4998" spans="1:1">
      <c r="A4998">
        <v>4997</v>
      </c>
    </row>
    <row r="4999" spans="1:1">
      <c r="A4999">
        <v>4998</v>
      </c>
    </row>
    <row r="5000" spans="1:1">
      <c r="A5000">
        <v>4999</v>
      </c>
    </row>
    <row r="5001" spans="1:1">
      <c r="A5001">
        <v>5000</v>
      </c>
    </row>
    <row r="5002" spans="1:1">
      <c r="A5002">
        <v>5001</v>
      </c>
    </row>
    <row r="5003" spans="1:1">
      <c r="A5003">
        <v>5002</v>
      </c>
    </row>
    <row r="5004" spans="1:1">
      <c r="A5004">
        <v>5003</v>
      </c>
    </row>
    <row r="5005" spans="1:1">
      <c r="A5005">
        <v>5004</v>
      </c>
    </row>
    <row r="5006" spans="1:1">
      <c r="A5006">
        <v>5005</v>
      </c>
    </row>
    <row r="5007" spans="1:1">
      <c r="A5007">
        <v>5006</v>
      </c>
    </row>
    <row r="5008" spans="1:1">
      <c r="A5008">
        <v>5007</v>
      </c>
    </row>
    <row r="5009" spans="1:1">
      <c r="A5009">
        <v>5008</v>
      </c>
    </row>
    <row r="5010" spans="1:1">
      <c r="A5010">
        <v>5009</v>
      </c>
    </row>
    <row r="5011" spans="1:1">
      <c r="A5011">
        <v>5010</v>
      </c>
    </row>
    <row r="5012" spans="1:1">
      <c r="A5012">
        <v>5011</v>
      </c>
    </row>
    <row r="5013" spans="1:1">
      <c r="A5013">
        <v>5012</v>
      </c>
    </row>
    <row r="5014" spans="1:1">
      <c r="A5014">
        <v>5013</v>
      </c>
    </row>
    <row r="5015" spans="1:1">
      <c r="A5015">
        <v>5014</v>
      </c>
    </row>
    <row r="5016" spans="1:1">
      <c r="A5016">
        <v>5015</v>
      </c>
    </row>
    <row r="5017" spans="1:1">
      <c r="A5017">
        <v>5016</v>
      </c>
    </row>
    <row r="5018" spans="1:1">
      <c r="A5018">
        <v>5017</v>
      </c>
    </row>
    <row r="5019" spans="1:1">
      <c r="A5019">
        <v>5018</v>
      </c>
    </row>
    <row r="5020" spans="1:1">
      <c r="A5020">
        <v>5019</v>
      </c>
    </row>
    <row r="5021" spans="1:1">
      <c r="A5021">
        <v>5020</v>
      </c>
    </row>
    <row r="5022" spans="1:1">
      <c r="A5022">
        <v>5021</v>
      </c>
    </row>
    <row r="5023" spans="1:1">
      <c r="A5023">
        <v>5022</v>
      </c>
    </row>
    <row r="5024" spans="1:1">
      <c r="A5024">
        <v>5023</v>
      </c>
    </row>
    <row r="5025" spans="1:1">
      <c r="A5025">
        <v>5024</v>
      </c>
    </row>
    <row r="5026" spans="1:1">
      <c r="A5026">
        <v>5025</v>
      </c>
    </row>
    <row r="5027" spans="1:1">
      <c r="A5027">
        <v>5026</v>
      </c>
    </row>
    <row r="5028" spans="1:1">
      <c r="A5028">
        <v>5027</v>
      </c>
    </row>
    <row r="5029" spans="1:1">
      <c r="A5029">
        <v>5028</v>
      </c>
    </row>
    <row r="5030" spans="1:1">
      <c r="A5030">
        <v>5029</v>
      </c>
    </row>
    <row r="5031" spans="1:1">
      <c r="A5031">
        <v>5030</v>
      </c>
    </row>
    <row r="5032" spans="1:1">
      <c r="A5032">
        <v>5031</v>
      </c>
    </row>
    <row r="5033" spans="1:1">
      <c r="A5033">
        <v>5032</v>
      </c>
    </row>
    <row r="5034" spans="1:1">
      <c r="A5034">
        <v>5033</v>
      </c>
    </row>
    <row r="5035" spans="1:1">
      <c r="A5035">
        <v>5034</v>
      </c>
    </row>
    <row r="5036" spans="1:1">
      <c r="A5036">
        <v>5035</v>
      </c>
    </row>
    <row r="5037" spans="1:1">
      <c r="A5037">
        <v>5036</v>
      </c>
    </row>
    <row r="5038" spans="1:1">
      <c r="A5038">
        <v>5037</v>
      </c>
    </row>
    <row r="5039" spans="1:1">
      <c r="A5039">
        <v>5038</v>
      </c>
    </row>
    <row r="5040" spans="1:1">
      <c r="A5040">
        <v>5039</v>
      </c>
    </row>
    <row r="5041" spans="1:1">
      <c r="A5041">
        <v>5040</v>
      </c>
    </row>
    <row r="5042" spans="1:1">
      <c r="A5042">
        <v>5041</v>
      </c>
    </row>
    <row r="5043" spans="1:1">
      <c r="A5043">
        <v>5042</v>
      </c>
    </row>
    <row r="5044" spans="1:1">
      <c r="A5044">
        <v>5043</v>
      </c>
    </row>
    <row r="5045" spans="1:1">
      <c r="A5045">
        <v>5044</v>
      </c>
    </row>
    <row r="5046" spans="1:1">
      <c r="A5046">
        <v>5045</v>
      </c>
    </row>
    <row r="5047" spans="1:1">
      <c r="A5047">
        <v>5046</v>
      </c>
    </row>
    <row r="5048" spans="1:1">
      <c r="A5048">
        <v>5047</v>
      </c>
    </row>
    <row r="5049" spans="1:1">
      <c r="A5049">
        <v>5048</v>
      </c>
    </row>
    <row r="5050" spans="1:1">
      <c r="A5050">
        <v>5049</v>
      </c>
    </row>
    <row r="5051" spans="1:1">
      <c r="A5051">
        <v>5050</v>
      </c>
    </row>
    <row r="5052" spans="1:1">
      <c r="A5052">
        <v>5051</v>
      </c>
    </row>
    <row r="5053" spans="1:1">
      <c r="A5053">
        <v>5052</v>
      </c>
    </row>
    <row r="5054" spans="1:1">
      <c r="A5054">
        <v>5053</v>
      </c>
    </row>
    <row r="5055" spans="1:1">
      <c r="A5055">
        <v>5054</v>
      </c>
    </row>
    <row r="5056" spans="1:1">
      <c r="A5056">
        <v>5055</v>
      </c>
    </row>
    <row r="5057" spans="1:1">
      <c r="A5057">
        <v>5056</v>
      </c>
    </row>
    <row r="5058" spans="1:1">
      <c r="A5058">
        <v>5057</v>
      </c>
    </row>
    <row r="5059" spans="1:1">
      <c r="A5059">
        <v>5058</v>
      </c>
    </row>
    <row r="5060" spans="1:1">
      <c r="A5060">
        <v>5059</v>
      </c>
    </row>
    <row r="5061" spans="1:1">
      <c r="A5061">
        <v>5060</v>
      </c>
    </row>
    <row r="5062" spans="1:1">
      <c r="A5062">
        <v>5061</v>
      </c>
    </row>
    <row r="5063" spans="1:1">
      <c r="A5063">
        <v>5062</v>
      </c>
    </row>
    <row r="5064" spans="1:1">
      <c r="A5064">
        <v>5063</v>
      </c>
    </row>
    <row r="5065" spans="1:1">
      <c r="A5065">
        <v>5064</v>
      </c>
    </row>
    <row r="5066" spans="1:1">
      <c r="A5066">
        <v>5065</v>
      </c>
    </row>
    <row r="5067" spans="1:1">
      <c r="A5067">
        <v>5066</v>
      </c>
    </row>
    <row r="5068" spans="1:1">
      <c r="A5068">
        <v>5067</v>
      </c>
    </row>
    <row r="5069" spans="1:1">
      <c r="A5069">
        <v>5068</v>
      </c>
    </row>
    <row r="5070" spans="1:1">
      <c r="A5070">
        <v>5069</v>
      </c>
    </row>
    <row r="5071" spans="1:1">
      <c r="A5071">
        <v>5070</v>
      </c>
    </row>
    <row r="5072" spans="1:1">
      <c r="A5072">
        <v>5071</v>
      </c>
    </row>
    <row r="5073" spans="1:1">
      <c r="A5073">
        <v>5072</v>
      </c>
    </row>
    <row r="5074" spans="1:1">
      <c r="A5074">
        <v>5073</v>
      </c>
    </row>
    <row r="5075" spans="1:1">
      <c r="A5075">
        <v>5074</v>
      </c>
    </row>
    <row r="5076" spans="1:1">
      <c r="A5076">
        <v>5075</v>
      </c>
    </row>
    <row r="5077" spans="1:1">
      <c r="A5077">
        <v>5076</v>
      </c>
    </row>
    <row r="5078" spans="1:1">
      <c r="A5078">
        <v>5077</v>
      </c>
    </row>
    <row r="5079" spans="1:1">
      <c r="A5079">
        <v>5078</v>
      </c>
    </row>
    <row r="5080" spans="1:1">
      <c r="A5080">
        <v>5079</v>
      </c>
    </row>
    <row r="5081" spans="1:1">
      <c r="A5081">
        <v>5080</v>
      </c>
    </row>
    <row r="5082" spans="1:1">
      <c r="A5082">
        <v>5081</v>
      </c>
    </row>
    <row r="5083" spans="1:1">
      <c r="A5083">
        <v>5082</v>
      </c>
    </row>
    <row r="5084" spans="1:1">
      <c r="A5084">
        <v>5083</v>
      </c>
    </row>
    <row r="5085" spans="1:1">
      <c r="A5085">
        <v>5084</v>
      </c>
    </row>
    <row r="5086" spans="1:1">
      <c r="A5086">
        <v>5085</v>
      </c>
    </row>
    <row r="5087" spans="1:1">
      <c r="A5087">
        <v>5086</v>
      </c>
    </row>
    <row r="5088" spans="1:1">
      <c r="A5088">
        <v>5087</v>
      </c>
    </row>
    <row r="5089" spans="1:1">
      <c r="A5089">
        <v>5088</v>
      </c>
    </row>
    <row r="5090" spans="1:1">
      <c r="A5090">
        <v>5089</v>
      </c>
    </row>
    <row r="5091" spans="1:1">
      <c r="A5091">
        <v>5090</v>
      </c>
    </row>
    <row r="5092" spans="1:1">
      <c r="A5092">
        <v>5091</v>
      </c>
    </row>
    <row r="5093" spans="1:1">
      <c r="A5093">
        <v>5092</v>
      </c>
    </row>
    <row r="5094" spans="1:1">
      <c r="A5094">
        <v>5093</v>
      </c>
    </row>
    <row r="5095" spans="1:1">
      <c r="A5095">
        <v>5094</v>
      </c>
    </row>
    <row r="5096" spans="1:1">
      <c r="A5096">
        <v>5095</v>
      </c>
    </row>
    <row r="5097" spans="1:1">
      <c r="A5097">
        <v>5096</v>
      </c>
    </row>
    <row r="5098" spans="1:1">
      <c r="A5098">
        <v>5097</v>
      </c>
    </row>
    <row r="5099" spans="1:1">
      <c r="A5099">
        <v>5098</v>
      </c>
    </row>
    <row r="5100" spans="1:1">
      <c r="A5100">
        <v>5099</v>
      </c>
    </row>
    <row r="5101" spans="1:1">
      <c r="A5101">
        <v>5100</v>
      </c>
    </row>
    <row r="5102" spans="1:1">
      <c r="A5102">
        <v>5101</v>
      </c>
    </row>
    <row r="5103" spans="1:1">
      <c r="A5103">
        <v>5102</v>
      </c>
    </row>
    <row r="5104" spans="1:1">
      <c r="A5104">
        <v>5103</v>
      </c>
    </row>
    <row r="5105" spans="1:1">
      <c r="A5105">
        <v>5104</v>
      </c>
    </row>
    <row r="5106" spans="1:1">
      <c r="A5106">
        <v>5105</v>
      </c>
    </row>
    <row r="5107" spans="1:1">
      <c r="A5107">
        <v>5106</v>
      </c>
    </row>
    <row r="5108" spans="1:1">
      <c r="A5108">
        <v>5107</v>
      </c>
    </row>
    <row r="5109" spans="1:1">
      <c r="A5109">
        <v>5108</v>
      </c>
    </row>
    <row r="5110" spans="1:1">
      <c r="A5110">
        <v>5109</v>
      </c>
    </row>
    <row r="5111" spans="1:1">
      <c r="A5111">
        <v>5110</v>
      </c>
    </row>
    <row r="5112" spans="1:1">
      <c r="A5112">
        <v>5111</v>
      </c>
    </row>
    <row r="5113" spans="1:1">
      <c r="A5113">
        <v>5112</v>
      </c>
    </row>
    <row r="5114" spans="1:1">
      <c r="A5114">
        <v>5113</v>
      </c>
    </row>
    <row r="5115" spans="1:1">
      <c r="A5115">
        <v>5114</v>
      </c>
    </row>
    <row r="5116" spans="1:1">
      <c r="A5116">
        <v>5115</v>
      </c>
    </row>
    <row r="5117" spans="1:1">
      <c r="A5117">
        <v>5116</v>
      </c>
    </row>
    <row r="5118" spans="1:1">
      <c r="A5118">
        <v>5117</v>
      </c>
    </row>
    <row r="5119" spans="1:1">
      <c r="A5119">
        <v>5118</v>
      </c>
    </row>
    <row r="5120" spans="1:1">
      <c r="A5120">
        <v>5119</v>
      </c>
    </row>
    <row r="5121" spans="1:1">
      <c r="A5121">
        <v>5120</v>
      </c>
    </row>
    <row r="5122" spans="1:1">
      <c r="A5122">
        <v>5121</v>
      </c>
    </row>
    <row r="5123" spans="1:1">
      <c r="A5123">
        <v>5122</v>
      </c>
    </row>
    <row r="5124" spans="1:1">
      <c r="A5124">
        <v>5123</v>
      </c>
    </row>
    <row r="5125" spans="1:1">
      <c r="A5125">
        <v>5124</v>
      </c>
    </row>
    <row r="5126" spans="1:1">
      <c r="A5126">
        <v>5125</v>
      </c>
    </row>
    <row r="5127" spans="1:1">
      <c r="A5127">
        <v>5126</v>
      </c>
    </row>
    <row r="5128" spans="1:1">
      <c r="A5128">
        <v>5127</v>
      </c>
    </row>
    <row r="5129" spans="1:1">
      <c r="A5129">
        <v>5128</v>
      </c>
    </row>
    <row r="5130" spans="1:1">
      <c r="A5130">
        <v>5129</v>
      </c>
    </row>
    <row r="5131" spans="1:1">
      <c r="A5131">
        <v>5130</v>
      </c>
    </row>
    <row r="5132" spans="1:1">
      <c r="A5132">
        <v>5131</v>
      </c>
    </row>
    <row r="5133" spans="1:1">
      <c r="A5133">
        <v>5132</v>
      </c>
    </row>
    <row r="5134" spans="1:1">
      <c r="A5134">
        <v>5133</v>
      </c>
    </row>
    <row r="5135" spans="1:1">
      <c r="A5135">
        <v>5134</v>
      </c>
    </row>
    <row r="5136" spans="1:1">
      <c r="A5136">
        <v>5135</v>
      </c>
    </row>
    <row r="5137" spans="1:1">
      <c r="A5137">
        <v>5136</v>
      </c>
    </row>
    <row r="5138" spans="1:1">
      <c r="A5138">
        <v>5137</v>
      </c>
    </row>
    <row r="5139" spans="1:1">
      <c r="A5139">
        <v>5138</v>
      </c>
    </row>
    <row r="5140" spans="1:1">
      <c r="A5140">
        <v>5139</v>
      </c>
    </row>
    <row r="5141" spans="1:1">
      <c r="A5141">
        <v>5140</v>
      </c>
    </row>
    <row r="5142" spans="1:1">
      <c r="A5142">
        <v>5141</v>
      </c>
    </row>
    <row r="5143" spans="1:1">
      <c r="A5143">
        <v>5142</v>
      </c>
    </row>
    <row r="5144" spans="1:1">
      <c r="A5144">
        <v>5143</v>
      </c>
    </row>
    <row r="5145" spans="1:1">
      <c r="A5145">
        <v>5144</v>
      </c>
    </row>
    <row r="5146" spans="1:1">
      <c r="A5146">
        <v>5145</v>
      </c>
    </row>
    <row r="5147" spans="1:1">
      <c r="A5147">
        <v>5146</v>
      </c>
    </row>
    <row r="5148" spans="1:1">
      <c r="A5148">
        <v>5147</v>
      </c>
    </row>
    <row r="5149" spans="1:1">
      <c r="A5149">
        <v>5148</v>
      </c>
    </row>
    <row r="5150" spans="1:1">
      <c r="A5150">
        <v>5149</v>
      </c>
    </row>
    <row r="5151" spans="1:1">
      <c r="A5151">
        <v>5150</v>
      </c>
    </row>
    <row r="5152" spans="1:1">
      <c r="A5152">
        <v>5151</v>
      </c>
    </row>
    <row r="5153" spans="1:1">
      <c r="A5153">
        <v>5152</v>
      </c>
    </row>
    <row r="5154" spans="1:1">
      <c r="A5154">
        <v>5153</v>
      </c>
    </row>
    <row r="5155" spans="1:1">
      <c r="A5155">
        <v>5154</v>
      </c>
    </row>
    <row r="5156" spans="1:1">
      <c r="A5156">
        <v>5155</v>
      </c>
    </row>
    <row r="5157" spans="1:1">
      <c r="A5157">
        <v>5156</v>
      </c>
    </row>
    <row r="5158" spans="1:1">
      <c r="A5158">
        <v>5157</v>
      </c>
    </row>
    <row r="5159" spans="1:1">
      <c r="A5159">
        <v>5158</v>
      </c>
    </row>
    <row r="5160" spans="1:1">
      <c r="A5160">
        <v>5159</v>
      </c>
    </row>
    <row r="5161" spans="1:1">
      <c r="A5161">
        <v>5160</v>
      </c>
    </row>
    <row r="5162" spans="1:1">
      <c r="A5162">
        <v>5161</v>
      </c>
    </row>
    <row r="5163" spans="1:1">
      <c r="A5163">
        <v>5162</v>
      </c>
    </row>
    <row r="5164" spans="1:1">
      <c r="A5164">
        <v>5163</v>
      </c>
    </row>
    <row r="5165" spans="1:1">
      <c r="A5165">
        <v>5164</v>
      </c>
    </row>
    <row r="5166" spans="1:1">
      <c r="A5166">
        <v>5165</v>
      </c>
    </row>
    <row r="5167" spans="1:1">
      <c r="A5167">
        <v>5166</v>
      </c>
    </row>
    <row r="5168" spans="1:1">
      <c r="A5168">
        <v>5167</v>
      </c>
    </row>
    <row r="5169" spans="1:1">
      <c r="A5169">
        <v>5168</v>
      </c>
    </row>
    <row r="5170" spans="1:1">
      <c r="A5170">
        <v>5169</v>
      </c>
    </row>
    <row r="5171" spans="1:1">
      <c r="A5171">
        <v>5170</v>
      </c>
    </row>
    <row r="5172" spans="1:1">
      <c r="A5172">
        <v>5171</v>
      </c>
    </row>
    <row r="5173" spans="1:1">
      <c r="A5173">
        <v>5172</v>
      </c>
    </row>
    <row r="5174" spans="1:1">
      <c r="A5174">
        <v>5173</v>
      </c>
    </row>
    <row r="5175" spans="1:1">
      <c r="A5175">
        <v>5174</v>
      </c>
    </row>
    <row r="5176" spans="1:1">
      <c r="A5176">
        <v>5175</v>
      </c>
    </row>
    <row r="5177" spans="1:1">
      <c r="A5177">
        <v>5176</v>
      </c>
    </row>
    <row r="5178" spans="1:1">
      <c r="A5178">
        <v>5177</v>
      </c>
    </row>
    <row r="5179" spans="1:1">
      <c r="A5179">
        <v>5178</v>
      </c>
    </row>
    <row r="5180" spans="1:1">
      <c r="A5180">
        <v>5179</v>
      </c>
    </row>
    <row r="5181" spans="1:1">
      <c r="A5181">
        <v>5180</v>
      </c>
    </row>
    <row r="5182" spans="1:1">
      <c r="A5182">
        <v>5181</v>
      </c>
    </row>
    <row r="5183" spans="1:1">
      <c r="A5183">
        <v>5182</v>
      </c>
    </row>
    <row r="5184" spans="1:1">
      <c r="A5184">
        <v>5183</v>
      </c>
    </row>
    <row r="5185" spans="1:1">
      <c r="A5185">
        <v>5184</v>
      </c>
    </row>
    <row r="5186" spans="1:1">
      <c r="A5186">
        <v>5185</v>
      </c>
    </row>
    <row r="5187" spans="1:1">
      <c r="A5187">
        <v>5186</v>
      </c>
    </row>
    <row r="5188" spans="1:1">
      <c r="A5188">
        <v>5187</v>
      </c>
    </row>
    <row r="5189" spans="1:1">
      <c r="A5189">
        <v>5188</v>
      </c>
    </row>
    <row r="5190" spans="1:1">
      <c r="A5190">
        <v>5189</v>
      </c>
    </row>
    <row r="5191" spans="1:1">
      <c r="A5191">
        <v>5190</v>
      </c>
    </row>
    <row r="5192" spans="1:1">
      <c r="A5192">
        <v>5191</v>
      </c>
    </row>
    <row r="5193" spans="1:1">
      <c r="A5193">
        <v>5192</v>
      </c>
    </row>
    <row r="5194" spans="1:1">
      <c r="A5194">
        <v>5193</v>
      </c>
    </row>
    <row r="5195" spans="1:1">
      <c r="A5195">
        <v>5194</v>
      </c>
    </row>
    <row r="5196" spans="1:1">
      <c r="A5196">
        <v>5195</v>
      </c>
    </row>
    <row r="5197" spans="1:1">
      <c r="A5197">
        <v>5196</v>
      </c>
    </row>
    <row r="5198" spans="1:1">
      <c r="A5198">
        <v>5197</v>
      </c>
    </row>
    <row r="5199" spans="1:1">
      <c r="A5199">
        <v>5198</v>
      </c>
    </row>
    <row r="5200" spans="1:1">
      <c r="A5200">
        <v>5199</v>
      </c>
    </row>
    <row r="5201" spans="1:1">
      <c r="A5201">
        <v>5200</v>
      </c>
    </row>
    <row r="5202" spans="1:1">
      <c r="A5202">
        <v>5201</v>
      </c>
    </row>
    <row r="5203" spans="1:1">
      <c r="A5203">
        <v>5202</v>
      </c>
    </row>
    <row r="5204" spans="1:1">
      <c r="A5204">
        <v>5203</v>
      </c>
    </row>
    <row r="5205" spans="1:1">
      <c r="A5205">
        <v>5204</v>
      </c>
    </row>
    <row r="5206" spans="1:1">
      <c r="A5206">
        <v>5205</v>
      </c>
    </row>
    <row r="5207" spans="1:1">
      <c r="A5207">
        <v>5206</v>
      </c>
    </row>
    <row r="5208" spans="1:1">
      <c r="A5208">
        <v>5207</v>
      </c>
    </row>
    <row r="5209" spans="1:1">
      <c r="A5209">
        <v>5208</v>
      </c>
    </row>
    <row r="5210" spans="1:1">
      <c r="A5210">
        <v>5209</v>
      </c>
    </row>
    <row r="5211" spans="1:1">
      <c r="A5211">
        <v>5210</v>
      </c>
    </row>
    <row r="5212" spans="1:1">
      <c r="A5212">
        <v>5211</v>
      </c>
    </row>
    <row r="5213" spans="1:1">
      <c r="A5213">
        <v>5212</v>
      </c>
    </row>
    <row r="5214" spans="1:1">
      <c r="A5214">
        <v>5213</v>
      </c>
    </row>
    <row r="5215" spans="1:1">
      <c r="A5215">
        <v>5214</v>
      </c>
    </row>
    <row r="5216" spans="1:1">
      <c r="A5216">
        <v>5215</v>
      </c>
    </row>
    <row r="5217" spans="1:1">
      <c r="A5217">
        <v>5216</v>
      </c>
    </row>
    <row r="5218" spans="1:1">
      <c r="A5218">
        <v>5217</v>
      </c>
    </row>
    <row r="5219" spans="1:1">
      <c r="A5219">
        <v>5218</v>
      </c>
    </row>
    <row r="5220" spans="1:1">
      <c r="A5220">
        <v>5219</v>
      </c>
    </row>
    <row r="5221" spans="1:1">
      <c r="A5221">
        <v>5220</v>
      </c>
    </row>
    <row r="5222" spans="1:1">
      <c r="A5222">
        <v>5221</v>
      </c>
    </row>
    <row r="5223" spans="1:1">
      <c r="A5223">
        <v>5222</v>
      </c>
    </row>
    <row r="5224" spans="1:1">
      <c r="A5224">
        <v>5223</v>
      </c>
    </row>
    <row r="5225" spans="1:1">
      <c r="A5225">
        <v>5224</v>
      </c>
    </row>
    <row r="5226" spans="1:1">
      <c r="A5226">
        <v>5225</v>
      </c>
    </row>
    <row r="5227" spans="1:1">
      <c r="A5227">
        <v>5226</v>
      </c>
    </row>
    <row r="5228" spans="1:1">
      <c r="A5228">
        <v>5227</v>
      </c>
    </row>
    <row r="5229" spans="1:1">
      <c r="A5229">
        <v>5228</v>
      </c>
    </row>
    <row r="5230" spans="1:1">
      <c r="A5230">
        <v>5229</v>
      </c>
    </row>
    <row r="5231" spans="1:1">
      <c r="A5231">
        <v>5230</v>
      </c>
    </row>
    <row r="5232" spans="1:1">
      <c r="A5232">
        <v>5231</v>
      </c>
    </row>
    <row r="5233" spans="1:1">
      <c r="A5233">
        <v>5232</v>
      </c>
    </row>
    <row r="5234" spans="1:1">
      <c r="A5234">
        <v>5233</v>
      </c>
    </row>
    <row r="5235" spans="1:1">
      <c r="A5235">
        <v>5234</v>
      </c>
    </row>
    <row r="5236" spans="1:1">
      <c r="A5236">
        <v>5235</v>
      </c>
    </row>
    <row r="5237" spans="1:1">
      <c r="A5237">
        <v>5236</v>
      </c>
    </row>
    <row r="5238" spans="1:1">
      <c r="A5238">
        <v>5237</v>
      </c>
    </row>
    <row r="5239" spans="1:1">
      <c r="A5239">
        <v>5238</v>
      </c>
    </row>
    <row r="5240" spans="1:1">
      <c r="A5240">
        <v>5239</v>
      </c>
    </row>
    <row r="5241" spans="1:1">
      <c r="A5241">
        <v>5240</v>
      </c>
    </row>
    <row r="5242" spans="1:1">
      <c r="A5242">
        <v>5241</v>
      </c>
    </row>
    <row r="5243" spans="1:1">
      <c r="A5243">
        <v>5242</v>
      </c>
    </row>
    <row r="5244" spans="1:1">
      <c r="A5244">
        <v>5243</v>
      </c>
    </row>
    <row r="5245" spans="1:1">
      <c r="A5245">
        <v>5244</v>
      </c>
    </row>
    <row r="5246" spans="1:1">
      <c r="A5246">
        <v>5245</v>
      </c>
    </row>
    <row r="5247" spans="1:1">
      <c r="A5247">
        <v>5246</v>
      </c>
    </row>
    <row r="5248" spans="1:1">
      <c r="A5248">
        <v>5247</v>
      </c>
    </row>
    <row r="5249" spans="1:1">
      <c r="A5249">
        <v>5248</v>
      </c>
    </row>
    <row r="5250" spans="1:1">
      <c r="A5250">
        <v>5249</v>
      </c>
    </row>
    <row r="5251" spans="1:1">
      <c r="A5251">
        <v>5250</v>
      </c>
    </row>
    <row r="5252" spans="1:1">
      <c r="A5252">
        <v>5251</v>
      </c>
    </row>
    <row r="5253" spans="1:1">
      <c r="A5253">
        <v>5252</v>
      </c>
    </row>
    <row r="5254" spans="1:1">
      <c r="A5254">
        <v>5253</v>
      </c>
    </row>
    <row r="5255" spans="1:1">
      <c r="A5255">
        <v>5254</v>
      </c>
    </row>
    <row r="5256" spans="1:1">
      <c r="A5256">
        <v>5255</v>
      </c>
    </row>
    <row r="5257" spans="1:1">
      <c r="A5257">
        <v>5256</v>
      </c>
    </row>
    <row r="5258" spans="1:1">
      <c r="A5258">
        <v>5257</v>
      </c>
    </row>
    <row r="5259" spans="1:1">
      <c r="A5259">
        <v>5258</v>
      </c>
    </row>
    <row r="5260" spans="1:1">
      <c r="A5260">
        <v>5259</v>
      </c>
    </row>
    <row r="5261" spans="1:1">
      <c r="A5261">
        <v>5260</v>
      </c>
    </row>
    <row r="5262" spans="1:1">
      <c r="A5262">
        <v>5261</v>
      </c>
    </row>
    <row r="5263" spans="1:1">
      <c r="A5263">
        <v>5262</v>
      </c>
    </row>
    <row r="5264" spans="1:1">
      <c r="A5264">
        <v>5263</v>
      </c>
    </row>
    <row r="5265" spans="1:1">
      <c r="A5265">
        <v>5264</v>
      </c>
    </row>
    <row r="5266" spans="1:1">
      <c r="A5266">
        <v>5265</v>
      </c>
    </row>
    <row r="5267" spans="1:1">
      <c r="A5267">
        <v>5266</v>
      </c>
    </row>
    <row r="5268" spans="1:1">
      <c r="A5268">
        <v>5267</v>
      </c>
    </row>
    <row r="5269" spans="1:1">
      <c r="A5269">
        <v>5268</v>
      </c>
    </row>
    <row r="5270" spans="1:1">
      <c r="A5270">
        <v>5269</v>
      </c>
    </row>
    <row r="5271" spans="1:1">
      <c r="A5271">
        <v>5270</v>
      </c>
    </row>
    <row r="5272" spans="1:1">
      <c r="A5272">
        <v>5271</v>
      </c>
    </row>
    <row r="5273" spans="1:1">
      <c r="A5273">
        <v>5272</v>
      </c>
    </row>
    <row r="5274" spans="1:1">
      <c r="A5274">
        <v>5273</v>
      </c>
    </row>
    <row r="5275" spans="1:1">
      <c r="A5275">
        <v>5274</v>
      </c>
    </row>
    <row r="5276" spans="1:1">
      <c r="A5276">
        <v>5275</v>
      </c>
    </row>
    <row r="5277" spans="1:1">
      <c r="A5277">
        <v>5276</v>
      </c>
    </row>
    <row r="5278" spans="1:1">
      <c r="A5278">
        <v>5277</v>
      </c>
    </row>
    <row r="5279" spans="1:1">
      <c r="A5279">
        <v>5278</v>
      </c>
    </row>
    <row r="5280" spans="1:1">
      <c r="A5280">
        <v>5279</v>
      </c>
    </row>
    <row r="5281" spans="1:1">
      <c r="A5281">
        <v>5280</v>
      </c>
    </row>
    <row r="5282" spans="1:1">
      <c r="A5282">
        <v>5281</v>
      </c>
    </row>
    <row r="5283" spans="1:1">
      <c r="A5283">
        <v>5282</v>
      </c>
    </row>
    <row r="5284" spans="1:1">
      <c r="A5284">
        <v>5283</v>
      </c>
    </row>
    <row r="5285" spans="1:1">
      <c r="A5285">
        <v>5284</v>
      </c>
    </row>
    <row r="5286" spans="1:1">
      <c r="A5286">
        <v>5285</v>
      </c>
    </row>
    <row r="5287" spans="1:1">
      <c r="A5287">
        <v>5286</v>
      </c>
    </row>
    <row r="5288" spans="1:1">
      <c r="A5288">
        <v>5287</v>
      </c>
    </row>
    <row r="5289" spans="1:1">
      <c r="A5289">
        <v>5288</v>
      </c>
    </row>
    <row r="5290" spans="1:1">
      <c r="A5290">
        <v>5289</v>
      </c>
    </row>
    <row r="5291" spans="1:1">
      <c r="A5291">
        <v>5290</v>
      </c>
    </row>
    <row r="5292" spans="1:1">
      <c r="A5292">
        <v>5291</v>
      </c>
    </row>
    <row r="5293" spans="1:1">
      <c r="A5293">
        <v>5292</v>
      </c>
    </row>
    <row r="5294" spans="1:1">
      <c r="A5294">
        <v>5293</v>
      </c>
    </row>
    <row r="5295" spans="1:1">
      <c r="A5295">
        <v>5294</v>
      </c>
    </row>
    <row r="5296" spans="1:1">
      <c r="A5296">
        <v>5295</v>
      </c>
    </row>
    <row r="5297" spans="1:1">
      <c r="A5297">
        <v>5296</v>
      </c>
    </row>
    <row r="5298" spans="1:1">
      <c r="A5298">
        <v>5297</v>
      </c>
    </row>
    <row r="5299" spans="1:1">
      <c r="A5299">
        <v>5298</v>
      </c>
    </row>
    <row r="5300" spans="1:1">
      <c r="A5300">
        <v>5299</v>
      </c>
    </row>
    <row r="5301" spans="1:1">
      <c r="A5301">
        <v>5300</v>
      </c>
    </row>
    <row r="5302" spans="1:1">
      <c r="A5302">
        <v>5301</v>
      </c>
    </row>
    <row r="5303" spans="1:1">
      <c r="A5303">
        <v>5302</v>
      </c>
    </row>
    <row r="5304" spans="1:1">
      <c r="A5304">
        <v>5303</v>
      </c>
    </row>
    <row r="5305" spans="1:1">
      <c r="A5305">
        <v>5304</v>
      </c>
    </row>
    <row r="5306" spans="1:1">
      <c r="A5306">
        <v>5305</v>
      </c>
    </row>
    <row r="5307" spans="1:1">
      <c r="A5307">
        <v>5306</v>
      </c>
    </row>
    <row r="5308" spans="1:1">
      <c r="A5308">
        <v>5307</v>
      </c>
    </row>
    <row r="5309" spans="1:1">
      <c r="A5309">
        <v>5308</v>
      </c>
    </row>
    <row r="5310" spans="1:1">
      <c r="A5310">
        <v>5309</v>
      </c>
    </row>
    <row r="5311" spans="1:1">
      <c r="A5311">
        <v>5310</v>
      </c>
    </row>
    <row r="5312" spans="1:1">
      <c r="A5312">
        <v>5311</v>
      </c>
    </row>
    <row r="5313" spans="1:1">
      <c r="A5313">
        <v>5312</v>
      </c>
    </row>
    <row r="5314" spans="1:1">
      <c r="A5314">
        <v>5313</v>
      </c>
    </row>
    <row r="5315" spans="1:1">
      <c r="A5315">
        <v>5314</v>
      </c>
    </row>
    <row r="5316" spans="1:1">
      <c r="A5316">
        <v>5315</v>
      </c>
    </row>
    <row r="5317" spans="1:1">
      <c r="A5317">
        <v>5316</v>
      </c>
    </row>
    <row r="5318" spans="1:1">
      <c r="A5318">
        <v>5317</v>
      </c>
    </row>
    <row r="5319" spans="1:1">
      <c r="A5319">
        <v>5318</v>
      </c>
    </row>
    <row r="5320" spans="1:1">
      <c r="A5320">
        <v>5319</v>
      </c>
    </row>
    <row r="5321" spans="1:1">
      <c r="A5321">
        <v>5320</v>
      </c>
    </row>
    <row r="5322" spans="1:1">
      <c r="A5322">
        <v>5321</v>
      </c>
    </row>
    <row r="5323" spans="1:1">
      <c r="A5323">
        <v>5322</v>
      </c>
    </row>
    <row r="5324" spans="1:1">
      <c r="A5324">
        <v>5323</v>
      </c>
    </row>
    <row r="5325" spans="1:1">
      <c r="A5325">
        <v>5324</v>
      </c>
    </row>
    <row r="5326" spans="1:1">
      <c r="A5326">
        <v>5325</v>
      </c>
    </row>
    <row r="5327" spans="1:1">
      <c r="A5327">
        <v>5326</v>
      </c>
    </row>
    <row r="5328" spans="1:1">
      <c r="A5328">
        <v>5327</v>
      </c>
    </row>
    <row r="5329" spans="1:1">
      <c r="A5329">
        <v>5328</v>
      </c>
    </row>
    <row r="5330" spans="1:1">
      <c r="A5330">
        <v>5329</v>
      </c>
    </row>
    <row r="5331" spans="1:1">
      <c r="A5331">
        <v>5330</v>
      </c>
    </row>
    <row r="5332" spans="1:1">
      <c r="A5332">
        <v>5331</v>
      </c>
    </row>
    <row r="5333" spans="1:1">
      <c r="A5333">
        <v>5332</v>
      </c>
    </row>
    <row r="5334" spans="1:1">
      <c r="A5334">
        <v>5333</v>
      </c>
    </row>
    <row r="5335" spans="1:1">
      <c r="A5335">
        <v>5334</v>
      </c>
    </row>
    <row r="5336" spans="1:1">
      <c r="A5336">
        <v>5335</v>
      </c>
    </row>
    <row r="5337" spans="1:1">
      <c r="A5337">
        <v>5336</v>
      </c>
    </row>
    <row r="5338" spans="1:1">
      <c r="A5338">
        <v>5337</v>
      </c>
    </row>
    <row r="5339" spans="1:1">
      <c r="A5339">
        <v>5338</v>
      </c>
    </row>
    <row r="5340" spans="1:1">
      <c r="A5340">
        <v>5339</v>
      </c>
    </row>
    <row r="5341" spans="1:1">
      <c r="A5341">
        <v>5340</v>
      </c>
    </row>
    <row r="5342" spans="1:1">
      <c r="A5342">
        <v>5341</v>
      </c>
    </row>
    <row r="5343" spans="1:1">
      <c r="A5343">
        <v>5342</v>
      </c>
    </row>
    <row r="5344" spans="1:1">
      <c r="A5344">
        <v>5343</v>
      </c>
    </row>
    <row r="5345" spans="1:1">
      <c r="A5345">
        <v>5344</v>
      </c>
    </row>
    <row r="5346" spans="1:1">
      <c r="A5346">
        <v>5345</v>
      </c>
    </row>
    <row r="5347" spans="1:1">
      <c r="A5347">
        <v>5346</v>
      </c>
    </row>
    <row r="5348" spans="1:1">
      <c r="A5348">
        <v>5347</v>
      </c>
    </row>
    <row r="5349" spans="1:1">
      <c r="A5349">
        <v>5348</v>
      </c>
    </row>
    <row r="5350" spans="1:1">
      <c r="A5350">
        <v>5349</v>
      </c>
    </row>
    <row r="5351" spans="1:1">
      <c r="A5351">
        <v>5350</v>
      </c>
    </row>
    <row r="5352" spans="1:1">
      <c r="A5352">
        <v>5351</v>
      </c>
    </row>
    <row r="5353" spans="1:1">
      <c r="A5353">
        <v>5352</v>
      </c>
    </row>
    <row r="5354" spans="1:1">
      <c r="A5354">
        <v>5353</v>
      </c>
    </row>
    <row r="5355" spans="1:1">
      <c r="A5355">
        <v>5354</v>
      </c>
    </row>
    <row r="5356" spans="1:1">
      <c r="A5356">
        <v>5355</v>
      </c>
    </row>
    <row r="5357" spans="1:1">
      <c r="A5357">
        <v>5356</v>
      </c>
    </row>
    <row r="5358" spans="1:1">
      <c r="A5358">
        <v>5357</v>
      </c>
    </row>
    <row r="5359" spans="1:1">
      <c r="A5359">
        <v>5358</v>
      </c>
    </row>
    <row r="5360" spans="1:1">
      <c r="A5360">
        <v>5359</v>
      </c>
    </row>
    <row r="5361" spans="1:1">
      <c r="A5361">
        <v>5360</v>
      </c>
    </row>
    <row r="5362" spans="1:1">
      <c r="A5362">
        <v>5361</v>
      </c>
    </row>
    <row r="5363" spans="1:1">
      <c r="A5363">
        <v>5362</v>
      </c>
    </row>
    <row r="5364" spans="1:1">
      <c r="A5364">
        <v>5363</v>
      </c>
    </row>
    <row r="5365" spans="1:1">
      <c r="A5365">
        <v>5364</v>
      </c>
    </row>
    <row r="5366" spans="1:1">
      <c r="A5366">
        <v>5365</v>
      </c>
    </row>
    <row r="5367" spans="1:1">
      <c r="A5367">
        <v>5366</v>
      </c>
    </row>
    <row r="5368" spans="1:1">
      <c r="A5368">
        <v>5367</v>
      </c>
    </row>
    <row r="5369" spans="1:1">
      <c r="A5369">
        <v>5368</v>
      </c>
    </row>
    <row r="5370" spans="1:1">
      <c r="A5370">
        <v>5369</v>
      </c>
    </row>
    <row r="5371" spans="1:1">
      <c r="A5371">
        <v>5370</v>
      </c>
    </row>
    <row r="5372" spans="1:1">
      <c r="A5372">
        <v>5371</v>
      </c>
    </row>
    <row r="5373" spans="1:1">
      <c r="A5373">
        <v>5372</v>
      </c>
    </row>
    <row r="5374" spans="1:1">
      <c r="A5374">
        <v>5373</v>
      </c>
    </row>
    <row r="5375" spans="1:1">
      <c r="A5375">
        <v>5374</v>
      </c>
    </row>
    <row r="5376" spans="1:1">
      <c r="A5376">
        <v>5375</v>
      </c>
    </row>
    <row r="5377" spans="1:1">
      <c r="A5377">
        <v>5376</v>
      </c>
    </row>
    <row r="5378" spans="1:1">
      <c r="A5378">
        <v>5377</v>
      </c>
    </row>
    <row r="5379" spans="1:1">
      <c r="A5379">
        <v>5378</v>
      </c>
    </row>
    <row r="5380" spans="1:1">
      <c r="A5380">
        <v>5379</v>
      </c>
    </row>
    <row r="5381" spans="1:1">
      <c r="A5381">
        <v>5380</v>
      </c>
    </row>
    <row r="5382" spans="1:1">
      <c r="A5382">
        <v>5381</v>
      </c>
    </row>
    <row r="5383" spans="1:1">
      <c r="A5383">
        <v>5382</v>
      </c>
    </row>
    <row r="5384" spans="1:1">
      <c r="A5384">
        <v>5383</v>
      </c>
    </row>
    <row r="5385" spans="1:1">
      <c r="A5385">
        <v>5384</v>
      </c>
    </row>
    <row r="5386" spans="1:1">
      <c r="A5386">
        <v>5385</v>
      </c>
    </row>
    <row r="5387" spans="1:1">
      <c r="A5387">
        <v>5386</v>
      </c>
    </row>
    <row r="5388" spans="1:1">
      <c r="A5388">
        <v>5387</v>
      </c>
    </row>
    <row r="5389" spans="1:1">
      <c r="A5389">
        <v>5388</v>
      </c>
    </row>
    <row r="5390" spans="1:1">
      <c r="A5390">
        <v>5389</v>
      </c>
    </row>
    <row r="5391" spans="1:1">
      <c r="A5391">
        <v>5390</v>
      </c>
    </row>
    <row r="5392" spans="1:1">
      <c r="A5392">
        <v>5391</v>
      </c>
    </row>
    <row r="5393" spans="1:1">
      <c r="A5393">
        <v>5392</v>
      </c>
    </row>
    <row r="5394" spans="1:1">
      <c r="A5394">
        <v>5393</v>
      </c>
    </row>
    <row r="5395" spans="1:1">
      <c r="A5395">
        <v>5394</v>
      </c>
    </row>
    <row r="5396" spans="1:1">
      <c r="A5396">
        <v>5395</v>
      </c>
    </row>
    <row r="5397" spans="1:1">
      <c r="A5397">
        <v>5396</v>
      </c>
    </row>
    <row r="5398" spans="1:1">
      <c r="A5398">
        <v>5397</v>
      </c>
    </row>
    <row r="5399" spans="1:1">
      <c r="A5399">
        <v>5398</v>
      </c>
    </row>
    <row r="5400" spans="1:1">
      <c r="A5400">
        <v>5399</v>
      </c>
    </row>
    <row r="5401" spans="1:1">
      <c r="A5401">
        <v>5400</v>
      </c>
    </row>
    <row r="5402" spans="1:1">
      <c r="A5402">
        <v>5401</v>
      </c>
    </row>
    <row r="5403" spans="1:1">
      <c r="A5403">
        <v>5402</v>
      </c>
    </row>
    <row r="5404" spans="1:1">
      <c r="A5404">
        <v>5403</v>
      </c>
    </row>
    <row r="5405" spans="1:1">
      <c r="A5405">
        <v>5404</v>
      </c>
    </row>
    <row r="5406" spans="1:1">
      <c r="A5406">
        <v>5405</v>
      </c>
    </row>
    <row r="5407" spans="1:1">
      <c r="A5407">
        <v>5406</v>
      </c>
    </row>
    <row r="5408" spans="1:1">
      <c r="A5408">
        <v>5407</v>
      </c>
    </row>
    <row r="5409" spans="1:1">
      <c r="A5409">
        <v>5408</v>
      </c>
    </row>
    <row r="5410" spans="1:1">
      <c r="A5410">
        <v>5409</v>
      </c>
    </row>
    <row r="5411" spans="1:1">
      <c r="A5411">
        <v>5410</v>
      </c>
    </row>
    <row r="5412" spans="1:1">
      <c r="A5412">
        <v>5411</v>
      </c>
    </row>
    <row r="5413" spans="1:1">
      <c r="A5413">
        <v>5412</v>
      </c>
    </row>
    <row r="5414" spans="1:1">
      <c r="A5414">
        <v>5413</v>
      </c>
    </row>
    <row r="5415" spans="1:1">
      <c r="A5415">
        <v>5414</v>
      </c>
    </row>
    <row r="5416" spans="1:1">
      <c r="A5416">
        <v>5415</v>
      </c>
    </row>
    <row r="5417" spans="1:1">
      <c r="A5417">
        <v>5416</v>
      </c>
    </row>
    <row r="5418" spans="1:1">
      <c r="A5418">
        <v>5417</v>
      </c>
    </row>
    <row r="5419" spans="1:1">
      <c r="A5419">
        <v>5418</v>
      </c>
    </row>
    <row r="5420" spans="1:1">
      <c r="A5420">
        <v>5419</v>
      </c>
    </row>
    <row r="5421" spans="1:1">
      <c r="A5421">
        <v>5420</v>
      </c>
    </row>
    <row r="5422" spans="1:1">
      <c r="A5422">
        <v>5421</v>
      </c>
    </row>
    <row r="5423" spans="1:1">
      <c r="A5423">
        <v>5422</v>
      </c>
    </row>
    <row r="5424" spans="1:1">
      <c r="A5424">
        <v>5423</v>
      </c>
    </row>
    <row r="5425" spans="1:1">
      <c r="A5425">
        <v>5424</v>
      </c>
    </row>
    <row r="5426" spans="1:1">
      <c r="A5426">
        <v>5425</v>
      </c>
    </row>
    <row r="5427" spans="1:1">
      <c r="A5427">
        <v>5426</v>
      </c>
    </row>
    <row r="5428" spans="1:1">
      <c r="A5428">
        <v>5427</v>
      </c>
    </row>
    <row r="5429" spans="1:1">
      <c r="A5429">
        <v>5428</v>
      </c>
    </row>
    <row r="5430" spans="1:1">
      <c r="A5430">
        <v>5429</v>
      </c>
    </row>
    <row r="5431" spans="1:1">
      <c r="A5431">
        <v>5430</v>
      </c>
    </row>
    <row r="5432" spans="1:1">
      <c r="A5432">
        <v>5431</v>
      </c>
    </row>
    <row r="5433" spans="1:1">
      <c r="A5433">
        <v>5432</v>
      </c>
    </row>
    <row r="5434" spans="1:1">
      <c r="A5434">
        <v>5433</v>
      </c>
    </row>
    <row r="5435" spans="1:1">
      <c r="A5435">
        <v>5434</v>
      </c>
    </row>
    <row r="5436" spans="1:1">
      <c r="A5436">
        <v>5435</v>
      </c>
    </row>
    <row r="5437" spans="1:1">
      <c r="A5437">
        <v>5436</v>
      </c>
    </row>
    <row r="5438" spans="1:1">
      <c r="A5438">
        <v>5437</v>
      </c>
    </row>
    <row r="5439" spans="1:1">
      <c r="A5439">
        <v>5438</v>
      </c>
    </row>
    <row r="5440" spans="1:1">
      <c r="A5440">
        <v>5439</v>
      </c>
    </row>
    <row r="5441" spans="1:1">
      <c r="A5441">
        <v>5440</v>
      </c>
    </row>
    <row r="5442" spans="1:1">
      <c r="A5442">
        <v>5441</v>
      </c>
    </row>
    <row r="5443" spans="1:1">
      <c r="A5443">
        <v>5442</v>
      </c>
    </row>
    <row r="5444" spans="1:1">
      <c r="A5444">
        <v>5443</v>
      </c>
    </row>
    <row r="5445" spans="1:1">
      <c r="A5445">
        <v>5444</v>
      </c>
    </row>
    <row r="5446" spans="1:1">
      <c r="A5446">
        <v>5445</v>
      </c>
    </row>
    <row r="5447" spans="1:1">
      <c r="A5447">
        <v>5446</v>
      </c>
    </row>
    <row r="5448" spans="1:1">
      <c r="A5448">
        <v>5447</v>
      </c>
    </row>
    <row r="5449" spans="1:1">
      <c r="A5449">
        <v>5448</v>
      </c>
    </row>
    <row r="5450" spans="1:1">
      <c r="A5450">
        <v>5449</v>
      </c>
    </row>
    <row r="5451" spans="1:1">
      <c r="A5451">
        <v>5450</v>
      </c>
    </row>
    <row r="5452" spans="1:1">
      <c r="A5452">
        <v>5451</v>
      </c>
    </row>
    <row r="5453" spans="1:1">
      <c r="A5453">
        <v>5452</v>
      </c>
    </row>
    <row r="5454" spans="1:1">
      <c r="A5454">
        <v>5453</v>
      </c>
    </row>
    <row r="5455" spans="1:1">
      <c r="A5455">
        <v>5454</v>
      </c>
    </row>
    <row r="5456" spans="1:1">
      <c r="A5456">
        <v>5455</v>
      </c>
    </row>
    <row r="5457" spans="1:1">
      <c r="A5457">
        <v>5456</v>
      </c>
    </row>
    <row r="5458" spans="1:1">
      <c r="A5458">
        <v>5457</v>
      </c>
    </row>
    <row r="5459" spans="1:1">
      <c r="A5459">
        <v>5458</v>
      </c>
    </row>
    <row r="5460" spans="1:1">
      <c r="A5460">
        <v>5459</v>
      </c>
    </row>
    <row r="5461" spans="1:1">
      <c r="A5461">
        <v>5460</v>
      </c>
    </row>
    <row r="5462" spans="1:1">
      <c r="A5462">
        <v>5461</v>
      </c>
    </row>
    <row r="5463" spans="1:1">
      <c r="A5463">
        <v>5462</v>
      </c>
    </row>
    <row r="5464" spans="1:1">
      <c r="A5464">
        <v>5463</v>
      </c>
    </row>
    <row r="5465" spans="1:1">
      <c r="A5465">
        <v>5464</v>
      </c>
    </row>
    <row r="5466" spans="1:1">
      <c r="A5466">
        <v>5465</v>
      </c>
    </row>
    <row r="5467" spans="1:1">
      <c r="A5467">
        <v>5466</v>
      </c>
    </row>
    <row r="5468" spans="1:1">
      <c r="A5468">
        <v>5467</v>
      </c>
    </row>
    <row r="5469" spans="1:1">
      <c r="A5469">
        <v>5468</v>
      </c>
    </row>
    <row r="5470" spans="1:1">
      <c r="A5470">
        <v>5469</v>
      </c>
    </row>
    <row r="5471" spans="1:1">
      <c r="A5471">
        <v>5470</v>
      </c>
    </row>
    <row r="5472" spans="1:1">
      <c r="A5472">
        <v>5471</v>
      </c>
    </row>
    <row r="5473" spans="1:1">
      <c r="A5473">
        <v>5472</v>
      </c>
    </row>
    <row r="5474" spans="1:1">
      <c r="A5474">
        <v>5473</v>
      </c>
    </row>
    <row r="5475" spans="1:1">
      <c r="A5475">
        <v>5474</v>
      </c>
    </row>
    <row r="5476" spans="1:1">
      <c r="A5476">
        <v>5475</v>
      </c>
    </row>
    <row r="5477" spans="1:1">
      <c r="A5477">
        <v>5476</v>
      </c>
    </row>
    <row r="5478" spans="1:1">
      <c r="A5478">
        <v>5477</v>
      </c>
    </row>
    <row r="5479" spans="1:1">
      <c r="A5479">
        <v>5478</v>
      </c>
    </row>
    <row r="5480" spans="1:1">
      <c r="A5480">
        <v>5479</v>
      </c>
    </row>
    <row r="5481" spans="1:1">
      <c r="A5481">
        <v>5480</v>
      </c>
    </row>
    <row r="5482" spans="1:1">
      <c r="A5482">
        <v>5481</v>
      </c>
    </row>
    <row r="5483" spans="1:1">
      <c r="A5483">
        <v>5482</v>
      </c>
    </row>
    <row r="5484" spans="1:1">
      <c r="A5484">
        <v>5483</v>
      </c>
    </row>
    <row r="5485" spans="1:1">
      <c r="A5485">
        <v>5484</v>
      </c>
    </row>
    <row r="5486" spans="1:1">
      <c r="A5486">
        <v>5485</v>
      </c>
    </row>
    <row r="5487" spans="1:1">
      <c r="A5487">
        <v>5486</v>
      </c>
    </row>
    <row r="5488" spans="1:1">
      <c r="A5488">
        <v>5487</v>
      </c>
    </row>
    <row r="5489" spans="1:1">
      <c r="A5489">
        <v>5488</v>
      </c>
    </row>
    <row r="5490" spans="1:1">
      <c r="A5490">
        <v>5489</v>
      </c>
    </row>
    <row r="5491" spans="1:1">
      <c r="A5491">
        <v>5490</v>
      </c>
    </row>
    <row r="5492" spans="1:1">
      <c r="A5492">
        <v>5491</v>
      </c>
    </row>
    <row r="5493" spans="1:1">
      <c r="A5493">
        <v>5492</v>
      </c>
    </row>
    <row r="5494" spans="1:1">
      <c r="A5494">
        <v>5493</v>
      </c>
    </row>
    <row r="5495" spans="1:1">
      <c r="A5495">
        <v>5494</v>
      </c>
    </row>
    <row r="5496" spans="1:1">
      <c r="A5496">
        <v>5495</v>
      </c>
    </row>
    <row r="5497" spans="1:1">
      <c r="A5497">
        <v>5496</v>
      </c>
    </row>
    <row r="5498" spans="1:1">
      <c r="A5498">
        <v>5497</v>
      </c>
    </row>
    <row r="5499" spans="1:1">
      <c r="A5499">
        <v>5498</v>
      </c>
    </row>
    <row r="5500" spans="1:1">
      <c r="A5500">
        <v>5499</v>
      </c>
    </row>
    <row r="5501" spans="1:1">
      <c r="A5501">
        <v>5500</v>
      </c>
    </row>
    <row r="5502" spans="1:1">
      <c r="A5502">
        <v>5501</v>
      </c>
    </row>
    <row r="5503" spans="1:1">
      <c r="A5503">
        <v>5502</v>
      </c>
    </row>
    <row r="5504" spans="1:1">
      <c r="A5504">
        <v>5503</v>
      </c>
    </row>
    <row r="5505" spans="1:1">
      <c r="A5505">
        <v>5504</v>
      </c>
    </row>
    <row r="5506" spans="1:1">
      <c r="A5506">
        <v>5505</v>
      </c>
    </row>
    <row r="5507" spans="1:1">
      <c r="A5507">
        <v>5506</v>
      </c>
    </row>
    <row r="5508" spans="1:1">
      <c r="A5508">
        <v>5507</v>
      </c>
    </row>
    <row r="5509" spans="1:1">
      <c r="A5509">
        <v>5508</v>
      </c>
    </row>
    <row r="5510" spans="1:1">
      <c r="A5510">
        <v>5509</v>
      </c>
    </row>
    <row r="5511" spans="1:1">
      <c r="A5511">
        <v>5510</v>
      </c>
    </row>
    <row r="5512" spans="1:1">
      <c r="A5512">
        <v>5511</v>
      </c>
    </row>
    <row r="5513" spans="1:1">
      <c r="A5513">
        <v>5512</v>
      </c>
    </row>
    <row r="5514" spans="1:1">
      <c r="A5514">
        <v>5513</v>
      </c>
    </row>
    <row r="5515" spans="1:1">
      <c r="A5515">
        <v>5514</v>
      </c>
    </row>
    <row r="5516" spans="1:1">
      <c r="A5516">
        <v>5515</v>
      </c>
    </row>
    <row r="5517" spans="1:1">
      <c r="A5517">
        <v>5516</v>
      </c>
    </row>
    <row r="5518" spans="1:1">
      <c r="A5518">
        <v>5517</v>
      </c>
    </row>
    <row r="5519" spans="1:1">
      <c r="A5519">
        <v>5518</v>
      </c>
    </row>
    <row r="5520" spans="1:1">
      <c r="A5520">
        <v>5519</v>
      </c>
    </row>
    <row r="5521" spans="1:1">
      <c r="A5521">
        <v>5520</v>
      </c>
    </row>
    <row r="5522" spans="1:1">
      <c r="A5522">
        <v>5521</v>
      </c>
    </row>
    <row r="5523" spans="1:1">
      <c r="A5523">
        <v>5522</v>
      </c>
    </row>
    <row r="5524" spans="1:1">
      <c r="A5524">
        <v>5523</v>
      </c>
    </row>
    <row r="5525" spans="1:1">
      <c r="A5525">
        <v>5524</v>
      </c>
    </row>
    <row r="5526" spans="1:1">
      <c r="A5526">
        <v>5525</v>
      </c>
    </row>
    <row r="5527" spans="1:1">
      <c r="A5527">
        <v>5526</v>
      </c>
    </row>
    <row r="5528" spans="1:1">
      <c r="A5528">
        <v>5527</v>
      </c>
    </row>
    <row r="5529" spans="1:1">
      <c r="A5529">
        <v>5528</v>
      </c>
    </row>
    <row r="5530" spans="1:1">
      <c r="A5530">
        <v>5529</v>
      </c>
    </row>
    <row r="5531" spans="1:1">
      <c r="A5531">
        <v>5530</v>
      </c>
    </row>
    <row r="5532" spans="1:1">
      <c r="A5532">
        <v>5531</v>
      </c>
    </row>
    <row r="5533" spans="1:1">
      <c r="A5533">
        <v>5532</v>
      </c>
    </row>
    <row r="5534" spans="1:1">
      <c r="A5534">
        <v>5533</v>
      </c>
    </row>
    <row r="5535" spans="1:1">
      <c r="A5535">
        <v>5534</v>
      </c>
    </row>
    <row r="5536" spans="1:1">
      <c r="A5536">
        <v>5535</v>
      </c>
    </row>
    <row r="5537" spans="1:1">
      <c r="A5537">
        <v>5536</v>
      </c>
    </row>
    <row r="5538" spans="1:1">
      <c r="A5538">
        <v>5537</v>
      </c>
    </row>
    <row r="5539" spans="1:1">
      <c r="A5539">
        <v>5538</v>
      </c>
    </row>
    <row r="5540" spans="1:1">
      <c r="A5540">
        <v>5539</v>
      </c>
    </row>
    <row r="5541" spans="1:1">
      <c r="A5541">
        <v>5540</v>
      </c>
    </row>
    <row r="5542" spans="1:1">
      <c r="A5542">
        <v>5541</v>
      </c>
    </row>
    <row r="5543" spans="1:1">
      <c r="A5543">
        <v>5542</v>
      </c>
    </row>
    <row r="5544" spans="1:1">
      <c r="A5544">
        <v>5543</v>
      </c>
    </row>
    <row r="5545" spans="1:1">
      <c r="A5545">
        <v>5544</v>
      </c>
    </row>
    <row r="5546" spans="1:1">
      <c r="A5546">
        <v>5545</v>
      </c>
    </row>
    <row r="5547" spans="1:1">
      <c r="A5547">
        <v>5546</v>
      </c>
    </row>
    <row r="5548" spans="1:1">
      <c r="A5548">
        <v>5547</v>
      </c>
    </row>
    <row r="5549" spans="1:1">
      <c r="A5549">
        <v>5548</v>
      </c>
    </row>
    <row r="5550" spans="1:1">
      <c r="A5550">
        <v>5549</v>
      </c>
    </row>
    <row r="5551" spans="1:1">
      <c r="A5551">
        <v>5550</v>
      </c>
    </row>
    <row r="5552" spans="1:1">
      <c r="A5552">
        <v>5551</v>
      </c>
    </row>
    <row r="5553" spans="1:1">
      <c r="A5553">
        <v>5552</v>
      </c>
    </row>
    <row r="5554" spans="1:1">
      <c r="A5554">
        <v>5553</v>
      </c>
    </row>
    <row r="5555" spans="1:1">
      <c r="A5555">
        <v>5554</v>
      </c>
    </row>
    <row r="5556" spans="1:1">
      <c r="A5556">
        <v>5555</v>
      </c>
    </row>
    <row r="5557" spans="1:1">
      <c r="A5557">
        <v>5556</v>
      </c>
    </row>
    <row r="5558" spans="1:1">
      <c r="A5558">
        <v>5557</v>
      </c>
    </row>
    <row r="5559" spans="1:1">
      <c r="A5559">
        <v>5558</v>
      </c>
    </row>
    <row r="5560" spans="1:1">
      <c r="A5560">
        <v>5559</v>
      </c>
    </row>
    <row r="5561" spans="1:1">
      <c r="A5561">
        <v>5560</v>
      </c>
    </row>
    <row r="5562" spans="1:1">
      <c r="A5562">
        <v>5561</v>
      </c>
    </row>
    <row r="5563" spans="1:1">
      <c r="A5563">
        <v>5562</v>
      </c>
    </row>
    <row r="5564" spans="1:1">
      <c r="A5564">
        <v>5563</v>
      </c>
    </row>
    <row r="5565" spans="1:1">
      <c r="A5565">
        <v>5564</v>
      </c>
    </row>
    <row r="5566" spans="1:1">
      <c r="A5566">
        <v>5565</v>
      </c>
    </row>
    <row r="5567" spans="1:1">
      <c r="A5567">
        <v>5566</v>
      </c>
    </row>
    <row r="5568" spans="1:1">
      <c r="A5568">
        <v>5567</v>
      </c>
    </row>
    <row r="5569" spans="1:1">
      <c r="A5569">
        <v>5568</v>
      </c>
    </row>
    <row r="5570" spans="1:1">
      <c r="A5570">
        <v>5569</v>
      </c>
    </row>
    <row r="5571" spans="1:1">
      <c r="A5571">
        <v>5570</v>
      </c>
    </row>
    <row r="5572" spans="1:1">
      <c r="A5572">
        <v>5571</v>
      </c>
    </row>
    <row r="5573" spans="1:1">
      <c r="A5573">
        <v>5572</v>
      </c>
    </row>
    <row r="5574" spans="1:1">
      <c r="A5574">
        <v>5573</v>
      </c>
    </row>
    <row r="5575" spans="1:1">
      <c r="A5575">
        <v>5574</v>
      </c>
    </row>
    <row r="5576" spans="1:1">
      <c r="A5576">
        <v>5575</v>
      </c>
    </row>
    <row r="5577" spans="1:1">
      <c r="A5577">
        <v>5576</v>
      </c>
    </row>
    <row r="5578" spans="1:1">
      <c r="A5578">
        <v>5577</v>
      </c>
    </row>
    <row r="5579" spans="1:1">
      <c r="A5579">
        <v>5578</v>
      </c>
    </row>
    <row r="5580" spans="1:1">
      <c r="A5580">
        <v>5579</v>
      </c>
    </row>
    <row r="5581" spans="1:1">
      <c r="A5581">
        <v>5580</v>
      </c>
    </row>
    <row r="5582" spans="1:1">
      <c r="A5582">
        <v>5581</v>
      </c>
    </row>
    <row r="5583" spans="1:1">
      <c r="A5583">
        <v>5582</v>
      </c>
    </row>
    <row r="5584" spans="1:1">
      <c r="A5584">
        <v>5583</v>
      </c>
    </row>
    <row r="5585" spans="1:1">
      <c r="A5585">
        <v>5584</v>
      </c>
    </row>
    <row r="5586" spans="1:1">
      <c r="A5586">
        <v>5585</v>
      </c>
    </row>
    <row r="5587" spans="1:1">
      <c r="A5587">
        <v>5586</v>
      </c>
    </row>
    <row r="5588" spans="1:1">
      <c r="A5588">
        <v>5587</v>
      </c>
    </row>
    <row r="5589" spans="1:1">
      <c r="A5589">
        <v>5588</v>
      </c>
    </row>
    <row r="5590" spans="1:1">
      <c r="A5590">
        <v>5589</v>
      </c>
    </row>
    <row r="5591" spans="1:1">
      <c r="A5591">
        <v>5590</v>
      </c>
    </row>
    <row r="5592" spans="1:1">
      <c r="A5592">
        <v>5591</v>
      </c>
    </row>
    <row r="5593" spans="1:1">
      <c r="A5593">
        <v>5592</v>
      </c>
    </row>
    <row r="5594" spans="1:1">
      <c r="A5594">
        <v>5593</v>
      </c>
    </row>
    <row r="5595" spans="1:1">
      <c r="A5595">
        <v>5594</v>
      </c>
    </row>
    <row r="5596" spans="1:1">
      <c r="A5596">
        <v>5595</v>
      </c>
    </row>
    <row r="5597" spans="1:1">
      <c r="A5597">
        <v>5596</v>
      </c>
    </row>
    <row r="5598" spans="1:1">
      <c r="A5598">
        <v>5597</v>
      </c>
    </row>
    <row r="5599" spans="1:1">
      <c r="A5599">
        <v>5598</v>
      </c>
    </row>
    <row r="5600" spans="1:1">
      <c r="A5600">
        <v>5599</v>
      </c>
    </row>
    <row r="5601" spans="1:1">
      <c r="A5601">
        <v>5600</v>
      </c>
    </row>
    <row r="5602" spans="1:1">
      <c r="A5602">
        <v>5601</v>
      </c>
    </row>
    <row r="5603" spans="1:1">
      <c r="A5603">
        <v>5602</v>
      </c>
    </row>
    <row r="5604" spans="1:1">
      <c r="A5604">
        <v>5603</v>
      </c>
    </row>
    <row r="5605" spans="1:1">
      <c r="A5605">
        <v>5604</v>
      </c>
    </row>
    <row r="5606" spans="1:1">
      <c r="A5606">
        <v>5605</v>
      </c>
    </row>
    <row r="5607" spans="1:1">
      <c r="A5607">
        <v>5606</v>
      </c>
    </row>
    <row r="5608" spans="1:1">
      <c r="A5608">
        <v>5607</v>
      </c>
    </row>
    <row r="5609" spans="1:1">
      <c r="A5609">
        <v>5608</v>
      </c>
    </row>
    <row r="5610" spans="1:1">
      <c r="A5610">
        <v>5609</v>
      </c>
    </row>
    <row r="5611" spans="1:1">
      <c r="A5611">
        <v>5610</v>
      </c>
    </row>
    <row r="5612" spans="1:1">
      <c r="A5612">
        <v>5611</v>
      </c>
    </row>
    <row r="5613" spans="1:1">
      <c r="A5613">
        <v>5612</v>
      </c>
    </row>
    <row r="5614" spans="1:1">
      <c r="A5614">
        <v>5613</v>
      </c>
    </row>
    <row r="5615" spans="1:1">
      <c r="A5615">
        <v>5614</v>
      </c>
    </row>
    <row r="5616" spans="1:1">
      <c r="A5616">
        <v>5615</v>
      </c>
    </row>
    <row r="5617" spans="1:1">
      <c r="A5617">
        <v>5616</v>
      </c>
    </row>
    <row r="5618" spans="1:1">
      <c r="A5618">
        <v>5617</v>
      </c>
    </row>
    <row r="5619" spans="1:1">
      <c r="A5619">
        <v>5618</v>
      </c>
    </row>
    <row r="5620" spans="1:1">
      <c r="A5620">
        <v>5619</v>
      </c>
    </row>
    <row r="5621" spans="1:1">
      <c r="A5621">
        <v>5620</v>
      </c>
    </row>
    <row r="5622" spans="1:1">
      <c r="A5622">
        <v>5621</v>
      </c>
    </row>
    <row r="5623" spans="1:1">
      <c r="A5623">
        <v>5622</v>
      </c>
    </row>
    <row r="5624" spans="1:1">
      <c r="A5624">
        <v>5623</v>
      </c>
    </row>
    <row r="5625" spans="1:1">
      <c r="A5625">
        <v>5624</v>
      </c>
    </row>
    <row r="5626" spans="1:1">
      <c r="A5626">
        <v>5625</v>
      </c>
    </row>
    <row r="5627" spans="1:1">
      <c r="A5627">
        <v>5626</v>
      </c>
    </row>
    <row r="5628" spans="1:1">
      <c r="A5628">
        <v>5627</v>
      </c>
    </row>
    <row r="5629" spans="1:1">
      <c r="A5629">
        <v>5628</v>
      </c>
    </row>
    <row r="5630" spans="1:1">
      <c r="A5630">
        <v>5629</v>
      </c>
    </row>
    <row r="5631" spans="1:1">
      <c r="A5631">
        <v>5630</v>
      </c>
    </row>
    <row r="5632" spans="1:1">
      <c r="A5632">
        <v>5631</v>
      </c>
    </row>
    <row r="5633" spans="1:1">
      <c r="A5633">
        <v>5632</v>
      </c>
    </row>
    <row r="5634" spans="1:1">
      <c r="A5634">
        <v>5633</v>
      </c>
    </row>
    <row r="5635" spans="1:1">
      <c r="A5635">
        <v>5634</v>
      </c>
    </row>
    <row r="5636" spans="1:1">
      <c r="A5636">
        <v>5635</v>
      </c>
    </row>
    <row r="5637" spans="1:1">
      <c r="A5637">
        <v>5636</v>
      </c>
    </row>
    <row r="5638" spans="1:1">
      <c r="A5638">
        <v>5637</v>
      </c>
    </row>
    <row r="5639" spans="1:1">
      <c r="A5639">
        <v>5638</v>
      </c>
    </row>
    <row r="5640" spans="1:1">
      <c r="A5640">
        <v>5639</v>
      </c>
    </row>
    <row r="5641" spans="1:1">
      <c r="A5641">
        <v>5640</v>
      </c>
    </row>
    <row r="5642" spans="1:1">
      <c r="A5642">
        <v>5641</v>
      </c>
    </row>
    <row r="5643" spans="1:1">
      <c r="A5643">
        <v>5642</v>
      </c>
    </row>
    <row r="5644" spans="1:1">
      <c r="A5644">
        <v>5643</v>
      </c>
    </row>
    <row r="5645" spans="1:1">
      <c r="A5645">
        <v>5644</v>
      </c>
    </row>
    <row r="5646" spans="1:1">
      <c r="A5646">
        <v>5645</v>
      </c>
    </row>
    <row r="5647" spans="1:1">
      <c r="A5647">
        <v>5646</v>
      </c>
    </row>
    <row r="5648" spans="1:1">
      <c r="A5648">
        <v>5647</v>
      </c>
    </row>
    <row r="5649" spans="1:1">
      <c r="A5649">
        <v>5648</v>
      </c>
    </row>
    <row r="5650" spans="1:1">
      <c r="A5650">
        <v>5649</v>
      </c>
    </row>
    <row r="5651" spans="1:1">
      <c r="A5651">
        <v>5650</v>
      </c>
    </row>
    <row r="5652" spans="1:1">
      <c r="A5652">
        <v>5651</v>
      </c>
    </row>
    <row r="5653" spans="1:1">
      <c r="A5653">
        <v>5652</v>
      </c>
    </row>
    <row r="5654" spans="1:1">
      <c r="A5654">
        <v>5653</v>
      </c>
    </row>
    <row r="5655" spans="1:1">
      <c r="A5655">
        <v>5654</v>
      </c>
    </row>
    <row r="5656" spans="1:1">
      <c r="A5656">
        <v>5655</v>
      </c>
    </row>
    <row r="5657" spans="1:1">
      <c r="A5657">
        <v>5656</v>
      </c>
    </row>
    <row r="5658" spans="1:1">
      <c r="A5658">
        <v>5657</v>
      </c>
    </row>
    <row r="5659" spans="1:1">
      <c r="A5659">
        <v>5658</v>
      </c>
    </row>
    <row r="5660" spans="1:1">
      <c r="A5660">
        <v>5659</v>
      </c>
    </row>
    <row r="5661" spans="1:1">
      <c r="A5661">
        <v>5660</v>
      </c>
    </row>
    <row r="5662" spans="1:1">
      <c r="A5662">
        <v>5661</v>
      </c>
    </row>
    <row r="5663" spans="1:1">
      <c r="A5663">
        <v>5662</v>
      </c>
    </row>
    <row r="5664" spans="1:1">
      <c r="A5664">
        <v>5663</v>
      </c>
    </row>
    <row r="5665" spans="1:1">
      <c r="A5665">
        <v>5664</v>
      </c>
    </row>
    <row r="5666" spans="1:1">
      <c r="A5666">
        <v>5665</v>
      </c>
    </row>
    <row r="5667" spans="1:1">
      <c r="A5667">
        <v>5666</v>
      </c>
    </row>
    <row r="5668" spans="1:1">
      <c r="A5668">
        <v>5667</v>
      </c>
    </row>
    <row r="5669" spans="1:1">
      <c r="A5669">
        <v>5668</v>
      </c>
    </row>
    <row r="5670" spans="1:1">
      <c r="A5670">
        <v>5669</v>
      </c>
    </row>
    <row r="5671" spans="1:1">
      <c r="A5671">
        <v>5670</v>
      </c>
    </row>
    <row r="5672" spans="1:1">
      <c r="A5672">
        <v>5671</v>
      </c>
    </row>
    <row r="5673" spans="1:1">
      <c r="A5673">
        <v>5672</v>
      </c>
    </row>
    <row r="5674" spans="1:1">
      <c r="A5674">
        <v>5673</v>
      </c>
    </row>
    <row r="5675" spans="1:1">
      <c r="A5675">
        <v>5674</v>
      </c>
    </row>
    <row r="5676" spans="1:1">
      <c r="A5676">
        <v>5675</v>
      </c>
    </row>
    <row r="5677" spans="1:1">
      <c r="A5677">
        <v>5676</v>
      </c>
    </row>
    <row r="5678" spans="1:1">
      <c r="A5678">
        <v>5677</v>
      </c>
    </row>
    <row r="5679" spans="1:1">
      <c r="A5679">
        <v>5678</v>
      </c>
    </row>
    <row r="5680" spans="1:1">
      <c r="A5680">
        <v>5679</v>
      </c>
    </row>
    <row r="5681" spans="1:1">
      <c r="A5681">
        <v>5680</v>
      </c>
    </row>
    <row r="5682" spans="1:1">
      <c r="A5682">
        <v>5681</v>
      </c>
    </row>
    <row r="5683" spans="1:1">
      <c r="A5683">
        <v>5682</v>
      </c>
    </row>
    <row r="5684" spans="1:1">
      <c r="A5684">
        <v>5683</v>
      </c>
    </row>
    <row r="5685" spans="1:1">
      <c r="A5685">
        <v>5684</v>
      </c>
    </row>
    <row r="5686" spans="1:1">
      <c r="A5686">
        <v>5685</v>
      </c>
    </row>
    <row r="5687" spans="1:1">
      <c r="A5687">
        <v>5686</v>
      </c>
    </row>
    <row r="5688" spans="1:1">
      <c r="A5688">
        <v>5687</v>
      </c>
    </row>
    <row r="5689" spans="1:1">
      <c r="A5689">
        <v>5688</v>
      </c>
    </row>
    <row r="5690" spans="1:1">
      <c r="A5690">
        <v>5689</v>
      </c>
    </row>
    <row r="5691" spans="1:1">
      <c r="A5691">
        <v>5690</v>
      </c>
    </row>
    <row r="5692" spans="1:1">
      <c r="A5692">
        <v>5691</v>
      </c>
    </row>
    <row r="5693" spans="1:1">
      <c r="A5693">
        <v>5692</v>
      </c>
    </row>
    <row r="5694" spans="1:1">
      <c r="A5694">
        <v>5693</v>
      </c>
    </row>
    <row r="5695" spans="1:1">
      <c r="A5695">
        <v>5694</v>
      </c>
    </row>
    <row r="5696" spans="1:1">
      <c r="A5696">
        <v>5695</v>
      </c>
    </row>
    <row r="5697" spans="1:1">
      <c r="A5697">
        <v>5696</v>
      </c>
    </row>
    <row r="5698" spans="1:1">
      <c r="A5698">
        <v>5697</v>
      </c>
    </row>
    <row r="5699" spans="1:1">
      <c r="A5699">
        <v>5698</v>
      </c>
    </row>
    <row r="5700" spans="1:1">
      <c r="A5700">
        <v>5699</v>
      </c>
    </row>
    <row r="5701" spans="1:1">
      <c r="A5701">
        <v>5700</v>
      </c>
    </row>
    <row r="5702" spans="1:1">
      <c r="A5702">
        <v>5701</v>
      </c>
    </row>
    <row r="5703" spans="1:1">
      <c r="A5703">
        <v>5702</v>
      </c>
    </row>
    <row r="5704" spans="1:1">
      <c r="A5704">
        <v>5703</v>
      </c>
    </row>
    <row r="5705" spans="1:1">
      <c r="A5705">
        <v>5704</v>
      </c>
    </row>
    <row r="5706" spans="1:1">
      <c r="A5706">
        <v>5705</v>
      </c>
    </row>
    <row r="5707" spans="1:1">
      <c r="A5707">
        <v>5706</v>
      </c>
    </row>
    <row r="5708" spans="1:1">
      <c r="A5708">
        <v>5707</v>
      </c>
    </row>
    <row r="5709" spans="1:1">
      <c r="A5709">
        <v>5708</v>
      </c>
    </row>
    <row r="5710" spans="1:1">
      <c r="A5710">
        <v>5709</v>
      </c>
    </row>
    <row r="5711" spans="1:1">
      <c r="A5711">
        <v>5710</v>
      </c>
    </row>
    <row r="5712" spans="1:1">
      <c r="A5712">
        <v>5711</v>
      </c>
    </row>
    <row r="5713" spans="1:1">
      <c r="A5713">
        <v>5712</v>
      </c>
    </row>
    <row r="5714" spans="1:1">
      <c r="A5714">
        <v>5713</v>
      </c>
    </row>
    <row r="5715" spans="1:1">
      <c r="A5715">
        <v>5714</v>
      </c>
    </row>
    <row r="5716" spans="1:1">
      <c r="A5716">
        <v>5715</v>
      </c>
    </row>
    <row r="5717" spans="1:1">
      <c r="A5717">
        <v>5716</v>
      </c>
    </row>
    <row r="5718" spans="1:1">
      <c r="A5718">
        <v>5717</v>
      </c>
    </row>
    <row r="5719" spans="1:1">
      <c r="A5719">
        <v>5718</v>
      </c>
    </row>
    <row r="5720" spans="1:1">
      <c r="A5720">
        <v>5719</v>
      </c>
    </row>
    <row r="5721" spans="1:1">
      <c r="A5721">
        <v>5720</v>
      </c>
    </row>
    <row r="5722" spans="1:1">
      <c r="A5722">
        <v>5721</v>
      </c>
    </row>
    <row r="5723" spans="1:1">
      <c r="A5723">
        <v>5722</v>
      </c>
    </row>
    <row r="5724" spans="1:1">
      <c r="A5724">
        <v>5723</v>
      </c>
    </row>
    <row r="5725" spans="1:1">
      <c r="A5725">
        <v>5724</v>
      </c>
    </row>
    <row r="5726" spans="1:1">
      <c r="A5726">
        <v>5725</v>
      </c>
    </row>
    <row r="5727" spans="1:1">
      <c r="A5727">
        <v>5726</v>
      </c>
    </row>
    <row r="5728" spans="1:1">
      <c r="A5728">
        <v>5727</v>
      </c>
    </row>
    <row r="5729" spans="1:1">
      <c r="A5729">
        <v>5728</v>
      </c>
    </row>
    <row r="5730" spans="1:1">
      <c r="A5730">
        <v>5729</v>
      </c>
    </row>
    <row r="5731" spans="1:1">
      <c r="A5731">
        <v>5730</v>
      </c>
    </row>
    <row r="5732" spans="1:1">
      <c r="A5732">
        <v>5731</v>
      </c>
    </row>
    <row r="5733" spans="1:1">
      <c r="A5733">
        <v>5732</v>
      </c>
    </row>
    <row r="5734" spans="1:1">
      <c r="A5734">
        <v>5733</v>
      </c>
    </row>
    <row r="5735" spans="1:1">
      <c r="A5735">
        <v>5734</v>
      </c>
    </row>
    <row r="5736" spans="1:1">
      <c r="A5736">
        <v>5735</v>
      </c>
    </row>
    <row r="5737" spans="1:1">
      <c r="A5737">
        <v>5736</v>
      </c>
    </row>
    <row r="5738" spans="1:1">
      <c r="A5738">
        <v>5737</v>
      </c>
    </row>
    <row r="5739" spans="1:1">
      <c r="A5739">
        <v>5738</v>
      </c>
    </row>
    <row r="5740" spans="1:1">
      <c r="A5740">
        <v>5739</v>
      </c>
    </row>
    <row r="5741" spans="1:1">
      <c r="A5741">
        <v>5740</v>
      </c>
    </row>
    <row r="5742" spans="1:1">
      <c r="A5742">
        <v>5741</v>
      </c>
    </row>
    <row r="5743" spans="1:1">
      <c r="A5743">
        <v>5742</v>
      </c>
    </row>
    <row r="5744" spans="1:1">
      <c r="A5744">
        <v>5743</v>
      </c>
    </row>
    <row r="5745" spans="1:1">
      <c r="A5745">
        <v>5744</v>
      </c>
    </row>
    <row r="5746" spans="1:1">
      <c r="A5746">
        <v>5745</v>
      </c>
    </row>
    <row r="5747" spans="1:1">
      <c r="A5747">
        <v>5746</v>
      </c>
    </row>
    <row r="5748" spans="1:1">
      <c r="A5748">
        <v>5747</v>
      </c>
    </row>
    <row r="5749" spans="1:1">
      <c r="A5749">
        <v>5748</v>
      </c>
    </row>
    <row r="5750" spans="1:1">
      <c r="A5750">
        <v>5749</v>
      </c>
    </row>
    <row r="5751" spans="1:1">
      <c r="A5751">
        <v>5750</v>
      </c>
    </row>
    <row r="5752" spans="1:1">
      <c r="A5752">
        <v>5751</v>
      </c>
    </row>
    <row r="5753" spans="1:1">
      <c r="A5753">
        <v>5752</v>
      </c>
    </row>
    <row r="5754" spans="1:1">
      <c r="A5754">
        <v>5753</v>
      </c>
    </row>
    <row r="5755" spans="1:1">
      <c r="A5755">
        <v>5754</v>
      </c>
    </row>
    <row r="5756" spans="1:1">
      <c r="A5756">
        <v>5755</v>
      </c>
    </row>
    <row r="5757" spans="1:1">
      <c r="A5757">
        <v>5756</v>
      </c>
    </row>
    <row r="5758" spans="1:1">
      <c r="A5758">
        <v>5757</v>
      </c>
    </row>
    <row r="5759" spans="1:1">
      <c r="A5759">
        <v>5758</v>
      </c>
    </row>
    <row r="5760" spans="1:1">
      <c r="A5760">
        <v>5759</v>
      </c>
    </row>
    <row r="5761" spans="1:1">
      <c r="A5761">
        <v>5760</v>
      </c>
    </row>
    <row r="5762" spans="1:1">
      <c r="A5762">
        <v>5761</v>
      </c>
    </row>
    <row r="5763" spans="1:1">
      <c r="A5763">
        <v>5762</v>
      </c>
    </row>
    <row r="5764" spans="1:1">
      <c r="A5764">
        <v>5763</v>
      </c>
    </row>
    <row r="5765" spans="1:1">
      <c r="A5765">
        <v>5764</v>
      </c>
    </row>
    <row r="5766" spans="1:1">
      <c r="A5766">
        <v>5765</v>
      </c>
    </row>
    <row r="5767" spans="1:1">
      <c r="A5767">
        <v>5766</v>
      </c>
    </row>
    <row r="5768" spans="1:1">
      <c r="A5768">
        <v>5767</v>
      </c>
    </row>
    <row r="5769" spans="1:1">
      <c r="A5769">
        <v>5768</v>
      </c>
    </row>
    <row r="5770" spans="1:1">
      <c r="A5770">
        <v>5769</v>
      </c>
    </row>
    <row r="5771" spans="1:1">
      <c r="A5771">
        <v>5770</v>
      </c>
    </row>
    <row r="5772" spans="1:1">
      <c r="A5772">
        <v>5771</v>
      </c>
    </row>
    <row r="5773" spans="1:1">
      <c r="A5773">
        <v>5772</v>
      </c>
    </row>
    <row r="5774" spans="1:1">
      <c r="A5774">
        <v>5773</v>
      </c>
    </row>
    <row r="5775" spans="1:1">
      <c r="A5775">
        <v>5774</v>
      </c>
    </row>
    <row r="5776" spans="1:1">
      <c r="A5776">
        <v>5775</v>
      </c>
    </row>
    <row r="5777" spans="1:1">
      <c r="A5777">
        <v>5776</v>
      </c>
    </row>
    <row r="5778" spans="1:1">
      <c r="A5778">
        <v>5777</v>
      </c>
    </row>
    <row r="5779" spans="1:1">
      <c r="A5779">
        <v>5778</v>
      </c>
    </row>
    <row r="5780" spans="1:1">
      <c r="A5780">
        <v>5779</v>
      </c>
    </row>
    <row r="5781" spans="1:1">
      <c r="A5781">
        <v>5780</v>
      </c>
    </row>
    <row r="5782" spans="1:1">
      <c r="A5782">
        <v>5781</v>
      </c>
    </row>
    <row r="5783" spans="1:1">
      <c r="A5783">
        <v>5782</v>
      </c>
    </row>
    <row r="5784" spans="1:1">
      <c r="A5784">
        <v>5783</v>
      </c>
    </row>
    <row r="5785" spans="1:1">
      <c r="A5785">
        <v>5784</v>
      </c>
    </row>
    <row r="5786" spans="1:1">
      <c r="A5786">
        <v>5785</v>
      </c>
    </row>
    <row r="5787" spans="1:1">
      <c r="A5787">
        <v>5786</v>
      </c>
    </row>
    <row r="5788" spans="1:1">
      <c r="A5788">
        <v>5787</v>
      </c>
    </row>
    <row r="5789" spans="1:1">
      <c r="A5789">
        <v>5788</v>
      </c>
    </row>
    <row r="5790" spans="1:1">
      <c r="A5790">
        <v>5789</v>
      </c>
    </row>
    <row r="5791" spans="1:1">
      <c r="A5791">
        <v>5790</v>
      </c>
    </row>
    <row r="5792" spans="1:1">
      <c r="A5792">
        <v>5791</v>
      </c>
    </row>
    <row r="5793" spans="1:1">
      <c r="A5793">
        <v>5792</v>
      </c>
    </row>
    <row r="5794" spans="1:1">
      <c r="A5794">
        <v>5793</v>
      </c>
    </row>
    <row r="5795" spans="1:1">
      <c r="A5795">
        <v>5794</v>
      </c>
    </row>
    <row r="5796" spans="1:1">
      <c r="A5796">
        <v>5795</v>
      </c>
    </row>
    <row r="5797" spans="1:1">
      <c r="A5797">
        <v>5796</v>
      </c>
    </row>
    <row r="5798" spans="1:1">
      <c r="A5798">
        <v>5797</v>
      </c>
    </row>
    <row r="5799" spans="1:1">
      <c r="A5799">
        <v>5798</v>
      </c>
    </row>
    <row r="5800" spans="1:1">
      <c r="A5800">
        <v>5799</v>
      </c>
    </row>
    <row r="5801" spans="1:1">
      <c r="A5801">
        <v>5800</v>
      </c>
    </row>
    <row r="5802" spans="1:1">
      <c r="A5802">
        <v>5801</v>
      </c>
    </row>
    <row r="5803" spans="1:1">
      <c r="A5803">
        <v>5802</v>
      </c>
    </row>
    <row r="5804" spans="1:1">
      <c r="A5804">
        <v>5803</v>
      </c>
    </row>
    <row r="5805" spans="1:1">
      <c r="A5805">
        <v>5804</v>
      </c>
    </row>
    <row r="5806" spans="1:1">
      <c r="A5806">
        <v>5805</v>
      </c>
    </row>
    <row r="5807" spans="1:1">
      <c r="A5807">
        <v>5806</v>
      </c>
    </row>
    <row r="5808" spans="1:1">
      <c r="A5808">
        <v>5807</v>
      </c>
    </row>
    <row r="5809" spans="1:1">
      <c r="A5809">
        <v>5808</v>
      </c>
    </row>
    <row r="5810" spans="1:1">
      <c r="A5810">
        <v>5809</v>
      </c>
    </row>
    <row r="5811" spans="1:1">
      <c r="A5811">
        <v>5810</v>
      </c>
    </row>
    <row r="5812" spans="1:1">
      <c r="A5812">
        <v>5811</v>
      </c>
    </row>
    <row r="5813" spans="1:1">
      <c r="A5813">
        <v>5812</v>
      </c>
    </row>
    <row r="5814" spans="1:1">
      <c r="A5814">
        <v>5813</v>
      </c>
    </row>
    <row r="5815" spans="1:1">
      <c r="A5815">
        <v>5814</v>
      </c>
    </row>
    <row r="5816" spans="1:1">
      <c r="A5816">
        <v>5815</v>
      </c>
    </row>
    <row r="5817" spans="1:1">
      <c r="A5817">
        <v>5816</v>
      </c>
    </row>
    <row r="5818" spans="1:1">
      <c r="A5818">
        <v>5817</v>
      </c>
    </row>
    <row r="5819" spans="1:1">
      <c r="A5819">
        <v>5818</v>
      </c>
    </row>
    <row r="5820" spans="1:1">
      <c r="A5820">
        <v>5819</v>
      </c>
    </row>
    <row r="5821" spans="1:1">
      <c r="A5821">
        <v>5820</v>
      </c>
    </row>
    <row r="5822" spans="1:1">
      <c r="A5822">
        <v>5821</v>
      </c>
    </row>
    <row r="5823" spans="1:1">
      <c r="A5823">
        <v>5822</v>
      </c>
    </row>
    <row r="5824" spans="1:1">
      <c r="A5824">
        <v>5823</v>
      </c>
    </row>
    <row r="5825" spans="1:1">
      <c r="A5825">
        <v>5824</v>
      </c>
    </row>
    <row r="5826" spans="1:1">
      <c r="A5826">
        <v>5825</v>
      </c>
    </row>
    <row r="5827" spans="1:1">
      <c r="A5827">
        <v>5826</v>
      </c>
    </row>
    <row r="5828" spans="1:1">
      <c r="A5828">
        <v>5827</v>
      </c>
    </row>
    <row r="5829" spans="1:1">
      <c r="A5829">
        <v>5828</v>
      </c>
    </row>
    <row r="5830" spans="1:1">
      <c r="A5830">
        <v>5829</v>
      </c>
    </row>
    <row r="5831" spans="1:1">
      <c r="A5831">
        <v>5830</v>
      </c>
    </row>
    <row r="5832" spans="1:1">
      <c r="A5832">
        <v>5831</v>
      </c>
    </row>
    <row r="5833" spans="1:1">
      <c r="A5833">
        <v>5832</v>
      </c>
    </row>
    <row r="5834" spans="1:1">
      <c r="A5834">
        <v>5833</v>
      </c>
    </row>
    <row r="5835" spans="1:1">
      <c r="A5835">
        <v>5834</v>
      </c>
    </row>
    <row r="5836" spans="1:1">
      <c r="A5836">
        <v>5835</v>
      </c>
    </row>
    <row r="5837" spans="1:1">
      <c r="A5837">
        <v>5836</v>
      </c>
    </row>
    <row r="5838" spans="1:1">
      <c r="A5838">
        <v>5837</v>
      </c>
    </row>
    <row r="5839" spans="1:1">
      <c r="A5839">
        <v>5838</v>
      </c>
    </row>
    <row r="5840" spans="1:1">
      <c r="A5840">
        <v>5839</v>
      </c>
    </row>
    <row r="5841" spans="1:1">
      <c r="A5841">
        <v>5840</v>
      </c>
    </row>
    <row r="5842" spans="1:1">
      <c r="A5842">
        <v>5841</v>
      </c>
    </row>
    <row r="5843" spans="1:1">
      <c r="A5843">
        <v>5842</v>
      </c>
    </row>
    <row r="5844" spans="1:1">
      <c r="A5844">
        <v>5843</v>
      </c>
    </row>
    <row r="5845" spans="1:1">
      <c r="A5845">
        <v>5844</v>
      </c>
    </row>
    <row r="5846" spans="1:1">
      <c r="A5846">
        <v>5845</v>
      </c>
    </row>
    <row r="5847" spans="1:1">
      <c r="A5847">
        <v>5846</v>
      </c>
    </row>
    <row r="5848" spans="1:1">
      <c r="A5848">
        <v>5847</v>
      </c>
    </row>
    <row r="5849" spans="1:1">
      <c r="A5849">
        <v>5848</v>
      </c>
    </row>
    <row r="5850" spans="1:1">
      <c r="A5850">
        <v>5849</v>
      </c>
    </row>
    <row r="5851" spans="1:1">
      <c r="A5851">
        <v>5850</v>
      </c>
    </row>
    <row r="5852" spans="1:1">
      <c r="A5852">
        <v>5851</v>
      </c>
    </row>
    <row r="5853" spans="1:1">
      <c r="A5853">
        <v>5852</v>
      </c>
    </row>
    <row r="5854" spans="1:1">
      <c r="A5854">
        <v>5853</v>
      </c>
    </row>
    <row r="5855" spans="1:1">
      <c r="A5855">
        <v>5854</v>
      </c>
    </row>
    <row r="5856" spans="1:1">
      <c r="A5856">
        <v>5855</v>
      </c>
    </row>
    <row r="5857" spans="1:1">
      <c r="A5857">
        <v>5856</v>
      </c>
    </row>
    <row r="5858" spans="1:1">
      <c r="A5858">
        <v>5857</v>
      </c>
    </row>
    <row r="5859" spans="1:1">
      <c r="A5859">
        <v>5858</v>
      </c>
    </row>
    <row r="5860" spans="1:1">
      <c r="A5860">
        <v>5859</v>
      </c>
    </row>
    <row r="5861" spans="1:1">
      <c r="A5861">
        <v>5860</v>
      </c>
    </row>
    <row r="5862" spans="1:1">
      <c r="A5862">
        <v>5861</v>
      </c>
    </row>
    <row r="5863" spans="1:1">
      <c r="A5863">
        <v>5862</v>
      </c>
    </row>
    <row r="5864" spans="1:1">
      <c r="A5864">
        <v>5863</v>
      </c>
    </row>
    <row r="5865" spans="1:1">
      <c r="A5865">
        <v>5864</v>
      </c>
    </row>
    <row r="5866" spans="1:1">
      <c r="A5866">
        <v>5865</v>
      </c>
    </row>
    <row r="5867" spans="1:1">
      <c r="A5867">
        <v>5866</v>
      </c>
    </row>
    <row r="5868" spans="1:1">
      <c r="A5868">
        <v>5867</v>
      </c>
    </row>
    <row r="5869" spans="1:1">
      <c r="A5869">
        <v>5868</v>
      </c>
    </row>
    <row r="5870" spans="1:1">
      <c r="A5870">
        <v>5869</v>
      </c>
    </row>
    <row r="5871" spans="1:1">
      <c r="A5871">
        <v>5870</v>
      </c>
    </row>
    <row r="5872" spans="1:1">
      <c r="A5872">
        <v>5871</v>
      </c>
    </row>
    <row r="5873" spans="1:1">
      <c r="A5873">
        <v>5872</v>
      </c>
    </row>
    <row r="5874" spans="1:1">
      <c r="A5874">
        <v>5873</v>
      </c>
    </row>
    <row r="5875" spans="1:1">
      <c r="A5875">
        <v>5874</v>
      </c>
    </row>
    <row r="5876" spans="1:1">
      <c r="A5876">
        <v>5875</v>
      </c>
    </row>
    <row r="5877" spans="1:1">
      <c r="A5877">
        <v>5876</v>
      </c>
    </row>
    <row r="5878" spans="1:1">
      <c r="A5878">
        <v>5877</v>
      </c>
    </row>
    <row r="5879" spans="1:1">
      <c r="A5879">
        <v>5878</v>
      </c>
    </row>
    <row r="5880" spans="1:1">
      <c r="A5880">
        <v>5879</v>
      </c>
    </row>
    <row r="5881" spans="1:1">
      <c r="A5881">
        <v>5880</v>
      </c>
    </row>
    <row r="5882" spans="1:1">
      <c r="A5882">
        <v>5881</v>
      </c>
    </row>
    <row r="5883" spans="1:1">
      <c r="A5883">
        <v>5882</v>
      </c>
    </row>
    <row r="5884" spans="1:1">
      <c r="A5884">
        <v>5883</v>
      </c>
    </row>
    <row r="5885" spans="1:1">
      <c r="A5885">
        <v>5884</v>
      </c>
    </row>
    <row r="5886" spans="1:1">
      <c r="A5886">
        <v>5885</v>
      </c>
    </row>
    <row r="5887" spans="1:1">
      <c r="A5887">
        <v>5886</v>
      </c>
    </row>
    <row r="5888" spans="1:1">
      <c r="A5888">
        <v>5887</v>
      </c>
    </row>
    <row r="5889" spans="1:1">
      <c r="A5889">
        <v>5888</v>
      </c>
    </row>
    <row r="5890" spans="1:1">
      <c r="A5890">
        <v>5889</v>
      </c>
    </row>
    <row r="5891" spans="1:1">
      <c r="A5891">
        <v>5890</v>
      </c>
    </row>
    <row r="5892" spans="1:1">
      <c r="A5892">
        <v>5891</v>
      </c>
    </row>
    <row r="5893" spans="1:1">
      <c r="A5893">
        <v>5892</v>
      </c>
    </row>
    <row r="5894" spans="1:1">
      <c r="A5894">
        <v>5893</v>
      </c>
    </row>
    <row r="5895" spans="1:1">
      <c r="A5895">
        <v>5894</v>
      </c>
    </row>
    <row r="5896" spans="1:1">
      <c r="A5896">
        <v>5895</v>
      </c>
    </row>
    <row r="5897" spans="1:1">
      <c r="A5897">
        <v>5896</v>
      </c>
    </row>
    <row r="5898" spans="1:1">
      <c r="A5898">
        <v>5897</v>
      </c>
    </row>
    <row r="5899" spans="1:1">
      <c r="A5899">
        <v>5898</v>
      </c>
    </row>
    <row r="5900" spans="1:1">
      <c r="A5900">
        <v>5899</v>
      </c>
    </row>
    <row r="5901" spans="1:1">
      <c r="A5901">
        <v>5900</v>
      </c>
    </row>
    <row r="5902" spans="1:1">
      <c r="A5902">
        <v>5901</v>
      </c>
    </row>
    <row r="5903" spans="1:1">
      <c r="A5903">
        <v>5902</v>
      </c>
    </row>
    <row r="5904" spans="1:1">
      <c r="A5904">
        <v>5903</v>
      </c>
    </row>
    <row r="5905" spans="1:1">
      <c r="A5905">
        <v>5904</v>
      </c>
    </row>
    <row r="5906" spans="1:1">
      <c r="A5906">
        <v>5905</v>
      </c>
    </row>
    <row r="5907" spans="1:1">
      <c r="A5907">
        <v>5906</v>
      </c>
    </row>
    <row r="5908" spans="1:1">
      <c r="A5908">
        <v>5907</v>
      </c>
    </row>
    <row r="5909" spans="1:1">
      <c r="A5909">
        <v>5908</v>
      </c>
    </row>
    <row r="5910" spans="1:1">
      <c r="A5910">
        <v>5909</v>
      </c>
    </row>
    <row r="5911" spans="1:1">
      <c r="A5911">
        <v>5910</v>
      </c>
    </row>
    <row r="5912" spans="1:1">
      <c r="A5912">
        <v>5911</v>
      </c>
    </row>
    <row r="5913" spans="1:1">
      <c r="A5913">
        <v>5912</v>
      </c>
    </row>
    <row r="5914" spans="1:1">
      <c r="A5914">
        <v>5913</v>
      </c>
    </row>
    <row r="5915" spans="1:1">
      <c r="A5915">
        <v>5914</v>
      </c>
    </row>
    <row r="5916" spans="1:1">
      <c r="A5916">
        <v>5915</v>
      </c>
    </row>
    <row r="5917" spans="1:1">
      <c r="A5917">
        <v>5916</v>
      </c>
    </row>
    <row r="5918" spans="1:1">
      <c r="A5918">
        <v>5917</v>
      </c>
    </row>
    <row r="5919" spans="1:1">
      <c r="A5919">
        <v>5918</v>
      </c>
    </row>
    <row r="5920" spans="1:1">
      <c r="A5920">
        <v>5919</v>
      </c>
    </row>
    <row r="5921" spans="1:1">
      <c r="A5921">
        <v>5920</v>
      </c>
    </row>
    <row r="5922" spans="1:1">
      <c r="A5922">
        <v>5921</v>
      </c>
    </row>
    <row r="5923" spans="1:1">
      <c r="A5923">
        <v>5922</v>
      </c>
    </row>
    <row r="5924" spans="1:1">
      <c r="A5924">
        <v>5923</v>
      </c>
    </row>
    <row r="5925" spans="1:1">
      <c r="A5925">
        <v>5924</v>
      </c>
    </row>
    <row r="5926" spans="1:1">
      <c r="A5926">
        <v>5925</v>
      </c>
    </row>
    <row r="5927" spans="1:1">
      <c r="A5927">
        <v>5926</v>
      </c>
    </row>
    <row r="5928" spans="1:1">
      <c r="A5928">
        <v>5927</v>
      </c>
    </row>
    <row r="5929" spans="1:1">
      <c r="A5929">
        <v>5928</v>
      </c>
    </row>
    <row r="5930" spans="1:1">
      <c r="A5930">
        <v>5929</v>
      </c>
    </row>
    <row r="5931" spans="1:1">
      <c r="A5931">
        <v>5930</v>
      </c>
    </row>
    <row r="5932" spans="1:1">
      <c r="A5932">
        <v>5931</v>
      </c>
    </row>
    <row r="5933" spans="1:1">
      <c r="A5933">
        <v>5932</v>
      </c>
    </row>
    <row r="5934" spans="1:1">
      <c r="A5934">
        <v>5933</v>
      </c>
    </row>
    <row r="5935" spans="1:1">
      <c r="A5935">
        <v>5934</v>
      </c>
    </row>
    <row r="5936" spans="1:1">
      <c r="A5936">
        <v>5935</v>
      </c>
    </row>
    <row r="5937" spans="1:1">
      <c r="A5937">
        <v>5936</v>
      </c>
    </row>
    <row r="5938" spans="1:1">
      <c r="A5938">
        <v>5937</v>
      </c>
    </row>
    <row r="5939" spans="1:1">
      <c r="A5939">
        <v>5938</v>
      </c>
    </row>
    <row r="5940" spans="1:1">
      <c r="A5940">
        <v>5939</v>
      </c>
    </row>
    <row r="5941" spans="1:1">
      <c r="A5941">
        <v>5940</v>
      </c>
    </row>
    <row r="5942" spans="1:1">
      <c r="A5942">
        <v>5941</v>
      </c>
    </row>
    <row r="5943" spans="1:1">
      <c r="A5943">
        <v>5942</v>
      </c>
    </row>
    <row r="5944" spans="1:1">
      <c r="A5944">
        <v>5943</v>
      </c>
    </row>
    <row r="5945" spans="1:1">
      <c r="A5945">
        <v>5944</v>
      </c>
    </row>
    <row r="5946" spans="1:1">
      <c r="A5946">
        <v>5945</v>
      </c>
    </row>
    <row r="5947" spans="1:1">
      <c r="A5947">
        <v>5946</v>
      </c>
    </row>
    <row r="5948" spans="1:1">
      <c r="A5948">
        <v>5947</v>
      </c>
    </row>
    <row r="5949" spans="1:1">
      <c r="A5949">
        <v>5948</v>
      </c>
    </row>
    <row r="5950" spans="1:1">
      <c r="A5950">
        <v>5949</v>
      </c>
    </row>
    <row r="5951" spans="1:1">
      <c r="A5951">
        <v>5950</v>
      </c>
    </row>
    <row r="5952" spans="1:1">
      <c r="A5952">
        <v>5951</v>
      </c>
    </row>
    <row r="5953" spans="1:1">
      <c r="A5953">
        <v>5952</v>
      </c>
    </row>
    <row r="5954" spans="1:1">
      <c r="A5954">
        <v>5953</v>
      </c>
    </row>
    <row r="5955" spans="1:1">
      <c r="A5955">
        <v>5954</v>
      </c>
    </row>
    <row r="5956" spans="1:1">
      <c r="A5956">
        <v>5955</v>
      </c>
    </row>
    <row r="5957" spans="1:1">
      <c r="A5957">
        <v>5956</v>
      </c>
    </row>
    <row r="5958" spans="1:1">
      <c r="A5958">
        <v>5957</v>
      </c>
    </row>
    <row r="5959" spans="1:1">
      <c r="A5959">
        <v>5958</v>
      </c>
    </row>
    <row r="5960" spans="1:1">
      <c r="A5960">
        <v>5959</v>
      </c>
    </row>
    <row r="5961" spans="1:1">
      <c r="A5961">
        <v>5960</v>
      </c>
    </row>
    <row r="5962" spans="1:1">
      <c r="A5962">
        <v>5961</v>
      </c>
    </row>
    <row r="5963" spans="1:1">
      <c r="A5963">
        <v>5962</v>
      </c>
    </row>
    <row r="5964" spans="1:1">
      <c r="A5964">
        <v>5963</v>
      </c>
    </row>
    <row r="5965" spans="1:1">
      <c r="A5965">
        <v>5964</v>
      </c>
    </row>
    <row r="5966" spans="1:1">
      <c r="A5966">
        <v>5965</v>
      </c>
    </row>
    <row r="5967" spans="1:1">
      <c r="A5967">
        <v>5966</v>
      </c>
    </row>
    <row r="5968" spans="1:1">
      <c r="A5968">
        <v>5967</v>
      </c>
    </row>
    <row r="5969" spans="1:1">
      <c r="A5969">
        <v>5968</v>
      </c>
    </row>
    <row r="5970" spans="1:1">
      <c r="A5970">
        <v>5969</v>
      </c>
    </row>
    <row r="5971" spans="1:1">
      <c r="A5971">
        <v>5970</v>
      </c>
    </row>
    <row r="5972" spans="1:1">
      <c r="A5972">
        <v>5971</v>
      </c>
    </row>
    <row r="5973" spans="1:1">
      <c r="A5973">
        <v>5972</v>
      </c>
    </row>
    <row r="5974" spans="1:1">
      <c r="A5974">
        <v>5973</v>
      </c>
    </row>
    <row r="5975" spans="1:1">
      <c r="A5975">
        <v>5974</v>
      </c>
    </row>
    <row r="5976" spans="1:1">
      <c r="A5976">
        <v>5975</v>
      </c>
    </row>
    <row r="5977" spans="1:1">
      <c r="A5977">
        <v>5976</v>
      </c>
    </row>
    <row r="5978" spans="1:1">
      <c r="A5978">
        <v>5977</v>
      </c>
    </row>
    <row r="5979" spans="1:1">
      <c r="A5979">
        <v>5978</v>
      </c>
    </row>
    <row r="5980" spans="1:1">
      <c r="A5980">
        <v>5979</v>
      </c>
    </row>
    <row r="5981" spans="1:1">
      <c r="A5981">
        <v>5980</v>
      </c>
    </row>
    <row r="5982" spans="1:1">
      <c r="A5982">
        <v>5981</v>
      </c>
    </row>
    <row r="5983" spans="1:1">
      <c r="A5983">
        <v>5982</v>
      </c>
    </row>
    <row r="5984" spans="1:1">
      <c r="A5984">
        <v>5983</v>
      </c>
    </row>
    <row r="5985" spans="1:1">
      <c r="A5985">
        <v>5984</v>
      </c>
    </row>
    <row r="5986" spans="1:1">
      <c r="A5986">
        <v>5985</v>
      </c>
    </row>
    <row r="5987" spans="1:1">
      <c r="A5987">
        <v>5986</v>
      </c>
    </row>
    <row r="5988" spans="1:1">
      <c r="A5988">
        <v>5987</v>
      </c>
    </row>
    <row r="5989" spans="1:1">
      <c r="A5989">
        <v>5988</v>
      </c>
    </row>
    <row r="5990" spans="1:1">
      <c r="A5990">
        <v>5989</v>
      </c>
    </row>
    <row r="5991" spans="1:1">
      <c r="A5991">
        <v>5990</v>
      </c>
    </row>
    <row r="5992" spans="1:1">
      <c r="A5992">
        <v>5991</v>
      </c>
    </row>
    <row r="5993" spans="1:1">
      <c r="A5993">
        <v>5992</v>
      </c>
    </row>
    <row r="5994" spans="1:1">
      <c r="A5994">
        <v>5993</v>
      </c>
    </row>
    <row r="5995" spans="1:1">
      <c r="A5995">
        <v>5994</v>
      </c>
    </row>
    <row r="5996" spans="1:1">
      <c r="A5996">
        <v>5995</v>
      </c>
    </row>
    <row r="5997" spans="1:1">
      <c r="A5997">
        <v>5996</v>
      </c>
    </row>
    <row r="5998" spans="1:1">
      <c r="A5998">
        <v>5997</v>
      </c>
    </row>
    <row r="5999" spans="1:1">
      <c r="A5999">
        <v>5998</v>
      </c>
    </row>
    <row r="6000" spans="1:1">
      <c r="A6000">
        <v>5999</v>
      </c>
    </row>
    <row r="6001" spans="1:1">
      <c r="A6001">
        <v>6000</v>
      </c>
    </row>
    <row r="6002" spans="1:1">
      <c r="A6002">
        <v>6001</v>
      </c>
    </row>
    <row r="6003" spans="1:1">
      <c r="A6003">
        <v>6002</v>
      </c>
    </row>
    <row r="6004" spans="1:1">
      <c r="A6004">
        <v>6003</v>
      </c>
    </row>
    <row r="6005" spans="1:1">
      <c r="A6005">
        <v>6004</v>
      </c>
    </row>
    <row r="6006" spans="1:1">
      <c r="A6006">
        <v>6005</v>
      </c>
    </row>
    <row r="6007" spans="1:1">
      <c r="A6007">
        <v>6006</v>
      </c>
    </row>
    <row r="6008" spans="1:1">
      <c r="A6008">
        <v>6007</v>
      </c>
    </row>
    <row r="6009" spans="1:1">
      <c r="A6009">
        <v>6008</v>
      </c>
    </row>
    <row r="6010" spans="1:1">
      <c r="A6010">
        <v>6009</v>
      </c>
    </row>
    <row r="6011" spans="1:1">
      <c r="A6011">
        <v>6010</v>
      </c>
    </row>
    <row r="6012" spans="1:1">
      <c r="A6012">
        <v>6011</v>
      </c>
    </row>
    <row r="6013" spans="1:1">
      <c r="A6013">
        <v>6012</v>
      </c>
    </row>
    <row r="6014" spans="1:1">
      <c r="A6014">
        <v>6013</v>
      </c>
    </row>
    <row r="6015" spans="1:1">
      <c r="A6015">
        <v>6014</v>
      </c>
    </row>
    <row r="6016" spans="1:1">
      <c r="A6016">
        <v>6015</v>
      </c>
    </row>
    <row r="6017" spans="1:1">
      <c r="A6017">
        <v>6016</v>
      </c>
    </row>
    <row r="6018" spans="1:1">
      <c r="A6018">
        <v>6017</v>
      </c>
    </row>
    <row r="6019" spans="1:1">
      <c r="A6019">
        <v>6018</v>
      </c>
    </row>
    <row r="6020" spans="1:1">
      <c r="A6020">
        <v>6019</v>
      </c>
    </row>
    <row r="6021" spans="1:1">
      <c r="A6021">
        <v>6020</v>
      </c>
    </row>
    <row r="6022" spans="1:1">
      <c r="A6022">
        <v>6021</v>
      </c>
    </row>
    <row r="6023" spans="1:1">
      <c r="A6023">
        <v>6022</v>
      </c>
    </row>
    <row r="6024" spans="1:1">
      <c r="A6024">
        <v>6023</v>
      </c>
    </row>
    <row r="6025" spans="1:1">
      <c r="A6025">
        <v>6024</v>
      </c>
    </row>
    <row r="6026" spans="1:1">
      <c r="A6026">
        <v>6025</v>
      </c>
    </row>
    <row r="6027" spans="1:1">
      <c r="A6027">
        <v>6026</v>
      </c>
    </row>
    <row r="6028" spans="1:1">
      <c r="A6028">
        <v>6027</v>
      </c>
    </row>
    <row r="6029" spans="1:1">
      <c r="A6029">
        <v>6028</v>
      </c>
    </row>
    <row r="6030" spans="1:1">
      <c r="A6030">
        <v>6029</v>
      </c>
    </row>
    <row r="6031" spans="1:1">
      <c r="A6031">
        <v>6030</v>
      </c>
    </row>
    <row r="6032" spans="1:1">
      <c r="A6032">
        <v>6031</v>
      </c>
    </row>
    <row r="6033" spans="1:1">
      <c r="A6033">
        <v>6032</v>
      </c>
    </row>
    <row r="6034" spans="1:1">
      <c r="A6034">
        <v>6033</v>
      </c>
    </row>
    <row r="6035" spans="1:1">
      <c r="A6035">
        <v>6034</v>
      </c>
    </row>
    <row r="6036" spans="1:1">
      <c r="A6036">
        <v>6035</v>
      </c>
    </row>
    <row r="6037" spans="1:1">
      <c r="A6037">
        <v>6036</v>
      </c>
    </row>
    <row r="6038" spans="1:1">
      <c r="A6038">
        <v>6037</v>
      </c>
    </row>
    <row r="6039" spans="1:1">
      <c r="A6039">
        <v>6038</v>
      </c>
    </row>
    <row r="6040" spans="1:1">
      <c r="A6040">
        <v>6039</v>
      </c>
    </row>
    <row r="6041" spans="1:1">
      <c r="A6041">
        <v>6040</v>
      </c>
    </row>
    <row r="6042" spans="1:1">
      <c r="A6042">
        <v>6041</v>
      </c>
    </row>
    <row r="6043" spans="1:1">
      <c r="A6043">
        <v>6042</v>
      </c>
    </row>
    <row r="6044" spans="1:1">
      <c r="A6044">
        <v>6043</v>
      </c>
    </row>
    <row r="6045" spans="1:1">
      <c r="A6045">
        <v>6044</v>
      </c>
    </row>
    <row r="6046" spans="1:1">
      <c r="A6046">
        <v>6045</v>
      </c>
    </row>
    <row r="6047" spans="1:1">
      <c r="A6047">
        <v>6046</v>
      </c>
    </row>
    <row r="6048" spans="1:1">
      <c r="A6048">
        <v>6047</v>
      </c>
    </row>
    <row r="6049" spans="1:1">
      <c r="A6049">
        <v>6048</v>
      </c>
    </row>
    <row r="6050" spans="1:1">
      <c r="A6050">
        <v>6049</v>
      </c>
    </row>
    <row r="6051" spans="1:1">
      <c r="A6051">
        <v>6050</v>
      </c>
    </row>
    <row r="6052" spans="1:1">
      <c r="A6052">
        <v>6051</v>
      </c>
    </row>
    <row r="6053" spans="1:1">
      <c r="A6053">
        <v>6052</v>
      </c>
    </row>
    <row r="6054" spans="1:1">
      <c r="A6054">
        <v>6053</v>
      </c>
    </row>
    <row r="6055" spans="1:1">
      <c r="A6055">
        <v>6054</v>
      </c>
    </row>
    <row r="6056" spans="1:1">
      <c r="A6056">
        <v>6055</v>
      </c>
    </row>
    <row r="6057" spans="1:1">
      <c r="A6057">
        <v>6056</v>
      </c>
    </row>
    <row r="6058" spans="1:1">
      <c r="A6058">
        <v>6057</v>
      </c>
    </row>
    <row r="6059" spans="1:1">
      <c r="A6059">
        <v>6058</v>
      </c>
    </row>
    <row r="6060" spans="1:1">
      <c r="A6060">
        <v>6059</v>
      </c>
    </row>
    <row r="6061" spans="1:1">
      <c r="A6061">
        <v>6060</v>
      </c>
    </row>
    <row r="6062" spans="1:1">
      <c r="A6062">
        <v>6061</v>
      </c>
    </row>
    <row r="6063" spans="1:1">
      <c r="A6063">
        <v>6062</v>
      </c>
    </row>
    <row r="6064" spans="1:1">
      <c r="A6064">
        <v>6063</v>
      </c>
    </row>
    <row r="6065" spans="1:1">
      <c r="A6065">
        <v>6064</v>
      </c>
    </row>
    <row r="6066" spans="1:1">
      <c r="A6066">
        <v>6065</v>
      </c>
    </row>
    <row r="6067" spans="1:1">
      <c r="A6067">
        <v>6066</v>
      </c>
    </row>
    <row r="6068" spans="1:1">
      <c r="A6068">
        <v>6067</v>
      </c>
    </row>
    <row r="6069" spans="1:1">
      <c r="A6069">
        <v>6068</v>
      </c>
    </row>
    <row r="6070" spans="1:1">
      <c r="A6070">
        <v>6069</v>
      </c>
    </row>
    <row r="6071" spans="1:1">
      <c r="A6071">
        <v>6070</v>
      </c>
    </row>
    <row r="6072" spans="1:1">
      <c r="A6072">
        <v>6071</v>
      </c>
    </row>
    <row r="6073" spans="1:1">
      <c r="A6073">
        <v>6072</v>
      </c>
    </row>
    <row r="6074" spans="1:1">
      <c r="A6074">
        <v>6073</v>
      </c>
    </row>
    <row r="6075" spans="1:1">
      <c r="A6075">
        <v>6074</v>
      </c>
    </row>
    <row r="6076" spans="1:1">
      <c r="A6076">
        <v>6075</v>
      </c>
    </row>
    <row r="6077" spans="1:1">
      <c r="A6077">
        <v>6076</v>
      </c>
    </row>
    <row r="6078" spans="1:1">
      <c r="A6078">
        <v>6077</v>
      </c>
    </row>
    <row r="6079" spans="1:1">
      <c r="A6079">
        <v>6078</v>
      </c>
    </row>
    <row r="6080" spans="1:1">
      <c r="A6080">
        <v>6079</v>
      </c>
    </row>
    <row r="6081" spans="1:1">
      <c r="A6081">
        <v>6080</v>
      </c>
    </row>
    <row r="6082" spans="1:1">
      <c r="A6082">
        <v>6081</v>
      </c>
    </row>
    <row r="6083" spans="1:1">
      <c r="A6083">
        <v>6082</v>
      </c>
    </row>
    <row r="6084" spans="1:1">
      <c r="A6084">
        <v>6083</v>
      </c>
    </row>
    <row r="6085" spans="1:1">
      <c r="A6085">
        <v>6084</v>
      </c>
    </row>
    <row r="6086" spans="1:1">
      <c r="A6086">
        <v>6085</v>
      </c>
    </row>
    <row r="6087" spans="1:1">
      <c r="A6087">
        <v>6086</v>
      </c>
    </row>
    <row r="6088" spans="1:1">
      <c r="A6088">
        <v>6087</v>
      </c>
    </row>
    <row r="6089" spans="1:1">
      <c r="A6089">
        <v>6088</v>
      </c>
    </row>
    <row r="6090" spans="1:1">
      <c r="A6090">
        <v>6089</v>
      </c>
    </row>
    <row r="6091" spans="1:1">
      <c r="A6091">
        <v>6090</v>
      </c>
    </row>
    <row r="6092" spans="1:1">
      <c r="A6092">
        <v>6091</v>
      </c>
    </row>
    <row r="6093" spans="1:1">
      <c r="A6093">
        <v>6092</v>
      </c>
    </row>
    <row r="6094" spans="1:1">
      <c r="A6094">
        <v>6093</v>
      </c>
    </row>
    <row r="6095" spans="1:1">
      <c r="A6095">
        <v>6094</v>
      </c>
    </row>
    <row r="6096" spans="1:1">
      <c r="A6096">
        <v>6095</v>
      </c>
    </row>
    <row r="6097" spans="1:1">
      <c r="A6097">
        <v>6096</v>
      </c>
    </row>
    <row r="6098" spans="1:1">
      <c r="A6098">
        <v>6097</v>
      </c>
    </row>
    <row r="6099" spans="1:1">
      <c r="A6099">
        <v>6098</v>
      </c>
    </row>
    <row r="6100" spans="1:1">
      <c r="A6100">
        <v>6099</v>
      </c>
    </row>
    <row r="6101" spans="1:1">
      <c r="A6101">
        <v>6100</v>
      </c>
    </row>
    <row r="6102" spans="1:1">
      <c r="A6102">
        <v>6101</v>
      </c>
    </row>
    <row r="6103" spans="1:1">
      <c r="A6103">
        <v>6102</v>
      </c>
    </row>
    <row r="6104" spans="1:1">
      <c r="A6104">
        <v>6103</v>
      </c>
    </row>
    <row r="6105" spans="1:1">
      <c r="A6105">
        <v>6104</v>
      </c>
    </row>
    <row r="6106" spans="1:1">
      <c r="A6106">
        <v>6105</v>
      </c>
    </row>
    <row r="6107" spans="1:1">
      <c r="A6107">
        <v>6106</v>
      </c>
    </row>
    <row r="6108" spans="1:1">
      <c r="A6108">
        <v>6107</v>
      </c>
    </row>
    <row r="6109" spans="1:1">
      <c r="A6109">
        <v>6108</v>
      </c>
    </row>
    <row r="6110" spans="1:1">
      <c r="A6110">
        <v>6109</v>
      </c>
    </row>
    <row r="6111" spans="1:1">
      <c r="A6111">
        <v>6110</v>
      </c>
    </row>
    <row r="6112" spans="1:1">
      <c r="A6112">
        <v>6111</v>
      </c>
    </row>
    <row r="6113" spans="1:1">
      <c r="A6113">
        <v>6112</v>
      </c>
    </row>
    <row r="6114" spans="1:1">
      <c r="A6114">
        <v>6113</v>
      </c>
    </row>
    <row r="6115" spans="1:1">
      <c r="A6115">
        <v>6114</v>
      </c>
    </row>
    <row r="6116" spans="1:1">
      <c r="A6116">
        <v>6115</v>
      </c>
    </row>
    <row r="6117" spans="1:1">
      <c r="A6117">
        <v>6116</v>
      </c>
    </row>
    <row r="6118" spans="1:1">
      <c r="A6118">
        <v>6117</v>
      </c>
    </row>
    <row r="6119" spans="1:1">
      <c r="A6119">
        <v>6118</v>
      </c>
    </row>
    <row r="6120" spans="1:1">
      <c r="A6120">
        <v>6119</v>
      </c>
    </row>
    <row r="6121" spans="1:1">
      <c r="A6121">
        <v>6120</v>
      </c>
    </row>
    <row r="6122" spans="1:1">
      <c r="A6122">
        <v>6121</v>
      </c>
    </row>
    <row r="6123" spans="1:1">
      <c r="A6123">
        <v>6122</v>
      </c>
    </row>
    <row r="6124" spans="1:1">
      <c r="A6124">
        <v>6123</v>
      </c>
    </row>
    <row r="6125" spans="1:1">
      <c r="A6125">
        <v>6124</v>
      </c>
    </row>
    <row r="6126" spans="1:1">
      <c r="A6126">
        <v>6125</v>
      </c>
    </row>
    <row r="6127" spans="1:1">
      <c r="A6127">
        <v>6126</v>
      </c>
    </row>
    <row r="6128" spans="1:1">
      <c r="A6128">
        <v>6127</v>
      </c>
    </row>
    <row r="6129" spans="1:1">
      <c r="A6129">
        <v>6128</v>
      </c>
    </row>
    <row r="6130" spans="1:1">
      <c r="A6130">
        <v>6129</v>
      </c>
    </row>
    <row r="6131" spans="1:1">
      <c r="A6131">
        <v>6130</v>
      </c>
    </row>
    <row r="6132" spans="1:1">
      <c r="A6132">
        <v>6131</v>
      </c>
    </row>
    <row r="6133" spans="1:1">
      <c r="A6133">
        <v>6132</v>
      </c>
    </row>
    <row r="6134" spans="1:1">
      <c r="A6134">
        <v>6133</v>
      </c>
    </row>
    <row r="6135" spans="1:1">
      <c r="A6135">
        <v>6134</v>
      </c>
    </row>
    <row r="6136" spans="1:1">
      <c r="A6136">
        <v>6135</v>
      </c>
    </row>
    <row r="6137" spans="1:1">
      <c r="A6137">
        <v>6136</v>
      </c>
    </row>
    <row r="6138" spans="1:1">
      <c r="A6138">
        <v>6137</v>
      </c>
    </row>
    <row r="6139" spans="1:1">
      <c r="A6139">
        <v>6138</v>
      </c>
    </row>
    <row r="6140" spans="1:1">
      <c r="A6140">
        <v>6139</v>
      </c>
    </row>
    <row r="6141" spans="1:1">
      <c r="A6141">
        <v>6140</v>
      </c>
    </row>
    <row r="6142" spans="1:1">
      <c r="A6142">
        <v>6141</v>
      </c>
    </row>
    <row r="6143" spans="1:1">
      <c r="A6143">
        <v>6142</v>
      </c>
    </row>
    <row r="6144" spans="1:1">
      <c r="A6144">
        <v>6143</v>
      </c>
    </row>
    <row r="6145" spans="1:1">
      <c r="A6145">
        <v>6144</v>
      </c>
    </row>
    <row r="6146" spans="1:1">
      <c r="A6146">
        <v>6145</v>
      </c>
    </row>
    <row r="6147" spans="1:1">
      <c r="A6147">
        <v>6146</v>
      </c>
    </row>
    <row r="6148" spans="1:1">
      <c r="A6148">
        <v>6147</v>
      </c>
    </row>
    <row r="6149" spans="1:1">
      <c r="A6149">
        <v>6148</v>
      </c>
    </row>
    <row r="6150" spans="1:1">
      <c r="A6150">
        <v>6149</v>
      </c>
    </row>
    <row r="6151" spans="1:1">
      <c r="A6151">
        <v>6150</v>
      </c>
    </row>
    <row r="6152" spans="1:1">
      <c r="A6152">
        <v>6151</v>
      </c>
    </row>
    <row r="6153" spans="1:1">
      <c r="A6153">
        <v>6152</v>
      </c>
    </row>
    <row r="6154" spans="1:1">
      <c r="A6154">
        <v>6153</v>
      </c>
    </row>
    <row r="6155" spans="1:1">
      <c r="A6155">
        <v>6154</v>
      </c>
    </row>
    <row r="6156" spans="1:1">
      <c r="A6156">
        <v>6155</v>
      </c>
    </row>
    <row r="6157" spans="1:1">
      <c r="A6157">
        <v>6156</v>
      </c>
    </row>
    <row r="6158" spans="1:1">
      <c r="A6158">
        <v>6157</v>
      </c>
    </row>
    <row r="6159" spans="1:1">
      <c r="A6159">
        <v>6158</v>
      </c>
    </row>
    <row r="6160" spans="1:1">
      <c r="A6160">
        <v>6159</v>
      </c>
    </row>
    <row r="6161" spans="1:1">
      <c r="A6161">
        <v>6160</v>
      </c>
    </row>
    <row r="6162" spans="1:1">
      <c r="A6162">
        <v>6161</v>
      </c>
    </row>
    <row r="6163" spans="1:1">
      <c r="A6163">
        <v>6162</v>
      </c>
    </row>
    <row r="6164" spans="1:1">
      <c r="A6164">
        <v>6163</v>
      </c>
    </row>
    <row r="6165" spans="1:1">
      <c r="A6165">
        <v>6164</v>
      </c>
    </row>
    <row r="6166" spans="1:1">
      <c r="A6166">
        <v>6165</v>
      </c>
    </row>
    <row r="6167" spans="1:1">
      <c r="A6167">
        <v>6166</v>
      </c>
    </row>
    <row r="6168" spans="1:1">
      <c r="A6168">
        <v>6167</v>
      </c>
    </row>
    <row r="6169" spans="1:1">
      <c r="A6169">
        <v>6168</v>
      </c>
    </row>
    <row r="6170" spans="1:1">
      <c r="A6170">
        <v>6169</v>
      </c>
    </row>
    <row r="6171" spans="1:1">
      <c r="A6171">
        <v>6170</v>
      </c>
    </row>
    <row r="6172" spans="1:1">
      <c r="A6172">
        <v>6171</v>
      </c>
    </row>
    <row r="6173" spans="1:1">
      <c r="A6173">
        <v>6172</v>
      </c>
    </row>
    <row r="6174" spans="1:1">
      <c r="A6174">
        <v>6173</v>
      </c>
    </row>
    <row r="6175" spans="1:1">
      <c r="A6175">
        <v>6174</v>
      </c>
    </row>
    <row r="6176" spans="1:1">
      <c r="A6176">
        <v>6175</v>
      </c>
    </row>
    <row r="6177" spans="1:1">
      <c r="A6177">
        <v>6176</v>
      </c>
    </row>
    <row r="6178" spans="1:1">
      <c r="A6178">
        <v>6177</v>
      </c>
    </row>
    <row r="6179" spans="1:1">
      <c r="A6179">
        <v>6178</v>
      </c>
    </row>
    <row r="6180" spans="1:1">
      <c r="A6180">
        <v>6179</v>
      </c>
    </row>
    <row r="6181" spans="1:1">
      <c r="A6181">
        <v>6180</v>
      </c>
    </row>
    <row r="6182" spans="1:1">
      <c r="A6182">
        <v>6181</v>
      </c>
    </row>
    <row r="6183" spans="1:1">
      <c r="A6183">
        <v>6182</v>
      </c>
    </row>
    <row r="6184" spans="1:1">
      <c r="A6184">
        <v>6183</v>
      </c>
    </row>
    <row r="6185" spans="1:1">
      <c r="A6185">
        <v>6184</v>
      </c>
    </row>
    <row r="6186" spans="1:1">
      <c r="A6186">
        <v>6185</v>
      </c>
    </row>
    <row r="6187" spans="1:1">
      <c r="A6187">
        <v>6186</v>
      </c>
    </row>
    <row r="6188" spans="1:1">
      <c r="A6188">
        <v>6187</v>
      </c>
    </row>
    <row r="6189" spans="1:1">
      <c r="A6189">
        <v>6188</v>
      </c>
    </row>
    <row r="6190" spans="1:1">
      <c r="A6190">
        <v>6189</v>
      </c>
    </row>
    <row r="6191" spans="1:1">
      <c r="A6191">
        <v>6190</v>
      </c>
    </row>
    <row r="6192" spans="1:1">
      <c r="A6192">
        <v>6191</v>
      </c>
    </row>
    <row r="6193" spans="1:1">
      <c r="A6193">
        <v>6192</v>
      </c>
    </row>
    <row r="6194" spans="1:1">
      <c r="A6194">
        <v>6193</v>
      </c>
    </row>
    <row r="6195" spans="1:1">
      <c r="A6195">
        <v>6194</v>
      </c>
    </row>
    <row r="6196" spans="1:1">
      <c r="A6196">
        <v>6195</v>
      </c>
    </row>
    <row r="6197" spans="1:1">
      <c r="A6197">
        <v>6196</v>
      </c>
    </row>
    <row r="6198" spans="1:1">
      <c r="A6198">
        <v>6197</v>
      </c>
    </row>
    <row r="6199" spans="1:1">
      <c r="A6199">
        <v>6198</v>
      </c>
    </row>
    <row r="6200" spans="1:1">
      <c r="A6200">
        <v>6199</v>
      </c>
    </row>
    <row r="6201" spans="1:1">
      <c r="A6201">
        <v>6200</v>
      </c>
    </row>
    <row r="6202" spans="1:1">
      <c r="A6202">
        <v>6201</v>
      </c>
    </row>
    <row r="6203" spans="1:1">
      <c r="A6203">
        <v>6202</v>
      </c>
    </row>
    <row r="6204" spans="1:1">
      <c r="A6204">
        <v>6203</v>
      </c>
    </row>
    <row r="6205" spans="1:1">
      <c r="A6205">
        <v>6204</v>
      </c>
    </row>
    <row r="6206" spans="1:1">
      <c r="A6206">
        <v>6205</v>
      </c>
    </row>
    <row r="6207" spans="1:1">
      <c r="A6207">
        <v>6206</v>
      </c>
    </row>
    <row r="6208" spans="1:1">
      <c r="A6208">
        <v>6207</v>
      </c>
    </row>
    <row r="6209" spans="1:1">
      <c r="A6209">
        <v>6208</v>
      </c>
    </row>
    <row r="6210" spans="1:1">
      <c r="A6210">
        <v>6209</v>
      </c>
    </row>
    <row r="6211" spans="1:1">
      <c r="A6211">
        <v>6210</v>
      </c>
    </row>
    <row r="6212" spans="1:1">
      <c r="A6212">
        <v>6211</v>
      </c>
    </row>
    <row r="6213" spans="1:1">
      <c r="A6213">
        <v>6212</v>
      </c>
    </row>
    <row r="6214" spans="1:1">
      <c r="A6214">
        <v>6213</v>
      </c>
    </row>
    <row r="6215" spans="1:1">
      <c r="A6215">
        <v>6214</v>
      </c>
    </row>
    <row r="6216" spans="1:1">
      <c r="A6216">
        <v>6215</v>
      </c>
    </row>
    <row r="6217" spans="1:1">
      <c r="A6217">
        <v>6216</v>
      </c>
    </row>
    <row r="6218" spans="1:1">
      <c r="A6218">
        <v>6217</v>
      </c>
    </row>
    <row r="6219" spans="1:1">
      <c r="A6219">
        <v>6218</v>
      </c>
    </row>
    <row r="6220" spans="1:1">
      <c r="A6220">
        <v>6219</v>
      </c>
    </row>
    <row r="6221" spans="1:1">
      <c r="A6221">
        <v>6220</v>
      </c>
    </row>
    <row r="6222" spans="1:1">
      <c r="A6222">
        <v>6221</v>
      </c>
    </row>
    <row r="6223" spans="1:1">
      <c r="A6223">
        <v>6222</v>
      </c>
    </row>
    <row r="6224" spans="1:1">
      <c r="A6224">
        <v>6223</v>
      </c>
    </row>
    <row r="6225" spans="1:1">
      <c r="A6225">
        <v>6224</v>
      </c>
    </row>
    <row r="6226" spans="1:1">
      <c r="A6226">
        <v>6225</v>
      </c>
    </row>
    <row r="6227" spans="1:1">
      <c r="A6227">
        <v>6226</v>
      </c>
    </row>
    <row r="6228" spans="1:1">
      <c r="A6228">
        <v>6227</v>
      </c>
    </row>
    <row r="6229" spans="1:1">
      <c r="A6229">
        <v>6228</v>
      </c>
    </row>
    <row r="6230" spans="1:1">
      <c r="A6230">
        <v>6229</v>
      </c>
    </row>
    <row r="6231" spans="1:1">
      <c r="A6231">
        <v>6230</v>
      </c>
    </row>
    <row r="6232" spans="1:1">
      <c r="A6232">
        <v>6231</v>
      </c>
    </row>
    <row r="6233" spans="1:1">
      <c r="A6233">
        <v>6232</v>
      </c>
    </row>
    <row r="6234" spans="1:1">
      <c r="A6234">
        <v>6233</v>
      </c>
    </row>
    <row r="6235" spans="1:1">
      <c r="A6235">
        <v>6234</v>
      </c>
    </row>
    <row r="6236" spans="1:1">
      <c r="A6236">
        <v>6235</v>
      </c>
    </row>
    <row r="6237" spans="1:1">
      <c r="A6237">
        <v>6236</v>
      </c>
    </row>
    <row r="6238" spans="1:1">
      <c r="A6238">
        <v>6237</v>
      </c>
    </row>
    <row r="6239" spans="1:1">
      <c r="A6239">
        <v>6238</v>
      </c>
    </row>
    <row r="6240" spans="1:1">
      <c r="A6240">
        <v>6239</v>
      </c>
    </row>
    <row r="6241" spans="1:1">
      <c r="A6241">
        <v>6240</v>
      </c>
    </row>
    <row r="6242" spans="1:1">
      <c r="A6242">
        <v>6241</v>
      </c>
    </row>
    <row r="6243" spans="1:1">
      <c r="A6243">
        <v>6242</v>
      </c>
    </row>
    <row r="6244" spans="1:1">
      <c r="A6244">
        <v>6243</v>
      </c>
    </row>
    <row r="6245" spans="1:1">
      <c r="A6245">
        <v>6244</v>
      </c>
    </row>
    <row r="6246" spans="1:1">
      <c r="A6246">
        <v>6245</v>
      </c>
    </row>
    <row r="6247" spans="1:1">
      <c r="A6247">
        <v>6246</v>
      </c>
    </row>
    <row r="6248" spans="1:1">
      <c r="A6248">
        <v>6247</v>
      </c>
    </row>
    <row r="6249" spans="1:1">
      <c r="A6249">
        <v>6248</v>
      </c>
    </row>
    <row r="6250" spans="1:1">
      <c r="A6250">
        <v>6249</v>
      </c>
    </row>
    <row r="6251" spans="1:1">
      <c r="A6251">
        <v>6250</v>
      </c>
    </row>
    <row r="6252" spans="1:1">
      <c r="A6252">
        <v>6251</v>
      </c>
    </row>
    <row r="6253" spans="1:1">
      <c r="A6253">
        <v>6252</v>
      </c>
    </row>
    <row r="6254" spans="1:1">
      <c r="A6254">
        <v>6253</v>
      </c>
    </row>
    <row r="6255" spans="1:1">
      <c r="A6255">
        <v>6254</v>
      </c>
    </row>
    <row r="6256" spans="1:1">
      <c r="A6256">
        <v>6255</v>
      </c>
    </row>
    <row r="6257" spans="1:1">
      <c r="A6257">
        <v>6256</v>
      </c>
    </row>
    <row r="6258" spans="1:1">
      <c r="A6258">
        <v>6257</v>
      </c>
    </row>
    <row r="6259" spans="1:1">
      <c r="A6259">
        <v>6258</v>
      </c>
    </row>
    <row r="6260" spans="1:1">
      <c r="A6260">
        <v>6259</v>
      </c>
    </row>
    <row r="6261" spans="1:1">
      <c r="A6261">
        <v>6260</v>
      </c>
    </row>
    <row r="6262" spans="1:1">
      <c r="A6262">
        <v>6261</v>
      </c>
    </row>
    <row r="6263" spans="1:1">
      <c r="A6263">
        <v>6262</v>
      </c>
    </row>
    <row r="6264" spans="1:1">
      <c r="A6264">
        <v>6263</v>
      </c>
    </row>
    <row r="6265" spans="1:1">
      <c r="A6265">
        <v>6264</v>
      </c>
    </row>
    <row r="6266" spans="1:1">
      <c r="A6266">
        <v>6265</v>
      </c>
    </row>
    <row r="6267" spans="1:1">
      <c r="A6267">
        <v>6266</v>
      </c>
    </row>
    <row r="6268" spans="1:1">
      <c r="A6268">
        <v>6267</v>
      </c>
    </row>
    <row r="6269" spans="1:1">
      <c r="A6269">
        <v>6268</v>
      </c>
    </row>
    <row r="6270" spans="1:1">
      <c r="A6270">
        <v>6269</v>
      </c>
    </row>
    <row r="6271" spans="1:1">
      <c r="A6271">
        <v>6270</v>
      </c>
    </row>
    <row r="6272" spans="1:1">
      <c r="A6272">
        <v>6271</v>
      </c>
    </row>
    <row r="6273" spans="1:1">
      <c r="A6273">
        <v>6272</v>
      </c>
    </row>
    <row r="6274" spans="1:1">
      <c r="A6274">
        <v>6273</v>
      </c>
    </row>
    <row r="6275" spans="1:1">
      <c r="A6275">
        <v>6274</v>
      </c>
    </row>
    <row r="6276" spans="1:1">
      <c r="A6276">
        <v>6275</v>
      </c>
    </row>
    <row r="6277" spans="1:1">
      <c r="A6277">
        <v>6276</v>
      </c>
    </row>
    <row r="6278" spans="1:1">
      <c r="A6278">
        <v>6277</v>
      </c>
    </row>
    <row r="6279" spans="1:1">
      <c r="A6279">
        <v>6278</v>
      </c>
    </row>
    <row r="6280" spans="1:1">
      <c r="A6280">
        <v>6279</v>
      </c>
    </row>
    <row r="6281" spans="1:1">
      <c r="A6281">
        <v>6280</v>
      </c>
    </row>
    <row r="6282" spans="1:1">
      <c r="A6282">
        <v>6281</v>
      </c>
    </row>
    <row r="6283" spans="1:1">
      <c r="A6283">
        <v>6282</v>
      </c>
    </row>
    <row r="6284" spans="1:1">
      <c r="A6284">
        <v>6283</v>
      </c>
    </row>
    <row r="6285" spans="1:1">
      <c r="A6285">
        <v>6284</v>
      </c>
    </row>
    <row r="6286" spans="1:1">
      <c r="A6286">
        <v>6285</v>
      </c>
    </row>
    <row r="6287" spans="1:1">
      <c r="A6287">
        <v>6286</v>
      </c>
    </row>
    <row r="6288" spans="1:1">
      <c r="A6288">
        <v>6287</v>
      </c>
    </row>
    <row r="6289" spans="1:1">
      <c r="A6289">
        <v>6288</v>
      </c>
    </row>
    <row r="6290" spans="1:1">
      <c r="A6290">
        <v>6289</v>
      </c>
    </row>
    <row r="6291" spans="1:1">
      <c r="A6291">
        <v>6290</v>
      </c>
    </row>
    <row r="6292" spans="1:1">
      <c r="A6292">
        <v>6291</v>
      </c>
    </row>
    <row r="6293" spans="1:1">
      <c r="A6293">
        <v>6292</v>
      </c>
    </row>
    <row r="6294" spans="1:1">
      <c r="A6294">
        <v>6293</v>
      </c>
    </row>
    <row r="6295" spans="1:1">
      <c r="A6295">
        <v>6294</v>
      </c>
    </row>
    <row r="6296" spans="1:1">
      <c r="A6296">
        <v>6295</v>
      </c>
    </row>
    <row r="6297" spans="1:1">
      <c r="A6297">
        <v>6296</v>
      </c>
    </row>
    <row r="6298" spans="1:1">
      <c r="A6298">
        <v>6297</v>
      </c>
    </row>
    <row r="6299" spans="1:1">
      <c r="A6299">
        <v>6298</v>
      </c>
    </row>
    <row r="6300" spans="1:1">
      <c r="A6300">
        <v>6299</v>
      </c>
    </row>
    <row r="6301" spans="1:1">
      <c r="A6301">
        <v>6300</v>
      </c>
    </row>
    <row r="6302" spans="1:1">
      <c r="A6302">
        <v>6301</v>
      </c>
    </row>
    <row r="6303" spans="1:1">
      <c r="A6303">
        <v>6302</v>
      </c>
    </row>
    <row r="6304" spans="1:1">
      <c r="A6304">
        <v>6303</v>
      </c>
    </row>
    <row r="6305" spans="1:1">
      <c r="A6305">
        <v>6304</v>
      </c>
    </row>
    <row r="6306" spans="1:1">
      <c r="A6306">
        <v>6305</v>
      </c>
    </row>
    <row r="6307" spans="1:1">
      <c r="A6307">
        <v>6306</v>
      </c>
    </row>
    <row r="6308" spans="1:1">
      <c r="A6308">
        <v>6307</v>
      </c>
    </row>
    <row r="6309" spans="1:1">
      <c r="A6309">
        <v>6308</v>
      </c>
    </row>
    <row r="6310" spans="1:1">
      <c r="A6310">
        <v>6309</v>
      </c>
    </row>
    <row r="6311" spans="1:1">
      <c r="A6311">
        <v>6310</v>
      </c>
    </row>
    <row r="6312" spans="1:1">
      <c r="A6312">
        <v>6311</v>
      </c>
    </row>
    <row r="6313" spans="1:1">
      <c r="A6313">
        <v>6312</v>
      </c>
    </row>
    <row r="6314" spans="1:1">
      <c r="A6314">
        <v>6313</v>
      </c>
    </row>
    <row r="6315" spans="1:1">
      <c r="A6315">
        <v>6314</v>
      </c>
    </row>
    <row r="6316" spans="1:1">
      <c r="A6316">
        <v>6315</v>
      </c>
    </row>
    <row r="6317" spans="1:1">
      <c r="A6317">
        <v>6316</v>
      </c>
    </row>
    <row r="6318" spans="1:1">
      <c r="A6318">
        <v>6317</v>
      </c>
    </row>
    <row r="6319" spans="1:1">
      <c r="A6319">
        <v>6318</v>
      </c>
    </row>
    <row r="6320" spans="1:1">
      <c r="A6320">
        <v>6319</v>
      </c>
    </row>
    <row r="6321" spans="1:1">
      <c r="A6321">
        <v>6320</v>
      </c>
    </row>
    <row r="6322" spans="1:1">
      <c r="A6322">
        <v>6321</v>
      </c>
    </row>
    <row r="6323" spans="1:1">
      <c r="A6323">
        <v>6322</v>
      </c>
    </row>
    <row r="6324" spans="1:1">
      <c r="A6324">
        <v>6323</v>
      </c>
    </row>
    <row r="6325" spans="1:1">
      <c r="A6325">
        <v>6324</v>
      </c>
    </row>
    <row r="6326" spans="1:1">
      <c r="A6326">
        <v>6325</v>
      </c>
    </row>
    <row r="6327" spans="1:1">
      <c r="A6327">
        <v>6326</v>
      </c>
    </row>
    <row r="6328" spans="1:1">
      <c r="A6328">
        <v>6327</v>
      </c>
    </row>
    <row r="6329" spans="1:1">
      <c r="A6329">
        <v>6328</v>
      </c>
    </row>
    <row r="6330" spans="1:1">
      <c r="A6330">
        <v>6329</v>
      </c>
    </row>
    <row r="6331" spans="1:1">
      <c r="A6331">
        <v>6330</v>
      </c>
    </row>
    <row r="6332" spans="1:1">
      <c r="A6332">
        <v>6331</v>
      </c>
    </row>
    <row r="6333" spans="1:1">
      <c r="A6333">
        <v>6332</v>
      </c>
    </row>
    <row r="6334" spans="1:1">
      <c r="A6334">
        <v>6333</v>
      </c>
    </row>
    <row r="6335" spans="1:1">
      <c r="A6335">
        <v>6334</v>
      </c>
    </row>
    <row r="6336" spans="1:1">
      <c r="A6336">
        <v>6335</v>
      </c>
    </row>
    <row r="6337" spans="1:1">
      <c r="A6337">
        <v>6336</v>
      </c>
    </row>
    <row r="6338" spans="1:1">
      <c r="A6338">
        <v>6337</v>
      </c>
    </row>
    <row r="6339" spans="1:1">
      <c r="A6339">
        <v>6338</v>
      </c>
    </row>
    <row r="6340" spans="1:1">
      <c r="A6340">
        <v>6339</v>
      </c>
    </row>
    <row r="6341" spans="1:1">
      <c r="A6341">
        <v>6340</v>
      </c>
    </row>
    <row r="6342" spans="1:1">
      <c r="A6342">
        <v>6341</v>
      </c>
    </row>
    <row r="6343" spans="1:1">
      <c r="A6343">
        <v>6342</v>
      </c>
    </row>
    <row r="6344" spans="1:1">
      <c r="A6344">
        <v>6343</v>
      </c>
    </row>
    <row r="6345" spans="1:1">
      <c r="A6345">
        <v>6344</v>
      </c>
    </row>
    <row r="6346" spans="1:1">
      <c r="A6346">
        <v>6345</v>
      </c>
    </row>
    <row r="6347" spans="1:1">
      <c r="A6347">
        <v>6346</v>
      </c>
    </row>
    <row r="6348" spans="1:1">
      <c r="A6348">
        <v>6347</v>
      </c>
    </row>
    <row r="6349" spans="1:1">
      <c r="A6349">
        <v>6348</v>
      </c>
    </row>
    <row r="6350" spans="1:1">
      <c r="A6350">
        <v>6349</v>
      </c>
    </row>
    <row r="6351" spans="1:1">
      <c r="A6351">
        <v>6350</v>
      </c>
    </row>
    <row r="6352" spans="1:1">
      <c r="A6352">
        <v>6351</v>
      </c>
    </row>
    <row r="6353" spans="1:1">
      <c r="A6353">
        <v>6352</v>
      </c>
    </row>
    <row r="6354" spans="1:1">
      <c r="A6354">
        <v>6353</v>
      </c>
    </row>
    <row r="6355" spans="1:1">
      <c r="A6355">
        <v>6354</v>
      </c>
    </row>
    <row r="6356" spans="1:1">
      <c r="A6356">
        <v>6355</v>
      </c>
    </row>
    <row r="6357" spans="1:1">
      <c r="A6357">
        <v>6356</v>
      </c>
    </row>
    <row r="6358" spans="1:1">
      <c r="A6358">
        <v>6357</v>
      </c>
    </row>
    <row r="6359" spans="1:1">
      <c r="A6359">
        <v>6358</v>
      </c>
    </row>
    <row r="6360" spans="1:1">
      <c r="A6360">
        <v>6359</v>
      </c>
    </row>
    <row r="6361" spans="1:1">
      <c r="A6361">
        <v>6360</v>
      </c>
    </row>
    <row r="6362" spans="1:1">
      <c r="A6362">
        <v>6361</v>
      </c>
    </row>
    <row r="6363" spans="1:1">
      <c r="A6363">
        <v>6362</v>
      </c>
    </row>
    <row r="6364" spans="1:1">
      <c r="A6364">
        <v>6363</v>
      </c>
    </row>
    <row r="6365" spans="1:1">
      <c r="A6365">
        <v>6364</v>
      </c>
    </row>
    <row r="6366" spans="1:1">
      <c r="A6366">
        <v>6365</v>
      </c>
    </row>
    <row r="6367" spans="1:1">
      <c r="A6367">
        <v>6366</v>
      </c>
    </row>
    <row r="6368" spans="1:1">
      <c r="A6368">
        <v>6367</v>
      </c>
    </row>
    <row r="6369" spans="1:1">
      <c r="A6369">
        <v>6368</v>
      </c>
    </row>
    <row r="6370" spans="1:1">
      <c r="A6370">
        <v>6369</v>
      </c>
    </row>
    <row r="6371" spans="1:1">
      <c r="A6371">
        <v>6370</v>
      </c>
    </row>
    <row r="6372" spans="1:1">
      <c r="A6372">
        <v>6371</v>
      </c>
    </row>
    <row r="6373" spans="1:1">
      <c r="A6373">
        <v>6372</v>
      </c>
    </row>
    <row r="6374" spans="1:1">
      <c r="A6374">
        <v>6373</v>
      </c>
    </row>
    <row r="6375" spans="1:1">
      <c r="A6375">
        <v>6374</v>
      </c>
    </row>
    <row r="6376" spans="1:1">
      <c r="A6376">
        <v>6375</v>
      </c>
    </row>
    <row r="6377" spans="1:1">
      <c r="A6377">
        <v>6376</v>
      </c>
    </row>
    <row r="6378" spans="1:1">
      <c r="A6378">
        <v>6377</v>
      </c>
    </row>
    <row r="6379" spans="1:1">
      <c r="A6379">
        <v>6378</v>
      </c>
    </row>
    <row r="6380" spans="1:1">
      <c r="A6380">
        <v>6379</v>
      </c>
    </row>
    <row r="6381" spans="1:1">
      <c r="A6381">
        <v>6380</v>
      </c>
    </row>
    <row r="6382" spans="1:1">
      <c r="A6382">
        <v>6381</v>
      </c>
    </row>
    <row r="6383" spans="1:1">
      <c r="A6383">
        <v>6382</v>
      </c>
    </row>
    <row r="6384" spans="1:1">
      <c r="A6384">
        <v>6383</v>
      </c>
    </row>
    <row r="6385" spans="1:1">
      <c r="A6385">
        <v>6384</v>
      </c>
    </row>
    <row r="6386" spans="1:1">
      <c r="A6386">
        <v>6385</v>
      </c>
    </row>
    <row r="6387" spans="1:1">
      <c r="A6387">
        <v>6386</v>
      </c>
    </row>
    <row r="6388" spans="1:1">
      <c r="A6388">
        <v>6387</v>
      </c>
    </row>
    <row r="6389" spans="1:1">
      <c r="A6389">
        <v>6388</v>
      </c>
    </row>
    <row r="6390" spans="1:1">
      <c r="A6390">
        <v>6389</v>
      </c>
    </row>
    <row r="6391" spans="1:1">
      <c r="A6391">
        <v>6390</v>
      </c>
    </row>
    <row r="6392" spans="1:1">
      <c r="A6392">
        <v>6391</v>
      </c>
    </row>
    <row r="6393" spans="1:1">
      <c r="A6393">
        <v>6392</v>
      </c>
    </row>
    <row r="6394" spans="1:1">
      <c r="A6394">
        <v>6393</v>
      </c>
    </row>
    <row r="6395" spans="1:1">
      <c r="A6395">
        <v>6394</v>
      </c>
    </row>
    <row r="6396" spans="1:1">
      <c r="A6396">
        <v>6395</v>
      </c>
    </row>
    <row r="6397" spans="1:1">
      <c r="A6397">
        <v>6396</v>
      </c>
    </row>
    <row r="6398" spans="1:1">
      <c r="A6398">
        <v>6397</v>
      </c>
    </row>
    <row r="6399" spans="1:1">
      <c r="A6399">
        <v>6398</v>
      </c>
    </row>
    <row r="6400" spans="1:1">
      <c r="A6400">
        <v>6399</v>
      </c>
    </row>
    <row r="6401" spans="1:1">
      <c r="A6401">
        <v>6400</v>
      </c>
    </row>
    <row r="6402" spans="1:1">
      <c r="A6402">
        <v>6401</v>
      </c>
    </row>
    <row r="6403" spans="1:1">
      <c r="A6403">
        <v>6402</v>
      </c>
    </row>
    <row r="6404" spans="1:1">
      <c r="A6404">
        <v>6403</v>
      </c>
    </row>
    <row r="6405" spans="1:1">
      <c r="A6405">
        <v>6404</v>
      </c>
    </row>
    <row r="6406" spans="1:1">
      <c r="A6406">
        <v>6405</v>
      </c>
    </row>
    <row r="6407" spans="1:1">
      <c r="A6407">
        <v>6406</v>
      </c>
    </row>
    <row r="6408" spans="1:1">
      <c r="A6408">
        <v>6407</v>
      </c>
    </row>
    <row r="6409" spans="1:1">
      <c r="A6409">
        <v>6408</v>
      </c>
    </row>
    <row r="6410" spans="1:1">
      <c r="A6410">
        <v>6409</v>
      </c>
    </row>
    <row r="6411" spans="1:1">
      <c r="A6411">
        <v>6410</v>
      </c>
    </row>
    <row r="6412" spans="1:1">
      <c r="A6412">
        <v>6411</v>
      </c>
    </row>
    <row r="6413" spans="1:1">
      <c r="A6413">
        <v>6412</v>
      </c>
    </row>
    <row r="6414" spans="1:1">
      <c r="A6414">
        <v>6413</v>
      </c>
    </row>
    <row r="6415" spans="1:1">
      <c r="A6415">
        <v>6414</v>
      </c>
    </row>
    <row r="6416" spans="1:1">
      <c r="A6416">
        <v>6415</v>
      </c>
    </row>
    <row r="6417" spans="1:1">
      <c r="A6417">
        <v>6416</v>
      </c>
    </row>
    <row r="6418" spans="1:1">
      <c r="A6418">
        <v>6417</v>
      </c>
    </row>
    <row r="6419" spans="1:1">
      <c r="A6419">
        <v>6418</v>
      </c>
    </row>
    <row r="6420" spans="1:1">
      <c r="A6420">
        <v>6419</v>
      </c>
    </row>
    <row r="6421" spans="1:1">
      <c r="A6421">
        <v>6420</v>
      </c>
    </row>
    <row r="6422" spans="1:1">
      <c r="A6422">
        <v>6421</v>
      </c>
    </row>
    <row r="6423" spans="1:1">
      <c r="A6423">
        <v>6422</v>
      </c>
    </row>
    <row r="6424" spans="1:1">
      <c r="A6424">
        <v>6423</v>
      </c>
    </row>
    <row r="6425" spans="1:1">
      <c r="A6425">
        <v>6424</v>
      </c>
    </row>
    <row r="6426" spans="1:1">
      <c r="A6426">
        <v>6425</v>
      </c>
    </row>
    <row r="6427" spans="1:1">
      <c r="A6427">
        <v>6426</v>
      </c>
    </row>
    <row r="6428" spans="1:1">
      <c r="A6428">
        <v>6427</v>
      </c>
    </row>
    <row r="6429" spans="1:1">
      <c r="A6429">
        <v>6428</v>
      </c>
    </row>
    <row r="6430" spans="1:1">
      <c r="A6430">
        <v>6429</v>
      </c>
    </row>
    <row r="6431" spans="1:1">
      <c r="A6431">
        <v>6430</v>
      </c>
    </row>
    <row r="6432" spans="1:1">
      <c r="A6432">
        <v>6431</v>
      </c>
    </row>
    <row r="6433" spans="1:1">
      <c r="A6433">
        <v>6432</v>
      </c>
    </row>
    <row r="6434" spans="1:1">
      <c r="A6434">
        <v>6433</v>
      </c>
    </row>
    <row r="6435" spans="1:1">
      <c r="A6435">
        <v>6434</v>
      </c>
    </row>
    <row r="6436" spans="1:1">
      <c r="A6436">
        <v>6435</v>
      </c>
    </row>
    <row r="6437" spans="1:1">
      <c r="A6437">
        <v>6436</v>
      </c>
    </row>
    <row r="6438" spans="1:1">
      <c r="A6438">
        <v>6437</v>
      </c>
    </row>
    <row r="6439" spans="1:1">
      <c r="A6439">
        <v>6438</v>
      </c>
    </row>
    <row r="6440" spans="1:1">
      <c r="A6440">
        <v>6439</v>
      </c>
    </row>
    <row r="6441" spans="1:1">
      <c r="A6441">
        <v>6440</v>
      </c>
    </row>
    <row r="6442" spans="1:1">
      <c r="A6442">
        <v>6441</v>
      </c>
    </row>
    <row r="6443" spans="1:1">
      <c r="A6443">
        <v>6442</v>
      </c>
    </row>
    <row r="6444" spans="1:1">
      <c r="A6444">
        <v>6443</v>
      </c>
    </row>
    <row r="6445" spans="1:1">
      <c r="A6445">
        <v>6444</v>
      </c>
    </row>
    <row r="6446" spans="1:1">
      <c r="A6446">
        <v>6445</v>
      </c>
    </row>
    <row r="6447" spans="1:1">
      <c r="A6447">
        <v>6446</v>
      </c>
    </row>
    <row r="6448" spans="1:1">
      <c r="A6448">
        <v>6447</v>
      </c>
    </row>
    <row r="6449" spans="1:1">
      <c r="A6449">
        <v>6448</v>
      </c>
    </row>
    <row r="6450" spans="1:1">
      <c r="A6450">
        <v>6449</v>
      </c>
    </row>
    <row r="6451" spans="1:1">
      <c r="A6451">
        <v>6450</v>
      </c>
    </row>
    <row r="6452" spans="1:1">
      <c r="A6452">
        <v>6451</v>
      </c>
    </row>
    <row r="6453" spans="1:1">
      <c r="A6453">
        <v>6452</v>
      </c>
    </row>
    <row r="6454" spans="1:1">
      <c r="A6454">
        <v>6453</v>
      </c>
    </row>
    <row r="6455" spans="1:1">
      <c r="A6455">
        <v>6454</v>
      </c>
    </row>
    <row r="6456" spans="1:1">
      <c r="A6456">
        <v>6455</v>
      </c>
    </row>
    <row r="6457" spans="1:1">
      <c r="A6457">
        <v>6456</v>
      </c>
    </row>
    <row r="6458" spans="1:1">
      <c r="A6458">
        <v>6457</v>
      </c>
    </row>
    <row r="6459" spans="1:1">
      <c r="A6459">
        <v>6458</v>
      </c>
    </row>
    <row r="6460" spans="1:1">
      <c r="A6460">
        <v>6459</v>
      </c>
    </row>
    <row r="6461" spans="1:1">
      <c r="A6461">
        <v>6460</v>
      </c>
    </row>
    <row r="6462" spans="1:1">
      <c r="A6462">
        <v>6461</v>
      </c>
    </row>
    <row r="6463" spans="1:1">
      <c r="A6463">
        <v>6462</v>
      </c>
    </row>
    <row r="6464" spans="1:1">
      <c r="A6464">
        <v>6463</v>
      </c>
    </row>
    <row r="6465" spans="1:1">
      <c r="A6465">
        <v>6464</v>
      </c>
    </row>
    <row r="6466" spans="1:1">
      <c r="A6466">
        <v>6465</v>
      </c>
    </row>
    <row r="6467" spans="1:1">
      <c r="A6467">
        <v>6466</v>
      </c>
    </row>
    <row r="6468" spans="1:1">
      <c r="A6468">
        <v>6467</v>
      </c>
    </row>
    <row r="6469" spans="1:1">
      <c r="A6469">
        <v>6468</v>
      </c>
    </row>
    <row r="6470" spans="1:1">
      <c r="A6470">
        <v>6469</v>
      </c>
    </row>
    <row r="6471" spans="1:1">
      <c r="A6471">
        <v>6470</v>
      </c>
    </row>
    <row r="6472" spans="1:1">
      <c r="A6472">
        <v>6471</v>
      </c>
    </row>
    <row r="6473" spans="1:1">
      <c r="A6473">
        <v>6472</v>
      </c>
    </row>
    <row r="6474" spans="1:1">
      <c r="A6474">
        <v>6473</v>
      </c>
    </row>
    <row r="6475" spans="1:1">
      <c r="A6475">
        <v>6474</v>
      </c>
    </row>
    <row r="6476" spans="1:1">
      <c r="A6476">
        <v>6475</v>
      </c>
    </row>
    <row r="6477" spans="1:1">
      <c r="A6477">
        <v>6476</v>
      </c>
    </row>
    <row r="6478" spans="1:1">
      <c r="A6478">
        <v>6477</v>
      </c>
    </row>
    <row r="6479" spans="1:1">
      <c r="A6479">
        <v>6478</v>
      </c>
    </row>
    <row r="6480" spans="1:1">
      <c r="A6480">
        <v>6479</v>
      </c>
    </row>
    <row r="6481" spans="1:1">
      <c r="A6481">
        <v>6480</v>
      </c>
    </row>
    <row r="6482" spans="1:1">
      <c r="A6482">
        <v>6481</v>
      </c>
    </row>
    <row r="6483" spans="1:1">
      <c r="A6483">
        <v>6482</v>
      </c>
    </row>
    <row r="6484" spans="1:1">
      <c r="A6484">
        <v>6483</v>
      </c>
    </row>
    <row r="6485" spans="1:1">
      <c r="A6485">
        <v>6484</v>
      </c>
    </row>
    <row r="6486" spans="1:1">
      <c r="A6486">
        <v>6485</v>
      </c>
    </row>
    <row r="6487" spans="1:1">
      <c r="A6487">
        <v>6486</v>
      </c>
    </row>
    <row r="6488" spans="1:1">
      <c r="A6488">
        <v>6487</v>
      </c>
    </row>
    <row r="6489" spans="1:1">
      <c r="A6489">
        <v>6488</v>
      </c>
    </row>
    <row r="6490" spans="1:1">
      <c r="A6490">
        <v>6489</v>
      </c>
    </row>
    <row r="6491" spans="1:1">
      <c r="A6491">
        <v>6490</v>
      </c>
    </row>
    <row r="6492" spans="1:1">
      <c r="A6492">
        <v>6491</v>
      </c>
    </row>
    <row r="6493" spans="1:1">
      <c r="A6493">
        <v>6492</v>
      </c>
    </row>
    <row r="6494" spans="1:1">
      <c r="A6494">
        <v>6493</v>
      </c>
    </row>
    <row r="6495" spans="1:1">
      <c r="A6495">
        <v>6494</v>
      </c>
    </row>
    <row r="6496" spans="1:1">
      <c r="A6496">
        <v>6495</v>
      </c>
    </row>
    <row r="6497" spans="1:1">
      <c r="A6497">
        <v>6496</v>
      </c>
    </row>
    <row r="6498" spans="1:1">
      <c r="A6498">
        <v>6497</v>
      </c>
    </row>
    <row r="6499" spans="1:1">
      <c r="A6499">
        <v>6498</v>
      </c>
    </row>
    <row r="6500" spans="1:1">
      <c r="A6500">
        <v>6499</v>
      </c>
    </row>
    <row r="6501" spans="1:1">
      <c r="A6501">
        <v>6500</v>
      </c>
    </row>
    <row r="6502" spans="1:1">
      <c r="A6502">
        <v>6501</v>
      </c>
    </row>
    <row r="6503" spans="1:1">
      <c r="A6503">
        <v>6502</v>
      </c>
    </row>
    <row r="6504" spans="1:1">
      <c r="A6504">
        <v>6503</v>
      </c>
    </row>
    <row r="6505" spans="1:1">
      <c r="A6505">
        <v>6504</v>
      </c>
    </row>
    <row r="6506" spans="1:1">
      <c r="A6506">
        <v>6505</v>
      </c>
    </row>
    <row r="6507" spans="1:1">
      <c r="A6507">
        <v>6506</v>
      </c>
    </row>
    <row r="6508" spans="1:1">
      <c r="A6508">
        <v>6507</v>
      </c>
    </row>
    <row r="6509" spans="1:1">
      <c r="A6509">
        <v>6508</v>
      </c>
    </row>
    <row r="6510" spans="1:1">
      <c r="A6510">
        <v>6509</v>
      </c>
    </row>
    <row r="6511" spans="1:1">
      <c r="A6511">
        <v>6510</v>
      </c>
    </row>
    <row r="6512" spans="1:1">
      <c r="A6512">
        <v>6511</v>
      </c>
    </row>
    <row r="6513" spans="1:1">
      <c r="A6513">
        <v>6512</v>
      </c>
    </row>
    <row r="6514" spans="1:1">
      <c r="A6514">
        <v>6513</v>
      </c>
    </row>
    <row r="6515" spans="1:1">
      <c r="A6515">
        <v>6514</v>
      </c>
    </row>
    <row r="6516" spans="1:1">
      <c r="A6516">
        <v>6515</v>
      </c>
    </row>
    <row r="6517" spans="1:1">
      <c r="A6517">
        <v>6516</v>
      </c>
    </row>
    <row r="6518" spans="1:1">
      <c r="A6518">
        <v>6517</v>
      </c>
    </row>
    <row r="6519" spans="1:1">
      <c r="A6519">
        <v>6518</v>
      </c>
    </row>
    <row r="6520" spans="1:1">
      <c r="A6520">
        <v>6519</v>
      </c>
    </row>
    <row r="6521" spans="1:1">
      <c r="A6521">
        <v>6520</v>
      </c>
    </row>
    <row r="6522" spans="1:1">
      <c r="A6522">
        <v>6521</v>
      </c>
    </row>
    <row r="6523" spans="1:1">
      <c r="A6523">
        <v>6522</v>
      </c>
    </row>
    <row r="6524" spans="1:1">
      <c r="A6524">
        <v>6523</v>
      </c>
    </row>
    <row r="6525" spans="1:1">
      <c r="A6525">
        <v>6524</v>
      </c>
    </row>
    <row r="6526" spans="1:1">
      <c r="A6526">
        <v>6525</v>
      </c>
    </row>
    <row r="6527" spans="1:1">
      <c r="A6527">
        <v>6526</v>
      </c>
    </row>
    <row r="6528" spans="1:1">
      <c r="A6528">
        <v>6527</v>
      </c>
    </row>
    <row r="6529" spans="1:1">
      <c r="A6529">
        <v>6528</v>
      </c>
    </row>
    <row r="6530" spans="1:1">
      <c r="A6530">
        <v>6529</v>
      </c>
    </row>
    <row r="6531" spans="1:1">
      <c r="A6531">
        <v>6530</v>
      </c>
    </row>
    <row r="6532" spans="1:1">
      <c r="A6532">
        <v>6531</v>
      </c>
    </row>
    <row r="6533" spans="1:1">
      <c r="A6533">
        <v>6532</v>
      </c>
    </row>
    <row r="6534" spans="1:1">
      <c r="A6534">
        <v>6533</v>
      </c>
    </row>
    <row r="6535" spans="1:1">
      <c r="A6535">
        <v>6534</v>
      </c>
    </row>
    <row r="6536" spans="1:1">
      <c r="A6536">
        <v>6535</v>
      </c>
    </row>
    <row r="6537" spans="1:1">
      <c r="A6537">
        <v>6536</v>
      </c>
    </row>
    <row r="6538" spans="1:1">
      <c r="A6538">
        <v>6537</v>
      </c>
    </row>
    <row r="6539" spans="1:1">
      <c r="A6539">
        <v>6538</v>
      </c>
    </row>
    <row r="6540" spans="1:1">
      <c r="A6540">
        <v>6539</v>
      </c>
    </row>
    <row r="6541" spans="1:1">
      <c r="A6541">
        <v>6540</v>
      </c>
    </row>
    <row r="6542" spans="1:1">
      <c r="A6542">
        <v>6541</v>
      </c>
    </row>
    <row r="6543" spans="1:1">
      <c r="A6543">
        <v>6542</v>
      </c>
    </row>
    <row r="6544" spans="1:1">
      <c r="A6544">
        <v>6543</v>
      </c>
    </row>
    <row r="6545" spans="1:1">
      <c r="A6545">
        <v>6544</v>
      </c>
    </row>
    <row r="6546" spans="1:1">
      <c r="A6546">
        <v>6545</v>
      </c>
    </row>
    <row r="6547" spans="1:1">
      <c r="A6547">
        <v>6546</v>
      </c>
    </row>
    <row r="6548" spans="1:1">
      <c r="A6548">
        <v>6547</v>
      </c>
    </row>
    <row r="6549" spans="1:1">
      <c r="A6549">
        <v>6548</v>
      </c>
    </row>
    <row r="6550" spans="1:1">
      <c r="A6550">
        <v>6549</v>
      </c>
    </row>
    <row r="6551" spans="1:1">
      <c r="A6551">
        <v>6550</v>
      </c>
    </row>
    <row r="6552" spans="1:1">
      <c r="A6552">
        <v>6551</v>
      </c>
    </row>
    <row r="6553" spans="1:1">
      <c r="A6553">
        <v>6552</v>
      </c>
    </row>
    <row r="6554" spans="1:1">
      <c r="A6554">
        <v>6553</v>
      </c>
    </row>
    <row r="6555" spans="1:1">
      <c r="A6555">
        <v>6554</v>
      </c>
    </row>
    <row r="6556" spans="1:1">
      <c r="A6556">
        <v>6555</v>
      </c>
    </row>
    <row r="6557" spans="1:1">
      <c r="A6557">
        <v>6556</v>
      </c>
    </row>
    <row r="6558" spans="1:1">
      <c r="A6558">
        <v>6557</v>
      </c>
    </row>
    <row r="6559" spans="1:1">
      <c r="A6559">
        <v>6558</v>
      </c>
    </row>
    <row r="6560" spans="1:1">
      <c r="A6560">
        <v>6559</v>
      </c>
    </row>
    <row r="6561" spans="1:1">
      <c r="A6561">
        <v>6560</v>
      </c>
    </row>
    <row r="6562" spans="1:1">
      <c r="A6562">
        <v>6561</v>
      </c>
    </row>
    <row r="6563" spans="1:1">
      <c r="A6563">
        <v>6562</v>
      </c>
    </row>
    <row r="6564" spans="1:1">
      <c r="A6564">
        <v>6563</v>
      </c>
    </row>
    <row r="6565" spans="1:1">
      <c r="A6565">
        <v>6564</v>
      </c>
    </row>
    <row r="6566" spans="1:1">
      <c r="A6566">
        <v>6565</v>
      </c>
    </row>
    <row r="6567" spans="1:1">
      <c r="A6567">
        <v>6566</v>
      </c>
    </row>
    <row r="6568" spans="1:1">
      <c r="A6568">
        <v>6567</v>
      </c>
    </row>
    <row r="6569" spans="1:1">
      <c r="A6569">
        <v>6568</v>
      </c>
    </row>
    <row r="6570" spans="1:1">
      <c r="A6570">
        <v>6569</v>
      </c>
    </row>
    <row r="6571" spans="1:1">
      <c r="A6571">
        <v>6570</v>
      </c>
    </row>
    <row r="6572" spans="1:1">
      <c r="A6572">
        <v>6571</v>
      </c>
    </row>
    <row r="6573" spans="1:1">
      <c r="A6573">
        <v>6572</v>
      </c>
    </row>
    <row r="6574" spans="1:1">
      <c r="A6574">
        <v>6573</v>
      </c>
    </row>
    <row r="6575" spans="1:1">
      <c r="A6575">
        <v>6574</v>
      </c>
    </row>
    <row r="6576" spans="1:1">
      <c r="A6576">
        <v>6575</v>
      </c>
    </row>
    <row r="6577" spans="1:1">
      <c r="A6577">
        <v>6576</v>
      </c>
    </row>
    <row r="6578" spans="1:1">
      <c r="A6578">
        <v>6577</v>
      </c>
    </row>
    <row r="6579" spans="1:1">
      <c r="A6579">
        <v>6578</v>
      </c>
    </row>
    <row r="6580" spans="1:1">
      <c r="A6580">
        <v>6579</v>
      </c>
    </row>
    <row r="6581" spans="1:1">
      <c r="A6581">
        <v>6580</v>
      </c>
    </row>
    <row r="6582" spans="1:1">
      <c r="A6582">
        <v>6581</v>
      </c>
    </row>
    <row r="6583" spans="1:1">
      <c r="A6583">
        <v>6582</v>
      </c>
    </row>
    <row r="6584" spans="1:1">
      <c r="A6584">
        <v>6583</v>
      </c>
    </row>
    <row r="6585" spans="1:1">
      <c r="A6585">
        <v>6584</v>
      </c>
    </row>
    <row r="6586" spans="1:1">
      <c r="A6586">
        <v>6585</v>
      </c>
    </row>
    <row r="6587" spans="1:1">
      <c r="A6587">
        <v>6586</v>
      </c>
    </row>
    <row r="6588" spans="1:1">
      <c r="A6588">
        <v>6587</v>
      </c>
    </row>
    <row r="6589" spans="1:1">
      <c r="A6589">
        <v>6588</v>
      </c>
    </row>
    <row r="6590" spans="1:1">
      <c r="A6590">
        <v>6589</v>
      </c>
    </row>
    <row r="6591" spans="1:1">
      <c r="A6591">
        <v>6590</v>
      </c>
    </row>
    <row r="6592" spans="1:1">
      <c r="A6592">
        <v>6591</v>
      </c>
    </row>
    <row r="6593" spans="1:1">
      <c r="A6593">
        <v>6592</v>
      </c>
    </row>
    <row r="6594" spans="1:1">
      <c r="A6594">
        <v>6593</v>
      </c>
    </row>
    <row r="6595" spans="1:1">
      <c r="A6595">
        <v>6594</v>
      </c>
    </row>
    <row r="6596" spans="1:1">
      <c r="A6596">
        <v>6595</v>
      </c>
    </row>
    <row r="6597" spans="1:1">
      <c r="A6597">
        <v>6596</v>
      </c>
    </row>
    <row r="6598" spans="1:1">
      <c r="A6598">
        <v>6597</v>
      </c>
    </row>
    <row r="6599" spans="1:1">
      <c r="A6599">
        <v>6598</v>
      </c>
    </row>
    <row r="6600" spans="1:1">
      <c r="A6600">
        <v>6599</v>
      </c>
    </row>
    <row r="6601" spans="1:1">
      <c r="A6601">
        <v>6600</v>
      </c>
    </row>
    <row r="6602" spans="1:1">
      <c r="A6602">
        <v>6601</v>
      </c>
    </row>
    <row r="6603" spans="1:1">
      <c r="A6603">
        <v>6602</v>
      </c>
    </row>
    <row r="6604" spans="1:1">
      <c r="A6604">
        <v>6603</v>
      </c>
    </row>
    <row r="6605" spans="1:1">
      <c r="A6605">
        <v>6604</v>
      </c>
    </row>
    <row r="6606" spans="1:1">
      <c r="A6606">
        <v>6605</v>
      </c>
    </row>
    <row r="6607" spans="1:1">
      <c r="A6607">
        <v>6606</v>
      </c>
    </row>
    <row r="6608" spans="1:1">
      <c r="A6608">
        <v>6607</v>
      </c>
    </row>
    <row r="6609" spans="1:1">
      <c r="A6609">
        <v>6608</v>
      </c>
    </row>
    <row r="6610" spans="1:1">
      <c r="A6610">
        <v>6609</v>
      </c>
    </row>
    <row r="6611" spans="1:1">
      <c r="A6611">
        <v>6610</v>
      </c>
    </row>
    <row r="6612" spans="1:1">
      <c r="A6612">
        <v>6611</v>
      </c>
    </row>
    <row r="6613" spans="1:1">
      <c r="A6613">
        <v>6612</v>
      </c>
    </row>
    <row r="6614" spans="1:1">
      <c r="A6614">
        <v>6613</v>
      </c>
    </row>
    <row r="6615" spans="1:1">
      <c r="A6615">
        <v>6614</v>
      </c>
    </row>
    <row r="6616" spans="1:1">
      <c r="A6616">
        <v>6615</v>
      </c>
    </row>
    <row r="6617" spans="1:1">
      <c r="A6617">
        <v>6616</v>
      </c>
    </row>
    <row r="6618" spans="1:1">
      <c r="A6618">
        <v>6617</v>
      </c>
    </row>
    <row r="6619" spans="1:1">
      <c r="A6619">
        <v>6618</v>
      </c>
    </row>
    <row r="6620" spans="1:1">
      <c r="A6620">
        <v>6619</v>
      </c>
    </row>
    <row r="6621" spans="1:1">
      <c r="A6621">
        <v>6620</v>
      </c>
    </row>
    <row r="6622" spans="1:1">
      <c r="A6622">
        <v>6621</v>
      </c>
    </row>
    <row r="6623" spans="1:1">
      <c r="A6623">
        <v>6622</v>
      </c>
    </row>
    <row r="6624" spans="1:1">
      <c r="A6624">
        <v>6623</v>
      </c>
    </row>
    <row r="6625" spans="1:1">
      <c r="A6625">
        <v>6624</v>
      </c>
    </row>
    <row r="6626" spans="1:1">
      <c r="A6626">
        <v>6625</v>
      </c>
    </row>
    <row r="6627" spans="1:1">
      <c r="A6627">
        <v>6626</v>
      </c>
    </row>
    <row r="6628" spans="1:1">
      <c r="A6628">
        <v>6627</v>
      </c>
    </row>
    <row r="6629" spans="1:1">
      <c r="A6629">
        <v>6628</v>
      </c>
    </row>
    <row r="6630" spans="1:1">
      <c r="A6630">
        <v>6629</v>
      </c>
    </row>
    <row r="6631" spans="1:1">
      <c r="A6631">
        <v>6630</v>
      </c>
    </row>
    <row r="6632" spans="1:1">
      <c r="A6632">
        <v>6631</v>
      </c>
    </row>
    <row r="6633" spans="1:1">
      <c r="A6633">
        <v>6632</v>
      </c>
    </row>
    <row r="6634" spans="1:1">
      <c r="A6634">
        <v>6633</v>
      </c>
    </row>
    <row r="6635" spans="1:1">
      <c r="A6635">
        <v>6634</v>
      </c>
    </row>
    <row r="6636" spans="1:1">
      <c r="A6636">
        <v>6635</v>
      </c>
    </row>
    <row r="6637" spans="1:1">
      <c r="A6637">
        <v>6636</v>
      </c>
    </row>
    <row r="6638" spans="1:1">
      <c r="A6638">
        <v>6637</v>
      </c>
    </row>
    <row r="6639" spans="1:1">
      <c r="A6639">
        <v>6638</v>
      </c>
    </row>
    <row r="6640" spans="1:1">
      <c r="A6640">
        <v>6639</v>
      </c>
    </row>
    <row r="6641" spans="1:1">
      <c r="A6641">
        <v>6640</v>
      </c>
    </row>
    <row r="6642" spans="1:1">
      <c r="A6642">
        <v>6641</v>
      </c>
    </row>
    <row r="6643" spans="1:1">
      <c r="A6643">
        <v>6642</v>
      </c>
    </row>
    <row r="6644" spans="1:1">
      <c r="A6644">
        <v>6643</v>
      </c>
    </row>
    <row r="6645" spans="1:1">
      <c r="A6645">
        <v>6644</v>
      </c>
    </row>
    <row r="6646" spans="1:1">
      <c r="A6646">
        <v>6645</v>
      </c>
    </row>
    <row r="6647" spans="1:1">
      <c r="A6647">
        <v>6646</v>
      </c>
    </row>
    <row r="6648" spans="1:1">
      <c r="A6648">
        <v>6647</v>
      </c>
    </row>
    <row r="6649" spans="1:1">
      <c r="A6649">
        <v>6648</v>
      </c>
    </row>
    <row r="6650" spans="1:1">
      <c r="A6650">
        <v>6649</v>
      </c>
    </row>
    <row r="6651" spans="1:1">
      <c r="A6651">
        <v>6650</v>
      </c>
    </row>
    <row r="6652" spans="1:1">
      <c r="A6652">
        <v>6651</v>
      </c>
    </row>
    <row r="6653" spans="1:1">
      <c r="A6653">
        <v>6652</v>
      </c>
    </row>
    <row r="6654" spans="1:1">
      <c r="A6654">
        <v>6653</v>
      </c>
    </row>
    <row r="6655" spans="1:1">
      <c r="A6655">
        <v>6654</v>
      </c>
    </row>
    <row r="6656" spans="1:1">
      <c r="A6656">
        <v>6655</v>
      </c>
    </row>
    <row r="6657" spans="1:1">
      <c r="A6657">
        <v>6656</v>
      </c>
    </row>
    <row r="6658" spans="1:1">
      <c r="A6658">
        <v>6657</v>
      </c>
    </row>
    <row r="6659" spans="1:1">
      <c r="A6659">
        <v>6658</v>
      </c>
    </row>
    <row r="6660" spans="1:1">
      <c r="A6660">
        <v>6659</v>
      </c>
    </row>
    <row r="6661" spans="1:1">
      <c r="A6661">
        <v>6660</v>
      </c>
    </row>
    <row r="6662" spans="1:1">
      <c r="A6662">
        <v>6661</v>
      </c>
    </row>
    <row r="6663" spans="1:1">
      <c r="A6663">
        <v>6662</v>
      </c>
    </row>
    <row r="6664" spans="1:1">
      <c r="A6664">
        <v>6663</v>
      </c>
    </row>
    <row r="6665" spans="1:1">
      <c r="A6665">
        <v>6664</v>
      </c>
    </row>
    <row r="6666" spans="1:1">
      <c r="A6666">
        <v>6665</v>
      </c>
    </row>
    <row r="6667" spans="1:1">
      <c r="A6667">
        <v>6666</v>
      </c>
    </row>
    <row r="6668" spans="1:1">
      <c r="A6668">
        <v>6667</v>
      </c>
    </row>
    <row r="6669" spans="1:1">
      <c r="A6669">
        <v>6668</v>
      </c>
    </row>
    <row r="6670" spans="1:1">
      <c r="A6670">
        <v>6669</v>
      </c>
    </row>
    <row r="6671" spans="1:1">
      <c r="A6671">
        <v>6670</v>
      </c>
    </row>
    <row r="6672" spans="1:1">
      <c r="A6672">
        <v>6671</v>
      </c>
    </row>
    <row r="6673" spans="1:1">
      <c r="A6673">
        <v>6672</v>
      </c>
    </row>
    <row r="6674" spans="1:1">
      <c r="A6674">
        <v>6673</v>
      </c>
    </row>
    <row r="6675" spans="1:1">
      <c r="A6675">
        <v>6674</v>
      </c>
    </row>
    <row r="6676" spans="1:1">
      <c r="A6676">
        <v>6675</v>
      </c>
    </row>
    <row r="6677" spans="1:1">
      <c r="A6677">
        <v>6676</v>
      </c>
    </row>
    <row r="6678" spans="1:1">
      <c r="A6678">
        <v>6677</v>
      </c>
    </row>
    <row r="6679" spans="1:1">
      <c r="A6679">
        <v>6678</v>
      </c>
    </row>
    <row r="6680" spans="1:1">
      <c r="A6680">
        <v>6679</v>
      </c>
    </row>
    <row r="6681" spans="1:1">
      <c r="A6681">
        <v>6680</v>
      </c>
    </row>
    <row r="6682" spans="1:1">
      <c r="A6682">
        <v>6681</v>
      </c>
    </row>
    <row r="6683" spans="1:1">
      <c r="A6683">
        <v>6682</v>
      </c>
    </row>
    <row r="6684" spans="1:1">
      <c r="A6684">
        <v>6683</v>
      </c>
    </row>
    <row r="6685" spans="1:1">
      <c r="A6685">
        <v>6684</v>
      </c>
    </row>
    <row r="6686" spans="1:1">
      <c r="A6686">
        <v>6685</v>
      </c>
    </row>
    <row r="6687" spans="1:1">
      <c r="A6687">
        <v>6686</v>
      </c>
    </row>
    <row r="6688" spans="1:1">
      <c r="A6688">
        <v>6687</v>
      </c>
    </row>
    <row r="6689" spans="1:1">
      <c r="A6689">
        <v>6688</v>
      </c>
    </row>
    <row r="6690" spans="1:1">
      <c r="A6690">
        <v>6689</v>
      </c>
    </row>
    <row r="6691" spans="1:1">
      <c r="A6691">
        <v>6690</v>
      </c>
    </row>
    <row r="6692" spans="1:1">
      <c r="A6692">
        <v>6691</v>
      </c>
    </row>
    <row r="6693" spans="1:1">
      <c r="A6693">
        <v>6692</v>
      </c>
    </row>
    <row r="6694" spans="1:1">
      <c r="A6694">
        <v>6693</v>
      </c>
    </row>
    <row r="6695" spans="1:1">
      <c r="A6695">
        <v>6694</v>
      </c>
    </row>
    <row r="6696" spans="1:1">
      <c r="A6696">
        <v>6695</v>
      </c>
    </row>
    <row r="6697" spans="1:1">
      <c r="A6697">
        <v>6696</v>
      </c>
    </row>
    <row r="6698" spans="1:1">
      <c r="A6698">
        <v>6697</v>
      </c>
    </row>
    <row r="6699" spans="1:1">
      <c r="A6699">
        <v>6698</v>
      </c>
    </row>
    <row r="6700" spans="1:1">
      <c r="A6700">
        <v>6699</v>
      </c>
    </row>
    <row r="6701" spans="1:1">
      <c r="A6701">
        <v>6700</v>
      </c>
    </row>
    <row r="6702" spans="1:1">
      <c r="A6702">
        <v>6701</v>
      </c>
    </row>
    <row r="6703" spans="1:1">
      <c r="A6703">
        <v>6702</v>
      </c>
    </row>
    <row r="6704" spans="1:1">
      <c r="A6704">
        <v>6703</v>
      </c>
    </row>
    <row r="6705" spans="1:1">
      <c r="A6705">
        <v>6704</v>
      </c>
    </row>
    <row r="6706" spans="1:1">
      <c r="A6706">
        <v>6705</v>
      </c>
    </row>
    <row r="6707" spans="1:1">
      <c r="A6707">
        <v>6706</v>
      </c>
    </row>
    <row r="6708" spans="1:1">
      <c r="A6708">
        <v>6707</v>
      </c>
    </row>
    <row r="6709" spans="1:1">
      <c r="A6709">
        <v>6708</v>
      </c>
    </row>
    <row r="6710" spans="1:1">
      <c r="A6710">
        <v>6709</v>
      </c>
    </row>
    <row r="6711" spans="1:1">
      <c r="A6711">
        <v>6710</v>
      </c>
    </row>
    <row r="6712" spans="1:1">
      <c r="A6712">
        <v>6711</v>
      </c>
    </row>
    <row r="6713" spans="1:1">
      <c r="A6713">
        <v>6712</v>
      </c>
    </row>
    <row r="6714" spans="1:1">
      <c r="A6714">
        <v>6713</v>
      </c>
    </row>
    <row r="6715" spans="1:1">
      <c r="A6715">
        <v>6714</v>
      </c>
    </row>
    <row r="6716" spans="1:1">
      <c r="A6716">
        <v>6715</v>
      </c>
    </row>
    <row r="6717" spans="1:1">
      <c r="A6717">
        <v>6716</v>
      </c>
    </row>
    <row r="6718" spans="1:1">
      <c r="A6718">
        <v>6717</v>
      </c>
    </row>
    <row r="6719" spans="1:1">
      <c r="A6719">
        <v>6718</v>
      </c>
    </row>
    <row r="6720" spans="1:1">
      <c r="A6720">
        <v>6719</v>
      </c>
    </row>
    <row r="6721" spans="1:1">
      <c r="A6721">
        <v>6720</v>
      </c>
    </row>
    <row r="6722" spans="1:1">
      <c r="A6722">
        <v>6721</v>
      </c>
    </row>
    <row r="6723" spans="1:1">
      <c r="A6723">
        <v>6722</v>
      </c>
    </row>
    <row r="6724" spans="1:1">
      <c r="A6724">
        <v>6723</v>
      </c>
    </row>
    <row r="6725" spans="1:1">
      <c r="A6725">
        <v>6724</v>
      </c>
    </row>
    <row r="6726" spans="1:1">
      <c r="A6726">
        <v>6725</v>
      </c>
    </row>
    <row r="6727" spans="1:1">
      <c r="A6727">
        <v>6726</v>
      </c>
    </row>
    <row r="6728" spans="1:1">
      <c r="A6728">
        <v>6727</v>
      </c>
    </row>
    <row r="6729" spans="1:1">
      <c r="A6729">
        <v>6728</v>
      </c>
    </row>
    <row r="6730" spans="1:1">
      <c r="A6730">
        <v>6729</v>
      </c>
    </row>
    <row r="6731" spans="1:1">
      <c r="A6731">
        <v>6730</v>
      </c>
    </row>
    <row r="6732" spans="1:1">
      <c r="A6732">
        <v>6731</v>
      </c>
    </row>
    <row r="6733" spans="1:1">
      <c r="A6733">
        <v>6732</v>
      </c>
    </row>
    <row r="6734" spans="1:1">
      <c r="A6734">
        <v>6733</v>
      </c>
    </row>
    <row r="6735" spans="1:1">
      <c r="A6735">
        <v>6734</v>
      </c>
    </row>
    <row r="6736" spans="1:1">
      <c r="A6736">
        <v>6735</v>
      </c>
    </row>
    <row r="6737" spans="1:1">
      <c r="A6737">
        <v>6736</v>
      </c>
    </row>
    <row r="6738" spans="1:1">
      <c r="A6738">
        <v>6737</v>
      </c>
    </row>
    <row r="6739" spans="1:1">
      <c r="A6739">
        <v>6738</v>
      </c>
    </row>
    <row r="6740" spans="1:1">
      <c r="A6740">
        <v>6739</v>
      </c>
    </row>
    <row r="6741" spans="1:1">
      <c r="A6741">
        <v>6740</v>
      </c>
    </row>
    <row r="6742" spans="1:1">
      <c r="A6742">
        <v>6741</v>
      </c>
    </row>
    <row r="6743" spans="1:1">
      <c r="A6743">
        <v>6742</v>
      </c>
    </row>
    <row r="6744" spans="1:1">
      <c r="A6744">
        <v>6743</v>
      </c>
    </row>
    <row r="6745" spans="1:1">
      <c r="A6745">
        <v>6744</v>
      </c>
    </row>
    <row r="6746" spans="1:1">
      <c r="A6746">
        <v>6745</v>
      </c>
    </row>
    <row r="6747" spans="1:1">
      <c r="A6747">
        <v>6746</v>
      </c>
    </row>
    <row r="6748" spans="1:1">
      <c r="A6748">
        <v>6747</v>
      </c>
    </row>
    <row r="6749" spans="1:1">
      <c r="A6749">
        <v>6748</v>
      </c>
    </row>
    <row r="6750" spans="1:1">
      <c r="A6750">
        <v>6749</v>
      </c>
    </row>
    <row r="6751" spans="1:1">
      <c r="A6751">
        <v>6750</v>
      </c>
    </row>
    <row r="6752" spans="1:1">
      <c r="A6752">
        <v>6751</v>
      </c>
    </row>
    <row r="6753" spans="1:1">
      <c r="A6753">
        <v>6752</v>
      </c>
    </row>
    <row r="6754" spans="1:1">
      <c r="A6754">
        <v>6753</v>
      </c>
    </row>
    <row r="6755" spans="1:1">
      <c r="A6755">
        <v>6754</v>
      </c>
    </row>
    <row r="6756" spans="1:1">
      <c r="A6756">
        <v>6755</v>
      </c>
    </row>
    <row r="6757" spans="1:1">
      <c r="A6757">
        <v>6756</v>
      </c>
    </row>
    <row r="6758" spans="1:1">
      <c r="A6758">
        <v>6757</v>
      </c>
    </row>
    <row r="6759" spans="1:1">
      <c r="A6759">
        <v>6758</v>
      </c>
    </row>
    <row r="6760" spans="1:1">
      <c r="A6760">
        <v>6759</v>
      </c>
    </row>
    <row r="6761" spans="1:1">
      <c r="A6761">
        <v>6760</v>
      </c>
    </row>
    <row r="6762" spans="1:1">
      <c r="A6762">
        <v>6761</v>
      </c>
    </row>
    <row r="6763" spans="1:1">
      <c r="A6763">
        <v>6762</v>
      </c>
    </row>
    <row r="6764" spans="1:1">
      <c r="A6764">
        <v>6763</v>
      </c>
    </row>
    <row r="6765" spans="1:1">
      <c r="A6765">
        <v>6764</v>
      </c>
    </row>
    <row r="6766" spans="1:1">
      <c r="A6766">
        <v>6765</v>
      </c>
    </row>
    <row r="6767" spans="1:1">
      <c r="A6767">
        <v>6766</v>
      </c>
    </row>
    <row r="6768" spans="1:1">
      <c r="A6768">
        <v>6767</v>
      </c>
    </row>
    <row r="6769" spans="1:1">
      <c r="A6769">
        <v>6768</v>
      </c>
    </row>
    <row r="6770" spans="1:1">
      <c r="A6770">
        <v>6769</v>
      </c>
    </row>
    <row r="6771" spans="1:1">
      <c r="A6771">
        <v>6770</v>
      </c>
    </row>
    <row r="6772" spans="1:1">
      <c r="A6772">
        <v>6771</v>
      </c>
    </row>
    <row r="6773" spans="1:1">
      <c r="A6773">
        <v>6772</v>
      </c>
    </row>
    <row r="6774" spans="1:1">
      <c r="A6774">
        <v>6773</v>
      </c>
    </row>
    <row r="6775" spans="1:1">
      <c r="A6775">
        <v>6774</v>
      </c>
    </row>
    <row r="6776" spans="1:1">
      <c r="A6776">
        <v>6775</v>
      </c>
    </row>
    <row r="6777" spans="1:1">
      <c r="A6777">
        <v>6776</v>
      </c>
    </row>
    <row r="6778" spans="1:1">
      <c r="A6778">
        <v>6777</v>
      </c>
    </row>
    <row r="6779" spans="1:1">
      <c r="A6779">
        <v>6778</v>
      </c>
    </row>
    <row r="6780" spans="1:1">
      <c r="A6780">
        <v>6779</v>
      </c>
    </row>
    <row r="6781" spans="1:1">
      <c r="A6781">
        <v>6780</v>
      </c>
    </row>
    <row r="6782" spans="1:1">
      <c r="A6782">
        <v>6781</v>
      </c>
    </row>
    <row r="6783" spans="1:1">
      <c r="A6783">
        <v>6782</v>
      </c>
    </row>
    <row r="6784" spans="1:1">
      <c r="A6784">
        <v>6783</v>
      </c>
    </row>
    <row r="6785" spans="1:1">
      <c r="A6785">
        <v>6784</v>
      </c>
    </row>
    <row r="6786" spans="1:1">
      <c r="A6786">
        <v>6785</v>
      </c>
    </row>
    <row r="6787" spans="1:1">
      <c r="A6787">
        <v>6786</v>
      </c>
    </row>
    <row r="6788" spans="1:1">
      <c r="A6788">
        <v>6787</v>
      </c>
    </row>
    <row r="6789" spans="1:1">
      <c r="A6789">
        <v>6788</v>
      </c>
    </row>
    <row r="6790" spans="1:1">
      <c r="A6790">
        <v>6789</v>
      </c>
    </row>
    <row r="6791" spans="1:1">
      <c r="A6791">
        <v>6790</v>
      </c>
    </row>
    <row r="6792" spans="1:1">
      <c r="A6792">
        <v>6791</v>
      </c>
    </row>
    <row r="6793" spans="1:1">
      <c r="A6793">
        <v>6792</v>
      </c>
    </row>
    <row r="6794" spans="1:1">
      <c r="A6794">
        <v>6793</v>
      </c>
    </row>
    <row r="6795" spans="1:1">
      <c r="A6795">
        <v>6794</v>
      </c>
    </row>
    <row r="6796" spans="1:1">
      <c r="A6796">
        <v>6795</v>
      </c>
    </row>
    <row r="6797" spans="1:1">
      <c r="A6797">
        <v>6796</v>
      </c>
    </row>
    <row r="6798" spans="1:1">
      <c r="A6798">
        <v>6797</v>
      </c>
    </row>
    <row r="6799" spans="1:1">
      <c r="A6799">
        <v>6798</v>
      </c>
    </row>
    <row r="6800" spans="1:1">
      <c r="A6800">
        <v>6799</v>
      </c>
    </row>
    <row r="6801" spans="1:1">
      <c r="A6801">
        <v>6800</v>
      </c>
    </row>
    <row r="6802" spans="1:1">
      <c r="A6802">
        <v>6801</v>
      </c>
    </row>
    <row r="6803" spans="1:1">
      <c r="A6803">
        <v>6802</v>
      </c>
    </row>
    <row r="6804" spans="1:1">
      <c r="A6804">
        <v>6803</v>
      </c>
    </row>
    <row r="6805" spans="1:1">
      <c r="A6805">
        <v>6804</v>
      </c>
    </row>
    <row r="6806" spans="1:1">
      <c r="A6806">
        <v>6805</v>
      </c>
    </row>
    <row r="6807" spans="1:1">
      <c r="A6807">
        <v>6806</v>
      </c>
    </row>
    <row r="6808" spans="1:1">
      <c r="A6808">
        <v>6807</v>
      </c>
    </row>
    <row r="6809" spans="1:1">
      <c r="A6809">
        <v>6808</v>
      </c>
    </row>
    <row r="6810" spans="1:1">
      <c r="A6810">
        <v>6809</v>
      </c>
    </row>
    <row r="6811" spans="1:1">
      <c r="A6811">
        <v>6810</v>
      </c>
    </row>
    <row r="6812" spans="1:1">
      <c r="A6812">
        <v>6811</v>
      </c>
    </row>
    <row r="6813" spans="1:1">
      <c r="A6813">
        <v>6812</v>
      </c>
    </row>
    <row r="6814" spans="1:1">
      <c r="A6814">
        <v>6813</v>
      </c>
    </row>
    <row r="6815" spans="1:1">
      <c r="A6815">
        <v>6814</v>
      </c>
    </row>
    <row r="6816" spans="1:1">
      <c r="A6816">
        <v>6815</v>
      </c>
    </row>
    <row r="6817" spans="1:1">
      <c r="A6817">
        <v>6816</v>
      </c>
    </row>
    <row r="6818" spans="1:1">
      <c r="A6818">
        <v>6817</v>
      </c>
    </row>
    <row r="6819" spans="1:1">
      <c r="A6819">
        <v>6818</v>
      </c>
    </row>
    <row r="6820" spans="1:1">
      <c r="A6820">
        <v>6819</v>
      </c>
    </row>
    <row r="6821" spans="1:1">
      <c r="A6821">
        <v>6820</v>
      </c>
    </row>
    <row r="6822" spans="1:1">
      <c r="A6822">
        <v>6821</v>
      </c>
    </row>
    <row r="6823" spans="1:1">
      <c r="A6823">
        <v>6822</v>
      </c>
    </row>
    <row r="6824" spans="1:1">
      <c r="A6824">
        <v>6823</v>
      </c>
    </row>
    <row r="6825" spans="1:1">
      <c r="A6825">
        <v>6824</v>
      </c>
    </row>
    <row r="6826" spans="1:1">
      <c r="A6826">
        <v>6825</v>
      </c>
    </row>
    <row r="6827" spans="1:1">
      <c r="A6827">
        <v>6826</v>
      </c>
    </row>
    <row r="6828" spans="1:1">
      <c r="A6828">
        <v>6827</v>
      </c>
    </row>
    <row r="6829" spans="1:1">
      <c r="A6829">
        <v>6828</v>
      </c>
    </row>
    <row r="6830" spans="1:1">
      <c r="A6830">
        <v>6829</v>
      </c>
    </row>
    <row r="6831" spans="1:1">
      <c r="A6831">
        <v>6830</v>
      </c>
    </row>
    <row r="6832" spans="1:1">
      <c r="A6832">
        <v>6831</v>
      </c>
    </row>
    <row r="6833" spans="1:1">
      <c r="A6833">
        <v>6832</v>
      </c>
    </row>
    <row r="6834" spans="1:1">
      <c r="A6834">
        <v>6833</v>
      </c>
    </row>
    <row r="6835" spans="1:1">
      <c r="A6835">
        <v>6834</v>
      </c>
    </row>
    <row r="6836" spans="1:1">
      <c r="A6836">
        <v>6835</v>
      </c>
    </row>
    <row r="6837" spans="1:1">
      <c r="A6837">
        <v>6836</v>
      </c>
    </row>
    <row r="6838" spans="1:1">
      <c r="A6838">
        <v>6837</v>
      </c>
    </row>
    <row r="6839" spans="1:1">
      <c r="A6839">
        <v>6838</v>
      </c>
    </row>
    <row r="6840" spans="1:1">
      <c r="A6840">
        <v>6839</v>
      </c>
    </row>
    <row r="6841" spans="1:1">
      <c r="A6841">
        <v>6840</v>
      </c>
    </row>
    <row r="6842" spans="1:1">
      <c r="A6842">
        <v>6841</v>
      </c>
    </row>
    <row r="6843" spans="1:1">
      <c r="A6843">
        <v>6842</v>
      </c>
    </row>
    <row r="6844" spans="1:1">
      <c r="A6844">
        <v>6843</v>
      </c>
    </row>
    <row r="6845" spans="1:1">
      <c r="A6845">
        <v>6844</v>
      </c>
    </row>
    <row r="6846" spans="1:1">
      <c r="A6846">
        <v>6845</v>
      </c>
    </row>
    <row r="6847" spans="1:1">
      <c r="A6847">
        <v>6846</v>
      </c>
    </row>
    <row r="6848" spans="1:1">
      <c r="A6848">
        <v>6847</v>
      </c>
    </row>
    <row r="6849" spans="1:1">
      <c r="A6849">
        <v>6848</v>
      </c>
    </row>
    <row r="6850" spans="1:1">
      <c r="A6850">
        <v>6849</v>
      </c>
    </row>
    <row r="6851" spans="1:1">
      <c r="A6851">
        <v>6850</v>
      </c>
    </row>
    <row r="6852" spans="1:1">
      <c r="A6852">
        <v>6851</v>
      </c>
    </row>
    <row r="6853" spans="1:1">
      <c r="A6853">
        <v>6852</v>
      </c>
    </row>
    <row r="6854" spans="1:1">
      <c r="A6854">
        <v>6853</v>
      </c>
    </row>
    <row r="6855" spans="1:1">
      <c r="A6855">
        <v>6854</v>
      </c>
    </row>
    <row r="6856" spans="1:1">
      <c r="A6856">
        <v>6855</v>
      </c>
    </row>
    <row r="6857" spans="1:1">
      <c r="A6857">
        <v>6856</v>
      </c>
    </row>
    <row r="6858" spans="1:1">
      <c r="A6858">
        <v>6857</v>
      </c>
    </row>
    <row r="6859" spans="1:1">
      <c r="A6859">
        <v>6858</v>
      </c>
    </row>
    <row r="6860" spans="1:1">
      <c r="A6860">
        <v>6859</v>
      </c>
    </row>
    <row r="6861" spans="1:1">
      <c r="A6861">
        <v>6860</v>
      </c>
    </row>
    <row r="6862" spans="1:1">
      <c r="A6862">
        <v>6861</v>
      </c>
    </row>
    <row r="6863" spans="1:1">
      <c r="A6863">
        <v>6862</v>
      </c>
    </row>
    <row r="6864" spans="1:1">
      <c r="A6864">
        <v>6863</v>
      </c>
    </row>
    <row r="6865" spans="1:1">
      <c r="A6865">
        <v>6864</v>
      </c>
    </row>
    <row r="6866" spans="1:1">
      <c r="A6866">
        <v>6865</v>
      </c>
    </row>
    <row r="6867" spans="1:1">
      <c r="A6867">
        <v>6866</v>
      </c>
    </row>
    <row r="6868" spans="1:1">
      <c r="A6868">
        <v>6867</v>
      </c>
    </row>
    <row r="6869" spans="1:1">
      <c r="A6869">
        <v>6868</v>
      </c>
    </row>
    <row r="6870" spans="1:1">
      <c r="A6870">
        <v>6869</v>
      </c>
    </row>
    <row r="6871" spans="1:1">
      <c r="A6871">
        <v>6870</v>
      </c>
    </row>
    <row r="6872" spans="1:1">
      <c r="A6872">
        <v>6871</v>
      </c>
    </row>
    <row r="6873" spans="1:1">
      <c r="A6873">
        <v>6872</v>
      </c>
    </row>
    <row r="6874" spans="1:1">
      <c r="A6874">
        <v>6873</v>
      </c>
    </row>
    <row r="6875" spans="1:1">
      <c r="A6875">
        <v>6874</v>
      </c>
    </row>
    <row r="6876" spans="1:1">
      <c r="A6876">
        <v>6875</v>
      </c>
    </row>
    <row r="6877" spans="1:1">
      <c r="A6877">
        <v>6876</v>
      </c>
    </row>
    <row r="6878" spans="1:1">
      <c r="A6878">
        <v>6877</v>
      </c>
    </row>
    <row r="6879" spans="1:1">
      <c r="A6879">
        <v>6878</v>
      </c>
    </row>
    <row r="6880" spans="1:1">
      <c r="A6880">
        <v>6879</v>
      </c>
    </row>
    <row r="6881" spans="1:1">
      <c r="A6881">
        <v>6880</v>
      </c>
    </row>
    <row r="6882" spans="1:1">
      <c r="A6882">
        <v>6881</v>
      </c>
    </row>
    <row r="6883" spans="1:1">
      <c r="A6883">
        <v>6882</v>
      </c>
    </row>
    <row r="6884" spans="1:1">
      <c r="A6884">
        <v>6883</v>
      </c>
    </row>
    <row r="6885" spans="1:1">
      <c r="A6885">
        <v>6884</v>
      </c>
    </row>
    <row r="6886" spans="1:1">
      <c r="A6886">
        <v>6885</v>
      </c>
    </row>
    <row r="6887" spans="1:1">
      <c r="A6887">
        <v>6886</v>
      </c>
    </row>
    <row r="6888" spans="1:1">
      <c r="A6888">
        <v>6887</v>
      </c>
    </row>
    <row r="6889" spans="1:1">
      <c r="A6889">
        <v>6888</v>
      </c>
    </row>
    <row r="6890" spans="1:1">
      <c r="A6890">
        <v>6889</v>
      </c>
    </row>
    <row r="6891" spans="1:1">
      <c r="A6891">
        <v>6890</v>
      </c>
    </row>
    <row r="6892" spans="1:1">
      <c r="A6892">
        <v>6891</v>
      </c>
    </row>
    <row r="6893" spans="1:1">
      <c r="A6893">
        <v>6892</v>
      </c>
    </row>
    <row r="6894" spans="1:1">
      <c r="A6894">
        <v>6893</v>
      </c>
    </row>
    <row r="6895" spans="1:1">
      <c r="A6895">
        <v>6894</v>
      </c>
    </row>
    <row r="6896" spans="1:1">
      <c r="A6896">
        <v>6895</v>
      </c>
    </row>
    <row r="6897" spans="1:1">
      <c r="A6897">
        <v>6896</v>
      </c>
    </row>
    <row r="6898" spans="1:1">
      <c r="A6898">
        <v>6897</v>
      </c>
    </row>
    <row r="6899" spans="1:1">
      <c r="A6899">
        <v>6898</v>
      </c>
    </row>
    <row r="6900" spans="1:1">
      <c r="A6900">
        <v>6899</v>
      </c>
    </row>
    <row r="6901" spans="1:1">
      <c r="A6901">
        <v>6900</v>
      </c>
    </row>
    <row r="6902" spans="1:1">
      <c r="A6902">
        <v>6901</v>
      </c>
    </row>
    <row r="6903" spans="1:1">
      <c r="A6903">
        <v>6902</v>
      </c>
    </row>
    <row r="6904" spans="1:1">
      <c r="A6904">
        <v>6903</v>
      </c>
    </row>
    <row r="6905" spans="1:1">
      <c r="A6905">
        <v>6904</v>
      </c>
    </row>
    <row r="6906" spans="1:1">
      <c r="A6906">
        <v>6905</v>
      </c>
    </row>
    <row r="6907" spans="1:1">
      <c r="A6907">
        <v>6906</v>
      </c>
    </row>
    <row r="6908" spans="1:1">
      <c r="A6908">
        <v>6907</v>
      </c>
    </row>
    <row r="6909" spans="1:1">
      <c r="A6909">
        <v>6908</v>
      </c>
    </row>
    <row r="6910" spans="1:1">
      <c r="A6910">
        <v>6909</v>
      </c>
    </row>
    <row r="6911" spans="1:1">
      <c r="A6911">
        <v>6910</v>
      </c>
    </row>
    <row r="6912" spans="1:1">
      <c r="A6912">
        <v>6911</v>
      </c>
    </row>
    <row r="6913" spans="1:1">
      <c r="A6913">
        <v>6912</v>
      </c>
    </row>
    <row r="6914" spans="1:1">
      <c r="A6914">
        <v>6913</v>
      </c>
    </row>
    <row r="6915" spans="1:1">
      <c r="A6915">
        <v>6914</v>
      </c>
    </row>
    <row r="6916" spans="1:1">
      <c r="A6916">
        <v>6915</v>
      </c>
    </row>
    <row r="6917" spans="1:1">
      <c r="A6917">
        <v>6916</v>
      </c>
    </row>
    <row r="6918" spans="1:1">
      <c r="A6918">
        <v>6917</v>
      </c>
    </row>
    <row r="6919" spans="1:1">
      <c r="A6919">
        <v>6918</v>
      </c>
    </row>
    <row r="6920" spans="1:1">
      <c r="A6920">
        <v>6919</v>
      </c>
    </row>
    <row r="6921" spans="1:1">
      <c r="A6921">
        <v>6920</v>
      </c>
    </row>
    <row r="6922" spans="1:1">
      <c r="A6922">
        <v>6921</v>
      </c>
    </row>
    <row r="6923" spans="1:1">
      <c r="A6923">
        <v>6922</v>
      </c>
    </row>
    <row r="6924" spans="1:1">
      <c r="A6924">
        <v>6923</v>
      </c>
    </row>
    <row r="6925" spans="1:1">
      <c r="A6925">
        <v>6924</v>
      </c>
    </row>
    <row r="6926" spans="1:1">
      <c r="A6926">
        <v>6925</v>
      </c>
    </row>
    <row r="6927" spans="1:1">
      <c r="A6927">
        <v>6926</v>
      </c>
    </row>
    <row r="6928" spans="1:1">
      <c r="A6928">
        <v>6927</v>
      </c>
    </row>
    <row r="6929" spans="1:1">
      <c r="A6929">
        <v>6928</v>
      </c>
    </row>
    <row r="6930" spans="1:1">
      <c r="A6930">
        <v>6929</v>
      </c>
    </row>
    <row r="6931" spans="1:1">
      <c r="A6931">
        <v>6930</v>
      </c>
    </row>
    <row r="6932" spans="1:1">
      <c r="A6932">
        <v>6931</v>
      </c>
    </row>
    <row r="6933" spans="1:1">
      <c r="A6933">
        <v>6932</v>
      </c>
    </row>
    <row r="6934" spans="1:1">
      <c r="A6934">
        <v>6933</v>
      </c>
    </row>
    <row r="6935" spans="1:1">
      <c r="A6935">
        <v>6934</v>
      </c>
    </row>
    <row r="6936" spans="1:1">
      <c r="A6936">
        <v>6935</v>
      </c>
    </row>
    <row r="6937" spans="1:1">
      <c r="A6937">
        <v>6936</v>
      </c>
    </row>
    <row r="6938" spans="1:1">
      <c r="A6938">
        <v>6937</v>
      </c>
    </row>
    <row r="6939" spans="1:1">
      <c r="A6939">
        <v>6938</v>
      </c>
    </row>
    <row r="6940" spans="1:1">
      <c r="A6940">
        <v>6939</v>
      </c>
    </row>
    <row r="6941" spans="1:1">
      <c r="A6941">
        <v>6940</v>
      </c>
    </row>
    <row r="6942" spans="1:1">
      <c r="A6942">
        <v>6941</v>
      </c>
    </row>
    <row r="6943" spans="1:1">
      <c r="A6943">
        <v>6942</v>
      </c>
    </row>
    <row r="6944" spans="1:1">
      <c r="A6944">
        <v>6943</v>
      </c>
    </row>
    <row r="6945" spans="1:1">
      <c r="A6945">
        <v>6944</v>
      </c>
    </row>
    <row r="6946" spans="1:1">
      <c r="A6946">
        <v>6945</v>
      </c>
    </row>
    <row r="6947" spans="1:1">
      <c r="A6947">
        <v>6946</v>
      </c>
    </row>
    <row r="6948" spans="1:1">
      <c r="A6948">
        <v>6947</v>
      </c>
    </row>
    <row r="6949" spans="1:1">
      <c r="A6949">
        <v>6948</v>
      </c>
    </row>
    <row r="6950" spans="1:1">
      <c r="A6950">
        <v>6949</v>
      </c>
    </row>
    <row r="6951" spans="1:1">
      <c r="A6951">
        <v>6950</v>
      </c>
    </row>
    <row r="6952" spans="1:1">
      <c r="A6952">
        <v>6951</v>
      </c>
    </row>
    <row r="6953" spans="1:1">
      <c r="A6953">
        <v>6952</v>
      </c>
    </row>
    <row r="6954" spans="1:1">
      <c r="A6954">
        <v>6953</v>
      </c>
    </row>
    <row r="6955" spans="1:1">
      <c r="A6955">
        <v>6954</v>
      </c>
    </row>
    <row r="6956" spans="1:1">
      <c r="A6956">
        <v>6955</v>
      </c>
    </row>
    <row r="6957" spans="1:1">
      <c r="A6957">
        <v>6956</v>
      </c>
    </row>
    <row r="6958" spans="1:1">
      <c r="A6958">
        <v>6957</v>
      </c>
    </row>
    <row r="6959" spans="1:1">
      <c r="A6959">
        <v>6958</v>
      </c>
    </row>
    <row r="6960" spans="1:1">
      <c r="A6960">
        <v>6959</v>
      </c>
    </row>
    <row r="6961" spans="1:1">
      <c r="A6961">
        <v>6960</v>
      </c>
    </row>
    <row r="6962" spans="1:1">
      <c r="A6962">
        <v>6961</v>
      </c>
    </row>
    <row r="6963" spans="1:1">
      <c r="A6963">
        <v>6962</v>
      </c>
    </row>
    <row r="6964" spans="1:1">
      <c r="A6964">
        <v>6963</v>
      </c>
    </row>
    <row r="6965" spans="1:1">
      <c r="A6965">
        <v>6964</v>
      </c>
    </row>
    <row r="6966" spans="1:1">
      <c r="A6966">
        <v>6965</v>
      </c>
    </row>
    <row r="6967" spans="1:1">
      <c r="A6967">
        <v>6966</v>
      </c>
    </row>
    <row r="6968" spans="1:1">
      <c r="A6968">
        <v>6967</v>
      </c>
    </row>
    <row r="6969" spans="1:1">
      <c r="A6969">
        <v>6968</v>
      </c>
    </row>
    <row r="6970" spans="1:1">
      <c r="A6970">
        <v>6969</v>
      </c>
    </row>
    <row r="6971" spans="1:1">
      <c r="A6971">
        <v>6970</v>
      </c>
    </row>
    <row r="6972" spans="1:1">
      <c r="A6972">
        <v>6971</v>
      </c>
    </row>
    <row r="6973" spans="1:1">
      <c r="A6973">
        <v>6972</v>
      </c>
    </row>
    <row r="6974" spans="1:1">
      <c r="A6974">
        <v>6973</v>
      </c>
    </row>
    <row r="6975" spans="1:1">
      <c r="A6975">
        <v>6974</v>
      </c>
    </row>
    <row r="6976" spans="1:1">
      <c r="A6976">
        <v>6975</v>
      </c>
    </row>
    <row r="6977" spans="1:1">
      <c r="A6977">
        <v>6976</v>
      </c>
    </row>
    <row r="6978" spans="1:1">
      <c r="A6978">
        <v>6977</v>
      </c>
    </row>
    <row r="6979" spans="1:1">
      <c r="A6979">
        <v>6978</v>
      </c>
    </row>
    <row r="6980" spans="1:1">
      <c r="A6980">
        <v>6979</v>
      </c>
    </row>
    <row r="6981" spans="1:1">
      <c r="A6981">
        <v>6980</v>
      </c>
    </row>
    <row r="6982" spans="1:1">
      <c r="A6982">
        <v>6981</v>
      </c>
    </row>
    <row r="6983" spans="1:1">
      <c r="A6983">
        <v>6982</v>
      </c>
    </row>
    <row r="6984" spans="1:1">
      <c r="A6984">
        <v>6983</v>
      </c>
    </row>
    <row r="6985" spans="1:1">
      <c r="A6985">
        <v>6984</v>
      </c>
    </row>
    <row r="6986" spans="1:1">
      <c r="A6986">
        <v>6985</v>
      </c>
    </row>
    <row r="6987" spans="1:1">
      <c r="A6987">
        <v>6986</v>
      </c>
    </row>
    <row r="6988" spans="1:1">
      <c r="A6988">
        <v>6987</v>
      </c>
    </row>
    <row r="6989" spans="1:1">
      <c r="A6989">
        <v>6988</v>
      </c>
    </row>
    <row r="6990" spans="1:1">
      <c r="A6990">
        <v>6989</v>
      </c>
    </row>
    <row r="6991" spans="1:1">
      <c r="A6991">
        <v>6990</v>
      </c>
    </row>
    <row r="6992" spans="1:1">
      <c r="A6992">
        <v>6991</v>
      </c>
    </row>
    <row r="6993" spans="1:1">
      <c r="A6993">
        <v>6992</v>
      </c>
    </row>
    <row r="6994" spans="1:1">
      <c r="A6994">
        <v>6993</v>
      </c>
    </row>
    <row r="6995" spans="1:1">
      <c r="A6995">
        <v>6994</v>
      </c>
    </row>
    <row r="6996" spans="1:1">
      <c r="A6996">
        <v>6995</v>
      </c>
    </row>
    <row r="6997" spans="1:1">
      <c r="A6997">
        <v>6996</v>
      </c>
    </row>
    <row r="6998" spans="1:1">
      <c r="A6998">
        <v>6997</v>
      </c>
    </row>
    <row r="6999" spans="1:1">
      <c r="A6999">
        <v>6998</v>
      </c>
    </row>
    <row r="7000" spans="1:1">
      <c r="A7000">
        <v>6999</v>
      </c>
    </row>
    <row r="7001" spans="1:1">
      <c r="A7001">
        <v>7000</v>
      </c>
    </row>
    <row r="7002" spans="1:1">
      <c r="A7002">
        <v>7001</v>
      </c>
    </row>
    <row r="7003" spans="1:1">
      <c r="A7003">
        <v>7002</v>
      </c>
    </row>
    <row r="7004" spans="1:1">
      <c r="A7004">
        <v>7003</v>
      </c>
    </row>
    <row r="7005" spans="1:1">
      <c r="A7005">
        <v>7004</v>
      </c>
    </row>
    <row r="7006" spans="1:1">
      <c r="A7006">
        <v>7005</v>
      </c>
    </row>
    <row r="7007" spans="1:1">
      <c r="A7007">
        <v>7006</v>
      </c>
    </row>
    <row r="7008" spans="1:1">
      <c r="A7008">
        <v>7007</v>
      </c>
    </row>
    <row r="7009" spans="1:1">
      <c r="A7009">
        <v>7008</v>
      </c>
    </row>
    <row r="7010" spans="1:1">
      <c r="A7010">
        <v>7009</v>
      </c>
    </row>
    <row r="7011" spans="1:1">
      <c r="A7011">
        <v>7010</v>
      </c>
    </row>
    <row r="7012" spans="1:1">
      <c r="A7012">
        <v>7011</v>
      </c>
    </row>
    <row r="7013" spans="1:1">
      <c r="A7013">
        <v>7012</v>
      </c>
    </row>
    <row r="7014" spans="1:1">
      <c r="A7014">
        <v>7013</v>
      </c>
    </row>
    <row r="7015" spans="1:1">
      <c r="A7015">
        <v>7014</v>
      </c>
    </row>
    <row r="7016" spans="1:1">
      <c r="A7016">
        <v>7015</v>
      </c>
    </row>
    <row r="7017" spans="1:1">
      <c r="A7017">
        <v>7016</v>
      </c>
    </row>
    <row r="7018" spans="1:1">
      <c r="A7018">
        <v>7017</v>
      </c>
    </row>
    <row r="7019" spans="1:1">
      <c r="A7019">
        <v>7018</v>
      </c>
    </row>
    <row r="7020" spans="1:1">
      <c r="A7020">
        <v>7019</v>
      </c>
    </row>
    <row r="7021" spans="1:1">
      <c r="A7021">
        <v>7020</v>
      </c>
    </row>
    <row r="7022" spans="1:1">
      <c r="A7022">
        <v>7021</v>
      </c>
    </row>
    <row r="7023" spans="1:1">
      <c r="A7023">
        <v>7022</v>
      </c>
    </row>
    <row r="7024" spans="1:1">
      <c r="A7024">
        <v>7023</v>
      </c>
    </row>
    <row r="7025" spans="1:1">
      <c r="A7025">
        <v>7024</v>
      </c>
    </row>
    <row r="7026" spans="1:1">
      <c r="A7026">
        <v>7025</v>
      </c>
    </row>
    <row r="7027" spans="1:1">
      <c r="A7027">
        <v>7026</v>
      </c>
    </row>
    <row r="7028" spans="1:1">
      <c r="A7028">
        <v>7027</v>
      </c>
    </row>
    <row r="7029" spans="1:1">
      <c r="A7029">
        <v>7028</v>
      </c>
    </row>
    <row r="7030" spans="1:1">
      <c r="A7030">
        <v>7029</v>
      </c>
    </row>
    <row r="7031" spans="1:1">
      <c r="A7031">
        <v>7030</v>
      </c>
    </row>
    <row r="7032" spans="1:1">
      <c r="A7032">
        <v>7031</v>
      </c>
    </row>
    <row r="7033" spans="1:1">
      <c r="A7033">
        <v>7032</v>
      </c>
    </row>
    <row r="7034" spans="1:1">
      <c r="A7034">
        <v>7033</v>
      </c>
    </row>
    <row r="7035" spans="1:1">
      <c r="A7035">
        <v>7034</v>
      </c>
    </row>
    <row r="7036" spans="1:1">
      <c r="A7036">
        <v>7035</v>
      </c>
    </row>
    <row r="7037" spans="1:1">
      <c r="A7037">
        <v>7036</v>
      </c>
    </row>
    <row r="7038" spans="1:1">
      <c r="A7038">
        <v>7037</v>
      </c>
    </row>
    <row r="7039" spans="1:1">
      <c r="A7039">
        <v>7038</v>
      </c>
    </row>
    <row r="7040" spans="1:1">
      <c r="A7040">
        <v>7039</v>
      </c>
    </row>
    <row r="7041" spans="1:1">
      <c r="A7041">
        <v>7040</v>
      </c>
    </row>
    <row r="7042" spans="1:1">
      <c r="A7042">
        <v>7041</v>
      </c>
    </row>
    <row r="7043" spans="1:1">
      <c r="A7043">
        <v>7042</v>
      </c>
    </row>
    <row r="7044" spans="1:1">
      <c r="A7044">
        <v>7043</v>
      </c>
    </row>
    <row r="7045" spans="1:1">
      <c r="A7045">
        <v>7044</v>
      </c>
    </row>
    <row r="7046" spans="1:1">
      <c r="A7046">
        <v>7045</v>
      </c>
    </row>
    <row r="7047" spans="1:1">
      <c r="A7047">
        <v>7046</v>
      </c>
    </row>
    <row r="7048" spans="1:1">
      <c r="A7048">
        <v>7047</v>
      </c>
    </row>
    <row r="7049" spans="1:1">
      <c r="A7049">
        <v>7048</v>
      </c>
    </row>
    <row r="7050" spans="1:1">
      <c r="A7050">
        <v>7049</v>
      </c>
    </row>
    <row r="7051" spans="1:1">
      <c r="A7051">
        <v>7050</v>
      </c>
    </row>
    <row r="7052" spans="1:1">
      <c r="A7052">
        <v>7051</v>
      </c>
    </row>
    <row r="7053" spans="1:1">
      <c r="A7053">
        <v>7052</v>
      </c>
    </row>
    <row r="7054" spans="1:1">
      <c r="A7054">
        <v>7053</v>
      </c>
    </row>
    <row r="7055" spans="1:1">
      <c r="A7055">
        <v>7054</v>
      </c>
    </row>
    <row r="7056" spans="1:1">
      <c r="A7056">
        <v>7055</v>
      </c>
    </row>
    <row r="7057" spans="1:1">
      <c r="A7057">
        <v>7056</v>
      </c>
    </row>
    <row r="7058" spans="1:1">
      <c r="A7058">
        <v>7057</v>
      </c>
    </row>
    <row r="7059" spans="1:1">
      <c r="A7059">
        <v>7058</v>
      </c>
    </row>
    <row r="7060" spans="1:1">
      <c r="A7060">
        <v>7059</v>
      </c>
    </row>
    <row r="7061" spans="1:1">
      <c r="A7061">
        <v>7060</v>
      </c>
    </row>
    <row r="7062" spans="1:1">
      <c r="A7062">
        <v>7061</v>
      </c>
    </row>
    <row r="7063" spans="1:1">
      <c r="A7063">
        <v>7062</v>
      </c>
    </row>
    <row r="7064" spans="1:1">
      <c r="A7064">
        <v>7063</v>
      </c>
    </row>
    <row r="7065" spans="1:1">
      <c r="A7065">
        <v>7064</v>
      </c>
    </row>
    <row r="7066" spans="1:1">
      <c r="A7066">
        <v>7065</v>
      </c>
    </row>
    <row r="7067" spans="1:1">
      <c r="A7067">
        <v>7066</v>
      </c>
    </row>
    <row r="7068" spans="1:1">
      <c r="A7068">
        <v>7067</v>
      </c>
    </row>
    <row r="7069" spans="1:1">
      <c r="A7069">
        <v>7068</v>
      </c>
    </row>
    <row r="7070" spans="1:1">
      <c r="A7070">
        <v>7069</v>
      </c>
    </row>
    <row r="7071" spans="1:1">
      <c r="A7071">
        <v>7070</v>
      </c>
    </row>
    <row r="7072" spans="1:1">
      <c r="A7072">
        <v>7071</v>
      </c>
    </row>
    <row r="7073" spans="1:1">
      <c r="A7073">
        <v>7072</v>
      </c>
    </row>
    <row r="7074" spans="1:1">
      <c r="A7074">
        <v>7073</v>
      </c>
    </row>
    <row r="7075" spans="1:1">
      <c r="A7075">
        <v>7074</v>
      </c>
    </row>
    <row r="7076" spans="1:1">
      <c r="A7076">
        <v>7075</v>
      </c>
    </row>
    <row r="7077" spans="1:1">
      <c r="A7077">
        <v>7076</v>
      </c>
    </row>
    <row r="7078" spans="1:1">
      <c r="A7078">
        <v>7077</v>
      </c>
    </row>
    <row r="7079" spans="1:1">
      <c r="A7079">
        <v>7078</v>
      </c>
    </row>
    <row r="7080" spans="1:1">
      <c r="A7080">
        <v>7079</v>
      </c>
    </row>
    <row r="7081" spans="1:1">
      <c r="A7081">
        <v>7080</v>
      </c>
    </row>
    <row r="7082" spans="1:1">
      <c r="A7082">
        <v>7081</v>
      </c>
    </row>
    <row r="7083" spans="1:1">
      <c r="A7083">
        <v>7082</v>
      </c>
    </row>
    <row r="7084" spans="1:1">
      <c r="A7084">
        <v>7083</v>
      </c>
    </row>
    <row r="7085" spans="1:1">
      <c r="A7085">
        <v>7084</v>
      </c>
    </row>
    <row r="7086" spans="1:1">
      <c r="A7086">
        <v>7085</v>
      </c>
    </row>
    <row r="7087" spans="1:1">
      <c r="A7087">
        <v>7086</v>
      </c>
    </row>
    <row r="7088" spans="1:1">
      <c r="A7088">
        <v>7087</v>
      </c>
    </row>
    <row r="7089" spans="1:1">
      <c r="A7089">
        <v>7088</v>
      </c>
    </row>
    <row r="7090" spans="1:1">
      <c r="A7090">
        <v>7089</v>
      </c>
    </row>
    <row r="7091" spans="1:1">
      <c r="A7091">
        <v>7090</v>
      </c>
    </row>
    <row r="7092" spans="1:1">
      <c r="A7092">
        <v>7091</v>
      </c>
    </row>
    <row r="7093" spans="1:1">
      <c r="A7093">
        <v>7092</v>
      </c>
    </row>
    <row r="7094" spans="1:1">
      <c r="A7094">
        <v>7093</v>
      </c>
    </row>
    <row r="7095" spans="1:1">
      <c r="A7095">
        <v>7094</v>
      </c>
    </row>
    <row r="7096" spans="1:1">
      <c r="A7096">
        <v>7095</v>
      </c>
    </row>
    <row r="7097" spans="1:1">
      <c r="A7097">
        <v>7096</v>
      </c>
    </row>
    <row r="7098" spans="1:1">
      <c r="A7098">
        <v>7097</v>
      </c>
    </row>
    <row r="7099" spans="1:1">
      <c r="A7099">
        <v>7098</v>
      </c>
    </row>
    <row r="7100" spans="1:1">
      <c r="A7100">
        <v>7099</v>
      </c>
    </row>
    <row r="7101" spans="1:1">
      <c r="A7101">
        <v>7100</v>
      </c>
    </row>
    <row r="7102" spans="1:1">
      <c r="A7102">
        <v>7101</v>
      </c>
    </row>
    <row r="7103" spans="1:1">
      <c r="A7103">
        <v>7102</v>
      </c>
    </row>
    <row r="7104" spans="1:1">
      <c r="A7104">
        <v>7103</v>
      </c>
    </row>
    <row r="7105" spans="1:1">
      <c r="A7105">
        <v>7104</v>
      </c>
    </row>
    <row r="7106" spans="1:1">
      <c r="A7106">
        <v>7105</v>
      </c>
    </row>
    <row r="7107" spans="1:1">
      <c r="A7107">
        <v>7106</v>
      </c>
    </row>
    <row r="7108" spans="1:1">
      <c r="A7108">
        <v>7107</v>
      </c>
    </row>
    <row r="7109" spans="1:1">
      <c r="A7109">
        <v>7108</v>
      </c>
    </row>
    <row r="7110" spans="1:1">
      <c r="A7110">
        <v>7109</v>
      </c>
    </row>
    <row r="7111" spans="1:1">
      <c r="A7111">
        <v>7110</v>
      </c>
    </row>
    <row r="7112" spans="1:1">
      <c r="A7112">
        <v>7111</v>
      </c>
    </row>
    <row r="7113" spans="1:1">
      <c r="A7113">
        <v>7112</v>
      </c>
    </row>
    <row r="7114" spans="1:1">
      <c r="A7114">
        <v>7113</v>
      </c>
    </row>
    <row r="7115" spans="1:1">
      <c r="A7115">
        <v>7114</v>
      </c>
    </row>
    <row r="7116" spans="1:1">
      <c r="A7116">
        <v>7115</v>
      </c>
    </row>
    <row r="7117" spans="1:1">
      <c r="A7117">
        <v>7116</v>
      </c>
    </row>
    <row r="7118" spans="1:1">
      <c r="A7118">
        <v>7117</v>
      </c>
    </row>
    <row r="7119" spans="1:1">
      <c r="A7119">
        <v>7118</v>
      </c>
    </row>
    <row r="7120" spans="1:1">
      <c r="A7120">
        <v>7119</v>
      </c>
    </row>
    <row r="7121" spans="1:1">
      <c r="A7121">
        <v>7120</v>
      </c>
    </row>
    <row r="7122" spans="1:1">
      <c r="A7122">
        <v>7121</v>
      </c>
    </row>
    <row r="7123" spans="1:1">
      <c r="A7123">
        <v>7122</v>
      </c>
    </row>
    <row r="7124" spans="1:1">
      <c r="A7124">
        <v>7123</v>
      </c>
    </row>
    <row r="7125" spans="1:1">
      <c r="A7125">
        <v>7124</v>
      </c>
    </row>
    <row r="7126" spans="1:1">
      <c r="A7126">
        <v>7125</v>
      </c>
    </row>
    <row r="7127" spans="1:1">
      <c r="A7127">
        <v>7126</v>
      </c>
    </row>
    <row r="7128" spans="1:1">
      <c r="A7128">
        <v>7127</v>
      </c>
    </row>
    <row r="7129" spans="1:1">
      <c r="A7129">
        <v>7128</v>
      </c>
    </row>
    <row r="7130" spans="1:1">
      <c r="A7130">
        <v>7129</v>
      </c>
    </row>
    <row r="7131" spans="1:1">
      <c r="A7131">
        <v>7130</v>
      </c>
    </row>
    <row r="7132" spans="1:1">
      <c r="A7132">
        <v>7131</v>
      </c>
    </row>
    <row r="7133" spans="1:1">
      <c r="A7133">
        <v>7132</v>
      </c>
    </row>
    <row r="7134" spans="1:1">
      <c r="A7134">
        <v>7133</v>
      </c>
    </row>
    <row r="7135" spans="1:1">
      <c r="A7135">
        <v>7134</v>
      </c>
    </row>
    <row r="7136" spans="1:1">
      <c r="A7136">
        <v>7135</v>
      </c>
    </row>
    <row r="7137" spans="1:1">
      <c r="A7137">
        <v>7136</v>
      </c>
    </row>
    <row r="7138" spans="1:1">
      <c r="A7138">
        <v>7137</v>
      </c>
    </row>
    <row r="7139" spans="1:1">
      <c r="A7139">
        <v>7138</v>
      </c>
    </row>
    <row r="7140" spans="1:1">
      <c r="A7140">
        <v>7139</v>
      </c>
    </row>
    <row r="7141" spans="1:1">
      <c r="A7141">
        <v>7140</v>
      </c>
    </row>
    <row r="7142" spans="1:1">
      <c r="A7142">
        <v>7141</v>
      </c>
    </row>
    <row r="7143" spans="1:1">
      <c r="A7143">
        <v>7142</v>
      </c>
    </row>
    <row r="7144" spans="1:1">
      <c r="A7144">
        <v>7143</v>
      </c>
    </row>
    <row r="7145" spans="1:1">
      <c r="A7145">
        <v>7144</v>
      </c>
    </row>
    <row r="7146" spans="1:1">
      <c r="A7146">
        <v>7145</v>
      </c>
    </row>
    <row r="7147" spans="1:1">
      <c r="A7147">
        <v>7146</v>
      </c>
    </row>
    <row r="7148" spans="1:1">
      <c r="A7148">
        <v>7147</v>
      </c>
    </row>
    <row r="7149" spans="1:1">
      <c r="A7149">
        <v>7148</v>
      </c>
    </row>
    <row r="7150" spans="1:1">
      <c r="A7150">
        <v>7149</v>
      </c>
    </row>
    <row r="7151" spans="1:1">
      <c r="A7151">
        <v>7150</v>
      </c>
    </row>
    <row r="7152" spans="1:1">
      <c r="A7152">
        <v>7151</v>
      </c>
    </row>
    <row r="7153" spans="1:1">
      <c r="A7153">
        <v>7152</v>
      </c>
    </row>
    <row r="7154" spans="1:1">
      <c r="A7154">
        <v>7153</v>
      </c>
    </row>
    <row r="7155" spans="1:1">
      <c r="A7155">
        <v>7154</v>
      </c>
    </row>
    <row r="7156" spans="1:1">
      <c r="A7156">
        <v>7155</v>
      </c>
    </row>
    <row r="7157" spans="1:1">
      <c r="A7157">
        <v>7156</v>
      </c>
    </row>
    <row r="7158" spans="1:1">
      <c r="A7158">
        <v>7157</v>
      </c>
    </row>
    <row r="7159" spans="1:1">
      <c r="A7159">
        <v>7158</v>
      </c>
    </row>
    <row r="7160" spans="1:1">
      <c r="A7160">
        <v>7159</v>
      </c>
    </row>
    <row r="7161" spans="1:1">
      <c r="A7161">
        <v>7160</v>
      </c>
    </row>
    <row r="7162" spans="1:1">
      <c r="A7162">
        <v>7161</v>
      </c>
    </row>
    <row r="7163" spans="1:1">
      <c r="A7163">
        <v>7162</v>
      </c>
    </row>
    <row r="7164" spans="1:1">
      <c r="A7164">
        <v>7163</v>
      </c>
    </row>
    <row r="7165" spans="1:1">
      <c r="A7165">
        <v>7164</v>
      </c>
    </row>
    <row r="7166" spans="1:1">
      <c r="A7166">
        <v>7165</v>
      </c>
    </row>
    <row r="7167" spans="1:1">
      <c r="A7167">
        <v>7166</v>
      </c>
    </row>
    <row r="7168" spans="1:1">
      <c r="A7168">
        <v>7167</v>
      </c>
    </row>
    <row r="7169" spans="1:1">
      <c r="A7169">
        <v>7168</v>
      </c>
    </row>
    <row r="7170" spans="1:1">
      <c r="A7170">
        <v>7169</v>
      </c>
    </row>
    <row r="7171" spans="1:1">
      <c r="A7171">
        <v>7170</v>
      </c>
    </row>
    <row r="7172" spans="1:1">
      <c r="A7172">
        <v>7171</v>
      </c>
    </row>
    <row r="7173" spans="1:1">
      <c r="A7173">
        <v>7172</v>
      </c>
    </row>
    <row r="7174" spans="1:1">
      <c r="A7174">
        <v>7173</v>
      </c>
    </row>
    <row r="7175" spans="1:1">
      <c r="A7175">
        <v>7174</v>
      </c>
    </row>
    <row r="7176" spans="1:1">
      <c r="A7176">
        <v>7175</v>
      </c>
    </row>
    <row r="7177" spans="1:1">
      <c r="A7177">
        <v>7176</v>
      </c>
    </row>
    <row r="7178" spans="1:1">
      <c r="A7178">
        <v>7177</v>
      </c>
    </row>
    <row r="7179" spans="1:1">
      <c r="A7179">
        <v>7178</v>
      </c>
    </row>
    <row r="7180" spans="1:1">
      <c r="A7180">
        <v>7179</v>
      </c>
    </row>
    <row r="7181" spans="1:1">
      <c r="A7181">
        <v>7180</v>
      </c>
    </row>
    <row r="7182" spans="1:1">
      <c r="A7182">
        <v>7181</v>
      </c>
    </row>
    <row r="7183" spans="1:1">
      <c r="A7183">
        <v>7182</v>
      </c>
    </row>
    <row r="7184" spans="1:1">
      <c r="A7184">
        <v>7183</v>
      </c>
    </row>
    <row r="7185" spans="1:1">
      <c r="A7185">
        <v>7184</v>
      </c>
    </row>
    <row r="7186" spans="1:1">
      <c r="A7186">
        <v>7185</v>
      </c>
    </row>
    <row r="7187" spans="1:1">
      <c r="A7187">
        <v>7186</v>
      </c>
    </row>
    <row r="7188" spans="1:1">
      <c r="A7188">
        <v>7187</v>
      </c>
    </row>
    <row r="7189" spans="1:1">
      <c r="A7189">
        <v>7188</v>
      </c>
    </row>
    <row r="7190" spans="1:1">
      <c r="A7190">
        <v>7189</v>
      </c>
    </row>
    <row r="7191" spans="1:1">
      <c r="A7191">
        <v>7190</v>
      </c>
    </row>
    <row r="7192" spans="1:1">
      <c r="A7192">
        <v>7191</v>
      </c>
    </row>
    <row r="7193" spans="1:1">
      <c r="A7193">
        <v>7192</v>
      </c>
    </row>
    <row r="7194" spans="1:1">
      <c r="A7194">
        <v>7193</v>
      </c>
    </row>
    <row r="7195" spans="1:1">
      <c r="A7195">
        <v>7194</v>
      </c>
    </row>
    <row r="7196" spans="1:1">
      <c r="A7196">
        <v>7195</v>
      </c>
    </row>
    <row r="7197" spans="1:1">
      <c r="A7197">
        <v>7196</v>
      </c>
    </row>
    <row r="7198" spans="1:1">
      <c r="A7198">
        <v>7197</v>
      </c>
    </row>
    <row r="7199" spans="1:1">
      <c r="A7199">
        <v>7198</v>
      </c>
    </row>
    <row r="7200" spans="1:1">
      <c r="A7200">
        <v>7199</v>
      </c>
    </row>
    <row r="7201" spans="1:1">
      <c r="A7201">
        <v>7200</v>
      </c>
    </row>
    <row r="7202" spans="1:1">
      <c r="A7202">
        <v>7201</v>
      </c>
    </row>
    <row r="7203" spans="1:1">
      <c r="A7203">
        <v>7202</v>
      </c>
    </row>
    <row r="7204" spans="1:1">
      <c r="A7204">
        <v>7203</v>
      </c>
    </row>
    <row r="7205" spans="1:1">
      <c r="A7205">
        <v>7204</v>
      </c>
    </row>
    <row r="7206" spans="1:1">
      <c r="A7206">
        <v>7205</v>
      </c>
    </row>
    <row r="7207" spans="1:1">
      <c r="A7207">
        <v>7206</v>
      </c>
    </row>
    <row r="7208" spans="1:1">
      <c r="A7208">
        <v>7207</v>
      </c>
    </row>
    <row r="7209" spans="1:1">
      <c r="A7209">
        <v>7208</v>
      </c>
    </row>
    <row r="7210" spans="1:1">
      <c r="A7210">
        <v>7209</v>
      </c>
    </row>
    <row r="7211" spans="1:1">
      <c r="A7211">
        <v>7210</v>
      </c>
    </row>
    <row r="7212" spans="1:1">
      <c r="A7212">
        <v>7211</v>
      </c>
    </row>
    <row r="7213" spans="1:1">
      <c r="A7213">
        <v>7212</v>
      </c>
    </row>
    <row r="7214" spans="1:1">
      <c r="A7214">
        <v>7213</v>
      </c>
    </row>
    <row r="7215" spans="1:1">
      <c r="A7215">
        <v>7214</v>
      </c>
    </row>
    <row r="7216" spans="1:1">
      <c r="A7216">
        <v>7215</v>
      </c>
    </row>
    <row r="7217" spans="1:1">
      <c r="A7217">
        <v>7216</v>
      </c>
    </row>
    <row r="7218" spans="1:1">
      <c r="A7218">
        <v>7217</v>
      </c>
    </row>
    <row r="7219" spans="1:1">
      <c r="A7219">
        <v>7218</v>
      </c>
    </row>
    <row r="7220" spans="1:1">
      <c r="A7220">
        <v>7219</v>
      </c>
    </row>
    <row r="7221" spans="1:1">
      <c r="A7221">
        <v>7220</v>
      </c>
    </row>
    <row r="7222" spans="1:1">
      <c r="A7222">
        <v>7221</v>
      </c>
    </row>
    <row r="7223" spans="1:1">
      <c r="A7223">
        <v>7222</v>
      </c>
    </row>
    <row r="7224" spans="1:1">
      <c r="A7224">
        <v>7223</v>
      </c>
    </row>
    <row r="7225" spans="1:1">
      <c r="A7225">
        <v>7224</v>
      </c>
    </row>
    <row r="7226" spans="1:1">
      <c r="A7226">
        <v>7225</v>
      </c>
    </row>
    <row r="7227" spans="1:1">
      <c r="A7227">
        <v>7226</v>
      </c>
    </row>
    <row r="7228" spans="1:1">
      <c r="A7228">
        <v>7227</v>
      </c>
    </row>
    <row r="7229" spans="1:1">
      <c r="A7229">
        <v>7228</v>
      </c>
    </row>
    <row r="7230" spans="1:1">
      <c r="A7230">
        <v>7229</v>
      </c>
    </row>
    <row r="7231" spans="1:1">
      <c r="A7231">
        <v>7230</v>
      </c>
    </row>
    <row r="7232" spans="1:1">
      <c r="A7232">
        <v>7231</v>
      </c>
    </row>
    <row r="7233" spans="1:1">
      <c r="A7233">
        <v>7232</v>
      </c>
    </row>
    <row r="7234" spans="1:1">
      <c r="A7234">
        <v>7233</v>
      </c>
    </row>
    <row r="7235" spans="1:1">
      <c r="A7235">
        <v>7234</v>
      </c>
    </row>
    <row r="7236" spans="1:1">
      <c r="A7236">
        <v>7235</v>
      </c>
    </row>
    <row r="7237" spans="1:1">
      <c r="A7237">
        <v>7236</v>
      </c>
    </row>
    <row r="7238" spans="1:1">
      <c r="A7238">
        <v>7237</v>
      </c>
    </row>
    <row r="7239" spans="1:1">
      <c r="A7239">
        <v>7238</v>
      </c>
    </row>
    <row r="7240" spans="1:1">
      <c r="A7240">
        <v>7239</v>
      </c>
    </row>
    <row r="7241" spans="1:1">
      <c r="A7241">
        <v>7240</v>
      </c>
    </row>
    <row r="7242" spans="1:1">
      <c r="A7242">
        <v>7241</v>
      </c>
    </row>
    <row r="7243" spans="1:1">
      <c r="A7243">
        <v>7242</v>
      </c>
    </row>
    <row r="7244" spans="1:1">
      <c r="A7244">
        <v>7243</v>
      </c>
    </row>
    <row r="7245" spans="1:1">
      <c r="A7245">
        <v>7244</v>
      </c>
    </row>
    <row r="7246" spans="1:1">
      <c r="A7246">
        <v>7245</v>
      </c>
    </row>
    <row r="7247" spans="1:1">
      <c r="A7247">
        <v>7246</v>
      </c>
    </row>
    <row r="7248" spans="1:1">
      <c r="A7248">
        <v>7247</v>
      </c>
    </row>
    <row r="7249" spans="1:1">
      <c r="A7249">
        <v>7248</v>
      </c>
    </row>
    <row r="7250" spans="1:1">
      <c r="A7250">
        <v>7249</v>
      </c>
    </row>
    <row r="7251" spans="1:1">
      <c r="A7251">
        <v>7250</v>
      </c>
    </row>
    <row r="7252" spans="1:1">
      <c r="A7252">
        <v>7251</v>
      </c>
    </row>
    <row r="7253" spans="1:1">
      <c r="A7253">
        <v>7252</v>
      </c>
    </row>
    <row r="7254" spans="1:1">
      <c r="A7254">
        <v>7253</v>
      </c>
    </row>
    <row r="7255" spans="1:1">
      <c r="A7255">
        <v>7254</v>
      </c>
    </row>
    <row r="7256" spans="1:1">
      <c r="A7256">
        <v>7255</v>
      </c>
    </row>
    <row r="7257" spans="1:1">
      <c r="A7257">
        <v>7256</v>
      </c>
    </row>
    <row r="7258" spans="1:1">
      <c r="A7258">
        <v>7257</v>
      </c>
    </row>
    <row r="7259" spans="1:1">
      <c r="A7259">
        <v>7258</v>
      </c>
    </row>
    <row r="7260" spans="1:1">
      <c r="A7260">
        <v>7259</v>
      </c>
    </row>
    <row r="7261" spans="1:1">
      <c r="A7261">
        <v>7260</v>
      </c>
    </row>
    <row r="7262" spans="1:1">
      <c r="A7262">
        <v>7261</v>
      </c>
    </row>
    <row r="7263" spans="1:1">
      <c r="A7263">
        <v>7262</v>
      </c>
    </row>
    <row r="7264" spans="1:1">
      <c r="A7264">
        <v>7263</v>
      </c>
    </row>
    <row r="7265" spans="1:1">
      <c r="A7265">
        <v>7264</v>
      </c>
    </row>
    <row r="7266" spans="1:1">
      <c r="A7266">
        <v>7265</v>
      </c>
    </row>
    <row r="7267" spans="1:1">
      <c r="A7267">
        <v>7266</v>
      </c>
    </row>
    <row r="7268" spans="1:1">
      <c r="A7268">
        <v>7267</v>
      </c>
    </row>
    <row r="7269" spans="1:1">
      <c r="A7269">
        <v>7268</v>
      </c>
    </row>
    <row r="7270" spans="1:1">
      <c r="A7270">
        <v>7269</v>
      </c>
    </row>
    <row r="7271" spans="1:1">
      <c r="A7271">
        <v>7270</v>
      </c>
    </row>
    <row r="7272" spans="1:1">
      <c r="A7272">
        <v>7271</v>
      </c>
    </row>
    <row r="7273" spans="1:1">
      <c r="A7273">
        <v>7272</v>
      </c>
    </row>
    <row r="7274" spans="1:1">
      <c r="A7274">
        <v>7273</v>
      </c>
    </row>
    <row r="7275" spans="1:1">
      <c r="A7275">
        <v>7274</v>
      </c>
    </row>
    <row r="7276" spans="1:1">
      <c r="A7276">
        <v>7275</v>
      </c>
    </row>
    <row r="7277" spans="1:1">
      <c r="A7277">
        <v>7276</v>
      </c>
    </row>
    <row r="7278" spans="1:1">
      <c r="A7278">
        <v>7277</v>
      </c>
    </row>
    <row r="7279" spans="1:1">
      <c r="A7279">
        <v>7278</v>
      </c>
    </row>
    <row r="7280" spans="1:1">
      <c r="A7280">
        <v>7279</v>
      </c>
    </row>
    <row r="7281" spans="1:1">
      <c r="A7281">
        <v>7280</v>
      </c>
    </row>
    <row r="7282" spans="1:1">
      <c r="A7282">
        <v>7281</v>
      </c>
    </row>
    <row r="7283" spans="1:1">
      <c r="A7283">
        <v>7282</v>
      </c>
    </row>
    <row r="7284" spans="1:1">
      <c r="A7284">
        <v>7283</v>
      </c>
    </row>
    <row r="7285" spans="1:1">
      <c r="A7285">
        <v>7284</v>
      </c>
    </row>
    <row r="7286" spans="1:1">
      <c r="A7286">
        <v>7285</v>
      </c>
    </row>
    <row r="7287" spans="1:1">
      <c r="A7287">
        <v>7286</v>
      </c>
    </row>
    <row r="7288" spans="1:1">
      <c r="A7288">
        <v>7287</v>
      </c>
    </row>
    <row r="7289" spans="1:1">
      <c r="A7289">
        <v>7288</v>
      </c>
    </row>
    <row r="7290" spans="1:1">
      <c r="A7290">
        <v>7289</v>
      </c>
    </row>
    <row r="7291" spans="1:1">
      <c r="A7291">
        <v>7290</v>
      </c>
    </row>
    <row r="7292" spans="1:1">
      <c r="A7292">
        <v>7291</v>
      </c>
    </row>
    <row r="7293" spans="1:1">
      <c r="A7293">
        <v>7292</v>
      </c>
    </row>
    <row r="7294" spans="1:1">
      <c r="A7294">
        <v>7293</v>
      </c>
    </row>
    <row r="7295" spans="1:1">
      <c r="A7295">
        <v>7294</v>
      </c>
    </row>
    <row r="7296" spans="1:1">
      <c r="A7296">
        <v>7295</v>
      </c>
    </row>
    <row r="7297" spans="1:1">
      <c r="A7297">
        <v>7296</v>
      </c>
    </row>
    <row r="7298" spans="1:1">
      <c r="A7298">
        <v>7297</v>
      </c>
    </row>
    <row r="7299" spans="1:1">
      <c r="A7299">
        <v>7298</v>
      </c>
    </row>
    <row r="7300" spans="1:1">
      <c r="A7300">
        <v>7299</v>
      </c>
    </row>
    <row r="7301" spans="1:1">
      <c r="A7301">
        <v>7300</v>
      </c>
    </row>
    <row r="7302" spans="1:1">
      <c r="A7302">
        <v>7301</v>
      </c>
    </row>
    <row r="7303" spans="1:1">
      <c r="A7303">
        <v>7302</v>
      </c>
    </row>
    <row r="7304" spans="1:1">
      <c r="A7304">
        <v>7303</v>
      </c>
    </row>
    <row r="7305" spans="1:1">
      <c r="A7305">
        <v>7304</v>
      </c>
    </row>
    <row r="7306" spans="1:1">
      <c r="A7306">
        <v>7305</v>
      </c>
    </row>
    <row r="7307" spans="1:1">
      <c r="A7307">
        <v>7306</v>
      </c>
    </row>
    <row r="7308" spans="1:1">
      <c r="A7308">
        <v>7307</v>
      </c>
    </row>
    <row r="7309" spans="1:1">
      <c r="A7309">
        <v>7308</v>
      </c>
    </row>
    <row r="7310" spans="1:1">
      <c r="A7310">
        <v>7309</v>
      </c>
    </row>
    <row r="7311" spans="1:1">
      <c r="A7311">
        <v>7310</v>
      </c>
    </row>
    <row r="7312" spans="1:1">
      <c r="A7312">
        <v>7311</v>
      </c>
    </row>
    <row r="7313" spans="1:1">
      <c r="A7313">
        <v>7312</v>
      </c>
    </row>
    <row r="7314" spans="1:1">
      <c r="A7314">
        <v>7313</v>
      </c>
    </row>
    <row r="7315" spans="1:1">
      <c r="A7315">
        <v>7314</v>
      </c>
    </row>
    <row r="7316" spans="1:1">
      <c r="A7316">
        <v>7315</v>
      </c>
    </row>
    <row r="7317" spans="1:1">
      <c r="A7317">
        <v>7316</v>
      </c>
    </row>
    <row r="7318" spans="1:1">
      <c r="A7318">
        <v>7317</v>
      </c>
    </row>
    <row r="7319" spans="1:1">
      <c r="A7319">
        <v>7318</v>
      </c>
    </row>
    <row r="7320" spans="1:1">
      <c r="A7320">
        <v>7319</v>
      </c>
    </row>
    <row r="7321" spans="1:1">
      <c r="A7321">
        <v>7320</v>
      </c>
    </row>
    <row r="7322" spans="1:1">
      <c r="A7322">
        <v>7321</v>
      </c>
    </row>
    <row r="7323" spans="1:1">
      <c r="A7323">
        <v>7322</v>
      </c>
    </row>
    <row r="7324" spans="1:1">
      <c r="A7324">
        <v>7323</v>
      </c>
    </row>
    <row r="7325" spans="1:1">
      <c r="A7325">
        <v>7324</v>
      </c>
    </row>
    <row r="7326" spans="1:1">
      <c r="A7326">
        <v>7325</v>
      </c>
    </row>
    <row r="7327" spans="1:1">
      <c r="A7327">
        <v>7326</v>
      </c>
    </row>
    <row r="7328" spans="1:1">
      <c r="A7328">
        <v>7327</v>
      </c>
    </row>
    <row r="7329" spans="1:1">
      <c r="A7329">
        <v>7328</v>
      </c>
    </row>
    <row r="7330" spans="1:1">
      <c r="A7330">
        <v>7329</v>
      </c>
    </row>
    <row r="7331" spans="1:1">
      <c r="A7331">
        <v>7330</v>
      </c>
    </row>
    <row r="7332" spans="1:1">
      <c r="A7332">
        <v>7331</v>
      </c>
    </row>
    <row r="7333" spans="1:1">
      <c r="A7333">
        <v>7332</v>
      </c>
    </row>
    <row r="7334" spans="1:1">
      <c r="A7334">
        <v>7333</v>
      </c>
    </row>
    <row r="7335" spans="1:1">
      <c r="A7335">
        <v>7334</v>
      </c>
    </row>
    <row r="7336" spans="1:1">
      <c r="A7336">
        <v>7335</v>
      </c>
    </row>
    <row r="7337" spans="1:1">
      <c r="A7337">
        <v>7336</v>
      </c>
    </row>
    <row r="7338" spans="1:1">
      <c r="A7338">
        <v>7337</v>
      </c>
    </row>
    <row r="7339" spans="1:1">
      <c r="A7339">
        <v>7338</v>
      </c>
    </row>
    <row r="7340" spans="1:1">
      <c r="A7340">
        <v>7339</v>
      </c>
    </row>
    <row r="7341" spans="1:1">
      <c r="A7341">
        <v>7340</v>
      </c>
    </row>
    <row r="7342" spans="1:1">
      <c r="A7342">
        <v>7341</v>
      </c>
    </row>
    <row r="7343" spans="1:1">
      <c r="A7343">
        <v>7342</v>
      </c>
    </row>
    <row r="7344" spans="1:1">
      <c r="A7344">
        <v>7343</v>
      </c>
    </row>
    <row r="7345" spans="1:1">
      <c r="A7345">
        <v>7344</v>
      </c>
    </row>
    <row r="7346" spans="1:1">
      <c r="A7346">
        <v>7345</v>
      </c>
    </row>
    <row r="7347" spans="1:1">
      <c r="A7347">
        <v>7346</v>
      </c>
    </row>
    <row r="7348" spans="1:1">
      <c r="A7348">
        <v>7347</v>
      </c>
    </row>
    <row r="7349" spans="1:1">
      <c r="A7349">
        <v>7348</v>
      </c>
    </row>
    <row r="7350" spans="1:1">
      <c r="A7350">
        <v>7349</v>
      </c>
    </row>
    <row r="7351" spans="1:1">
      <c r="A7351">
        <v>7350</v>
      </c>
    </row>
    <row r="7352" spans="1:1">
      <c r="A7352">
        <v>7351</v>
      </c>
    </row>
    <row r="7353" spans="1:1">
      <c r="A7353">
        <v>7352</v>
      </c>
    </row>
    <row r="7354" spans="1:1">
      <c r="A7354">
        <v>7353</v>
      </c>
    </row>
    <row r="7355" spans="1:1">
      <c r="A7355">
        <v>7354</v>
      </c>
    </row>
    <row r="7356" spans="1:1">
      <c r="A7356">
        <v>7355</v>
      </c>
    </row>
    <row r="7357" spans="1:1">
      <c r="A7357">
        <v>7356</v>
      </c>
    </row>
    <row r="7358" spans="1:1">
      <c r="A7358">
        <v>7357</v>
      </c>
    </row>
    <row r="7359" spans="1:1">
      <c r="A7359">
        <v>7358</v>
      </c>
    </row>
    <row r="7360" spans="1:1">
      <c r="A7360">
        <v>7359</v>
      </c>
    </row>
    <row r="7361" spans="1:1">
      <c r="A7361">
        <v>7360</v>
      </c>
    </row>
    <row r="7362" spans="1:1">
      <c r="A7362">
        <v>7361</v>
      </c>
    </row>
    <row r="7363" spans="1:1">
      <c r="A7363">
        <v>7362</v>
      </c>
    </row>
    <row r="7364" spans="1:1">
      <c r="A7364">
        <v>7363</v>
      </c>
    </row>
    <row r="7365" spans="1:1">
      <c r="A7365">
        <v>7364</v>
      </c>
    </row>
    <row r="7366" spans="1:1">
      <c r="A7366">
        <v>7365</v>
      </c>
    </row>
    <row r="7367" spans="1:1">
      <c r="A7367">
        <v>7366</v>
      </c>
    </row>
    <row r="7368" spans="1:1">
      <c r="A7368">
        <v>7367</v>
      </c>
    </row>
    <row r="7369" spans="1:1">
      <c r="A7369">
        <v>7368</v>
      </c>
    </row>
    <row r="7370" spans="1:1">
      <c r="A7370">
        <v>7369</v>
      </c>
    </row>
    <row r="7371" spans="1:1">
      <c r="A7371">
        <v>7370</v>
      </c>
    </row>
    <row r="7372" spans="1:1">
      <c r="A7372">
        <v>7371</v>
      </c>
    </row>
    <row r="7373" spans="1:1">
      <c r="A7373">
        <v>7372</v>
      </c>
    </row>
    <row r="7374" spans="1:1">
      <c r="A7374">
        <v>7373</v>
      </c>
    </row>
    <row r="7375" spans="1:1">
      <c r="A7375">
        <v>7374</v>
      </c>
    </row>
    <row r="7376" spans="1:1">
      <c r="A7376">
        <v>7375</v>
      </c>
    </row>
    <row r="7377" spans="1:1">
      <c r="A7377">
        <v>7376</v>
      </c>
    </row>
    <row r="7378" spans="1:1">
      <c r="A7378">
        <v>7377</v>
      </c>
    </row>
    <row r="7379" spans="1:1">
      <c r="A7379">
        <v>7378</v>
      </c>
    </row>
    <row r="7380" spans="1:1">
      <c r="A7380">
        <v>7379</v>
      </c>
    </row>
    <row r="7381" spans="1:1">
      <c r="A7381">
        <v>7380</v>
      </c>
    </row>
    <row r="7382" spans="1:1">
      <c r="A7382">
        <v>7381</v>
      </c>
    </row>
    <row r="7383" spans="1:1">
      <c r="A7383">
        <v>7382</v>
      </c>
    </row>
    <row r="7384" spans="1:1">
      <c r="A7384">
        <v>7383</v>
      </c>
    </row>
    <row r="7385" spans="1:1">
      <c r="A7385">
        <v>7384</v>
      </c>
    </row>
    <row r="7386" spans="1:1">
      <c r="A7386">
        <v>7385</v>
      </c>
    </row>
    <row r="7387" spans="1:1">
      <c r="A7387">
        <v>7386</v>
      </c>
    </row>
    <row r="7388" spans="1:1">
      <c r="A7388">
        <v>7387</v>
      </c>
    </row>
    <row r="7389" spans="1:1">
      <c r="A7389">
        <v>7388</v>
      </c>
    </row>
    <row r="7390" spans="1:1">
      <c r="A7390">
        <v>7389</v>
      </c>
    </row>
    <row r="7391" spans="1:1">
      <c r="A7391">
        <v>7390</v>
      </c>
    </row>
    <row r="7392" spans="1:1">
      <c r="A7392">
        <v>7391</v>
      </c>
    </row>
    <row r="7393" spans="1:1">
      <c r="A7393">
        <v>7392</v>
      </c>
    </row>
    <row r="7394" spans="1:1">
      <c r="A7394">
        <v>7393</v>
      </c>
    </row>
    <row r="7395" spans="1:1">
      <c r="A7395">
        <v>7394</v>
      </c>
    </row>
    <row r="7396" spans="1:1">
      <c r="A7396">
        <v>7395</v>
      </c>
    </row>
    <row r="7397" spans="1:1">
      <c r="A7397">
        <v>7396</v>
      </c>
    </row>
    <row r="7398" spans="1:1">
      <c r="A7398">
        <v>7397</v>
      </c>
    </row>
    <row r="7399" spans="1:1">
      <c r="A7399">
        <v>7398</v>
      </c>
    </row>
    <row r="7400" spans="1:1">
      <c r="A7400">
        <v>7399</v>
      </c>
    </row>
    <row r="7401" spans="1:1">
      <c r="A7401">
        <v>7400</v>
      </c>
    </row>
    <row r="7402" spans="1:1">
      <c r="A7402">
        <v>7401</v>
      </c>
    </row>
    <row r="7403" spans="1:1">
      <c r="A7403">
        <v>7402</v>
      </c>
    </row>
    <row r="7404" spans="1:1">
      <c r="A7404">
        <v>7403</v>
      </c>
    </row>
    <row r="7405" spans="1:1">
      <c r="A7405">
        <v>7404</v>
      </c>
    </row>
    <row r="7406" spans="1:1">
      <c r="A7406">
        <v>7405</v>
      </c>
    </row>
    <row r="7407" spans="1:1">
      <c r="A7407">
        <v>7406</v>
      </c>
    </row>
    <row r="7408" spans="1:1">
      <c r="A7408">
        <v>7407</v>
      </c>
    </row>
    <row r="7409" spans="1:1">
      <c r="A7409">
        <v>7408</v>
      </c>
    </row>
    <row r="7410" spans="1:1">
      <c r="A7410">
        <v>7409</v>
      </c>
    </row>
    <row r="7411" spans="1:1">
      <c r="A7411">
        <v>7410</v>
      </c>
    </row>
    <row r="7412" spans="1:1">
      <c r="A7412">
        <v>7411</v>
      </c>
    </row>
    <row r="7413" spans="1:1">
      <c r="A7413">
        <v>7412</v>
      </c>
    </row>
    <row r="7414" spans="1:1">
      <c r="A7414">
        <v>7413</v>
      </c>
    </row>
    <row r="7415" spans="1:1">
      <c r="A7415">
        <v>7414</v>
      </c>
    </row>
    <row r="7416" spans="1:1">
      <c r="A7416">
        <v>7415</v>
      </c>
    </row>
    <row r="7417" spans="1:1">
      <c r="A7417">
        <v>7416</v>
      </c>
    </row>
    <row r="7418" spans="1:1">
      <c r="A7418">
        <v>7417</v>
      </c>
    </row>
    <row r="7419" spans="1:1">
      <c r="A7419">
        <v>7418</v>
      </c>
    </row>
    <row r="7420" spans="1:1">
      <c r="A7420">
        <v>7419</v>
      </c>
    </row>
    <row r="7421" spans="1:1">
      <c r="A7421">
        <v>7420</v>
      </c>
    </row>
    <row r="7422" spans="1:1">
      <c r="A7422">
        <v>7421</v>
      </c>
    </row>
    <row r="7423" spans="1:1">
      <c r="A7423">
        <v>7422</v>
      </c>
    </row>
    <row r="7424" spans="1:1">
      <c r="A7424">
        <v>7423</v>
      </c>
    </row>
    <row r="7425" spans="1:1">
      <c r="A7425">
        <v>7424</v>
      </c>
    </row>
    <row r="7426" spans="1:1">
      <c r="A7426">
        <v>7425</v>
      </c>
    </row>
    <row r="7427" spans="1:1">
      <c r="A7427">
        <v>7426</v>
      </c>
    </row>
    <row r="7428" spans="1:1">
      <c r="A7428">
        <v>7427</v>
      </c>
    </row>
    <row r="7429" spans="1:1">
      <c r="A7429">
        <v>7428</v>
      </c>
    </row>
    <row r="7430" spans="1:1">
      <c r="A7430">
        <v>7429</v>
      </c>
    </row>
    <row r="7431" spans="1:1">
      <c r="A7431">
        <v>7430</v>
      </c>
    </row>
    <row r="7432" spans="1:1">
      <c r="A7432">
        <v>7431</v>
      </c>
    </row>
    <row r="7433" spans="1:1">
      <c r="A7433">
        <v>7432</v>
      </c>
    </row>
    <row r="7434" spans="1:1">
      <c r="A7434">
        <v>7433</v>
      </c>
    </row>
    <row r="7435" spans="1:1">
      <c r="A7435">
        <v>7434</v>
      </c>
    </row>
    <row r="7436" spans="1:1">
      <c r="A7436">
        <v>7435</v>
      </c>
    </row>
    <row r="7437" spans="1:1">
      <c r="A7437">
        <v>7436</v>
      </c>
    </row>
    <row r="7438" spans="1:1">
      <c r="A7438">
        <v>7437</v>
      </c>
    </row>
    <row r="7439" spans="1:1">
      <c r="A7439">
        <v>7438</v>
      </c>
    </row>
    <row r="7440" spans="1:1">
      <c r="A7440">
        <v>7439</v>
      </c>
    </row>
    <row r="7441" spans="1:1">
      <c r="A7441">
        <v>7440</v>
      </c>
    </row>
    <row r="7442" spans="1:1">
      <c r="A7442">
        <v>7441</v>
      </c>
    </row>
    <row r="7443" spans="1:1">
      <c r="A7443">
        <v>7442</v>
      </c>
    </row>
    <row r="7444" spans="1:1">
      <c r="A7444">
        <v>7443</v>
      </c>
    </row>
    <row r="7445" spans="1:1">
      <c r="A7445">
        <v>7444</v>
      </c>
    </row>
    <row r="7446" spans="1:1">
      <c r="A7446">
        <v>7445</v>
      </c>
    </row>
    <row r="7447" spans="1:1">
      <c r="A7447">
        <v>7446</v>
      </c>
    </row>
    <row r="7448" spans="1:1">
      <c r="A7448">
        <v>7447</v>
      </c>
    </row>
    <row r="7449" spans="1:1">
      <c r="A7449">
        <v>7448</v>
      </c>
    </row>
    <row r="7450" spans="1:1">
      <c r="A7450">
        <v>7449</v>
      </c>
    </row>
    <row r="7451" spans="1:1">
      <c r="A7451">
        <v>7450</v>
      </c>
    </row>
    <row r="7452" spans="1:1">
      <c r="A7452">
        <v>7451</v>
      </c>
    </row>
    <row r="7453" spans="1:1">
      <c r="A7453">
        <v>7452</v>
      </c>
    </row>
    <row r="7454" spans="1:1">
      <c r="A7454">
        <v>7453</v>
      </c>
    </row>
    <row r="7455" spans="1:1">
      <c r="A7455">
        <v>7454</v>
      </c>
    </row>
    <row r="7456" spans="1:1">
      <c r="A7456">
        <v>7455</v>
      </c>
    </row>
    <row r="7457" spans="1:1">
      <c r="A7457">
        <v>7456</v>
      </c>
    </row>
    <row r="7458" spans="1:1">
      <c r="A7458">
        <v>7457</v>
      </c>
    </row>
    <row r="7459" spans="1:1">
      <c r="A7459">
        <v>7458</v>
      </c>
    </row>
    <row r="7460" spans="1:1">
      <c r="A7460">
        <v>7459</v>
      </c>
    </row>
    <row r="7461" spans="1:1">
      <c r="A7461">
        <v>7460</v>
      </c>
    </row>
    <row r="7462" spans="1:1">
      <c r="A7462">
        <v>7461</v>
      </c>
    </row>
    <row r="7463" spans="1:1">
      <c r="A7463">
        <v>7462</v>
      </c>
    </row>
    <row r="7464" spans="1:1">
      <c r="A7464">
        <v>7463</v>
      </c>
    </row>
    <row r="7465" spans="1:1">
      <c r="A7465">
        <v>7464</v>
      </c>
    </row>
    <row r="7466" spans="1:1">
      <c r="A7466">
        <v>7465</v>
      </c>
    </row>
    <row r="7467" spans="1:1">
      <c r="A7467">
        <v>7466</v>
      </c>
    </row>
    <row r="7468" spans="1:1">
      <c r="A7468">
        <v>7467</v>
      </c>
    </row>
    <row r="7469" spans="1:1">
      <c r="A7469">
        <v>7468</v>
      </c>
    </row>
    <row r="7470" spans="1:1">
      <c r="A7470">
        <v>7469</v>
      </c>
    </row>
    <row r="7471" spans="1:1">
      <c r="A7471">
        <v>7470</v>
      </c>
    </row>
    <row r="7472" spans="1:1">
      <c r="A7472">
        <v>7471</v>
      </c>
    </row>
    <row r="7473" spans="1:1">
      <c r="A7473">
        <v>7472</v>
      </c>
    </row>
    <row r="7474" spans="1:1">
      <c r="A7474">
        <v>7473</v>
      </c>
    </row>
    <row r="7475" spans="1:1">
      <c r="A7475">
        <v>7474</v>
      </c>
    </row>
    <row r="7476" spans="1:1">
      <c r="A7476">
        <v>7475</v>
      </c>
    </row>
    <row r="7477" spans="1:1">
      <c r="A7477">
        <v>7476</v>
      </c>
    </row>
    <row r="7478" spans="1:1">
      <c r="A7478">
        <v>7477</v>
      </c>
    </row>
    <row r="7479" spans="1:1">
      <c r="A7479">
        <v>7478</v>
      </c>
    </row>
    <row r="7480" spans="1:1">
      <c r="A7480">
        <v>7479</v>
      </c>
    </row>
    <row r="7481" spans="1:1">
      <c r="A7481">
        <v>7480</v>
      </c>
    </row>
    <row r="7482" spans="1:1">
      <c r="A7482">
        <v>7481</v>
      </c>
    </row>
    <row r="7483" spans="1:1">
      <c r="A7483">
        <v>7482</v>
      </c>
    </row>
    <row r="7484" spans="1:1">
      <c r="A7484">
        <v>7483</v>
      </c>
    </row>
    <row r="7485" spans="1:1">
      <c r="A7485">
        <v>7484</v>
      </c>
    </row>
    <row r="7486" spans="1:1">
      <c r="A7486">
        <v>7485</v>
      </c>
    </row>
    <row r="7487" spans="1:1">
      <c r="A7487">
        <v>7486</v>
      </c>
    </row>
    <row r="7488" spans="1:1">
      <c r="A7488">
        <v>7487</v>
      </c>
    </row>
    <row r="7489" spans="1:1">
      <c r="A7489">
        <v>7488</v>
      </c>
    </row>
    <row r="7490" spans="1:1">
      <c r="A7490">
        <v>7489</v>
      </c>
    </row>
    <row r="7491" spans="1:1">
      <c r="A7491">
        <v>7490</v>
      </c>
    </row>
    <row r="7492" spans="1:1">
      <c r="A7492">
        <v>7491</v>
      </c>
    </row>
    <row r="7493" spans="1:1">
      <c r="A7493">
        <v>7492</v>
      </c>
    </row>
    <row r="7494" spans="1:1">
      <c r="A7494">
        <v>7493</v>
      </c>
    </row>
    <row r="7495" spans="1:1">
      <c r="A7495">
        <v>7494</v>
      </c>
    </row>
    <row r="7496" spans="1:1">
      <c r="A7496">
        <v>7495</v>
      </c>
    </row>
    <row r="7497" spans="1:1">
      <c r="A7497">
        <v>7496</v>
      </c>
    </row>
    <row r="7498" spans="1:1">
      <c r="A7498">
        <v>7497</v>
      </c>
    </row>
    <row r="7499" spans="1:1">
      <c r="A7499">
        <v>7498</v>
      </c>
    </row>
    <row r="7500" spans="1:1">
      <c r="A7500">
        <v>7499</v>
      </c>
    </row>
    <row r="7501" spans="1:1">
      <c r="A7501">
        <v>7500</v>
      </c>
    </row>
    <row r="7502" spans="1:1">
      <c r="A7502">
        <v>7501</v>
      </c>
    </row>
    <row r="7503" spans="1:1">
      <c r="A7503">
        <v>7502</v>
      </c>
    </row>
    <row r="7504" spans="1:1">
      <c r="A7504">
        <v>7503</v>
      </c>
    </row>
    <row r="7505" spans="1:1">
      <c r="A7505">
        <v>7504</v>
      </c>
    </row>
    <row r="7506" spans="1:1">
      <c r="A7506">
        <v>7505</v>
      </c>
    </row>
    <row r="7507" spans="1:1">
      <c r="A7507">
        <v>7506</v>
      </c>
    </row>
    <row r="7508" spans="1:1">
      <c r="A7508">
        <v>7507</v>
      </c>
    </row>
    <row r="7509" spans="1:1">
      <c r="A7509">
        <v>7508</v>
      </c>
    </row>
    <row r="7510" spans="1:1">
      <c r="A7510">
        <v>7509</v>
      </c>
    </row>
    <row r="7511" spans="1:1">
      <c r="A7511">
        <v>7510</v>
      </c>
    </row>
    <row r="7512" spans="1:1">
      <c r="A7512">
        <v>7511</v>
      </c>
    </row>
    <row r="7513" spans="1:1">
      <c r="A7513">
        <v>7512</v>
      </c>
    </row>
    <row r="7514" spans="1:1">
      <c r="A7514">
        <v>7513</v>
      </c>
    </row>
    <row r="7515" spans="1:1">
      <c r="A7515">
        <v>7514</v>
      </c>
    </row>
    <row r="7516" spans="1:1">
      <c r="A7516">
        <v>7515</v>
      </c>
    </row>
    <row r="7517" spans="1:1">
      <c r="A7517">
        <v>7516</v>
      </c>
    </row>
    <row r="7518" spans="1:1">
      <c r="A7518">
        <v>7517</v>
      </c>
    </row>
    <row r="7519" spans="1:1">
      <c r="A7519">
        <v>7518</v>
      </c>
    </row>
    <row r="7520" spans="1:1">
      <c r="A7520">
        <v>7519</v>
      </c>
    </row>
    <row r="7521" spans="1:1">
      <c r="A7521">
        <v>7520</v>
      </c>
    </row>
    <row r="7522" spans="1:1">
      <c r="A7522">
        <v>7521</v>
      </c>
    </row>
    <row r="7523" spans="1:1">
      <c r="A7523">
        <v>7522</v>
      </c>
    </row>
    <row r="7524" spans="1:1">
      <c r="A7524">
        <v>7523</v>
      </c>
    </row>
    <row r="7525" spans="1:1">
      <c r="A7525">
        <v>7524</v>
      </c>
    </row>
    <row r="7526" spans="1:1">
      <c r="A7526">
        <v>7525</v>
      </c>
    </row>
    <row r="7527" spans="1:1">
      <c r="A7527">
        <v>7526</v>
      </c>
    </row>
    <row r="7528" spans="1:1">
      <c r="A7528">
        <v>7527</v>
      </c>
    </row>
    <row r="7529" spans="1:1">
      <c r="A7529">
        <v>7528</v>
      </c>
    </row>
    <row r="7530" spans="1:1">
      <c r="A7530">
        <v>7529</v>
      </c>
    </row>
    <row r="7531" spans="1:1">
      <c r="A7531">
        <v>7530</v>
      </c>
    </row>
    <row r="7532" spans="1:1">
      <c r="A7532">
        <v>7531</v>
      </c>
    </row>
    <row r="7533" spans="1:1">
      <c r="A7533">
        <v>7532</v>
      </c>
    </row>
    <row r="7534" spans="1:1">
      <c r="A7534">
        <v>7533</v>
      </c>
    </row>
    <row r="7535" spans="1:1">
      <c r="A7535">
        <v>7534</v>
      </c>
    </row>
    <row r="7536" spans="1:1">
      <c r="A7536">
        <v>7535</v>
      </c>
    </row>
    <row r="7537" spans="1:1">
      <c r="A7537">
        <v>7536</v>
      </c>
    </row>
    <row r="7538" spans="1:1">
      <c r="A7538">
        <v>7537</v>
      </c>
    </row>
    <row r="7539" spans="1:1">
      <c r="A7539">
        <v>7538</v>
      </c>
    </row>
    <row r="7540" spans="1:1">
      <c r="A7540">
        <v>7539</v>
      </c>
    </row>
    <row r="7541" spans="1:1">
      <c r="A7541">
        <v>7540</v>
      </c>
    </row>
    <row r="7542" spans="1:1">
      <c r="A7542">
        <v>7541</v>
      </c>
    </row>
    <row r="7543" spans="1:1">
      <c r="A7543">
        <v>7542</v>
      </c>
    </row>
    <row r="7544" spans="1:1">
      <c r="A7544">
        <v>7543</v>
      </c>
    </row>
    <row r="7545" spans="1:1">
      <c r="A7545">
        <v>7544</v>
      </c>
    </row>
    <row r="7546" spans="1:1">
      <c r="A7546">
        <v>7545</v>
      </c>
    </row>
    <row r="7547" spans="1:1">
      <c r="A7547">
        <v>7546</v>
      </c>
    </row>
    <row r="7548" spans="1:1">
      <c r="A7548">
        <v>7547</v>
      </c>
    </row>
    <row r="7549" spans="1:1">
      <c r="A7549">
        <v>7548</v>
      </c>
    </row>
    <row r="7550" spans="1:1">
      <c r="A7550">
        <v>7549</v>
      </c>
    </row>
    <row r="7551" spans="1:1">
      <c r="A7551">
        <v>7550</v>
      </c>
    </row>
    <row r="7552" spans="1:1">
      <c r="A7552">
        <v>7551</v>
      </c>
    </row>
    <row r="7553" spans="1:1">
      <c r="A7553">
        <v>7552</v>
      </c>
    </row>
    <row r="7554" spans="1:1">
      <c r="A7554">
        <v>7553</v>
      </c>
    </row>
    <row r="7555" spans="1:1">
      <c r="A7555">
        <v>7554</v>
      </c>
    </row>
    <row r="7556" spans="1:1">
      <c r="A7556">
        <v>7555</v>
      </c>
    </row>
    <row r="7557" spans="1:1">
      <c r="A7557">
        <v>7556</v>
      </c>
    </row>
    <row r="7558" spans="1:1">
      <c r="A7558">
        <v>7557</v>
      </c>
    </row>
    <row r="7559" spans="1:1">
      <c r="A7559">
        <v>7558</v>
      </c>
    </row>
    <row r="7560" spans="1:1">
      <c r="A7560">
        <v>7559</v>
      </c>
    </row>
    <row r="7561" spans="1:1">
      <c r="A7561">
        <v>7560</v>
      </c>
    </row>
    <row r="7562" spans="1:1">
      <c r="A7562">
        <v>7561</v>
      </c>
    </row>
    <row r="7563" spans="1:1">
      <c r="A7563">
        <v>7562</v>
      </c>
    </row>
    <row r="7564" spans="1:1">
      <c r="A7564">
        <v>7563</v>
      </c>
    </row>
    <row r="7565" spans="1:1">
      <c r="A7565">
        <v>7564</v>
      </c>
    </row>
    <row r="7566" spans="1:1">
      <c r="A7566">
        <v>7565</v>
      </c>
    </row>
    <row r="7567" spans="1:1">
      <c r="A7567">
        <v>7566</v>
      </c>
    </row>
    <row r="7568" spans="1:1">
      <c r="A7568">
        <v>7567</v>
      </c>
    </row>
    <row r="7569" spans="1:1">
      <c r="A7569">
        <v>7568</v>
      </c>
    </row>
    <row r="7570" spans="1:1">
      <c r="A7570">
        <v>7569</v>
      </c>
    </row>
    <row r="7571" spans="1:1">
      <c r="A7571">
        <v>7570</v>
      </c>
    </row>
    <row r="7572" spans="1:1">
      <c r="A7572">
        <v>7571</v>
      </c>
    </row>
    <row r="7573" spans="1:1">
      <c r="A7573">
        <v>7572</v>
      </c>
    </row>
    <row r="7574" spans="1:1">
      <c r="A7574">
        <v>7573</v>
      </c>
    </row>
    <row r="7575" spans="1:1">
      <c r="A7575">
        <v>7574</v>
      </c>
    </row>
    <row r="7576" spans="1:1">
      <c r="A7576">
        <v>7575</v>
      </c>
    </row>
    <row r="7577" spans="1:1">
      <c r="A7577">
        <v>7576</v>
      </c>
    </row>
    <row r="7578" spans="1:1">
      <c r="A7578">
        <v>7577</v>
      </c>
    </row>
    <row r="7579" spans="1:1">
      <c r="A7579">
        <v>7578</v>
      </c>
    </row>
    <row r="7580" spans="1:1">
      <c r="A7580">
        <v>7579</v>
      </c>
    </row>
    <row r="7581" spans="1:1">
      <c r="A7581">
        <v>7580</v>
      </c>
    </row>
    <row r="7582" spans="1:1">
      <c r="A7582">
        <v>7581</v>
      </c>
    </row>
    <row r="7583" spans="1:1">
      <c r="A7583">
        <v>7582</v>
      </c>
    </row>
    <row r="7584" spans="1:1">
      <c r="A7584">
        <v>7583</v>
      </c>
    </row>
    <row r="7585" spans="1:1">
      <c r="A7585">
        <v>7584</v>
      </c>
    </row>
    <row r="7586" spans="1:1">
      <c r="A7586">
        <v>7585</v>
      </c>
    </row>
    <row r="7587" spans="1:1">
      <c r="A7587">
        <v>7586</v>
      </c>
    </row>
    <row r="7588" spans="1:1">
      <c r="A7588">
        <v>7587</v>
      </c>
    </row>
    <row r="7589" spans="1:1">
      <c r="A7589">
        <v>7588</v>
      </c>
    </row>
    <row r="7590" spans="1:1">
      <c r="A7590">
        <v>7589</v>
      </c>
    </row>
    <row r="7591" spans="1:1">
      <c r="A7591">
        <v>7590</v>
      </c>
    </row>
    <row r="7592" spans="1:1">
      <c r="A7592">
        <v>7591</v>
      </c>
    </row>
    <row r="7593" spans="1:1">
      <c r="A7593">
        <v>7592</v>
      </c>
    </row>
    <row r="7594" spans="1:1">
      <c r="A7594">
        <v>7593</v>
      </c>
    </row>
    <row r="7595" spans="1:1">
      <c r="A7595">
        <v>7594</v>
      </c>
    </row>
    <row r="7596" spans="1:1">
      <c r="A7596">
        <v>7595</v>
      </c>
    </row>
    <row r="7597" spans="1:1">
      <c r="A7597">
        <v>7596</v>
      </c>
    </row>
    <row r="7598" spans="1:1">
      <c r="A7598">
        <v>7597</v>
      </c>
    </row>
    <row r="7599" spans="1:1">
      <c r="A7599">
        <v>7598</v>
      </c>
    </row>
    <row r="7600" spans="1:1">
      <c r="A7600">
        <v>7599</v>
      </c>
    </row>
    <row r="7601" spans="1:1">
      <c r="A7601">
        <v>7600</v>
      </c>
    </row>
    <row r="7602" spans="1:1">
      <c r="A7602">
        <v>7601</v>
      </c>
    </row>
    <row r="7603" spans="1:1">
      <c r="A7603">
        <v>7602</v>
      </c>
    </row>
    <row r="7604" spans="1:1">
      <c r="A7604">
        <v>7603</v>
      </c>
    </row>
    <row r="7605" spans="1:1">
      <c r="A7605">
        <v>7604</v>
      </c>
    </row>
    <row r="7606" spans="1:1">
      <c r="A7606">
        <v>7605</v>
      </c>
    </row>
    <row r="7607" spans="1:1">
      <c r="A7607">
        <v>7606</v>
      </c>
    </row>
    <row r="7608" spans="1:1">
      <c r="A7608">
        <v>7607</v>
      </c>
    </row>
    <row r="7609" spans="1:1">
      <c r="A7609">
        <v>7608</v>
      </c>
    </row>
    <row r="7610" spans="1:1">
      <c r="A7610">
        <v>7609</v>
      </c>
    </row>
    <row r="7611" spans="1:1">
      <c r="A7611">
        <v>7610</v>
      </c>
    </row>
    <row r="7612" spans="1:1">
      <c r="A7612">
        <v>7611</v>
      </c>
    </row>
    <row r="7613" spans="1:1">
      <c r="A7613">
        <v>7612</v>
      </c>
    </row>
    <row r="7614" spans="1:1">
      <c r="A7614">
        <v>7613</v>
      </c>
    </row>
    <row r="7615" spans="1:1">
      <c r="A7615">
        <v>7614</v>
      </c>
    </row>
    <row r="7616" spans="1:1">
      <c r="A7616">
        <v>7615</v>
      </c>
    </row>
    <row r="7617" spans="1:1">
      <c r="A7617">
        <v>7616</v>
      </c>
    </row>
    <row r="7618" spans="1:1">
      <c r="A7618">
        <v>7617</v>
      </c>
    </row>
    <row r="7619" spans="1:1">
      <c r="A7619">
        <v>7618</v>
      </c>
    </row>
    <row r="7620" spans="1:1">
      <c r="A7620">
        <v>7619</v>
      </c>
    </row>
    <row r="7621" spans="1:1">
      <c r="A7621">
        <v>7620</v>
      </c>
    </row>
    <row r="7622" spans="1:1">
      <c r="A7622">
        <v>7621</v>
      </c>
    </row>
    <row r="7623" spans="1:1">
      <c r="A7623">
        <v>7622</v>
      </c>
    </row>
    <row r="7624" spans="1:1">
      <c r="A7624">
        <v>7623</v>
      </c>
    </row>
    <row r="7625" spans="1:1">
      <c r="A7625">
        <v>7624</v>
      </c>
    </row>
    <row r="7626" spans="1:1">
      <c r="A7626">
        <v>7625</v>
      </c>
    </row>
    <row r="7627" spans="1:1">
      <c r="A7627">
        <v>7626</v>
      </c>
    </row>
    <row r="7628" spans="1:1">
      <c r="A7628">
        <v>7627</v>
      </c>
    </row>
    <row r="7629" spans="1:1">
      <c r="A7629">
        <v>7628</v>
      </c>
    </row>
    <row r="7630" spans="1:1">
      <c r="A7630">
        <v>7629</v>
      </c>
    </row>
    <row r="7631" spans="1:1">
      <c r="A7631">
        <v>7630</v>
      </c>
    </row>
    <row r="7632" spans="1:1">
      <c r="A7632">
        <v>7631</v>
      </c>
    </row>
    <row r="7633" spans="1:1">
      <c r="A7633">
        <v>7632</v>
      </c>
    </row>
    <row r="7634" spans="1:1">
      <c r="A7634">
        <v>7633</v>
      </c>
    </row>
    <row r="7635" spans="1:1">
      <c r="A7635">
        <v>7634</v>
      </c>
    </row>
    <row r="7636" spans="1:1">
      <c r="A7636">
        <v>7635</v>
      </c>
    </row>
    <row r="7637" spans="1:1">
      <c r="A7637">
        <v>7636</v>
      </c>
    </row>
    <row r="7638" spans="1:1">
      <c r="A7638">
        <v>7637</v>
      </c>
    </row>
    <row r="7639" spans="1:1">
      <c r="A7639">
        <v>7638</v>
      </c>
    </row>
    <row r="7640" spans="1:1">
      <c r="A7640">
        <v>7639</v>
      </c>
    </row>
    <row r="7641" spans="1:1">
      <c r="A7641">
        <v>7640</v>
      </c>
    </row>
    <row r="7642" spans="1:1">
      <c r="A7642">
        <v>7641</v>
      </c>
    </row>
    <row r="7643" spans="1:1">
      <c r="A7643">
        <v>7642</v>
      </c>
    </row>
    <row r="7644" spans="1:1">
      <c r="A7644">
        <v>7643</v>
      </c>
    </row>
    <row r="7645" spans="1:1">
      <c r="A7645">
        <v>7644</v>
      </c>
    </row>
    <row r="7646" spans="1:1">
      <c r="A7646">
        <v>7645</v>
      </c>
    </row>
    <row r="7647" spans="1:1">
      <c r="A7647">
        <v>7646</v>
      </c>
    </row>
    <row r="7648" spans="1:1">
      <c r="A7648">
        <v>7647</v>
      </c>
    </row>
    <row r="7649" spans="1:1">
      <c r="A7649">
        <v>7648</v>
      </c>
    </row>
    <row r="7650" spans="1:1">
      <c r="A7650">
        <v>7649</v>
      </c>
    </row>
    <row r="7651" spans="1:1">
      <c r="A7651">
        <v>7650</v>
      </c>
    </row>
    <row r="7652" spans="1:1">
      <c r="A7652">
        <v>7651</v>
      </c>
    </row>
    <row r="7653" spans="1:1">
      <c r="A7653">
        <v>7652</v>
      </c>
    </row>
    <row r="7654" spans="1:1">
      <c r="A7654">
        <v>7653</v>
      </c>
    </row>
    <row r="7655" spans="1:1">
      <c r="A7655">
        <v>7654</v>
      </c>
    </row>
    <row r="7656" spans="1:1">
      <c r="A7656">
        <v>7655</v>
      </c>
    </row>
    <row r="7657" spans="1:1">
      <c r="A7657">
        <v>7656</v>
      </c>
    </row>
    <row r="7658" spans="1:1">
      <c r="A7658">
        <v>7657</v>
      </c>
    </row>
    <row r="7659" spans="1:1">
      <c r="A7659">
        <v>7658</v>
      </c>
    </row>
    <row r="7660" spans="1:1">
      <c r="A7660">
        <v>7659</v>
      </c>
    </row>
    <row r="7661" spans="1:1">
      <c r="A7661">
        <v>7660</v>
      </c>
    </row>
    <row r="7662" spans="1:1">
      <c r="A7662">
        <v>7661</v>
      </c>
    </row>
    <row r="7663" spans="1:1">
      <c r="A7663">
        <v>7662</v>
      </c>
    </row>
    <row r="7664" spans="1:1">
      <c r="A7664">
        <v>7663</v>
      </c>
    </row>
    <row r="7665" spans="1:1">
      <c r="A7665">
        <v>7664</v>
      </c>
    </row>
    <row r="7666" spans="1:1">
      <c r="A7666">
        <v>7665</v>
      </c>
    </row>
    <row r="7667" spans="1:1">
      <c r="A7667">
        <v>7666</v>
      </c>
    </row>
    <row r="7668" spans="1:1">
      <c r="A7668">
        <v>7667</v>
      </c>
    </row>
    <row r="7669" spans="1:1">
      <c r="A7669">
        <v>7668</v>
      </c>
    </row>
    <row r="7670" spans="1:1">
      <c r="A7670">
        <v>7669</v>
      </c>
    </row>
    <row r="7671" spans="1:1">
      <c r="A7671">
        <v>7670</v>
      </c>
    </row>
    <row r="7672" spans="1:1">
      <c r="A7672">
        <v>7671</v>
      </c>
    </row>
    <row r="7673" spans="1:1">
      <c r="A7673">
        <v>7672</v>
      </c>
    </row>
    <row r="7674" spans="1:1">
      <c r="A7674">
        <v>7673</v>
      </c>
    </row>
    <row r="7675" spans="1:1">
      <c r="A7675">
        <v>7674</v>
      </c>
    </row>
    <row r="7676" spans="1:1">
      <c r="A7676">
        <v>7675</v>
      </c>
    </row>
    <row r="7677" spans="1:1">
      <c r="A7677">
        <v>7676</v>
      </c>
    </row>
    <row r="7678" spans="1:1">
      <c r="A7678">
        <v>7677</v>
      </c>
    </row>
    <row r="7679" spans="1:1">
      <c r="A7679">
        <v>7678</v>
      </c>
    </row>
    <row r="7680" spans="1:1">
      <c r="A7680">
        <v>7679</v>
      </c>
    </row>
    <row r="7681" spans="1:1">
      <c r="A7681">
        <v>7680</v>
      </c>
    </row>
    <row r="7682" spans="1:1">
      <c r="A7682">
        <v>7681</v>
      </c>
    </row>
    <row r="7683" spans="1:1">
      <c r="A7683">
        <v>7682</v>
      </c>
    </row>
    <row r="7684" spans="1:1">
      <c r="A7684">
        <v>7683</v>
      </c>
    </row>
    <row r="7685" spans="1:1">
      <c r="A7685">
        <v>7684</v>
      </c>
    </row>
    <row r="7686" spans="1:1">
      <c r="A7686">
        <v>7685</v>
      </c>
    </row>
    <row r="7687" spans="1:1">
      <c r="A7687">
        <v>7686</v>
      </c>
    </row>
    <row r="7688" spans="1:1">
      <c r="A7688">
        <v>7687</v>
      </c>
    </row>
    <row r="7689" spans="1:1">
      <c r="A7689">
        <v>7688</v>
      </c>
    </row>
    <row r="7690" spans="1:1">
      <c r="A7690">
        <v>7689</v>
      </c>
    </row>
    <row r="7691" spans="1:1">
      <c r="A7691">
        <v>7690</v>
      </c>
    </row>
    <row r="7692" spans="1:1">
      <c r="A7692">
        <v>7691</v>
      </c>
    </row>
    <row r="7693" spans="1:1">
      <c r="A7693">
        <v>7692</v>
      </c>
    </row>
    <row r="7694" spans="1:1">
      <c r="A7694">
        <v>7693</v>
      </c>
    </row>
    <row r="7695" spans="1:1">
      <c r="A7695">
        <v>7694</v>
      </c>
    </row>
    <row r="7696" spans="1:1">
      <c r="A7696">
        <v>7695</v>
      </c>
    </row>
    <row r="7697" spans="1:1">
      <c r="A7697">
        <v>7696</v>
      </c>
    </row>
    <row r="7698" spans="1:1">
      <c r="A7698">
        <v>7697</v>
      </c>
    </row>
    <row r="7699" spans="1:1">
      <c r="A7699">
        <v>7698</v>
      </c>
    </row>
    <row r="7700" spans="1:1">
      <c r="A7700">
        <v>7699</v>
      </c>
    </row>
    <row r="7701" spans="1:1">
      <c r="A7701">
        <v>7700</v>
      </c>
    </row>
    <row r="7702" spans="1:1">
      <c r="A7702">
        <v>7701</v>
      </c>
    </row>
    <row r="7703" spans="1:1">
      <c r="A7703">
        <v>7702</v>
      </c>
    </row>
    <row r="7704" spans="1:1">
      <c r="A7704">
        <v>7703</v>
      </c>
    </row>
    <row r="7705" spans="1:1">
      <c r="A7705">
        <v>7704</v>
      </c>
    </row>
    <row r="7706" spans="1:1">
      <c r="A7706">
        <v>7705</v>
      </c>
    </row>
    <row r="7707" spans="1:1">
      <c r="A7707">
        <v>7706</v>
      </c>
    </row>
    <row r="7708" spans="1:1">
      <c r="A7708">
        <v>7707</v>
      </c>
    </row>
    <row r="7709" spans="1:1">
      <c r="A7709">
        <v>7708</v>
      </c>
    </row>
    <row r="7710" spans="1:1">
      <c r="A7710">
        <v>7709</v>
      </c>
    </row>
    <row r="7711" spans="1:1">
      <c r="A7711">
        <v>7710</v>
      </c>
    </row>
    <row r="7712" spans="1:1">
      <c r="A7712">
        <v>7711</v>
      </c>
    </row>
    <row r="7713" spans="1:1">
      <c r="A7713">
        <v>7712</v>
      </c>
    </row>
    <row r="7714" spans="1:1">
      <c r="A7714">
        <v>7713</v>
      </c>
    </row>
    <row r="7715" spans="1:1">
      <c r="A7715">
        <v>7714</v>
      </c>
    </row>
    <row r="7716" spans="1:1">
      <c r="A7716">
        <v>7715</v>
      </c>
    </row>
    <row r="7717" spans="1:1">
      <c r="A7717">
        <v>7716</v>
      </c>
    </row>
    <row r="7718" spans="1:1">
      <c r="A7718">
        <v>7717</v>
      </c>
    </row>
    <row r="7719" spans="1:1">
      <c r="A7719">
        <v>7718</v>
      </c>
    </row>
    <row r="7720" spans="1:1">
      <c r="A7720">
        <v>7719</v>
      </c>
    </row>
    <row r="7721" spans="1:1">
      <c r="A7721">
        <v>7720</v>
      </c>
    </row>
    <row r="7722" spans="1:1">
      <c r="A7722">
        <v>7721</v>
      </c>
    </row>
    <row r="7723" spans="1:1">
      <c r="A7723">
        <v>7722</v>
      </c>
    </row>
    <row r="7724" spans="1:1">
      <c r="A7724">
        <v>7723</v>
      </c>
    </row>
    <row r="7725" spans="1:1">
      <c r="A7725">
        <v>7724</v>
      </c>
    </row>
    <row r="7726" spans="1:1">
      <c r="A7726">
        <v>7725</v>
      </c>
    </row>
    <row r="7727" spans="1:1">
      <c r="A7727">
        <v>7726</v>
      </c>
    </row>
    <row r="7728" spans="1:1">
      <c r="A7728">
        <v>7727</v>
      </c>
    </row>
    <row r="7729" spans="1:1">
      <c r="A7729">
        <v>7728</v>
      </c>
    </row>
    <row r="7730" spans="1:1">
      <c r="A7730">
        <v>7729</v>
      </c>
    </row>
    <row r="7731" spans="1:1">
      <c r="A7731">
        <v>7730</v>
      </c>
    </row>
    <row r="7732" spans="1:1">
      <c r="A7732">
        <v>7731</v>
      </c>
    </row>
    <row r="7733" spans="1:1">
      <c r="A7733">
        <v>7732</v>
      </c>
    </row>
    <row r="7734" spans="1:1">
      <c r="A7734">
        <v>7733</v>
      </c>
    </row>
    <row r="7735" spans="1:1">
      <c r="A7735">
        <v>7734</v>
      </c>
    </row>
    <row r="7736" spans="1:1">
      <c r="A7736">
        <v>7735</v>
      </c>
    </row>
    <row r="7737" spans="1:1">
      <c r="A7737">
        <v>7736</v>
      </c>
    </row>
    <row r="7738" spans="1:1">
      <c r="A7738">
        <v>7737</v>
      </c>
    </row>
    <row r="7739" spans="1:1">
      <c r="A7739">
        <v>7738</v>
      </c>
    </row>
    <row r="7740" spans="1:1">
      <c r="A7740">
        <v>7739</v>
      </c>
    </row>
    <row r="7741" spans="1:1">
      <c r="A7741">
        <v>7740</v>
      </c>
    </row>
    <row r="7742" spans="1:1">
      <c r="A7742">
        <v>7741</v>
      </c>
    </row>
    <row r="7743" spans="1:1">
      <c r="A7743">
        <v>7742</v>
      </c>
    </row>
    <row r="7744" spans="1:1">
      <c r="A7744">
        <v>7743</v>
      </c>
    </row>
    <row r="7745" spans="1:1">
      <c r="A7745">
        <v>7744</v>
      </c>
    </row>
    <row r="7746" spans="1:1">
      <c r="A7746">
        <v>7745</v>
      </c>
    </row>
    <row r="7747" spans="1:1">
      <c r="A7747">
        <v>7746</v>
      </c>
    </row>
    <row r="7748" spans="1:1">
      <c r="A7748">
        <v>7747</v>
      </c>
    </row>
    <row r="7749" spans="1:1">
      <c r="A7749">
        <v>7748</v>
      </c>
    </row>
    <row r="7750" spans="1:1">
      <c r="A7750">
        <v>7749</v>
      </c>
    </row>
    <row r="7751" spans="1:1">
      <c r="A7751">
        <v>7750</v>
      </c>
    </row>
    <row r="7752" spans="1:1">
      <c r="A7752">
        <v>7751</v>
      </c>
    </row>
    <row r="7753" spans="1:1">
      <c r="A7753">
        <v>7752</v>
      </c>
    </row>
    <row r="7754" spans="1:1">
      <c r="A7754">
        <v>7753</v>
      </c>
    </row>
    <row r="7755" spans="1:1">
      <c r="A7755">
        <v>7754</v>
      </c>
    </row>
    <row r="7756" spans="1:1">
      <c r="A7756">
        <v>7755</v>
      </c>
    </row>
    <row r="7757" spans="1:1">
      <c r="A7757">
        <v>7756</v>
      </c>
    </row>
    <row r="7758" spans="1:1">
      <c r="A7758">
        <v>7757</v>
      </c>
    </row>
    <row r="7759" spans="1:1">
      <c r="A7759">
        <v>7758</v>
      </c>
    </row>
    <row r="7760" spans="1:1">
      <c r="A7760">
        <v>7759</v>
      </c>
    </row>
    <row r="7761" spans="1:1">
      <c r="A7761">
        <v>7760</v>
      </c>
    </row>
    <row r="7762" spans="1:1">
      <c r="A7762">
        <v>7761</v>
      </c>
    </row>
    <row r="7763" spans="1:1">
      <c r="A7763">
        <v>7762</v>
      </c>
    </row>
    <row r="7764" spans="1:1">
      <c r="A7764">
        <v>7763</v>
      </c>
    </row>
    <row r="7765" spans="1:1">
      <c r="A7765">
        <v>7764</v>
      </c>
    </row>
    <row r="7766" spans="1:1">
      <c r="A7766">
        <v>7765</v>
      </c>
    </row>
    <row r="7767" spans="1:1">
      <c r="A7767">
        <v>7766</v>
      </c>
    </row>
    <row r="7768" spans="1:1">
      <c r="A7768">
        <v>7767</v>
      </c>
    </row>
    <row r="7769" spans="1:1">
      <c r="A7769">
        <v>7768</v>
      </c>
    </row>
    <row r="7770" spans="1:1">
      <c r="A7770">
        <v>7769</v>
      </c>
    </row>
    <row r="7771" spans="1:1">
      <c r="A7771">
        <v>7770</v>
      </c>
    </row>
    <row r="7772" spans="1:1">
      <c r="A7772">
        <v>7771</v>
      </c>
    </row>
    <row r="7773" spans="1:1">
      <c r="A7773">
        <v>7772</v>
      </c>
    </row>
    <row r="7774" spans="1:1">
      <c r="A7774">
        <v>7773</v>
      </c>
    </row>
    <row r="7775" spans="1:1">
      <c r="A7775">
        <v>7774</v>
      </c>
    </row>
    <row r="7776" spans="1:1">
      <c r="A7776">
        <v>7775</v>
      </c>
    </row>
    <row r="7777" spans="1:1">
      <c r="A7777">
        <v>7776</v>
      </c>
    </row>
    <row r="7778" spans="1:1">
      <c r="A7778">
        <v>7777</v>
      </c>
    </row>
    <row r="7779" spans="1:1">
      <c r="A7779">
        <v>7778</v>
      </c>
    </row>
    <row r="7780" spans="1:1">
      <c r="A7780">
        <v>7779</v>
      </c>
    </row>
    <row r="7781" spans="1:1">
      <c r="A7781">
        <v>7780</v>
      </c>
    </row>
    <row r="7782" spans="1:1">
      <c r="A7782">
        <v>7781</v>
      </c>
    </row>
    <row r="7783" spans="1:1">
      <c r="A7783">
        <v>7782</v>
      </c>
    </row>
    <row r="7784" spans="1:1">
      <c r="A7784">
        <v>7783</v>
      </c>
    </row>
    <row r="7785" spans="1:1">
      <c r="A7785">
        <v>7784</v>
      </c>
    </row>
    <row r="7786" spans="1:1">
      <c r="A7786">
        <v>7785</v>
      </c>
    </row>
    <row r="7787" spans="1:1">
      <c r="A7787">
        <v>7786</v>
      </c>
    </row>
    <row r="7788" spans="1:1">
      <c r="A7788">
        <v>7787</v>
      </c>
    </row>
    <row r="7789" spans="1:1">
      <c r="A7789">
        <v>7788</v>
      </c>
    </row>
    <row r="7790" spans="1:1">
      <c r="A7790">
        <v>7789</v>
      </c>
    </row>
    <row r="7791" spans="1:1">
      <c r="A7791">
        <v>7790</v>
      </c>
    </row>
    <row r="7792" spans="1:1">
      <c r="A7792">
        <v>7791</v>
      </c>
    </row>
    <row r="7793" spans="1:1">
      <c r="A7793">
        <v>7792</v>
      </c>
    </row>
    <row r="7794" spans="1:1">
      <c r="A7794">
        <v>7793</v>
      </c>
    </row>
    <row r="7795" spans="1:1">
      <c r="A7795">
        <v>7794</v>
      </c>
    </row>
    <row r="7796" spans="1:1">
      <c r="A7796">
        <v>7795</v>
      </c>
    </row>
    <row r="7797" spans="1:1">
      <c r="A7797">
        <v>7796</v>
      </c>
    </row>
    <row r="7798" spans="1:1">
      <c r="A7798">
        <v>7797</v>
      </c>
    </row>
    <row r="7799" spans="1:1">
      <c r="A7799">
        <v>7798</v>
      </c>
    </row>
    <row r="7800" spans="1:1">
      <c r="A7800">
        <v>7799</v>
      </c>
    </row>
    <row r="7801" spans="1:1">
      <c r="A7801">
        <v>7800</v>
      </c>
    </row>
    <row r="7802" spans="1:1">
      <c r="A7802">
        <v>7801</v>
      </c>
    </row>
    <row r="7803" spans="1:1">
      <c r="A7803">
        <v>7802</v>
      </c>
    </row>
    <row r="7804" spans="1:1">
      <c r="A7804">
        <v>7803</v>
      </c>
    </row>
    <row r="7805" spans="1:1">
      <c r="A7805">
        <v>7804</v>
      </c>
    </row>
    <row r="7806" spans="1:1">
      <c r="A7806">
        <v>7805</v>
      </c>
    </row>
    <row r="7807" spans="1:1">
      <c r="A7807">
        <v>7806</v>
      </c>
    </row>
    <row r="7808" spans="1:1">
      <c r="A7808">
        <v>7807</v>
      </c>
    </row>
    <row r="7809" spans="1:1">
      <c r="A7809">
        <v>7808</v>
      </c>
    </row>
    <row r="7810" spans="1:1">
      <c r="A7810">
        <v>7809</v>
      </c>
    </row>
    <row r="7811" spans="1:1">
      <c r="A7811">
        <v>7810</v>
      </c>
    </row>
    <row r="7812" spans="1:1">
      <c r="A7812">
        <v>7811</v>
      </c>
    </row>
    <row r="7813" spans="1:1">
      <c r="A7813">
        <v>7812</v>
      </c>
    </row>
    <row r="7814" spans="1:1">
      <c r="A7814">
        <v>7813</v>
      </c>
    </row>
    <row r="7815" spans="1:1">
      <c r="A7815">
        <v>7814</v>
      </c>
    </row>
    <row r="7816" spans="1:1">
      <c r="A7816">
        <v>7815</v>
      </c>
    </row>
    <row r="7817" spans="1:1">
      <c r="A7817">
        <v>7816</v>
      </c>
    </row>
    <row r="7818" spans="1:1">
      <c r="A7818">
        <v>7817</v>
      </c>
    </row>
    <row r="7819" spans="1:1">
      <c r="A7819">
        <v>7818</v>
      </c>
    </row>
    <row r="7820" spans="1:1">
      <c r="A7820">
        <v>7819</v>
      </c>
    </row>
    <row r="7821" spans="1:1">
      <c r="A7821">
        <v>7820</v>
      </c>
    </row>
    <row r="7822" spans="1:1">
      <c r="A7822">
        <v>7821</v>
      </c>
    </row>
    <row r="7823" spans="1:1">
      <c r="A7823">
        <v>7822</v>
      </c>
    </row>
    <row r="7824" spans="1:1">
      <c r="A7824">
        <v>7823</v>
      </c>
    </row>
    <row r="7825" spans="1:1">
      <c r="A7825">
        <v>7824</v>
      </c>
    </row>
    <row r="7826" spans="1:1">
      <c r="A7826">
        <v>7825</v>
      </c>
    </row>
    <row r="7827" spans="1:1">
      <c r="A7827">
        <v>7826</v>
      </c>
    </row>
    <row r="7828" spans="1:1">
      <c r="A7828">
        <v>7827</v>
      </c>
    </row>
    <row r="7829" spans="1:1">
      <c r="A7829">
        <v>7828</v>
      </c>
    </row>
    <row r="7830" spans="1:1">
      <c r="A7830">
        <v>7829</v>
      </c>
    </row>
    <row r="7831" spans="1:1">
      <c r="A7831">
        <v>7830</v>
      </c>
    </row>
    <row r="7832" spans="1:1">
      <c r="A7832">
        <v>7831</v>
      </c>
    </row>
    <row r="7833" spans="1:1">
      <c r="A7833">
        <v>7832</v>
      </c>
    </row>
    <row r="7834" spans="1:1">
      <c r="A7834">
        <v>7833</v>
      </c>
    </row>
    <row r="7835" spans="1:1">
      <c r="A7835">
        <v>7834</v>
      </c>
    </row>
    <row r="7836" spans="1:1">
      <c r="A7836">
        <v>7835</v>
      </c>
    </row>
    <row r="7837" spans="1:1">
      <c r="A7837">
        <v>7836</v>
      </c>
    </row>
    <row r="7838" spans="1:1">
      <c r="A7838">
        <v>7837</v>
      </c>
    </row>
    <row r="7839" spans="1:1">
      <c r="A7839">
        <v>7838</v>
      </c>
    </row>
    <row r="7840" spans="1:1">
      <c r="A7840">
        <v>7839</v>
      </c>
    </row>
    <row r="7841" spans="1:1">
      <c r="A7841">
        <v>7840</v>
      </c>
    </row>
    <row r="7842" spans="1:1">
      <c r="A7842">
        <v>7841</v>
      </c>
    </row>
    <row r="7843" spans="1:1">
      <c r="A7843">
        <v>7842</v>
      </c>
    </row>
    <row r="7844" spans="1:1">
      <c r="A7844">
        <v>7843</v>
      </c>
    </row>
    <row r="7845" spans="1:1">
      <c r="A7845">
        <v>7844</v>
      </c>
    </row>
    <row r="7846" spans="1:1">
      <c r="A7846">
        <v>7845</v>
      </c>
    </row>
    <row r="7847" spans="1:1">
      <c r="A7847">
        <v>7846</v>
      </c>
    </row>
    <row r="7848" spans="1:1">
      <c r="A7848">
        <v>7847</v>
      </c>
    </row>
    <row r="7849" spans="1:1">
      <c r="A7849">
        <v>7848</v>
      </c>
    </row>
    <row r="7850" spans="1:1">
      <c r="A7850">
        <v>7849</v>
      </c>
    </row>
    <row r="7851" spans="1:1">
      <c r="A7851">
        <v>7850</v>
      </c>
    </row>
    <row r="7852" spans="1:1">
      <c r="A7852">
        <v>7851</v>
      </c>
    </row>
    <row r="7853" spans="1:1">
      <c r="A7853">
        <v>7852</v>
      </c>
    </row>
    <row r="7854" spans="1:1">
      <c r="A7854">
        <v>7853</v>
      </c>
    </row>
    <row r="7855" spans="1:1">
      <c r="A7855">
        <v>7854</v>
      </c>
    </row>
    <row r="7856" spans="1:1">
      <c r="A7856">
        <v>7855</v>
      </c>
    </row>
    <row r="7857" spans="1:1">
      <c r="A7857">
        <v>7856</v>
      </c>
    </row>
    <row r="7858" spans="1:1">
      <c r="A7858">
        <v>7857</v>
      </c>
    </row>
    <row r="7859" spans="1:1">
      <c r="A7859">
        <v>7858</v>
      </c>
    </row>
    <row r="7860" spans="1:1">
      <c r="A7860">
        <v>7859</v>
      </c>
    </row>
    <row r="7861" spans="1:1">
      <c r="A7861">
        <v>7860</v>
      </c>
    </row>
    <row r="7862" spans="1:1">
      <c r="A7862">
        <v>7861</v>
      </c>
    </row>
    <row r="7863" spans="1:1">
      <c r="A7863">
        <v>7862</v>
      </c>
    </row>
    <row r="7864" spans="1:1">
      <c r="A7864">
        <v>7863</v>
      </c>
    </row>
    <row r="7865" spans="1:1">
      <c r="A7865">
        <v>7864</v>
      </c>
    </row>
    <row r="7866" spans="1:1">
      <c r="A7866">
        <v>7865</v>
      </c>
    </row>
    <row r="7867" spans="1:1">
      <c r="A7867">
        <v>7866</v>
      </c>
    </row>
    <row r="7868" spans="1:1">
      <c r="A7868">
        <v>7867</v>
      </c>
    </row>
    <row r="7869" spans="1:1">
      <c r="A7869">
        <v>7868</v>
      </c>
    </row>
    <row r="7870" spans="1:1">
      <c r="A7870">
        <v>7869</v>
      </c>
    </row>
    <row r="7871" spans="1:1">
      <c r="A7871">
        <v>7870</v>
      </c>
    </row>
    <row r="7872" spans="1:1">
      <c r="A7872">
        <v>7871</v>
      </c>
    </row>
    <row r="7873" spans="1:1">
      <c r="A7873">
        <v>7872</v>
      </c>
    </row>
    <row r="7874" spans="1:1">
      <c r="A7874">
        <v>7873</v>
      </c>
    </row>
    <row r="7875" spans="1:1">
      <c r="A7875">
        <v>7874</v>
      </c>
    </row>
    <row r="7876" spans="1:1">
      <c r="A7876">
        <v>7875</v>
      </c>
    </row>
    <row r="7877" spans="1:1">
      <c r="A7877">
        <v>7876</v>
      </c>
    </row>
    <row r="7878" spans="1:1">
      <c r="A7878">
        <v>7877</v>
      </c>
    </row>
    <row r="7879" spans="1:1">
      <c r="A7879">
        <v>7878</v>
      </c>
    </row>
    <row r="7880" spans="1:1">
      <c r="A7880">
        <v>7879</v>
      </c>
    </row>
    <row r="7881" spans="1:1">
      <c r="A7881">
        <v>7880</v>
      </c>
    </row>
    <row r="7882" spans="1:1">
      <c r="A7882">
        <v>7881</v>
      </c>
    </row>
    <row r="7883" spans="1:1">
      <c r="A7883">
        <v>7882</v>
      </c>
    </row>
    <row r="7884" spans="1:1">
      <c r="A7884">
        <v>7883</v>
      </c>
    </row>
    <row r="7885" spans="1:1">
      <c r="A7885">
        <v>7884</v>
      </c>
    </row>
    <row r="7886" spans="1:1">
      <c r="A7886">
        <v>7885</v>
      </c>
    </row>
    <row r="7887" spans="1:1">
      <c r="A7887">
        <v>7886</v>
      </c>
    </row>
    <row r="7888" spans="1:1">
      <c r="A7888">
        <v>7887</v>
      </c>
    </row>
    <row r="7889" spans="1:1">
      <c r="A7889">
        <v>7888</v>
      </c>
    </row>
    <row r="7890" spans="1:1">
      <c r="A7890">
        <v>7889</v>
      </c>
    </row>
    <row r="7891" spans="1:1">
      <c r="A7891">
        <v>7890</v>
      </c>
    </row>
    <row r="7892" spans="1:1">
      <c r="A7892">
        <v>7891</v>
      </c>
    </row>
    <row r="7893" spans="1:1">
      <c r="A7893">
        <v>7892</v>
      </c>
    </row>
    <row r="7894" spans="1:1">
      <c r="A7894">
        <v>7893</v>
      </c>
    </row>
    <row r="7895" spans="1:1">
      <c r="A7895">
        <v>7894</v>
      </c>
    </row>
    <row r="7896" spans="1:1">
      <c r="A7896">
        <v>7895</v>
      </c>
    </row>
    <row r="7897" spans="1:1">
      <c r="A7897">
        <v>7896</v>
      </c>
    </row>
    <row r="7898" spans="1:1">
      <c r="A7898">
        <v>7897</v>
      </c>
    </row>
    <row r="7899" spans="1:1">
      <c r="A7899">
        <v>7898</v>
      </c>
    </row>
    <row r="7900" spans="1:1">
      <c r="A7900">
        <v>7899</v>
      </c>
    </row>
    <row r="7901" spans="1:1">
      <c r="A7901">
        <v>7900</v>
      </c>
    </row>
    <row r="7902" spans="1:1">
      <c r="A7902">
        <v>7901</v>
      </c>
    </row>
    <row r="7903" spans="1:1">
      <c r="A7903">
        <v>7902</v>
      </c>
    </row>
    <row r="7904" spans="1:1">
      <c r="A7904">
        <v>7903</v>
      </c>
    </row>
    <row r="7905" spans="1:1">
      <c r="A7905">
        <v>7904</v>
      </c>
    </row>
    <row r="7906" spans="1:1">
      <c r="A7906">
        <v>7905</v>
      </c>
    </row>
    <row r="7907" spans="1:1">
      <c r="A7907">
        <v>7906</v>
      </c>
    </row>
    <row r="7908" spans="1:1">
      <c r="A7908">
        <v>7907</v>
      </c>
    </row>
    <row r="7909" spans="1:1">
      <c r="A7909">
        <v>7908</v>
      </c>
    </row>
    <row r="7910" spans="1:1">
      <c r="A7910">
        <v>7909</v>
      </c>
    </row>
    <row r="7911" spans="1:1">
      <c r="A7911">
        <v>7910</v>
      </c>
    </row>
    <row r="7912" spans="1:1">
      <c r="A7912">
        <v>7911</v>
      </c>
    </row>
    <row r="7913" spans="1:1">
      <c r="A7913">
        <v>7912</v>
      </c>
    </row>
    <row r="7914" spans="1:1">
      <c r="A7914">
        <v>7913</v>
      </c>
    </row>
    <row r="7915" spans="1:1">
      <c r="A7915">
        <v>7914</v>
      </c>
    </row>
    <row r="7916" spans="1:1">
      <c r="A7916">
        <v>7915</v>
      </c>
    </row>
    <row r="7917" spans="1:1">
      <c r="A7917">
        <v>7916</v>
      </c>
    </row>
    <row r="7918" spans="1:1">
      <c r="A7918">
        <v>7917</v>
      </c>
    </row>
    <row r="7919" spans="1:1">
      <c r="A7919">
        <v>7918</v>
      </c>
    </row>
    <row r="7920" spans="1:1">
      <c r="A7920">
        <v>7919</v>
      </c>
    </row>
    <row r="7921" spans="1:1">
      <c r="A7921">
        <v>7920</v>
      </c>
    </row>
    <row r="7922" spans="1:1">
      <c r="A7922">
        <v>7921</v>
      </c>
    </row>
    <row r="7923" spans="1:1">
      <c r="A7923">
        <v>7922</v>
      </c>
    </row>
    <row r="7924" spans="1:1">
      <c r="A7924">
        <v>7923</v>
      </c>
    </row>
    <row r="7925" spans="1:1">
      <c r="A7925">
        <v>7924</v>
      </c>
    </row>
    <row r="7926" spans="1:1">
      <c r="A7926">
        <v>7925</v>
      </c>
    </row>
    <row r="7927" spans="1:1">
      <c r="A7927">
        <v>7926</v>
      </c>
    </row>
    <row r="7928" spans="1:1">
      <c r="A7928">
        <v>7927</v>
      </c>
    </row>
    <row r="7929" spans="1:1">
      <c r="A7929">
        <v>7928</v>
      </c>
    </row>
    <row r="7930" spans="1:1">
      <c r="A7930">
        <v>7929</v>
      </c>
    </row>
    <row r="7931" spans="1:1">
      <c r="A7931">
        <v>7930</v>
      </c>
    </row>
    <row r="7932" spans="1:1">
      <c r="A7932">
        <v>7931</v>
      </c>
    </row>
    <row r="7933" spans="1:1">
      <c r="A7933">
        <v>7932</v>
      </c>
    </row>
    <row r="7934" spans="1:1">
      <c r="A7934">
        <v>7933</v>
      </c>
    </row>
    <row r="7935" spans="1:1">
      <c r="A7935">
        <v>7934</v>
      </c>
    </row>
    <row r="7936" spans="1:1">
      <c r="A7936">
        <v>7935</v>
      </c>
    </row>
    <row r="7937" spans="1:1">
      <c r="A7937">
        <v>7936</v>
      </c>
    </row>
    <row r="7938" spans="1:1">
      <c r="A7938">
        <v>7937</v>
      </c>
    </row>
    <row r="7939" spans="1:1">
      <c r="A7939">
        <v>7938</v>
      </c>
    </row>
    <row r="7940" spans="1:1">
      <c r="A7940">
        <v>7939</v>
      </c>
    </row>
    <row r="7941" spans="1:1">
      <c r="A7941">
        <v>7940</v>
      </c>
    </row>
    <row r="7942" spans="1:1">
      <c r="A7942">
        <v>7941</v>
      </c>
    </row>
    <row r="7943" spans="1:1">
      <c r="A7943">
        <v>7942</v>
      </c>
    </row>
    <row r="7944" spans="1:1">
      <c r="A7944">
        <v>7943</v>
      </c>
    </row>
    <row r="7945" spans="1:1">
      <c r="A7945">
        <v>7944</v>
      </c>
    </row>
    <row r="7946" spans="1:1">
      <c r="A7946">
        <v>7945</v>
      </c>
    </row>
    <row r="7947" spans="1:1">
      <c r="A7947">
        <v>7946</v>
      </c>
    </row>
    <row r="7948" spans="1:1">
      <c r="A7948">
        <v>7947</v>
      </c>
    </row>
    <row r="7949" spans="1:1">
      <c r="A7949">
        <v>7948</v>
      </c>
    </row>
    <row r="7950" spans="1:1">
      <c r="A7950">
        <v>7949</v>
      </c>
    </row>
    <row r="7951" spans="1:1">
      <c r="A7951">
        <v>7950</v>
      </c>
    </row>
    <row r="7952" spans="1:1">
      <c r="A7952">
        <v>7951</v>
      </c>
    </row>
    <row r="7953" spans="1:1">
      <c r="A7953">
        <v>7952</v>
      </c>
    </row>
    <row r="7954" spans="1:1">
      <c r="A7954">
        <v>7953</v>
      </c>
    </row>
    <row r="7955" spans="1:1">
      <c r="A7955">
        <v>7954</v>
      </c>
    </row>
    <row r="7956" spans="1:1">
      <c r="A7956">
        <v>7955</v>
      </c>
    </row>
    <row r="7957" spans="1:1">
      <c r="A7957">
        <v>7956</v>
      </c>
    </row>
    <row r="7958" spans="1:1">
      <c r="A7958">
        <v>7957</v>
      </c>
    </row>
    <row r="7959" spans="1:1">
      <c r="A7959">
        <v>7958</v>
      </c>
    </row>
    <row r="7960" spans="1:1">
      <c r="A7960">
        <v>7959</v>
      </c>
    </row>
    <row r="7961" spans="1:1">
      <c r="A7961">
        <v>7960</v>
      </c>
    </row>
    <row r="7962" spans="1:1">
      <c r="A7962">
        <v>7961</v>
      </c>
    </row>
    <row r="7963" spans="1:1">
      <c r="A7963">
        <v>7962</v>
      </c>
    </row>
    <row r="7964" spans="1:1">
      <c r="A7964">
        <v>7963</v>
      </c>
    </row>
    <row r="7965" spans="1:1">
      <c r="A7965">
        <v>7964</v>
      </c>
    </row>
    <row r="7966" spans="1:1">
      <c r="A7966">
        <v>7965</v>
      </c>
    </row>
    <row r="7967" spans="1:1">
      <c r="A7967">
        <v>7966</v>
      </c>
    </row>
    <row r="7968" spans="1:1">
      <c r="A7968">
        <v>7967</v>
      </c>
    </row>
    <row r="7969" spans="1:1">
      <c r="A7969">
        <v>7968</v>
      </c>
    </row>
    <row r="7970" spans="1:1">
      <c r="A7970">
        <v>7969</v>
      </c>
    </row>
    <row r="7971" spans="1:1">
      <c r="A7971">
        <v>7970</v>
      </c>
    </row>
    <row r="7972" spans="1:1">
      <c r="A7972">
        <v>7971</v>
      </c>
    </row>
    <row r="7973" spans="1:1">
      <c r="A7973">
        <v>7972</v>
      </c>
    </row>
    <row r="7974" spans="1:1">
      <c r="A7974">
        <v>7973</v>
      </c>
    </row>
    <row r="7975" spans="1:1">
      <c r="A7975">
        <v>7974</v>
      </c>
    </row>
    <row r="7976" spans="1:1">
      <c r="A7976">
        <v>7975</v>
      </c>
    </row>
    <row r="7977" spans="1:1">
      <c r="A7977">
        <v>7976</v>
      </c>
    </row>
    <row r="7978" spans="1:1">
      <c r="A7978">
        <v>7977</v>
      </c>
    </row>
    <row r="7979" spans="1:1">
      <c r="A7979">
        <v>7978</v>
      </c>
    </row>
    <row r="7980" spans="1:1">
      <c r="A7980">
        <v>7979</v>
      </c>
    </row>
    <row r="7981" spans="1:1">
      <c r="A7981">
        <v>7980</v>
      </c>
    </row>
    <row r="7982" spans="1:1">
      <c r="A7982">
        <v>7981</v>
      </c>
    </row>
    <row r="7983" spans="1:1">
      <c r="A7983">
        <v>7982</v>
      </c>
    </row>
    <row r="7984" spans="1:1">
      <c r="A7984">
        <v>7983</v>
      </c>
    </row>
    <row r="7985" spans="1:1">
      <c r="A7985">
        <v>7984</v>
      </c>
    </row>
    <row r="7986" spans="1:1">
      <c r="A7986">
        <v>7985</v>
      </c>
    </row>
    <row r="7987" spans="1:1">
      <c r="A7987">
        <v>7986</v>
      </c>
    </row>
    <row r="7988" spans="1:1">
      <c r="A7988">
        <v>7987</v>
      </c>
    </row>
    <row r="7989" spans="1:1">
      <c r="A7989">
        <v>7988</v>
      </c>
    </row>
    <row r="7990" spans="1:1">
      <c r="A7990">
        <v>7989</v>
      </c>
    </row>
    <row r="7991" spans="1:1">
      <c r="A7991">
        <v>7990</v>
      </c>
    </row>
    <row r="7992" spans="1:1">
      <c r="A7992">
        <v>7991</v>
      </c>
    </row>
    <row r="7993" spans="1:1">
      <c r="A7993">
        <v>7992</v>
      </c>
    </row>
    <row r="7994" spans="1:1">
      <c r="A7994">
        <v>7993</v>
      </c>
    </row>
    <row r="7995" spans="1:1">
      <c r="A7995">
        <v>7994</v>
      </c>
    </row>
    <row r="7996" spans="1:1">
      <c r="A7996">
        <v>7995</v>
      </c>
    </row>
    <row r="7997" spans="1:1">
      <c r="A7997">
        <v>7996</v>
      </c>
    </row>
    <row r="7998" spans="1:1">
      <c r="A7998">
        <v>7997</v>
      </c>
    </row>
    <row r="7999" spans="1:1">
      <c r="A7999">
        <v>7998</v>
      </c>
    </row>
    <row r="8000" spans="1:1">
      <c r="A8000">
        <v>7999</v>
      </c>
    </row>
    <row r="8001" spans="1:1">
      <c r="A8001">
        <v>8000</v>
      </c>
    </row>
    <row r="8002" spans="1:1">
      <c r="A8002">
        <v>8001</v>
      </c>
    </row>
    <row r="8003" spans="1:1">
      <c r="A8003">
        <v>8002</v>
      </c>
    </row>
    <row r="8004" spans="1:1">
      <c r="A8004">
        <v>8003</v>
      </c>
    </row>
    <row r="8005" spans="1:1">
      <c r="A8005">
        <v>8004</v>
      </c>
    </row>
    <row r="8006" spans="1:1">
      <c r="A8006">
        <v>8005</v>
      </c>
    </row>
    <row r="8007" spans="1:1">
      <c r="A8007">
        <v>8006</v>
      </c>
    </row>
    <row r="8008" spans="1:1">
      <c r="A8008">
        <v>8007</v>
      </c>
    </row>
    <row r="8009" spans="1:1">
      <c r="A8009">
        <v>8008</v>
      </c>
    </row>
    <row r="8010" spans="1:1">
      <c r="A8010">
        <v>8009</v>
      </c>
    </row>
    <row r="8011" spans="1:1">
      <c r="A8011">
        <v>8010</v>
      </c>
    </row>
    <row r="8012" spans="1:1">
      <c r="A8012">
        <v>8011</v>
      </c>
    </row>
    <row r="8013" spans="1:1">
      <c r="A8013">
        <v>8012</v>
      </c>
    </row>
    <row r="8014" spans="1:1">
      <c r="A8014">
        <v>8013</v>
      </c>
    </row>
    <row r="8015" spans="1:1">
      <c r="A8015">
        <v>8014</v>
      </c>
    </row>
    <row r="8016" spans="1:1">
      <c r="A8016">
        <v>8015</v>
      </c>
    </row>
    <row r="8017" spans="1:1">
      <c r="A8017">
        <v>8016</v>
      </c>
    </row>
    <row r="8018" spans="1:1">
      <c r="A8018">
        <v>8017</v>
      </c>
    </row>
    <row r="8019" spans="1:1">
      <c r="A8019">
        <v>8018</v>
      </c>
    </row>
    <row r="8020" spans="1:1">
      <c r="A8020">
        <v>8019</v>
      </c>
    </row>
    <row r="8021" spans="1:1">
      <c r="A8021">
        <v>8020</v>
      </c>
    </row>
    <row r="8022" spans="1:1">
      <c r="A8022">
        <v>8021</v>
      </c>
    </row>
    <row r="8023" spans="1:1">
      <c r="A8023">
        <v>8022</v>
      </c>
    </row>
    <row r="8024" spans="1:1">
      <c r="A8024">
        <v>8023</v>
      </c>
    </row>
    <row r="8025" spans="1:1">
      <c r="A8025">
        <v>8024</v>
      </c>
    </row>
    <row r="8026" spans="1:1">
      <c r="A8026">
        <v>8025</v>
      </c>
    </row>
    <row r="8027" spans="1:1">
      <c r="A8027">
        <v>8026</v>
      </c>
    </row>
    <row r="8028" spans="1:1">
      <c r="A8028">
        <v>8027</v>
      </c>
    </row>
    <row r="8029" spans="1:1">
      <c r="A8029">
        <v>8028</v>
      </c>
    </row>
    <row r="8030" spans="1:1">
      <c r="A8030">
        <v>8029</v>
      </c>
    </row>
    <row r="8031" spans="1:1">
      <c r="A8031">
        <v>8030</v>
      </c>
    </row>
    <row r="8032" spans="1:1">
      <c r="A8032">
        <v>8031</v>
      </c>
    </row>
    <row r="8033" spans="1:1">
      <c r="A8033">
        <v>8032</v>
      </c>
    </row>
    <row r="8034" spans="1:1">
      <c r="A8034">
        <v>8033</v>
      </c>
    </row>
    <row r="8035" spans="1:1">
      <c r="A8035">
        <v>8034</v>
      </c>
    </row>
    <row r="8036" spans="1:1">
      <c r="A8036">
        <v>8035</v>
      </c>
    </row>
    <row r="8037" spans="1:1">
      <c r="A8037">
        <v>8036</v>
      </c>
    </row>
    <row r="8038" spans="1:1">
      <c r="A8038">
        <v>8037</v>
      </c>
    </row>
    <row r="8039" spans="1:1">
      <c r="A8039">
        <v>8038</v>
      </c>
    </row>
    <row r="8040" spans="1:1">
      <c r="A8040">
        <v>8039</v>
      </c>
    </row>
    <row r="8041" spans="1:1">
      <c r="A8041">
        <v>8040</v>
      </c>
    </row>
    <row r="8042" spans="1:1">
      <c r="A8042">
        <v>8041</v>
      </c>
    </row>
    <row r="8043" spans="1:1">
      <c r="A8043">
        <v>8042</v>
      </c>
    </row>
    <row r="8044" spans="1:1">
      <c r="A8044">
        <v>8043</v>
      </c>
    </row>
    <row r="8045" spans="1:1">
      <c r="A8045">
        <v>8044</v>
      </c>
    </row>
    <row r="8046" spans="1:1">
      <c r="A8046">
        <v>8045</v>
      </c>
    </row>
    <row r="8047" spans="1:1">
      <c r="A8047">
        <v>8046</v>
      </c>
    </row>
    <row r="8048" spans="1:1">
      <c r="A8048">
        <v>8047</v>
      </c>
    </row>
    <row r="8049" spans="1:1">
      <c r="A8049">
        <v>8048</v>
      </c>
    </row>
    <row r="8050" spans="1:1">
      <c r="A8050">
        <v>8049</v>
      </c>
    </row>
    <row r="8051" spans="1:1">
      <c r="A8051">
        <v>8050</v>
      </c>
    </row>
    <row r="8052" spans="1:1">
      <c r="A8052">
        <v>8051</v>
      </c>
    </row>
    <row r="8053" spans="1:1">
      <c r="A8053">
        <v>8052</v>
      </c>
    </row>
    <row r="8054" spans="1:1">
      <c r="A8054">
        <v>8053</v>
      </c>
    </row>
    <row r="8055" spans="1:1">
      <c r="A8055">
        <v>8054</v>
      </c>
    </row>
    <row r="8056" spans="1:1">
      <c r="A8056">
        <v>8055</v>
      </c>
    </row>
    <row r="8057" spans="1:1">
      <c r="A8057">
        <v>8056</v>
      </c>
    </row>
    <row r="8058" spans="1:1">
      <c r="A8058">
        <v>8057</v>
      </c>
    </row>
    <row r="8059" spans="1:1">
      <c r="A8059">
        <v>8058</v>
      </c>
    </row>
    <row r="8060" spans="1:1">
      <c r="A8060">
        <v>8059</v>
      </c>
    </row>
    <row r="8061" spans="1:1">
      <c r="A8061">
        <v>8060</v>
      </c>
    </row>
    <row r="8062" spans="1:1">
      <c r="A8062">
        <v>8061</v>
      </c>
    </row>
    <row r="8063" spans="1:1">
      <c r="A8063">
        <v>8062</v>
      </c>
    </row>
    <row r="8064" spans="1:1">
      <c r="A8064">
        <v>8063</v>
      </c>
    </row>
    <row r="8065" spans="1:1">
      <c r="A8065">
        <v>8064</v>
      </c>
    </row>
    <row r="8066" spans="1:1">
      <c r="A8066">
        <v>8065</v>
      </c>
    </row>
    <row r="8067" spans="1:1">
      <c r="A8067">
        <v>8066</v>
      </c>
    </row>
    <row r="8068" spans="1:1">
      <c r="A8068">
        <v>8067</v>
      </c>
    </row>
    <row r="8069" spans="1:1">
      <c r="A8069">
        <v>8068</v>
      </c>
    </row>
    <row r="8070" spans="1:1">
      <c r="A8070">
        <v>8069</v>
      </c>
    </row>
    <row r="8071" spans="1:1">
      <c r="A8071">
        <v>8070</v>
      </c>
    </row>
    <row r="8072" spans="1:1">
      <c r="A8072">
        <v>8071</v>
      </c>
    </row>
    <row r="8073" spans="1:1">
      <c r="A8073">
        <v>8072</v>
      </c>
    </row>
    <row r="8074" spans="1:1">
      <c r="A8074">
        <v>8073</v>
      </c>
    </row>
    <row r="8075" spans="1:1">
      <c r="A8075">
        <v>8074</v>
      </c>
    </row>
    <row r="8076" spans="1:1">
      <c r="A8076">
        <v>8075</v>
      </c>
    </row>
    <row r="8077" spans="1:1">
      <c r="A8077">
        <v>8076</v>
      </c>
    </row>
    <row r="8078" spans="1:1">
      <c r="A8078">
        <v>8077</v>
      </c>
    </row>
    <row r="8079" spans="1:1">
      <c r="A8079">
        <v>8078</v>
      </c>
    </row>
    <row r="8080" spans="1:1">
      <c r="A8080">
        <v>8079</v>
      </c>
    </row>
    <row r="8081" spans="1:1">
      <c r="A8081">
        <v>8080</v>
      </c>
    </row>
    <row r="8082" spans="1:1">
      <c r="A8082">
        <v>8081</v>
      </c>
    </row>
    <row r="8083" spans="1:1">
      <c r="A8083">
        <v>8082</v>
      </c>
    </row>
    <row r="8084" spans="1:1">
      <c r="A8084">
        <v>8083</v>
      </c>
    </row>
    <row r="8085" spans="1:1">
      <c r="A8085">
        <v>8084</v>
      </c>
    </row>
    <row r="8086" spans="1:1">
      <c r="A8086">
        <v>8085</v>
      </c>
    </row>
    <row r="8087" spans="1:1">
      <c r="A8087">
        <v>8086</v>
      </c>
    </row>
    <row r="8088" spans="1:1">
      <c r="A8088">
        <v>8087</v>
      </c>
    </row>
    <row r="8089" spans="1:1">
      <c r="A8089">
        <v>8088</v>
      </c>
    </row>
    <row r="8090" spans="1:1">
      <c r="A8090">
        <v>8089</v>
      </c>
    </row>
    <row r="8091" spans="1:1">
      <c r="A8091">
        <v>8090</v>
      </c>
    </row>
    <row r="8092" spans="1:1">
      <c r="A8092">
        <v>8091</v>
      </c>
    </row>
    <row r="8093" spans="1:1">
      <c r="A8093">
        <v>8092</v>
      </c>
    </row>
    <row r="8094" spans="1:1">
      <c r="A8094">
        <v>8093</v>
      </c>
    </row>
    <row r="8095" spans="1:1">
      <c r="A8095">
        <v>8094</v>
      </c>
    </row>
    <row r="8096" spans="1:1">
      <c r="A8096">
        <v>8095</v>
      </c>
    </row>
    <row r="8097" spans="1:1">
      <c r="A8097">
        <v>8096</v>
      </c>
    </row>
    <row r="8098" spans="1:1">
      <c r="A8098">
        <v>8097</v>
      </c>
    </row>
    <row r="8099" spans="1:1">
      <c r="A8099">
        <v>8098</v>
      </c>
    </row>
    <row r="8100" spans="1:1">
      <c r="A8100">
        <v>8099</v>
      </c>
    </row>
    <row r="8101" spans="1:1">
      <c r="A8101">
        <v>8100</v>
      </c>
    </row>
    <row r="8102" spans="1:1">
      <c r="A8102">
        <v>8101</v>
      </c>
    </row>
    <row r="8103" spans="1:1">
      <c r="A8103">
        <v>8102</v>
      </c>
    </row>
    <row r="8104" spans="1:1">
      <c r="A8104">
        <v>8103</v>
      </c>
    </row>
    <row r="8105" spans="1:1">
      <c r="A8105">
        <v>8104</v>
      </c>
    </row>
    <row r="8106" spans="1:1">
      <c r="A8106">
        <v>8105</v>
      </c>
    </row>
    <row r="8107" spans="1:1">
      <c r="A8107">
        <v>8106</v>
      </c>
    </row>
    <row r="8108" spans="1:1">
      <c r="A8108">
        <v>8107</v>
      </c>
    </row>
    <row r="8109" spans="1:1">
      <c r="A8109">
        <v>8108</v>
      </c>
    </row>
    <row r="8110" spans="1:1">
      <c r="A8110">
        <v>8109</v>
      </c>
    </row>
    <row r="8111" spans="1:1">
      <c r="A8111">
        <v>8110</v>
      </c>
    </row>
    <row r="8112" spans="1:1">
      <c r="A8112">
        <v>8111</v>
      </c>
    </row>
    <row r="8113" spans="1:1">
      <c r="A8113">
        <v>8112</v>
      </c>
    </row>
    <row r="8114" spans="1:1">
      <c r="A8114">
        <v>8113</v>
      </c>
    </row>
    <row r="8115" spans="1:1">
      <c r="A8115">
        <v>8114</v>
      </c>
    </row>
    <row r="8116" spans="1:1">
      <c r="A8116">
        <v>8115</v>
      </c>
    </row>
    <row r="8117" spans="1:1">
      <c r="A8117">
        <v>8116</v>
      </c>
    </row>
    <row r="8118" spans="1:1">
      <c r="A8118">
        <v>8117</v>
      </c>
    </row>
    <row r="8119" spans="1:1">
      <c r="A8119">
        <v>8118</v>
      </c>
    </row>
    <row r="8120" spans="1:1">
      <c r="A8120">
        <v>8119</v>
      </c>
    </row>
    <row r="8121" spans="1:1">
      <c r="A8121">
        <v>8120</v>
      </c>
    </row>
    <row r="8122" spans="1:1">
      <c r="A8122">
        <v>8121</v>
      </c>
    </row>
    <row r="8123" spans="1:1">
      <c r="A8123">
        <v>8122</v>
      </c>
    </row>
    <row r="8124" spans="1:1">
      <c r="A8124">
        <v>8123</v>
      </c>
    </row>
    <row r="8125" spans="1:1">
      <c r="A8125">
        <v>8124</v>
      </c>
    </row>
    <row r="8126" spans="1:1">
      <c r="A8126">
        <v>8125</v>
      </c>
    </row>
    <row r="8127" spans="1:1">
      <c r="A8127">
        <v>8126</v>
      </c>
    </row>
    <row r="8128" spans="1:1">
      <c r="A8128">
        <v>8127</v>
      </c>
    </row>
    <row r="8129" spans="1:1">
      <c r="A8129">
        <v>8128</v>
      </c>
    </row>
    <row r="8130" spans="1:1">
      <c r="A8130">
        <v>8129</v>
      </c>
    </row>
    <row r="8131" spans="1:1">
      <c r="A8131">
        <v>8130</v>
      </c>
    </row>
    <row r="8132" spans="1:1">
      <c r="A8132">
        <v>8131</v>
      </c>
    </row>
    <row r="8133" spans="1:1">
      <c r="A8133">
        <v>8132</v>
      </c>
    </row>
    <row r="8134" spans="1:1">
      <c r="A8134">
        <v>8133</v>
      </c>
    </row>
    <row r="8135" spans="1:1">
      <c r="A8135">
        <v>8134</v>
      </c>
    </row>
    <row r="8136" spans="1:1">
      <c r="A8136">
        <v>8135</v>
      </c>
    </row>
    <row r="8137" spans="1:1">
      <c r="A8137">
        <v>8136</v>
      </c>
    </row>
    <row r="8138" spans="1:1">
      <c r="A8138">
        <v>8137</v>
      </c>
    </row>
    <row r="8139" spans="1:1">
      <c r="A8139">
        <v>8138</v>
      </c>
    </row>
    <row r="8140" spans="1:1">
      <c r="A8140">
        <v>8139</v>
      </c>
    </row>
    <row r="8141" spans="1:1">
      <c r="A8141">
        <v>8140</v>
      </c>
    </row>
    <row r="8142" spans="1:1">
      <c r="A8142">
        <v>8141</v>
      </c>
    </row>
    <row r="8143" spans="1:1">
      <c r="A8143">
        <v>8142</v>
      </c>
    </row>
    <row r="8144" spans="1:1">
      <c r="A8144">
        <v>8143</v>
      </c>
    </row>
    <row r="8145" spans="1:1">
      <c r="A8145">
        <v>8144</v>
      </c>
    </row>
    <row r="8146" spans="1:1">
      <c r="A8146">
        <v>8145</v>
      </c>
    </row>
    <row r="8147" spans="1:1">
      <c r="A8147">
        <v>8146</v>
      </c>
    </row>
    <row r="8148" spans="1:1">
      <c r="A8148">
        <v>8147</v>
      </c>
    </row>
    <row r="8149" spans="1:1">
      <c r="A8149">
        <v>8148</v>
      </c>
    </row>
    <row r="8150" spans="1:1">
      <c r="A8150">
        <v>8149</v>
      </c>
    </row>
    <row r="8151" spans="1:1">
      <c r="A8151">
        <v>8150</v>
      </c>
    </row>
    <row r="8152" spans="1:1">
      <c r="A8152">
        <v>8151</v>
      </c>
    </row>
    <row r="8153" spans="1:1">
      <c r="A8153">
        <v>8152</v>
      </c>
    </row>
    <row r="8154" spans="1:1">
      <c r="A8154">
        <v>8153</v>
      </c>
    </row>
    <row r="8155" spans="1:1">
      <c r="A8155">
        <v>8154</v>
      </c>
    </row>
    <row r="8156" spans="1:1">
      <c r="A8156">
        <v>8155</v>
      </c>
    </row>
    <row r="8157" spans="1:1">
      <c r="A8157">
        <v>8156</v>
      </c>
    </row>
    <row r="8158" spans="1:1">
      <c r="A8158">
        <v>8157</v>
      </c>
    </row>
    <row r="8159" spans="1:1">
      <c r="A8159">
        <v>8158</v>
      </c>
    </row>
    <row r="8160" spans="1:1">
      <c r="A8160">
        <v>8159</v>
      </c>
    </row>
    <row r="8161" spans="1:1">
      <c r="A8161">
        <v>8160</v>
      </c>
    </row>
    <row r="8162" spans="1:1">
      <c r="A8162">
        <v>8161</v>
      </c>
    </row>
    <row r="8163" spans="1:1">
      <c r="A8163">
        <v>8162</v>
      </c>
    </row>
    <row r="8164" spans="1:1">
      <c r="A8164">
        <v>8163</v>
      </c>
    </row>
    <row r="8165" spans="1:1">
      <c r="A8165">
        <v>8164</v>
      </c>
    </row>
    <row r="8166" spans="1:1">
      <c r="A8166">
        <v>8165</v>
      </c>
    </row>
    <row r="8167" spans="1:1">
      <c r="A8167">
        <v>8166</v>
      </c>
    </row>
    <row r="8168" spans="1:1">
      <c r="A8168">
        <v>8167</v>
      </c>
    </row>
    <row r="8169" spans="1:1">
      <c r="A8169">
        <v>8168</v>
      </c>
    </row>
    <row r="8170" spans="1:1">
      <c r="A8170">
        <v>8169</v>
      </c>
    </row>
    <row r="8171" spans="1:1">
      <c r="A8171">
        <v>8170</v>
      </c>
    </row>
    <row r="8172" spans="1:1">
      <c r="A8172">
        <v>8171</v>
      </c>
    </row>
    <row r="8173" spans="1:1">
      <c r="A8173">
        <v>8172</v>
      </c>
    </row>
    <row r="8174" spans="1:1">
      <c r="A8174">
        <v>8173</v>
      </c>
    </row>
    <row r="8175" spans="1:1">
      <c r="A8175">
        <v>8174</v>
      </c>
    </row>
    <row r="8176" spans="1:1">
      <c r="A8176">
        <v>8175</v>
      </c>
    </row>
    <row r="8177" spans="1:1">
      <c r="A8177">
        <v>8176</v>
      </c>
    </row>
    <row r="8178" spans="1:1">
      <c r="A8178">
        <v>8177</v>
      </c>
    </row>
    <row r="8179" spans="1:1">
      <c r="A8179">
        <v>8178</v>
      </c>
    </row>
    <row r="8180" spans="1:1">
      <c r="A8180">
        <v>8179</v>
      </c>
    </row>
    <row r="8181" spans="1:1">
      <c r="A8181">
        <v>8180</v>
      </c>
    </row>
    <row r="8182" spans="1:1">
      <c r="A8182">
        <v>8181</v>
      </c>
    </row>
    <row r="8183" spans="1:1">
      <c r="A8183">
        <v>8182</v>
      </c>
    </row>
    <row r="8184" spans="1:1">
      <c r="A8184">
        <v>8183</v>
      </c>
    </row>
    <row r="8185" spans="1:1">
      <c r="A8185">
        <v>8184</v>
      </c>
    </row>
    <row r="8186" spans="1:1">
      <c r="A8186">
        <v>8185</v>
      </c>
    </row>
    <row r="8187" spans="1:1">
      <c r="A8187">
        <v>8186</v>
      </c>
    </row>
    <row r="8188" spans="1:1">
      <c r="A8188">
        <v>8187</v>
      </c>
    </row>
    <row r="8189" spans="1:1">
      <c r="A8189">
        <v>8188</v>
      </c>
    </row>
    <row r="8190" spans="1:1">
      <c r="A8190">
        <v>8189</v>
      </c>
    </row>
    <row r="8191" spans="1:1">
      <c r="A8191">
        <v>8190</v>
      </c>
    </row>
    <row r="8192" spans="1:1">
      <c r="A8192">
        <v>8191</v>
      </c>
    </row>
    <row r="8193" spans="1:1">
      <c r="A8193">
        <v>8192</v>
      </c>
    </row>
    <row r="8194" spans="1:1">
      <c r="A8194">
        <v>8193</v>
      </c>
    </row>
    <row r="8195" spans="1:1">
      <c r="A8195">
        <v>8194</v>
      </c>
    </row>
    <row r="8196" spans="1:1">
      <c r="A8196">
        <v>8195</v>
      </c>
    </row>
    <row r="8197" spans="1:1">
      <c r="A8197">
        <v>8196</v>
      </c>
    </row>
    <row r="8198" spans="1:1">
      <c r="A8198">
        <v>8197</v>
      </c>
    </row>
    <row r="8199" spans="1:1">
      <c r="A8199">
        <v>8198</v>
      </c>
    </row>
    <row r="8200" spans="1:1">
      <c r="A8200">
        <v>8199</v>
      </c>
    </row>
    <row r="8201" spans="1:1">
      <c r="A8201">
        <v>8200</v>
      </c>
    </row>
    <row r="8202" spans="1:1">
      <c r="A8202">
        <v>8201</v>
      </c>
    </row>
    <row r="8203" spans="1:1">
      <c r="A8203">
        <v>8202</v>
      </c>
    </row>
    <row r="8204" spans="1:1">
      <c r="A8204">
        <v>8203</v>
      </c>
    </row>
    <row r="8205" spans="1:1">
      <c r="A8205">
        <v>8204</v>
      </c>
    </row>
    <row r="8206" spans="1:1">
      <c r="A8206">
        <v>8205</v>
      </c>
    </row>
    <row r="8207" spans="1:1">
      <c r="A8207">
        <v>8206</v>
      </c>
    </row>
    <row r="8208" spans="1:1">
      <c r="A8208">
        <v>8207</v>
      </c>
    </row>
    <row r="8209" spans="1:1">
      <c r="A8209">
        <v>8208</v>
      </c>
    </row>
    <row r="8210" spans="1:1">
      <c r="A8210">
        <v>8209</v>
      </c>
    </row>
    <row r="8211" spans="1:1">
      <c r="A8211">
        <v>8210</v>
      </c>
    </row>
    <row r="8212" spans="1:1">
      <c r="A8212">
        <v>8211</v>
      </c>
    </row>
    <row r="8213" spans="1:1">
      <c r="A8213">
        <v>8212</v>
      </c>
    </row>
    <row r="8214" spans="1:1">
      <c r="A8214">
        <v>8213</v>
      </c>
    </row>
    <row r="8215" spans="1:1">
      <c r="A8215">
        <v>8214</v>
      </c>
    </row>
    <row r="8216" spans="1:1">
      <c r="A8216">
        <v>8215</v>
      </c>
    </row>
    <row r="8217" spans="1:1">
      <c r="A8217">
        <v>8216</v>
      </c>
    </row>
    <row r="8218" spans="1:1">
      <c r="A8218">
        <v>8217</v>
      </c>
    </row>
    <row r="8219" spans="1:1">
      <c r="A8219">
        <v>8218</v>
      </c>
    </row>
    <row r="8220" spans="1:1">
      <c r="A8220">
        <v>8219</v>
      </c>
    </row>
    <row r="8221" spans="1:1">
      <c r="A8221">
        <v>8220</v>
      </c>
    </row>
    <row r="8222" spans="1:1">
      <c r="A8222">
        <v>8221</v>
      </c>
    </row>
    <row r="8223" spans="1:1">
      <c r="A8223">
        <v>8222</v>
      </c>
    </row>
    <row r="8224" spans="1:1">
      <c r="A8224">
        <v>8223</v>
      </c>
    </row>
    <row r="8225" spans="1:1">
      <c r="A8225">
        <v>8224</v>
      </c>
    </row>
    <row r="8226" spans="1:1">
      <c r="A8226">
        <v>8225</v>
      </c>
    </row>
    <row r="8227" spans="1:1">
      <c r="A8227">
        <v>8226</v>
      </c>
    </row>
    <row r="8228" spans="1:1">
      <c r="A8228">
        <v>8227</v>
      </c>
    </row>
    <row r="8229" spans="1:1">
      <c r="A8229">
        <v>8228</v>
      </c>
    </row>
    <row r="8230" spans="1:1">
      <c r="A8230">
        <v>8229</v>
      </c>
    </row>
    <row r="8231" spans="1:1">
      <c r="A8231">
        <v>8230</v>
      </c>
    </row>
    <row r="8232" spans="1:1">
      <c r="A8232">
        <v>8231</v>
      </c>
    </row>
    <row r="8233" spans="1:1">
      <c r="A8233">
        <v>8232</v>
      </c>
    </row>
    <row r="8234" spans="1:1">
      <c r="A8234">
        <v>8233</v>
      </c>
    </row>
    <row r="8235" spans="1:1">
      <c r="A8235">
        <v>8234</v>
      </c>
    </row>
    <row r="8236" spans="1:1">
      <c r="A8236">
        <v>8235</v>
      </c>
    </row>
    <row r="8237" spans="1:1">
      <c r="A8237">
        <v>8236</v>
      </c>
    </row>
    <row r="8238" spans="1:1">
      <c r="A8238">
        <v>8237</v>
      </c>
    </row>
    <row r="8239" spans="1:1">
      <c r="A8239">
        <v>8238</v>
      </c>
    </row>
    <row r="8240" spans="1:1">
      <c r="A8240">
        <v>8239</v>
      </c>
    </row>
    <row r="8241" spans="1:1">
      <c r="A8241">
        <v>8240</v>
      </c>
    </row>
    <row r="8242" spans="1:1">
      <c r="A8242">
        <v>8241</v>
      </c>
    </row>
    <row r="8243" spans="1:1">
      <c r="A8243">
        <v>8242</v>
      </c>
    </row>
    <row r="8244" spans="1:1">
      <c r="A8244">
        <v>8243</v>
      </c>
    </row>
    <row r="8245" spans="1:1">
      <c r="A8245">
        <v>8244</v>
      </c>
    </row>
    <row r="8246" spans="1:1">
      <c r="A8246">
        <v>8245</v>
      </c>
    </row>
    <row r="8247" spans="1:1">
      <c r="A8247">
        <v>8246</v>
      </c>
    </row>
    <row r="8248" spans="1:1">
      <c r="A8248">
        <v>8247</v>
      </c>
    </row>
    <row r="8249" spans="1:1">
      <c r="A8249">
        <v>8248</v>
      </c>
    </row>
    <row r="8250" spans="1:1">
      <c r="A8250">
        <v>8249</v>
      </c>
    </row>
    <row r="8251" spans="1:1">
      <c r="A8251">
        <v>8250</v>
      </c>
    </row>
    <row r="8252" spans="1:1">
      <c r="A8252">
        <v>8251</v>
      </c>
    </row>
    <row r="8253" spans="1:1">
      <c r="A8253">
        <v>8252</v>
      </c>
    </row>
    <row r="8254" spans="1:1">
      <c r="A8254">
        <v>8253</v>
      </c>
    </row>
    <row r="8255" spans="1:1">
      <c r="A8255">
        <v>8254</v>
      </c>
    </row>
    <row r="8256" spans="1:1">
      <c r="A8256">
        <v>8255</v>
      </c>
    </row>
    <row r="8257" spans="1:1">
      <c r="A8257">
        <v>8256</v>
      </c>
    </row>
    <row r="8258" spans="1:1">
      <c r="A8258">
        <v>8257</v>
      </c>
    </row>
    <row r="8259" spans="1:1">
      <c r="A8259">
        <v>8258</v>
      </c>
    </row>
    <row r="8260" spans="1:1">
      <c r="A8260">
        <v>8259</v>
      </c>
    </row>
    <row r="8261" spans="1:1">
      <c r="A8261">
        <v>8260</v>
      </c>
    </row>
    <row r="8262" spans="1:1">
      <c r="A8262">
        <v>8261</v>
      </c>
    </row>
    <row r="8263" spans="1:1">
      <c r="A8263">
        <v>8262</v>
      </c>
    </row>
    <row r="8264" spans="1:1">
      <c r="A8264">
        <v>8263</v>
      </c>
    </row>
    <row r="8265" spans="1:1">
      <c r="A8265">
        <v>8264</v>
      </c>
    </row>
    <row r="8266" spans="1:1">
      <c r="A8266">
        <v>8265</v>
      </c>
    </row>
    <row r="8267" spans="1:1">
      <c r="A8267">
        <v>8266</v>
      </c>
    </row>
    <row r="8268" spans="1:1">
      <c r="A8268">
        <v>8267</v>
      </c>
    </row>
    <row r="8269" spans="1:1">
      <c r="A8269">
        <v>8268</v>
      </c>
    </row>
    <row r="8270" spans="1:1">
      <c r="A8270">
        <v>8269</v>
      </c>
    </row>
    <row r="8271" spans="1:1">
      <c r="A8271">
        <v>8270</v>
      </c>
    </row>
    <row r="8272" spans="1:1">
      <c r="A8272">
        <v>8271</v>
      </c>
    </row>
    <row r="8273" spans="1:1">
      <c r="A8273">
        <v>8272</v>
      </c>
    </row>
    <row r="8274" spans="1:1">
      <c r="A8274">
        <v>8273</v>
      </c>
    </row>
    <row r="8275" spans="1:1">
      <c r="A8275">
        <v>8274</v>
      </c>
    </row>
    <row r="8276" spans="1:1">
      <c r="A8276">
        <v>8275</v>
      </c>
    </row>
    <row r="8277" spans="1:1">
      <c r="A8277">
        <v>8276</v>
      </c>
    </row>
    <row r="8278" spans="1:1">
      <c r="A8278">
        <v>8277</v>
      </c>
    </row>
    <row r="8279" spans="1:1">
      <c r="A8279">
        <v>8278</v>
      </c>
    </row>
    <row r="8280" spans="1:1">
      <c r="A8280">
        <v>8279</v>
      </c>
    </row>
    <row r="8281" spans="1:1">
      <c r="A8281">
        <v>8280</v>
      </c>
    </row>
    <row r="8282" spans="1:1">
      <c r="A8282">
        <v>8281</v>
      </c>
    </row>
    <row r="8283" spans="1:1">
      <c r="A8283">
        <v>8282</v>
      </c>
    </row>
    <row r="8284" spans="1:1">
      <c r="A8284">
        <v>8283</v>
      </c>
    </row>
    <row r="8285" spans="1:1">
      <c r="A8285">
        <v>8284</v>
      </c>
    </row>
    <row r="8286" spans="1:1">
      <c r="A8286">
        <v>8285</v>
      </c>
    </row>
    <row r="8287" spans="1:1">
      <c r="A8287">
        <v>8286</v>
      </c>
    </row>
    <row r="8288" spans="1:1">
      <c r="A8288">
        <v>8287</v>
      </c>
    </row>
    <row r="8289" spans="1:1">
      <c r="A8289">
        <v>8288</v>
      </c>
    </row>
    <row r="8290" spans="1:1">
      <c r="A8290">
        <v>8289</v>
      </c>
    </row>
    <row r="8291" spans="1:1">
      <c r="A8291">
        <v>8290</v>
      </c>
    </row>
    <row r="8292" spans="1:1">
      <c r="A8292">
        <v>8291</v>
      </c>
    </row>
    <row r="8293" spans="1:1">
      <c r="A8293">
        <v>8292</v>
      </c>
    </row>
    <row r="8294" spans="1:1">
      <c r="A8294">
        <v>8293</v>
      </c>
    </row>
    <row r="8295" spans="1:1">
      <c r="A8295">
        <v>8294</v>
      </c>
    </row>
    <row r="8296" spans="1:1">
      <c r="A8296">
        <v>8295</v>
      </c>
    </row>
    <row r="8297" spans="1:1">
      <c r="A8297">
        <v>8296</v>
      </c>
    </row>
    <row r="8298" spans="1:1">
      <c r="A8298">
        <v>8297</v>
      </c>
    </row>
    <row r="8299" spans="1:1">
      <c r="A8299">
        <v>8298</v>
      </c>
    </row>
    <row r="8300" spans="1:1">
      <c r="A8300">
        <v>8299</v>
      </c>
    </row>
    <row r="8301" spans="1:1">
      <c r="A8301">
        <v>8300</v>
      </c>
    </row>
    <row r="8302" spans="1:1">
      <c r="A8302">
        <v>8301</v>
      </c>
    </row>
    <row r="8303" spans="1:1">
      <c r="A8303">
        <v>8302</v>
      </c>
    </row>
    <row r="8304" spans="1:1">
      <c r="A8304">
        <v>8303</v>
      </c>
    </row>
    <row r="8305" spans="1:1">
      <c r="A8305">
        <v>8304</v>
      </c>
    </row>
    <row r="8306" spans="1:1">
      <c r="A8306">
        <v>8305</v>
      </c>
    </row>
    <row r="8307" spans="1:1">
      <c r="A8307">
        <v>8306</v>
      </c>
    </row>
    <row r="8308" spans="1:1">
      <c r="A8308">
        <v>8307</v>
      </c>
    </row>
    <row r="8309" spans="1:1">
      <c r="A8309">
        <v>8308</v>
      </c>
    </row>
    <row r="8310" spans="1:1">
      <c r="A8310">
        <v>8309</v>
      </c>
    </row>
    <row r="8311" spans="1:1">
      <c r="A8311">
        <v>8310</v>
      </c>
    </row>
    <row r="8312" spans="1:1">
      <c r="A8312">
        <v>8311</v>
      </c>
    </row>
    <row r="8313" spans="1:1">
      <c r="A8313">
        <v>8312</v>
      </c>
    </row>
    <row r="8314" spans="1:1">
      <c r="A8314">
        <v>8313</v>
      </c>
    </row>
    <row r="8315" spans="1:1">
      <c r="A8315">
        <v>8314</v>
      </c>
    </row>
    <row r="8316" spans="1:1">
      <c r="A8316">
        <v>8315</v>
      </c>
    </row>
    <row r="8317" spans="1:1">
      <c r="A8317">
        <v>8316</v>
      </c>
    </row>
    <row r="8318" spans="1:1">
      <c r="A8318">
        <v>8317</v>
      </c>
    </row>
    <row r="8319" spans="1:1">
      <c r="A8319">
        <v>8318</v>
      </c>
    </row>
    <row r="8320" spans="1:1">
      <c r="A8320">
        <v>8319</v>
      </c>
    </row>
    <row r="8321" spans="1:1">
      <c r="A8321">
        <v>8320</v>
      </c>
    </row>
    <row r="8322" spans="1:1">
      <c r="A8322">
        <v>8321</v>
      </c>
    </row>
    <row r="8323" spans="1:1">
      <c r="A8323">
        <v>8322</v>
      </c>
    </row>
    <row r="8324" spans="1:1">
      <c r="A8324">
        <v>8323</v>
      </c>
    </row>
    <row r="8325" spans="1:1">
      <c r="A8325">
        <v>8324</v>
      </c>
    </row>
    <row r="8326" spans="1:1">
      <c r="A8326">
        <v>8325</v>
      </c>
    </row>
    <row r="8327" spans="1:1">
      <c r="A8327">
        <v>8326</v>
      </c>
    </row>
    <row r="8328" spans="1:1">
      <c r="A8328">
        <v>8327</v>
      </c>
    </row>
    <row r="8329" spans="1:1">
      <c r="A8329">
        <v>8328</v>
      </c>
    </row>
    <row r="8330" spans="1:1">
      <c r="A8330">
        <v>8329</v>
      </c>
    </row>
    <row r="8331" spans="1:1">
      <c r="A8331">
        <v>8330</v>
      </c>
    </row>
    <row r="8332" spans="1:1">
      <c r="A8332">
        <v>8331</v>
      </c>
    </row>
    <row r="8333" spans="1:1">
      <c r="A8333">
        <v>8332</v>
      </c>
    </row>
    <row r="8334" spans="1:1">
      <c r="A8334">
        <v>8333</v>
      </c>
    </row>
    <row r="8335" spans="1:1">
      <c r="A8335">
        <v>8334</v>
      </c>
    </row>
    <row r="8336" spans="1:1">
      <c r="A8336">
        <v>8335</v>
      </c>
    </row>
    <row r="8337" spans="1:1">
      <c r="A8337">
        <v>8336</v>
      </c>
    </row>
    <row r="8338" spans="1:1">
      <c r="A8338">
        <v>8337</v>
      </c>
    </row>
    <row r="8339" spans="1:1">
      <c r="A8339">
        <v>8338</v>
      </c>
    </row>
    <row r="8340" spans="1:1">
      <c r="A8340">
        <v>8339</v>
      </c>
    </row>
    <row r="8341" spans="1:1">
      <c r="A8341">
        <v>8340</v>
      </c>
    </row>
    <row r="8342" spans="1:1">
      <c r="A8342">
        <v>8341</v>
      </c>
    </row>
    <row r="8343" spans="1:1">
      <c r="A8343">
        <v>8342</v>
      </c>
    </row>
    <row r="8344" spans="1:1">
      <c r="A8344">
        <v>8343</v>
      </c>
    </row>
    <row r="8345" spans="1:1">
      <c r="A8345">
        <v>8344</v>
      </c>
    </row>
    <row r="8346" spans="1:1">
      <c r="A8346">
        <v>8345</v>
      </c>
    </row>
    <row r="8347" spans="1:1">
      <c r="A8347">
        <v>8346</v>
      </c>
    </row>
    <row r="8348" spans="1:1">
      <c r="A8348">
        <v>8347</v>
      </c>
    </row>
    <row r="8349" spans="1:1">
      <c r="A8349">
        <v>8348</v>
      </c>
    </row>
    <row r="8350" spans="1:1">
      <c r="A8350">
        <v>8349</v>
      </c>
    </row>
    <row r="8351" spans="1:1">
      <c r="A8351">
        <v>8350</v>
      </c>
    </row>
    <row r="8352" spans="1:1">
      <c r="A8352">
        <v>8351</v>
      </c>
    </row>
    <row r="8353" spans="1:1">
      <c r="A8353">
        <v>8352</v>
      </c>
    </row>
    <row r="8354" spans="1:1">
      <c r="A8354">
        <v>8353</v>
      </c>
    </row>
    <row r="8355" spans="1:1">
      <c r="A8355">
        <v>8354</v>
      </c>
    </row>
    <row r="8356" spans="1:1">
      <c r="A8356">
        <v>8355</v>
      </c>
    </row>
    <row r="8357" spans="1:1">
      <c r="A8357">
        <v>8356</v>
      </c>
    </row>
    <row r="8358" spans="1:1">
      <c r="A8358">
        <v>8357</v>
      </c>
    </row>
    <row r="8359" spans="1:1">
      <c r="A8359">
        <v>8358</v>
      </c>
    </row>
    <row r="8360" spans="1:1">
      <c r="A8360">
        <v>8359</v>
      </c>
    </row>
    <row r="8361" spans="1:1">
      <c r="A8361">
        <v>8360</v>
      </c>
    </row>
    <row r="8362" spans="1:1">
      <c r="A8362">
        <v>8361</v>
      </c>
    </row>
    <row r="8363" spans="1:1">
      <c r="A8363">
        <v>8362</v>
      </c>
    </row>
    <row r="8364" spans="1:1">
      <c r="A8364">
        <v>8363</v>
      </c>
    </row>
    <row r="8365" spans="1:1">
      <c r="A8365">
        <v>8364</v>
      </c>
    </row>
    <row r="8366" spans="1:1">
      <c r="A8366">
        <v>8365</v>
      </c>
    </row>
    <row r="8367" spans="1:1">
      <c r="A8367">
        <v>8366</v>
      </c>
    </row>
    <row r="8368" spans="1:1">
      <c r="A8368">
        <v>8367</v>
      </c>
    </row>
    <row r="8369" spans="1:1">
      <c r="A8369">
        <v>8368</v>
      </c>
    </row>
    <row r="8370" spans="1:1">
      <c r="A8370">
        <v>8369</v>
      </c>
    </row>
    <row r="8371" spans="1:1">
      <c r="A8371">
        <v>8370</v>
      </c>
    </row>
    <row r="8372" spans="1:1">
      <c r="A8372">
        <v>8371</v>
      </c>
    </row>
    <row r="8373" spans="1:1">
      <c r="A8373">
        <v>8372</v>
      </c>
    </row>
    <row r="8374" spans="1:1">
      <c r="A8374">
        <v>8373</v>
      </c>
    </row>
    <row r="8375" spans="1:1">
      <c r="A8375">
        <v>8374</v>
      </c>
    </row>
    <row r="8376" spans="1:1">
      <c r="A8376">
        <v>8375</v>
      </c>
    </row>
    <row r="8377" spans="1:1">
      <c r="A8377">
        <v>8376</v>
      </c>
    </row>
    <row r="8378" spans="1:1">
      <c r="A8378">
        <v>8377</v>
      </c>
    </row>
    <row r="8379" spans="1:1">
      <c r="A8379">
        <v>8378</v>
      </c>
    </row>
    <row r="8380" spans="1:1">
      <c r="A8380">
        <v>8379</v>
      </c>
    </row>
    <row r="8381" spans="1:1">
      <c r="A8381">
        <v>8380</v>
      </c>
    </row>
    <row r="8382" spans="1:1">
      <c r="A8382">
        <v>8381</v>
      </c>
    </row>
    <row r="8383" spans="1:1">
      <c r="A8383">
        <v>8382</v>
      </c>
    </row>
    <row r="8384" spans="1:1">
      <c r="A8384">
        <v>8383</v>
      </c>
    </row>
    <row r="8385" spans="1:1">
      <c r="A8385">
        <v>8384</v>
      </c>
    </row>
    <row r="8386" spans="1:1">
      <c r="A8386">
        <v>8385</v>
      </c>
    </row>
    <row r="8387" spans="1:1">
      <c r="A8387">
        <v>8386</v>
      </c>
    </row>
    <row r="8388" spans="1:1">
      <c r="A8388">
        <v>8387</v>
      </c>
    </row>
    <row r="8389" spans="1:1">
      <c r="A8389">
        <v>8388</v>
      </c>
    </row>
    <row r="8390" spans="1:1">
      <c r="A8390">
        <v>8389</v>
      </c>
    </row>
    <row r="8391" spans="1:1">
      <c r="A8391">
        <v>8390</v>
      </c>
    </row>
    <row r="8392" spans="1:1">
      <c r="A8392">
        <v>8391</v>
      </c>
    </row>
    <row r="8393" spans="1:1">
      <c r="A8393">
        <v>8392</v>
      </c>
    </row>
    <row r="8394" spans="1:1">
      <c r="A8394">
        <v>8393</v>
      </c>
    </row>
    <row r="8395" spans="1:1">
      <c r="A8395">
        <v>8394</v>
      </c>
    </row>
    <row r="8396" spans="1:1">
      <c r="A8396">
        <v>8395</v>
      </c>
    </row>
    <row r="8397" spans="1:1">
      <c r="A8397">
        <v>8396</v>
      </c>
    </row>
    <row r="8398" spans="1:1">
      <c r="A8398">
        <v>8397</v>
      </c>
    </row>
    <row r="8399" spans="1:1">
      <c r="A8399">
        <v>8398</v>
      </c>
    </row>
    <row r="8400" spans="1:1">
      <c r="A8400">
        <v>8399</v>
      </c>
    </row>
    <row r="8401" spans="1:1">
      <c r="A8401">
        <v>8400</v>
      </c>
    </row>
    <row r="8402" spans="1:1">
      <c r="A8402">
        <v>8401</v>
      </c>
    </row>
    <row r="8403" spans="1:1">
      <c r="A8403">
        <v>8402</v>
      </c>
    </row>
    <row r="8404" spans="1:1">
      <c r="A8404">
        <v>8403</v>
      </c>
    </row>
    <row r="8405" spans="1:1">
      <c r="A8405">
        <v>8404</v>
      </c>
    </row>
    <row r="8406" spans="1:1">
      <c r="A8406">
        <v>8405</v>
      </c>
    </row>
    <row r="8407" spans="1:1">
      <c r="A8407">
        <v>8406</v>
      </c>
    </row>
    <row r="8408" spans="1:1">
      <c r="A8408">
        <v>8407</v>
      </c>
    </row>
    <row r="8409" spans="1:1">
      <c r="A8409">
        <v>8408</v>
      </c>
    </row>
    <row r="8410" spans="1:1">
      <c r="A8410">
        <v>8409</v>
      </c>
    </row>
    <row r="8411" spans="1:1">
      <c r="A8411">
        <v>8410</v>
      </c>
    </row>
    <row r="8412" spans="1:1">
      <c r="A8412">
        <v>8411</v>
      </c>
    </row>
    <row r="8413" spans="1:1">
      <c r="A8413">
        <v>8412</v>
      </c>
    </row>
    <row r="8414" spans="1:1">
      <c r="A8414">
        <v>8413</v>
      </c>
    </row>
    <row r="8415" spans="1:1">
      <c r="A8415">
        <v>8414</v>
      </c>
    </row>
    <row r="8416" spans="1:1">
      <c r="A8416">
        <v>8415</v>
      </c>
    </row>
    <row r="8417" spans="1:1">
      <c r="A8417">
        <v>8416</v>
      </c>
    </row>
    <row r="8418" spans="1:1">
      <c r="A8418">
        <v>8417</v>
      </c>
    </row>
    <row r="8419" spans="1:1">
      <c r="A8419">
        <v>8418</v>
      </c>
    </row>
    <row r="8420" spans="1:1">
      <c r="A8420">
        <v>8419</v>
      </c>
    </row>
    <row r="8421" spans="1:1">
      <c r="A8421">
        <v>8420</v>
      </c>
    </row>
    <row r="8422" spans="1:1">
      <c r="A8422">
        <v>8421</v>
      </c>
    </row>
    <row r="8423" spans="1:1">
      <c r="A8423">
        <v>8422</v>
      </c>
    </row>
    <row r="8424" spans="1:1">
      <c r="A8424">
        <v>8423</v>
      </c>
    </row>
    <row r="8425" spans="1:1">
      <c r="A8425">
        <v>8424</v>
      </c>
    </row>
    <row r="8426" spans="1:1">
      <c r="A8426">
        <v>8425</v>
      </c>
    </row>
    <row r="8427" spans="1:1">
      <c r="A8427">
        <v>8426</v>
      </c>
    </row>
    <row r="8428" spans="1:1">
      <c r="A8428">
        <v>8427</v>
      </c>
    </row>
    <row r="8429" spans="1:1">
      <c r="A8429">
        <v>8428</v>
      </c>
    </row>
    <row r="8430" spans="1:1">
      <c r="A8430">
        <v>8429</v>
      </c>
    </row>
    <row r="8431" spans="1:1">
      <c r="A8431">
        <v>8430</v>
      </c>
    </row>
    <row r="8432" spans="1:1">
      <c r="A8432">
        <v>8431</v>
      </c>
    </row>
    <row r="8433" spans="1:1">
      <c r="A8433">
        <v>8432</v>
      </c>
    </row>
    <row r="8434" spans="1:1">
      <c r="A8434">
        <v>8433</v>
      </c>
    </row>
    <row r="8435" spans="1:1">
      <c r="A8435">
        <v>8434</v>
      </c>
    </row>
    <row r="8436" spans="1:1">
      <c r="A8436">
        <v>8435</v>
      </c>
    </row>
    <row r="8437" spans="1:1">
      <c r="A8437">
        <v>8436</v>
      </c>
    </row>
    <row r="8438" spans="1:1">
      <c r="A8438">
        <v>8437</v>
      </c>
    </row>
    <row r="8439" spans="1:1">
      <c r="A8439">
        <v>8438</v>
      </c>
    </row>
    <row r="8440" spans="1:1">
      <c r="A8440">
        <v>8439</v>
      </c>
    </row>
    <row r="8441" spans="1:1">
      <c r="A8441">
        <v>8440</v>
      </c>
    </row>
    <row r="8442" spans="1:1">
      <c r="A8442">
        <v>8441</v>
      </c>
    </row>
    <row r="8443" spans="1:1">
      <c r="A8443">
        <v>8442</v>
      </c>
    </row>
    <row r="8444" spans="1:1">
      <c r="A8444">
        <v>8443</v>
      </c>
    </row>
    <row r="8445" spans="1:1">
      <c r="A8445">
        <v>8444</v>
      </c>
    </row>
    <row r="8446" spans="1:1">
      <c r="A8446">
        <v>8445</v>
      </c>
    </row>
    <row r="8447" spans="1:1">
      <c r="A8447">
        <v>8446</v>
      </c>
    </row>
    <row r="8448" spans="1:1">
      <c r="A8448">
        <v>8447</v>
      </c>
    </row>
    <row r="8449" spans="1:1">
      <c r="A8449">
        <v>8448</v>
      </c>
    </row>
    <row r="8450" spans="1:1">
      <c r="A8450">
        <v>8449</v>
      </c>
    </row>
    <row r="8451" spans="1:1">
      <c r="A8451">
        <v>8450</v>
      </c>
    </row>
    <row r="8452" spans="1:1">
      <c r="A8452">
        <v>8451</v>
      </c>
    </row>
    <row r="8453" spans="1:1">
      <c r="A8453">
        <v>8452</v>
      </c>
    </row>
    <row r="8454" spans="1:1">
      <c r="A8454">
        <v>8453</v>
      </c>
    </row>
    <row r="8455" spans="1:1">
      <c r="A8455">
        <v>8454</v>
      </c>
    </row>
    <row r="8456" spans="1:1">
      <c r="A8456">
        <v>8455</v>
      </c>
    </row>
    <row r="8457" spans="1:1">
      <c r="A8457">
        <v>8456</v>
      </c>
    </row>
    <row r="8458" spans="1:1">
      <c r="A8458">
        <v>8457</v>
      </c>
    </row>
    <row r="8459" spans="1:1">
      <c r="A8459">
        <v>8458</v>
      </c>
    </row>
    <row r="8460" spans="1:1">
      <c r="A8460">
        <v>8459</v>
      </c>
    </row>
    <row r="8461" spans="1:1">
      <c r="A8461">
        <v>8460</v>
      </c>
    </row>
    <row r="8462" spans="1:1">
      <c r="A8462">
        <v>8461</v>
      </c>
    </row>
    <row r="8463" spans="1:1">
      <c r="A8463">
        <v>8462</v>
      </c>
    </row>
    <row r="8464" spans="1:1">
      <c r="A8464">
        <v>8463</v>
      </c>
    </row>
    <row r="8465" spans="1:1">
      <c r="A8465">
        <v>8464</v>
      </c>
    </row>
    <row r="8466" spans="1:1">
      <c r="A8466">
        <v>8465</v>
      </c>
    </row>
    <row r="8467" spans="1:1">
      <c r="A8467">
        <v>8466</v>
      </c>
    </row>
    <row r="8468" spans="1:1">
      <c r="A8468">
        <v>8467</v>
      </c>
    </row>
    <row r="8469" spans="1:1">
      <c r="A8469">
        <v>8468</v>
      </c>
    </row>
    <row r="8470" spans="1:1">
      <c r="A8470">
        <v>8469</v>
      </c>
    </row>
    <row r="8471" spans="1:1">
      <c r="A8471">
        <v>8470</v>
      </c>
    </row>
    <row r="8472" spans="1:1">
      <c r="A8472">
        <v>8471</v>
      </c>
    </row>
    <row r="8473" spans="1:1">
      <c r="A8473">
        <v>8472</v>
      </c>
    </row>
    <row r="8474" spans="1:1">
      <c r="A8474">
        <v>8473</v>
      </c>
    </row>
    <row r="8475" spans="1:1">
      <c r="A8475">
        <v>8474</v>
      </c>
    </row>
    <row r="8476" spans="1:1">
      <c r="A8476">
        <v>8475</v>
      </c>
    </row>
    <row r="8477" spans="1:1">
      <c r="A8477">
        <v>8476</v>
      </c>
    </row>
    <row r="8478" spans="1:1">
      <c r="A8478">
        <v>8477</v>
      </c>
    </row>
    <row r="8479" spans="1:1">
      <c r="A8479">
        <v>8478</v>
      </c>
    </row>
    <row r="8480" spans="1:1">
      <c r="A8480">
        <v>8479</v>
      </c>
    </row>
    <row r="8481" spans="1:1">
      <c r="A8481">
        <v>8480</v>
      </c>
    </row>
    <row r="8482" spans="1:1">
      <c r="A8482">
        <v>8481</v>
      </c>
    </row>
    <row r="8483" spans="1:1">
      <c r="A8483">
        <v>8482</v>
      </c>
    </row>
    <row r="8484" spans="1:1">
      <c r="A8484">
        <v>8483</v>
      </c>
    </row>
    <row r="8485" spans="1:1">
      <c r="A8485">
        <v>8484</v>
      </c>
    </row>
    <row r="8486" spans="1:1">
      <c r="A8486">
        <v>8485</v>
      </c>
    </row>
    <row r="8487" spans="1:1">
      <c r="A8487">
        <v>8486</v>
      </c>
    </row>
    <row r="8488" spans="1:1">
      <c r="A8488">
        <v>8487</v>
      </c>
    </row>
    <row r="8489" spans="1:1">
      <c r="A8489">
        <v>8488</v>
      </c>
    </row>
    <row r="8490" spans="1:1">
      <c r="A8490">
        <v>8489</v>
      </c>
    </row>
    <row r="8491" spans="1:1">
      <c r="A8491">
        <v>8490</v>
      </c>
    </row>
    <row r="8492" spans="1:1">
      <c r="A8492">
        <v>8491</v>
      </c>
    </row>
    <row r="8493" spans="1:1">
      <c r="A8493">
        <v>8492</v>
      </c>
    </row>
    <row r="8494" spans="1:1">
      <c r="A8494">
        <v>8493</v>
      </c>
    </row>
    <row r="8495" spans="1:1">
      <c r="A8495">
        <v>8494</v>
      </c>
    </row>
    <row r="8496" spans="1:1">
      <c r="A8496">
        <v>8495</v>
      </c>
    </row>
    <row r="8497" spans="1:1">
      <c r="A8497">
        <v>8496</v>
      </c>
    </row>
    <row r="8498" spans="1:1">
      <c r="A8498">
        <v>8497</v>
      </c>
    </row>
    <row r="8499" spans="1:1">
      <c r="A8499">
        <v>8498</v>
      </c>
    </row>
    <row r="8500" spans="1:1">
      <c r="A8500">
        <v>8499</v>
      </c>
    </row>
    <row r="8501" spans="1:1">
      <c r="A8501">
        <v>8500</v>
      </c>
    </row>
    <row r="8502" spans="1:1">
      <c r="A8502">
        <v>8501</v>
      </c>
    </row>
    <row r="8503" spans="1:1">
      <c r="A8503">
        <v>8502</v>
      </c>
    </row>
    <row r="8504" spans="1:1">
      <c r="A8504">
        <v>8503</v>
      </c>
    </row>
    <row r="8505" spans="1:1">
      <c r="A8505">
        <v>8504</v>
      </c>
    </row>
    <row r="8506" spans="1:1">
      <c r="A8506">
        <v>8505</v>
      </c>
    </row>
    <row r="8507" spans="1:1">
      <c r="A8507">
        <v>8506</v>
      </c>
    </row>
    <row r="8508" spans="1:1">
      <c r="A8508">
        <v>8507</v>
      </c>
    </row>
    <row r="8509" spans="1:1">
      <c r="A8509">
        <v>8508</v>
      </c>
    </row>
    <row r="8510" spans="1:1">
      <c r="A8510">
        <v>8509</v>
      </c>
    </row>
    <row r="8511" spans="1:1">
      <c r="A8511">
        <v>8510</v>
      </c>
    </row>
    <row r="8512" spans="1:1">
      <c r="A8512">
        <v>8511</v>
      </c>
    </row>
    <row r="8513" spans="1:1">
      <c r="A8513">
        <v>8512</v>
      </c>
    </row>
    <row r="8514" spans="1:1">
      <c r="A8514">
        <v>8513</v>
      </c>
    </row>
    <row r="8515" spans="1:1">
      <c r="A8515">
        <v>8514</v>
      </c>
    </row>
    <row r="8516" spans="1:1">
      <c r="A8516">
        <v>8515</v>
      </c>
    </row>
    <row r="8517" spans="1:1">
      <c r="A8517">
        <v>8516</v>
      </c>
    </row>
    <row r="8518" spans="1:1">
      <c r="A8518">
        <v>8517</v>
      </c>
    </row>
    <row r="8519" spans="1:1">
      <c r="A8519">
        <v>8518</v>
      </c>
    </row>
    <row r="8520" spans="1:1">
      <c r="A8520">
        <v>8519</v>
      </c>
    </row>
    <row r="8521" spans="1:1">
      <c r="A8521">
        <v>8520</v>
      </c>
    </row>
    <row r="8522" spans="1:1">
      <c r="A8522">
        <v>8521</v>
      </c>
    </row>
    <row r="8523" spans="1:1">
      <c r="A8523">
        <v>8522</v>
      </c>
    </row>
    <row r="8524" spans="1:1">
      <c r="A8524">
        <v>8523</v>
      </c>
    </row>
    <row r="8525" spans="1:1">
      <c r="A8525">
        <v>8524</v>
      </c>
    </row>
    <row r="8526" spans="1:1">
      <c r="A8526">
        <v>8525</v>
      </c>
    </row>
    <row r="8527" spans="1:1">
      <c r="A8527">
        <v>8526</v>
      </c>
    </row>
    <row r="8528" spans="1:1">
      <c r="A8528">
        <v>8527</v>
      </c>
    </row>
    <row r="8529" spans="1:1">
      <c r="A8529">
        <v>8528</v>
      </c>
    </row>
    <row r="8530" spans="1:1">
      <c r="A8530">
        <v>8529</v>
      </c>
    </row>
    <row r="8531" spans="1:1">
      <c r="A8531">
        <v>8530</v>
      </c>
    </row>
    <row r="8532" spans="1:1">
      <c r="A8532">
        <v>8531</v>
      </c>
    </row>
    <row r="8533" spans="1:1">
      <c r="A8533">
        <v>8532</v>
      </c>
    </row>
    <row r="8534" spans="1:1">
      <c r="A8534">
        <v>8533</v>
      </c>
    </row>
    <row r="8535" spans="1:1">
      <c r="A8535">
        <v>8534</v>
      </c>
    </row>
    <row r="8536" spans="1:1">
      <c r="A8536">
        <v>8535</v>
      </c>
    </row>
    <row r="8537" spans="1:1">
      <c r="A8537">
        <v>8536</v>
      </c>
    </row>
    <row r="8538" spans="1:1">
      <c r="A8538">
        <v>8537</v>
      </c>
    </row>
    <row r="8539" spans="1:1">
      <c r="A8539">
        <v>8538</v>
      </c>
    </row>
    <row r="8540" spans="1:1">
      <c r="A8540">
        <v>8539</v>
      </c>
    </row>
    <row r="8541" spans="1:1">
      <c r="A8541">
        <v>8540</v>
      </c>
    </row>
    <row r="8542" spans="1:1">
      <c r="A8542">
        <v>8541</v>
      </c>
    </row>
    <row r="8543" spans="1:1">
      <c r="A8543">
        <v>8542</v>
      </c>
    </row>
    <row r="8544" spans="1:1">
      <c r="A8544">
        <v>8543</v>
      </c>
    </row>
    <row r="8545" spans="1:1">
      <c r="A8545">
        <v>8544</v>
      </c>
    </row>
    <row r="8546" spans="1:1">
      <c r="A8546">
        <v>8545</v>
      </c>
    </row>
    <row r="8547" spans="1:1">
      <c r="A8547">
        <v>8546</v>
      </c>
    </row>
    <row r="8548" spans="1:1">
      <c r="A8548">
        <v>8547</v>
      </c>
    </row>
    <row r="8549" spans="1:1">
      <c r="A8549">
        <v>8548</v>
      </c>
    </row>
    <row r="8550" spans="1:1">
      <c r="A8550">
        <v>8549</v>
      </c>
    </row>
    <row r="8551" spans="1:1">
      <c r="A8551">
        <v>8550</v>
      </c>
    </row>
    <row r="8552" spans="1:1">
      <c r="A8552">
        <v>8551</v>
      </c>
    </row>
    <row r="8553" spans="1:1">
      <c r="A8553">
        <v>8552</v>
      </c>
    </row>
    <row r="8554" spans="1:1">
      <c r="A8554">
        <v>8553</v>
      </c>
    </row>
    <row r="8555" spans="1:1">
      <c r="A8555">
        <v>8554</v>
      </c>
    </row>
    <row r="8556" spans="1:1">
      <c r="A8556">
        <v>8555</v>
      </c>
    </row>
    <row r="8557" spans="1:1">
      <c r="A8557">
        <v>8556</v>
      </c>
    </row>
    <row r="8558" spans="1:1">
      <c r="A8558">
        <v>8557</v>
      </c>
    </row>
    <row r="8559" spans="1:1">
      <c r="A8559">
        <v>8558</v>
      </c>
    </row>
    <row r="8560" spans="1:1">
      <c r="A8560">
        <v>8559</v>
      </c>
    </row>
    <row r="8561" spans="1:1">
      <c r="A8561">
        <v>8560</v>
      </c>
    </row>
    <row r="8562" spans="1:1">
      <c r="A8562">
        <v>8561</v>
      </c>
    </row>
    <row r="8563" spans="1:1">
      <c r="A8563">
        <v>8562</v>
      </c>
    </row>
    <row r="8564" spans="1:1">
      <c r="A8564">
        <v>8563</v>
      </c>
    </row>
    <row r="8565" spans="1:1">
      <c r="A8565">
        <v>8564</v>
      </c>
    </row>
    <row r="8566" spans="1:1">
      <c r="A8566">
        <v>8565</v>
      </c>
    </row>
    <row r="8567" spans="1:1">
      <c r="A8567">
        <v>8566</v>
      </c>
    </row>
    <row r="8568" spans="1:1">
      <c r="A8568">
        <v>8567</v>
      </c>
    </row>
    <row r="8569" spans="1:1">
      <c r="A8569">
        <v>8568</v>
      </c>
    </row>
    <row r="8570" spans="1:1">
      <c r="A8570">
        <v>8569</v>
      </c>
    </row>
    <row r="8571" spans="1:1">
      <c r="A8571">
        <v>8570</v>
      </c>
    </row>
    <row r="8572" spans="1:1">
      <c r="A8572">
        <v>8571</v>
      </c>
    </row>
    <row r="8573" spans="1:1">
      <c r="A8573">
        <v>8572</v>
      </c>
    </row>
    <row r="8574" spans="1:1">
      <c r="A8574">
        <v>8573</v>
      </c>
    </row>
    <row r="8575" spans="1:1">
      <c r="A8575">
        <v>8574</v>
      </c>
    </row>
    <row r="8576" spans="1:1">
      <c r="A8576">
        <v>8575</v>
      </c>
    </row>
    <row r="8577" spans="1:1">
      <c r="A8577">
        <v>8576</v>
      </c>
    </row>
    <row r="8578" spans="1:1">
      <c r="A8578">
        <v>8577</v>
      </c>
    </row>
    <row r="8579" spans="1:1">
      <c r="A8579">
        <v>8578</v>
      </c>
    </row>
    <row r="8580" spans="1:1">
      <c r="A8580">
        <v>8579</v>
      </c>
    </row>
    <row r="8581" spans="1:1">
      <c r="A8581">
        <v>8580</v>
      </c>
    </row>
    <row r="8582" spans="1:1">
      <c r="A8582">
        <v>8581</v>
      </c>
    </row>
    <row r="8583" spans="1:1">
      <c r="A8583">
        <v>8582</v>
      </c>
    </row>
    <row r="8584" spans="1:1">
      <c r="A8584">
        <v>8583</v>
      </c>
    </row>
    <row r="8585" spans="1:1">
      <c r="A8585">
        <v>8584</v>
      </c>
    </row>
    <row r="8586" spans="1:1">
      <c r="A8586">
        <v>8585</v>
      </c>
    </row>
    <row r="8587" spans="1:1">
      <c r="A8587">
        <v>8586</v>
      </c>
    </row>
    <row r="8588" spans="1:1">
      <c r="A8588">
        <v>8587</v>
      </c>
    </row>
    <row r="8589" spans="1:1">
      <c r="A8589">
        <v>8588</v>
      </c>
    </row>
    <row r="8590" spans="1:1">
      <c r="A8590">
        <v>8589</v>
      </c>
    </row>
    <row r="8591" spans="1:1">
      <c r="A8591">
        <v>8590</v>
      </c>
    </row>
    <row r="8592" spans="1:1">
      <c r="A8592">
        <v>8591</v>
      </c>
    </row>
    <row r="8593" spans="1:1">
      <c r="A8593">
        <v>8592</v>
      </c>
    </row>
    <row r="8594" spans="1:1">
      <c r="A8594">
        <v>8593</v>
      </c>
    </row>
    <row r="8595" spans="1:1">
      <c r="A8595">
        <v>8594</v>
      </c>
    </row>
    <row r="8596" spans="1:1">
      <c r="A8596">
        <v>8595</v>
      </c>
    </row>
    <row r="8597" spans="1:1">
      <c r="A8597">
        <v>8596</v>
      </c>
    </row>
    <row r="8598" spans="1:1">
      <c r="A8598">
        <v>8597</v>
      </c>
    </row>
    <row r="8599" spans="1:1">
      <c r="A8599">
        <v>8598</v>
      </c>
    </row>
    <row r="8600" spans="1:1">
      <c r="A8600">
        <v>8599</v>
      </c>
    </row>
    <row r="8601" spans="1:1">
      <c r="A8601">
        <v>8600</v>
      </c>
    </row>
    <row r="8602" spans="1:1">
      <c r="A8602">
        <v>8601</v>
      </c>
    </row>
    <row r="8603" spans="1:1">
      <c r="A8603">
        <v>8602</v>
      </c>
    </row>
    <row r="8604" spans="1:1">
      <c r="A8604">
        <v>8603</v>
      </c>
    </row>
    <row r="8605" spans="1:1">
      <c r="A8605">
        <v>8604</v>
      </c>
    </row>
    <row r="8606" spans="1:1">
      <c r="A8606">
        <v>8605</v>
      </c>
    </row>
    <row r="8607" spans="1:1">
      <c r="A8607">
        <v>8606</v>
      </c>
    </row>
    <row r="8608" spans="1:1">
      <c r="A8608">
        <v>8607</v>
      </c>
    </row>
    <row r="8609" spans="1:1">
      <c r="A8609">
        <v>8608</v>
      </c>
    </row>
    <row r="8610" spans="1:1">
      <c r="A8610">
        <v>8609</v>
      </c>
    </row>
    <row r="8611" spans="1:1">
      <c r="A8611">
        <v>8610</v>
      </c>
    </row>
    <row r="8612" spans="1:1">
      <c r="A8612">
        <v>8611</v>
      </c>
    </row>
    <row r="8613" spans="1:1">
      <c r="A8613">
        <v>8612</v>
      </c>
    </row>
    <row r="8614" spans="1:1">
      <c r="A8614">
        <v>8613</v>
      </c>
    </row>
    <row r="8615" spans="1:1">
      <c r="A8615">
        <v>8614</v>
      </c>
    </row>
    <row r="8616" spans="1:1">
      <c r="A8616">
        <v>8615</v>
      </c>
    </row>
    <row r="8617" spans="1:1">
      <c r="A8617">
        <v>8616</v>
      </c>
    </row>
    <row r="8618" spans="1:1">
      <c r="A8618">
        <v>8617</v>
      </c>
    </row>
    <row r="8619" spans="1:1">
      <c r="A8619">
        <v>8618</v>
      </c>
    </row>
    <row r="8620" spans="1:1">
      <c r="A8620">
        <v>8619</v>
      </c>
    </row>
    <row r="8621" spans="1:1">
      <c r="A8621">
        <v>8620</v>
      </c>
    </row>
    <row r="8622" spans="1:1">
      <c r="A8622">
        <v>8621</v>
      </c>
    </row>
    <row r="8623" spans="1:1">
      <c r="A8623">
        <v>8622</v>
      </c>
    </row>
    <row r="8624" spans="1:1">
      <c r="A8624">
        <v>8623</v>
      </c>
    </row>
    <row r="8625" spans="1:1">
      <c r="A8625">
        <v>8624</v>
      </c>
    </row>
    <row r="8626" spans="1:1">
      <c r="A8626">
        <v>8625</v>
      </c>
    </row>
    <row r="8627" spans="1:1">
      <c r="A8627">
        <v>8626</v>
      </c>
    </row>
    <row r="8628" spans="1:1">
      <c r="A8628">
        <v>8627</v>
      </c>
    </row>
    <row r="8629" spans="1:1">
      <c r="A8629">
        <v>8628</v>
      </c>
    </row>
    <row r="8630" spans="1:1">
      <c r="A8630">
        <v>8629</v>
      </c>
    </row>
    <row r="8631" spans="1:1">
      <c r="A8631">
        <v>8630</v>
      </c>
    </row>
    <row r="8632" spans="1:1">
      <c r="A8632">
        <v>8631</v>
      </c>
    </row>
    <row r="8633" spans="1:1">
      <c r="A8633">
        <v>8632</v>
      </c>
    </row>
    <row r="8634" spans="1:1">
      <c r="A8634">
        <v>8633</v>
      </c>
    </row>
    <row r="8635" spans="1:1">
      <c r="A8635">
        <v>8634</v>
      </c>
    </row>
    <row r="8636" spans="1:1">
      <c r="A8636">
        <v>8635</v>
      </c>
    </row>
    <row r="8637" spans="1:1">
      <c r="A8637">
        <v>8636</v>
      </c>
    </row>
    <row r="8638" spans="1:1">
      <c r="A8638">
        <v>8637</v>
      </c>
    </row>
    <row r="8639" spans="1:1">
      <c r="A8639">
        <v>8638</v>
      </c>
    </row>
    <row r="8640" spans="1:1">
      <c r="A8640">
        <v>8639</v>
      </c>
    </row>
    <row r="8641" spans="1:1">
      <c r="A8641">
        <v>8640</v>
      </c>
    </row>
    <row r="8642" spans="1:1">
      <c r="A8642">
        <v>8641</v>
      </c>
    </row>
    <row r="8643" spans="1:1">
      <c r="A8643">
        <v>8642</v>
      </c>
    </row>
    <row r="8644" spans="1:1">
      <c r="A8644">
        <v>8643</v>
      </c>
    </row>
    <row r="8645" spans="1:1">
      <c r="A8645">
        <v>8644</v>
      </c>
    </row>
    <row r="8646" spans="1:1">
      <c r="A8646">
        <v>8645</v>
      </c>
    </row>
    <row r="8647" spans="1:1">
      <c r="A8647">
        <v>8646</v>
      </c>
    </row>
    <row r="8648" spans="1:1">
      <c r="A8648">
        <v>8647</v>
      </c>
    </row>
    <row r="8649" spans="1:1">
      <c r="A8649">
        <v>8648</v>
      </c>
    </row>
    <row r="8650" spans="1:1">
      <c r="A8650">
        <v>8649</v>
      </c>
    </row>
    <row r="8651" spans="1:1">
      <c r="A8651">
        <v>8650</v>
      </c>
    </row>
    <row r="8652" spans="1:1">
      <c r="A8652">
        <v>8651</v>
      </c>
    </row>
    <row r="8653" spans="1:1">
      <c r="A8653">
        <v>8652</v>
      </c>
    </row>
    <row r="8654" spans="1:1">
      <c r="A8654">
        <v>8653</v>
      </c>
    </row>
    <row r="8655" spans="1:1">
      <c r="A8655">
        <v>8654</v>
      </c>
    </row>
    <row r="8656" spans="1:1">
      <c r="A8656">
        <v>8655</v>
      </c>
    </row>
    <row r="8657" spans="1:1">
      <c r="A8657">
        <v>8656</v>
      </c>
    </row>
    <row r="8658" spans="1:1">
      <c r="A8658">
        <v>8657</v>
      </c>
    </row>
    <row r="8659" spans="1:1">
      <c r="A8659">
        <v>8658</v>
      </c>
    </row>
    <row r="8660" spans="1:1">
      <c r="A8660">
        <v>8659</v>
      </c>
    </row>
    <row r="8661" spans="1:1">
      <c r="A8661">
        <v>8660</v>
      </c>
    </row>
    <row r="8662" spans="1:1">
      <c r="A8662">
        <v>8661</v>
      </c>
    </row>
    <row r="8663" spans="1:1">
      <c r="A8663">
        <v>8662</v>
      </c>
    </row>
    <row r="8664" spans="1:1">
      <c r="A8664">
        <v>8663</v>
      </c>
    </row>
    <row r="8665" spans="1:1">
      <c r="A8665">
        <v>8664</v>
      </c>
    </row>
    <row r="8666" spans="1:1">
      <c r="A8666">
        <v>8665</v>
      </c>
    </row>
    <row r="8667" spans="1:1">
      <c r="A8667">
        <v>8666</v>
      </c>
    </row>
    <row r="8668" spans="1:1">
      <c r="A8668">
        <v>8667</v>
      </c>
    </row>
    <row r="8669" spans="1:1">
      <c r="A8669">
        <v>8668</v>
      </c>
    </row>
    <row r="8670" spans="1:1">
      <c r="A8670">
        <v>8669</v>
      </c>
    </row>
    <row r="8671" spans="1:1">
      <c r="A8671">
        <v>8670</v>
      </c>
    </row>
    <row r="8672" spans="1:1">
      <c r="A8672">
        <v>8671</v>
      </c>
    </row>
    <row r="8673" spans="1:1">
      <c r="A8673">
        <v>8672</v>
      </c>
    </row>
    <row r="8674" spans="1:1">
      <c r="A8674">
        <v>8673</v>
      </c>
    </row>
    <row r="8675" spans="1:1">
      <c r="A8675">
        <v>8674</v>
      </c>
    </row>
    <row r="8676" spans="1:1">
      <c r="A8676">
        <v>8675</v>
      </c>
    </row>
    <row r="8677" spans="1:1">
      <c r="A8677">
        <v>8676</v>
      </c>
    </row>
    <row r="8678" spans="1:1">
      <c r="A8678">
        <v>8677</v>
      </c>
    </row>
    <row r="8679" spans="1:1">
      <c r="A8679">
        <v>8678</v>
      </c>
    </row>
    <row r="8680" spans="1:1">
      <c r="A8680">
        <v>8679</v>
      </c>
    </row>
    <row r="8681" spans="1:1">
      <c r="A8681">
        <v>8680</v>
      </c>
    </row>
    <row r="8682" spans="1:1">
      <c r="A8682">
        <v>8681</v>
      </c>
    </row>
    <row r="8683" spans="1:1">
      <c r="A8683">
        <v>8682</v>
      </c>
    </row>
    <row r="8684" spans="1:1">
      <c r="A8684">
        <v>8683</v>
      </c>
    </row>
    <row r="8685" spans="1:1">
      <c r="A8685">
        <v>8684</v>
      </c>
    </row>
    <row r="8686" spans="1:1">
      <c r="A8686">
        <v>8685</v>
      </c>
    </row>
    <row r="8687" spans="1:1">
      <c r="A8687">
        <v>8686</v>
      </c>
    </row>
    <row r="8688" spans="1:1">
      <c r="A8688">
        <v>8687</v>
      </c>
    </row>
    <row r="8689" spans="1:1">
      <c r="A8689">
        <v>8688</v>
      </c>
    </row>
    <row r="8690" spans="1:1">
      <c r="A8690">
        <v>8689</v>
      </c>
    </row>
    <row r="8691" spans="1:1">
      <c r="A8691">
        <v>8690</v>
      </c>
    </row>
    <row r="8692" spans="1:1">
      <c r="A8692">
        <v>8691</v>
      </c>
    </row>
    <row r="8693" spans="1:1">
      <c r="A8693">
        <v>8692</v>
      </c>
    </row>
    <row r="8694" spans="1:1">
      <c r="A8694">
        <v>8693</v>
      </c>
    </row>
    <row r="8695" spans="1:1">
      <c r="A8695">
        <v>8694</v>
      </c>
    </row>
    <row r="8696" spans="1:1">
      <c r="A8696">
        <v>8695</v>
      </c>
    </row>
    <row r="8697" spans="1:1">
      <c r="A8697">
        <v>8696</v>
      </c>
    </row>
    <row r="8698" spans="1:1">
      <c r="A8698">
        <v>8697</v>
      </c>
    </row>
    <row r="8699" spans="1:1">
      <c r="A8699">
        <v>8698</v>
      </c>
    </row>
    <row r="8700" spans="1:1">
      <c r="A8700">
        <v>8699</v>
      </c>
    </row>
    <row r="8701" spans="1:1">
      <c r="A8701">
        <v>8700</v>
      </c>
    </row>
    <row r="8702" spans="1:1">
      <c r="A8702">
        <v>8701</v>
      </c>
    </row>
    <row r="8703" spans="1:1">
      <c r="A8703">
        <v>8702</v>
      </c>
    </row>
    <row r="8704" spans="1:1">
      <c r="A8704">
        <v>8703</v>
      </c>
    </row>
    <row r="8705" spans="1:1">
      <c r="A8705">
        <v>8704</v>
      </c>
    </row>
    <row r="8706" spans="1:1">
      <c r="A8706">
        <v>8705</v>
      </c>
    </row>
    <row r="8707" spans="1:1">
      <c r="A8707">
        <v>8706</v>
      </c>
    </row>
    <row r="8708" spans="1:1">
      <c r="A8708">
        <v>8707</v>
      </c>
    </row>
    <row r="8709" spans="1:1">
      <c r="A8709">
        <v>8708</v>
      </c>
    </row>
    <row r="8710" spans="1:1">
      <c r="A8710">
        <v>8709</v>
      </c>
    </row>
    <row r="8711" spans="1:1">
      <c r="A8711">
        <v>8710</v>
      </c>
    </row>
    <row r="8712" spans="1:1">
      <c r="A8712">
        <v>8711</v>
      </c>
    </row>
    <row r="8713" spans="1:1">
      <c r="A8713">
        <v>8712</v>
      </c>
    </row>
    <row r="8714" spans="1:1">
      <c r="A8714">
        <v>8713</v>
      </c>
    </row>
    <row r="8715" spans="1:1">
      <c r="A8715">
        <v>8714</v>
      </c>
    </row>
    <row r="8716" spans="1:1">
      <c r="A8716">
        <v>8715</v>
      </c>
    </row>
    <row r="8717" spans="1:1">
      <c r="A8717">
        <v>8716</v>
      </c>
    </row>
    <row r="8718" spans="1:1">
      <c r="A8718">
        <v>8717</v>
      </c>
    </row>
    <row r="8719" spans="1:1">
      <c r="A8719">
        <v>8718</v>
      </c>
    </row>
    <row r="8720" spans="1:1">
      <c r="A8720">
        <v>8719</v>
      </c>
    </row>
    <row r="8721" spans="1:1">
      <c r="A8721">
        <v>8720</v>
      </c>
    </row>
    <row r="8722" spans="1:1">
      <c r="A8722">
        <v>8721</v>
      </c>
    </row>
    <row r="8723" spans="1:1">
      <c r="A8723">
        <v>8722</v>
      </c>
    </row>
    <row r="8724" spans="1:1">
      <c r="A8724">
        <v>8723</v>
      </c>
    </row>
    <row r="8725" spans="1:1">
      <c r="A8725">
        <v>8724</v>
      </c>
    </row>
    <row r="8726" spans="1:1">
      <c r="A8726">
        <v>8725</v>
      </c>
    </row>
    <row r="8727" spans="1:1">
      <c r="A8727">
        <v>8726</v>
      </c>
    </row>
    <row r="8728" spans="1:1">
      <c r="A8728">
        <v>8727</v>
      </c>
    </row>
    <row r="8729" spans="1:1">
      <c r="A8729">
        <v>8728</v>
      </c>
    </row>
    <row r="8730" spans="1:1">
      <c r="A8730">
        <v>8729</v>
      </c>
    </row>
    <row r="8731" spans="1:1">
      <c r="A8731">
        <v>8730</v>
      </c>
    </row>
    <row r="8732" spans="1:1">
      <c r="A8732">
        <v>8731</v>
      </c>
    </row>
    <row r="8733" spans="1:1">
      <c r="A8733">
        <v>8732</v>
      </c>
    </row>
    <row r="8734" spans="1:1">
      <c r="A8734">
        <v>8733</v>
      </c>
    </row>
    <row r="8735" spans="1:1">
      <c r="A8735">
        <v>8734</v>
      </c>
    </row>
    <row r="8736" spans="1:1">
      <c r="A8736">
        <v>8735</v>
      </c>
    </row>
    <row r="8737" spans="1:1">
      <c r="A8737">
        <v>8736</v>
      </c>
    </row>
    <row r="8738" spans="1:1">
      <c r="A8738">
        <v>8737</v>
      </c>
    </row>
    <row r="8739" spans="1:1">
      <c r="A8739">
        <v>8738</v>
      </c>
    </row>
    <row r="8740" spans="1:1">
      <c r="A8740">
        <v>8739</v>
      </c>
    </row>
    <row r="8741" spans="1:1">
      <c r="A8741">
        <v>8740</v>
      </c>
    </row>
    <row r="8742" spans="1:1">
      <c r="A8742">
        <v>8741</v>
      </c>
    </row>
    <row r="8743" spans="1:1">
      <c r="A8743">
        <v>8742</v>
      </c>
    </row>
    <row r="8744" spans="1:1">
      <c r="A8744">
        <v>8743</v>
      </c>
    </row>
    <row r="8745" spans="1:1">
      <c r="A8745">
        <v>8744</v>
      </c>
    </row>
    <row r="8746" spans="1:1">
      <c r="A8746">
        <v>8745</v>
      </c>
    </row>
    <row r="8747" spans="1:1">
      <c r="A8747">
        <v>8746</v>
      </c>
    </row>
    <row r="8748" spans="1:1">
      <c r="A8748">
        <v>8747</v>
      </c>
    </row>
    <row r="8749" spans="1:1">
      <c r="A8749">
        <v>8748</v>
      </c>
    </row>
    <row r="8750" spans="1:1">
      <c r="A8750">
        <v>8749</v>
      </c>
    </row>
    <row r="8751" spans="1:1">
      <c r="A8751">
        <v>8750</v>
      </c>
    </row>
    <row r="8752" spans="1:1">
      <c r="A8752">
        <v>8751</v>
      </c>
    </row>
    <row r="8753" spans="1:1">
      <c r="A8753">
        <v>8752</v>
      </c>
    </row>
    <row r="8754" spans="1:1">
      <c r="A8754">
        <v>8753</v>
      </c>
    </row>
    <row r="8755" spans="1:1">
      <c r="A8755">
        <v>8754</v>
      </c>
    </row>
    <row r="8756" spans="1:1">
      <c r="A8756">
        <v>8755</v>
      </c>
    </row>
    <row r="8757" spans="1:1">
      <c r="A8757">
        <v>8756</v>
      </c>
    </row>
    <row r="8758" spans="1:1">
      <c r="A8758">
        <v>8757</v>
      </c>
    </row>
    <row r="8759" spans="1:1">
      <c r="A8759">
        <v>8758</v>
      </c>
    </row>
    <row r="8760" spans="1:1">
      <c r="A8760">
        <v>8759</v>
      </c>
    </row>
    <row r="8761" spans="1:1">
      <c r="A8761">
        <v>8760</v>
      </c>
    </row>
    <row r="8762" spans="1:1">
      <c r="A8762">
        <v>8761</v>
      </c>
    </row>
    <row r="8763" spans="1:1">
      <c r="A8763">
        <v>8762</v>
      </c>
    </row>
    <row r="8764" spans="1:1">
      <c r="A8764">
        <v>8763</v>
      </c>
    </row>
    <row r="8765" spans="1:1">
      <c r="A8765">
        <v>8764</v>
      </c>
    </row>
    <row r="8766" spans="1:1">
      <c r="A8766">
        <v>8765</v>
      </c>
    </row>
    <row r="8767" spans="1:1">
      <c r="A8767">
        <v>8766</v>
      </c>
    </row>
    <row r="8768" spans="1:1">
      <c r="A8768">
        <v>8767</v>
      </c>
    </row>
    <row r="8769" spans="1:1">
      <c r="A8769">
        <v>8768</v>
      </c>
    </row>
    <row r="8770" spans="1:1">
      <c r="A8770">
        <v>8769</v>
      </c>
    </row>
    <row r="8771" spans="1:1">
      <c r="A8771">
        <v>8770</v>
      </c>
    </row>
    <row r="8772" spans="1:1">
      <c r="A8772">
        <v>8771</v>
      </c>
    </row>
    <row r="8773" spans="1:1">
      <c r="A8773">
        <v>8772</v>
      </c>
    </row>
    <row r="8774" spans="1:1">
      <c r="A8774">
        <v>8773</v>
      </c>
    </row>
    <row r="8775" spans="1:1">
      <c r="A8775">
        <v>8774</v>
      </c>
    </row>
    <row r="8776" spans="1:1">
      <c r="A8776">
        <v>8775</v>
      </c>
    </row>
    <row r="8777" spans="1:1">
      <c r="A8777">
        <v>8776</v>
      </c>
    </row>
    <row r="8778" spans="1:1">
      <c r="A8778">
        <v>8777</v>
      </c>
    </row>
    <row r="8779" spans="1:1">
      <c r="A8779">
        <v>8778</v>
      </c>
    </row>
    <row r="8780" spans="1:1">
      <c r="A8780">
        <v>8779</v>
      </c>
    </row>
    <row r="8781" spans="1:1">
      <c r="A8781">
        <v>8780</v>
      </c>
    </row>
    <row r="8782" spans="1:1">
      <c r="A8782">
        <v>8781</v>
      </c>
    </row>
    <row r="8783" spans="1:1">
      <c r="A8783">
        <v>8782</v>
      </c>
    </row>
    <row r="8784" spans="1:1">
      <c r="A8784">
        <v>8783</v>
      </c>
    </row>
    <row r="8785" spans="1:1">
      <c r="A8785">
        <v>8784</v>
      </c>
    </row>
    <row r="8786" spans="1:1">
      <c r="A8786">
        <v>8785</v>
      </c>
    </row>
    <row r="8787" spans="1:1">
      <c r="A8787">
        <v>8786</v>
      </c>
    </row>
    <row r="8788" spans="1:1">
      <c r="A8788">
        <v>8787</v>
      </c>
    </row>
    <row r="8789" spans="1:1">
      <c r="A8789">
        <v>8788</v>
      </c>
    </row>
    <row r="8790" spans="1:1">
      <c r="A8790">
        <v>8789</v>
      </c>
    </row>
    <row r="8791" spans="1:1">
      <c r="A8791">
        <v>8790</v>
      </c>
    </row>
    <row r="8792" spans="1:1">
      <c r="A8792">
        <v>8791</v>
      </c>
    </row>
    <row r="8793" spans="1:1">
      <c r="A8793">
        <v>8792</v>
      </c>
    </row>
    <row r="8794" spans="1:1">
      <c r="A8794">
        <v>8793</v>
      </c>
    </row>
    <row r="8795" spans="1:1">
      <c r="A8795">
        <v>8794</v>
      </c>
    </row>
    <row r="8796" spans="1:1">
      <c r="A8796">
        <v>8795</v>
      </c>
    </row>
    <row r="8797" spans="1:1">
      <c r="A8797">
        <v>8796</v>
      </c>
    </row>
    <row r="8798" spans="1:1">
      <c r="A8798">
        <v>8797</v>
      </c>
    </row>
    <row r="8799" spans="1:1">
      <c r="A8799">
        <v>8798</v>
      </c>
    </row>
    <row r="8800" spans="1:1">
      <c r="A8800">
        <v>8799</v>
      </c>
    </row>
    <row r="8801" spans="1:1">
      <c r="A8801">
        <v>8800</v>
      </c>
    </row>
    <row r="8802" spans="1:1">
      <c r="A8802">
        <v>8801</v>
      </c>
    </row>
    <row r="8803" spans="1:1">
      <c r="A8803">
        <v>8802</v>
      </c>
    </row>
    <row r="8804" spans="1:1">
      <c r="A8804">
        <v>8803</v>
      </c>
    </row>
    <row r="8805" spans="1:1">
      <c r="A8805">
        <v>8804</v>
      </c>
    </row>
    <row r="8806" spans="1:1">
      <c r="A8806">
        <v>8805</v>
      </c>
    </row>
    <row r="8807" spans="1:1">
      <c r="A8807">
        <v>8806</v>
      </c>
    </row>
    <row r="8808" spans="1:1">
      <c r="A8808">
        <v>8807</v>
      </c>
    </row>
    <row r="8809" spans="1:1">
      <c r="A8809">
        <v>8808</v>
      </c>
    </row>
    <row r="8810" spans="1:1">
      <c r="A8810">
        <v>8809</v>
      </c>
    </row>
    <row r="8811" spans="1:1">
      <c r="A8811">
        <v>8810</v>
      </c>
    </row>
    <row r="8812" spans="1:1">
      <c r="A8812">
        <v>8811</v>
      </c>
    </row>
    <row r="8813" spans="1:1">
      <c r="A8813">
        <v>8812</v>
      </c>
    </row>
    <row r="8814" spans="1:1">
      <c r="A8814">
        <v>8813</v>
      </c>
    </row>
    <row r="8815" spans="1:1">
      <c r="A8815">
        <v>8814</v>
      </c>
    </row>
    <row r="8816" spans="1:1">
      <c r="A8816">
        <v>8815</v>
      </c>
    </row>
    <row r="8817" spans="1:1">
      <c r="A8817">
        <v>8816</v>
      </c>
    </row>
    <row r="8818" spans="1:1">
      <c r="A8818">
        <v>8817</v>
      </c>
    </row>
    <row r="8819" spans="1:1">
      <c r="A8819">
        <v>8818</v>
      </c>
    </row>
    <row r="8820" spans="1:1">
      <c r="A8820">
        <v>8819</v>
      </c>
    </row>
    <row r="8821" spans="1:1">
      <c r="A8821">
        <v>8820</v>
      </c>
    </row>
    <row r="8822" spans="1:1">
      <c r="A8822">
        <v>8821</v>
      </c>
    </row>
    <row r="8823" spans="1:1">
      <c r="A8823">
        <v>8822</v>
      </c>
    </row>
    <row r="8824" spans="1:1">
      <c r="A8824">
        <v>8823</v>
      </c>
    </row>
    <row r="8825" spans="1:1">
      <c r="A8825">
        <v>8824</v>
      </c>
    </row>
    <row r="8826" spans="1:1">
      <c r="A8826">
        <v>8825</v>
      </c>
    </row>
    <row r="8827" spans="1:1">
      <c r="A8827">
        <v>8826</v>
      </c>
    </row>
    <row r="8828" spans="1:1">
      <c r="A8828">
        <v>8827</v>
      </c>
    </row>
    <row r="8829" spans="1:1">
      <c r="A8829">
        <v>8828</v>
      </c>
    </row>
    <row r="8830" spans="1:1">
      <c r="A8830">
        <v>8829</v>
      </c>
    </row>
    <row r="8831" spans="1:1">
      <c r="A8831">
        <v>8830</v>
      </c>
    </row>
    <row r="8832" spans="1:1">
      <c r="A8832">
        <v>8831</v>
      </c>
    </row>
    <row r="8833" spans="1:1">
      <c r="A8833">
        <v>8832</v>
      </c>
    </row>
    <row r="8834" spans="1:1">
      <c r="A8834">
        <v>8833</v>
      </c>
    </row>
    <row r="8835" spans="1:1">
      <c r="A8835">
        <v>8834</v>
      </c>
    </row>
    <row r="8836" spans="1:1">
      <c r="A8836">
        <v>8835</v>
      </c>
    </row>
    <row r="8837" spans="1:1">
      <c r="A8837">
        <v>8836</v>
      </c>
    </row>
    <row r="8838" spans="1:1">
      <c r="A8838">
        <v>8837</v>
      </c>
    </row>
    <row r="8839" spans="1:1">
      <c r="A8839">
        <v>8838</v>
      </c>
    </row>
    <row r="8840" spans="1:1">
      <c r="A8840">
        <v>8839</v>
      </c>
    </row>
    <row r="8841" spans="1:1">
      <c r="A8841">
        <v>8840</v>
      </c>
    </row>
    <row r="8842" spans="1:1">
      <c r="A8842">
        <v>8841</v>
      </c>
    </row>
    <row r="8843" spans="1:1">
      <c r="A8843">
        <v>8842</v>
      </c>
    </row>
    <row r="8844" spans="1:1">
      <c r="A8844">
        <v>8843</v>
      </c>
    </row>
    <row r="8845" spans="1:1">
      <c r="A8845">
        <v>8844</v>
      </c>
    </row>
    <row r="8846" spans="1:1">
      <c r="A8846">
        <v>8845</v>
      </c>
    </row>
    <row r="8847" spans="1:1">
      <c r="A8847">
        <v>8846</v>
      </c>
    </row>
    <row r="8848" spans="1:1">
      <c r="A8848">
        <v>8847</v>
      </c>
    </row>
    <row r="8849" spans="1:1">
      <c r="A8849">
        <v>8848</v>
      </c>
    </row>
    <row r="8850" spans="1:1">
      <c r="A8850">
        <v>8849</v>
      </c>
    </row>
    <row r="8851" spans="1:1">
      <c r="A8851">
        <v>8850</v>
      </c>
    </row>
    <row r="8852" spans="1:1">
      <c r="A8852">
        <v>8851</v>
      </c>
    </row>
    <row r="8853" spans="1:1">
      <c r="A8853">
        <v>8852</v>
      </c>
    </row>
    <row r="8854" spans="1:1">
      <c r="A8854">
        <v>8853</v>
      </c>
    </row>
    <row r="8855" spans="1:1">
      <c r="A8855">
        <v>8854</v>
      </c>
    </row>
    <row r="8856" spans="1:1">
      <c r="A8856">
        <v>8855</v>
      </c>
    </row>
    <row r="8857" spans="1:1">
      <c r="A8857">
        <v>8856</v>
      </c>
    </row>
    <row r="8858" spans="1:1">
      <c r="A8858">
        <v>8857</v>
      </c>
    </row>
    <row r="8859" spans="1:1">
      <c r="A8859">
        <v>8858</v>
      </c>
    </row>
    <row r="8860" spans="1:1">
      <c r="A8860">
        <v>8859</v>
      </c>
    </row>
    <row r="8861" spans="1:1">
      <c r="A8861">
        <v>8860</v>
      </c>
    </row>
    <row r="8862" spans="1:1">
      <c r="A8862">
        <v>8861</v>
      </c>
    </row>
    <row r="8863" spans="1:1">
      <c r="A8863">
        <v>8862</v>
      </c>
    </row>
    <row r="8864" spans="1:1">
      <c r="A8864">
        <v>8863</v>
      </c>
    </row>
    <row r="8865" spans="1:1">
      <c r="A8865">
        <v>8864</v>
      </c>
    </row>
    <row r="8866" spans="1:1">
      <c r="A8866">
        <v>8865</v>
      </c>
    </row>
    <row r="8867" spans="1:1">
      <c r="A8867">
        <v>8866</v>
      </c>
    </row>
    <row r="8868" spans="1:1">
      <c r="A8868">
        <v>8867</v>
      </c>
    </row>
    <row r="8869" spans="1:1">
      <c r="A8869">
        <v>8868</v>
      </c>
    </row>
    <row r="8870" spans="1:1">
      <c r="A8870">
        <v>8869</v>
      </c>
    </row>
    <row r="8871" spans="1:1">
      <c r="A8871">
        <v>8870</v>
      </c>
    </row>
    <row r="8872" spans="1:1">
      <c r="A8872">
        <v>8871</v>
      </c>
    </row>
    <row r="8873" spans="1:1">
      <c r="A8873">
        <v>8872</v>
      </c>
    </row>
    <row r="8874" spans="1:1">
      <c r="A8874">
        <v>8873</v>
      </c>
    </row>
    <row r="8875" spans="1:1">
      <c r="A8875">
        <v>8874</v>
      </c>
    </row>
    <row r="8876" spans="1:1">
      <c r="A8876">
        <v>8875</v>
      </c>
    </row>
    <row r="8877" spans="1:1">
      <c r="A8877">
        <v>8876</v>
      </c>
    </row>
    <row r="8878" spans="1:1">
      <c r="A8878">
        <v>8877</v>
      </c>
    </row>
    <row r="8879" spans="1:1">
      <c r="A8879">
        <v>8878</v>
      </c>
    </row>
    <row r="8880" spans="1:1">
      <c r="A8880">
        <v>8879</v>
      </c>
    </row>
    <row r="8881" spans="1:1">
      <c r="A8881">
        <v>8880</v>
      </c>
    </row>
    <row r="8882" spans="1:1">
      <c r="A8882">
        <v>8881</v>
      </c>
    </row>
    <row r="8883" spans="1:1">
      <c r="A8883">
        <v>8882</v>
      </c>
    </row>
    <row r="8884" spans="1:1">
      <c r="A8884">
        <v>8883</v>
      </c>
    </row>
    <row r="8885" spans="1:1">
      <c r="A8885">
        <v>8884</v>
      </c>
    </row>
    <row r="8886" spans="1:1">
      <c r="A8886">
        <v>8885</v>
      </c>
    </row>
    <row r="8887" spans="1:1">
      <c r="A8887">
        <v>8886</v>
      </c>
    </row>
    <row r="8888" spans="1:1">
      <c r="A8888">
        <v>8887</v>
      </c>
    </row>
    <row r="8889" spans="1:1">
      <c r="A8889">
        <v>8888</v>
      </c>
    </row>
    <row r="8890" spans="1:1">
      <c r="A8890">
        <v>8889</v>
      </c>
    </row>
    <row r="8891" spans="1:1">
      <c r="A8891">
        <v>8890</v>
      </c>
    </row>
    <row r="8892" spans="1:1">
      <c r="A8892">
        <v>8891</v>
      </c>
    </row>
    <row r="8893" spans="1:1">
      <c r="A8893">
        <v>8892</v>
      </c>
    </row>
    <row r="8894" spans="1:1">
      <c r="A8894">
        <v>8893</v>
      </c>
    </row>
    <row r="8895" spans="1:1">
      <c r="A8895">
        <v>8894</v>
      </c>
    </row>
    <row r="8896" spans="1:1">
      <c r="A8896">
        <v>8895</v>
      </c>
    </row>
    <row r="8897" spans="1:1">
      <c r="A8897">
        <v>8896</v>
      </c>
    </row>
    <row r="8898" spans="1:1">
      <c r="A8898">
        <v>8897</v>
      </c>
    </row>
    <row r="8899" spans="1:1">
      <c r="A8899">
        <v>8898</v>
      </c>
    </row>
    <row r="8900" spans="1:1">
      <c r="A8900">
        <v>8899</v>
      </c>
    </row>
    <row r="8901" spans="1:1">
      <c r="A8901">
        <v>8900</v>
      </c>
    </row>
    <row r="8902" spans="1:1">
      <c r="A8902">
        <v>8901</v>
      </c>
    </row>
    <row r="8903" spans="1:1">
      <c r="A8903">
        <v>8902</v>
      </c>
    </row>
    <row r="8904" spans="1:1">
      <c r="A8904">
        <v>8903</v>
      </c>
    </row>
    <row r="8905" spans="1:1">
      <c r="A8905">
        <v>8904</v>
      </c>
    </row>
    <row r="8906" spans="1:1">
      <c r="A8906">
        <v>8905</v>
      </c>
    </row>
    <row r="8907" spans="1:1">
      <c r="A8907">
        <v>8906</v>
      </c>
    </row>
    <row r="8908" spans="1:1">
      <c r="A8908">
        <v>8907</v>
      </c>
    </row>
    <row r="8909" spans="1:1">
      <c r="A8909">
        <v>8908</v>
      </c>
    </row>
    <row r="8910" spans="1:1">
      <c r="A8910">
        <v>8909</v>
      </c>
    </row>
    <row r="8911" spans="1:1">
      <c r="A8911">
        <v>8910</v>
      </c>
    </row>
    <row r="8912" spans="1:1">
      <c r="A8912">
        <v>8911</v>
      </c>
    </row>
    <row r="8913" spans="1:1">
      <c r="A8913">
        <v>8912</v>
      </c>
    </row>
    <row r="8914" spans="1:1">
      <c r="A8914">
        <v>8913</v>
      </c>
    </row>
    <row r="8915" spans="1:1">
      <c r="A8915">
        <v>8914</v>
      </c>
    </row>
    <row r="8916" spans="1:1">
      <c r="A8916">
        <v>8915</v>
      </c>
    </row>
    <row r="8917" spans="1:1">
      <c r="A8917">
        <v>8916</v>
      </c>
    </row>
    <row r="8918" spans="1:1">
      <c r="A8918">
        <v>8917</v>
      </c>
    </row>
    <row r="8919" spans="1:1">
      <c r="A8919">
        <v>8918</v>
      </c>
    </row>
    <row r="8920" spans="1:1">
      <c r="A8920">
        <v>8919</v>
      </c>
    </row>
    <row r="8921" spans="1:1">
      <c r="A8921">
        <v>8920</v>
      </c>
    </row>
    <row r="8922" spans="1:1">
      <c r="A8922">
        <v>8921</v>
      </c>
    </row>
    <row r="8923" spans="1:1">
      <c r="A8923">
        <v>8922</v>
      </c>
    </row>
    <row r="8924" spans="1:1">
      <c r="A8924">
        <v>8923</v>
      </c>
    </row>
    <row r="8925" spans="1:1">
      <c r="A8925">
        <v>8924</v>
      </c>
    </row>
    <row r="8926" spans="1:1">
      <c r="A8926">
        <v>8925</v>
      </c>
    </row>
    <row r="8927" spans="1:1">
      <c r="A8927">
        <v>8926</v>
      </c>
    </row>
    <row r="8928" spans="1:1">
      <c r="A8928">
        <v>8927</v>
      </c>
    </row>
    <row r="8929" spans="1:1">
      <c r="A8929">
        <v>8928</v>
      </c>
    </row>
    <row r="8930" spans="1:1">
      <c r="A8930">
        <v>8929</v>
      </c>
    </row>
    <row r="8931" spans="1:1">
      <c r="A8931">
        <v>8930</v>
      </c>
    </row>
    <row r="8932" spans="1:1">
      <c r="A8932">
        <v>8931</v>
      </c>
    </row>
    <row r="8933" spans="1:1">
      <c r="A8933">
        <v>8932</v>
      </c>
    </row>
    <row r="8934" spans="1:1">
      <c r="A8934">
        <v>8933</v>
      </c>
    </row>
    <row r="8935" spans="1:1">
      <c r="A8935">
        <v>8934</v>
      </c>
    </row>
    <row r="8936" spans="1:1">
      <c r="A8936">
        <v>8935</v>
      </c>
    </row>
    <row r="8937" spans="1:1">
      <c r="A8937">
        <v>8936</v>
      </c>
    </row>
    <row r="8938" spans="1:1">
      <c r="A8938">
        <v>8937</v>
      </c>
    </row>
    <row r="8939" spans="1:1">
      <c r="A8939">
        <v>8938</v>
      </c>
    </row>
    <row r="8940" spans="1:1">
      <c r="A8940">
        <v>8939</v>
      </c>
    </row>
    <row r="8941" spans="1:1">
      <c r="A8941">
        <v>8940</v>
      </c>
    </row>
    <row r="8942" spans="1:1">
      <c r="A8942">
        <v>8941</v>
      </c>
    </row>
    <row r="8943" spans="1:1">
      <c r="A8943">
        <v>8942</v>
      </c>
    </row>
    <row r="8944" spans="1:1">
      <c r="A8944">
        <v>8943</v>
      </c>
    </row>
    <row r="8945" spans="1:1">
      <c r="A8945">
        <v>8944</v>
      </c>
    </row>
    <row r="8946" spans="1:1">
      <c r="A8946">
        <v>8945</v>
      </c>
    </row>
    <row r="8947" spans="1:1">
      <c r="A8947">
        <v>8946</v>
      </c>
    </row>
    <row r="8948" spans="1:1">
      <c r="A8948">
        <v>8947</v>
      </c>
    </row>
    <row r="8949" spans="1:1">
      <c r="A8949">
        <v>8948</v>
      </c>
    </row>
    <row r="8950" spans="1:1">
      <c r="A8950">
        <v>8949</v>
      </c>
    </row>
    <row r="8951" spans="1:1">
      <c r="A8951">
        <v>8950</v>
      </c>
    </row>
    <row r="8952" spans="1:1">
      <c r="A8952">
        <v>8951</v>
      </c>
    </row>
    <row r="8953" spans="1:1">
      <c r="A8953">
        <v>8952</v>
      </c>
    </row>
    <row r="8954" spans="1:1">
      <c r="A8954">
        <v>8953</v>
      </c>
    </row>
    <row r="8955" spans="1:1">
      <c r="A8955">
        <v>8954</v>
      </c>
    </row>
    <row r="8956" spans="1:1">
      <c r="A8956">
        <v>8955</v>
      </c>
    </row>
    <row r="8957" spans="1:1">
      <c r="A8957">
        <v>8956</v>
      </c>
    </row>
    <row r="8958" spans="1:1">
      <c r="A8958">
        <v>8957</v>
      </c>
    </row>
    <row r="8959" spans="1:1">
      <c r="A8959">
        <v>8958</v>
      </c>
    </row>
    <row r="8960" spans="1:1">
      <c r="A8960">
        <v>8959</v>
      </c>
    </row>
    <row r="8961" spans="1:1">
      <c r="A8961">
        <v>8960</v>
      </c>
    </row>
    <row r="8962" spans="1:1">
      <c r="A8962">
        <v>8961</v>
      </c>
    </row>
    <row r="8963" spans="1:1">
      <c r="A8963">
        <v>8962</v>
      </c>
    </row>
    <row r="8964" spans="1:1">
      <c r="A8964">
        <v>8963</v>
      </c>
    </row>
    <row r="8965" spans="1:1">
      <c r="A8965">
        <v>8964</v>
      </c>
    </row>
    <row r="8966" spans="1:1">
      <c r="A8966">
        <v>8965</v>
      </c>
    </row>
    <row r="8967" spans="1:1">
      <c r="A8967">
        <v>8966</v>
      </c>
    </row>
    <row r="8968" spans="1:1">
      <c r="A8968">
        <v>8967</v>
      </c>
    </row>
    <row r="8969" spans="1:1">
      <c r="A8969">
        <v>8968</v>
      </c>
    </row>
    <row r="8970" spans="1:1">
      <c r="A8970">
        <v>8969</v>
      </c>
    </row>
    <row r="8971" spans="1:1">
      <c r="A8971">
        <v>8970</v>
      </c>
    </row>
    <row r="8972" spans="1:1">
      <c r="A8972">
        <v>8971</v>
      </c>
    </row>
    <row r="8973" spans="1:1">
      <c r="A8973">
        <v>8972</v>
      </c>
    </row>
    <row r="8974" spans="1:1">
      <c r="A8974">
        <v>8973</v>
      </c>
    </row>
    <row r="8975" spans="1:1">
      <c r="A8975">
        <v>8974</v>
      </c>
    </row>
    <row r="8976" spans="1:1">
      <c r="A8976">
        <v>8975</v>
      </c>
    </row>
    <row r="8977" spans="1:1">
      <c r="A8977">
        <v>8976</v>
      </c>
    </row>
    <row r="8978" spans="1:1">
      <c r="A8978">
        <v>8977</v>
      </c>
    </row>
    <row r="8979" spans="1:1">
      <c r="A8979">
        <v>8978</v>
      </c>
    </row>
    <row r="8980" spans="1:1">
      <c r="A8980">
        <v>8979</v>
      </c>
    </row>
    <row r="8981" spans="1:1">
      <c r="A8981">
        <v>8980</v>
      </c>
    </row>
    <row r="8982" spans="1:1">
      <c r="A8982">
        <v>8981</v>
      </c>
    </row>
    <row r="8983" spans="1:1">
      <c r="A8983">
        <v>8982</v>
      </c>
    </row>
    <row r="8984" spans="1:1">
      <c r="A8984">
        <v>8983</v>
      </c>
    </row>
    <row r="8985" spans="1:1">
      <c r="A8985">
        <v>8984</v>
      </c>
    </row>
    <row r="8986" spans="1:1">
      <c r="A8986">
        <v>8985</v>
      </c>
    </row>
    <row r="8987" spans="1:1">
      <c r="A8987">
        <v>8986</v>
      </c>
    </row>
    <row r="8988" spans="1:1">
      <c r="A8988">
        <v>8987</v>
      </c>
    </row>
    <row r="8989" spans="1:1">
      <c r="A8989">
        <v>8988</v>
      </c>
    </row>
    <row r="8990" spans="1:1">
      <c r="A8990">
        <v>8989</v>
      </c>
    </row>
    <row r="8991" spans="1:1">
      <c r="A8991">
        <v>8990</v>
      </c>
    </row>
    <row r="8992" spans="1:1">
      <c r="A8992">
        <v>8991</v>
      </c>
    </row>
    <row r="8993" spans="1:1">
      <c r="A8993">
        <v>8992</v>
      </c>
    </row>
    <row r="8994" spans="1:1">
      <c r="A8994">
        <v>8993</v>
      </c>
    </row>
    <row r="8995" spans="1:1">
      <c r="A8995">
        <v>8994</v>
      </c>
    </row>
    <row r="8996" spans="1:1">
      <c r="A8996">
        <v>8995</v>
      </c>
    </row>
    <row r="8997" spans="1:1">
      <c r="A8997">
        <v>8996</v>
      </c>
    </row>
    <row r="8998" spans="1:1">
      <c r="A8998">
        <v>8997</v>
      </c>
    </row>
    <row r="8999" spans="1:1">
      <c r="A8999">
        <v>8998</v>
      </c>
    </row>
    <row r="9000" spans="1:1">
      <c r="A9000">
        <v>8999</v>
      </c>
    </row>
    <row r="9001" spans="1:1">
      <c r="A9001">
        <v>9000</v>
      </c>
    </row>
    <row r="9002" spans="1:1">
      <c r="A9002">
        <v>9001</v>
      </c>
    </row>
    <row r="9003" spans="1:1">
      <c r="A9003">
        <v>9002</v>
      </c>
    </row>
    <row r="9004" spans="1:1">
      <c r="A9004">
        <v>9003</v>
      </c>
    </row>
    <row r="9005" spans="1:1">
      <c r="A9005">
        <v>9004</v>
      </c>
    </row>
    <row r="9006" spans="1:1">
      <c r="A9006">
        <v>9005</v>
      </c>
    </row>
    <row r="9007" spans="1:1">
      <c r="A9007">
        <v>9006</v>
      </c>
    </row>
    <row r="9008" spans="1:1">
      <c r="A9008">
        <v>9007</v>
      </c>
    </row>
    <row r="9009" spans="1:1">
      <c r="A9009">
        <v>9008</v>
      </c>
    </row>
    <row r="9010" spans="1:1">
      <c r="A9010">
        <v>9009</v>
      </c>
    </row>
    <row r="9011" spans="1:1">
      <c r="A9011">
        <v>9010</v>
      </c>
    </row>
    <row r="9012" spans="1:1">
      <c r="A9012">
        <v>9011</v>
      </c>
    </row>
    <row r="9013" spans="1:1">
      <c r="A9013">
        <v>9012</v>
      </c>
    </row>
    <row r="9014" spans="1:1">
      <c r="A9014">
        <v>9013</v>
      </c>
    </row>
    <row r="9015" spans="1:1">
      <c r="A9015">
        <v>9014</v>
      </c>
    </row>
    <row r="9016" spans="1:1">
      <c r="A9016">
        <v>9015</v>
      </c>
    </row>
    <row r="9017" spans="1:1">
      <c r="A9017">
        <v>9016</v>
      </c>
    </row>
    <row r="9018" spans="1:1">
      <c r="A9018">
        <v>9017</v>
      </c>
    </row>
    <row r="9019" spans="1:1">
      <c r="A9019">
        <v>9018</v>
      </c>
    </row>
    <row r="9020" spans="1:1">
      <c r="A9020">
        <v>9019</v>
      </c>
    </row>
    <row r="9021" spans="1:1">
      <c r="A9021">
        <v>9020</v>
      </c>
    </row>
    <row r="9022" spans="1:1">
      <c r="A9022">
        <v>9021</v>
      </c>
    </row>
    <row r="9023" spans="1:1">
      <c r="A9023">
        <v>9022</v>
      </c>
    </row>
    <row r="9024" spans="1:1">
      <c r="A9024">
        <v>9023</v>
      </c>
    </row>
    <row r="9025" spans="1:1">
      <c r="A9025">
        <v>9024</v>
      </c>
    </row>
    <row r="9026" spans="1:1">
      <c r="A9026">
        <v>9025</v>
      </c>
    </row>
    <row r="9027" spans="1:1">
      <c r="A9027">
        <v>9026</v>
      </c>
    </row>
    <row r="9028" spans="1:1">
      <c r="A9028">
        <v>9027</v>
      </c>
    </row>
    <row r="9029" spans="1:1">
      <c r="A9029">
        <v>9028</v>
      </c>
    </row>
    <row r="9030" spans="1:1">
      <c r="A9030">
        <v>9029</v>
      </c>
    </row>
    <row r="9031" spans="1:1">
      <c r="A9031">
        <v>9030</v>
      </c>
    </row>
    <row r="9032" spans="1:1">
      <c r="A9032">
        <v>9031</v>
      </c>
    </row>
    <row r="9033" spans="1:1">
      <c r="A9033">
        <v>9032</v>
      </c>
    </row>
    <row r="9034" spans="1:1">
      <c r="A9034">
        <v>9033</v>
      </c>
    </row>
    <row r="9035" spans="1:1">
      <c r="A9035">
        <v>9034</v>
      </c>
    </row>
    <row r="9036" spans="1:1">
      <c r="A9036">
        <v>9035</v>
      </c>
    </row>
    <row r="9037" spans="1:1">
      <c r="A9037">
        <v>9036</v>
      </c>
    </row>
    <row r="9038" spans="1:1">
      <c r="A9038">
        <v>9037</v>
      </c>
    </row>
    <row r="9039" spans="1:1">
      <c r="A9039">
        <v>9038</v>
      </c>
    </row>
    <row r="9040" spans="1:1">
      <c r="A9040">
        <v>9039</v>
      </c>
    </row>
    <row r="9041" spans="1:1">
      <c r="A9041">
        <v>9040</v>
      </c>
    </row>
    <row r="9042" spans="1:1">
      <c r="A9042">
        <v>9041</v>
      </c>
    </row>
    <row r="9043" spans="1:1">
      <c r="A9043">
        <v>9042</v>
      </c>
    </row>
    <row r="9044" spans="1:1">
      <c r="A9044">
        <v>9043</v>
      </c>
    </row>
    <row r="9045" spans="1:1">
      <c r="A9045">
        <v>9044</v>
      </c>
    </row>
    <row r="9046" spans="1:1">
      <c r="A9046">
        <v>9045</v>
      </c>
    </row>
    <row r="9047" spans="1:1">
      <c r="A9047">
        <v>9046</v>
      </c>
    </row>
    <row r="9048" spans="1:1">
      <c r="A9048">
        <v>9047</v>
      </c>
    </row>
    <row r="9049" spans="1:1">
      <c r="A9049">
        <v>9048</v>
      </c>
    </row>
    <row r="9050" spans="1:1">
      <c r="A9050">
        <v>9049</v>
      </c>
    </row>
    <row r="9051" spans="1:1">
      <c r="A9051">
        <v>9050</v>
      </c>
    </row>
    <row r="9052" spans="1:1">
      <c r="A9052">
        <v>9051</v>
      </c>
    </row>
    <row r="9053" spans="1:1">
      <c r="A9053">
        <v>9052</v>
      </c>
    </row>
    <row r="9054" spans="1:1">
      <c r="A9054">
        <v>9053</v>
      </c>
    </row>
    <row r="9055" spans="1:1">
      <c r="A9055">
        <v>9054</v>
      </c>
    </row>
    <row r="9056" spans="1:1">
      <c r="A9056">
        <v>9055</v>
      </c>
    </row>
    <row r="9057" spans="1:1">
      <c r="A9057">
        <v>9056</v>
      </c>
    </row>
    <row r="9058" spans="1:1">
      <c r="A9058">
        <v>9057</v>
      </c>
    </row>
    <row r="9059" spans="1:1">
      <c r="A9059">
        <v>9058</v>
      </c>
    </row>
    <row r="9060" spans="1:1">
      <c r="A9060">
        <v>9059</v>
      </c>
    </row>
    <row r="9061" spans="1:1">
      <c r="A9061">
        <v>9060</v>
      </c>
    </row>
    <row r="9062" spans="1:1">
      <c r="A9062">
        <v>9061</v>
      </c>
    </row>
    <row r="9063" spans="1:1">
      <c r="A9063">
        <v>9062</v>
      </c>
    </row>
    <row r="9064" spans="1:1">
      <c r="A9064">
        <v>9063</v>
      </c>
    </row>
    <row r="9065" spans="1:1">
      <c r="A9065">
        <v>9064</v>
      </c>
    </row>
    <row r="9066" spans="1:1">
      <c r="A9066">
        <v>9065</v>
      </c>
    </row>
    <row r="9067" spans="1:1">
      <c r="A9067">
        <v>9066</v>
      </c>
    </row>
    <row r="9068" spans="1:1">
      <c r="A9068">
        <v>9067</v>
      </c>
    </row>
    <row r="9069" spans="1:1">
      <c r="A9069">
        <v>9068</v>
      </c>
    </row>
    <row r="9070" spans="1:1">
      <c r="A9070">
        <v>9069</v>
      </c>
    </row>
    <row r="9071" spans="1:1">
      <c r="A9071">
        <v>9070</v>
      </c>
    </row>
    <row r="9072" spans="1:1">
      <c r="A9072">
        <v>9071</v>
      </c>
    </row>
    <row r="9073" spans="1:1">
      <c r="A9073">
        <v>9072</v>
      </c>
    </row>
    <row r="9074" spans="1:1">
      <c r="A9074">
        <v>9073</v>
      </c>
    </row>
    <row r="9075" spans="1:1">
      <c r="A9075">
        <v>9074</v>
      </c>
    </row>
    <row r="9076" spans="1:1">
      <c r="A9076">
        <v>9075</v>
      </c>
    </row>
    <row r="9077" spans="1:1">
      <c r="A9077">
        <v>9076</v>
      </c>
    </row>
    <row r="9078" spans="1:1">
      <c r="A9078">
        <v>9077</v>
      </c>
    </row>
    <row r="9079" spans="1:1">
      <c r="A9079">
        <v>9078</v>
      </c>
    </row>
    <row r="9080" spans="1:1">
      <c r="A9080">
        <v>9079</v>
      </c>
    </row>
    <row r="9081" spans="1:1">
      <c r="A9081">
        <v>9080</v>
      </c>
    </row>
    <row r="9082" spans="1:1">
      <c r="A9082">
        <v>9081</v>
      </c>
    </row>
    <row r="9083" spans="1:1">
      <c r="A9083">
        <v>9082</v>
      </c>
    </row>
    <row r="9084" spans="1:1">
      <c r="A9084">
        <v>9083</v>
      </c>
    </row>
    <row r="9085" spans="1:1">
      <c r="A9085">
        <v>9084</v>
      </c>
    </row>
    <row r="9086" spans="1:1">
      <c r="A9086">
        <v>9085</v>
      </c>
    </row>
    <row r="9087" spans="1:1">
      <c r="A9087">
        <v>9086</v>
      </c>
    </row>
    <row r="9088" spans="1:1">
      <c r="A9088">
        <v>9087</v>
      </c>
    </row>
    <row r="9089" spans="1:1">
      <c r="A9089">
        <v>9088</v>
      </c>
    </row>
    <row r="9090" spans="1:1">
      <c r="A9090">
        <v>9089</v>
      </c>
    </row>
    <row r="9091" spans="1:1">
      <c r="A9091">
        <v>9090</v>
      </c>
    </row>
    <row r="9092" spans="1:1">
      <c r="A9092">
        <v>9091</v>
      </c>
    </row>
    <row r="9093" spans="1:1">
      <c r="A9093">
        <v>9092</v>
      </c>
    </row>
    <row r="9094" spans="1:1">
      <c r="A9094">
        <v>9093</v>
      </c>
    </row>
    <row r="9095" spans="1:1">
      <c r="A9095">
        <v>9094</v>
      </c>
    </row>
    <row r="9096" spans="1:1">
      <c r="A9096">
        <v>9095</v>
      </c>
    </row>
    <row r="9097" spans="1:1">
      <c r="A9097">
        <v>9096</v>
      </c>
    </row>
    <row r="9098" spans="1:1">
      <c r="A9098">
        <v>9097</v>
      </c>
    </row>
    <row r="9099" spans="1:1">
      <c r="A9099">
        <v>9098</v>
      </c>
    </row>
    <row r="9100" spans="1:1">
      <c r="A9100">
        <v>9099</v>
      </c>
    </row>
    <row r="9101" spans="1:1">
      <c r="A9101">
        <v>9100</v>
      </c>
    </row>
    <row r="9102" spans="1:1">
      <c r="A9102">
        <v>9101</v>
      </c>
    </row>
    <row r="9103" spans="1:1">
      <c r="A9103">
        <v>9102</v>
      </c>
    </row>
    <row r="9104" spans="1:1">
      <c r="A9104">
        <v>9103</v>
      </c>
    </row>
    <row r="9105" spans="1:1">
      <c r="A9105">
        <v>9104</v>
      </c>
    </row>
    <row r="9106" spans="1:1">
      <c r="A9106">
        <v>9105</v>
      </c>
    </row>
    <row r="9107" spans="1:1">
      <c r="A9107">
        <v>9106</v>
      </c>
    </row>
    <row r="9108" spans="1:1">
      <c r="A9108">
        <v>9107</v>
      </c>
    </row>
    <row r="9109" spans="1:1">
      <c r="A9109">
        <v>9108</v>
      </c>
    </row>
    <row r="9110" spans="1:1">
      <c r="A9110">
        <v>9109</v>
      </c>
    </row>
    <row r="9111" spans="1:1">
      <c r="A9111">
        <v>9110</v>
      </c>
    </row>
    <row r="9112" spans="1:1">
      <c r="A9112">
        <v>9111</v>
      </c>
    </row>
    <row r="9113" spans="1:1">
      <c r="A9113">
        <v>9112</v>
      </c>
    </row>
    <row r="9114" spans="1:1">
      <c r="A9114">
        <v>9113</v>
      </c>
    </row>
    <row r="9115" spans="1:1">
      <c r="A9115">
        <v>9114</v>
      </c>
    </row>
    <row r="9116" spans="1:1">
      <c r="A9116">
        <v>9115</v>
      </c>
    </row>
    <row r="9117" spans="1:1">
      <c r="A9117">
        <v>9116</v>
      </c>
    </row>
    <row r="9118" spans="1:1">
      <c r="A9118">
        <v>9117</v>
      </c>
    </row>
    <row r="9119" spans="1:1">
      <c r="A9119">
        <v>9118</v>
      </c>
    </row>
    <row r="9120" spans="1:1">
      <c r="A9120">
        <v>9119</v>
      </c>
    </row>
    <row r="9121" spans="1:1">
      <c r="A9121">
        <v>9120</v>
      </c>
    </row>
    <row r="9122" spans="1:1">
      <c r="A9122">
        <v>9121</v>
      </c>
    </row>
    <row r="9123" spans="1:1">
      <c r="A9123">
        <v>9122</v>
      </c>
    </row>
    <row r="9124" spans="1:1">
      <c r="A9124">
        <v>9123</v>
      </c>
    </row>
    <row r="9125" spans="1:1">
      <c r="A9125">
        <v>9124</v>
      </c>
    </row>
    <row r="9126" spans="1:1">
      <c r="A9126">
        <v>9125</v>
      </c>
    </row>
    <row r="9127" spans="1:1">
      <c r="A9127">
        <v>9126</v>
      </c>
    </row>
    <row r="9128" spans="1:1">
      <c r="A9128">
        <v>9127</v>
      </c>
    </row>
    <row r="9129" spans="1:1">
      <c r="A9129">
        <v>9128</v>
      </c>
    </row>
    <row r="9130" spans="1:1">
      <c r="A9130">
        <v>9129</v>
      </c>
    </row>
    <row r="9131" spans="1:1">
      <c r="A9131">
        <v>9130</v>
      </c>
    </row>
    <row r="9132" spans="1:1">
      <c r="A9132">
        <v>9131</v>
      </c>
    </row>
    <row r="9133" spans="1:1">
      <c r="A9133">
        <v>9132</v>
      </c>
    </row>
    <row r="9134" spans="1:1">
      <c r="A9134">
        <v>9133</v>
      </c>
    </row>
    <row r="9135" spans="1:1">
      <c r="A9135">
        <v>9134</v>
      </c>
    </row>
    <row r="9136" spans="1:1">
      <c r="A9136">
        <v>9135</v>
      </c>
    </row>
    <row r="9137" spans="1:1">
      <c r="A9137">
        <v>9136</v>
      </c>
    </row>
    <row r="9138" spans="1:1">
      <c r="A9138">
        <v>9137</v>
      </c>
    </row>
    <row r="9139" spans="1:1">
      <c r="A9139">
        <v>9138</v>
      </c>
    </row>
    <row r="9140" spans="1:1">
      <c r="A9140">
        <v>9139</v>
      </c>
    </row>
    <row r="9141" spans="1:1">
      <c r="A9141">
        <v>9140</v>
      </c>
    </row>
    <row r="9142" spans="1:1">
      <c r="A9142">
        <v>9141</v>
      </c>
    </row>
    <row r="9143" spans="1:1">
      <c r="A9143">
        <v>9142</v>
      </c>
    </row>
    <row r="9144" spans="1:1">
      <c r="A9144">
        <v>9143</v>
      </c>
    </row>
    <row r="9145" spans="1:1">
      <c r="A9145">
        <v>9144</v>
      </c>
    </row>
    <row r="9146" spans="1:1">
      <c r="A9146">
        <v>9145</v>
      </c>
    </row>
    <row r="9147" spans="1:1">
      <c r="A9147">
        <v>9146</v>
      </c>
    </row>
    <row r="9148" spans="1:1">
      <c r="A9148">
        <v>9147</v>
      </c>
    </row>
    <row r="9149" spans="1:1">
      <c r="A9149">
        <v>9148</v>
      </c>
    </row>
    <row r="9150" spans="1:1">
      <c r="A9150">
        <v>9149</v>
      </c>
    </row>
    <row r="9151" spans="1:1">
      <c r="A9151">
        <v>9150</v>
      </c>
    </row>
    <row r="9152" spans="1:1">
      <c r="A9152">
        <v>9151</v>
      </c>
    </row>
    <row r="9153" spans="1:1">
      <c r="A9153">
        <v>9152</v>
      </c>
    </row>
    <row r="9154" spans="1:1">
      <c r="A9154">
        <v>9153</v>
      </c>
    </row>
    <row r="9155" spans="1:1">
      <c r="A9155">
        <v>9154</v>
      </c>
    </row>
    <row r="9156" spans="1:1">
      <c r="A9156">
        <v>9155</v>
      </c>
    </row>
    <row r="9157" spans="1:1">
      <c r="A9157">
        <v>9156</v>
      </c>
    </row>
    <row r="9158" spans="1:1">
      <c r="A9158">
        <v>9157</v>
      </c>
    </row>
    <row r="9159" spans="1:1">
      <c r="A9159">
        <v>9158</v>
      </c>
    </row>
    <row r="9160" spans="1:1">
      <c r="A9160">
        <v>9159</v>
      </c>
    </row>
    <row r="9161" spans="1:1">
      <c r="A9161">
        <v>9160</v>
      </c>
    </row>
    <row r="9162" spans="1:1">
      <c r="A9162">
        <v>9161</v>
      </c>
    </row>
    <row r="9163" spans="1:1">
      <c r="A9163">
        <v>9162</v>
      </c>
    </row>
    <row r="9164" spans="1:1">
      <c r="A9164">
        <v>9163</v>
      </c>
    </row>
    <row r="9165" spans="1:1">
      <c r="A9165">
        <v>9164</v>
      </c>
    </row>
    <row r="9166" spans="1:1">
      <c r="A9166">
        <v>9165</v>
      </c>
    </row>
    <row r="9167" spans="1:1">
      <c r="A9167">
        <v>9166</v>
      </c>
    </row>
    <row r="9168" spans="1:1">
      <c r="A9168">
        <v>9167</v>
      </c>
    </row>
    <row r="9169" spans="1:1">
      <c r="A9169">
        <v>9168</v>
      </c>
    </row>
    <row r="9170" spans="1:1">
      <c r="A9170">
        <v>9169</v>
      </c>
    </row>
    <row r="9171" spans="1:1">
      <c r="A9171">
        <v>9170</v>
      </c>
    </row>
    <row r="9172" spans="1:1">
      <c r="A9172">
        <v>9171</v>
      </c>
    </row>
    <row r="9173" spans="1:1">
      <c r="A9173">
        <v>9172</v>
      </c>
    </row>
    <row r="9174" spans="1:1">
      <c r="A9174">
        <v>9173</v>
      </c>
    </row>
    <row r="9175" spans="1:1">
      <c r="A9175">
        <v>9174</v>
      </c>
    </row>
    <row r="9176" spans="1:1">
      <c r="A9176">
        <v>9175</v>
      </c>
    </row>
    <row r="9177" spans="1:1">
      <c r="A9177">
        <v>9176</v>
      </c>
    </row>
    <row r="9178" spans="1:1">
      <c r="A9178">
        <v>9177</v>
      </c>
    </row>
    <row r="9179" spans="1:1">
      <c r="A9179">
        <v>9178</v>
      </c>
    </row>
    <row r="9180" spans="1:1">
      <c r="A9180">
        <v>9179</v>
      </c>
    </row>
    <row r="9181" spans="1:1">
      <c r="A9181">
        <v>9180</v>
      </c>
    </row>
    <row r="9182" spans="1:1">
      <c r="A9182">
        <v>9181</v>
      </c>
    </row>
    <row r="9183" spans="1:1">
      <c r="A9183">
        <v>9182</v>
      </c>
    </row>
    <row r="9184" spans="1:1">
      <c r="A9184">
        <v>9183</v>
      </c>
    </row>
    <row r="9185" spans="1:1">
      <c r="A9185">
        <v>9184</v>
      </c>
    </row>
    <row r="9186" spans="1:1">
      <c r="A9186">
        <v>9185</v>
      </c>
    </row>
    <row r="9187" spans="1:1">
      <c r="A9187">
        <v>9186</v>
      </c>
    </row>
    <row r="9188" spans="1:1">
      <c r="A9188">
        <v>9187</v>
      </c>
    </row>
    <row r="9189" spans="1:1">
      <c r="A9189">
        <v>9188</v>
      </c>
    </row>
    <row r="9190" spans="1:1">
      <c r="A9190">
        <v>9189</v>
      </c>
    </row>
    <row r="9191" spans="1:1">
      <c r="A9191">
        <v>9190</v>
      </c>
    </row>
    <row r="9192" spans="1:1">
      <c r="A9192">
        <v>9191</v>
      </c>
    </row>
    <row r="9193" spans="1:1">
      <c r="A9193">
        <v>9192</v>
      </c>
    </row>
    <row r="9194" spans="1:1">
      <c r="A9194">
        <v>9193</v>
      </c>
    </row>
    <row r="9195" spans="1:1">
      <c r="A9195">
        <v>9194</v>
      </c>
    </row>
    <row r="9196" spans="1:1">
      <c r="A9196">
        <v>9195</v>
      </c>
    </row>
    <row r="9197" spans="1:1">
      <c r="A9197">
        <v>9196</v>
      </c>
    </row>
    <row r="9198" spans="1:1">
      <c r="A9198">
        <v>9197</v>
      </c>
    </row>
    <row r="9199" spans="1:1">
      <c r="A9199">
        <v>9198</v>
      </c>
    </row>
    <row r="9200" spans="1:1">
      <c r="A9200">
        <v>9199</v>
      </c>
    </row>
    <row r="9201" spans="1:1">
      <c r="A9201">
        <v>9200</v>
      </c>
    </row>
    <row r="9202" spans="1:1">
      <c r="A9202">
        <v>9201</v>
      </c>
    </row>
    <row r="9203" spans="1:1">
      <c r="A9203">
        <v>9202</v>
      </c>
    </row>
    <row r="9204" spans="1:1">
      <c r="A9204">
        <v>9203</v>
      </c>
    </row>
    <row r="9205" spans="1:1">
      <c r="A9205">
        <v>9204</v>
      </c>
    </row>
    <row r="9206" spans="1:1">
      <c r="A9206">
        <v>9205</v>
      </c>
    </row>
    <row r="9207" spans="1:1">
      <c r="A9207">
        <v>9206</v>
      </c>
    </row>
    <row r="9208" spans="1:1">
      <c r="A9208">
        <v>9207</v>
      </c>
    </row>
    <row r="9209" spans="1:1">
      <c r="A9209">
        <v>9208</v>
      </c>
    </row>
    <row r="9210" spans="1:1">
      <c r="A9210">
        <v>9209</v>
      </c>
    </row>
    <row r="9211" spans="1:1">
      <c r="A9211">
        <v>9210</v>
      </c>
    </row>
    <row r="9212" spans="1:1">
      <c r="A9212">
        <v>9211</v>
      </c>
    </row>
    <row r="9213" spans="1:1">
      <c r="A9213">
        <v>9212</v>
      </c>
    </row>
    <row r="9214" spans="1:1">
      <c r="A9214">
        <v>9213</v>
      </c>
    </row>
    <row r="9215" spans="1:1">
      <c r="A9215">
        <v>9214</v>
      </c>
    </row>
    <row r="9216" spans="1:1">
      <c r="A9216">
        <v>9215</v>
      </c>
    </row>
    <row r="9217" spans="1:1">
      <c r="A9217">
        <v>9216</v>
      </c>
    </row>
    <row r="9218" spans="1:1">
      <c r="A9218">
        <v>9217</v>
      </c>
    </row>
    <row r="9219" spans="1:1">
      <c r="A9219">
        <v>9218</v>
      </c>
    </row>
    <row r="9220" spans="1:1">
      <c r="A9220">
        <v>9219</v>
      </c>
    </row>
    <row r="9221" spans="1:1">
      <c r="A9221">
        <v>9220</v>
      </c>
    </row>
    <row r="9222" spans="1:1">
      <c r="A9222">
        <v>9221</v>
      </c>
    </row>
    <row r="9223" spans="1:1">
      <c r="A9223">
        <v>9222</v>
      </c>
    </row>
    <row r="9224" spans="1:1">
      <c r="A9224">
        <v>9223</v>
      </c>
    </row>
    <row r="9225" spans="1:1">
      <c r="A9225">
        <v>9224</v>
      </c>
    </row>
    <row r="9226" spans="1:1">
      <c r="A9226">
        <v>9225</v>
      </c>
    </row>
    <row r="9227" spans="1:1">
      <c r="A9227">
        <v>9226</v>
      </c>
    </row>
    <row r="9228" spans="1:1">
      <c r="A9228">
        <v>9227</v>
      </c>
    </row>
    <row r="9229" spans="1:1">
      <c r="A9229">
        <v>9228</v>
      </c>
    </row>
    <row r="9230" spans="1:1">
      <c r="A9230">
        <v>9229</v>
      </c>
    </row>
    <row r="9231" spans="1:1">
      <c r="A9231">
        <v>9230</v>
      </c>
    </row>
    <row r="9232" spans="1:1">
      <c r="A9232">
        <v>9231</v>
      </c>
    </row>
    <row r="9233" spans="1:1">
      <c r="A9233">
        <v>9232</v>
      </c>
    </row>
    <row r="9234" spans="1:1">
      <c r="A9234">
        <v>9233</v>
      </c>
    </row>
    <row r="9235" spans="1:1">
      <c r="A9235">
        <v>9234</v>
      </c>
    </row>
    <row r="9236" spans="1:1">
      <c r="A9236">
        <v>9235</v>
      </c>
    </row>
    <row r="9237" spans="1:1">
      <c r="A9237">
        <v>9236</v>
      </c>
    </row>
    <row r="9238" spans="1:1">
      <c r="A9238">
        <v>9237</v>
      </c>
    </row>
    <row r="9239" spans="1:1">
      <c r="A9239">
        <v>9238</v>
      </c>
    </row>
    <row r="9240" spans="1:1">
      <c r="A9240">
        <v>9239</v>
      </c>
    </row>
    <row r="9241" spans="1:1">
      <c r="A9241">
        <v>9240</v>
      </c>
    </row>
    <row r="9242" spans="1:1">
      <c r="A9242">
        <v>9241</v>
      </c>
    </row>
    <row r="9243" spans="1:1">
      <c r="A9243">
        <v>9242</v>
      </c>
    </row>
    <row r="9244" spans="1:1">
      <c r="A9244">
        <v>9243</v>
      </c>
    </row>
    <row r="9245" spans="1:1">
      <c r="A9245">
        <v>9244</v>
      </c>
    </row>
    <row r="9246" spans="1:1">
      <c r="A9246">
        <v>9245</v>
      </c>
    </row>
    <row r="9247" spans="1:1">
      <c r="A9247">
        <v>9246</v>
      </c>
    </row>
    <row r="9248" spans="1:1">
      <c r="A9248">
        <v>9247</v>
      </c>
    </row>
    <row r="9249" spans="1:1">
      <c r="A9249">
        <v>9248</v>
      </c>
    </row>
    <row r="9250" spans="1:1">
      <c r="A9250">
        <v>9249</v>
      </c>
    </row>
    <row r="9251" spans="1:1">
      <c r="A9251">
        <v>9250</v>
      </c>
    </row>
    <row r="9252" spans="1:1">
      <c r="A9252">
        <v>9251</v>
      </c>
    </row>
    <row r="9253" spans="1:1">
      <c r="A9253">
        <v>9252</v>
      </c>
    </row>
    <row r="9254" spans="1:1">
      <c r="A9254">
        <v>9253</v>
      </c>
    </row>
    <row r="9255" spans="1:1">
      <c r="A9255">
        <v>9254</v>
      </c>
    </row>
    <row r="9256" spans="1:1">
      <c r="A9256">
        <v>9255</v>
      </c>
    </row>
    <row r="9257" spans="1:1">
      <c r="A9257">
        <v>9256</v>
      </c>
    </row>
    <row r="9258" spans="1:1">
      <c r="A9258">
        <v>9257</v>
      </c>
    </row>
    <row r="9259" spans="1:1">
      <c r="A9259">
        <v>9258</v>
      </c>
    </row>
    <row r="9260" spans="1:1">
      <c r="A9260">
        <v>9259</v>
      </c>
    </row>
    <row r="9261" spans="1:1">
      <c r="A9261">
        <v>9260</v>
      </c>
    </row>
    <row r="9262" spans="1:1">
      <c r="A9262">
        <v>9261</v>
      </c>
    </row>
    <row r="9263" spans="1:1">
      <c r="A9263">
        <v>9262</v>
      </c>
    </row>
    <row r="9264" spans="1:1">
      <c r="A9264">
        <v>9263</v>
      </c>
    </row>
    <row r="9265" spans="1:1">
      <c r="A9265">
        <v>9264</v>
      </c>
    </row>
    <row r="9266" spans="1:1">
      <c r="A9266">
        <v>9265</v>
      </c>
    </row>
    <row r="9267" spans="1:1">
      <c r="A9267">
        <v>9266</v>
      </c>
    </row>
    <row r="9268" spans="1:1">
      <c r="A9268">
        <v>9267</v>
      </c>
    </row>
    <row r="9269" spans="1:1">
      <c r="A9269">
        <v>9268</v>
      </c>
    </row>
    <row r="9270" spans="1:1">
      <c r="A9270">
        <v>9269</v>
      </c>
    </row>
    <row r="9271" spans="1:1">
      <c r="A9271">
        <v>9270</v>
      </c>
    </row>
    <row r="9272" spans="1:1">
      <c r="A9272">
        <v>9271</v>
      </c>
    </row>
    <row r="9273" spans="1:1">
      <c r="A9273">
        <v>9272</v>
      </c>
    </row>
    <row r="9274" spans="1:1">
      <c r="A9274">
        <v>9273</v>
      </c>
    </row>
    <row r="9275" spans="1:1">
      <c r="A9275">
        <v>9274</v>
      </c>
    </row>
    <row r="9276" spans="1:1">
      <c r="A9276">
        <v>9275</v>
      </c>
    </row>
    <row r="9277" spans="1:1">
      <c r="A9277">
        <v>9276</v>
      </c>
    </row>
    <row r="9278" spans="1:1">
      <c r="A9278">
        <v>9277</v>
      </c>
    </row>
    <row r="9279" spans="1:1">
      <c r="A9279">
        <v>9278</v>
      </c>
    </row>
    <row r="9280" spans="1:1">
      <c r="A9280">
        <v>9279</v>
      </c>
    </row>
    <row r="9281" spans="1:1">
      <c r="A9281">
        <v>9280</v>
      </c>
    </row>
    <row r="9282" spans="1:1">
      <c r="A9282">
        <v>9281</v>
      </c>
    </row>
    <row r="9283" spans="1:1">
      <c r="A9283">
        <v>9282</v>
      </c>
    </row>
    <row r="9284" spans="1:1">
      <c r="A9284">
        <v>9283</v>
      </c>
    </row>
    <row r="9285" spans="1:1">
      <c r="A9285">
        <v>9284</v>
      </c>
    </row>
    <row r="9286" spans="1:1">
      <c r="A9286">
        <v>9285</v>
      </c>
    </row>
    <row r="9287" spans="1:1">
      <c r="A9287">
        <v>9286</v>
      </c>
    </row>
    <row r="9288" spans="1:1">
      <c r="A9288">
        <v>9287</v>
      </c>
    </row>
    <row r="9289" spans="1:1">
      <c r="A9289">
        <v>9288</v>
      </c>
    </row>
    <row r="9290" spans="1:1">
      <c r="A9290">
        <v>9289</v>
      </c>
    </row>
    <row r="9291" spans="1:1">
      <c r="A9291">
        <v>9290</v>
      </c>
    </row>
    <row r="9292" spans="1:1">
      <c r="A9292">
        <v>9291</v>
      </c>
    </row>
    <row r="9293" spans="1:1">
      <c r="A9293">
        <v>9292</v>
      </c>
    </row>
    <row r="9294" spans="1:1">
      <c r="A9294">
        <v>9293</v>
      </c>
    </row>
    <row r="9295" spans="1:1">
      <c r="A9295">
        <v>9294</v>
      </c>
    </row>
    <row r="9296" spans="1:1">
      <c r="A9296">
        <v>9295</v>
      </c>
    </row>
    <row r="9297" spans="1:1">
      <c r="A9297">
        <v>9296</v>
      </c>
    </row>
    <row r="9298" spans="1:1">
      <c r="A9298">
        <v>9297</v>
      </c>
    </row>
    <row r="9299" spans="1:1">
      <c r="A9299">
        <v>9298</v>
      </c>
    </row>
    <row r="9300" spans="1:1">
      <c r="A9300">
        <v>9299</v>
      </c>
    </row>
    <row r="9301" spans="1:1">
      <c r="A9301">
        <v>9300</v>
      </c>
    </row>
    <row r="9302" spans="1:1">
      <c r="A9302">
        <v>9301</v>
      </c>
    </row>
    <row r="9303" spans="1:1">
      <c r="A9303">
        <v>9302</v>
      </c>
    </row>
    <row r="9304" spans="1:1">
      <c r="A9304">
        <v>9303</v>
      </c>
    </row>
    <row r="9305" spans="1:1">
      <c r="A9305">
        <v>9304</v>
      </c>
    </row>
    <row r="9306" spans="1:1">
      <c r="A9306">
        <v>9305</v>
      </c>
    </row>
    <row r="9307" spans="1:1">
      <c r="A9307">
        <v>9306</v>
      </c>
    </row>
    <row r="9308" spans="1:1">
      <c r="A9308">
        <v>9307</v>
      </c>
    </row>
    <row r="9309" spans="1:1">
      <c r="A9309">
        <v>9308</v>
      </c>
    </row>
    <row r="9310" spans="1:1">
      <c r="A9310">
        <v>9309</v>
      </c>
    </row>
    <row r="9311" spans="1:1">
      <c r="A9311">
        <v>9310</v>
      </c>
    </row>
    <row r="9312" spans="1:1">
      <c r="A9312">
        <v>9311</v>
      </c>
    </row>
    <row r="9313" spans="1:1">
      <c r="A9313">
        <v>9312</v>
      </c>
    </row>
    <row r="9314" spans="1:1">
      <c r="A9314">
        <v>9313</v>
      </c>
    </row>
    <row r="9315" spans="1:1">
      <c r="A9315">
        <v>9314</v>
      </c>
    </row>
    <row r="9316" spans="1:1">
      <c r="A9316">
        <v>9315</v>
      </c>
    </row>
    <row r="9317" spans="1:1">
      <c r="A9317">
        <v>9316</v>
      </c>
    </row>
    <row r="9318" spans="1:1">
      <c r="A9318">
        <v>9317</v>
      </c>
    </row>
    <row r="9319" spans="1:1">
      <c r="A9319">
        <v>9318</v>
      </c>
    </row>
    <row r="9320" spans="1:1">
      <c r="A9320">
        <v>9319</v>
      </c>
    </row>
    <row r="9321" spans="1:1">
      <c r="A9321">
        <v>9320</v>
      </c>
    </row>
    <row r="9322" spans="1:1">
      <c r="A9322">
        <v>9321</v>
      </c>
    </row>
    <row r="9323" spans="1:1">
      <c r="A9323">
        <v>9322</v>
      </c>
    </row>
    <row r="9324" spans="1:1">
      <c r="A9324">
        <v>9323</v>
      </c>
    </row>
    <row r="9325" spans="1:1">
      <c r="A9325">
        <v>9324</v>
      </c>
    </row>
    <row r="9326" spans="1:1">
      <c r="A9326">
        <v>9325</v>
      </c>
    </row>
    <row r="9327" spans="1:1">
      <c r="A9327">
        <v>9326</v>
      </c>
    </row>
    <row r="9328" spans="1:1">
      <c r="A9328">
        <v>9327</v>
      </c>
    </row>
    <row r="9329" spans="1:1">
      <c r="A9329">
        <v>9328</v>
      </c>
    </row>
    <row r="9330" spans="1:1">
      <c r="A9330">
        <v>9329</v>
      </c>
    </row>
    <row r="9331" spans="1:1">
      <c r="A9331">
        <v>9330</v>
      </c>
    </row>
    <row r="9332" spans="1:1">
      <c r="A9332">
        <v>9331</v>
      </c>
    </row>
    <row r="9333" spans="1:1">
      <c r="A9333">
        <v>9332</v>
      </c>
    </row>
    <row r="9334" spans="1:1">
      <c r="A9334">
        <v>9333</v>
      </c>
    </row>
    <row r="9335" spans="1:1">
      <c r="A9335">
        <v>9334</v>
      </c>
    </row>
    <row r="9336" spans="1:1">
      <c r="A9336">
        <v>9335</v>
      </c>
    </row>
    <row r="9337" spans="1:1">
      <c r="A9337">
        <v>9336</v>
      </c>
    </row>
    <row r="9338" spans="1:1">
      <c r="A9338">
        <v>9337</v>
      </c>
    </row>
    <row r="9339" spans="1:1">
      <c r="A9339">
        <v>9338</v>
      </c>
    </row>
    <row r="9340" spans="1:1">
      <c r="A9340">
        <v>9339</v>
      </c>
    </row>
    <row r="9341" spans="1:1">
      <c r="A9341">
        <v>9340</v>
      </c>
    </row>
    <row r="9342" spans="1:1">
      <c r="A9342">
        <v>9341</v>
      </c>
    </row>
    <row r="9343" spans="1:1">
      <c r="A9343">
        <v>9342</v>
      </c>
    </row>
    <row r="9344" spans="1:1">
      <c r="A9344">
        <v>9343</v>
      </c>
    </row>
    <row r="9345" spans="1:1">
      <c r="A9345">
        <v>9344</v>
      </c>
    </row>
    <row r="9346" spans="1:1">
      <c r="A9346">
        <v>9345</v>
      </c>
    </row>
    <row r="9347" spans="1:1">
      <c r="A9347">
        <v>9346</v>
      </c>
    </row>
    <row r="9348" spans="1:1">
      <c r="A9348">
        <v>9347</v>
      </c>
    </row>
    <row r="9349" spans="1:1">
      <c r="A9349">
        <v>9348</v>
      </c>
    </row>
    <row r="9350" spans="1:1">
      <c r="A9350">
        <v>9349</v>
      </c>
    </row>
    <row r="9351" spans="1:1">
      <c r="A9351">
        <v>9350</v>
      </c>
    </row>
    <row r="9352" spans="1:1">
      <c r="A9352">
        <v>9351</v>
      </c>
    </row>
    <row r="9353" spans="1:1">
      <c r="A9353">
        <v>9352</v>
      </c>
    </row>
    <row r="9354" spans="1:1">
      <c r="A9354">
        <v>9353</v>
      </c>
    </row>
    <row r="9355" spans="1:1">
      <c r="A9355">
        <v>9354</v>
      </c>
    </row>
    <row r="9356" spans="1:1">
      <c r="A9356">
        <v>9355</v>
      </c>
    </row>
    <row r="9357" spans="1:1">
      <c r="A9357">
        <v>9356</v>
      </c>
    </row>
    <row r="9358" spans="1:1">
      <c r="A9358">
        <v>9357</v>
      </c>
    </row>
    <row r="9359" spans="1:1">
      <c r="A9359">
        <v>9358</v>
      </c>
    </row>
    <row r="9360" spans="1:1">
      <c r="A9360">
        <v>9359</v>
      </c>
    </row>
    <row r="9361" spans="1:1">
      <c r="A9361">
        <v>9360</v>
      </c>
    </row>
    <row r="9362" spans="1:1">
      <c r="A9362">
        <v>9361</v>
      </c>
    </row>
    <row r="9363" spans="1:1">
      <c r="A9363">
        <v>9362</v>
      </c>
    </row>
    <row r="9364" spans="1:1">
      <c r="A9364">
        <v>9363</v>
      </c>
    </row>
    <row r="9365" spans="1:1">
      <c r="A9365">
        <v>9364</v>
      </c>
    </row>
    <row r="9366" spans="1:1">
      <c r="A9366">
        <v>9365</v>
      </c>
    </row>
    <row r="9367" spans="1:1">
      <c r="A9367">
        <v>9366</v>
      </c>
    </row>
    <row r="9368" spans="1:1">
      <c r="A9368">
        <v>9367</v>
      </c>
    </row>
    <row r="9369" spans="1:1">
      <c r="A9369">
        <v>9368</v>
      </c>
    </row>
    <row r="9370" spans="1:1">
      <c r="A9370">
        <v>9369</v>
      </c>
    </row>
    <row r="9371" spans="1:1">
      <c r="A9371">
        <v>9370</v>
      </c>
    </row>
    <row r="9372" spans="1:1">
      <c r="A9372">
        <v>9371</v>
      </c>
    </row>
    <row r="9373" spans="1:1">
      <c r="A9373">
        <v>9372</v>
      </c>
    </row>
    <row r="9374" spans="1:1">
      <c r="A9374">
        <v>9373</v>
      </c>
    </row>
    <row r="9375" spans="1:1">
      <c r="A9375">
        <v>9374</v>
      </c>
    </row>
    <row r="9376" spans="1:1">
      <c r="A9376">
        <v>9375</v>
      </c>
    </row>
    <row r="9377" spans="1:1">
      <c r="A9377">
        <v>9376</v>
      </c>
    </row>
    <row r="9378" spans="1:1">
      <c r="A9378">
        <v>9377</v>
      </c>
    </row>
    <row r="9379" spans="1:1">
      <c r="A9379">
        <v>9378</v>
      </c>
    </row>
    <row r="9380" spans="1:1">
      <c r="A9380">
        <v>9379</v>
      </c>
    </row>
    <row r="9381" spans="1:1">
      <c r="A9381">
        <v>9380</v>
      </c>
    </row>
    <row r="9382" spans="1:1">
      <c r="A9382">
        <v>9381</v>
      </c>
    </row>
    <row r="9383" spans="1:1">
      <c r="A9383">
        <v>9382</v>
      </c>
    </row>
    <row r="9384" spans="1:1">
      <c r="A9384">
        <v>9383</v>
      </c>
    </row>
    <row r="9385" spans="1:1">
      <c r="A9385">
        <v>9384</v>
      </c>
    </row>
    <row r="9386" spans="1:1">
      <c r="A9386">
        <v>9385</v>
      </c>
    </row>
    <row r="9387" spans="1:1">
      <c r="A9387">
        <v>9386</v>
      </c>
    </row>
    <row r="9388" spans="1:1">
      <c r="A9388">
        <v>9387</v>
      </c>
    </row>
    <row r="9389" spans="1:1">
      <c r="A9389">
        <v>9388</v>
      </c>
    </row>
    <row r="9390" spans="1:1">
      <c r="A9390">
        <v>9389</v>
      </c>
    </row>
    <row r="9391" spans="1:1">
      <c r="A9391">
        <v>9390</v>
      </c>
    </row>
    <row r="9392" spans="1:1">
      <c r="A9392">
        <v>9391</v>
      </c>
    </row>
    <row r="9393" spans="1:1">
      <c r="A9393">
        <v>9392</v>
      </c>
    </row>
    <row r="9394" spans="1:1">
      <c r="A9394">
        <v>9393</v>
      </c>
    </row>
    <row r="9395" spans="1:1">
      <c r="A9395">
        <v>9394</v>
      </c>
    </row>
    <row r="9396" spans="1:1">
      <c r="A9396">
        <v>9395</v>
      </c>
    </row>
    <row r="9397" spans="1:1">
      <c r="A9397">
        <v>9396</v>
      </c>
    </row>
    <row r="9398" spans="1:1">
      <c r="A9398">
        <v>9397</v>
      </c>
    </row>
    <row r="9399" spans="1:1">
      <c r="A9399">
        <v>9398</v>
      </c>
    </row>
    <row r="9400" spans="1:1">
      <c r="A9400">
        <v>9399</v>
      </c>
    </row>
    <row r="9401" spans="1:1">
      <c r="A9401">
        <v>9400</v>
      </c>
    </row>
    <row r="9402" spans="1:1">
      <c r="A9402">
        <v>9401</v>
      </c>
    </row>
    <row r="9403" spans="1:1">
      <c r="A9403">
        <v>9402</v>
      </c>
    </row>
    <row r="9404" spans="1:1">
      <c r="A9404">
        <v>9403</v>
      </c>
    </row>
    <row r="9405" spans="1:1">
      <c r="A9405">
        <v>9404</v>
      </c>
    </row>
    <row r="9406" spans="1:1">
      <c r="A9406">
        <v>9405</v>
      </c>
    </row>
    <row r="9407" spans="1:1">
      <c r="A9407">
        <v>9406</v>
      </c>
    </row>
    <row r="9408" spans="1:1">
      <c r="A9408">
        <v>9407</v>
      </c>
    </row>
    <row r="9409" spans="1:1">
      <c r="A9409">
        <v>9408</v>
      </c>
    </row>
    <row r="9410" spans="1:1">
      <c r="A9410">
        <v>9409</v>
      </c>
    </row>
    <row r="9411" spans="1:1">
      <c r="A9411">
        <v>9410</v>
      </c>
    </row>
    <row r="9412" spans="1:1">
      <c r="A9412">
        <v>9411</v>
      </c>
    </row>
    <row r="9413" spans="1:1">
      <c r="A9413">
        <v>9412</v>
      </c>
    </row>
    <row r="9414" spans="1:1">
      <c r="A9414">
        <v>9413</v>
      </c>
    </row>
    <row r="9415" spans="1:1">
      <c r="A9415">
        <v>9414</v>
      </c>
    </row>
    <row r="9416" spans="1:1">
      <c r="A9416">
        <v>9415</v>
      </c>
    </row>
    <row r="9417" spans="1:1">
      <c r="A9417">
        <v>9416</v>
      </c>
    </row>
    <row r="9418" spans="1:1">
      <c r="A9418">
        <v>9417</v>
      </c>
    </row>
    <row r="9419" spans="1:1">
      <c r="A9419">
        <v>9418</v>
      </c>
    </row>
    <row r="9420" spans="1:1">
      <c r="A9420">
        <v>9419</v>
      </c>
    </row>
    <row r="9421" spans="1:1">
      <c r="A9421">
        <v>9420</v>
      </c>
    </row>
    <row r="9422" spans="1:1">
      <c r="A9422">
        <v>9421</v>
      </c>
    </row>
    <row r="9423" spans="1:1">
      <c r="A9423">
        <v>9422</v>
      </c>
    </row>
    <row r="9424" spans="1:1">
      <c r="A9424">
        <v>9423</v>
      </c>
    </row>
    <row r="9425" spans="1:1">
      <c r="A9425">
        <v>9424</v>
      </c>
    </row>
    <row r="9426" spans="1:1">
      <c r="A9426">
        <v>9425</v>
      </c>
    </row>
    <row r="9427" spans="1:1">
      <c r="A9427">
        <v>9426</v>
      </c>
    </row>
    <row r="9428" spans="1:1">
      <c r="A9428">
        <v>9427</v>
      </c>
    </row>
    <row r="9429" spans="1:1">
      <c r="A9429">
        <v>9428</v>
      </c>
    </row>
    <row r="9430" spans="1:1">
      <c r="A9430">
        <v>9429</v>
      </c>
    </row>
    <row r="9431" spans="1:1">
      <c r="A9431">
        <v>9430</v>
      </c>
    </row>
    <row r="9432" spans="1:1">
      <c r="A9432">
        <v>9431</v>
      </c>
    </row>
    <row r="9433" spans="1:1">
      <c r="A9433">
        <v>9432</v>
      </c>
    </row>
    <row r="9434" spans="1:1">
      <c r="A9434">
        <v>9433</v>
      </c>
    </row>
    <row r="9435" spans="1:1">
      <c r="A9435">
        <v>9434</v>
      </c>
    </row>
    <row r="9436" spans="1:1">
      <c r="A9436">
        <v>9435</v>
      </c>
    </row>
    <row r="9437" spans="1:1">
      <c r="A9437">
        <v>9436</v>
      </c>
    </row>
    <row r="9438" spans="1:1">
      <c r="A9438">
        <v>9437</v>
      </c>
    </row>
    <row r="9439" spans="1:1">
      <c r="A9439">
        <v>9438</v>
      </c>
    </row>
    <row r="9440" spans="1:1">
      <c r="A9440">
        <v>9439</v>
      </c>
    </row>
    <row r="9441" spans="1:1">
      <c r="A9441">
        <v>9440</v>
      </c>
    </row>
    <row r="9442" spans="1:1">
      <c r="A9442">
        <v>9441</v>
      </c>
    </row>
    <row r="9443" spans="1:1">
      <c r="A9443">
        <v>9442</v>
      </c>
    </row>
    <row r="9444" spans="1:1">
      <c r="A9444">
        <v>9443</v>
      </c>
    </row>
    <row r="9445" spans="1:1">
      <c r="A9445">
        <v>9444</v>
      </c>
    </row>
    <row r="9446" spans="1:1">
      <c r="A9446">
        <v>9445</v>
      </c>
    </row>
    <row r="9447" spans="1:1">
      <c r="A9447">
        <v>9446</v>
      </c>
    </row>
    <row r="9448" spans="1:1">
      <c r="A9448">
        <v>9447</v>
      </c>
    </row>
    <row r="9449" spans="1:1">
      <c r="A9449">
        <v>9448</v>
      </c>
    </row>
    <row r="9450" spans="1:1">
      <c r="A9450">
        <v>9449</v>
      </c>
    </row>
    <row r="9451" spans="1:1">
      <c r="A9451">
        <v>9450</v>
      </c>
    </row>
    <row r="9452" spans="1:1">
      <c r="A9452">
        <v>9451</v>
      </c>
    </row>
    <row r="9453" spans="1:1">
      <c r="A9453">
        <v>9452</v>
      </c>
    </row>
    <row r="9454" spans="1:1">
      <c r="A9454">
        <v>9453</v>
      </c>
    </row>
    <row r="9455" spans="1:1">
      <c r="A9455">
        <v>9454</v>
      </c>
    </row>
    <row r="9456" spans="1:1">
      <c r="A9456">
        <v>9455</v>
      </c>
    </row>
    <row r="9457" spans="1:1">
      <c r="A9457">
        <v>9456</v>
      </c>
    </row>
    <row r="9458" spans="1:1">
      <c r="A9458">
        <v>9457</v>
      </c>
    </row>
    <row r="9459" spans="1:1">
      <c r="A9459">
        <v>9458</v>
      </c>
    </row>
    <row r="9460" spans="1:1">
      <c r="A9460">
        <v>9459</v>
      </c>
    </row>
    <row r="9461" spans="1:1">
      <c r="A9461">
        <v>9460</v>
      </c>
    </row>
    <row r="9462" spans="1:1">
      <c r="A9462">
        <v>9461</v>
      </c>
    </row>
    <row r="9463" spans="1:1">
      <c r="A9463">
        <v>9462</v>
      </c>
    </row>
    <row r="9464" spans="1:1">
      <c r="A9464">
        <v>9463</v>
      </c>
    </row>
    <row r="9465" spans="1:1">
      <c r="A9465">
        <v>9464</v>
      </c>
    </row>
    <row r="9466" spans="1:1">
      <c r="A9466">
        <v>9465</v>
      </c>
    </row>
    <row r="9467" spans="1:1">
      <c r="A9467">
        <v>9466</v>
      </c>
    </row>
    <row r="9468" spans="1:1">
      <c r="A9468">
        <v>9467</v>
      </c>
    </row>
    <row r="9469" spans="1:1">
      <c r="A9469">
        <v>9468</v>
      </c>
    </row>
    <row r="9470" spans="1:1">
      <c r="A9470">
        <v>9469</v>
      </c>
    </row>
    <row r="9471" spans="1:1">
      <c r="A9471">
        <v>9470</v>
      </c>
    </row>
    <row r="9472" spans="1:1">
      <c r="A9472">
        <v>9471</v>
      </c>
    </row>
    <row r="9473" spans="1:1">
      <c r="A9473">
        <v>9472</v>
      </c>
    </row>
    <row r="9474" spans="1:1">
      <c r="A9474">
        <v>9473</v>
      </c>
    </row>
    <row r="9475" spans="1:1">
      <c r="A9475">
        <v>9474</v>
      </c>
    </row>
    <row r="9476" spans="1:1">
      <c r="A9476">
        <v>9475</v>
      </c>
    </row>
    <row r="9477" spans="1:1">
      <c r="A9477">
        <v>9476</v>
      </c>
    </row>
    <row r="9478" spans="1:1">
      <c r="A9478">
        <v>9477</v>
      </c>
    </row>
    <row r="9479" spans="1:1">
      <c r="A9479">
        <v>9478</v>
      </c>
    </row>
    <row r="9480" spans="1:1">
      <c r="A9480">
        <v>9479</v>
      </c>
    </row>
    <row r="9481" spans="1:1">
      <c r="A9481">
        <v>9480</v>
      </c>
    </row>
    <row r="9482" spans="1:1">
      <c r="A9482">
        <v>9481</v>
      </c>
    </row>
    <row r="9483" spans="1:1">
      <c r="A9483">
        <v>9482</v>
      </c>
    </row>
    <row r="9484" spans="1:1">
      <c r="A9484">
        <v>9483</v>
      </c>
    </row>
    <row r="9485" spans="1:1">
      <c r="A9485">
        <v>9484</v>
      </c>
    </row>
    <row r="9486" spans="1:1">
      <c r="A9486">
        <v>9485</v>
      </c>
    </row>
    <row r="9487" spans="1:1">
      <c r="A9487">
        <v>9486</v>
      </c>
    </row>
    <row r="9488" spans="1:1">
      <c r="A9488">
        <v>9487</v>
      </c>
    </row>
    <row r="9489" spans="1:1">
      <c r="A9489">
        <v>9488</v>
      </c>
    </row>
    <row r="9490" spans="1:1">
      <c r="A9490">
        <v>9489</v>
      </c>
    </row>
    <row r="9491" spans="1:1">
      <c r="A9491">
        <v>9490</v>
      </c>
    </row>
    <row r="9492" spans="1:1">
      <c r="A9492">
        <v>9491</v>
      </c>
    </row>
    <row r="9493" spans="1:1">
      <c r="A9493">
        <v>9492</v>
      </c>
    </row>
    <row r="9494" spans="1:1">
      <c r="A9494">
        <v>9493</v>
      </c>
    </row>
    <row r="9495" spans="1:1">
      <c r="A9495">
        <v>9494</v>
      </c>
    </row>
    <row r="9496" spans="1:1">
      <c r="A9496">
        <v>9495</v>
      </c>
    </row>
    <row r="9497" spans="1:1">
      <c r="A9497">
        <v>9496</v>
      </c>
    </row>
    <row r="9498" spans="1:1">
      <c r="A9498">
        <v>9497</v>
      </c>
    </row>
    <row r="9499" spans="1:1">
      <c r="A9499">
        <v>9498</v>
      </c>
    </row>
    <row r="9500" spans="1:1">
      <c r="A9500">
        <v>9499</v>
      </c>
    </row>
    <row r="9501" spans="1:1">
      <c r="A9501">
        <v>9500</v>
      </c>
    </row>
    <row r="9502" spans="1:1">
      <c r="A9502">
        <v>9501</v>
      </c>
    </row>
    <row r="9503" spans="1:1">
      <c r="A9503">
        <v>9502</v>
      </c>
    </row>
    <row r="9504" spans="1:1">
      <c r="A9504">
        <v>9503</v>
      </c>
    </row>
    <row r="9505" spans="1:1">
      <c r="A9505">
        <v>9504</v>
      </c>
    </row>
    <row r="9506" spans="1:1">
      <c r="A9506">
        <v>9505</v>
      </c>
    </row>
    <row r="9507" spans="1:1">
      <c r="A9507">
        <v>9506</v>
      </c>
    </row>
    <row r="9508" spans="1:1">
      <c r="A9508">
        <v>9507</v>
      </c>
    </row>
    <row r="9509" spans="1:1">
      <c r="A9509">
        <v>9508</v>
      </c>
    </row>
    <row r="9510" spans="1:1">
      <c r="A9510">
        <v>9509</v>
      </c>
    </row>
    <row r="9511" spans="1:1">
      <c r="A9511">
        <v>9510</v>
      </c>
    </row>
    <row r="9512" spans="1:1">
      <c r="A9512">
        <v>9511</v>
      </c>
    </row>
    <row r="9513" spans="1:1">
      <c r="A9513">
        <v>9512</v>
      </c>
    </row>
    <row r="9514" spans="1:1">
      <c r="A9514">
        <v>9513</v>
      </c>
    </row>
    <row r="9515" spans="1:1">
      <c r="A9515">
        <v>9514</v>
      </c>
    </row>
    <row r="9516" spans="1:1">
      <c r="A9516">
        <v>9515</v>
      </c>
    </row>
    <row r="9517" spans="1:1">
      <c r="A9517">
        <v>9516</v>
      </c>
    </row>
    <row r="9518" spans="1:1">
      <c r="A9518">
        <v>9517</v>
      </c>
    </row>
    <row r="9519" spans="1:1">
      <c r="A9519">
        <v>9518</v>
      </c>
    </row>
    <row r="9520" spans="1:1">
      <c r="A9520">
        <v>9519</v>
      </c>
    </row>
    <row r="9521" spans="1:1">
      <c r="A9521">
        <v>9520</v>
      </c>
    </row>
    <row r="9522" spans="1:1">
      <c r="A9522">
        <v>9521</v>
      </c>
    </row>
    <row r="9523" spans="1:1">
      <c r="A9523">
        <v>9522</v>
      </c>
    </row>
    <row r="9524" spans="1:1">
      <c r="A9524">
        <v>9523</v>
      </c>
    </row>
    <row r="9525" spans="1:1">
      <c r="A9525">
        <v>9524</v>
      </c>
    </row>
    <row r="9526" spans="1:1">
      <c r="A9526">
        <v>9525</v>
      </c>
    </row>
    <row r="9527" spans="1:1">
      <c r="A9527">
        <v>9526</v>
      </c>
    </row>
    <row r="9528" spans="1:1">
      <c r="A9528">
        <v>9527</v>
      </c>
    </row>
    <row r="9529" spans="1:1">
      <c r="A9529">
        <v>9528</v>
      </c>
    </row>
    <row r="9530" spans="1:1">
      <c r="A9530">
        <v>9529</v>
      </c>
    </row>
    <row r="9531" spans="1:1">
      <c r="A9531">
        <v>9530</v>
      </c>
    </row>
    <row r="9532" spans="1:1">
      <c r="A9532">
        <v>9531</v>
      </c>
    </row>
    <row r="9533" spans="1:1">
      <c r="A9533">
        <v>9532</v>
      </c>
    </row>
    <row r="9534" spans="1:1">
      <c r="A9534">
        <v>9533</v>
      </c>
    </row>
    <row r="9535" spans="1:1">
      <c r="A9535">
        <v>9534</v>
      </c>
    </row>
    <row r="9536" spans="1:1">
      <c r="A9536">
        <v>9535</v>
      </c>
    </row>
    <row r="9537" spans="1:1">
      <c r="A9537">
        <v>9536</v>
      </c>
    </row>
    <row r="9538" spans="1:1">
      <c r="A9538">
        <v>9537</v>
      </c>
    </row>
    <row r="9539" spans="1:1">
      <c r="A9539">
        <v>9538</v>
      </c>
    </row>
    <row r="9540" spans="1:1">
      <c r="A9540">
        <v>9539</v>
      </c>
    </row>
    <row r="9541" spans="1:1">
      <c r="A9541">
        <v>9540</v>
      </c>
    </row>
    <row r="9542" spans="1:1">
      <c r="A9542">
        <v>9541</v>
      </c>
    </row>
    <row r="9543" spans="1:1">
      <c r="A9543">
        <v>9542</v>
      </c>
    </row>
    <row r="9544" spans="1:1">
      <c r="A9544">
        <v>9543</v>
      </c>
    </row>
    <row r="9545" spans="1:1">
      <c r="A9545">
        <v>9544</v>
      </c>
    </row>
    <row r="9546" spans="1:1">
      <c r="A9546">
        <v>9545</v>
      </c>
    </row>
    <row r="9547" spans="1:1">
      <c r="A9547">
        <v>9546</v>
      </c>
    </row>
    <row r="9548" spans="1:1">
      <c r="A9548">
        <v>9547</v>
      </c>
    </row>
    <row r="9549" spans="1:1">
      <c r="A9549">
        <v>9548</v>
      </c>
    </row>
    <row r="9550" spans="1:1">
      <c r="A9550">
        <v>9549</v>
      </c>
    </row>
    <row r="9551" spans="1:1">
      <c r="A9551">
        <v>9550</v>
      </c>
    </row>
    <row r="9552" spans="1:1">
      <c r="A9552">
        <v>9551</v>
      </c>
    </row>
    <row r="9553" spans="1:1">
      <c r="A9553">
        <v>9552</v>
      </c>
    </row>
    <row r="9554" spans="1:1">
      <c r="A9554">
        <v>9553</v>
      </c>
    </row>
    <row r="9555" spans="1:1">
      <c r="A9555">
        <v>9554</v>
      </c>
    </row>
    <row r="9556" spans="1:1">
      <c r="A9556">
        <v>9555</v>
      </c>
    </row>
    <row r="9557" spans="1:1">
      <c r="A9557">
        <v>9556</v>
      </c>
    </row>
    <row r="9558" spans="1:1">
      <c r="A9558">
        <v>9557</v>
      </c>
    </row>
    <row r="9559" spans="1:1">
      <c r="A9559">
        <v>9558</v>
      </c>
    </row>
    <row r="9560" spans="1:1">
      <c r="A9560">
        <v>9559</v>
      </c>
    </row>
    <row r="9561" spans="1:1">
      <c r="A9561">
        <v>9560</v>
      </c>
    </row>
    <row r="9562" spans="1:1">
      <c r="A9562">
        <v>9561</v>
      </c>
    </row>
    <row r="9563" spans="1:1">
      <c r="A9563">
        <v>9562</v>
      </c>
    </row>
    <row r="9564" spans="1:1">
      <c r="A9564">
        <v>9563</v>
      </c>
    </row>
    <row r="9565" spans="1:1">
      <c r="A9565">
        <v>9564</v>
      </c>
    </row>
    <row r="9566" spans="1:1">
      <c r="A9566">
        <v>9565</v>
      </c>
    </row>
    <row r="9567" spans="1:1">
      <c r="A9567">
        <v>9566</v>
      </c>
    </row>
    <row r="9568" spans="1:1">
      <c r="A9568">
        <v>9567</v>
      </c>
    </row>
    <row r="9569" spans="1:1">
      <c r="A9569">
        <v>9568</v>
      </c>
    </row>
    <row r="9570" spans="1:1">
      <c r="A9570">
        <v>9569</v>
      </c>
    </row>
    <row r="9571" spans="1:1">
      <c r="A9571">
        <v>9570</v>
      </c>
    </row>
    <row r="9572" spans="1:1">
      <c r="A9572">
        <v>9571</v>
      </c>
    </row>
    <row r="9573" spans="1:1">
      <c r="A9573">
        <v>9572</v>
      </c>
    </row>
    <row r="9574" spans="1:1">
      <c r="A9574">
        <v>9573</v>
      </c>
    </row>
    <row r="9575" spans="1:1">
      <c r="A9575">
        <v>9574</v>
      </c>
    </row>
    <row r="9576" spans="1:1">
      <c r="A9576">
        <v>9575</v>
      </c>
    </row>
    <row r="9577" spans="1:1">
      <c r="A9577">
        <v>9576</v>
      </c>
    </row>
    <row r="9578" spans="1:1">
      <c r="A9578">
        <v>9577</v>
      </c>
    </row>
    <row r="9579" spans="1:1">
      <c r="A9579">
        <v>9578</v>
      </c>
    </row>
    <row r="9580" spans="1:1">
      <c r="A9580">
        <v>9579</v>
      </c>
    </row>
    <row r="9581" spans="1:1">
      <c r="A9581">
        <v>9580</v>
      </c>
    </row>
    <row r="9582" spans="1:1">
      <c r="A9582">
        <v>9581</v>
      </c>
    </row>
    <row r="9583" spans="1:1">
      <c r="A9583">
        <v>9582</v>
      </c>
    </row>
    <row r="9584" spans="1:1">
      <c r="A9584">
        <v>9583</v>
      </c>
    </row>
    <row r="9585" spans="1:1">
      <c r="A9585">
        <v>9584</v>
      </c>
    </row>
    <row r="9586" spans="1:1">
      <c r="A9586">
        <v>9585</v>
      </c>
    </row>
    <row r="9587" spans="1:1">
      <c r="A9587">
        <v>9586</v>
      </c>
    </row>
    <row r="9588" spans="1:1">
      <c r="A9588">
        <v>9587</v>
      </c>
    </row>
    <row r="9589" spans="1:1">
      <c r="A9589">
        <v>9588</v>
      </c>
    </row>
    <row r="9590" spans="1:1">
      <c r="A9590">
        <v>9589</v>
      </c>
    </row>
    <row r="9591" spans="1:1">
      <c r="A9591">
        <v>9590</v>
      </c>
    </row>
    <row r="9592" spans="1:1">
      <c r="A9592">
        <v>9591</v>
      </c>
    </row>
    <row r="9593" spans="1:1">
      <c r="A9593">
        <v>9592</v>
      </c>
    </row>
    <row r="9594" spans="1:1">
      <c r="A9594">
        <v>9593</v>
      </c>
    </row>
    <row r="9595" spans="1:1">
      <c r="A9595">
        <v>9594</v>
      </c>
    </row>
    <row r="9596" spans="1:1">
      <c r="A9596">
        <v>9595</v>
      </c>
    </row>
    <row r="9597" spans="1:1">
      <c r="A9597">
        <v>9596</v>
      </c>
    </row>
    <row r="9598" spans="1:1">
      <c r="A9598">
        <v>9597</v>
      </c>
    </row>
    <row r="9599" spans="1:1">
      <c r="A9599">
        <v>9598</v>
      </c>
    </row>
    <row r="9600" spans="1:1">
      <c r="A9600">
        <v>9599</v>
      </c>
    </row>
    <row r="9601" spans="1:1">
      <c r="A9601">
        <v>9600</v>
      </c>
    </row>
    <row r="9602" spans="1:1">
      <c r="A9602">
        <v>9601</v>
      </c>
    </row>
    <row r="9603" spans="1:1">
      <c r="A9603">
        <v>9602</v>
      </c>
    </row>
    <row r="9604" spans="1:1">
      <c r="A9604">
        <v>9603</v>
      </c>
    </row>
    <row r="9605" spans="1:1">
      <c r="A9605">
        <v>9604</v>
      </c>
    </row>
    <row r="9606" spans="1:1">
      <c r="A9606">
        <v>9605</v>
      </c>
    </row>
    <row r="9607" spans="1:1">
      <c r="A9607">
        <v>9606</v>
      </c>
    </row>
    <row r="9608" spans="1:1">
      <c r="A9608">
        <v>9607</v>
      </c>
    </row>
    <row r="9609" spans="1:1">
      <c r="A9609">
        <v>9608</v>
      </c>
    </row>
    <row r="9610" spans="1:1">
      <c r="A9610">
        <v>9609</v>
      </c>
    </row>
    <row r="9611" spans="1:1">
      <c r="A9611">
        <v>9610</v>
      </c>
    </row>
    <row r="9612" spans="1:1">
      <c r="A9612">
        <v>9611</v>
      </c>
    </row>
    <row r="9613" spans="1:1">
      <c r="A9613">
        <v>9612</v>
      </c>
    </row>
    <row r="9614" spans="1:1">
      <c r="A9614">
        <v>9613</v>
      </c>
    </row>
    <row r="9615" spans="1:1">
      <c r="A9615">
        <v>9614</v>
      </c>
    </row>
    <row r="9616" spans="1:1">
      <c r="A9616">
        <v>9615</v>
      </c>
    </row>
    <row r="9617" spans="1:1">
      <c r="A9617">
        <v>9616</v>
      </c>
    </row>
    <row r="9618" spans="1:1">
      <c r="A9618">
        <v>9617</v>
      </c>
    </row>
    <row r="9619" spans="1:1">
      <c r="A9619">
        <v>9618</v>
      </c>
    </row>
    <row r="9620" spans="1:1">
      <c r="A9620">
        <v>9619</v>
      </c>
    </row>
    <row r="9621" spans="1:1">
      <c r="A9621">
        <v>9620</v>
      </c>
    </row>
    <row r="9622" spans="1:1">
      <c r="A9622">
        <v>9621</v>
      </c>
    </row>
    <row r="9623" spans="1:1">
      <c r="A9623">
        <v>9622</v>
      </c>
    </row>
    <row r="9624" spans="1:1">
      <c r="A9624">
        <v>9623</v>
      </c>
    </row>
    <row r="9625" spans="1:1">
      <c r="A9625">
        <v>9624</v>
      </c>
    </row>
    <row r="9626" spans="1:1">
      <c r="A9626">
        <v>9625</v>
      </c>
    </row>
    <row r="9627" spans="1:1">
      <c r="A9627">
        <v>9626</v>
      </c>
    </row>
    <row r="9628" spans="1:1">
      <c r="A9628">
        <v>9627</v>
      </c>
    </row>
    <row r="9629" spans="1:1">
      <c r="A9629">
        <v>9628</v>
      </c>
    </row>
    <row r="9630" spans="1:1">
      <c r="A9630">
        <v>9629</v>
      </c>
    </row>
    <row r="9631" spans="1:1">
      <c r="A9631">
        <v>9630</v>
      </c>
    </row>
    <row r="9632" spans="1:1">
      <c r="A9632">
        <v>9631</v>
      </c>
    </row>
    <row r="9633" spans="1:1">
      <c r="A9633">
        <v>9632</v>
      </c>
    </row>
    <row r="9634" spans="1:1">
      <c r="A9634">
        <v>9633</v>
      </c>
    </row>
    <row r="9635" spans="1:1">
      <c r="A9635">
        <v>9634</v>
      </c>
    </row>
    <row r="9636" spans="1:1">
      <c r="A9636">
        <v>9635</v>
      </c>
    </row>
    <row r="9637" spans="1:1">
      <c r="A9637">
        <v>9636</v>
      </c>
    </row>
    <row r="9638" spans="1:1">
      <c r="A9638">
        <v>9637</v>
      </c>
    </row>
    <row r="9639" spans="1:1">
      <c r="A9639">
        <v>9638</v>
      </c>
    </row>
    <row r="9640" spans="1:1">
      <c r="A9640">
        <v>9639</v>
      </c>
    </row>
    <row r="9641" spans="1:1">
      <c r="A9641">
        <v>9640</v>
      </c>
    </row>
    <row r="9642" spans="1:1">
      <c r="A9642">
        <v>9641</v>
      </c>
    </row>
    <row r="9643" spans="1:1">
      <c r="A9643">
        <v>9642</v>
      </c>
    </row>
    <row r="9644" spans="1:1">
      <c r="A9644">
        <v>9643</v>
      </c>
    </row>
    <row r="9645" spans="1:1">
      <c r="A9645">
        <v>9644</v>
      </c>
    </row>
    <row r="9646" spans="1:1">
      <c r="A9646">
        <v>9645</v>
      </c>
    </row>
    <row r="9647" spans="1:1">
      <c r="A9647">
        <v>9646</v>
      </c>
    </row>
    <row r="9648" spans="1:1">
      <c r="A9648">
        <v>9647</v>
      </c>
    </row>
    <row r="9649" spans="1:1">
      <c r="A9649">
        <v>9648</v>
      </c>
    </row>
    <row r="9650" spans="1:1">
      <c r="A9650">
        <v>9649</v>
      </c>
    </row>
    <row r="9651" spans="1:1">
      <c r="A9651">
        <v>9650</v>
      </c>
    </row>
    <row r="9652" spans="1:1">
      <c r="A9652">
        <v>9651</v>
      </c>
    </row>
    <row r="9653" spans="1:1">
      <c r="A9653">
        <v>9652</v>
      </c>
    </row>
    <row r="9654" spans="1:1">
      <c r="A9654">
        <v>9653</v>
      </c>
    </row>
    <row r="9655" spans="1:1">
      <c r="A9655">
        <v>9654</v>
      </c>
    </row>
    <row r="9656" spans="1:1">
      <c r="A9656">
        <v>9655</v>
      </c>
    </row>
    <row r="9657" spans="1:1">
      <c r="A9657">
        <v>9656</v>
      </c>
    </row>
    <row r="9658" spans="1:1">
      <c r="A9658">
        <v>9657</v>
      </c>
    </row>
    <row r="9659" spans="1:1">
      <c r="A9659">
        <v>9658</v>
      </c>
    </row>
    <row r="9660" spans="1:1">
      <c r="A9660">
        <v>9659</v>
      </c>
    </row>
    <row r="9661" spans="1:1">
      <c r="A9661">
        <v>9660</v>
      </c>
    </row>
    <row r="9662" spans="1:1">
      <c r="A9662">
        <v>9661</v>
      </c>
    </row>
    <row r="9663" spans="1:1">
      <c r="A9663">
        <v>9662</v>
      </c>
    </row>
    <row r="9664" spans="1:1">
      <c r="A9664">
        <v>9663</v>
      </c>
    </row>
    <row r="9665" spans="1:1">
      <c r="A9665">
        <v>9664</v>
      </c>
    </row>
    <row r="9666" spans="1:1">
      <c r="A9666">
        <v>9665</v>
      </c>
    </row>
    <row r="9667" spans="1:1">
      <c r="A9667">
        <v>9666</v>
      </c>
    </row>
    <row r="9668" spans="1:1">
      <c r="A9668">
        <v>9667</v>
      </c>
    </row>
    <row r="9669" spans="1:1">
      <c r="A9669">
        <v>9668</v>
      </c>
    </row>
    <row r="9670" spans="1:1">
      <c r="A9670">
        <v>9669</v>
      </c>
    </row>
    <row r="9671" spans="1:1">
      <c r="A9671">
        <v>9670</v>
      </c>
    </row>
    <row r="9672" spans="1:1">
      <c r="A9672">
        <v>9671</v>
      </c>
    </row>
    <row r="9673" spans="1:1">
      <c r="A9673">
        <v>9672</v>
      </c>
    </row>
    <row r="9674" spans="1:1">
      <c r="A9674">
        <v>9673</v>
      </c>
    </row>
    <row r="9675" spans="1:1">
      <c r="A9675">
        <v>9674</v>
      </c>
    </row>
    <row r="9676" spans="1:1">
      <c r="A9676">
        <v>9675</v>
      </c>
    </row>
    <row r="9677" spans="1:1">
      <c r="A9677">
        <v>9676</v>
      </c>
    </row>
    <row r="9678" spans="1:1">
      <c r="A9678">
        <v>9677</v>
      </c>
    </row>
    <row r="9679" spans="1:1">
      <c r="A9679">
        <v>9678</v>
      </c>
    </row>
    <row r="9680" spans="1:1">
      <c r="A9680">
        <v>9679</v>
      </c>
    </row>
    <row r="9681" spans="1:1">
      <c r="A9681">
        <v>9680</v>
      </c>
    </row>
    <row r="9682" spans="1:1">
      <c r="A9682">
        <v>9681</v>
      </c>
    </row>
    <row r="9683" spans="1:1">
      <c r="A9683">
        <v>9682</v>
      </c>
    </row>
    <row r="9684" spans="1:1">
      <c r="A9684">
        <v>9683</v>
      </c>
    </row>
    <row r="9685" spans="1:1">
      <c r="A9685">
        <v>9684</v>
      </c>
    </row>
    <row r="9686" spans="1:1">
      <c r="A9686">
        <v>9685</v>
      </c>
    </row>
    <row r="9687" spans="1:1">
      <c r="A9687">
        <v>9686</v>
      </c>
    </row>
    <row r="9688" spans="1:1">
      <c r="A9688">
        <v>9687</v>
      </c>
    </row>
    <row r="9689" spans="1:1">
      <c r="A9689">
        <v>9688</v>
      </c>
    </row>
    <row r="9690" spans="1:1">
      <c r="A9690">
        <v>9689</v>
      </c>
    </row>
    <row r="9691" spans="1:1">
      <c r="A9691">
        <v>9690</v>
      </c>
    </row>
    <row r="9692" spans="1:1">
      <c r="A9692">
        <v>9691</v>
      </c>
    </row>
    <row r="9693" spans="1:1">
      <c r="A9693">
        <v>9692</v>
      </c>
    </row>
    <row r="9694" spans="1:1">
      <c r="A9694">
        <v>9693</v>
      </c>
    </row>
    <row r="9695" spans="1:1">
      <c r="A9695">
        <v>9694</v>
      </c>
    </row>
    <row r="9696" spans="1:1">
      <c r="A9696">
        <v>9695</v>
      </c>
    </row>
    <row r="9697" spans="1:1">
      <c r="A9697">
        <v>9696</v>
      </c>
    </row>
    <row r="9698" spans="1:1">
      <c r="A9698">
        <v>9697</v>
      </c>
    </row>
    <row r="9699" spans="1:1">
      <c r="A9699">
        <v>9698</v>
      </c>
    </row>
    <row r="9700" spans="1:1">
      <c r="A9700">
        <v>9699</v>
      </c>
    </row>
    <row r="9701" spans="1:1">
      <c r="A9701">
        <v>9700</v>
      </c>
    </row>
    <row r="9702" spans="1:1">
      <c r="A9702">
        <v>9701</v>
      </c>
    </row>
    <row r="9703" spans="1:1">
      <c r="A9703">
        <v>9702</v>
      </c>
    </row>
    <row r="9704" spans="1:1">
      <c r="A9704">
        <v>9703</v>
      </c>
    </row>
    <row r="9705" spans="1:1">
      <c r="A9705">
        <v>9704</v>
      </c>
    </row>
    <row r="9706" spans="1:1">
      <c r="A9706">
        <v>9705</v>
      </c>
    </row>
    <row r="9707" spans="1:1">
      <c r="A9707">
        <v>9706</v>
      </c>
    </row>
    <row r="9708" spans="1:1">
      <c r="A9708">
        <v>9707</v>
      </c>
    </row>
    <row r="9709" spans="1:1">
      <c r="A9709">
        <v>9708</v>
      </c>
    </row>
    <row r="9710" spans="1:1">
      <c r="A9710">
        <v>9709</v>
      </c>
    </row>
    <row r="9711" spans="1:1">
      <c r="A9711">
        <v>9710</v>
      </c>
    </row>
    <row r="9712" spans="1:1">
      <c r="A9712">
        <v>9711</v>
      </c>
    </row>
    <row r="9713" spans="1:1">
      <c r="A9713">
        <v>9712</v>
      </c>
    </row>
    <row r="9714" spans="1:1">
      <c r="A9714">
        <v>9713</v>
      </c>
    </row>
    <row r="9715" spans="1:1">
      <c r="A9715">
        <v>9714</v>
      </c>
    </row>
    <row r="9716" spans="1:1">
      <c r="A9716">
        <v>9715</v>
      </c>
    </row>
    <row r="9717" spans="1:1">
      <c r="A9717">
        <v>9716</v>
      </c>
    </row>
    <row r="9718" spans="1:1">
      <c r="A9718">
        <v>9717</v>
      </c>
    </row>
    <row r="9719" spans="1:1">
      <c r="A9719">
        <v>9718</v>
      </c>
    </row>
    <row r="9720" spans="1:1">
      <c r="A9720">
        <v>9719</v>
      </c>
    </row>
    <row r="9721" spans="1:1">
      <c r="A9721">
        <v>9720</v>
      </c>
    </row>
    <row r="9722" spans="1:1">
      <c r="A9722">
        <v>9721</v>
      </c>
    </row>
    <row r="9723" spans="1:1">
      <c r="A9723">
        <v>9722</v>
      </c>
    </row>
    <row r="9724" spans="1:1">
      <c r="A9724">
        <v>9723</v>
      </c>
    </row>
    <row r="9725" spans="1:1">
      <c r="A9725">
        <v>9724</v>
      </c>
    </row>
    <row r="9726" spans="1:1">
      <c r="A9726">
        <v>9725</v>
      </c>
    </row>
    <row r="9727" spans="1:1">
      <c r="A9727">
        <v>9726</v>
      </c>
    </row>
    <row r="9728" spans="1:1">
      <c r="A9728">
        <v>9727</v>
      </c>
    </row>
    <row r="9729" spans="1:1">
      <c r="A9729">
        <v>9728</v>
      </c>
    </row>
    <row r="9730" spans="1:1">
      <c r="A9730">
        <v>9729</v>
      </c>
    </row>
    <row r="9731" spans="1:1">
      <c r="A9731">
        <v>9730</v>
      </c>
    </row>
    <row r="9732" spans="1:1">
      <c r="A9732">
        <v>9731</v>
      </c>
    </row>
    <row r="9733" spans="1:1">
      <c r="A9733">
        <v>9732</v>
      </c>
    </row>
    <row r="9734" spans="1:1">
      <c r="A9734">
        <v>9733</v>
      </c>
    </row>
    <row r="9735" spans="1:1">
      <c r="A9735">
        <v>9734</v>
      </c>
    </row>
    <row r="9736" spans="1:1">
      <c r="A9736">
        <v>9735</v>
      </c>
    </row>
    <row r="9737" spans="1:1">
      <c r="A9737">
        <v>9736</v>
      </c>
    </row>
    <row r="9738" spans="1:1">
      <c r="A9738">
        <v>9737</v>
      </c>
    </row>
    <row r="9739" spans="1:1">
      <c r="A9739">
        <v>9738</v>
      </c>
    </row>
    <row r="9740" spans="1:1">
      <c r="A9740">
        <v>9739</v>
      </c>
    </row>
    <row r="9741" spans="1:1">
      <c r="A9741">
        <v>9740</v>
      </c>
    </row>
    <row r="9742" spans="1:1">
      <c r="A9742">
        <v>9741</v>
      </c>
    </row>
    <row r="9743" spans="1:1">
      <c r="A9743">
        <v>9742</v>
      </c>
    </row>
    <row r="9744" spans="1:1">
      <c r="A9744">
        <v>9743</v>
      </c>
    </row>
    <row r="9745" spans="1:1">
      <c r="A9745">
        <v>9744</v>
      </c>
    </row>
    <row r="9746" spans="1:1">
      <c r="A9746">
        <v>9745</v>
      </c>
    </row>
    <row r="9747" spans="1:1">
      <c r="A9747">
        <v>9746</v>
      </c>
    </row>
    <row r="9748" spans="1:1">
      <c r="A9748">
        <v>9747</v>
      </c>
    </row>
    <row r="9749" spans="1:1">
      <c r="A9749">
        <v>9748</v>
      </c>
    </row>
    <row r="9750" spans="1:1">
      <c r="A9750">
        <v>9749</v>
      </c>
    </row>
    <row r="9751" spans="1:1">
      <c r="A9751">
        <v>9750</v>
      </c>
    </row>
    <row r="9752" spans="1:1">
      <c r="A9752">
        <v>9751</v>
      </c>
    </row>
    <row r="9753" spans="1:1">
      <c r="A9753">
        <v>9752</v>
      </c>
    </row>
    <row r="9754" spans="1:1">
      <c r="A9754">
        <v>9753</v>
      </c>
    </row>
    <row r="9755" spans="1:1">
      <c r="A9755">
        <v>9754</v>
      </c>
    </row>
    <row r="9756" spans="1:1">
      <c r="A9756">
        <v>9755</v>
      </c>
    </row>
    <row r="9757" spans="1:1">
      <c r="A9757">
        <v>9756</v>
      </c>
    </row>
    <row r="9758" spans="1:1">
      <c r="A9758">
        <v>9757</v>
      </c>
    </row>
    <row r="9759" spans="1:1">
      <c r="A9759">
        <v>9758</v>
      </c>
    </row>
    <row r="9760" spans="1:1">
      <c r="A9760">
        <v>9759</v>
      </c>
    </row>
    <row r="9761" spans="1:1">
      <c r="A9761">
        <v>9760</v>
      </c>
    </row>
    <row r="9762" spans="1:1">
      <c r="A9762">
        <v>9761</v>
      </c>
    </row>
    <row r="9763" spans="1:1">
      <c r="A9763">
        <v>9762</v>
      </c>
    </row>
    <row r="9764" spans="1:1">
      <c r="A9764">
        <v>9763</v>
      </c>
    </row>
    <row r="9765" spans="1:1">
      <c r="A9765">
        <v>9764</v>
      </c>
    </row>
    <row r="9766" spans="1:1">
      <c r="A9766">
        <v>9765</v>
      </c>
    </row>
    <row r="9767" spans="1:1">
      <c r="A9767">
        <v>9766</v>
      </c>
    </row>
    <row r="9768" spans="1:1">
      <c r="A9768">
        <v>9767</v>
      </c>
    </row>
    <row r="9769" spans="1:1">
      <c r="A9769">
        <v>9768</v>
      </c>
    </row>
    <row r="9770" spans="1:1">
      <c r="A9770">
        <v>9769</v>
      </c>
    </row>
    <row r="9771" spans="1:1">
      <c r="A9771">
        <v>9770</v>
      </c>
    </row>
    <row r="9772" spans="1:1">
      <c r="A9772">
        <v>9771</v>
      </c>
    </row>
    <row r="9773" spans="1:1">
      <c r="A9773">
        <v>9772</v>
      </c>
    </row>
    <row r="9774" spans="1:1">
      <c r="A9774">
        <v>9773</v>
      </c>
    </row>
    <row r="9775" spans="1:1">
      <c r="A9775">
        <v>9774</v>
      </c>
    </row>
    <row r="9776" spans="1:1">
      <c r="A9776">
        <v>9775</v>
      </c>
    </row>
    <row r="9777" spans="1:1">
      <c r="A9777">
        <v>9776</v>
      </c>
    </row>
    <row r="9778" spans="1:1">
      <c r="A9778">
        <v>9777</v>
      </c>
    </row>
    <row r="9779" spans="1:1">
      <c r="A9779">
        <v>9778</v>
      </c>
    </row>
    <row r="9780" spans="1:1">
      <c r="A9780">
        <v>9779</v>
      </c>
    </row>
    <row r="9781" spans="1:1">
      <c r="A9781">
        <v>9780</v>
      </c>
    </row>
    <row r="9782" spans="1:1">
      <c r="A9782">
        <v>9781</v>
      </c>
    </row>
    <row r="9783" spans="1:1">
      <c r="A9783">
        <v>9782</v>
      </c>
    </row>
    <row r="9784" spans="1:1">
      <c r="A9784">
        <v>9783</v>
      </c>
    </row>
    <row r="9785" spans="1:1">
      <c r="A9785">
        <v>9784</v>
      </c>
    </row>
    <row r="9786" spans="1:1">
      <c r="A9786">
        <v>9785</v>
      </c>
    </row>
    <row r="9787" spans="1:1">
      <c r="A9787">
        <v>9786</v>
      </c>
    </row>
    <row r="9788" spans="1:1">
      <c r="A9788">
        <v>9787</v>
      </c>
    </row>
    <row r="9789" spans="1:1">
      <c r="A9789">
        <v>9788</v>
      </c>
    </row>
    <row r="9790" spans="1:1">
      <c r="A9790">
        <v>9789</v>
      </c>
    </row>
    <row r="9791" spans="1:1">
      <c r="A9791">
        <v>9790</v>
      </c>
    </row>
    <row r="9792" spans="1:1">
      <c r="A9792">
        <v>9791</v>
      </c>
    </row>
    <row r="9793" spans="1:1">
      <c r="A9793">
        <v>9792</v>
      </c>
    </row>
    <row r="9794" spans="1:1">
      <c r="A9794">
        <v>9793</v>
      </c>
    </row>
    <row r="9795" spans="1:1">
      <c r="A9795">
        <v>9794</v>
      </c>
    </row>
    <row r="9796" spans="1:1">
      <c r="A9796">
        <v>9795</v>
      </c>
    </row>
    <row r="9797" spans="1:1">
      <c r="A9797">
        <v>9796</v>
      </c>
    </row>
    <row r="9798" spans="1:1">
      <c r="A9798">
        <v>9797</v>
      </c>
    </row>
    <row r="9799" spans="1:1">
      <c r="A9799">
        <v>9798</v>
      </c>
    </row>
    <row r="9800" spans="1:1">
      <c r="A9800">
        <v>9799</v>
      </c>
    </row>
    <row r="9801" spans="1:1">
      <c r="A9801">
        <v>9800</v>
      </c>
    </row>
    <row r="9802" spans="1:1">
      <c r="A9802">
        <v>9801</v>
      </c>
    </row>
    <row r="9803" spans="1:1">
      <c r="A9803">
        <v>9802</v>
      </c>
    </row>
    <row r="9804" spans="1:1">
      <c r="A9804">
        <v>9803</v>
      </c>
    </row>
    <row r="9805" spans="1:1">
      <c r="A9805">
        <v>9804</v>
      </c>
    </row>
    <row r="9806" spans="1:1">
      <c r="A9806">
        <v>9805</v>
      </c>
    </row>
    <row r="9807" spans="1:1">
      <c r="A9807">
        <v>9806</v>
      </c>
    </row>
    <row r="9808" spans="1:1">
      <c r="A9808">
        <v>9807</v>
      </c>
    </row>
    <row r="9809" spans="1:1">
      <c r="A9809">
        <v>9808</v>
      </c>
    </row>
    <row r="9810" spans="1:1">
      <c r="A9810">
        <v>9809</v>
      </c>
    </row>
    <row r="9811" spans="1:1">
      <c r="A9811">
        <v>9810</v>
      </c>
    </row>
    <row r="9812" spans="1:1">
      <c r="A9812">
        <v>9811</v>
      </c>
    </row>
    <row r="9813" spans="1:1">
      <c r="A9813">
        <v>9812</v>
      </c>
    </row>
    <row r="9814" spans="1:1">
      <c r="A9814">
        <v>9813</v>
      </c>
    </row>
    <row r="9815" spans="1:1">
      <c r="A9815">
        <v>9814</v>
      </c>
    </row>
    <row r="9816" spans="1:1">
      <c r="A9816">
        <v>9815</v>
      </c>
    </row>
    <row r="9817" spans="1:1">
      <c r="A9817">
        <v>9816</v>
      </c>
    </row>
    <row r="9818" spans="1:1">
      <c r="A9818">
        <v>9817</v>
      </c>
    </row>
    <row r="9819" spans="1:1">
      <c r="A9819">
        <v>9818</v>
      </c>
    </row>
    <row r="9820" spans="1:1">
      <c r="A9820">
        <v>9819</v>
      </c>
    </row>
    <row r="9821" spans="1:1">
      <c r="A9821">
        <v>9820</v>
      </c>
    </row>
    <row r="9822" spans="1:1">
      <c r="A9822">
        <v>9821</v>
      </c>
    </row>
    <row r="9823" spans="1:1">
      <c r="A9823">
        <v>9822</v>
      </c>
    </row>
    <row r="9824" spans="1:1">
      <c r="A9824">
        <v>9823</v>
      </c>
    </row>
    <row r="9825" spans="1:1">
      <c r="A9825">
        <v>9824</v>
      </c>
    </row>
    <row r="9826" spans="1:1">
      <c r="A9826">
        <v>9825</v>
      </c>
    </row>
    <row r="9827" spans="1:1">
      <c r="A9827">
        <v>9826</v>
      </c>
    </row>
    <row r="9828" spans="1:1">
      <c r="A9828">
        <v>9827</v>
      </c>
    </row>
    <row r="9829" spans="1:1">
      <c r="A9829">
        <v>9828</v>
      </c>
    </row>
    <row r="9830" spans="1:1">
      <c r="A9830">
        <v>9829</v>
      </c>
    </row>
    <row r="9831" spans="1:1">
      <c r="A9831">
        <v>9830</v>
      </c>
    </row>
    <row r="9832" spans="1:1">
      <c r="A9832">
        <v>9831</v>
      </c>
    </row>
    <row r="9833" spans="1:1">
      <c r="A9833">
        <v>9832</v>
      </c>
    </row>
    <row r="9834" spans="1:1">
      <c r="A9834">
        <v>9833</v>
      </c>
    </row>
    <row r="9835" spans="1:1">
      <c r="A9835">
        <v>9834</v>
      </c>
    </row>
    <row r="9836" spans="1:1">
      <c r="A9836">
        <v>9835</v>
      </c>
    </row>
    <row r="9837" spans="1:1">
      <c r="A9837">
        <v>9836</v>
      </c>
    </row>
    <row r="9838" spans="1:1">
      <c r="A9838">
        <v>9837</v>
      </c>
    </row>
    <row r="9839" spans="1:1">
      <c r="A9839">
        <v>9838</v>
      </c>
    </row>
    <row r="9840" spans="1:1">
      <c r="A9840">
        <v>9839</v>
      </c>
    </row>
    <row r="9841" spans="1:1">
      <c r="A9841">
        <v>9840</v>
      </c>
    </row>
    <row r="9842" spans="1:1">
      <c r="A9842">
        <v>9841</v>
      </c>
    </row>
    <row r="9843" spans="1:1">
      <c r="A9843">
        <v>9842</v>
      </c>
    </row>
    <row r="9844" spans="1:1">
      <c r="A9844">
        <v>9843</v>
      </c>
    </row>
    <row r="9845" spans="1:1">
      <c r="A9845">
        <v>9844</v>
      </c>
    </row>
    <row r="9846" spans="1:1">
      <c r="A9846">
        <v>9845</v>
      </c>
    </row>
    <row r="9847" spans="1:1">
      <c r="A9847">
        <v>9846</v>
      </c>
    </row>
    <row r="9848" spans="1:1">
      <c r="A9848">
        <v>9847</v>
      </c>
    </row>
    <row r="9849" spans="1:1">
      <c r="A9849">
        <v>9848</v>
      </c>
    </row>
    <row r="9850" spans="1:1">
      <c r="A9850">
        <v>9849</v>
      </c>
    </row>
    <row r="9851" spans="1:1">
      <c r="A9851">
        <v>9850</v>
      </c>
    </row>
    <row r="9852" spans="1:1">
      <c r="A9852">
        <v>9851</v>
      </c>
    </row>
    <row r="9853" spans="1:1">
      <c r="A9853">
        <v>9852</v>
      </c>
    </row>
    <row r="9854" spans="1:1">
      <c r="A9854">
        <v>9853</v>
      </c>
    </row>
    <row r="9855" spans="1:1">
      <c r="A9855">
        <v>9854</v>
      </c>
    </row>
    <row r="9856" spans="1:1">
      <c r="A9856">
        <v>9855</v>
      </c>
    </row>
    <row r="9857" spans="1:1">
      <c r="A9857">
        <v>9856</v>
      </c>
    </row>
    <row r="9858" spans="1:1">
      <c r="A9858">
        <v>9857</v>
      </c>
    </row>
    <row r="9859" spans="1:1">
      <c r="A9859">
        <v>9858</v>
      </c>
    </row>
    <row r="9860" spans="1:1">
      <c r="A9860">
        <v>9859</v>
      </c>
    </row>
    <row r="9861" spans="1:1">
      <c r="A9861">
        <v>9860</v>
      </c>
    </row>
    <row r="9862" spans="1:1">
      <c r="A9862">
        <v>9861</v>
      </c>
    </row>
    <row r="9863" spans="1:1">
      <c r="A9863">
        <v>9862</v>
      </c>
    </row>
    <row r="9864" spans="1:1">
      <c r="A9864">
        <v>9863</v>
      </c>
    </row>
    <row r="9865" spans="1:1">
      <c r="A9865">
        <v>9864</v>
      </c>
    </row>
    <row r="9866" spans="1:1">
      <c r="A9866">
        <v>9865</v>
      </c>
    </row>
    <row r="9867" spans="1:1">
      <c r="A9867">
        <v>9866</v>
      </c>
    </row>
    <row r="9868" spans="1:1">
      <c r="A9868">
        <v>9867</v>
      </c>
    </row>
    <row r="9869" spans="1:1">
      <c r="A9869">
        <v>9868</v>
      </c>
    </row>
    <row r="9870" spans="1:1">
      <c r="A9870">
        <v>9869</v>
      </c>
    </row>
    <row r="9871" spans="1:1">
      <c r="A9871">
        <v>9870</v>
      </c>
    </row>
    <row r="9872" spans="1:1">
      <c r="A9872">
        <v>9871</v>
      </c>
    </row>
    <row r="9873" spans="1:1">
      <c r="A9873">
        <v>9872</v>
      </c>
    </row>
    <row r="9874" spans="1:1">
      <c r="A9874">
        <v>9873</v>
      </c>
    </row>
    <row r="9875" spans="1:1">
      <c r="A9875">
        <v>9874</v>
      </c>
    </row>
    <row r="9876" spans="1:1">
      <c r="A9876">
        <v>9875</v>
      </c>
    </row>
    <row r="9877" spans="1:1">
      <c r="A9877">
        <v>9876</v>
      </c>
    </row>
    <row r="9878" spans="1:1">
      <c r="A9878">
        <v>9877</v>
      </c>
    </row>
    <row r="9879" spans="1:1">
      <c r="A9879">
        <v>9878</v>
      </c>
    </row>
    <row r="9880" spans="1:1">
      <c r="A9880">
        <v>9879</v>
      </c>
    </row>
    <row r="9881" spans="1:1">
      <c r="A9881">
        <v>9880</v>
      </c>
    </row>
    <row r="9882" spans="1:1">
      <c r="A9882">
        <v>9881</v>
      </c>
    </row>
    <row r="9883" spans="1:1">
      <c r="A9883">
        <v>9882</v>
      </c>
    </row>
    <row r="9884" spans="1:1">
      <c r="A9884">
        <v>9883</v>
      </c>
    </row>
    <row r="9885" spans="1:1">
      <c r="A9885">
        <v>9884</v>
      </c>
    </row>
    <row r="9886" spans="1:1">
      <c r="A9886">
        <v>9885</v>
      </c>
    </row>
    <row r="9887" spans="1:1">
      <c r="A9887">
        <v>9886</v>
      </c>
    </row>
    <row r="9888" spans="1:1">
      <c r="A9888">
        <v>9887</v>
      </c>
    </row>
    <row r="9889" spans="1:1">
      <c r="A9889">
        <v>9888</v>
      </c>
    </row>
    <row r="9890" spans="1:1">
      <c r="A9890">
        <v>9889</v>
      </c>
    </row>
    <row r="9891" spans="1:1">
      <c r="A9891">
        <v>9890</v>
      </c>
    </row>
    <row r="9892" spans="1:1">
      <c r="A9892">
        <v>9891</v>
      </c>
    </row>
    <row r="9893" spans="1:1">
      <c r="A9893">
        <v>9892</v>
      </c>
    </row>
    <row r="9894" spans="1:1">
      <c r="A9894">
        <v>9893</v>
      </c>
    </row>
    <row r="9895" spans="1:1">
      <c r="A9895">
        <v>9894</v>
      </c>
    </row>
    <row r="9896" spans="1:1">
      <c r="A9896">
        <v>9895</v>
      </c>
    </row>
    <row r="9897" spans="1:1">
      <c r="A9897">
        <v>9896</v>
      </c>
    </row>
    <row r="9898" spans="1:1">
      <c r="A9898">
        <v>9897</v>
      </c>
    </row>
    <row r="9899" spans="1:1">
      <c r="A9899">
        <v>9898</v>
      </c>
    </row>
    <row r="9900" spans="1:1">
      <c r="A9900">
        <v>9899</v>
      </c>
    </row>
    <row r="9901" spans="1:1">
      <c r="A9901">
        <v>9900</v>
      </c>
    </row>
    <row r="9902" spans="1:1">
      <c r="A9902">
        <v>9901</v>
      </c>
    </row>
    <row r="9903" spans="1:1">
      <c r="A9903">
        <v>9902</v>
      </c>
    </row>
    <row r="9904" spans="1:1">
      <c r="A9904">
        <v>9903</v>
      </c>
    </row>
    <row r="9905" spans="1:1">
      <c r="A9905">
        <v>9904</v>
      </c>
    </row>
    <row r="9906" spans="1:1">
      <c r="A9906">
        <v>9905</v>
      </c>
    </row>
    <row r="9907" spans="1:1">
      <c r="A9907">
        <v>9906</v>
      </c>
    </row>
    <row r="9908" spans="1:1">
      <c r="A9908">
        <v>9907</v>
      </c>
    </row>
    <row r="9909" spans="1:1">
      <c r="A9909">
        <v>9908</v>
      </c>
    </row>
    <row r="9910" spans="1:1">
      <c r="A9910">
        <v>9909</v>
      </c>
    </row>
    <row r="9911" spans="1:1">
      <c r="A9911">
        <v>9910</v>
      </c>
    </row>
    <row r="9912" spans="1:1">
      <c r="A9912">
        <v>9911</v>
      </c>
    </row>
    <row r="9913" spans="1:1">
      <c r="A9913">
        <v>9912</v>
      </c>
    </row>
    <row r="9914" spans="1:1">
      <c r="A9914">
        <v>9913</v>
      </c>
    </row>
    <row r="9915" spans="1:1">
      <c r="A9915">
        <v>9914</v>
      </c>
    </row>
    <row r="9916" spans="1:1">
      <c r="A9916">
        <v>9915</v>
      </c>
    </row>
    <row r="9917" spans="1:1">
      <c r="A9917">
        <v>9916</v>
      </c>
    </row>
    <row r="9918" spans="1:1">
      <c r="A9918">
        <v>9917</v>
      </c>
    </row>
    <row r="9919" spans="1:1">
      <c r="A9919">
        <v>9918</v>
      </c>
    </row>
    <row r="9920" spans="1:1">
      <c r="A9920">
        <v>9919</v>
      </c>
    </row>
    <row r="9921" spans="1:1">
      <c r="A9921">
        <v>9920</v>
      </c>
    </row>
    <row r="9922" spans="1:1">
      <c r="A9922">
        <v>9921</v>
      </c>
    </row>
    <row r="9923" spans="1:1">
      <c r="A9923">
        <v>9922</v>
      </c>
    </row>
    <row r="9924" spans="1:1">
      <c r="A9924">
        <v>9923</v>
      </c>
    </row>
    <row r="9925" spans="1:1">
      <c r="A9925">
        <v>9924</v>
      </c>
    </row>
    <row r="9926" spans="1:1">
      <c r="A9926">
        <v>9925</v>
      </c>
    </row>
    <row r="9927" spans="1:1">
      <c r="A9927">
        <v>9926</v>
      </c>
    </row>
    <row r="9928" spans="1:1">
      <c r="A9928">
        <v>9927</v>
      </c>
    </row>
    <row r="9929" spans="1:1">
      <c r="A9929">
        <v>9928</v>
      </c>
    </row>
    <row r="9930" spans="1:1">
      <c r="A9930">
        <v>9929</v>
      </c>
    </row>
    <row r="9931" spans="1:1">
      <c r="A9931">
        <v>9930</v>
      </c>
    </row>
    <row r="9932" spans="1:1">
      <c r="A9932">
        <v>9931</v>
      </c>
    </row>
    <row r="9933" spans="1:1">
      <c r="A9933">
        <v>9932</v>
      </c>
    </row>
    <row r="9934" spans="1:1">
      <c r="A9934">
        <v>9933</v>
      </c>
    </row>
    <row r="9935" spans="1:1">
      <c r="A9935">
        <v>9934</v>
      </c>
    </row>
    <row r="9936" spans="1:1">
      <c r="A9936">
        <v>9935</v>
      </c>
    </row>
    <row r="9937" spans="1:1">
      <c r="A9937">
        <v>9936</v>
      </c>
    </row>
    <row r="9938" spans="1:1">
      <c r="A9938">
        <v>9937</v>
      </c>
    </row>
    <row r="9939" spans="1:1">
      <c r="A9939">
        <v>9938</v>
      </c>
    </row>
    <row r="9940" spans="1:1">
      <c r="A9940">
        <v>9939</v>
      </c>
    </row>
    <row r="9941" spans="1:1">
      <c r="A9941">
        <v>9940</v>
      </c>
    </row>
    <row r="9942" spans="1:1">
      <c r="A9942">
        <v>9941</v>
      </c>
    </row>
    <row r="9943" spans="1:1">
      <c r="A9943">
        <v>9942</v>
      </c>
    </row>
    <row r="9944" spans="1:1">
      <c r="A9944">
        <v>9943</v>
      </c>
    </row>
    <row r="9945" spans="1:1">
      <c r="A9945">
        <v>9944</v>
      </c>
    </row>
    <row r="9946" spans="1:1">
      <c r="A9946">
        <v>9945</v>
      </c>
    </row>
    <row r="9947" spans="1:1">
      <c r="A9947">
        <v>9946</v>
      </c>
    </row>
    <row r="9948" spans="1:1">
      <c r="A9948">
        <v>9947</v>
      </c>
    </row>
    <row r="9949" spans="1:1">
      <c r="A9949">
        <v>9948</v>
      </c>
    </row>
    <row r="9950" spans="1:1">
      <c r="A9950">
        <v>9949</v>
      </c>
    </row>
    <row r="9951" spans="1:1">
      <c r="A9951">
        <v>9950</v>
      </c>
    </row>
    <row r="9952" spans="1:1">
      <c r="A9952">
        <v>9951</v>
      </c>
    </row>
    <row r="9953" spans="1:1">
      <c r="A9953">
        <v>9952</v>
      </c>
    </row>
    <row r="9954" spans="1:1">
      <c r="A9954">
        <v>9953</v>
      </c>
    </row>
    <row r="9955" spans="1:1">
      <c r="A9955">
        <v>9954</v>
      </c>
    </row>
    <row r="9956" spans="1:1">
      <c r="A9956">
        <v>9955</v>
      </c>
    </row>
    <row r="9957" spans="1:1">
      <c r="A9957">
        <v>9956</v>
      </c>
    </row>
    <row r="9958" spans="1:1">
      <c r="A9958">
        <v>9957</v>
      </c>
    </row>
    <row r="9959" spans="1:1">
      <c r="A9959">
        <v>9958</v>
      </c>
    </row>
    <row r="9960" spans="1:1">
      <c r="A9960">
        <v>9959</v>
      </c>
    </row>
    <row r="9961" spans="1:1">
      <c r="A9961">
        <v>9960</v>
      </c>
    </row>
    <row r="9962" spans="1:1">
      <c r="A9962">
        <v>9961</v>
      </c>
    </row>
    <row r="9963" spans="1:1">
      <c r="A9963">
        <v>9962</v>
      </c>
    </row>
    <row r="9964" spans="1:1">
      <c r="A9964">
        <v>9963</v>
      </c>
    </row>
    <row r="9965" spans="1:1">
      <c r="A9965">
        <v>9964</v>
      </c>
    </row>
    <row r="9966" spans="1:1">
      <c r="A9966">
        <v>9965</v>
      </c>
    </row>
    <row r="9967" spans="1:1">
      <c r="A9967">
        <v>9966</v>
      </c>
    </row>
    <row r="9968" spans="1:1">
      <c r="A9968">
        <v>9967</v>
      </c>
    </row>
    <row r="9969" spans="1:1">
      <c r="A9969">
        <v>9968</v>
      </c>
    </row>
    <row r="9970" spans="1:1">
      <c r="A9970">
        <v>9969</v>
      </c>
    </row>
    <row r="9971" spans="1:1">
      <c r="A9971">
        <v>9970</v>
      </c>
    </row>
    <row r="9972" spans="1:1">
      <c r="A9972">
        <v>9971</v>
      </c>
    </row>
    <row r="9973" spans="1:1">
      <c r="A9973">
        <v>9972</v>
      </c>
    </row>
    <row r="9974" spans="1:1">
      <c r="A9974">
        <v>9973</v>
      </c>
    </row>
    <row r="9975" spans="1:1">
      <c r="A9975">
        <v>9974</v>
      </c>
    </row>
    <row r="9976" spans="1:1">
      <c r="A9976">
        <v>9975</v>
      </c>
    </row>
    <row r="9977" spans="1:1">
      <c r="A9977">
        <v>9976</v>
      </c>
    </row>
    <row r="9978" spans="1:1">
      <c r="A9978">
        <v>9977</v>
      </c>
    </row>
    <row r="9979" spans="1:1">
      <c r="A9979">
        <v>9978</v>
      </c>
    </row>
    <row r="9980" spans="1:1">
      <c r="A9980">
        <v>9979</v>
      </c>
    </row>
    <row r="9981" spans="1:1">
      <c r="A9981">
        <v>9980</v>
      </c>
    </row>
    <row r="9982" spans="1:1">
      <c r="A9982">
        <v>9981</v>
      </c>
    </row>
    <row r="9983" spans="1:1">
      <c r="A9983">
        <v>9982</v>
      </c>
    </row>
    <row r="9984" spans="1:1">
      <c r="A9984">
        <v>9983</v>
      </c>
    </row>
    <row r="9985" spans="1:1">
      <c r="A9985">
        <v>9984</v>
      </c>
    </row>
    <row r="9986" spans="1:1">
      <c r="A9986">
        <v>9985</v>
      </c>
    </row>
    <row r="9987" spans="1:1">
      <c r="A9987">
        <v>9986</v>
      </c>
    </row>
    <row r="9988" spans="1:1">
      <c r="A9988">
        <v>9987</v>
      </c>
    </row>
    <row r="9989" spans="1:1">
      <c r="A9989">
        <v>9988</v>
      </c>
    </row>
    <row r="9990" spans="1:1">
      <c r="A9990">
        <v>9989</v>
      </c>
    </row>
    <row r="9991" spans="1:1">
      <c r="A9991">
        <v>9990</v>
      </c>
    </row>
    <row r="9992" spans="1:1">
      <c r="A9992">
        <v>9991</v>
      </c>
    </row>
    <row r="9993" spans="1:1">
      <c r="A9993">
        <v>9992</v>
      </c>
    </row>
    <row r="9994" spans="1:1">
      <c r="A9994">
        <v>9993</v>
      </c>
    </row>
    <row r="9995" spans="1:1">
      <c r="A9995">
        <v>9994</v>
      </c>
    </row>
    <row r="9996" spans="1:1">
      <c r="A9996">
        <v>9995</v>
      </c>
    </row>
    <row r="9997" spans="1:1">
      <c r="A9997">
        <v>9996</v>
      </c>
    </row>
    <row r="9998" spans="1:1">
      <c r="A9998">
        <v>9997</v>
      </c>
    </row>
    <row r="9999" spans="1:1">
      <c r="A9999">
        <v>9998</v>
      </c>
    </row>
    <row r="10000" spans="1:1">
      <c r="A10000">
        <v>9999</v>
      </c>
    </row>
    <row r="10001" spans="1:1">
      <c r="A10001">
        <v>10000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76782-017E-45F1-943C-151ABA6B204B}">
  <sheetPr codeName="Feuil7"/>
  <dimension ref="A1:Z369"/>
  <sheetViews>
    <sheetView showGridLines="0" zoomScale="120" zoomScaleNormal="120" workbookViewId="0">
      <pane xSplit="2" ySplit="2" topLeftCell="C3" activePane="bottomRight" state="frozen"/>
      <selection activeCell="AC966" sqref="AC966"/>
      <selection pane="topRight" activeCell="AC966" sqref="AC966"/>
      <selection pane="bottomLeft" activeCell="AC966" sqref="AC966"/>
      <selection pane="bottomRight" activeCell="J13" sqref="J13"/>
    </sheetView>
  </sheetViews>
  <sheetFormatPr baseColWidth="10" defaultColWidth="10" defaultRowHeight="16"/>
  <cols>
    <col min="1" max="1" width="19" style="31" customWidth="1"/>
    <col min="2" max="2" width="29" style="83" customWidth="1"/>
    <col min="3" max="3" width="11" style="83" customWidth="1"/>
    <col min="4" max="4" width="28" style="83" customWidth="1"/>
    <col min="5" max="5" width="10.83203125" style="31" customWidth="1"/>
    <col min="6" max="7" width="9" style="31" customWidth="1"/>
    <col min="8" max="8" width="8" style="20" customWidth="1"/>
    <col min="9" max="9" width="11" style="20" customWidth="1"/>
    <col min="10" max="11" width="11" style="31" customWidth="1"/>
    <col min="12" max="12" width="14" style="31" customWidth="1"/>
    <col min="13" max="13" width="15" style="6" customWidth="1"/>
    <col min="14" max="14" width="12" style="6" customWidth="1"/>
    <col min="15" max="18" width="0" style="31" hidden="1" customWidth="1"/>
    <col min="19" max="19" width="0" style="6" hidden="1" customWidth="1"/>
    <col min="20" max="20" width="0" style="31" hidden="1" customWidth="1"/>
    <col min="21" max="21" width="10.83203125" style="6" customWidth="1"/>
    <col min="22" max="22" width="15" style="6" customWidth="1"/>
    <col min="23" max="23" width="131" style="6" bestFit="1" customWidth="1"/>
    <col min="24" max="24" width="9" style="6" customWidth="1"/>
    <col min="25" max="25" width="8" style="6" customWidth="1"/>
    <col min="26" max="26" width="9" style="6" customWidth="1"/>
    <col min="27" max="16384" width="10" style="6"/>
  </cols>
  <sheetData>
    <row r="1" spans="1:26" ht="27" customHeight="1">
      <c r="P1" s="298" t="s">
        <v>3159</v>
      </c>
      <c r="Q1" s="298"/>
      <c r="R1" s="298"/>
    </row>
    <row r="2" spans="1:26" s="2" customFormat="1" ht="87" customHeight="1">
      <c r="A2" s="20" t="s">
        <v>43</v>
      </c>
      <c r="B2" s="39" t="s">
        <v>3160</v>
      </c>
      <c r="C2" s="39" t="s">
        <v>3161</v>
      </c>
      <c r="D2" s="39" t="s">
        <v>3162</v>
      </c>
      <c r="E2" s="39" t="s">
        <v>3163</v>
      </c>
      <c r="F2" s="39" t="s">
        <v>3164</v>
      </c>
      <c r="G2" s="39" t="s">
        <v>3165</v>
      </c>
      <c r="H2" s="39" t="s">
        <v>3166</v>
      </c>
      <c r="I2" s="39" t="s">
        <v>3167</v>
      </c>
      <c r="J2" s="39" t="s">
        <v>3168</v>
      </c>
      <c r="K2" s="39" t="s">
        <v>5084</v>
      </c>
      <c r="L2" s="39" t="s">
        <v>5116</v>
      </c>
      <c r="M2" s="39" t="s">
        <v>3169</v>
      </c>
      <c r="N2" s="39" t="s">
        <v>3170</v>
      </c>
      <c r="O2" s="39" t="s">
        <v>3171</v>
      </c>
      <c r="P2" s="39" t="s">
        <v>3172</v>
      </c>
      <c r="Q2" s="39" t="s">
        <v>3173</v>
      </c>
      <c r="R2" s="39" t="s">
        <v>3174</v>
      </c>
      <c r="S2" s="39" t="s">
        <v>3175</v>
      </c>
      <c r="T2" s="39" t="s">
        <v>3176</v>
      </c>
      <c r="U2" s="39" t="s">
        <v>3177</v>
      </c>
      <c r="V2" s="39" t="s">
        <v>3178</v>
      </c>
      <c r="W2" s="74" t="s">
        <v>41</v>
      </c>
      <c r="X2" s="13" t="s">
        <v>3179</v>
      </c>
      <c r="Y2" s="13" t="s">
        <v>3180</v>
      </c>
      <c r="Z2" s="13" t="s">
        <v>44</v>
      </c>
    </row>
    <row r="3" spans="1:26" ht="17">
      <c r="A3" s="121" t="s">
        <v>3181</v>
      </c>
      <c r="B3" s="155"/>
      <c r="E3" s="150"/>
      <c r="F3" s="33"/>
      <c r="G3" s="33"/>
      <c r="H3" s="31"/>
      <c r="I3" s="31" t="str">
        <f>IF(2023-Tableau17[[#This Row],[Entrée dans la société]]&gt;100,"",2023-Tableau17[[#This Row],[Entrée dans la société]])</f>
        <v/>
      </c>
      <c r="J3" s="83" t="str">
        <f>IF(2023-Tableau17[[#This Row],[Début de mandat]]&gt;100,"",2024-Tableau17[[#This Row],[Début de mandat]])</f>
        <v/>
      </c>
      <c r="K3" s="83"/>
      <c r="L3" s="39"/>
      <c r="M3" s="31"/>
      <c r="N3" s="19"/>
      <c r="O3" s="6"/>
      <c r="P3" s="90"/>
      <c r="Q3" s="90"/>
      <c r="R3" s="90"/>
      <c r="S3" s="90"/>
      <c r="T3" s="90"/>
      <c r="U3" s="27"/>
      <c r="V3" s="15"/>
      <c r="X3" s="6">
        <f>'Réf cellules RB'!A249</f>
        <v>248</v>
      </c>
      <c r="Y3" s="6">
        <f>_xlfn.XLOOKUP(Tableau17[[#This Row],[Isin]],Tableau1[Isin],Tableau1[Sum intérêt])</f>
        <v>2</v>
      </c>
      <c r="Z3" s="6">
        <f>_xlfn.XLOOKUP(Tableau17[[#This Row],[Isin]],Tableau1[Isin],Tableau1[Liste des sociétés])</f>
        <v>0</v>
      </c>
    </row>
    <row r="4" spans="1:26" ht="17">
      <c r="A4" s="31" t="s">
        <v>2869</v>
      </c>
      <c r="B4" s="39" t="s">
        <v>2867</v>
      </c>
      <c r="C4" s="83" t="s">
        <v>3184</v>
      </c>
      <c r="D4" s="83" t="s">
        <v>3223</v>
      </c>
      <c r="E4" s="83">
        <v>1956</v>
      </c>
      <c r="G4" s="31">
        <v>1997</v>
      </c>
      <c r="H4" s="31">
        <v>2025</v>
      </c>
      <c r="I4" s="31" t="str">
        <f>IF(2023-Tableau17[[#This Row],[Entrée dans la société]]&gt;100,"",2023-Tableau17[[#This Row],[Entrée dans la société]])</f>
        <v/>
      </c>
      <c r="J4" s="83">
        <f>IF(2023-Tableau17[[#This Row],[Début de mandat]]&gt;100,"",2024-Tableau17[[#This Row],[Début de mandat]])</f>
        <v>27</v>
      </c>
      <c r="K4" s="83"/>
      <c r="L4" s="39"/>
      <c r="M4" s="31"/>
      <c r="N4" s="19">
        <v>5098013</v>
      </c>
      <c r="O4" s="6"/>
      <c r="S4" s="90"/>
      <c r="T4" s="90"/>
      <c r="U4" s="27">
        <v>91</v>
      </c>
      <c r="V4" s="15">
        <f>U4*N4</f>
        <v>463919183</v>
      </c>
      <c r="X4" s="6">
        <f>'Réf cellules RB'!A65</f>
        <v>64</v>
      </c>
      <c r="Y4" s="6">
        <f>_xlfn.XLOOKUP(Tableau17[[#This Row],[Isin]],Tableau1[Isin],Tableau1[Sum intérêt])</f>
        <v>3</v>
      </c>
      <c r="Z4" s="6" t="str">
        <f>_xlfn.XLOOKUP(Tableau17[[#This Row],[Isin]],Tableau1[Isin],Tableau1[Liste des sociétés])</f>
        <v>Alten</v>
      </c>
    </row>
    <row r="5" spans="1:26" ht="17">
      <c r="A5" s="31" t="s">
        <v>2869</v>
      </c>
      <c r="B5" s="39"/>
      <c r="E5" s="83"/>
      <c r="H5" s="31"/>
      <c r="I5" s="31" t="str">
        <f>IF(2023-Tableau17[[#This Row],[Entrée dans la société]]&gt;100,"",2023-Tableau17[[#This Row],[Entrée dans la société]])</f>
        <v/>
      </c>
      <c r="J5" s="83" t="str">
        <f>IF(2023-Tableau17[[#This Row],[Début de mandat]]&gt;100,"",2024-Tableau17[[#This Row],[Début de mandat]])</f>
        <v/>
      </c>
      <c r="K5" s="83"/>
      <c r="L5" s="39"/>
      <c r="M5" s="31"/>
      <c r="N5" s="19"/>
      <c r="O5" s="17"/>
      <c r="S5" s="90"/>
      <c r="T5" s="90"/>
      <c r="U5" s="27"/>
      <c r="V5" s="15"/>
      <c r="X5" s="6">
        <f>'Réf cellules RB'!A67</f>
        <v>66</v>
      </c>
      <c r="Y5" s="6">
        <f>_xlfn.XLOOKUP(Tableau17[[#This Row],[Isin]],Tableau1[Isin],Tableau1[Sum intérêt])</f>
        <v>3</v>
      </c>
      <c r="Z5" s="6" t="str">
        <f>_xlfn.XLOOKUP(Tableau17[[#This Row],[Isin]],Tableau1[Isin],Tableau1[Liste des sociétés])</f>
        <v>Alten</v>
      </c>
    </row>
    <row r="6" spans="1:26" ht="17">
      <c r="A6" s="31" t="s">
        <v>768</v>
      </c>
      <c r="B6" s="39" t="s">
        <v>763</v>
      </c>
      <c r="C6" s="83" t="s">
        <v>3184</v>
      </c>
      <c r="D6" s="83" t="s">
        <v>3183</v>
      </c>
      <c r="E6" s="83">
        <v>1965</v>
      </c>
      <c r="F6" s="31">
        <v>2000</v>
      </c>
      <c r="G6" s="31">
        <v>2011</v>
      </c>
      <c r="H6" s="94"/>
      <c r="I6" s="31">
        <f>IF(2023-Tableau17[[#This Row],[Entrée dans la société]]&gt;100,"",2023-Tableau17[[#This Row],[Entrée dans la société]])</f>
        <v>23</v>
      </c>
      <c r="J6" s="83">
        <f>IF(2023-Tableau17[[#This Row],[Début de mandat]]&gt;100,"",2024-Tableau17[[#This Row],[Début de mandat]])</f>
        <v>13</v>
      </c>
      <c r="K6" s="83"/>
      <c r="L6" s="19">
        <v>88333</v>
      </c>
      <c r="M6" s="19">
        <v>96294</v>
      </c>
      <c r="N6" s="19">
        <v>96294</v>
      </c>
      <c r="O6" s="103">
        <v>88429</v>
      </c>
      <c r="S6" s="31"/>
      <c r="U6" s="107">
        <v>70</v>
      </c>
      <c r="V6" s="15">
        <f>Tableau17[[#This Row],[Nombre de titres au 31/12/2022]]*Tableau17[[#This Row],[Cours de l''action]]</f>
        <v>6740580</v>
      </c>
      <c r="X6" s="6">
        <f>'Réf cellules RB'!A204</f>
        <v>203</v>
      </c>
      <c r="Y6" s="6">
        <f>_xlfn.XLOOKUP(Tableau17[[#This Row],[Isin]],Tableau1[Isin],Tableau1[Sum intérêt])</f>
        <v>3</v>
      </c>
      <c r="Z6" s="6" t="str">
        <f>_xlfn.XLOOKUP(Tableau17[[#This Row],[Isin]],Tableau1[Isin],Tableau1[Liste des sociétés])</f>
        <v>Amadeus</v>
      </c>
    </row>
    <row r="7" spans="1:26" ht="17">
      <c r="A7" s="31" t="s">
        <v>768</v>
      </c>
      <c r="B7" s="39"/>
      <c r="E7" s="83"/>
      <c r="H7" s="94"/>
      <c r="I7" s="31" t="str">
        <f>IF(2023-Tableau17[[#This Row],[Entrée dans la société]]&gt;100,"",2023-Tableau17[[#This Row],[Entrée dans la société]])</f>
        <v/>
      </c>
      <c r="J7" s="83" t="str">
        <f>IF(2023-Tableau17[[#This Row],[Début de mandat]]&gt;100,"",2024-Tableau17[[#This Row],[Début de mandat]])</f>
        <v/>
      </c>
      <c r="K7" s="83"/>
      <c r="L7" s="39"/>
      <c r="M7" s="94"/>
      <c r="N7" s="19"/>
      <c r="O7" s="103"/>
      <c r="S7" s="31"/>
      <c r="U7" s="107"/>
      <c r="V7" s="15"/>
      <c r="X7" s="6">
        <f>'Réf cellules RB'!A205</f>
        <v>204</v>
      </c>
      <c r="Y7" s="6">
        <f>_xlfn.XLOOKUP(Tableau17[[#This Row],[Isin]],Tableau1[Isin],Tableau1[Sum intérêt])</f>
        <v>3</v>
      </c>
      <c r="Z7" s="6" t="str">
        <f>_xlfn.XLOOKUP(Tableau17[[#This Row],[Isin]],Tableau1[Isin],Tableau1[Liste des sociétés])</f>
        <v>Amadeus</v>
      </c>
    </row>
    <row r="8" spans="1:26" ht="17">
      <c r="A8" s="31" t="s">
        <v>2957</v>
      </c>
      <c r="B8" s="39" t="s">
        <v>3187</v>
      </c>
      <c r="C8" s="83" t="s">
        <v>3184</v>
      </c>
      <c r="D8" s="83" t="s">
        <v>3188</v>
      </c>
      <c r="E8" s="83">
        <v>1972</v>
      </c>
      <c r="F8" s="31">
        <v>2017</v>
      </c>
      <c r="G8" s="31">
        <v>2020</v>
      </c>
      <c r="H8" s="31">
        <v>2025</v>
      </c>
      <c r="I8" s="31">
        <f>IF(2023-Tableau17[[#This Row],[Entrée dans la société]]&gt;100,"",2023-Tableau17[[#This Row],[Entrée dans la société]])</f>
        <v>6</v>
      </c>
      <c r="J8" s="83">
        <f>IF(2023-Tableau17[[#This Row],[Début de mandat]]&gt;100,"",2024-Tableau17[[#This Row],[Début de mandat]])</f>
        <v>4</v>
      </c>
      <c r="K8" s="83"/>
      <c r="L8" s="39"/>
      <c r="M8" s="31">
        <v>7500</v>
      </c>
      <c r="N8" s="19"/>
      <c r="O8" s="6"/>
      <c r="S8" s="31"/>
      <c r="U8" s="107">
        <v>116</v>
      </c>
      <c r="V8" s="15">
        <f>Tableau17[[#This Row],[Cours de l''action]]*Tableau17[[#This Row],[Nombre de titres au 31/12/2022]]</f>
        <v>870000</v>
      </c>
      <c r="X8" s="6">
        <f>'Réf cellules RB'!A123</f>
        <v>122</v>
      </c>
      <c r="Y8" s="6">
        <f>_xlfn.XLOOKUP(Tableau17[[#This Row],[Isin]],Tableau1[Isin],Tableau1[Sum intérêt])</f>
        <v>3</v>
      </c>
      <c r="Z8" s="6" t="str">
        <f>_xlfn.XLOOKUP(Tableau17[[#This Row],[Isin]],Tableau1[Isin],Tableau1[Liste des sociétés])</f>
        <v>Biomerieux sa</v>
      </c>
    </row>
    <row r="9" spans="1:26" ht="17">
      <c r="A9" s="31" t="s">
        <v>2957</v>
      </c>
      <c r="B9" s="39"/>
      <c r="E9" s="83"/>
      <c r="H9" s="31"/>
      <c r="I9" s="31" t="str">
        <f>IF(2023-Tableau17[[#This Row],[Entrée dans la société]]&gt;100,"",2023-Tableau17[[#This Row],[Entrée dans la société]])</f>
        <v/>
      </c>
      <c r="J9" s="83" t="str">
        <f>IF(2023-Tableau17[[#This Row],[Début de mandat]]&gt;100,"",2024-Tableau17[[#This Row],[Début de mandat]])</f>
        <v/>
      </c>
      <c r="K9" s="83"/>
      <c r="L9" s="39"/>
      <c r="M9" s="31"/>
      <c r="N9" s="19"/>
      <c r="O9" s="6"/>
      <c r="S9" s="31"/>
      <c r="U9" s="107"/>
      <c r="V9" s="15"/>
      <c r="X9" s="6">
        <f>'Réf cellules RB'!A124</f>
        <v>123</v>
      </c>
      <c r="Y9" s="6">
        <f>_xlfn.XLOOKUP(Tableau17[[#This Row],[Isin]],Tableau1[Isin],Tableau1[Sum intérêt])</f>
        <v>3</v>
      </c>
      <c r="Z9" s="6" t="str">
        <f>_xlfn.XLOOKUP(Tableau17[[#This Row],[Isin]],Tableau1[Isin],Tableau1[Liste des sociétés])</f>
        <v>Biomerieux sa</v>
      </c>
    </row>
    <row r="10" spans="1:26" ht="17">
      <c r="A10" s="31" t="s">
        <v>725</v>
      </c>
      <c r="B10" s="39" t="s">
        <v>3191</v>
      </c>
      <c r="C10" s="83" t="s">
        <v>3184</v>
      </c>
      <c r="D10" s="83" t="s">
        <v>3192</v>
      </c>
      <c r="E10" s="83">
        <v>1968</v>
      </c>
      <c r="F10" s="83">
        <v>2001</v>
      </c>
      <c r="G10" s="31">
        <v>2024</v>
      </c>
      <c r="H10" s="31">
        <v>2026</v>
      </c>
      <c r="I10" s="31">
        <f>IF(2023-Tableau17[[#This Row],[Entrée dans la société]]&gt;100,"",2023-Tableau17[[#This Row],[Entrée dans la société]])</f>
        <v>22</v>
      </c>
      <c r="J10" s="83">
        <f>IF(2023-Tableau17[[#This Row],[Début de mandat]]&gt;100,"",2024-Tableau17[[#This Row],[Début de mandat]])</f>
        <v>0</v>
      </c>
      <c r="K10" s="83"/>
      <c r="L10" s="19">
        <v>3174295</v>
      </c>
      <c r="M10" s="31"/>
      <c r="N10" s="19"/>
      <c r="O10" s="6"/>
      <c r="P10" s="90"/>
      <c r="Q10" s="90"/>
      <c r="R10" s="90"/>
      <c r="S10" s="90"/>
      <c r="T10" s="90"/>
      <c r="U10" s="27">
        <v>35</v>
      </c>
      <c r="V10" s="15">
        <f>Tableau17[[#This Row],[Nombre de titres au 31/12/2023]]*Tableau17[[#This Row],[Cours de l''action]]</f>
        <v>111100325</v>
      </c>
      <c r="X10" s="6">
        <f>'Réf cellules RB'!A281</f>
        <v>280</v>
      </c>
      <c r="Y10" s="6">
        <f>_xlfn.XLOOKUP(Tableau17[[#This Row],[Isin]],Tableau1[Isin],Tableau1[Sum intérêt])</f>
        <v>3</v>
      </c>
      <c r="Z10" s="6" t="str">
        <f>_xlfn.XLOOKUP(Tableau17[[#This Row],[Isin]],Tableau1[Isin],Tableau1[Liste des sociétés])</f>
        <v>Dassault systèmes</v>
      </c>
    </row>
    <row r="11" spans="1:26" ht="17">
      <c r="A11" s="31" t="s">
        <v>725</v>
      </c>
      <c r="B11" s="39"/>
      <c r="E11" s="150"/>
      <c r="F11" s="33"/>
      <c r="G11" s="33"/>
      <c r="H11" s="31"/>
      <c r="I11" s="31" t="str">
        <f>IF(2023-Tableau17[[#This Row],[Entrée dans la société]]&gt;100,"",2023-Tableau17[[#This Row],[Entrée dans la société]])</f>
        <v/>
      </c>
      <c r="J11" s="83" t="str">
        <f>IF(2023-Tableau17[[#This Row],[Début de mandat]]&gt;100,"",2024-Tableau17[[#This Row],[Début de mandat]])</f>
        <v/>
      </c>
      <c r="K11" s="83"/>
      <c r="L11" s="39"/>
      <c r="M11" s="31"/>
      <c r="N11" s="19"/>
      <c r="O11" s="6"/>
      <c r="P11" s="90"/>
      <c r="Q11" s="90"/>
      <c r="R11" s="90"/>
      <c r="S11" s="90"/>
      <c r="T11" s="90"/>
      <c r="U11" s="27"/>
      <c r="V11" s="15"/>
      <c r="X11" s="6">
        <f>'Réf cellules RB'!A284</f>
        <v>283</v>
      </c>
      <c r="Y11" s="6">
        <f>_xlfn.XLOOKUP(Tableau17[[#This Row],[Isin]],Tableau1[Isin],Tableau1[Sum intérêt])</f>
        <v>3</v>
      </c>
      <c r="Z11" s="6" t="str">
        <f>_xlfn.XLOOKUP(Tableau17[[#This Row],[Isin]],Tableau1[Isin],Tableau1[Liste des sociétés])</f>
        <v>Dassault systèmes</v>
      </c>
    </row>
    <row r="12" spans="1:26" ht="17">
      <c r="A12" s="31" t="s">
        <v>52</v>
      </c>
      <c r="B12" s="39" t="s">
        <v>45</v>
      </c>
      <c r="C12" s="83" t="s">
        <v>3184</v>
      </c>
      <c r="D12" s="83" t="s">
        <v>4539</v>
      </c>
      <c r="E12" s="83">
        <v>1968</v>
      </c>
      <c r="F12" s="31">
        <v>2021</v>
      </c>
      <c r="G12" s="31">
        <v>2025</v>
      </c>
      <c r="H12" s="31"/>
      <c r="I12" s="31">
        <f>IF(2023-Tableau17[[#This Row],[Entrée dans la société]]&gt;100,"",2023-Tableau17[[#This Row],[Entrée dans la société]])</f>
        <v>2</v>
      </c>
      <c r="J12" s="83"/>
      <c r="K12" s="83"/>
      <c r="L12" s="39"/>
      <c r="M12" s="19"/>
      <c r="N12" s="19"/>
      <c r="O12" s="6"/>
      <c r="S12" s="31"/>
      <c r="U12" s="107">
        <v>4.5</v>
      </c>
      <c r="V12" s="15">
        <f>Tableau17[[#This Row],[Cours de l''action]]*Tableau17[[#This Row],[Nombre de titres au 31/12/2022]]</f>
        <v>0</v>
      </c>
      <c r="X12" s="6">
        <f>'Réf cellules RB'!A131</f>
        <v>130</v>
      </c>
      <c r="Y12" s="6">
        <f>_xlfn.XLOOKUP(Tableau17[[#This Row],[Isin]],Tableau1[Isin],Tableau1[Sum intérêt])</f>
        <v>3</v>
      </c>
      <c r="Z12" s="6" t="str">
        <f>_xlfn.XLOOKUP(Tableau17[[#This Row],[Isin]],Tableau1[Isin],Tableau1[Liste des sociétés])</f>
        <v>Easy jet</v>
      </c>
    </row>
    <row r="13" spans="1:26" ht="17">
      <c r="A13" s="31" t="s">
        <v>52</v>
      </c>
      <c r="B13" s="39"/>
      <c r="E13" s="83"/>
      <c r="H13" s="31"/>
      <c r="I13" s="31" t="str">
        <f>IF(2023-Tableau17[[#This Row],[Entrée dans la société]]&gt;100,"",2023-Tableau17[[#This Row],[Entrée dans la société]])</f>
        <v/>
      </c>
      <c r="J13" s="83" t="str">
        <f>IF(2023-Tableau17[[#This Row],[Début de mandat]]&gt;100,"",2024-Tableau17[[#This Row],[Début de mandat]])</f>
        <v/>
      </c>
      <c r="K13" s="83"/>
      <c r="L13" s="39"/>
      <c r="M13" s="31"/>
      <c r="N13" s="19"/>
      <c r="O13" s="6"/>
      <c r="S13" s="31"/>
      <c r="U13" s="107"/>
      <c r="V13" s="15"/>
      <c r="X13" s="6">
        <f>'Réf cellules RB'!A132</f>
        <v>131</v>
      </c>
      <c r="Y13" s="6">
        <f>_xlfn.XLOOKUP(Tableau17[[#This Row],[Isin]],Tableau1[Isin],Tableau1[Sum intérêt])</f>
        <v>3</v>
      </c>
      <c r="Z13" s="6" t="str">
        <f>_xlfn.XLOOKUP(Tableau17[[#This Row],[Isin]],Tableau1[Isin],Tableau1[Liste des sociétés])</f>
        <v>Easy jet</v>
      </c>
    </row>
    <row r="14" spans="1:26" ht="17">
      <c r="A14" s="31" t="s">
        <v>1000</v>
      </c>
      <c r="B14" s="39" t="s">
        <v>997</v>
      </c>
      <c r="C14" s="83" t="s">
        <v>3184</v>
      </c>
      <c r="D14" s="83" t="s">
        <v>3193</v>
      </c>
      <c r="E14" s="83">
        <v>1964</v>
      </c>
      <c r="F14" s="31">
        <v>2018</v>
      </c>
      <c r="G14" s="31">
        <v>2021</v>
      </c>
      <c r="H14" s="31">
        <v>2027</v>
      </c>
      <c r="I14" s="31">
        <f>IF(2023-Tableau17[[#This Row],[Entrée dans la société]]&gt;100,"",2023-Tableau17[[#This Row],[Entrée dans la société]])</f>
        <v>5</v>
      </c>
      <c r="J14" s="83">
        <f>IF(2023-Tableau17[[#This Row],[Début de mandat]]&gt;100,"",2024-Tableau17[[#This Row],[Début de mandat]])</f>
        <v>3</v>
      </c>
      <c r="K14" s="83"/>
      <c r="L14" s="39"/>
      <c r="M14" s="19">
        <v>28432</v>
      </c>
      <c r="N14" s="19"/>
      <c r="O14" s="17">
        <v>155590</v>
      </c>
      <c r="S14" s="90">
        <v>82998</v>
      </c>
      <c r="T14" s="90">
        <v>53030</v>
      </c>
      <c r="U14" s="27">
        <v>70</v>
      </c>
      <c r="V14" s="15">
        <f>Tableau17[[#This Row],[Nombre de titres au 31/12/2022]]*Tableau17[[#This Row],[Cours de l''action]]</f>
        <v>1990240</v>
      </c>
      <c r="W14" s="6" t="s">
        <v>3194</v>
      </c>
      <c r="X14" s="6">
        <f>'Réf cellules RB'!A27</f>
        <v>26</v>
      </c>
      <c r="Y14" s="6">
        <f>_xlfn.XLOOKUP(Tableau17[[#This Row],[Isin]],Tableau1[Isin],Tableau1[Sum intérêt])</f>
        <v>3</v>
      </c>
      <c r="Z14" s="6" t="str">
        <f>_xlfn.XLOOKUP(Tableau17[[#This Row],[Isin]],Tableau1[Isin],Tableau1[Liste des sociétés])</f>
        <v>Eurazeo</v>
      </c>
    </row>
    <row r="15" spans="1:26" ht="17">
      <c r="A15" s="31" t="s">
        <v>1000</v>
      </c>
      <c r="B15" s="39"/>
      <c r="D15" s="83" t="s">
        <v>3195</v>
      </c>
      <c r="E15" s="83"/>
      <c r="G15" s="31">
        <v>2022</v>
      </c>
      <c r="H15" s="31"/>
      <c r="I15" s="31" t="str">
        <f>IF(2023-Tableau17[[#This Row],[Entrée dans la société]]&gt;100,"",2023-Tableau17[[#This Row],[Entrée dans la société]])</f>
        <v/>
      </c>
      <c r="J15" s="83">
        <f>IF(2023-Tableau17[[#This Row],[Début de mandat]]&gt;100,"",2024-Tableau17[[#This Row],[Début de mandat]])</f>
        <v>2</v>
      </c>
      <c r="K15" s="83"/>
      <c r="L15" s="39"/>
      <c r="M15" s="19">
        <v>28262</v>
      </c>
      <c r="N15" s="19"/>
      <c r="O15" s="17"/>
      <c r="S15" s="90"/>
      <c r="T15" s="90"/>
      <c r="U15" s="27"/>
      <c r="V15" s="15"/>
      <c r="W15" s="6" t="s">
        <v>3196</v>
      </c>
      <c r="X15" s="6">
        <f>'Réf cellules RB'!A28</f>
        <v>27</v>
      </c>
      <c r="Y15" s="6">
        <f>_xlfn.XLOOKUP(Tableau17[[#This Row],[Isin]],Tableau1[Isin],Tableau1[Sum intérêt])</f>
        <v>3</v>
      </c>
      <c r="Z15" s="6" t="str">
        <f>_xlfn.XLOOKUP(Tableau17[[#This Row],[Isin]],Tableau1[Isin],Tableau1[Liste des sociétés])</f>
        <v>Eurazeo</v>
      </c>
    </row>
    <row r="16" spans="1:26" ht="17">
      <c r="A16" s="31" t="s">
        <v>1000</v>
      </c>
      <c r="B16" s="39"/>
      <c r="E16" s="150"/>
      <c r="H16" s="31"/>
      <c r="I16" s="31" t="str">
        <f>IF(2023-Tableau17[[#This Row],[Entrée dans la société]]&gt;100,"",2023-Tableau17[[#This Row],[Entrée dans la société]])</f>
        <v/>
      </c>
      <c r="J16" s="83" t="str">
        <f>IF(2023-Tableau17[[#This Row],[Début de mandat]]&gt;100,"",2024-Tableau17[[#This Row],[Début de mandat]])</f>
        <v/>
      </c>
      <c r="K16" s="83"/>
      <c r="L16" s="39"/>
      <c r="M16" s="19"/>
      <c r="N16" s="19"/>
      <c r="O16" s="17"/>
      <c r="S16" s="90"/>
      <c r="T16" s="90"/>
      <c r="U16" s="27"/>
      <c r="V16" s="15"/>
      <c r="X16" s="6">
        <f>'Réf cellules RB'!A33</f>
        <v>32</v>
      </c>
      <c r="Y16" s="6">
        <f>_xlfn.XLOOKUP(Tableau17[[#This Row],[Isin]],Tableau1[Isin],Tableau1[Sum intérêt])</f>
        <v>3</v>
      </c>
      <c r="Z16" s="6" t="str">
        <f>_xlfn.XLOOKUP(Tableau17[[#This Row],[Isin]],Tableau1[Isin],Tableau1[Liste des sociétés])</f>
        <v>Eurazeo</v>
      </c>
    </row>
    <row r="17" spans="1:26" ht="17">
      <c r="A17" s="31" t="s">
        <v>1462</v>
      </c>
      <c r="B17" s="39" t="s">
        <v>1459</v>
      </c>
      <c r="C17" s="83" t="s">
        <v>3184</v>
      </c>
      <c r="D17" s="83" t="s">
        <v>3197</v>
      </c>
      <c r="E17" s="83">
        <v>1968</v>
      </c>
      <c r="F17" s="31">
        <v>2018</v>
      </c>
      <c r="G17" s="31">
        <v>2020</v>
      </c>
      <c r="H17" s="26" t="s">
        <v>3198</v>
      </c>
      <c r="I17" s="31">
        <f>IF(2023-Tableau17[[#This Row],[Entrée dans la société]]&gt;100,"",2023-Tableau17[[#This Row],[Entrée dans la société]])</f>
        <v>5</v>
      </c>
      <c r="J17" s="83">
        <f>IF(2023-Tableau17[[#This Row],[Début de mandat]]&gt;100,"",2024-Tableau17[[#This Row],[Début de mandat]])</f>
        <v>4</v>
      </c>
      <c r="K17" s="83"/>
      <c r="L17" s="39"/>
      <c r="M17" s="19">
        <v>40200</v>
      </c>
      <c r="N17" s="19"/>
      <c r="O17" s="19">
        <v>0</v>
      </c>
      <c r="P17" s="90">
        <v>0</v>
      </c>
      <c r="Q17" s="90">
        <v>0</v>
      </c>
      <c r="S17" s="90"/>
      <c r="T17" s="90"/>
      <c r="U17" s="27">
        <v>20</v>
      </c>
      <c r="V17" s="15">
        <f>Tableau17[[#This Row],[Cours de l''action]]*Tableau17[[#This Row],[Nombre de titres au 31/12/2023]]</f>
        <v>0</v>
      </c>
      <c r="W17" s="6" t="s">
        <v>3199</v>
      </c>
      <c r="X17" s="6">
        <f>'Réf cellules RB'!A17</f>
        <v>16</v>
      </c>
      <c r="Y17" s="6">
        <f>_xlfn.XLOOKUP(Tableau17[[#This Row],[Isin]],Tableau1[Isin],Tableau1[Sum intérêt])</f>
        <v>3</v>
      </c>
      <c r="Z17" s="6" t="str">
        <f>_xlfn.XLOOKUP(Tableau17[[#This Row],[Isin]],Tableau1[Isin],Tableau1[Liste des sociétés])</f>
        <v>Guerbet</v>
      </c>
    </row>
    <row r="18" spans="1:26" ht="17">
      <c r="A18" s="31" t="s">
        <v>1462</v>
      </c>
      <c r="B18" s="39"/>
      <c r="E18" s="150"/>
      <c r="F18" s="33"/>
      <c r="G18" s="33"/>
      <c r="H18" s="31"/>
      <c r="I18" s="31" t="str">
        <f>IF(2023-Tableau17[[#This Row],[Entrée dans la société]]&gt;100,"",2023-Tableau17[[#This Row],[Entrée dans la société]])</f>
        <v/>
      </c>
      <c r="J18" s="83" t="str">
        <f>IF(2023-Tableau17[[#This Row],[Début de mandat]]&gt;100,"",2024-Tableau17[[#This Row],[Début de mandat]])</f>
        <v/>
      </c>
      <c r="K18" s="83"/>
      <c r="L18" s="39"/>
      <c r="M18" s="19"/>
      <c r="N18" s="19"/>
      <c r="O18" s="17"/>
      <c r="P18" s="90"/>
      <c r="S18" s="90"/>
      <c r="T18" s="90"/>
      <c r="U18" s="27"/>
      <c r="V18" s="15"/>
      <c r="X18" s="6">
        <f>'Réf cellules RB'!A19</f>
        <v>18</v>
      </c>
      <c r="Y18" s="6">
        <f>_xlfn.XLOOKUP(Tableau17[[#This Row],[Isin]],Tableau1[Isin],Tableau1[Sum intérêt])</f>
        <v>3</v>
      </c>
      <c r="Z18" s="6" t="str">
        <f>_xlfn.XLOOKUP(Tableau17[[#This Row],[Isin]],Tableau1[Isin],Tableau1[Liste des sociétés])</f>
        <v>Guerbet</v>
      </c>
    </row>
    <row r="19" spans="1:26" ht="17">
      <c r="A19" s="31" t="s">
        <v>2039</v>
      </c>
      <c r="B19" s="39" t="s">
        <v>3200</v>
      </c>
      <c r="C19" s="83" t="s">
        <v>3184</v>
      </c>
      <c r="D19" s="83" t="s">
        <v>3201</v>
      </c>
      <c r="E19" s="83">
        <v>1969</v>
      </c>
      <c r="F19" s="31">
        <v>2002</v>
      </c>
      <c r="G19" s="31">
        <v>2020</v>
      </c>
      <c r="H19" s="26" t="s">
        <v>3198</v>
      </c>
      <c r="I19" s="31">
        <f>IF(2023-Tableau17[[#This Row],[Entrée dans la société]]&gt;100,"",2023-Tableau17[[#This Row],[Entrée dans la société]])</f>
        <v>21</v>
      </c>
      <c r="J19" s="83">
        <f>IF(2023-Tableau17[[#This Row],[Début de mandat]]&gt;100,"",2024-Tableau17[[#This Row],[Début de mandat]])</f>
        <v>4</v>
      </c>
      <c r="K19" s="83"/>
      <c r="L19" s="39"/>
      <c r="M19" s="19"/>
      <c r="N19" s="19"/>
      <c r="O19" s="17">
        <v>20000</v>
      </c>
      <c r="P19" s="90"/>
      <c r="S19" s="31"/>
      <c r="U19" s="27">
        <v>30</v>
      </c>
      <c r="V19" s="15">
        <f>Tableau17[[#This Row],[Cours de l''action]]*Tableau17[[#This Row],[Nombre de titres au 31/12/2023]]</f>
        <v>0</v>
      </c>
      <c r="W19" s="6" t="s">
        <v>3202</v>
      </c>
      <c r="X19" s="6">
        <f>'Réf cellules RB'!A14</f>
        <v>13</v>
      </c>
      <c r="Y19" s="6">
        <f>_xlfn.XLOOKUP(Tableau17[[#This Row],[Isin]],Tableau1[Isin],Tableau1[Sum intérêt])</f>
        <v>3</v>
      </c>
      <c r="Z19" s="6" t="str">
        <f>_xlfn.XLOOKUP(Tableau17[[#This Row],[Isin]],Tableau1[Isin],Tableau1[Liste des sociétés])</f>
        <v>Imerys</v>
      </c>
    </row>
    <row r="20" spans="1:26" ht="17">
      <c r="A20" s="31" t="s">
        <v>2039</v>
      </c>
      <c r="B20" s="39"/>
      <c r="E20" s="83"/>
      <c r="H20" s="31"/>
      <c r="I20" s="31" t="str">
        <f>IF(2023-Tableau17[[#This Row],[Entrée dans la société]]&gt;100,"",2023-Tableau17[[#This Row],[Entrée dans la société]])</f>
        <v/>
      </c>
      <c r="J20" s="83" t="str">
        <f>IF(2023-Tableau17[[#This Row],[Début de mandat]]&gt;100,"",2024-Tableau17[[#This Row],[Début de mandat]])</f>
        <v/>
      </c>
      <c r="K20" s="83"/>
      <c r="L20" s="39"/>
      <c r="M20" s="19"/>
      <c r="N20" s="19"/>
      <c r="O20" s="17"/>
      <c r="P20" s="90"/>
      <c r="S20" s="31"/>
      <c r="U20" s="27"/>
      <c r="V20" s="15"/>
      <c r="X20" s="6">
        <f>'Réf cellules RB'!A66</f>
        <v>65</v>
      </c>
      <c r="Y20" s="6">
        <f>_xlfn.XLOOKUP(Tableau17[[#This Row],[Isin]],Tableau1[Isin],Tableau1[Sum intérêt])</f>
        <v>3</v>
      </c>
      <c r="Z20" s="6" t="str">
        <f>_xlfn.XLOOKUP(Tableau17[[#This Row],[Isin]],Tableau1[Isin],Tableau1[Liste des sociétés])</f>
        <v>Imerys</v>
      </c>
    </row>
    <row r="21" spans="1:26" ht="17">
      <c r="A21" s="31" t="s">
        <v>2995</v>
      </c>
      <c r="B21" s="39" t="s">
        <v>2992</v>
      </c>
      <c r="C21" s="83" t="s">
        <v>3182</v>
      </c>
      <c r="D21" s="83" t="s">
        <v>4541</v>
      </c>
      <c r="E21" s="83">
        <v>1959</v>
      </c>
      <c r="F21" s="33"/>
      <c r="G21" s="83">
        <v>1989</v>
      </c>
      <c r="H21" s="31">
        <v>2027</v>
      </c>
      <c r="I21" s="83">
        <f>IF(2023-Tableau17[[#This Row],[Début de mandat]]&gt;100,"",2023-Tableau17[[#This Row],[Début de mandat]])</f>
        <v>34</v>
      </c>
      <c r="J21" s="83">
        <f>IF(2023-Tableau17[[#This Row],[Début de mandat]]&gt;100,"",2024-Tableau17[[#This Row],[Début de mandat]])</f>
        <v>35</v>
      </c>
      <c r="K21" s="83"/>
      <c r="L21" s="19">
        <v>14987</v>
      </c>
      <c r="M21" s="31"/>
      <c r="N21" s="19"/>
      <c r="O21" s="6"/>
      <c r="P21" s="90"/>
      <c r="Q21" s="90"/>
      <c r="R21" s="90"/>
      <c r="S21" s="90"/>
      <c r="T21" s="90"/>
      <c r="U21" s="27">
        <v>41</v>
      </c>
      <c r="V21" s="15">
        <f>Tableau17[[#This Row],[Nombre de titres au 31/12/2023]]*Tableau17[[#This Row],[Cours de l''action]]</f>
        <v>614467</v>
      </c>
      <c r="X21" s="6">
        <f>'Réf cellules RB'!A269</f>
        <v>268</v>
      </c>
      <c r="Y21" s="6">
        <f>_xlfn.XLOOKUP(Tableau17[[#This Row],[Isin]],Tableau1[Isin],Tableau1[Sum intérêt])</f>
        <v>3</v>
      </c>
      <c r="Z21" s="6" t="str">
        <f>_xlfn.XLOOKUP(Tableau17[[#This Row],[Isin]],Tableau1[Isin],Tableau1[Liste des sociétés])</f>
        <v>Interparfums sa</v>
      </c>
    </row>
    <row r="22" spans="1:26" ht="17">
      <c r="A22" s="31" t="s">
        <v>2995</v>
      </c>
      <c r="B22" s="39"/>
      <c r="E22" s="150"/>
      <c r="F22" s="33"/>
      <c r="G22" s="33"/>
      <c r="H22" s="31"/>
      <c r="I22" s="31" t="str">
        <f>IF(2023-Tableau17[[#This Row],[Entrée dans la société]]&gt;100,"",2023-Tableau17[[#This Row],[Entrée dans la société]])</f>
        <v/>
      </c>
      <c r="J22" s="83" t="str">
        <f>IF(2023-Tableau17[[#This Row],[Début de mandat]]&gt;100,"",2024-Tableau17[[#This Row],[Début de mandat]])</f>
        <v/>
      </c>
      <c r="K22" s="83"/>
      <c r="L22" s="39"/>
      <c r="M22" s="31"/>
      <c r="N22" s="19"/>
      <c r="O22" s="6"/>
      <c r="P22" s="90"/>
      <c r="Q22" s="90"/>
      <c r="R22" s="90"/>
      <c r="S22" s="90"/>
      <c r="T22" s="90"/>
      <c r="U22" s="27"/>
      <c r="V22" s="15"/>
      <c r="X22" s="6">
        <f>'Réf cellules RB'!A182</f>
        <v>181</v>
      </c>
      <c r="Y22" s="6">
        <f>_xlfn.XLOOKUP(Tableau17[[#This Row],[Isin]],Tableau1[Isin],Tableau1[Sum intérêt])</f>
        <v>3</v>
      </c>
      <c r="Z22" s="6" t="str">
        <f>_xlfn.XLOOKUP(Tableau17[[#This Row],[Isin]],Tableau1[Isin],Tableau1[Liste des sociétés])</f>
        <v>Interparfums sa</v>
      </c>
    </row>
    <row r="23" spans="1:26" ht="17">
      <c r="A23" s="31" t="s">
        <v>490</v>
      </c>
      <c r="B23" s="39" t="s">
        <v>486</v>
      </c>
      <c r="C23" s="83" t="s">
        <v>3184</v>
      </c>
      <c r="D23" s="83" t="s">
        <v>3203</v>
      </c>
      <c r="E23" s="83">
        <v>1961</v>
      </c>
      <c r="F23" s="31">
        <v>1993</v>
      </c>
      <c r="G23" s="31">
        <v>2009</v>
      </c>
      <c r="H23" s="31">
        <v>2025</v>
      </c>
      <c r="I23" s="31">
        <f>IF(2023-Tableau17[[#This Row],[Entrée dans la société]]&gt;100,"",2023-Tableau17[[#This Row],[Entrée dans la société]])</f>
        <v>30</v>
      </c>
      <c r="J23" s="83">
        <f>IF(2023-Tableau17[[#This Row],[Début de mandat]]&gt;100,"",2024-Tableau17[[#This Row],[Début de mandat]])</f>
        <v>15</v>
      </c>
      <c r="K23" s="83"/>
      <c r="L23" s="19">
        <v>51395</v>
      </c>
      <c r="M23" s="19">
        <v>46612</v>
      </c>
      <c r="N23" s="19">
        <v>43405</v>
      </c>
      <c r="O23" s="17">
        <v>38544</v>
      </c>
      <c r="P23" s="90">
        <v>11862</v>
      </c>
      <c r="R23" s="90">
        <v>11862</v>
      </c>
      <c r="S23" s="90">
        <v>3600</v>
      </c>
      <c r="T23" s="90">
        <v>3600</v>
      </c>
      <c r="U23" s="27">
        <v>19</v>
      </c>
      <c r="V23" s="15">
        <f>Tableau17[[#This Row],[Cours de l''action]]*Tableau17[[#This Row],[Nombre de titres au 31/12/2023]]</f>
        <v>976505</v>
      </c>
      <c r="W23" s="6" t="s">
        <v>3204</v>
      </c>
      <c r="X23" s="6">
        <f>'Réf cellules RB'!A68</f>
        <v>67</v>
      </c>
      <c r="Y23" s="6">
        <f>_xlfn.XLOOKUP(Tableau17[[#This Row],[Isin]],Tableau1[Isin],Tableau1[Sum intérêt])</f>
        <v>3</v>
      </c>
      <c r="Z23" s="6" t="str">
        <f>_xlfn.XLOOKUP(Tableau17[[#This Row],[Isin]],Tableau1[Isin],Tableau1[Liste des sociétés])</f>
        <v>Mersen</v>
      </c>
    </row>
    <row r="24" spans="1:26" ht="17">
      <c r="A24" s="31" t="s">
        <v>490</v>
      </c>
      <c r="B24" s="39"/>
      <c r="E24" s="83"/>
      <c r="H24" s="31"/>
      <c r="I24" s="31" t="str">
        <f>IF(2023-Tableau17[[#This Row],[Entrée dans la société]]&gt;100,"",2023-Tableau17[[#This Row],[Entrée dans la société]])</f>
        <v/>
      </c>
      <c r="J24" s="83" t="str">
        <f>IF(2023-Tableau17[[#This Row],[Début de mandat]]&gt;100,"",2024-Tableau17[[#This Row],[Début de mandat]])</f>
        <v/>
      </c>
      <c r="K24" s="83"/>
      <c r="L24" s="39"/>
      <c r="M24" s="31"/>
      <c r="N24" s="19"/>
      <c r="O24" s="17"/>
      <c r="S24" s="31"/>
      <c r="U24" s="107"/>
      <c r="V24" s="15"/>
      <c r="X24" s="6">
        <f>'Réf cellules RB'!A71</f>
        <v>70</v>
      </c>
      <c r="Y24" s="6">
        <f>_xlfn.XLOOKUP(Tableau17[[#This Row],[Isin]],Tableau1[Isin],Tableau1[Sum intérêt])</f>
        <v>3</v>
      </c>
      <c r="Z24" s="6" t="str">
        <f>_xlfn.XLOOKUP(Tableau17[[#This Row],[Isin]],Tableau1[Isin],Tableau1[Liste des sociétés])</f>
        <v>Mersen</v>
      </c>
    </row>
    <row r="25" spans="1:26" ht="17">
      <c r="A25" s="31" t="s">
        <v>1860</v>
      </c>
      <c r="B25" s="39" t="s">
        <v>1857</v>
      </c>
      <c r="C25" s="83" t="s">
        <v>3184</v>
      </c>
      <c r="D25" s="83" t="s">
        <v>3205</v>
      </c>
      <c r="E25" s="83">
        <v>1963</v>
      </c>
      <c r="F25" s="31">
        <v>2021</v>
      </c>
      <c r="G25" s="31">
        <v>2022</v>
      </c>
      <c r="H25" s="26" t="s">
        <v>3198</v>
      </c>
      <c r="I25" s="31">
        <f>IF(2023-Tableau17[[#This Row],[Entrée dans la société]]&gt;100,"",2023-Tableau17[[#This Row],[Entrée dans la société]])</f>
        <v>2</v>
      </c>
      <c r="J25" s="83">
        <f>IF(2023-Tableau17[[#This Row],[Début de mandat]]&gt;100,"",2024-Tableau17[[#This Row],[Début de mandat]])</f>
        <v>2</v>
      </c>
      <c r="K25" s="83"/>
      <c r="L25" s="39"/>
      <c r="M25" s="19">
        <v>89167</v>
      </c>
      <c r="N25" s="19"/>
      <c r="O25" s="17"/>
      <c r="P25" s="90"/>
      <c r="S25" s="31"/>
      <c r="U25" s="108">
        <v>8.6999999999999993</v>
      </c>
      <c r="V25" s="15">
        <f>Tableau17[[#This Row],[Cours de l''action]]*Tableau17[[#This Row],[Nombre de titres au 31/12/2023]]</f>
        <v>0</v>
      </c>
      <c r="W25" s="26"/>
      <c r="X25" s="6">
        <f>'Réf cellules RB'!A20</f>
        <v>19</v>
      </c>
      <c r="Y25" s="6">
        <f>_xlfn.XLOOKUP(Tableau17[[#This Row],[Isin]],Tableau1[Isin],Tableau1[Sum intérêt])</f>
        <v>3</v>
      </c>
      <c r="Z25" s="6" t="str">
        <f>_xlfn.XLOOKUP(Tableau17[[#This Row],[Isin]],Tableau1[Isin],Tableau1[Liste des sociétés])</f>
        <v>Ontex</v>
      </c>
    </row>
    <row r="26" spans="1:26" ht="17">
      <c r="A26" s="31" t="s">
        <v>1860</v>
      </c>
      <c r="B26" s="39"/>
      <c r="E26" s="83"/>
      <c r="G26" s="94"/>
      <c r="H26" s="31"/>
      <c r="I26" s="31" t="str">
        <f>IF(2023-Tableau17[[#This Row],[Entrée dans la société]]&gt;100,"",2023-Tableau17[[#This Row],[Entrée dans la société]])</f>
        <v/>
      </c>
      <c r="J26" s="83" t="str">
        <f>IF(2023-Tableau17[[#This Row],[Début de mandat]]&gt;100,"",2024-Tableau17[[#This Row],[Début de mandat]])</f>
        <v/>
      </c>
      <c r="K26" s="83"/>
      <c r="L26" s="39"/>
      <c r="M26" s="31"/>
      <c r="N26" s="19"/>
      <c r="O26" s="17"/>
      <c r="P26" s="90"/>
      <c r="S26" s="31"/>
      <c r="U26" s="108"/>
      <c r="V26" s="15"/>
      <c r="W26" s="26"/>
      <c r="X26" s="6">
        <f>'Réf cellules RB'!A22</f>
        <v>21</v>
      </c>
      <c r="Y26" s="6">
        <f>_xlfn.XLOOKUP(Tableau17[[#This Row],[Isin]],Tableau1[Isin],Tableau1[Sum intérêt])</f>
        <v>3</v>
      </c>
      <c r="Z26" s="6" t="str">
        <f>_xlfn.XLOOKUP(Tableau17[[#This Row],[Isin]],Tableau1[Isin],Tableau1[Liste des sociétés])</f>
        <v>Ontex</v>
      </c>
    </row>
    <row r="27" spans="1:26" ht="17">
      <c r="A27" s="31" t="s">
        <v>2189</v>
      </c>
      <c r="B27" s="39" t="s">
        <v>2187</v>
      </c>
      <c r="C27" s="83" t="s">
        <v>3184</v>
      </c>
      <c r="D27" s="83" t="s">
        <v>4542</v>
      </c>
      <c r="E27" s="83"/>
      <c r="H27" s="31"/>
      <c r="I27" s="31" t="str">
        <f>IF(2023-Tableau17[[#This Row],[Entrée dans la société]]&gt;100,"",2023-Tableau17[[#This Row],[Entrée dans la société]])</f>
        <v/>
      </c>
      <c r="J27" s="83" t="str">
        <f>IF(2023-Tableau17[[#This Row],[Début de mandat]]&gt;100,"",2024-Tableau17[[#This Row],[Début de mandat]])</f>
        <v/>
      </c>
      <c r="K27" s="83"/>
      <c r="L27" s="39"/>
      <c r="M27" s="19"/>
      <c r="N27" s="19"/>
      <c r="O27" s="17"/>
      <c r="P27" s="90"/>
      <c r="Q27" s="90"/>
      <c r="R27" s="90"/>
      <c r="S27" s="90"/>
      <c r="T27" s="90"/>
      <c r="U27" s="27">
        <v>70</v>
      </c>
      <c r="V27" s="15">
        <f>Tableau17[[#This Row],[Cours de l''action]]*Tableau17[[#This Row],[Nombre de titres au 31/12/2023]]</f>
        <v>0</v>
      </c>
      <c r="W27" s="26"/>
      <c r="X27" s="6">
        <f>'Réf cellules RB'!A43</f>
        <v>42</v>
      </c>
      <c r="Y27" s="6">
        <f>_xlfn.XLOOKUP(Tableau17[[#This Row],[Isin]],Tableau1[Isin],Tableau1[Sum intérêt])</f>
        <v>3</v>
      </c>
      <c r="Z27" s="6" t="str">
        <f>_xlfn.XLOOKUP(Tableau17[[#This Row],[Isin]],Tableau1[Isin],Tableau1[Liste des sociétés])</f>
        <v>Peugeot invest</v>
      </c>
    </row>
    <row r="28" spans="1:26" ht="17">
      <c r="A28" s="31" t="s">
        <v>2189</v>
      </c>
      <c r="B28" s="39"/>
      <c r="E28" s="83"/>
      <c r="G28" s="33"/>
      <c r="H28" s="31"/>
      <c r="I28" s="31"/>
      <c r="J28" s="83" t="str">
        <f>IF(2023-Tableau17[[#This Row],[Début de mandat]]&gt;100,"",2024-Tableau17[[#This Row],[Début de mandat]])</f>
        <v/>
      </c>
      <c r="K28" s="83"/>
      <c r="L28" s="39"/>
      <c r="M28" s="31"/>
      <c r="N28" s="19"/>
      <c r="O28" s="17"/>
      <c r="P28" s="90"/>
      <c r="Q28" s="90"/>
      <c r="R28" s="90"/>
      <c r="S28" s="90"/>
      <c r="T28" s="90"/>
      <c r="U28" s="27"/>
      <c r="V28" s="15"/>
      <c r="W28" s="26"/>
      <c r="X28" s="6">
        <f>'Réf cellules RB'!A44</f>
        <v>43</v>
      </c>
      <c r="Y28" s="6">
        <f>_xlfn.XLOOKUP(Tableau17[[#This Row],[Isin]],Tableau1[Isin],Tableau1[Sum intérêt])</f>
        <v>3</v>
      </c>
      <c r="Z28" s="6" t="str">
        <f>_xlfn.XLOOKUP(Tableau17[[#This Row],[Isin]],Tableau1[Isin],Tableau1[Liste des sociétés])</f>
        <v>Peugeot invest</v>
      </c>
    </row>
    <row r="29" spans="1:26" ht="17">
      <c r="A29" s="4" t="s">
        <v>2377</v>
      </c>
      <c r="B29" s="20" t="s">
        <v>2373</v>
      </c>
      <c r="C29" s="83" t="s">
        <v>3184</v>
      </c>
      <c r="D29" s="83" t="s">
        <v>3206</v>
      </c>
      <c r="E29" s="83">
        <v>1975</v>
      </c>
      <c r="F29" s="31">
        <v>2000</v>
      </c>
      <c r="G29" s="33"/>
      <c r="H29" s="31"/>
      <c r="I29" s="31">
        <f>IF(2023-Tableau17[[#This Row],[Entrée dans la société]]&gt;100,"",2023-Tableau17[[#This Row],[Entrée dans la société]])</f>
        <v>23</v>
      </c>
      <c r="J29" s="83" t="str">
        <f>IF(2023-Tableau17[[#This Row],[Début de mandat]]&gt;100,"",2024-Tableau17[[#This Row],[Début de mandat]])</f>
        <v/>
      </c>
      <c r="K29" s="83"/>
      <c r="L29" s="39"/>
      <c r="M29" s="31"/>
      <c r="N29" s="19"/>
      <c r="O29" s="6"/>
      <c r="P29" s="90"/>
      <c r="Q29" s="90"/>
      <c r="R29" s="90"/>
      <c r="S29" s="90"/>
      <c r="T29" s="90"/>
      <c r="U29" s="27">
        <v>20</v>
      </c>
      <c r="V29" s="15"/>
      <c r="X29" s="6">
        <f>'Réf cellules RB'!A274</f>
        <v>273</v>
      </c>
      <c r="Y29" s="6">
        <f>_xlfn.XLOOKUP(Tableau17[[#This Row],[Isin]],Tableau1[Isin],Tableau1[Sum intérêt])</f>
        <v>3</v>
      </c>
      <c r="Z29" s="6" t="str">
        <f>_xlfn.XLOOKUP(Tableau17[[#This Row],[Isin]],Tableau1[Isin],Tableau1[Liste des sociétés])</f>
        <v>Pluxee</v>
      </c>
    </row>
    <row r="30" spans="1:26" ht="17">
      <c r="A30" s="31" t="s">
        <v>2377</v>
      </c>
      <c r="B30" s="39"/>
      <c r="E30" s="150"/>
      <c r="F30" s="33"/>
      <c r="G30" s="33"/>
      <c r="H30" s="31"/>
      <c r="I30" s="31" t="str">
        <f>IF(2023-Tableau17[[#This Row],[Entrée dans la société]]&gt;100,"",2023-Tableau17[[#This Row],[Entrée dans la société]])</f>
        <v/>
      </c>
      <c r="J30" s="83" t="str">
        <f>IF(2023-Tableau17[[#This Row],[Début de mandat]]&gt;100,"",2024-Tableau17[[#This Row],[Début de mandat]])</f>
        <v/>
      </c>
      <c r="K30" s="83"/>
      <c r="L30" s="39"/>
      <c r="M30" s="31"/>
      <c r="N30" s="19"/>
      <c r="O30" s="6"/>
      <c r="P30" s="90"/>
      <c r="Q30" s="90"/>
      <c r="R30" s="90"/>
      <c r="S30" s="90"/>
      <c r="T30" s="90"/>
      <c r="U30" s="27"/>
      <c r="V30" s="15"/>
      <c r="X30" s="6">
        <f>'Réf cellules RB'!A263</f>
        <v>262</v>
      </c>
      <c r="Y30" s="6">
        <f>_xlfn.XLOOKUP(Tableau17[[#This Row],[Isin]],Tableau1[Isin],Tableau1[Sum intérêt])</f>
        <v>3</v>
      </c>
      <c r="Z30" s="6" t="str">
        <f>_xlfn.XLOOKUP(Tableau17[[#This Row],[Isin]],Tableau1[Isin],Tableau1[Liste des sociétés])</f>
        <v>Pluxee</v>
      </c>
    </row>
    <row r="31" spans="1:26" ht="17">
      <c r="A31" s="31" t="s">
        <v>167</v>
      </c>
      <c r="B31" s="39" t="s">
        <v>163</v>
      </c>
      <c r="C31" s="83" t="s">
        <v>3182</v>
      </c>
      <c r="D31" s="83" t="s">
        <v>3207</v>
      </c>
      <c r="E31" s="83">
        <v>1969</v>
      </c>
      <c r="F31" s="31">
        <v>1999</v>
      </c>
      <c r="G31" s="31">
        <v>2021</v>
      </c>
      <c r="H31" s="31">
        <v>2025</v>
      </c>
      <c r="I31" s="31">
        <f>IF(2023-Tableau17[[#This Row],[Entrée dans la société]]&gt;100,"",2023-Tableau17[[#This Row],[Entrée dans la société]])</f>
        <v>24</v>
      </c>
      <c r="J31" s="83">
        <f>IF(2023-Tableau17[[#This Row],[Début de mandat]]&gt;100,"",2024-Tableau17[[#This Row],[Début de mandat]])</f>
        <v>3</v>
      </c>
      <c r="K31" s="19">
        <v>216733</v>
      </c>
      <c r="L31" s="19">
        <v>150802</v>
      </c>
      <c r="M31" s="19">
        <v>96963</v>
      </c>
      <c r="N31" s="19">
        <v>64598</v>
      </c>
      <c r="O31" s="17"/>
      <c r="P31" s="90"/>
      <c r="S31" s="90"/>
      <c r="T31" s="90"/>
      <c r="U31" s="27">
        <v>100</v>
      </c>
      <c r="V31" s="15">
        <f>Tableau17[[#This Row],[Cours de l''action]]*Tableau17[[#This Row],[Nombre de titres au 31/12/2024]]</f>
        <v>21673300</v>
      </c>
      <c r="W31" s="6" t="s">
        <v>3208</v>
      </c>
      <c r="X31" s="6">
        <f>'Réf cellules RB'!A52</f>
        <v>51</v>
      </c>
      <c r="Y31" s="6">
        <f>_xlfn.XLOOKUP(Tableau17[[#This Row],[Isin]],Tableau1[Isin],Tableau1[Sum intérêt])</f>
        <v>3</v>
      </c>
      <c r="Z31" s="6" t="str">
        <f>_xlfn.XLOOKUP(Tableau17[[#This Row],[Isin]],Tableau1[Isin],Tableau1[Liste des sociétés])</f>
        <v>Saint-gobain</v>
      </c>
    </row>
    <row r="32" spans="1:26" ht="17">
      <c r="A32" s="31" t="s">
        <v>167</v>
      </c>
      <c r="B32" s="39"/>
      <c r="E32" s="83"/>
      <c r="G32" s="33"/>
      <c r="H32" s="33"/>
      <c r="I32" s="31" t="str">
        <f>IF(2023-Tableau17[[#This Row],[Entrée dans la société]]&gt;100,"",2023-Tableau17[[#This Row],[Entrée dans la société]])</f>
        <v/>
      </c>
      <c r="J32" s="83" t="str">
        <f>IF(2023-Tableau17[[#This Row],[Début de mandat]]&gt;100,"",2024-Tableau17[[#This Row],[Début de mandat]])</f>
        <v/>
      </c>
      <c r="K32" s="83"/>
      <c r="L32" s="39"/>
      <c r="M32" s="33"/>
      <c r="N32" s="19"/>
      <c r="O32" s="17"/>
      <c r="P32" s="90"/>
      <c r="Q32" s="90"/>
      <c r="S32" s="90"/>
      <c r="T32" s="90"/>
      <c r="U32" s="27"/>
      <c r="V32" s="15"/>
      <c r="X32" s="6">
        <f>'Réf cellules RB'!A54</f>
        <v>53</v>
      </c>
      <c r="Y32" s="6">
        <f>_xlfn.XLOOKUP(Tableau17[[#This Row],[Isin]],Tableau1[Isin],Tableau1[Sum intérêt])</f>
        <v>3</v>
      </c>
      <c r="Z32" s="6" t="str">
        <f>_xlfn.XLOOKUP(Tableau17[[#This Row],[Isin]],Tableau1[Isin],Tableau1[Liste des sociétés])</f>
        <v>Saint-gobain</v>
      </c>
    </row>
    <row r="33" spans="1:26" ht="17">
      <c r="A33" s="31" t="s">
        <v>103</v>
      </c>
      <c r="B33" s="39" t="s">
        <v>97</v>
      </c>
      <c r="C33" s="158" t="s">
        <v>3184</v>
      </c>
      <c r="D33" s="83" t="s">
        <v>3209</v>
      </c>
      <c r="E33" s="83">
        <v>1954</v>
      </c>
      <c r="F33" s="31">
        <v>1992</v>
      </c>
      <c r="G33" s="31">
        <v>2003</v>
      </c>
      <c r="H33" s="31">
        <v>2023</v>
      </c>
      <c r="I33" s="31">
        <f>IF(2023-Tableau17[[#This Row],[Entrée dans la société]]&gt;100,"",2023-Tableau17[[#This Row],[Entrée dans la société]])</f>
        <v>31</v>
      </c>
      <c r="J33" s="83">
        <f>IF(2023-Tableau17[[#This Row],[Début de mandat]]&gt;100,"",2024-Tableau17[[#This Row],[Début de mandat]])</f>
        <v>21</v>
      </c>
      <c r="K33" s="83"/>
      <c r="L33" s="39"/>
      <c r="M33" s="31"/>
      <c r="N33" s="19"/>
      <c r="O33" s="6"/>
      <c r="S33" s="90"/>
      <c r="T33" s="90"/>
      <c r="U33" s="27">
        <v>160</v>
      </c>
      <c r="V33" s="15"/>
      <c r="X33" s="6">
        <f>'Réf cellules RB'!A165</f>
        <v>164</v>
      </c>
      <c r="Y33" s="6">
        <f>_xlfn.XLOOKUP(Tableau17[[#This Row],[Isin]],Tableau1[Isin],Tableau1[Sum intérêt])</f>
        <v>3</v>
      </c>
      <c r="Z33" s="6" t="str">
        <f>_xlfn.XLOOKUP(Tableau17[[#This Row],[Isin]],Tableau1[Isin],Tableau1[Liste des sociétés])</f>
        <v>Swatch group</v>
      </c>
    </row>
    <row r="34" spans="1:26" ht="17">
      <c r="A34" s="31" t="s">
        <v>103</v>
      </c>
      <c r="B34" s="39"/>
      <c r="E34" s="83"/>
      <c r="H34" s="31"/>
      <c r="I34" s="31" t="str">
        <f>IF(2023-Tableau17[[#This Row],[Entrée dans la société]]&gt;100,"",2023-Tableau17[[#This Row],[Entrée dans la société]])</f>
        <v/>
      </c>
      <c r="J34" s="83" t="str">
        <f>IF(2023-Tableau17[[#This Row],[Début de mandat]]&gt;100,"",2024-Tableau17[[#This Row],[Début de mandat]])</f>
        <v/>
      </c>
      <c r="K34" s="83"/>
      <c r="L34" s="39"/>
      <c r="M34" s="31"/>
      <c r="N34" s="19"/>
      <c r="O34" s="6"/>
      <c r="S34" s="90"/>
      <c r="T34" s="90"/>
      <c r="U34" s="27"/>
      <c r="V34" s="15"/>
      <c r="X34" s="6">
        <f>'Réf cellules RB'!A166</f>
        <v>165</v>
      </c>
      <c r="Y34" s="6">
        <f>_xlfn.XLOOKUP(Tableau17[[#This Row],[Isin]],Tableau1[Isin],Tableau1[Sum intérêt])</f>
        <v>3</v>
      </c>
      <c r="Z34" s="6" t="str">
        <f>_xlfn.XLOOKUP(Tableau17[[#This Row],[Isin]],Tableau1[Isin],Tableau1[Liste des sociétés])</f>
        <v>Swatch group</v>
      </c>
    </row>
    <row r="35" spans="1:26" ht="17">
      <c r="A35" s="31" t="s">
        <v>2084</v>
      </c>
      <c r="B35" s="39" t="s">
        <v>2082</v>
      </c>
      <c r="C35" s="83" t="s">
        <v>3184</v>
      </c>
      <c r="D35" s="83" t="s">
        <v>3210</v>
      </c>
      <c r="E35" s="83">
        <v>1967</v>
      </c>
      <c r="F35" s="31">
        <v>1997</v>
      </c>
      <c r="G35" s="31">
        <v>2021</v>
      </c>
      <c r="H35" s="31">
        <v>2025</v>
      </c>
      <c r="I35" s="31">
        <f>IF(2023-Tableau17[[#This Row],[Entrée dans la société]]&gt;100,"",2023-Tableau17[[#This Row],[Entrée dans la société]])</f>
        <v>26</v>
      </c>
      <c r="J35" s="83">
        <f>IF(2023-Tableau17[[#This Row],[Début de mandat]]&gt;100,"",2024-Tableau17[[#This Row],[Début de mandat]])</f>
        <v>3</v>
      </c>
      <c r="K35" s="83"/>
      <c r="L35" s="19">
        <v>51764</v>
      </c>
      <c r="M35" s="19">
        <v>43274</v>
      </c>
      <c r="N35" s="19">
        <v>40875</v>
      </c>
      <c r="O35" s="6"/>
      <c r="S35" s="31"/>
      <c r="U35" s="27">
        <v>77</v>
      </c>
      <c r="V35" s="15">
        <f>Tableau17[[#This Row],[Cours de l''action]]*Tableau17[[#This Row],[Nombre de titres au 31/12/2023]]</f>
        <v>3985828</v>
      </c>
      <c r="X35" s="6">
        <f>'Réf cellules RB'!A181</f>
        <v>180</v>
      </c>
      <c r="Y35" s="6">
        <f>_xlfn.XLOOKUP(Tableau17[[#This Row],[Isin]],Tableau1[Isin],Tableau1[Sum intérêt])</f>
        <v>3</v>
      </c>
      <c r="Z35" s="6" t="str">
        <f>_xlfn.XLOOKUP(Tableau17[[#This Row],[Isin]],Tableau1[Isin],Tableau1[Liste des sociétés])</f>
        <v>Unibail rodamco westfield</v>
      </c>
    </row>
    <row r="36" spans="1:26" ht="17">
      <c r="A36" s="31" t="s">
        <v>2084</v>
      </c>
      <c r="B36" s="39"/>
      <c r="E36" s="83"/>
      <c r="H36" s="31"/>
      <c r="I36" s="31" t="str">
        <f>IF(2023-Tableau17[[#This Row],[Entrée dans la société]]&gt;100,"",2023-Tableau17[[#This Row],[Entrée dans la société]])</f>
        <v/>
      </c>
      <c r="J36" s="83" t="str">
        <f>IF(2023-Tableau17[[#This Row],[Début de mandat]]&gt;100,"",2024-Tableau17[[#This Row],[Début de mandat]])</f>
        <v/>
      </c>
      <c r="K36" s="83"/>
      <c r="L36" s="39"/>
      <c r="M36" s="110"/>
      <c r="N36" s="19"/>
      <c r="O36" s="6"/>
      <c r="P36" s="90"/>
      <c r="Q36" s="90"/>
      <c r="S36" s="31"/>
      <c r="U36" s="27"/>
      <c r="V36" s="15"/>
      <c r="W36" s="26"/>
      <c r="X36" s="6">
        <f>'Réf cellules RB'!A183</f>
        <v>182</v>
      </c>
      <c r="Y36" s="6">
        <f>_xlfn.XLOOKUP(Tableau17[[#This Row],[Isin]],Tableau1[Isin],Tableau1[Sum intérêt])</f>
        <v>3</v>
      </c>
      <c r="Z36" s="6" t="str">
        <f>_xlfn.XLOOKUP(Tableau17[[#This Row],[Isin]],Tableau1[Isin],Tableau1[Liste des sociétés])</f>
        <v>Unibail rodamco westfield</v>
      </c>
    </row>
    <row r="37" spans="1:26" ht="17">
      <c r="A37" s="31" t="s">
        <v>1225</v>
      </c>
      <c r="B37" s="39" t="s">
        <v>1223</v>
      </c>
      <c r="C37" s="83" t="s">
        <v>3184</v>
      </c>
      <c r="D37" s="83" t="s">
        <v>3211</v>
      </c>
      <c r="E37" s="83">
        <v>1965</v>
      </c>
      <c r="F37" s="31">
        <v>2000</v>
      </c>
      <c r="G37" s="31">
        <v>2022</v>
      </c>
      <c r="H37" s="31">
        <v>2025</v>
      </c>
      <c r="I37" s="31">
        <f>IF(2023-Tableau17[[#This Row],[Entrée dans la société]]&gt;100,"",2023-Tableau17[[#This Row],[Entrée dans la société]])</f>
        <v>23</v>
      </c>
      <c r="J37" s="83">
        <f>IF(2023-Tableau17[[#This Row],[Début de mandat]]&gt;100,"",2024-Tableau17[[#This Row],[Début de mandat]])</f>
        <v>2</v>
      </c>
      <c r="K37" s="19">
        <v>279342</v>
      </c>
      <c r="L37" s="19">
        <v>241726</v>
      </c>
      <c r="M37" s="19">
        <v>174528</v>
      </c>
      <c r="N37" s="19">
        <v>112984</v>
      </c>
      <c r="O37" s="17"/>
      <c r="P37" s="90"/>
      <c r="S37" s="31"/>
      <c r="U37" s="27">
        <v>9</v>
      </c>
      <c r="V37" s="15">
        <f>Tableau17[[#This Row],[Cours de l''action]]*Tableau17[[#This Row],[Nombre de titres au 31/12/2023]]</f>
        <v>2175534</v>
      </c>
      <c r="X37" s="6">
        <f>'Réf cellules RB'!A6</f>
        <v>5</v>
      </c>
      <c r="Y37" s="6">
        <f>_xlfn.XLOOKUP(Tableau17[[#This Row],[Isin]],Tableau1[Isin],Tableau1[Sum intérêt])</f>
        <v>3</v>
      </c>
      <c r="Z37" s="6" t="str">
        <f>_xlfn.XLOOKUP(Tableau17[[#This Row],[Isin]],Tableau1[Isin],Tableau1[Liste des sociétés])</f>
        <v>Valeo</v>
      </c>
    </row>
    <row r="38" spans="1:26" ht="17">
      <c r="A38" s="31" t="s">
        <v>1225</v>
      </c>
      <c r="B38" s="39"/>
      <c r="E38" s="83"/>
      <c r="H38" s="31"/>
      <c r="I38" s="31" t="str">
        <f>IF(2023-Tableau17[[#This Row],[Entrée dans la société]]&gt;100,"",2023-Tableau17[[#This Row],[Entrée dans la société]])</f>
        <v/>
      </c>
      <c r="J38" s="83" t="str">
        <f>IF(2023-Tableau17[[#This Row],[Début de mandat]]&gt;100,"",2024-Tableau17[[#This Row],[Début de mandat]])</f>
        <v/>
      </c>
      <c r="K38" s="83"/>
      <c r="L38" s="39"/>
      <c r="M38" s="31"/>
      <c r="N38" s="19"/>
      <c r="O38" s="17"/>
      <c r="P38" s="90"/>
      <c r="Q38" s="90"/>
      <c r="R38" s="90"/>
      <c r="S38" s="31"/>
      <c r="U38" s="27"/>
      <c r="V38" s="15"/>
      <c r="X38" s="6">
        <f>'Réf cellules RB'!A8</f>
        <v>7</v>
      </c>
      <c r="Y38" s="6">
        <f>_xlfn.XLOOKUP(Tableau17[[#This Row],[Isin]],Tableau1[Isin],Tableau1[Sum intérêt])</f>
        <v>3</v>
      </c>
      <c r="Z38" s="6" t="str">
        <f>_xlfn.XLOOKUP(Tableau17[[#This Row],[Isin]],Tableau1[Isin],Tableau1[Liste des sociétés])</f>
        <v>Valeo</v>
      </c>
    </row>
    <row r="39" spans="1:26" ht="17">
      <c r="A39" s="31" t="s">
        <v>264</v>
      </c>
      <c r="B39" s="39" t="s">
        <v>262</v>
      </c>
      <c r="C39" s="83" t="s">
        <v>3182</v>
      </c>
      <c r="D39" s="83" t="s">
        <v>3212</v>
      </c>
      <c r="E39" s="83">
        <v>1963</v>
      </c>
      <c r="F39" s="31">
        <v>1999</v>
      </c>
      <c r="G39" s="31">
        <v>1999</v>
      </c>
      <c r="H39" s="31">
        <v>2027</v>
      </c>
      <c r="I39" s="31">
        <f>IF(2023-Tableau17[[#This Row],[Entrée dans la société]]&gt;100,"",2023-Tableau17[[#This Row],[Entrée dans la société]])</f>
        <v>24</v>
      </c>
      <c r="J39" s="83">
        <f>IF(2023-Tableau17[[#This Row],[Début de mandat]]&gt;100,"",2024-Tableau17[[#This Row],[Début de mandat]])</f>
        <v>25</v>
      </c>
      <c r="K39" s="83"/>
      <c r="L39" s="39"/>
      <c r="M39" s="31"/>
      <c r="N39" s="19"/>
      <c r="O39" s="17">
        <v>10029</v>
      </c>
      <c r="P39" s="90">
        <v>3479</v>
      </c>
      <c r="S39" s="90"/>
      <c r="T39" s="90"/>
      <c r="U39" s="27">
        <v>50</v>
      </c>
      <c r="V39" s="15"/>
      <c r="W39" s="6" t="s">
        <v>3213</v>
      </c>
      <c r="X39" s="6">
        <f>'Réf cellules RB'!A23</f>
        <v>22</v>
      </c>
      <c r="Y39" s="6">
        <f>_xlfn.XLOOKUP(Tableau17[[#This Row],[Isin]],Tableau1[Isin],Tableau1[Sum intérêt])</f>
        <v>3</v>
      </c>
      <c r="Z39" s="6" t="str">
        <f>_xlfn.XLOOKUP(Tableau17[[#This Row],[Isin]],Tableau1[Isin],Tableau1[Liste des sociétés])</f>
        <v>Vicat</v>
      </c>
    </row>
    <row r="40" spans="1:26" ht="17">
      <c r="A40" s="31" t="s">
        <v>264</v>
      </c>
      <c r="B40" s="39"/>
      <c r="E40" s="83"/>
      <c r="G40" s="33"/>
      <c r="H40" s="31"/>
      <c r="I40" s="31" t="str">
        <f>IF(2023-Tableau17[[#This Row],[Entrée dans la société]]&gt;100,"",2023-Tableau17[[#This Row],[Entrée dans la société]])</f>
        <v/>
      </c>
      <c r="J40" s="83" t="str">
        <f>IF(2023-Tableau17[[#This Row],[Début de mandat]]&gt;100,"",2024-Tableau17[[#This Row],[Début de mandat]])</f>
        <v/>
      </c>
      <c r="K40" s="83"/>
      <c r="L40" s="39"/>
      <c r="M40" s="31"/>
      <c r="N40" s="19"/>
      <c r="O40" s="17"/>
      <c r="P40" s="90"/>
      <c r="S40" s="90"/>
      <c r="T40" s="90"/>
      <c r="U40" s="27"/>
      <c r="V40" s="15"/>
      <c r="X40" s="6">
        <f>'Réf cellules RB'!A24</f>
        <v>23</v>
      </c>
      <c r="Y40" s="6">
        <f>_xlfn.XLOOKUP(Tableau17[[#This Row],[Isin]],Tableau1[Isin],Tableau1[Sum intérêt])</f>
        <v>3</v>
      </c>
      <c r="Z40" s="6" t="str">
        <f>_xlfn.XLOOKUP(Tableau17[[#This Row],[Isin]],Tableau1[Isin],Tableau1[Liste des sociétés])</f>
        <v>Vicat</v>
      </c>
    </row>
    <row r="41" spans="1:26" ht="17">
      <c r="A41" s="31" t="s">
        <v>1144</v>
      </c>
      <c r="B41" s="39" t="s">
        <v>1141</v>
      </c>
      <c r="C41" s="83" t="s">
        <v>3184</v>
      </c>
      <c r="D41" s="83" t="s">
        <v>3214</v>
      </c>
      <c r="E41" s="83">
        <v>1970</v>
      </c>
      <c r="F41" s="31">
        <v>2006</v>
      </c>
      <c r="G41" s="31">
        <v>2017</v>
      </c>
      <c r="H41" s="31">
        <v>2026</v>
      </c>
      <c r="I41" s="31">
        <f>IF(2023-Tableau17[[#This Row],[Entrée dans la société]]&gt;100,"",2023-Tableau17[[#This Row],[Entrée dans la société]])</f>
        <v>17</v>
      </c>
      <c r="J41" s="83">
        <f>IF(2023-Tableau17[[#This Row],[Début de mandat]]&gt;100,"",2024-Tableau17[[#This Row],[Début de mandat]])</f>
        <v>7</v>
      </c>
      <c r="K41" s="83">
        <v>0</v>
      </c>
      <c r="L41" s="19">
        <v>3420</v>
      </c>
      <c r="M41" s="19">
        <v>2100</v>
      </c>
      <c r="N41" s="19">
        <v>1300</v>
      </c>
      <c r="O41" s="17"/>
      <c r="P41" s="90">
        <v>1103</v>
      </c>
      <c r="Q41" s="90">
        <v>9290</v>
      </c>
      <c r="R41" s="31">
        <v>945</v>
      </c>
      <c r="S41" s="31">
        <f>720+225</f>
        <v>945</v>
      </c>
      <c r="U41" s="27">
        <v>300</v>
      </c>
      <c r="V41" s="15"/>
      <c r="W41" s="26" t="s">
        <v>3215</v>
      </c>
      <c r="X41" s="6">
        <f>'Réf cellules RB'!A90</f>
        <v>89</v>
      </c>
      <c r="Y41" s="6">
        <f>_xlfn.XLOOKUP(Tableau17[[#This Row],[Isin]],Tableau1[Isin],Tableau1[Sum intérêt])</f>
        <v>3</v>
      </c>
      <c r="Z41" s="6" t="str">
        <f>_xlfn.XLOOKUP(Tableau17[[#This Row],[Isin]],Tableau1[Isin],Tableau1[Liste des sociétés])</f>
        <v>Virbac</v>
      </c>
    </row>
    <row r="42" spans="1:26" ht="17">
      <c r="A42" s="31" t="s">
        <v>1144</v>
      </c>
      <c r="B42" s="39"/>
      <c r="E42" s="83"/>
      <c r="G42" s="94"/>
      <c r="H42" s="31"/>
      <c r="I42" s="31" t="str">
        <f>IF(2023-Tableau17[[#This Row],[Entrée dans la société]]&gt;100,"",2023-Tableau17[[#This Row],[Entrée dans la société]])</f>
        <v/>
      </c>
      <c r="J42" s="83" t="str">
        <f>IF(2023-Tableau17[[#This Row],[Début de mandat]]&gt;100,"",2024-Tableau17[[#This Row],[Début de mandat]])</f>
        <v/>
      </c>
      <c r="K42" s="83"/>
      <c r="L42" s="39"/>
      <c r="M42" s="31"/>
      <c r="N42" s="19"/>
      <c r="O42" s="17"/>
      <c r="S42" s="31"/>
      <c r="U42" s="108"/>
      <c r="V42" s="15"/>
      <c r="W42" s="26" t="s">
        <v>3216</v>
      </c>
      <c r="X42" s="6">
        <f>'Réf cellules RB'!A102</f>
        <v>101</v>
      </c>
      <c r="Y42" s="6">
        <f>_xlfn.XLOOKUP(Tableau17[[#This Row],[Isin]],Tableau1[Isin],Tableau1[Sum intérêt])</f>
        <v>3</v>
      </c>
      <c r="Z42" s="6" t="str">
        <f>_xlfn.XLOOKUP(Tableau17[[#This Row],[Isin]],Tableau1[Isin],Tableau1[Liste des sociétés])</f>
        <v>Virbac</v>
      </c>
    </row>
    <row r="43" spans="1:26" ht="17">
      <c r="A43" s="121" t="s">
        <v>3217</v>
      </c>
      <c r="B43" s="155"/>
      <c r="E43" s="150"/>
      <c r="F43" s="33"/>
      <c r="G43" s="33"/>
      <c r="H43" s="31"/>
      <c r="I43" s="31" t="str">
        <f>IF(2023-Tableau17[[#This Row],[Entrée dans la société]]&gt;100,"",2023-Tableau17[[#This Row],[Entrée dans la société]])</f>
        <v/>
      </c>
      <c r="J43" s="83" t="str">
        <f>IF(2023-Tableau17[[#This Row],[Début de mandat]]&gt;100,"",2024-Tableau17[[#This Row],[Début de mandat]])</f>
        <v/>
      </c>
      <c r="K43" s="83"/>
      <c r="L43" s="39"/>
      <c r="M43" s="31"/>
      <c r="N43" s="19"/>
      <c r="O43" s="6"/>
      <c r="P43" s="90"/>
      <c r="Q43" s="90"/>
      <c r="R43" s="90"/>
      <c r="S43" s="90"/>
      <c r="T43" s="90"/>
      <c r="U43" s="27"/>
      <c r="V43" s="15"/>
      <c r="X43" s="6">
        <f>'Réf cellules RB'!A251</f>
        <v>250</v>
      </c>
      <c r="Y43" s="6">
        <f>_xlfn.XLOOKUP(Tableau17[[#This Row],[Isin]],Tableau1[Isin],Tableau1[Sum intérêt])</f>
        <v>4</v>
      </c>
      <c r="Z43" s="6">
        <f>_xlfn.XLOOKUP(Tableau17[[#This Row],[Isin]],Tableau1[Isin],Tableau1[Liste des sociétés])</f>
        <v>0</v>
      </c>
    </row>
    <row r="44" spans="1:26" ht="22">
      <c r="A44" s="143" t="s">
        <v>3218</v>
      </c>
      <c r="B44" s="156"/>
      <c r="C44" s="159"/>
      <c r="D44" s="147"/>
      <c r="E44" s="149"/>
      <c r="F44" s="73"/>
      <c r="G44" s="73"/>
      <c r="H44" s="72"/>
      <c r="I44" s="72" t="str">
        <f>IF(2023-Tableau17[[#This Row],[Entrée dans la société]]&gt;100,"",2023-Tableau17[[#This Row],[Entrée dans la société]])</f>
        <v/>
      </c>
      <c r="J44" s="147" t="str">
        <f>IF(2023-Tableau17[[#This Row],[Début de mandat]]&gt;100,"",2024-Tableau17[[#This Row],[Début de mandat]])</f>
        <v/>
      </c>
      <c r="K44" s="147"/>
      <c r="L44" s="144"/>
      <c r="M44" s="72"/>
      <c r="N44" s="99"/>
      <c r="O44" s="89"/>
      <c r="P44" s="87"/>
      <c r="Q44" s="87"/>
      <c r="R44" s="87"/>
      <c r="S44" s="87"/>
      <c r="T44" s="87"/>
      <c r="U44" s="100"/>
      <c r="V44" s="101"/>
      <c r="W44" s="89"/>
      <c r="X44" s="89">
        <f>'Réf cellules RB'!A246</f>
        <v>245</v>
      </c>
      <c r="Y44" s="89">
        <f>_xlfn.XLOOKUP(Tableau17[[#This Row],[Isin]],Tableau1[Isin],Tableau1[Sum intérêt])</f>
        <v>5</v>
      </c>
      <c r="Z44" s="89">
        <f>_xlfn.XLOOKUP(Tableau17[[#This Row],[Isin]],Tableau1[Isin],Tableau1[Liste des sociétés])</f>
        <v>0</v>
      </c>
    </row>
    <row r="45" spans="1:26" ht="17">
      <c r="A45" s="122" t="s">
        <v>3219</v>
      </c>
      <c r="B45" s="157" t="s">
        <v>3220</v>
      </c>
      <c r="C45" s="146"/>
      <c r="D45" s="146"/>
      <c r="E45" s="151"/>
      <c r="F45" s="79"/>
      <c r="G45" s="79"/>
      <c r="H45" s="80"/>
      <c r="I45" s="80" t="str">
        <f>IF(2023-Tableau17[[#This Row],[Entrée dans la société]]&gt;100,"",2023-Tableau17[[#This Row],[Entrée dans la société]])</f>
        <v/>
      </c>
      <c r="J45" s="146" t="str">
        <f>IF(2023-Tableau17[[#This Row],[Début de mandat]]&gt;100,"",2024-Tableau17[[#This Row],[Début de mandat]])</f>
        <v/>
      </c>
      <c r="K45" s="146"/>
      <c r="L45" s="145"/>
      <c r="M45" s="80"/>
      <c r="N45" s="111"/>
      <c r="O45" s="95"/>
      <c r="P45" s="81"/>
      <c r="Q45" s="81"/>
      <c r="R45" s="81"/>
      <c r="S45" s="81"/>
      <c r="T45" s="81"/>
      <c r="U45" s="112"/>
      <c r="V45" s="113">
        <f>U45*N45</f>
        <v>0</v>
      </c>
      <c r="W45" s="95"/>
      <c r="X45" s="95">
        <f>'Réf cellules RB'!A250</f>
        <v>249</v>
      </c>
      <c r="Y45" s="95">
        <f>_xlfn.XLOOKUP(Tableau17[[#This Row],[Isin]],Tableau1[Isin],Tableau1[Sum intérêt])</f>
        <v>6</v>
      </c>
      <c r="Z45" s="95">
        <f>_xlfn.XLOOKUP(Tableau17[[#This Row],[Isin]],Tableau1[Isin],Tableau1[Liste des sociétés])</f>
        <v>0</v>
      </c>
    </row>
    <row r="46" spans="1:26" ht="17">
      <c r="A46" s="31" t="s">
        <v>454</v>
      </c>
      <c r="B46" s="39" t="s">
        <v>3245</v>
      </c>
      <c r="C46" s="83" t="s">
        <v>3184</v>
      </c>
      <c r="D46" s="83" t="s">
        <v>3246</v>
      </c>
      <c r="E46" s="83">
        <v>1971</v>
      </c>
      <c r="F46" s="31">
        <v>1998</v>
      </c>
      <c r="G46" s="31">
        <v>2019</v>
      </c>
      <c r="H46" s="31">
        <v>2026</v>
      </c>
      <c r="I46" s="31">
        <f>IF(2023-Tableau17[[#This Row],[Entrée dans la société]]&gt;100,"",2023-Tableau17[[#This Row],[Entrée dans la société]])</f>
        <v>25</v>
      </c>
      <c r="J46" s="83">
        <f>IF(2023-Tableau17[[#This Row],[Début de mandat]]&gt;100,"",2024-Tableau17[[#This Row],[Début de mandat]])</f>
        <v>5</v>
      </c>
      <c r="K46" s="83"/>
      <c r="L46" s="39"/>
      <c r="M46" s="31"/>
      <c r="N46" s="19"/>
      <c r="O46" s="6"/>
      <c r="P46" s="90"/>
      <c r="Q46" s="90"/>
      <c r="R46" s="90"/>
      <c r="S46" s="90"/>
      <c r="T46" s="90"/>
      <c r="U46" s="27">
        <v>120</v>
      </c>
      <c r="V46" s="15">
        <f>U46*N46</f>
        <v>0</v>
      </c>
      <c r="X46" s="6">
        <f>'Réf cellules RB'!A272</f>
        <v>271</v>
      </c>
      <c r="Y46" s="6">
        <f>_xlfn.XLOOKUP(Tableau17[[#This Row],[Isin]],Tableau1[Isin],Tableau1[Sum intérêt])</f>
        <v>10</v>
      </c>
      <c r="Z46" s="6" t="str">
        <f>_xlfn.XLOOKUP(Tableau17[[#This Row],[Isin]],Tableau1[Isin],Tableau1[Liste des sociétés])</f>
        <v>Deme</v>
      </c>
    </row>
    <row r="47" spans="1:26" ht="17">
      <c r="A47" s="31" t="s">
        <v>454</v>
      </c>
      <c r="B47" s="39"/>
      <c r="E47" s="150"/>
      <c r="F47" s="33"/>
      <c r="G47" s="33"/>
      <c r="H47" s="31"/>
      <c r="I47" s="31" t="str">
        <f>IF(2023-Tableau17[[#This Row],[Entrée dans la société]]&gt;100,"",2023-Tableau17[[#This Row],[Entrée dans la société]])</f>
        <v/>
      </c>
      <c r="J47" s="83" t="str">
        <f>IF(2023-Tableau17[[#This Row],[Début de mandat]]&gt;100,"",2024-Tableau17[[#This Row],[Début de mandat]])</f>
        <v/>
      </c>
      <c r="K47" s="83"/>
      <c r="L47" s="39"/>
      <c r="M47" s="31"/>
      <c r="N47" s="19"/>
      <c r="O47" s="6"/>
      <c r="P47" s="90"/>
      <c r="Q47" s="90"/>
      <c r="R47" s="90"/>
      <c r="S47" s="90"/>
      <c r="T47" s="90"/>
      <c r="U47" s="27"/>
      <c r="V47" s="15"/>
      <c r="X47" s="6">
        <f>'Réf cellules RB'!A273</f>
        <v>272</v>
      </c>
      <c r="Y47" s="6">
        <f>_xlfn.XLOOKUP(Tableau17[[#This Row],[Isin]],Tableau1[Isin],Tableau1[Sum intérêt])</f>
        <v>10</v>
      </c>
      <c r="Z47" s="6" t="str">
        <f>_xlfn.XLOOKUP(Tableau17[[#This Row],[Isin]],Tableau1[Isin],Tableau1[Liste des sociétés])</f>
        <v>Deme</v>
      </c>
    </row>
    <row r="48" spans="1:26" ht="16" customHeight="1">
      <c r="A48" s="31" t="s">
        <v>4064</v>
      </c>
      <c r="B48" s="39" t="s">
        <v>4470</v>
      </c>
      <c r="C48" s="83" t="s">
        <v>3184</v>
      </c>
      <c r="D48" s="83" t="s">
        <v>4538</v>
      </c>
      <c r="E48" s="83">
        <v>1970</v>
      </c>
      <c r="F48" s="33"/>
      <c r="G48" s="31">
        <v>2019</v>
      </c>
      <c r="H48" s="31"/>
      <c r="I48" s="31" t="str">
        <f>IF(2023-Tableau17[[#This Row],[Entrée dans la société]]&gt;100,"",2023-Tableau17[[#This Row],[Entrée dans la société]])</f>
        <v/>
      </c>
      <c r="J48" s="83">
        <f>IF(2023-Tableau17[[#This Row],[Début de mandat]]&gt;100,"",2024-Tableau17[[#This Row],[Début de mandat]])</f>
        <v>5</v>
      </c>
      <c r="K48" s="83"/>
      <c r="L48" s="39"/>
      <c r="M48" s="31"/>
      <c r="N48" s="19"/>
      <c r="O48" s="6"/>
      <c r="P48" s="90"/>
      <c r="Q48" s="90"/>
      <c r="R48" s="90"/>
      <c r="S48" s="90"/>
      <c r="T48" s="90"/>
      <c r="U48" s="27">
        <v>40</v>
      </c>
      <c r="V48" s="15"/>
      <c r="X48" s="6">
        <f>'Réf cellules RB'!A270</f>
        <v>269</v>
      </c>
      <c r="Y48" s="6">
        <f>_xlfn.XLOOKUP(Tableau17[[#This Row],[Isin]],Tableau1[Isin],Tableau1[Sum intérêt])</f>
        <v>10</v>
      </c>
      <c r="Z48" s="6" t="str">
        <f>_xlfn.XLOOKUP(Tableau17[[#This Row],[Isin]],Tableau1[Isin],Tableau1[Liste des sociétés])</f>
        <v>Remy cointreau sa</v>
      </c>
    </row>
    <row r="49" spans="1:26" ht="17">
      <c r="A49" s="31" t="s">
        <v>4064</v>
      </c>
      <c r="B49" s="39"/>
      <c r="E49" s="150"/>
      <c r="F49" s="33"/>
      <c r="G49" s="33"/>
      <c r="H49" s="31"/>
      <c r="I49" s="31" t="str">
        <f>IF(2023-Tableau17[[#This Row],[Entrée dans la société]]&gt;100,"",2023-Tableau17[[#This Row],[Entrée dans la société]])</f>
        <v/>
      </c>
      <c r="J49" s="83" t="str">
        <f>IF(2023-Tableau17[[#This Row],[Début de mandat]]&gt;100,"",2024-Tableau17[[#This Row],[Début de mandat]])</f>
        <v/>
      </c>
      <c r="K49" s="83"/>
      <c r="L49" s="39"/>
      <c r="M49" s="31"/>
      <c r="N49" s="19"/>
      <c r="O49" s="6"/>
      <c r="P49" s="90"/>
      <c r="Q49" s="90"/>
      <c r="R49" s="90"/>
      <c r="S49" s="90"/>
      <c r="T49" s="90"/>
      <c r="U49" s="27"/>
      <c r="V49" s="15"/>
      <c r="X49" s="6">
        <f>'Réf cellules RB'!A271</f>
        <v>270</v>
      </c>
      <c r="Y49" s="6">
        <f>_xlfn.XLOOKUP(Tableau17[[#This Row],[Isin]],Tableau1[Isin],Tableau1[Sum intérêt])</f>
        <v>10</v>
      </c>
      <c r="Z49" s="6" t="str">
        <f>_xlfn.XLOOKUP(Tableau17[[#This Row],[Isin]],Tableau1[Isin],Tableau1[Liste des sociétés])</f>
        <v>Remy cointreau sa</v>
      </c>
    </row>
    <row r="50" spans="1:26" ht="17">
      <c r="A50" s="31" t="s">
        <v>4535</v>
      </c>
      <c r="B50" s="39" t="s">
        <v>3029</v>
      </c>
      <c r="C50" s="83" t="s">
        <v>3184</v>
      </c>
      <c r="D50" s="83" t="s">
        <v>4537</v>
      </c>
      <c r="E50" s="150"/>
      <c r="F50" s="33"/>
      <c r="G50" s="31">
        <v>2022</v>
      </c>
      <c r="H50" s="31"/>
      <c r="I50" s="31" t="str">
        <f>IF(2023-Tableau17[[#This Row],[Entrée dans la société]]&gt;100,"",2023-Tableau17[[#This Row],[Entrée dans la société]])</f>
        <v/>
      </c>
      <c r="J50" s="83">
        <f>IF(2023-Tableau17[[#This Row],[Début de mandat]]&gt;100,"",2024-Tableau17[[#This Row],[Début de mandat]])</f>
        <v>2</v>
      </c>
      <c r="K50" s="83"/>
      <c r="L50" s="39"/>
      <c r="M50" s="31"/>
      <c r="N50" s="19"/>
      <c r="O50" s="6"/>
      <c r="P50" s="90"/>
      <c r="Q50" s="90"/>
      <c r="R50" s="90"/>
      <c r="S50" s="90"/>
      <c r="T50" s="90"/>
      <c r="U50" s="27">
        <v>800</v>
      </c>
      <c r="V50" s="15"/>
      <c r="X50" s="6">
        <f>'Réf cellules RB'!A273</f>
        <v>272</v>
      </c>
      <c r="Y50" s="6">
        <f>_xlfn.XLOOKUP(Tableau17[[#This Row],[Isin]],Tableau1[Isin],Tableau1[Sum intérêt])</f>
        <v>10</v>
      </c>
      <c r="Z50" s="6" t="str">
        <f>_xlfn.XLOOKUP(Tableau17[[#This Row],[Isin]],Tableau1[Isin],Tableau1[Liste des sociétés])</f>
        <v>Robertet</v>
      </c>
    </row>
    <row r="51" spans="1:26" ht="17">
      <c r="A51" s="31" t="s">
        <v>4535</v>
      </c>
      <c r="B51" s="39"/>
      <c r="E51" s="150"/>
      <c r="F51" s="33"/>
      <c r="G51" s="33"/>
      <c r="H51" s="31"/>
      <c r="I51" s="31" t="str">
        <f>IF(2023-Tableau17[[#This Row],[Entrée dans la société]]&gt;100,"",2023-Tableau17[[#This Row],[Entrée dans la société]])</f>
        <v/>
      </c>
      <c r="J51" s="83" t="str">
        <f>IF(2023-Tableau17[[#This Row],[Début de mandat]]&gt;100,"",2024-Tableau17[[#This Row],[Début de mandat]])</f>
        <v/>
      </c>
      <c r="K51" s="83"/>
      <c r="L51" s="39"/>
      <c r="M51" s="31"/>
      <c r="N51" s="19"/>
      <c r="O51" s="6"/>
      <c r="P51" s="90"/>
      <c r="Q51" s="90"/>
      <c r="R51" s="90"/>
      <c r="S51" s="90"/>
      <c r="T51" s="90"/>
      <c r="U51" s="27"/>
      <c r="V51" s="15"/>
      <c r="X51" s="6">
        <f>'Réf cellules RB'!A258</f>
        <v>257</v>
      </c>
      <c r="Y51" s="6">
        <f>_xlfn.XLOOKUP(Tableau17[[#This Row],[Isin]],Tableau1[Isin],Tableau1[Sum intérêt])</f>
        <v>10</v>
      </c>
      <c r="Z51" s="6" t="str">
        <f>_xlfn.XLOOKUP(Tableau17[[#This Row],[Isin]],Tableau1[Isin],Tableau1[Liste des sociétés])</f>
        <v>Robertet</v>
      </c>
    </row>
    <row r="52" spans="1:26" ht="17">
      <c r="A52" s="31" t="s">
        <v>1540</v>
      </c>
      <c r="B52" s="39" t="s">
        <v>3229</v>
      </c>
      <c r="C52" s="83" t="s">
        <v>3184</v>
      </c>
      <c r="D52" s="83" t="s">
        <v>3230</v>
      </c>
      <c r="E52" s="83">
        <v>1969</v>
      </c>
      <c r="F52" s="31">
        <v>1999</v>
      </c>
      <c r="G52" s="31">
        <v>2015</v>
      </c>
      <c r="H52" s="110">
        <v>47880</v>
      </c>
      <c r="I52" s="31">
        <f>IF((2023-Tableau17[[#This Row],[Entrée dans la société]])&gt;1000,"",(2023-Tableau17[[#This Row],[Entrée dans la société]]))</f>
        <v>24</v>
      </c>
      <c r="J52" s="83">
        <f>IF(2023-Tableau17[[#This Row],[Début de mandat]]&gt;100,"",2024-Tableau17[[#This Row],[Début de mandat]])</f>
        <v>9</v>
      </c>
      <c r="K52" s="83"/>
      <c r="L52" s="39"/>
      <c r="M52" s="19">
        <v>320514</v>
      </c>
      <c r="N52" s="19">
        <v>264208</v>
      </c>
      <c r="O52" s="17">
        <v>197340</v>
      </c>
      <c r="P52" s="90">
        <v>132680</v>
      </c>
      <c r="S52" s="31"/>
      <c r="U52" s="27">
        <v>50</v>
      </c>
      <c r="V52" s="15">
        <f>U52*M52</f>
        <v>16025700</v>
      </c>
      <c r="W52" s="26"/>
      <c r="X52" s="6">
        <f>'Réf cellules RB'!A48</f>
        <v>47</v>
      </c>
      <c r="Y52" s="6">
        <f>_xlfn.XLOOKUP(Tableau17[[#This Row],[Isin]],Tableau1[Isin],Tableau1[Sum intérêt])</f>
        <v>10</v>
      </c>
      <c r="Z52" s="6" t="str">
        <f>_xlfn.XLOOKUP(Tableau17[[#This Row],[Isin]],Tableau1[Isin],Tableau1[Liste des sociétés])</f>
        <v>Siemens healthineers</v>
      </c>
    </row>
    <row r="53" spans="1:26" ht="17">
      <c r="A53" s="31" t="s">
        <v>1540</v>
      </c>
      <c r="B53" s="39"/>
      <c r="E53" s="83"/>
      <c r="G53" s="33"/>
      <c r="H53" s="110"/>
      <c r="I53" s="110" t="str">
        <f>IF(2023-Tableau17[[#This Row],[Entrée dans la société]]&gt;100,"",2023-Tableau17[[#This Row],[Entrée dans la société]])</f>
        <v/>
      </c>
      <c r="J53" s="83" t="str">
        <f>IF(2023-Tableau17[[#This Row],[Début de mandat]]&gt;100,"",2024-Tableau17[[#This Row],[Début de mandat]])</f>
        <v/>
      </c>
      <c r="K53" s="83"/>
      <c r="L53" s="39"/>
      <c r="M53" s="110"/>
      <c r="N53" s="19"/>
      <c r="O53" s="17"/>
      <c r="P53" s="90"/>
      <c r="S53" s="31"/>
      <c r="U53" s="27"/>
      <c r="V53" s="15"/>
      <c r="W53" s="26"/>
      <c r="X53" s="6">
        <f>'Réf cellules RB'!A49</f>
        <v>48</v>
      </c>
      <c r="Y53" s="6">
        <f>_xlfn.XLOOKUP(Tableau17[[#This Row],[Isin]],Tableau1[Isin],Tableau1[Sum intérêt])</f>
        <v>10</v>
      </c>
      <c r="Z53" s="6" t="str">
        <f>_xlfn.XLOOKUP(Tableau17[[#This Row],[Isin]],Tableau1[Isin],Tableau1[Liste des sociétés])</f>
        <v>Siemens healthineers</v>
      </c>
    </row>
    <row r="54" spans="1:26" ht="17">
      <c r="A54" s="122" t="s">
        <v>3231</v>
      </c>
      <c r="B54" s="157" t="s">
        <v>3232</v>
      </c>
      <c r="C54" s="146"/>
      <c r="D54" s="146"/>
      <c r="E54" s="151"/>
      <c r="F54" s="79"/>
      <c r="G54" s="79"/>
      <c r="H54" s="80"/>
      <c r="I54" s="80" t="str">
        <f>IF(2023-Tableau17[[#This Row],[Entrée dans la société]]&gt;100,"",2023-Tableau17[[#This Row],[Entrée dans la société]])</f>
        <v/>
      </c>
      <c r="J54" s="146" t="str">
        <f>IF(2023-Tableau17[[#This Row],[Début de mandat]]&gt;100,"",2024-Tableau17[[#This Row],[Début de mandat]])</f>
        <v/>
      </c>
      <c r="K54" s="146"/>
      <c r="L54" s="146"/>
      <c r="M54" s="80"/>
      <c r="N54" s="111"/>
      <c r="O54" s="95"/>
      <c r="P54" s="81"/>
      <c r="Q54" s="81"/>
      <c r="R54" s="81"/>
      <c r="S54" s="81"/>
      <c r="T54" s="81"/>
      <c r="U54" s="112"/>
      <c r="V54" s="113">
        <f>U54*N54</f>
        <v>0</v>
      </c>
      <c r="W54" s="95"/>
      <c r="X54" s="95">
        <f>'Réf cellules RB'!A247</f>
        <v>246</v>
      </c>
      <c r="Y54" s="95">
        <f>_xlfn.XLOOKUP(Tableau17[[#This Row],[Isin]],Tableau1[Isin],Tableau1[Sum intérêt])</f>
        <v>11</v>
      </c>
      <c r="Z54" s="95">
        <f>_xlfn.XLOOKUP(Tableau17[[#This Row],[Isin]],Tableau1[Isin],Tableau1[Liste des sociétés])</f>
        <v>0</v>
      </c>
    </row>
    <row r="55" spans="1:26" ht="17">
      <c r="A55" s="31" t="s">
        <v>753</v>
      </c>
      <c r="B55" s="39" t="s">
        <v>3233</v>
      </c>
      <c r="C55" s="83" t="s">
        <v>3182</v>
      </c>
      <c r="D55" s="83" t="s">
        <v>3234</v>
      </c>
      <c r="E55" s="83">
        <v>1963</v>
      </c>
      <c r="F55" s="31">
        <v>1998</v>
      </c>
      <c r="G55" s="31">
        <v>2017</v>
      </c>
      <c r="H55" s="94"/>
      <c r="I55" s="31">
        <f>IF(2023-Tableau17[[#This Row],[Entrée dans la société]]&gt;100,"",2023-Tableau17[[#This Row],[Entrée dans la société]])</f>
        <v>25</v>
      </c>
      <c r="J55" s="83">
        <f>IF(2023-Tableau17[[#This Row],[Début de mandat]]&gt;100,"",2024-Tableau17[[#This Row],[Début de mandat]])</f>
        <v>7</v>
      </c>
      <c r="K55" s="83"/>
      <c r="L55" s="39"/>
      <c r="M55" s="94"/>
      <c r="N55" s="19"/>
      <c r="O55" s="6"/>
      <c r="P55" s="104">
        <v>111928</v>
      </c>
      <c r="S55" s="31"/>
      <c r="U55" s="105">
        <v>367</v>
      </c>
      <c r="V55" s="15"/>
      <c r="W55" s="6" t="s">
        <v>3235</v>
      </c>
      <c r="X55" s="6">
        <f>'Réf cellules RB'!A206</f>
        <v>205</v>
      </c>
      <c r="Y55" s="6">
        <f>_xlfn.XLOOKUP(Tableau17[[#This Row],[Isin]],Tableau1[Isin],Tableau1[Sum intérêt])</f>
        <v>20</v>
      </c>
      <c r="Z55" s="6" t="str">
        <f>_xlfn.XLOOKUP(Tableau17[[#This Row],[Isin]],Tableau1[Isin],Tableau1[Liste des sociétés])</f>
        <v>Adobe system</v>
      </c>
    </row>
    <row r="56" spans="1:26" ht="17">
      <c r="A56" s="31" t="s">
        <v>753</v>
      </c>
      <c r="B56" s="39"/>
      <c r="E56" s="150"/>
      <c r="H56" s="94"/>
      <c r="I56" s="31" t="str">
        <f>IF(2023-Tableau17[[#This Row],[Entrée dans la société]]&gt;100,"",2023-Tableau17[[#This Row],[Entrée dans la société]])</f>
        <v/>
      </c>
      <c r="J56" s="83" t="str">
        <f>IF(2023-Tableau17[[#This Row],[Début de mandat]]&gt;100,"",2024-Tableau17[[#This Row],[Début de mandat]])</f>
        <v/>
      </c>
      <c r="K56" s="83"/>
      <c r="L56" s="39"/>
      <c r="M56" s="94"/>
      <c r="N56" s="19"/>
      <c r="O56" s="6"/>
      <c r="P56" s="106"/>
      <c r="S56" s="31"/>
      <c r="U56" s="105"/>
      <c r="V56" s="15"/>
      <c r="X56" s="6">
        <f>'Réf cellules RB'!A207</f>
        <v>206</v>
      </c>
      <c r="Y56" s="6">
        <f>_xlfn.XLOOKUP(Tableau17[[#This Row],[Isin]],Tableau1[Isin],Tableau1[Sum intérêt])</f>
        <v>20</v>
      </c>
      <c r="Z56" s="6" t="str">
        <f>_xlfn.XLOOKUP(Tableau17[[#This Row],[Isin]],Tableau1[Isin],Tableau1[Liste des sociétés])</f>
        <v>Adobe system</v>
      </c>
    </row>
    <row r="57" spans="1:26" ht="17">
      <c r="A57" s="31" t="s">
        <v>698</v>
      </c>
      <c r="B57" s="39" t="s">
        <v>696</v>
      </c>
      <c r="C57" s="83" t="s">
        <v>3182</v>
      </c>
      <c r="D57" s="83" t="s">
        <v>3221</v>
      </c>
      <c r="E57" s="83">
        <v>1969</v>
      </c>
      <c r="F57" s="31">
        <v>2006</v>
      </c>
      <c r="G57" s="31">
        <v>2006</v>
      </c>
      <c r="H57" s="31">
        <v>2026</v>
      </c>
      <c r="I57" s="31">
        <f>IF(2023-Tableau17[[#This Row],[Entrée dans la société]]&gt;100,"",2023-Tableau17[[#This Row],[Entrée dans la société]])</f>
        <v>17</v>
      </c>
      <c r="J57" s="83">
        <f>IF(2023-Tableau17[[#This Row],[Début de mandat]]&gt;100,"",2024-Tableau17[[#This Row],[Début de mandat]])</f>
        <v>18</v>
      </c>
      <c r="K57" s="83"/>
      <c r="L57" s="39"/>
      <c r="M57" s="19">
        <v>947542</v>
      </c>
      <c r="N57" s="19">
        <v>1022539</v>
      </c>
      <c r="O57" s="6"/>
      <c r="P57" s="90"/>
      <c r="Q57" s="90"/>
      <c r="R57" s="90"/>
      <c r="S57" s="90"/>
      <c r="T57" s="90"/>
      <c r="U57" s="27">
        <v>1400</v>
      </c>
      <c r="V57" s="15">
        <f>Tableau17[[#This Row],[Cours de l''action]]*Tableau17[[#This Row],[Nombre de titres au 31/12/2022]]</f>
        <v>1326558800</v>
      </c>
      <c r="W57" s="6" t="s">
        <v>3222</v>
      </c>
      <c r="X57" s="6">
        <f>'Réf cellules RB'!A275</f>
        <v>274</v>
      </c>
      <c r="Y57" s="6">
        <f>_xlfn.XLOOKUP(Tableau17[[#This Row],[Isin]],Tableau1[Isin],Tableau1[Sum intérêt])</f>
        <v>20</v>
      </c>
      <c r="Z57" s="6" t="str">
        <f>_xlfn.XLOOKUP(Tableau17[[#This Row],[Isin]],Tableau1[Isin],Tableau1[Liste des sociétés])</f>
        <v>Adyen nv</v>
      </c>
    </row>
    <row r="58" spans="1:26" ht="17">
      <c r="A58" s="31" t="s">
        <v>698</v>
      </c>
      <c r="B58" s="39"/>
      <c r="E58" s="150"/>
      <c r="F58" s="33"/>
      <c r="G58" s="33"/>
      <c r="H58" s="31"/>
      <c r="I58" s="31" t="str">
        <f>IF(2023-Tableau17[[#This Row],[Entrée dans la société]]&gt;100,"",2023-Tableau17[[#This Row],[Entrée dans la société]])</f>
        <v/>
      </c>
      <c r="J58" s="83" t="str">
        <f>IF(2023-Tableau17[[#This Row],[Début de mandat]]&gt;100,"",2024-Tableau17[[#This Row],[Début de mandat]])</f>
        <v/>
      </c>
      <c r="K58" s="83"/>
      <c r="L58" s="39"/>
      <c r="M58" s="31"/>
      <c r="N58" s="19"/>
      <c r="O58" s="6"/>
      <c r="P58" s="90"/>
      <c r="Q58" s="90"/>
      <c r="R58" s="90"/>
      <c r="S58" s="90"/>
      <c r="T58" s="90"/>
      <c r="U58" s="27"/>
      <c r="V58" s="15"/>
      <c r="X58" s="6">
        <f>'Réf cellules RB'!A280</f>
        <v>279</v>
      </c>
      <c r="Y58" s="6">
        <f>_xlfn.XLOOKUP(Tableau17[[#This Row],[Isin]],Tableau1[Isin],Tableau1[Sum intérêt])</f>
        <v>20</v>
      </c>
      <c r="Z58" s="6" t="str">
        <f>_xlfn.XLOOKUP(Tableau17[[#This Row],[Isin]],Tableau1[Isin],Tableau1[Liste des sociétés])</f>
        <v>Adyen nv</v>
      </c>
    </row>
    <row r="59" spans="1:26" ht="17">
      <c r="A59" s="31" t="s">
        <v>1048</v>
      </c>
      <c r="B59" s="39" t="s">
        <v>1044</v>
      </c>
      <c r="C59" s="83" t="s">
        <v>3184</v>
      </c>
      <c r="D59" s="83" t="s">
        <v>3185</v>
      </c>
      <c r="E59" s="83">
        <v>1971</v>
      </c>
      <c r="F59" s="31">
        <v>1995</v>
      </c>
      <c r="G59" s="31">
        <v>2021</v>
      </c>
      <c r="H59" s="31"/>
      <c r="I59" s="31">
        <f>IF(2023-Tableau17[[#This Row],[Entrée dans la société]]&gt;100,"",2023-Tableau17[[#This Row],[Entrée dans la société]])</f>
        <v>28</v>
      </c>
      <c r="J59" s="83">
        <f>IF(2023-Tableau17[[#This Row],[Début de mandat]]&gt;100,"",2024-Tableau17[[#This Row],[Début de mandat]])</f>
        <v>3</v>
      </c>
      <c r="K59" s="83"/>
      <c r="L59" s="19">
        <f>705+2232</f>
        <v>2937</v>
      </c>
      <c r="M59" s="19">
        <v>2084</v>
      </c>
      <c r="N59" s="19">
        <f>5169+1930</f>
        <v>7099</v>
      </c>
      <c r="O59" s="6"/>
      <c r="P59" s="90"/>
      <c r="Q59" s="90"/>
      <c r="R59" s="90"/>
      <c r="S59" s="90"/>
      <c r="T59" s="90"/>
      <c r="U59" s="27">
        <v>70</v>
      </c>
      <c r="V59" s="15">
        <f>Tableau17[[#This Row],[Cours de l''action]]*Tableau17[[#This Row],[Nombre de titres au 31/12/2023]]</f>
        <v>205590</v>
      </c>
      <c r="W59" s="6" t="s">
        <v>3186</v>
      </c>
      <c r="X59" s="6">
        <f>'Réf cellules RB'!A270</f>
        <v>269</v>
      </c>
      <c r="Y59" s="6">
        <f>_xlfn.XLOOKUP(Tableau17[[#This Row],[Isin]],Tableau1[Isin],Tableau1[Sum intérêt])</f>
        <v>20</v>
      </c>
      <c r="Z59" s="6" t="str">
        <f>_xlfn.XLOOKUP(Tableau17[[#This Row],[Isin]],Tableau1[Isin],Tableau1[Liste des sociétés])</f>
        <v>Amundi</v>
      </c>
    </row>
    <row r="60" spans="1:26" ht="17">
      <c r="A60" s="31" t="s">
        <v>1048</v>
      </c>
      <c r="B60" s="39"/>
      <c r="E60" s="83"/>
      <c r="F60" s="33"/>
      <c r="G60" s="33"/>
      <c r="H60" s="31"/>
      <c r="I60" s="31" t="str">
        <f>IF(2023-Tableau17[[#This Row],[Entrée dans la société]]&gt;100,"",2023-Tableau17[[#This Row],[Entrée dans la société]])</f>
        <v/>
      </c>
      <c r="J60" s="83" t="str">
        <f>IF(2023-Tableau17[[#This Row],[Début de mandat]]&gt;100,"",2024-Tableau17[[#This Row],[Début de mandat]])</f>
        <v/>
      </c>
      <c r="K60" s="83"/>
      <c r="L60" s="39"/>
      <c r="M60" s="31"/>
      <c r="N60" s="19"/>
      <c r="O60" s="6"/>
      <c r="P60" s="90"/>
      <c r="Q60" s="90"/>
      <c r="R60" s="90"/>
      <c r="S60" s="90"/>
      <c r="T60" s="90"/>
      <c r="U60" s="27"/>
      <c r="V60" s="15"/>
      <c r="X60" s="6">
        <f>'Réf cellules RB'!A78</f>
        <v>77</v>
      </c>
      <c r="Y60" s="6">
        <f>_xlfn.XLOOKUP(Tableau17[[#This Row],[Isin]],Tableau1[Isin],Tableau1[Sum intérêt])</f>
        <v>20</v>
      </c>
      <c r="Z60" s="6" t="str">
        <f>_xlfn.XLOOKUP(Tableau17[[#This Row],[Isin]],Tableau1[Isin],Tableau1[Liste des sociétés])</f>
        <v>Amundi</v>
      </c>
    </row>
    <row r="61" spans="1:26" ht="17">
      <c r="A61" s="31" t="s">
        <v>2449</v>
      </c>
      <c r="B61" s="39" t="s">
        <v>2448</v>
      </c>
      <c r="C61" s="83" t="s">
        <v>3182</v>
      </c>
      <c r="D61" s="83" t="s">
        <v>3313</v>
      </c>
      <c r="E61" s="83">
        <v>1963</v>
      </c>
      <c r="G61" s="31">
        <v>2006</v>
      </c>
      <c r="H61" s="31">
        <v>2028</v>
      </c>
      <c r="I61" s="31" t="str">
        <f>IF(2023-Tableau17[[#This Row],[Entrée dans la société]]&gt;100,"",2023-Tableau17[[#This Row],[Entrée dans la société]])</f>
        <v/>
      </c>
      <c r="J61" s="83">
        <f>IF(2023-Tableau17[[#This Row],[Début de mandat]]&gt;100,"",2024-Tableau17[[#This Row],[Début de mandat]])</f>
        <v>18</v>
      </c>
      <c r="K61" s="83"/>
      <c r="L61" s="19">
        <v>400699</v>
      </c>
      <c r="M61" s="31"/>
      <c r="N61" s="19"/>
      <c r="O61" s="6"/>
      <c r="S61" s="31"/>
      <c r="U61" s="107">
        <v>67</v>
      </c>
      <c r="V61" s="15">
        <f>Tableau17[[#This Row],[Cours de l''action]]*Tableau17[[#This Row],[Nombre de titres au 31/12/2023]]</f>
        <v>26846833</v>
      </c>
      <c r="W61" s="6" t="s">
        <v>3314</v>
      </c>
      <c r="X61" s="6">
        <f>'Réf cellules RB'!A119</f>
        <v>118</v>
      </c>
      <c r="Y61" s="6">
        <f>_xlfn.XLOOKUP(Tableau17[[#This Row],[Isin]],Tableau1[Isin],Tableau1[Sum intérêt])</f>
        <v>20</v>
      </c>
      <c r="Z61" s="6" t="str">
        <f>_xlfn.XLOOKUP(Tableau17[[#This Row],[Isin]],Tableau1[Isin],Tableau1[Liste des sociétés])</f>
        <v>Arkema</v>
      </c>
    </row>
    <row r="62" spans="1:26" ht="17">
      <c r="A62" s="31" t="s">
        <v>2449</v>
      </c>
      <c r="B62" s="39"/>
      <c r="E62" s="83"/>
      <c r="H62" s="31"/>
      <c r="I62" s="31" t="str">
        <f>IF(2023-Tableau17[[#This Row],[Entrée dans la société]]&gt;100,"",2023-Tableau17[[#This Row],[Entrée dans la société]])</f>
        <v/>
      </c>
      <c r="J62" s="83" t="str">
        <f>IF(2023-Tableau17[[#This Row],[Début de mandat]]&gt;100,"",2024-Tableau17[[#This Row],[Début de mandat]])</f>
        <v/>
      </c>
      <c r="K62" s="83"/>
      <c r="L62" s="39"/>
      <c r="M62" s="31"/>
      <c r="N62" s="19"/>
      <c r="O62" s="6"/>
      <c r="S62" s="31"/>
      <c r="U62" s="107"/>
      <c r="V62" s="15"/>
      <c r="X62" s="6">
        <f>'Réf cellules RB'!A120</f>
        <v>119</v>
      </c>
      <c r="Y62" s="6">
        <f>_xlfn.XLOOKUP(Tableau17[[#This Row],[Isin]],Tableau1[Isin],Tableau1[Sum intérêt])</f>
        <v>20</v>
      </c>
      <c r="Z62" s="6" t="str">
        <f>_xlfn.XLOOKUP(Tableau17[[#This Row],[Isin]],Tableau1[Isin],Tableau1[Liste des sociétés])</f>
        <v>Arkema</v>
      </c>
    </row>
    <row r="63" spans="1:26" ht="17">
      <c r="A63" s="31" t="s">
        <v>2681</v>
      </c>
      <c r="B63" s="39" t="s">
        <v>3236</v>
      </c>
      <c r="E63" s="150"/>
      <c r="F63" s="33"/>
      <c r="G63" s="33"/>
      <c r="H63" s="31"/>
      <c r="I63" s="31" t="str">
        <f>IF(2023-Tableau17[[#This Row],[Entrée dans la société]]&gt;100,"",2023-Tableau17[[#This Row],[Entrée dans la société]])</f>
        <v/>
      </c>
      <c r="J63" s="83" t="str">
        <f>IF(2023-Tableau17[[#This Row],[Début de mandat]]&gt;100,"",2024-Tableau17[[#This Row],[Début de mandat]])</f>
        <v/>
      </c>
      <c r="K63" s="83"/>
      <c r="L63" s="39"/>
      <c r="M63" s="31"/>
      <c r="N63" s="19"/>
      <c r="O63" s="6"/>
      <c r="P63" s="90"/>
      <c r="Q63" s="90"/>
      <c r="R63" s="90"/>
      <c r="S63" s="90"/>
      <c r="T63" s="90"/>
      <c r="U63" s="27">
        <v>1400</v>
      </c>
      <c r="V63" s="15"/>
      <c r="X63" s="6">
        <f>'Réf cellules RB'!A262</f>
        <v>261</v>
      </c>
      <c r="Y63" s="6">
        <f>_xlfn.XLOOKUP(Tableau17[[#This Row],[Isin]],Tableau1[Isin],Tableau1[Sum intérêt])</f>
        <v>20</v>
      </c>
      <c r="Z63" s="6" t="str">
        <f>_xlfn.XLOOKUP(Tableau17[[#This Row],[Isin]],Tableau1[Isin],Tableau1[Liste des sociétés])</f>
        <v>Asml holding nv</v>
      </c>
    </row>
    <row r="64" spans="1:26" ht="17">
      <c r="A64" s="31" t="s">
        <v>2681</v>
      </c>
      <c r="B64" s="39"/>
      <c r="E64" s="150"/>
      <c r="F64" s="33"/>
      <c r="G64" s="33"/>
      <c r="H64" s="31"/>
      <c r="I64" s="31" t="str">
        <f>IF(2023-Tableau17[[#This Row],[Entrée dans la société]]&gt;100,"",2023-Tableau17[[#This Row],[Entrée dans la société]])</f>
        <v/>
      </c>
      <c r="J64" s="83" t="str">
        <f>IF(2023-Tableau17[[#This Row],[Début de mandat]]&gt;100,"",2024-Tableau17[[#This Row],[Début de mandat]])</f>
        <v/>
      </c>
      <c r="K64" s="83"/>
      <c r="L64" s="39"/>
      <c r="M64" s="31"/>
      <c r="N64" s="19"/>
      <c r="O64" s="6"/>
      <c r="P64" s="90"/>
      <c r="Q64" s="90"/>
      <c r="R64" s="90"/>
      <c r="S64" s="90"/>
      <c r="T64" s="90"/>
      <c r="U64" s="27"/>
      <c r="V64" s="15">
        <f>U64*N64</f>
        <v>0</v>
      </c>
      <c r="X64" s="6">
        <f>'Réf cellules RB'!A206</f>
        <v>205</v>
      </c>
      <c r="Y64" s="6">
        <f>_xlfn.XLOOKUP(Tableau17[[#This Row],[Isin]],Tableau1[Isin],Tableau1[Sum intérêt])</f>
        <v>20</v>
      </c>
      <c r="Z64" s="6" t="str">
        <f>_xlfn.XLOOKUP(Tableau17[[#This Row],[Isin]],Tableau1[Isin],Tableau1[Liste des sociétés])</f>
        <v>Asml holding nv</v>
      </c>
    </row>
    <row r="65" spans="1:26" ht="17">
      <c r="A65" s="31" t="s">
        <v>1646</v>
      </c>
      <c r="B65" s="39" t="s">
        <v>3237</v>
      </c>
      <c r="C65" s="83" t="s">
        <v>3184</v>
      </c>
      <c r="D65" s="83" t="s">
        <v>3238</v>
      </c>
      <c r="E65" s="83">
        <v>1959</v>
      </c>
      <c r="F65" s="31">
        <v>1986</v>
      </c>
      <c r="G65" s="31">
        <v>2012</v>
      </c>
      <c r="H65" s="31"/>
      <c r="I65" s="31">
        <f>IF(2023-Tableau17[[#This Row],[Entrée dans la société]]&gt;100,"",2023-Tableau17[[#This Row],[Entrée dans la société]])</f>
        <v>37</v>
      </c>
      <c r="J65" s="83">
        <f>IF(2023-Tableau17[[#This Row],[Début de mandat]]&gt;100,"",2024-Tableau17[[#This Row],[Début de mandat]])</f>
        <v>12</v>
      </c>
      <c r="K65" s="83"/>
      <c r="L65" s="39"/>
      <c r="M65" s="31"/>
      <c r="N65" s="19"/>
      <c r="O65" s="6"/>
      <c r="S65" s="31"/>
      <c r="U65" s="107">
        <v>1200</v>
      </c>
      <c r="V65" s="15"/>
      <c r="W65" s="26"/>
      <c r="X65" s="6">
        <f>'Réf cellules RB'!A129</f>
        <v>128</v>
      </c>
      <c r="Y65" s="6">
        <f>_xlfn.XLOOKUP(Tableau17[[#This Row],[Isin]],Tableau1[Isin],Tableau1[Sum intérêt])</f>
        <v>20</v>
      </c>
      <c r="Z65" s="6" t="str">
        <f>_xlfn.XLOOKUP(Tableau17[[#This Row],[Isin]],Tableau1[Isin],Tableau1[Liste des sociétés])</f>
        <v>Astrazeneca</v>
      </c>
    </row>
    <row r="66" spans="1:26" ht="17">
      <c r="A66" s="31" t="s">
        <v>1646</v>
      </c>
      <c r="B66" s="39"/>
      <c r="E66" s="83"/>
      <c r="H66" s="31"/>
      <c r="I66" s="31" t="str">
        <f>IF(2023-Tableau17[[#This Row],[Entrée dans la société]]&gt;100,"",2023-Tableau17[[#This Row],[Entrée dans la société]])</f>
        <v/>
      </c>
      <c r="J66" s="83" t="str">
        <f>IF(2023-Tableau17[[#This Row],[Début de mandat]]&gt;100,"",2024-Tableau17[[#This Row],[Début de mandat]])</f>
        <v/>
      </c>
      <c r="K66" s="83"/>
      <c r="L66" s="39"/>
      <c r="M66" s="31"/>
      <c r="N66" s="19"/>
      <c r="O66" s="6"/>
      <c r="S66" s="31"/>
      <c r="U66" s="107"/>
      <c r="V66" s="15"/>
      <c r="W66" s="26"/>
      <c r="X66" s="6">
        <f>'Réf cellules RB'!A130</f>
        <v>129</v>
      </c>
      <c r="Y66" s="6">
        <f>_xlfn.XLOOKUP(Tableau17[[#This Row],[Isin]],Tableau1[Isin],Tableau1[Sum intérêt])</f>
        <v>20</v>
      </c>
      <c r="Z66" s="6" t="str">
        <f>_xlfn.XLOOKUP(Tableau17[[#This Row],[Isin]],Tableau1[Isin],Tableau1[Liste des sociétés])</f>
        <v>Astrazeneca</v>
      </c>
    </row>
    <row r="67" spans="1:26" ht="17">
      <c r="A67" s="31" t="s">
        <v>1977</v>
      </c>
      <c r="B67" s="39" t="s">
        <v>1974</v>
      </c>
      <c r="C67" s="83" t="s">
        <v>3184</v>
      </c>
      <c r="D67" s="83" t="s">
        <v>3189</v>
      </c>
      <c r="E67" s="83">
        <v>1961</v>
      </c>
      <c r="F67" s="31">
        <v>1993</v>
      </c>
      <c r="G67" s="31">
        <v>2010</v>
      </c>
      <c r="H67" s="31">
        <v>2028</v>
      </c>
      <c r="I67" s="31">
        <f>IF(2023-Tableau17[[#This Row],[Entrée dans la société]]&gt;100,"",2023-Tableau17[[#This Row],[Entrée dans la société]])</f>
        <v>30</v>
      </c>
      <c r="J67" s="83">
        <f>IF(2023-Tableau17[[#This Row],[Début de mandat]]&gt;100,"",2024-Tableau17[[#This Row],[Début de mandat]])</f>
        <v>14</v>
      </c>
      <c r="K67" s="83"/>
      <c r="L67" s="19">
        <v>111588</v>
      </c>
      <c r="M67" s="19">
        <v>109674</v>
      </c>
      <c r="N67" s="19">
        <v>107824</v>
      </c>
      <c r="O67" s="19">
        <v>106603</v>
      </c>
      <c r="P67" s="90">
        <v>95153</v>
      </c>
      <c r="S67" s="31"/>
      <c r="U67" s="27">
        <v>77</v>
      </c>
      <c r="V67" s="15">
        <f>Tableau17[[#This Row],[Cours de l''action]]*Tableau17[[#This Row],[Nombre de titres au 31/12/2023]]</f>
        <v>8592276</v>
      </c>
      <c r="W67" s="6" t="s">
        <v>3190</v>
      </c>
      <c r="X67" s="6">
        <f>'Réf cellules RB'!A3</f>
        <v>2</v>
      </c>
      <c r="Y67" s="6">
        <f>_xlfn.XLOOKUP(Tableau17[[#This Row],[Isin]],Tableau1[Isin],Tableau1[Sum intérêt])</f>
        <v>20</v>
      </c>
      <c r="Z67" s="6" t="str">
        <f>_xlfn.XLOOKUP(Tableau17[[#This Row],[Isin]],Tableau1[Isin],Tableau1[Liste des sociétés])</f>
        <v>Bnp paribas</v>
      </c>
    </row>
    <row r="68" spans="1:26" ht="17">
      <c r="A68" s="31" t="s">
        <v>1977</v>
      </c>
      <c r="E68" s="83"/>
      <c r="H68" s="31"/>
      <c r="I68" s="31" t="str">
        <f>IF(2023-Tableau17[[#This Row],[Entrée dans la société]]&gt;100,"",2023-Tableau17[[#This Row],[Entrée dans la société]])</f>
        <v/>
      </c>
      <c r="J68" s="83" t="str">
        <f>IF(2023-Tableau17[[#This Row],[Début de mandat]]&gt;100,"",2024-Tableau17[[#This Row],[Début de mandat]])</f>
        <v/>
      </c>
      <c r="K68" s="83"/>
      <c r="L68" s="39"/>
      <c r="M68" s="31"/>
      <c r="N68" s="19"/>
      <c r="O68" s="6"/>
      <c r="P68" s="90"/>
      <c r="S68" s="31"/>
      <c r="U68" s="107"/>
      <c r="V68" s="15"/>
      <c r="X68" s="6">
        <f>'Réf cellules RB'!A5</f>
        <v>4</v>
      </c>
      <c r="Y68" s="6">
        <f>_xlfn.XLOOKUP(Tableau17[[#This Row],[Isin]],Tableau1[Isin],Tableau1[Sum intérêt])</f>
        <v>20</v>
      </c>
      <c r="Z68" s="6" t="str">
        <f>_xlfn.XLOOKUP(Tableau17[[#This Row],[Isin]],Tableau1[Isin],Tableau1[Liste des sociétés])</f>
        <v>Bnp paribas</v>
      </c>
    </row>
    <row r="69" spans="1:26" ht="17">
      <c r="A69" s="31" t="s">
        <v>1935</v>
      </c>
      <c r="B69" s="39" t="s">
        <v>3319</v>
      </c>
      <c r="C69" s="83" t="s">
        <v>3184</v>
      </c>
      <c r="D69" s="83" t="s">
        <v>3320</v>
      </c>
      <c r="E69" s="83">
        <v>1964</v>
      </c>
      <c r="F69" s="31">
        <v>1995</v>
      </c>
      <c r="G69" s="31">
        <v>2021</v>
      </c>
      <c r="H69" s="31"/>
      <c r="I69" s="31">
        <f>IF(2023-Tableau17[[#This Row],[Entrée dans la société]]&gt;100,"",2023-Tableau17[[#This Row],[Entrée dans la société]])</f>
        <v>28</v>
      </c>
      <c r="J69" s="83">
        <f>IF(2023-Tableau17[[#This Row],[Début de mandat]]&gt;100,"",2024-Tableau17[[#This Row],[Début de mandat]])</f>
        <v>3</v>
      </c>
      <c r="K69" s="83"/>
      <c r="L69" s="39"/>
      <c r="M69" s="31"/>
      <c r="N69" s="19"/>
      <c r="O69" s="17"/>
      <c r="S69" s="31"/>
      <c r="U69" s="27">
        <v>35</v>
      </c>
      <c r="V69" s="15"/>
      <c r="W69" s="6" t="s">
        <v>3321</v>
      </c>
      <c r="X69" s="6">
        <f>'Réf cellules RB'!A110</f>
        <v>109</v>
      </c>
      <c r="Y69" s="6">
        <f>_xlfn.XLOOKUP(Tableau17[[#This Row],[Isin]],Tableau1[Isin],Tableau1[Sum intérêt])</f>
        <v>20</v>
      </c>
      <c r="Z69" s="6" t="str">
        <f>_xlfn.XLOOKUP(Tableau17[[#This Row],[Isin]],Tableau1[Isin],Tableau1[Liste des sociétés])</f>
        <v>Bouygues</v>
      </c>
    </row>
    <row r="70" spans="1:26" ht="17">
      <c r="A70" s="31" t="s">
        <v>1935</v>
      </c>
      <c r="B70" s="39"/>
      <c r="E70" s="83"/>
      <c r="G70" s="94"/>
      <c r="H70" s="33"/>
      <c r="I70" s="31" t="str">
        <f>IF(2023-Tableau17[[#This Row],[Entrée dans la société]]&gt;100,"",2023-Tableau17[[#This Row],[Entrée dans la société]])</f>
        <v/>
      </c>
      <c r="J70" s="83" t="str">
        <f>IF(2023-Tableau17[[#This Row],[Début de mandat]]&gt;100,"",2024-Tableau17[[#This Row],[Début de mandat]])</f>
        <v/>
      </c>
      <c r="K70" s="83"/>
      <c r="L70" s="39"/>
      <c r="M70" s="33"/>
      <c r="N70" s="19"/>
      <c r="O70" s="17"/>
      <c r="P70" s="90"/>
      <c r="S70" s="31"/>
      <c r="U70" s="27"/>
      <c r="V70" s="15"/>
      <c r="X70" s="6">
        <f>'Réf cellules RB'!A112</f>
        <v>111</v>
      </c>
      <c r="Y70" s="6">
        <f>_xlfn.XLOOKUP(Tableau17[[#This Row],[Isin]],Tableau1[Isin],Tableau1[Sum intérêt])</f>
        <v>20</v>
      </c>
      <c r="Z70" s="6" t="str">
        <f>_xlfn.XLOOKUP(Tableau17[[#This Row],[Isin]],Tableau1[Isin],Tableau1[Liste des sociétés])</f>
        <v>Bouygues</v>
      </c>
    </row>
    <row r="71" spans="1:26" ht="17">
      <c r="A71" s="31" t="s">
        <v>2794</v>
      </c>
      <c r="B71" s="39" t="s">
        <v>2791</v>
      </c>
      <c r="C71" s="83" t="s">
        <v>3184</v>
      </c>
      <c r="D71" s="83" t="s">
        <v>3239</v>
      </c>
      <c r="E71" s="83">
        <v>1970</v>
      </c>
      <c r="F71" s="31">
        <v>2022</v>
      </c>
      <c r="G71" s="31">
        <v>2023</v>
      </c>
      <c r="H71" s="31">
        <v>2027</v>
      </c>
      <c r="I71" s="31">
        <f>IF(2023-Tableau17[[#This Row],[Entrée dans la société]]&gt;100,"",2023-Tableau17[[#This Row],[Entrée dans la société]])</f>
        <v>1</v>
      </c>
      <c r="J71" s="83">
        <f>IF(2023-Tableau17[[#This Row],[Début de mandat]]&gt;100,"",2024-Tableau17[[#This Row],[Début de mandat]])</f>
        <v>1</v>
      </c>
      <c r="K71" s="83"/>
      <c r="L71" s="83">
        <v>0</v>
      </c>
      <c r="M71" s="19"/>
      <c r="N71" s="19"/>
      <c r="O71" s="103">
        <v>479225</v>
      </c>
      <c r="P71" s="104"/>
      <c r="S71" s="31"/>
      <c r="U71" s="105">
        <v>30</v>
      </c>
      <c r="V71" s="15">
        <f>Tableau17[[#This Row],[Cours de l''action]]*Tableau17[[#This Row],[Nombre de titres au 31/12/2022]]</f>
        <v>0</v>
      </c>
      <c r="X71" s="6">
        <f>'Réf cellules RB'!A233</f>
        <v>232</v>
      </c>
      <c r="Y71" s="6">
        <f>_xlfn.XLOOKUP(Tableau17[[#This Row],[Isin]],Tableau1[Isin],Tableau1[Sum intérêt])</f>
        <v>20</v>
      </c>
      <c r="Z71" s="6" t="str">
        <f>_xlfn.XLOOKUP(Tableau17[[#This Row],[Isin]],Tableau1[Isin],Tableau1[Liste des sociétés])</f>
        <v>Bureau veritas</v>
      </c>
    </row>
    <row r="72" spans="1:26" ht="17">
      <c r="A72" s="31" t="s">
        <v>2794</v>
      </c>
      <c r="B72" s="39"/>
      <c r="D72" s="83" t="s">
        <v>3240</v>
      </c>
      <c r="E72" s="83">
        <v>1963</v>
      </c>
      <c r="F72" s="31">
        <v>2022</v>
      </c>
      <c r="G72" s="31">
        <v>2022</v>
      </c>
      <c r="H72" s="31">
        <v>2025</v>
      </c>
      <c r="I72" s="31"/>
      <c r="J72" s="83">
        <f>IF(2023-Tableau17[[#This Row],[Début de mandat]]&gt;100,"",2024-Tableau17[[#This Row],[Début de mandat]])</f>
        <v>2</v>
      </c>
      <c r="K72" s="83"/>
      <c r="L72" s="39"/>
      <c r="M72" s="33"/>
      <c r="N72" s="19"/>
      <c r="O72" s="103">
        <v>12351</v>
      </c>
      <c r="P72" s="104"/>
      <c r="S72" s="31"/>
      <c r="U72" s="105"/>
      <c r="V72" s="15"/>
      <c r="X72" s="6">
        <f>'Réf cellules RB'!A234</f>
        <v>233</v>
      </c>
      <c r="Y72" s="6">
        <f>_xlfn.XLOOKUP(Tableau17[[#This Row],[Isin]],Tableau1[Isin],Tableau1[Sum intérêt])</f>
        <v>20</v>
      </c>
      <c r="Z72" s="6" t="str">
        <f>_xlfn.XLOOKUP(Tableau17[[#This Row],[Isin]],Tableau1[Isin],Tableau1[Liste des sociétés])</f>
        <v>Bureau veritas</v>
      </c>
    </row>
    <row r="73" spans="1:26" ht="17">
      <c r="A73" s="31" t="s">
        <v>2794</v>
      </c>
      <c r="B73" s="39"/>
      <c r="E73" s="152"/>
      <c r="G73" s="102"/>
      <c r="H73" s="33"/>
      <c r="I73" s="31" t="str">
        <f>IF(2023-Tableau17[[#This Row],[Entrée dans la société]]&gt;100,"",2023-Tableau17[[#This Row],[Entrée dans la société]])</f>
        <v/>
      </c>
      <c r="J73" s="83" t="str">
        <f>IF(2023-Tableau17[[#This Row],[Début de mandat]]&gt;100,"",2024-Tableau17[[#This Row],[Début de mandat]])</f>
        <v/>
      </c>
      <c r="K73" s="83"/>
      <c r="L73" s="39"/>
      <c r="M73" s="33"/>
      <c r="N73" s="19"/>
      <c r="O73" s="103"/>
      <c r="P73" s="106"/>
      <c r="S73" s="31"/>
      <c r="U73" s="105"/>
      <c r="V73" s="15"/>
      <c r="X73" s="6">
        <f>'Réf cellules RB'!A235</f>
        <v>234</v>
      </c>
      <c r="Y73" s="6">
        <f>_xlfn.XLOOKUP(Tableau17[[#This Row],[Isin]],Tableau1[Isin],Tableau1[Sum intérêt])</f>
        <v>20</v>
      </c>
      <c r="Z73" s="6" t="str">
        <f>_xlfn.XLOOKUP(Tableau17[[#This Row],[Isin]],Tableau1[Isin],Tableau1[Liste des sociétés])</f>
        <v>Bureau veritas</v>
      </c>
    </row>
    <row r="74" spans="1:26" ht="17">
      <c r="A74" s="31" t="s">
        <v>805</v>
      </c>
      <c r="B74" s="39" t="s">
        <v>3241</v>
      </c>
      <c r="C74" s="83" t="s">
        <v>3184</v>
      </c>
      <c r="D74" s="83" t="s">
        <v>3242</v>
      </c>
      <c r="E74" s="83">
        <v>1977</v>
      </c>
      <c r="F74" s="31">
        <v>2010</v>
      </c>
      <c r="G74" s="31">
        <v>2020</v>
      </c>
      <c r="H74" s="94"/>
      <c r="I74" s="31">
        <f>IF(2023-Tableau17[[#This Row],[Entrée dans la société]]&gt;100,"",2023-Tableau17[[#This Row],[Entrée dans la société]])</f>
        <v>13</v>
      </c>
      <c r="J74" s="83">
        <f>IF(2023-Tableau17[[#This Row],[Début de mandat]]&gt;100,"",2024-Tableau17[[#This Row],[Début de mandat]])</f>
        <v>4</v>
      </c>
      <c r="K74" s="83"/>
      <c r="L74" s="39"/>
      <c r="M74" s="94"/>
      <c r="N74" s="19"/>
      <c r="O74" s="103"/>
      <c r="P74" s="104">
        <v>39192054</v>
      </c>
      <c r="S74" s="31"/>
      <c r="U74" s="105">
        <v>100</v>
      </c>
      <c r="V74" s="15"/>
      <c r="W74" s="6" t="s">
        <v>3243</v>
      </c>
      <c r="X74" s="6">
        <f>'Réf cellules RB'!A210</f>
        <v>209</v>
      </c>
      <c r="Y74" s="6">
        <f>_xlfn.XLOOKUP(Tableau17[[#This Row],[Isin]],Tableau1[Isin],Tableau1[Sum intérêt])</f>
        <v>20</v>
      </c>
      <c r="Z74" s="6" t="str">
        <f>_xlfn.XLOOKUP(Tableau17[[#This Row],[Isin]],Tableau1[Isin],Tableau1[Liste des sociétés])</f>
        <v>Datadog</v>
      </c>
    </row>
    <row r="75" spans="1:26" ht="17">
      <c r="A75" s="31" t="s">
        <v>805</v>
      </c>
      <c r="B75" s="39"/>
      <c r="D75" s="83" t="s">
        <v>3244</v>
      </c>
      <c r="E75" s="83">
        <v>1975</v>
      </c>
      <c r="F75" s="31">
        <v>2010</v>
      </c>
      <c r="G75" s="31">
        <v>2020</v>
      </c>
      <c r="H75" s="94"/>
      <c r="I75" s="31">
        <f>IF(2023-Tableau17[[#This Row],[Entrée dans la société]]&gt;100,"",2023-Tableau17[[#This Row],[Entrée dans la société]])</f>
        <v>13</v>
      </c>
      <c r="J75" s="83">
        <f>IF(2023-Tableau17[[#This Row],[Début de mandat]]&gt;100,"",2024-Tableau17[[#This Row],[Début de mandat]])</f>
        <v>4</v>
      </c>
      <c r="K75" s="83"/>
      <c r="L75" s="39"/>
      <c r="M75" s="94"/>
      <c r="N75" s="19"/>
      <c r="O75" s="103"/>
      <c r="P75" s="104">
        <v>24645864</v>
      </c>
      <c r="S75" s="31"/>
      <c r="U75" s="105"/>
      <c r="V75" s="15"/>
      <c r="W75" s="6" t="s">
        <v>3243</v>
      </c>
      <c r="X75" s="6">
        <f>'Réf cellules RB'!A211</f>
        <v>210</v>
      </c>
      <c r="Y75" s="6">
        <f>_xlfn.XLOOKUP(Tableau17[[#This Row],[Isin]],Tableau1[Isin],Tableau1[Sum intérêt])</f>
        <v>20</v>
      </c>
      <c r="Z75" s="6" t="str">
        <f>_xlfn.XLOOKUP(Tableau17[[#This Row],[Isin]],Tableau1[Isin],Tableau1[Liste des sociétés])</f>
        <v>Datadog</v>
      </c>
    </row>
    <row r="76" spans="1:26" ht="17">
      <c r="A76" s="31" t="s">
        <v>805</v>
      </c>
      <c r="B76" s="39"/>
      <c r="E76" s="83"/>
      <c r="H76" s="94"/>
      <c r="I76" s="31" t="str">
        <f>IF(2023-Tableau17[[#This Row],[Entrée dans la société]]&gt;100,"",2023-Tableau17[[#This Row],[Entrée dans la société]])</f>
        <v/>
      </c>
      <c r="J76" s="83" t="str">
        <f>IF(2023-Tableau17[[#This Row],[Début de mandat]]&gt;100,"",2024-Tableau17[[#This Row],[Début de mandat]])</f>
        <v/>
      </c>
      <c r="K76" s="83"/>
      <c r="L76" s="39"/>
      <c r="M76" s="94"/>
      <c r="N76" s="19"/>
      <c r="O76" s="103"/>
      <c r="P76" s="106"/>
      <c r="S76" s="31"/>
      <c r="U76" s="105"/>
      <c r="V76" s="15"/>
      <c r="X76" s="6">
        <f>'Réf cellules RB'!A212</f>
        <v>211</v>
      </c>
      <c r="Y76" s="6">
        <f>_xlfn.XLOOKUP(Tableau17[[#This Row],[Isin]],Tableau1[Isin],Tableau1[Sum intérêt])</f>
        <v>20</v>
      </c>
      <c r="Z76" s="6" t="str">
        <f>_xlfn.XLOOKUP(Tableau17[[#This Row],[Isin]],Tableau1[Isin],Tableau1[Liste des sociétés])</f>
        <v>Datadog</v>
      </c>
    </row>
    <row r="77" spans="1:26" ht="17">
      <c r="A77" s="31" t="s">
        <v>1902</v>
      </c>
      <c r="B77" s="39" t="s">
        <v>3224</v>
      </c>
      <c r="C77" s="83" t="s">
        <v>3182</v>
      </c>
      <c r="D77" s="83" t="s">
        <v>3225</v>
      </c>
      <c r="E77" s="83">
        <v>1970</v>
      </c>
      <c r="F77" s="31">
        <v>1997</v>
      </c>
      <c r="G77" s="31">
        <v>2020</v>
      </c>
      <c r="H77" s="31"/>
      <c r="I77" s="31">
        <f>IF(2023-Tableau17[[#This Row],[Entrée dans la société]]&gt;100,"",2023-Tableau17[[#This Row],[Entrée dans la société]])</f>
        <v>26</v>
      </c>
      <c r="J77" s="83">
        <f>IF(2023-Tableau17[[#This Row],[Début de mandat]]&gt;100,"",2024-Tableau17[[#This Row],[Début de mandat]])</f>
        <v>4</v>
      </c>
      <c r="K77" s="83"/>
      <c r="L77" s="39"/>
      <c r="M77" s="31"/>
      <c r="N77" s="19"/>
      <c r="O77" s="17"/>
      <c r="P77" s="90"/>
      <c r="S77" s="31"/>
      <c r="U77" s="27">
        <v>480</v>
      </c>
      <c r="V77" s="15"/>
      <c r="X77" s="6">
        <f>'Réf cellules RB'!A113</f>
        <v>112</v>
      </c>
      <c r="Y77" s="6">
        <f>_xlfn.XLOOKUP(Tableau17[[#This Row],[Isin]],Tableau1[Isin],Tableau1[Sum intérêt])</f>
        <v>20</v>
      </c>
      <c r="Z77" s="6" t="str">
        <f>_xlfn.XLOOKUP(Tableau17[[#This Row],[Isin]],Tableau1[Isin],Tableau1[Liste des sociétés])</f>
        <v>Deere &amp; co</v>
      </c>
    </row>
    <row r="78" spans="1:26" ht="17">
      <c r="A78" s="31" t="s">
        <v>1902</v>
      </c>
      <c r="B78" s="39"/>
      <c r="E78" s="83"/>
      <c r="G78" s="94"/>
      <c r="H78" s="31"/>
      <c r="I78" s="31" t="str">
        <f>IF(2023-Tableau17[[#This Row],[Entrée dans la société]]&gt;100,"",2023-Tableau17[[#This Row],[Entrée dans la société]])</f>
        <v/>
      </c>
      <c r="J78" s="83" t="str">
        <f>IF(2023-Tableau17[[#This Row],[Début de mandat]]&gt;100,"",2024-Tableau17[[#This Row],[Début de mandat]])</f>
        <v/>
      </c>
      <c r="K78" s="83"/>
      <c r="L78" s="39"/>
      <c r="M78" s="31"/>
      <c r="N78" s="19"/>
      <c r="O78" s="17"/>
      <c r="P78" s="90"/>
      <c r="S78" s="31"/>
      <c r="U78" s="27"/>
      <c r="V78" s="15"/>
      <c r="X78" s="6">
        <f>'Réf cellules RB'!A114</f>
        <v>113</v>
      </c>
      <c r="Y78" s="6">
        <f>_xlfn.XLOOKUP(Tableau17[[#This Row],[Isin]],Tableau1[Isin],Tableau1[Sum intérêt])</f>
        <v>20</v>
      </c>
      <c r="Z78" s="6" t="str">
        <f>_xlfn.XLOOKUP(Tableau17[[#This Row],[Isin]],Tableau1[Isin],Tableau1[Liste des sociétés])</f>
        <v>Deere &amp; co</v>
      </c>
    </row>
    <row r="79" spans="1:26" ht="17">
      <c r="A79" s="31" t="s">
        <v>2397</v>
      </c>
      <c r="B79" s="39" t="s">
        <v>2395</v>
      </c>
      <c r="C79" s="83" t="s">
        <v>3182</v>
      </c>
      <c r="D79" s="83" t="s">
        <v>3247</v>
      </c>
      <c r="E79" s="83">
        <v>1971</v>
      </c>
      <c r="F79" s="31">
        <v>2015</v>
      </c>
      <c r="G79" s="31">
        <v>2015</v>
      </c>
      <c r="H79" s="31">
        <v>2026</v>
      </c>
      <c r="I79" s="31">
        <f>IF(2023-Tableau17[[#This Row],[Entrée dans la société]]&gt;100,"",2023-Tableau17[[#This Row],[Entrée dans la société]])</f>
        <v>8</v>
      </c>
      <c r="J79" s="83">
        <f>IF(2023-Tableau17[[#This Row],[Début de mandat]]&gt;100,"",2024-Tableau17[[#This Row],[Début de mandat]])</f>
        <v>9</v>
      </c>
      <c r="K79" s="83"/>
      <c r="L79" s="19">
        <v>86338</v>
      </c>
      <c r="M79" s="19">
        <v>127516</v>
      </c>
      <c r="N79" s="19">
        <v>83291</v>
      </c>
      <c r="O79" s="17">
        <f>P79-70000</f>
        <v>131027</v>
      </c>
      <c r="P79" s="90">
        <v>201027</v>
      </c>
      <c r="S79" s="31"/>
      <c r="U79" s="27">
        <v>30</v>
      </c>
      <c r="V79" s="15">
        <f>Tableau17[[#This Row],[Cours de l''action]]*Tableau17[[#This Row],[Nombre de titres au 31/12/2022]]</f>
        <v>3825480</v>
      </c>
      <c r="W79" s="6" t="s">
        <v>3248</v>
      </c>
      <c r="X79" s="6">
        <f>'Réf cellules RB'!A103</f>
        <v>102</v>
      </c>
      <c r="Y79" s="6">
        <f>_xlfn.XLOOKUP(Tableau17[[#This Row],[Isin]],Tableau1[Isin],Tableau1[Sum intérêt])</f>
        <v>20</v>
      </c>
      <c r="Z79" s="6" t="str">
        <f>_xlfn.XLOOKUP(Tableau17[[#This Row],[Isin]],Tableau1[Isin],Tableau1[Liste des sociétés])</f>
        <v>Edenred</v>
      </c>
    </row>
    <row r="80" spans="1:26" ht="17">
      <c r="A80" s="31" t="s">
        <v>2397</v>
      </c>
      <c r="B80" s="39"/>
      <c r="E80" s="83"/>
      <c r="H80" s="31"/>
      <c r="I80" s="31" t="str">
        <f>IF(2023-Tableau17[[#This Row],[Entrée dans la société]]&gt;100,"",2023-Tableau17[[#This Row],[Entrée dans la société]])</f>
        <v/>
      </c>
      <c r="J80" s="83" t="str">
        <f>IF(2023-Tableau17[[#This Row],[Début de mandat]]&gt;100,"",2024-Tableau17[[#This Row],[Début de mandat]])</f>
        <v/>
      </c>
      <c r="K80" s="83"/>
      <c r="L80" s="39"/>
      <c r="M80" s="31"/>
      <c r="N80" s="19"/>
      <c r="O80" s="17"/>
      <c r="S80" s="31"/>
      <c r="U80" s="107"/>
      <c r="V80" s="15"/>
      <c r="X80" s="6">
        <f>'Réf cellules RB'!A107</f>
        <v>106</v>
      </c>
      <c r="Y80" s="6">
        <f>_xlfn.XLOOKUP(Tableau17[[#This Row],[Isin]],Tableau1[Isin],Tableau1[Sum intérêt])</f>
        <v>20</v>
      </c>
      <c r="Z80" s="6" t="str">
        <f>_xlfn.XLOOKUP(Tableau17[[#This Row],[Isin]],Tableau1[Isin],Tableau1[Liste des sociétés])</f>
        <v>Edenred</v>
      </c>
    </row>
    <row r="81" spans="1:26" ht="17">
      <c r="A81" s="31" t="s">
        <v>1950</v>
      </c>
      <c r="B81" s="39" t="s">
        <v>1947</v>
      </c>
      <c r="C81" s="83" t="s">
        <v>3182</v>
      </c>
      <c r="D81" s="83" t="s">
        <v>3249</v>
      </c>
      <c r="E81" s="83">
        <v>1966</v>
      </c>
      <c r="F81" s="31">
        <v>2016</v>
      </c>
      <c r="G81" s="31">
        <v>2016</v>
      </c>
      <c r="H81" s="31">
        <v>2023</v>
      </c>
      <c r="I81" s="31">
        <f>IF(2023-Tableau17[[#This Row],[Entrée dans la société]]&gt;100,"",2023-Tableau17[[#This Row],[Entrée dans la société]])</f>
        <v>7</v>
      </c>
      <c r="J81" s="83">
        <f>IF(2023-Tableau17[[#This Row],[Début de mandat]]&gt;100,"",2024-Tableau17[[#This Row],[Début de mandat]])</f>
        <v>8</v>
      </c>
      <c r="K81" s="83"/>
      <c r="L81" s="39"/>
      <c r="M81" s="19">
        <v>65906</v>
      </c>
      <c r="N81" s="19"/>
      <c r="O81" s="19"/>
      <c r="P81" s="90">
        <v>25638</v>
      </c>
      <c r="S81" s="90">
        <v>11390</v>
      </c>
      <c r="U81" s="107">
        <v>110</v>
      </c>
      <c r="V81" s="15">
        <f>Tableau17[[#This Row],[Cours de l''action]]*Tableau17[[#This Row],[Nombre de titres au 31/12/2022]]</f>
        <v>7249660</v>
      </c>
      <c r="X81" s="6">
        <f>'Réf cellules RB'!A139</f>
        <v>138</v>
      </c>
      <c r="Y81" s="6">
        <f>_xlfn.XLOOKUP(Tableau17[[#This Row],[Isin]],Tableau1[Isin],Tableau1[Sum intérêt])</f>
        <v>20</v>
      </c>
      <c r="Z81" s="6" t="str">
        <f>_xlfn.XLOOKUP(Tableau17[[#This Row],[Isin]],Tableau1[Isin],Tableau1[Liste des sociétés])</f>
        <v>Eiffage</v>
      </c>
    </row>
    <row r="82" spans="1:26" ht="17">
      <c r="A82" s="31" t="s">
        <v>1950</v>
      </c>
      <c r="B82" s="39"/>
      <c r="E82" s="83"/>
      <c r="G82" s="33"/>
      <c r="H82" s="31"/>
      <c r="I82" s="31" t="str">
        <f>IF(2023-Tableau17[[#This Row],[Entrée dans la société]]&gt;100,"",2023-Tableau17[[#This Row],[Entrée dans la société]])</f>
        <v/>
      </c>
      <c r="J82" s="83" t="str">
        <f>IF(2023-Tableau17[[#This Row],[Début de mandat]]&gt;100,"",2024-Tableau17[[#This Row],[Début de mandat]])</f>
        <v/>
      </c>
      <c r="K82" s="83"/>
      <c r="L82" s="39"/>
      <c r="M82" s="31"/>
      <c r="N82" s="19"/>
      <c r="O82" s="19"/>
      <c r="P82" s="90"/>
      <c r="S82" s="90"/>
      <c r="U82" s="107"/>
      <c r="V82" s="15"/>
      <c r="X82" s="6">
        <f>'Réf cellules RB'!A140</f>
        <v>139</v>
      </c>
      <c r="Y82" s="6">
        <f>_xlfn.XLOOKUP(Tableau17[[#This Row],[Isin]],Tableau1[Isin],Tableau1[Sum intérêt])</f>
        <v>20</v>
      </c>
      <c r="Z82" s="6" t="str">
        <f>_xlfn.XLOOKUP(Tableau17[[#This Row],[Isin]],Tableau1[Isin],Tableau1[Liste des sociétés])</f>
        <v>Eiffage</v>
      </c>
    </row>
    <row r="83" spans="1:26" ht="17">
      <c r="A83" s="31" t="s">
        <v>537</v>
      </c>
      <c r="B83" s="39" t="s">
        <v>3250</v>
      </c>
      <c r="C83" s="83" t="s">
        <v>3184</v>
      </c>
      <c r="D83" s="83" t="s">
        <v>3251</v>
      </c>
      <c r="E83" s="83">
        <v>1971</v>
      </c>
      <c r="F83" s="31">
        <v>1999</v>
      </c>
      <c r="G83" s="31">
        <v>2008</v>
      </c>
      <c r="H83" s="31">
        <v>2026</v>
      </c>
      <c r="I83" s="31">
        <f>IF(2023-Tableau17[[#This Row],[Entrée dans la société]]&gt;100,"",2023-Tableau17[[#This Row],[Entrée dans la société]])</f>
        <v>24</v>
      </c>
      <c r="J83" s="83">
        <f>IF(2023-Tableau17[[#This Row],[Début de mandat]]&gt;100,"",2024-Tableau17[[#This Row],[Début de mandat]])</f>
        <v>16</v>
      </c>
      <c r="K83" s="83"/>
      <c r="L83" s="19">
        <v>688791</v>
      </c>
      <c r="M83" s="19">
        <v>533393</v>
      </c>
      <c r="N83" s="19">
        <v>452965</v>
      </c>
      <c r="O83" s="19">
        <v>379826</v>
      </c>
      <c r="S83" s="90">
        <v>97867</v>
      </c>
      <c r="T83" s="90">
        <v>68000</v>
      </c>
      <c r="U83" s="27">
        <v>21</v>
      </c>
      <c r="V83" s="15">
        <f>U83*M83</f>
        <v>11201253</v>
      </c>
      <c r="X83" s="6">
        <f>'Réf cellules RB'!A9</f>
        <v>8</v>
      </c>
      <c r="Y83" s="6">
        <f>_xlfn.XLOOKUP(Tableau17[[#This Row],[Isin]],Tableau1[Isin],Tableau1[Sum intérêt])</f>
        <v>20</v>
      </c>
      <c r="Z83" s="6" t="str">
        <f>_xlfn.XLOOKUP(Tableau17[[#This Row],[Isin]],Tableau1[Isin],Tableau1[Liste des sociétés])</f>
        <v>Elis</v>
      </c>
    </row>
    <row r="84" spans="1:26" ht="17">
      <c r="A84" s="31" t="s">
        <v>537</v>
      </c>
      <c r="B84" s="39"/>
      <c r="E84" s="150"/>
      <c r="F84" s="33"/>
      <c r="G84" s="33"/>
      <c r="H84" s="33"/>
      <c r="I84" s="31" t="str">
        <f>IF(2023-Tableau17[[#This Row],[Entrée dans la société]]&gt;100,"",2023-Tableau17[[#This Row],[Entrée dans la société]])</f>
        <v/>
      </c>
      <c r="J84" s="83" t="str">
        <f>IF(2023-Tableau17[[#This Row],[Début de mandat]]&gt;100,"",2024-Tableau17[[#This Row],[Début de mandat]])</f>
        <v/>
      </c>
      <c r="K84" s="83"/>
      <c r="L84" s="39"/>
      <c r="M84" s="19"/>
      <c r="N84" s="19"/>
      <c r="O84" s="19"/>
      <c r="S84" s="90"/>
      <c r="T84" s="90"/>
      <c r="U84" s="27"/>
      <c r="V84" s="15"/>
      <c r="X84" s="6">
        <f>'Réf cellules RB'!A13</f>
        <v>12</v>
      </c>
      <c r="Y84" s="6">
        <f>_xlfn.XLOOKUP(Tableau17[[#This Row],[Isin]],Tableau1[Isin],Tableau1[Sum intérêt])</f>
        <v>20</v>
      </c>
      <c r="Z84" s="6" t="str">
        <f>_xlfn.XLOOKUP(Tableau17[[#This Row],[Isin]],Tableau1[Isin],Tableau1[Liste des sociétés])</f>
        <v>Elis</v>
      </c>
    </row>
    <row r="85" spans="1:26" ht="17">
      <c r="A85" s="31" t="s">
        <v>374</v>
      </c>
      <c r="B85" s="39" t="s">
        <v>370</v>
      </c>
      <c r="E85" s="150"/>
      <c r="F85" s="33"/>
      <c r="G85" s="33"/>
      <c r="H85" s="31"/>
      <c r="I85" s="31" t="str">
        <f>IF(2023-Tableau17[[#This Row],[Entrée dans la société]]&gt;100,"",2023-Tableau17[[#This Row],[Entrée dans la société]])</f>
        <v/>
      </c>
      <c r="J85" s="83" t="str">
        <f>IF(2023-Tableau17[[#This Row],[Début de mandat]]&gt;100,"",2024-Tableau17[[#This Row],[Début de mandat]])</f>
        <v/>
      </c>
      <c r="K85" s="83"/>
      <c r="L85" s="39"/>
      <c r="M85" s="31"/>
      <c r="N85" s="19"/>
      <c r="O85" s="6"/>
      <c r="P85" s="90"/>
      <c r="Q85" s="90"/>
      <c r="R85" s="90"/>
      <c r="S85" s="90"/>
      <c r="T85" s="90"/>
      <c r="U85" s="27">
        <v>18</v>
      </c>
      <c r="V85" s="15"/>
      <c r="X85" s="6">
        <f>'Réf cellules RB'!A269</f>
        <v>268</v>
      </c>
      <c r="Y85" s="6">
        <f>_xlfn.XLOOKUP(Tableau17[[#This Row],[Isin]],Tableau1[Isin],Tableau1[Sum intérêt])</f>
        <v>20</v>
      </c>
      <c r="Z85" s="6" t="str">
        <f>_xlfn.XLOOKUP(Tableau17[[#This Row],[Isin]],Tableau1[Isin],Tableau1[Liste des sociétés])</f>
        <v>Engie</v>
      </c>
    </row>
    <row r="86" spans="1:26" ht="17">
      <c r="A86" s="165" t="s">
        <v>374</v>
      </c>
      <c r="B86" s="39"/>
      <c r="E86" s="150"/>
      <c r="F86" s="33"/>
      <c r="G86" s="33"/>
      <c r="H86" s="31"/>
      <c r="I86" s="31" t="str">
        <f>IF(2023-Tableau17[[#This Row],[Entrée dans la société]]&gt;100,"",2023-Tableau17[[#This Row],[Entrée dans la société]])</f>
        <v/>
      </c>
      <c r="J86" s="83" t="str">
        <f>IF(2023-Tableau17[[#This Row],[Début de mandat]]&gt;100,"",2024-Tableau17[[#This Row],[Début de mandat]])</f>
        <v/>
      </c>
      <c r="K86" s="83"/>
      <c r="L86" s="39"/>
      <c r="M86" s="31"/>
      <c r="N86" s="19"/>
      <c r="O86" s="6"/>
      <c r="P86" s="90"/>
      <c r="Q86" s="90"/>
      <c r="R86" s="90"/>
      <c r="S86" s="90"/>
      <c r="T86" s="90"/>
      <c r="U86" s="27"/>
      <c r="V86" s="15"/>
      <c r="X86" s="6">
        <f>'Réf cellules RB'!A261</f>
        <v>260</v>
      </c>
      <c r="Y86" s="6">
        <f>_xlfn.XLOOKUP(Tableau17[[#This Row],[Isin]],Tableau1[Isin],Tableau1[Sum intérêt])</f>
        <v>20</v>
      </c>
      <c r="Z86" s="6" t="str">
        <f>_xlfn.XLOOKUP(Tableau17[[#This Row],[Isin]],Tableau1[Isin],Tableau1[Liste des sociétés])</f>
        <v>Engie</v>
      </c>
    </row>
    <row r="87" spans="1:26" ht="17">
      <c r="A87" s="31" t="s">
        <v>1514</v>
      </c>
      <c r="B87" s="39" t="s">
        <v>3252</v>
      </c>
      <c r="D87" s="83" t="s">
        <v>3253</v>
      </c>
      <c r="E87" s="83">
        <v>1935</v>
      </c>
      <c r="F87" s="31">
        <v>1961</v>
      </c>
      <c r="G87" s="31">
        <v>2018</v>
      </c>
      <c r="H87" s="31">
        <v>2021</v>
      </c>
      <c r="I87" s="31">
        <f>IF(2023-Tableau17[[#This Row],[Entrée dans la société]]&gt;100,"",2023-Tableau17[[#This Row],[Entrée dans la société]])</f>
        <v>62</v>
      </c>
      <c r="J87" s="83">
        <f>IF(2023-Tableau17[[#This Row],[Début de mandat]]&gt;100,"",2024-Tableau17[[#This Row],[Début de mandat]])</f>
        <v>6</v>
      </c>
      <c r="K87" s="83"/>
      <c r="L87" s="39"/>
      <c r="M87" s="31"/>
      <c r="N87" s="19"/>
      <c r="O87" s="6"/>
      <c r="P87" s="114" t="s">
        <v>3254</v>
      </c>
      <c r="Q87" s="114" t="s">
        <v>3255</v>
      </c>
      <c r="S87" s="31"/>
      <c r="U87" s="105">
        <v>250</v>
      </c>
      <c r="V87" s="15"/>
      <c r="W87" s="6" t="s">
        <v>3256</v>
      </c>
      <c r="X87" s="6">
        <f>'Réf cellules RB'!A196</f>
        <v>195</v>
      </c>
      <c r="Y87" s="6">
        <f>_xlfn.XLOOKUP(Tableau17[[#This Row],[Isin]],Tableau1[Isin],Tableau1[Sum intérêt])</f>
        <v>20</v>
      </c>
      <c r="Z87" s="6" t="str">
        <f>_xlfn.XLOOKUP(Tableau17[[#This Row],[Isin]],Tableau1[Isin],Tableau1[Liste des sociétés])</f>
        <v>Essilor luxottica</v>
      </c>
    </row>
    <row r="88" spans="1:26" ht="17">
      <c r="A88" s="31" t="s">
        <v>1514</v>
      </c>
      <c r="B88" s="39"/>
      <c r="D88" s="83" t="s">
        <v>3257</v>
      </c>
      <c r="E88" s="83">
        <v>1955</v>
      </c>
      <c r="F88" s="31">
        <v>1989</v>
      </c>
      <c r="G88" s="31">
        <v>2018</v>
      </c>
      <c r="H88" s="31">
        <v>2021</v>
      </c>
      <c r="I88" s="31">
        <f>IF(2023-Tableau17[[#This Row],[Entrée dans la société]]&gt;100,"",2023-Tableau17[[#This Row],[Entrée dans la société]])</f>
        <v>34</v>
      </c>
      <c r="J88" s="83">
        <f>IF(2023-Tableau17[[#This Row],[Début de mandat]]&gt;100,"",2024-Tableau17[[#This Row],[Début de mandat]])</f>
        <v>6</v>
      </c>
      <c r="K88" s="83"/>
      <c r="L88" s="39"/>
      <c r="M88" s="31"/>
      <c r="N88" s="19"/>
      <c r="O88" s="6"/>
      <c r="P88" s="114" t="s">
        <v>3258</v>
      </c>
      <c r="Q88" s="114" t="s">
        <v>3259</v>
      </c>
      <c r="S88" s="31"/>
      <c r="U88" s="107"/>
      <c r="V88" s="15"/>
      <c r="X88" s="6">
        <f>'Réf cellules RB'!A197</f>
        <v>196</v>
      </c>
      <c r="Y88" s="6">
        <f>_xlfn.XLOOKUP(Tableau17[[#This Row],[Isin]],Tableau1[Isin],Tableau1[Sum intérêt])</f>
        <v>20</v>
      </c>
      <c r="Z88" s="6" t="str">
        <f>_xlfn.XLOOKUP(Tableau17[[#This Row],[Isin]],Tableau1[Isin],Tableau1[Liste des sociétés])</f>
        <v>Essilor luxottica</v>
      </c>
    </row>
    <row r="89" spans="1:26" ht="17">
      <c r="A89" s="31" t="s">
        <v>1514</v>
      </c>
      <c r="B89" s="39"/>
      <c r="E89" s="83"/>
      <c r="H89" s="31"/>
      <c r="I89" s="31" t="str">
        <f>IF(2023-Tableau17[[#This Row],[Entrée dans la société]]&gt;100,"",2023-Tableau17[[#This Row],[Entrée dans la société]])</f>
        <v/>
      </c>
      <c r="J89" s="83" t="str">
        <f>IF(2023-Tableau17[[#This Row],[Début de mandat]]&gt;100,"",2024-Tableau17[[#This Row],[Début de mandat]])</f>
        <v/>
      </c>
      <c r="K89" s="83"/>
      <c r="L89" s="39"/>
      <c r="M89" s="31"/>
      <c r="N89" s="19"/>
      <c r="O89" s="6"/>
      <c r="S89" s="31"/>
      <c r="U89" s="107"/>
      <c r="V89" s="15"/>
      <c r="X89" s="6">
        <f>'Réf cellules RB'!A198</f>
        <v>197</v>
      </c>
      <c r="Y89" s="6">
        <f>_xlfn.XLOOKUP(Tableau17[[#This Row],[Isin]],Tableau1[Isin],Tableau1[Sum intérêt])</f>
        <v>20</v>
      </c>
      <c r="Z89" s="6" t="str">
        <f>_xlfn.XLOOKUP(Tableau17[[#This Row],[Isin]],Tableau1[Isin],Tableau1[Liste des sociétés])</f>
        <v>Essilor luxottica</v>
      </c>
    </row>
    <row r="90" spans="1:26" ht="17">
      <c r="A90" s="31" t="s">
        <v>2341</v>
      </c>
      <c r="B90" s="39" t="s">
        <v>2338</v>
      </c>
      <c r="C90" s="83" t="s">
        <v>3182</v>
      </c>
      <c r="D90" s="83" t="s">
        <v>3260</v>
      </c>
      <c r="E90" s="83">
        <v>1964</v>
      </c>
      <c r="F90" s="31">
        <v>2015</v>
      </c>
      <c r="G90" s="31">
        <v>2015</v>
      </c>
      <c r="H90" s="31">
        <v>2027</v>
      </c>
      <c r="I90" s="31">
        <f>IF(2023-Tableau17[[#This Row],[Entrée dans la société]]&gt;100,"",2023-Tableau17[[#This Row],[Entrée dans la société]])</f>
        <v>8</v>
      </c>
      <c r="J90" s="83">
        <f>IF(2023-Tableau17[[#This Row],[Début de mandat]]&gt;100,"",2024-Tableau17[[#This Row],[Début de mandat]])</f>
        <v>9</v>
      </c>
      <c r="K90" s="83"/>
      <c r="L90" s="19">
        <v>22522</v>
      </c>
      <c r="M90" s="19">
        <v>50000</v>
      </c>
      <c r="N90" s="19">
        <v>36000</v>
      </c>
      <c r="O90" s="17">
        <v>19472</v>
      </c>
      <c r="P90" s="90">
        <v>11381</v>
      </c>
      <c r="S90" s="31"/>
      <c r="U90" s="27">
        <v>130</v>
      </c>
      <c r="V90" s="15">
        <f>U90*M90</f>
        <v>6500000</v>
      </c>
      <c r="W90" s="6" t="s">
        <v>3261</v>
      </c>
      <c r="X90" s="6">
        <f>'Réf cellules RB'!A25</f>
        <v>24</v>
      </c>
      <c r="Y90" s="6">
        <f>_xlfn.XLOOKUP(Tableau17[[#This Row],[Isin]],Tableau1[Isin],Tableau1[Sum intérêt])</f>
        <v>20</v>
      </c>
      <c r="Z90" s="6" t="str">
        <f>_xlfn.XLOOKUP(Tableau17[[#This Row],[Isin]],Tableau1[Isin],Tableau1[Liste des sociétés])</f>
        <v>Euronext</v>
      </c>
    </row>
    <row r="91" spans="1:26" ht="17">
      <c r="A91" s="31" t="s">
        <v>2341</v>
      </c>
      <c r="B91" s="39"/>
      <c r="E91" s="83"/>
      <c r="G91" s="94"/>
      <c r="H91" s="31"/>
      <c r="I91" s="31" t="str">
        <f>IF(2023-Tableau17[[#This Row],[Entrée dans la société]]&gt;100,"",2023-Tableau17[[#This Row],[Entrée dans la société]])</f>
        <v/>
      </c>
      <c r="J91" s="83" t="str">
        <f>IF(2023-Tableau17[[#This Row],[Début de mandat]]&gt;100,"",2024-Tableau17[[#This Row],[Début de mandat]])</f>
        <v/>
      </c>
      <c r="K91" s="83"/>
      <c r="L91" s="39"/>
      <c r="M91" s="19"/>
      <c r="N91" s="19"/>
      <c r="O91" s="6"/>
      <c r="R91" s="90"/>
      <c r="S91" s="90"/>
      <c r="T91" s="90"/>
      <c r="U91" s="27"/>
      <c r="V91" s="15"/>
      <c r="X91" s="6">
        <f>'Réf cellules RB'!A151</f>
        <v>150</v>
      </c>
      <c r="Y91" s="6">
        <f>_xlfn.XLOOKUP(Tableau17[[#This Row],[Isin]],Tableau1[Isin],Tableau1[Sum intérêt])</f>
        <v>20</v>
      </c>
      <c r="Z91" s="6" t="str">
        <f>_xlfn.XLOOKUP(Tableau17[[#This Row],[Isin]],Tableau1[Isin],Tableau1[Liste des sociétés])</f>
        <v>Euronext</v>
      </c>
    </row>
    <row r="92" spans="1:26" ht="17">
      <c r="A92" s="31" t="s">
        <v>1569</v>
      </c>
      <c r="B92" s="39" t="s">
        <v>1567</v>
      </c>
      <c r="C92" s="83" t="s">
        <v>3182</v>
      </c>
      <c r="D92" s="83" t="s">
        <v>3262</v>
      </c>
      <c r="E92" s="83">
        <v>1964</v>
      </c>
      <c r="F92" s="83">
        <v>2008</v>
      </c>
      <c r="G92" s="83">
        <v>2022</v>
      </c>
      <c r="H92" s="83"/>
      <c r="I92" s="31">
        <f>IF(2023-Tableau17[[#This Row],[Entrée dans la société]]&gt;100,"",2023-Tableau17[[#This Row],[Entrée dans la société]])</f>
        <v>15</v>
      </c>
      <c r="J92" s="83">
        <f>IF(2023-Tableau17[[#This Row],[Début de mandat]]&gt;100,"",2024-Tableau17[[#This Row],[Début de mandat]])</f>
        <v>2</v>
      </c>
      <c r="K92" s="83"/>
      <c r="L92" s="39"/>
      <c r="M92" s="31"/>
      <c r="N92" s="19"/>
      <c r="O92" s="6"/>
      <c r="P92" s="90"/>
      <c r="Q92" s="90"/>
      <c r="R92" s="90"/>
      <c r="S92" s="90"/>
      <c r="T92" s="90"/>
      <c r="U92" s="27">
        <v>90</v>
      </c>
      <c r="V92" s="15"/>
      <c r="X92" s="6">
        <f>'Réf cellules RB'!A255</f>
        <v>254</v>
      </c>
      <c r="Y92" s="6">
        <f>_xlfn.XLOOKUP(Tableau17[[#This Row],[Isin]],Tableau1[Isin],Tableau1[Sum intérêt])</f>
        <v>20</v>
      </c>
      <c r="Z92" s="6" t="str">
        <f>_xlfn.XLOOKUP(Tableau17[[#This Row],[Isin]],Tableau1[Isin],Tableau1[Liste des sociétés])</f>
        <v>General Electric Healthcare</v>
      </c>
    </row>
    <row r="93" spans="1:26" ht="17">
      <c r="A93" s="31" t="s">
        <v>1569</v>
      </c>
      <c r="B93" s="39"/>
      <c r="E93" s="150"/>
      <c r="F93" s="33"/>
      <c r="G93" s="33"/>
      <c r="H93" s="31"/>
      <c r="I93" s="31" t="str">
        <f>IF(2023-Tableau17[[#This Row],[Entrée dans la société]]&gt;100,"",2023-Tableau17[[#This Row],[Entrée dans la société]])</f>
        <v/>
      </c>
      <c r="J93" s="83" t="str">
        <f>IF(2023-Tableau17[[#This Row],[Début de mandat]]&gt;100,"",2024-Tableau17[[#This Row],[Début de mandat]])</f>
        <v/>
      </c>
      <c r="K93" s="83"/>
      <c r="L93" s="39"/>
      <c r="M93" s="31"/>
      <c r="N93" s="19"/>
      <c r="O93" s="6"/>
      <c r="P93" s="90"/>
      <c r="Q93" s="90"/>
      <c r="R93" s="90"/>
      <c r="S93" s="90"/>
      <c r="T93" s="90"/>
      <c r="U93" s="27"/>
      <c r="V93" s="15"/>
      <c r="X93" s="6">
        <f>'Réf cellules RB'!A108</f>
        <v>107</v>
      </c>
      <c r="Y93" s="6">
        <f>_xlfn.XLOOKUP(Tableau17[[#This Row],[Isin]],Tableau1[Isin],Tableau1[Sum intérêt])</f>
        <v>20</v>
      </c>
      <c r="Z93" s="6" t="str">
        <f>_xlfn.XLOOKUP(Tableau17[[#This Row],[Isin]],Tableau1[Isin],Tableau1[Liste des sociétés])</f>
        <v>General Electric Healthcare</v>
      </c>
    </row>
    <row r="94" spans="1:26" ht="17">
      <c r="A94" s="31" t="s">
        <v>3012</v>
      </c>
      <c r="B94" s="39" t="s">
        <v>3009</v>
      </c>
      <c r="C94" s="83" t="s">
        <v>3184</v>
      </c>
      <c r="D94" s="83" t="s">
        <v>3263</v>
      </c>
      <c r="E94" s="83">
        <v>1961</v>
      </c>
      <c r="F94" s="31">
        <v>1993</v>
      </c>
      <c r="G94" s="31">
        <v>2006</v>
      </c>
      <c r="H94" s="94"/>
      <c r="I94" s="31">
        <f>IF(2023-Tableau17[[#This Row],[Entrée dans la société]]&gt;100,"",2023-Tableau17[[#This Row],[Entrée dans la société]])</f>
        <v>30</v>
      </c>
      <c r="J94" s="83">
        <f>IF(2023-Tableau17[[#This Row],[Début de mandat]]&gt;100,"",2024-Tableau17[[#This Row],[Début de mandat]])</f>
        <v>18</v>
      </c>
      <c r="K94" s="83"/>
      <c r="L94" s="39"/>
      <c r="M94" s="19">
        <v>4714</v>
      </c>
      <c r="N94" s="19"/>
      <c r="O94" s="19"/>
      <c r="P94" s="90"/>
      <c r="Q94" s="90"/>
      <c r="R94" s="90"/>
      <c r="S94" s="90"/>
      <c r="T94" s="90"/>
      <c r="U94" s="27">
        <v>4000</v>
      </c>
      <c r="V94" s="15"/>
      <c r="X94" s="6">
        <f>'Réf cellules RB'!A254</f>
        <v>253</v>
      </c>
      <c r="Y94" s="6">
        <f>_xlfn.XLOOKUP(Tableau17[[#This Row],[Isin]],Tableau1[Isin],Tableau1[Sum intérêt])</f>
        <v>20</v>
      </c>
      <c r="Z94" s="6" t="str">
        <f>_xlfn.XLOOKUP(Tableau17[[#This Row],[Isin]],Tableau1[Isin],Tableau1[Liste des sociétés])</f>
        <v>Givaudan sa</v>
      </c>
    </row>
    <row r="95" spans="1:26" ht="17">
      <c r="A95" s="31" t="s">
        <v>3012</v>
      </c>
      <c r="B95" s="39"/>
      <c r="E95" s="83"/>
      <c r="G95" s="33"/>
      <c r="H95" s="94"/>
      <c r="I95" s="31" t="str">
        <f>IF(2023-Tableau17[[#This Row],[Entrée dans la société]]&gt;100,"",2023-Tableau17[[#This Row],[Entrée dans la société]])</f>
        <v/>
      </c>
      <c r="J95" s="83" t="str">
        <f>IF(2023-Tableau17[[#This Row],[Début de mandat]]&gt;100,"",2024-Tableau17[[#This Row],[Début de mandat]])</f>
        <v/>
      </c>
      <c r="K95" s="83"/>
      <c r="L95" s="39"/>
      <c r="M95" s="94"/>
      <c r="N95" s="19"/>
      <c r="O95" s="19"/>
      <c r="P95" s="90"/>
      <c r="Q95" s="90"/>
      <c r="R95" s="90"/>
      <c r="S95" s="90"/>
      <c r="T95" s="90"/>
      <c r="U95" s="27"/>
      <c r="V95" s="15"/>
      <c r="X95" s="6">
        <f>'Réf cellules RB'!A181</f>
        <v>180</v>
      </c>
      <c r="Y95" s="6">
        <f>_xlfn.XLOOKUP(Tableau17[[#This Row],[Isin]],Tableau1[Isin],Tableau1[Sum intérêt])</f>
        <v>20</v>
      </c>
      <c r="Z95" s="6" t="str">
        <f>_xlfn.XLOOKUP(Tableau17[[#This Row],[Isin]],Tableau1[Isin],Tableau1[Liste des sociétés])</f>
        <v>Givaudan sa</v>
      </c>
    </row>
    <row r="96" spans="1:26" ht="17">
      <c r="A96" s="31" t="s">
        <v>2311</v>
      </c>
      <c r="B96" s="39" t="s">
        <v>2307</v>
      </c>
      <c r="C96" s="83" t="s">
        <v>3182</v>
      </c>
      <c r="D96" s="83" t="s">
        <v>4540</v>
      </c>
      <c r="E96" s="83">
        <v>1981</v>
      </c>
      <c r="F96" s="31">
        <v>2020</v>
      </c>
      <c r="G96" s="31">
        <v>2024</v>
      </c>
      <c r="H96" s="31"/>
      <c r="I96" s="31">
        <f>IF(2023-Tableau17[[#This Row],[Entrée dans la société]]&gt;100,"",2023-Tableau17[[#This Row],[Entrée dans la société]])</f>
        <v>3</v>
      </c>
      <c r="J96" s="83">
        <f>IF(2023-Tableau17[[#This Row],[Début de mandat]]&gt;100,"",2024-Tableau17[[#This Row],[Début de mandat]])</f>
        <v>0</v>
      </c>
      <c r="K96" s="83"/>
      <c r="L96" s="39"/>
      <c r="M96" s="19"/>
      <c r="N96" s="19"/>
      <c r="O96" s="17"/>
      <c r="P96" s="90"/>
      <c r="Q96" s="90"/>
      <c r="S96" s="31"/>
      <c r="U96" s="27">
        <v>140</v>
      </c>
      <c r="V96" s="15">
        <f>Tableau17[[#This Row],[Cours de l''action]]*Tableau17[[#This Row],[Nombre de titres au 31/12/2023]]</f>
        <v>0</v>
      </c>
      <c r="X96" s="6">
        <f>'Réf cellules RB'!A38</f>
        <v>37</v>
      </c>
      <c r="Y96" s="6">
        <f>_xlfn.XLOOKUP(Tableau17[[#This Row],[Isin]],Tableau1[Isin],Tableau1[Sum intérêt])</f>
        <v>20</v>
      </c>
      <c r="Z96" s="6" t="str">
        <f>_xlfn.XLOOKUP(Tableau17[[#This Row],[Isin]],Tableau1[Isin],Tableau1[Liste des sociétés])</f>
        <v>Gtt</v>
      </c>
    </row>
    <row r="97" spans="1:26" ht="17">
      <c r="A97" s="31" t="s">
        <v>2311</v>
      </c>
      <c r="B97" s="39"/>
      <c r="E97" s="83"/>
      <c r="H97" s="31"/>
      <c r="I97" s="31" t="str">
        <f>IF(2023-Tableau17[[#This Row],[Entrée dans la société]]&gt;100,"",2023-Tableau17[[#This Row],[Entrée dans la société]])</f>
        <v/>
      </c>
      <c r="J97" s="83" t="str">
        <f>IF(2023-Tableau17[[#This Row],[Début de mandat]]&gt;100,"",2024-Tableau17[[#This Row],[Début de mandat]])</f>
        <v/>
      </c>
      <c r="K97" s="83"/>
      <c r="L97" s="39"/>
      <c r="M97" s="19"/>
      <c r="N97" s="19"/>
      <c r="O97" s="17"/>
      <c r="P97" s="90"/>
      <c r="S97" s="31"/>
      <c r="U97" s="27"/>
      <c r="V97" s="15"/>
      <c r="X97" s="6">
        <f>'Réf cellules RB'!A40</f>
        <v>39</v>
      </c>
      <c r="Y97" s="6">
        <f>_xlfn.XLOOKUP(Tableau17[[#This Row],[Isin]],Tableau1[Isin],Tableau1[Sum intérêt])</f>
        <v>20</v>
      </c>
      <c r="Z97" s="6" t="str">
        <f>_xlfn.XLOOKUP(Tableau17[[#This Row],[Isin]],Tableau1[Isin],Tableau1[Liste des sociétés])</f>
        <v>Gtt</v>
      </c>
    </row>
    <row r="98" spans="1:26" ht="17">
      <c r="A98" s="165" t="s">
        <v>2717</v>
      </c>
      <c r="B98" s="167" t="s">
        <v>2716</v>
      </c>
      <c r="C98" s="83" t="s">
        <v>3184</v>
      </c>
      <c r="D98" s="83" t="s">
        <v>3264</v>
      </c>
      <c r="E98" s="83">
        <v>1968</v>
      </c>
      <c r="F98" s="83">
        <v>1999</v>
      </c>
      <c r="G98" s="83">
        <v>2022</v>
      </c>
      <c r="H98" s="83">
        <v>2027</v>
      </c>
      <c r="I98" s="31">
        <f>IF(2023-Tableau17[[#This Row],[Entrée dans la société]]&gt;100,"",2023-Tableau17[[#This Row],[Entrée dans la société]])</f>
        <v>24</v>
      </c>
      <c r="J98" s="83">
        <f>IF(2023-Tableau17[[#This Row],[Début de mandat]]&gt;100,"",2024-Tableau17[[#This Row],[Début de mandat]])</f>
        <v>2</v>
      </c>
      <c r="K98" s="83"/>
      <c r="L98" s="39"/>
      <c r="M98" s="31"/>
      <c r="N98" s="19"/>
      <c r="O98" s="6"/>
      <c r="P98" s="90"/>
      <c r="Q98" s="90"/>
      <c r="R98" s="90"/>
      <c r="S98" s="90"/>
      <c r="T98" s="90"/>
      <c r="U98" s="27">
        <v>33</v>
      </c>
      <c r="V98" s="15"/>
      <c r="X98" s="6">
        <f>'Réf cellules RB'!A260</f>
        <v>259</v>
      </c>
      <c r="Y98" s="6">
        <f>_xlfn.XLOOKUP(Tableau17[[#This Row],[Isin]],Tableau1[Isin],Tableau1[Sum intérêt])</f>
        <v>20</v>
      </c>
      <c r="Z98" s="6" t="str">
        <f>_xlfn.XLOOKUP(Tableau17[[#This Row],[Isin]],Tableau1[Isin],Tableau1[Liste des sociétés])</f>
        <v>Infineon technologies ag</v>
      </c>
    </row>
    <row r="99" spans="1:26" ht="17">
      <c r="A99" s="165" t="s">
        <v>2717</v>
      </c>
      <c r="B99" s="166"/>
      <c r="E99" s="150"/>
      <c r="F99" s="33"/>
      <c r="G99" s="33"/>
      <c r="H99" s="31"/>
      <c r="I99" s="31" t="str">
        <f>IF(2023-Tableau17[[#This Row],[Entrée dans la société]]&gt;100,"",2023-Tableau17[[#This Row],[Entrée dans la société]])</f>
        <v/>
      </c>
      <c r="J99" s="83" t="str">
        <f>IF(2023-Tableau17[[#This Row],[Début de mandat]]&gt;100,"",2024-Tableau17[[#This Row],[Début de mandat]])</f>
        <v/>
      </c>
      <c r="K99" s="83"/>
      <c r="L99" s="39"/>
      <c r="M99" s="31"/>
      <c r="N99" s="19"/>
      <c r="O99" s="6"/>
      <c r="P99" s="90"/>
      <c r="Q99" s="90"/>
      <c r="R99" s="90"/>
      <c r="S99" s="90"/>
      <c r="T99" s="90"/>
      <c r="U99" s="27"/>
      <c r="V99" s="15"/>
      <c r="X99" s="6">
        <f>'Réf cellules RB'!A261</f>
        <v>260</v>
      </c>
      <c r="Y99" s="6">
        <f>_xlfn.XLOOKUP(Tableau17[[#This Row],[Isin]],Tableau1[Isin],Tableau1[Sum intérêt])</f>
        <v>20</v>
      </c>
      <c r="Z99" s="6" t="str">
        <f>_xlfn.XLOOKUP(Tableau17[[#This Row],[Isin]],Tableau1[Isin],Tableau1[Liste des sociétés])</f>
        <v>Infineon technologies ag</v>
      </c>
    </row>
    <row r="100" spans="1:26" ht="17">
      <c r="A100" s="31" t="s">
        <v>2578</v>
      </c>
      <c r="B100" s="20" t="s">
        <v>3265</v>
      </c>
      <c r="C100" s="83" t="s">
        <v>3182</v>
      </c>
      <c r="D100" s="83" t="s">
        <v>3266</v>
      </c>
      <c r="E100" s="83">
        <v>1961</v>
      </c>
      <c r="F100" s="33"/>
      <c r="G100" s="31">
        <v>2013</v>
      </c>
      <c r="H100" s="31">
        <v>2023</v>
      </c>
      <c r="I100" s="31" t="str">
        <f>IF(2023-Tableau17[[#This Row],[Entrée dans la société]]&gt;100,"",2023-Tableau17[[#This Row],[Entrée dans la société]])</f>
        <v/>
      </c>
      <c r="J100" s="83">
        <f>IF(2023-Tableau17[[#This Row],[Début de mandat]]&gt;100,"",2024-Tableau17[[#This Row],[Début de mandat]])</f>
        <v>11</v>
      </c>
      <c r="K100" s="83"/>
      <c r="L100" s="39"/>
      <c r="M100" s="31">
        <v>111068</v>
      </c>
      <c r="N100" s="19"/>
      <c r="O100" s="6"/>
      <c r="P100" s="90"/>
      <c r="Q100" s="90"/>
      <c r="R100" s="90"/>
      <c r="S100" s="90"/>
      <c r="T100" s="90"/>
      <c r="U100" s="27">
        <v>30</v>
      </c>
      <c r="V100" s="15">
        <f>Tableau17[[#This Row],[Cours de l''action]]*Tableau17[[#This Row],[Nombre de titres au 31/12/2022]]</f>
        <v>3332040</v>
      </c>
      <c r="X100" s="6">
        <f>'Réf cellules RB'!A260</f>
        <v>259</v>
      </c>
      <c r="Y100" s="6">
        <f>_xlfn.XLOOKUP(Tableau17[[#This Row],[Isin]],Tableau1[Isin],Tableau1[Sum intérêt])</f>
        <v>20</v>
      </c>
      <c r="Z100" s="6" t="str">
        <f>_xlfn.XLOOKUP(Tableau17[[#This Row],[Isin]],Tableau1[Isin],Tableau1[Liste des sociétés])</f>
        <v>Kaufman &amp; Broad</v>
      </c>
    </row>
    <row r="101" spans="1:26" ht="17">
      <c r="A101" s="31" t="s">
        <v>2578</v>
      </c>
      <c r="B101" s="39"/>
      <c r="E101" s="150"/>
      <c r="F101" s="33"/>
      <c r="G101" s="33"/>
      <c r="H101" s="31"/>
      <c r="I101" s="31" t="str">
        <f>IF(2023-Tableau17[[#This Row],[Entrée dans la société]]&gt;100,"",2023-Tableau17[[#This Row],[Entrée dans la société]])</f>
        <v/>
      </c>
      <c r="J101" s="83" t="str">
        <f>IF(2023-Tableau17[[#This Row],[Début de mandat]]&gt;100,"",2024-Tableau17[[#This Row],[Début de mandat]])</f>
        <v/>
      </c>
      <c r="K101" s="83"/>
      <c r="L101" s="39"/>
      <c r="M101" s="31"/>
      <c r="N101" s="19"/>
      <c r="O101" s="6"/>
      <c r="P101" s="90"/>
      <c r="Q101" s="90"/>
      <c r="R101" s="90"/>
      <c r="S101" s="90"/>
      <c r="T101" s="90"/>
      <c r="U101" s="27"/>
      <c r="V101" s="15">
        <f>U101*N101</f>
        <v>0</v>
      </c>
      <c r="X101" s="6">
        <f>'Réf cellules RB'!A168</f>
        <v>167</v>
      </c>
      <c r="Y101" s="6">
        <f>_xlfn.XLOOKUP(Tableau17[[#This Row],[Isin]],Tableau1[Isin],Tableau1[Sum intérêt])</f>
        <v>20</v>
      </c>
      <c r="Z101" s="6" t="str">
        <f>_xlfn.XLOOKUP(Tableau17[[#This Row],[Isin]],Tableau1[Isin],Tableau1[Liste des sociétés])</f>
        <v>Kaufman &amp; Broad</v>
      </c>
    </row>
    <row r="102" spans="1:26" ht="17">
      <c r="A102" s="31" t="s">
        <v>577</v>
      </c>
      <c r="B102" s="39" t="s">
        <v>574</v>
      </c>
      <c r="C102" s="83" t="s">
        <v>3182</v>
      </c>
      <c r="D102" s="83" t="s">
        <v>3267</v>
      </c>
      <c r="E102" s="83">
        <v>1962</v>
      </c>
      <c r="F102" s="31">
        <v>1987</v>
      </c>
      <c r="G102" s="31">
        <v>2005</v>
      </c>
      <c r="H102" s="31">
        <v>2025</v>
      </c>
      <c r="I102" s="31">
        <f>IF(2023-Tableau17[[#This Row],[Entrée dans la société]]&gt;100,"",2023-Tableau17[[#This Row],[Entrée dans la société]])</f>
        <v>36</v>
      </c>
      <c r="J102" s="83">
        <f>IF(2023-Tableau17[[#This Row],[Début de mandat]]&gt;100,"",2024-Tableau17[[#This Row],[Début de mandat]])</f>
        <v>19</v>
      </c>
      <c r="K102" s="83"/>
      <c r="L102" s="39"/>
      <c r="M102" s="19">
        <v>36201</v>
      </c>
      <c r="N102" s="19">
        <v>36201</v>
      </c>
      <c r="O102" s="17"/>
      <c r="P102" s="90">
        <v>51737783</v>
      </c>
      <c r="S102" s="31"/>
      <c r="U102" s="27">
        <v>200</v>
      </c>
      <c r="V102" s="15">
        <f>Tableau17[[#This Row],[Cours de l''action]]*Tableau17[[#This Row],[Nombre de titres au 31/12/2022]]</f>
        <v>7240200</v>
      </c>
      <c r="W102" s="26" t="s">
        <v>3268</v>
      </c>
      <c r="X102" s="6">
        <f>'Réf cellules RB'!A85</f>
        <v>84</v>
      </c>
      <c r="Y102" s="6">
        <f>_xlfn.XLOOKUP(Tableau17[[#This Row],[Isin]],Tableau1[Isin],Tableau1[Sum intérêt])</f>
        <v>20</v>
      </c>
      <c r="Z102" s="6" t="str">
        <f>_xlfn.XLOOKUP(Tableau17[[#This Row],[Isin]],Tableau1[Isin],Tableau1[Liste des sociétés])</f>
        <v>Kering</v>
      </c>
    </row>
    <row r="103" spans="1:26" ht="17">
      <c r="A103" s="31" t="s">
        <v>577</v>
      </c>
      <c r="B103" s="39"/>
      <c r="E103" s="83"/>
      <c r="H103" s="31"/>
      <c r="I103" s="31" t="str">
        <f>IF(2023-Tableau17[[#This Row],[Entrée dans la société]]&gt;100,"",2023-Tableau17[[#This Row],[Entrée dans la société]])</f>
        <v/>
      </c>
      <c r="J103" s="83" t="str">
        <f>IF(2023-Tableau17[[#This Row],[Début de mandat]]&gt;100,"",2024-Tableau17[[#This Row],[Début de mandat]])</f>
        <v/>
      </c>
      <c r="K103" s="83"/>
      <c r="L103" s="39"/>
      <c r="M103" s="31"/>
      <c r="N103" s="19"/>
      <c r="O103" s="17"/>
      <c r="P103" s="90"/>
      <c r="S103" s="31"/>
      <c r="U103" s="27"/>
      <c r="V103" s="15"/>
      <c r="W103" s="26"/>
      <c r="X103" s="6">
        <f>'Réf cellules RB'!A86</f>
        <v>85</v>
      </c>
      <c r="Y103" s="6">
        <f>_xlfn.XLOOKUP(Tableau17[[#This Row],[Isin]],Tableau1[Isin],Tableau1[Sum intérêt])</f>
        <v>20</v>
      </c>
      <c r="Z103" s="6" t="str">
        <f>_xlfn.XLOOKUP(Tableau17[[#This Row],[Isin]],Tableau1[Isin],Tableau1[Liste des sociétés])</f>
        <v>Kering</v>
      </c>
    </row>
    <row r="104" spans="1:26" ht="17">
      <c r="A104" s="31" t="s">
        <v>2290</v>
      </c>
      <c r="B104" s="39" t="s">
        <v>2286</v>
      </c>
      <c r="C104" s="83" t="s">
        <v>3184</v>
      </c>
      <c r="D104" s="83" t="s">
        <v>3269</v>
      </c>
      <c r="E104" s="83">
        <v>1973</v>
      </c>
      <c r="F104" s="31">
        <v>1997</v>
      </c>
      <c r="G104" s="31">
        <v>2020</v>
      </c>
      <c r="H104" s="31">
        <v>2023</v>
      </c>
      <c r="I104" s="31">
        <f>IF(2023-Tableau17[[#This Row],[Entrée dans la société]]&gt;100,"",2023-Tableau17[[#This Row],[Entrée dans la société]])</f>
        <v>26</v>
      </c>
      <c r="J104" s="83">
        <f>IF(2023-Tableau17[[#This Row],[Début de mandat]]&gt;100,"",2024-Tableau17[[#This Row],[Début de mandat]])</f>
        <v>4</v>
      </c>
      <c r="K104" s="83"/>
      <c r="L104" s="19">
        <v>112343</v>
      </c>
      <c r="M104" s="19">
        <v>102150</v>
      </c>
      <c r="N104" s="19">
        <v>75845</v>
      </c>
      <c r="O104" s="6"/>
      <c r="P104" s="90"/>
      <c r="Q104" s="90"/>
      <c r="R104" s="90"/>
      <c r="S104" s="90"/>
      <c r="T104" s="90"/>
      <c r="U104" s="27">
        <v>90</v>
      </c>
      <c r="V104" s="15">
        <f>Tableau17[[#This Row],[Cours de l''action]]*Tableau17[[#This Row],[Nombre de titres au 31/12/2022]]</f>
        <v>9193500</v>
      </c>
      <c r="X104" s="6">
        <f>'Réf cellules RB'!A276</f>
        <v>275</v>
      </c>
      <c r="Y104" s="6">
        <f>_xlfn.XLOOKUP(Tableau17[[#This Row],[Isin]],Tableau1[Isin],Tableau1[Sum intérêt])</f>
        <v>20</v>
      </c>
      <c r="Z104" s="6" t="str">
        <f>_xlfn.XLOOKUP(Tableau17[[#This Row],[Isin]],Tableau1[Isin],Tableau1[Liste des sociétés])</f>
        <v>Legrand</v>
      </c>
    </row>
    <row r="105" spans="1:26" ht="17">
      <c r="A105" s="31" t="s">
        <v>2290</v>
      </c>
      <c r="B105" s="39"/>
      <c r="E105" s="83"/>
      <c r="F105" s="33"/>
      <c r="H105" s="31"/>
      <c r="I105" s="31" t="str">
        <f>IF(2023-Tableau17[[#This Row],[Entrée dans la société]]&gt;100,"",2023-Tableau17[[#This Row],[Entrée dans la société]])</f>
        <v/>
      </c>
      <c r="J105" s="83" t="str">
        <f>IF(2023-Tableau17[[#This Row],[Début de mandat]]&gt;100,"",2024-Tableau17[[#This Row],[Début de mandat]])</f>
        <v/>
      </c>
      <c r="K105" s="83"/>
      <c r="L105" s="39"/>
      <c r="M105" s="31"/>
      <c r="N105" s="19"/>
      <c r="O105" s="6"/>
      <c r="P105" s="90"/>
      <c r="Q105" s="90"/>
      <c r="R105" s="90"/>
      <c r="S105" s="90"/>
      <c r="T105" s="90"/>
      <c r="U105" s="27"/>
      <c r="V105" s="15"/>
      <c r="X105" s="6">
        <f>'Réf cellules RB'!A107</f>
        <v>106</v>
      </c>
      <c r="Y105" s="6">
        <f>_xlfn.XLOOKUP(Tableau17[[#This Row],[Isin]],Tableau1[Isin],Tableau1[Sum intérêt])</f>
        <v>20</v>
      </c>
      <c r="Z105" s="6" t="str">
        <f>_xlfn.XLOOKUP(Tableau17[[#This Row],[Isin]],Tableau1[Isin],Tableau1[Liste des sociétés])</f>
        <v>Legrand</v>
      </c>
    </row>
    <row r="106" spans="1:26" ht="17">
      <c r="A106" s="31" t="s">
        <v>2705</v>
      </c>
      <c r="B106" s="39" t="s">
        <v>2704</v>
      </c>
      <c r="C106" s="83" t="s">
        <v>3184</v>
      </c>
      <c r="D106" s="83" t="s">
        <v>3226</v>
      </c>
      <c r="E106" s="83">
        <v>1970</v>
      </c>
      <c r="F106" s="83">
        <v>1997</v>
      </c>
      <c r="G106" s="83">
        <v>2021</v>
      </c>
      <c r="H106" s="83">
        <v>2025</v>
      </c>
      <c r="I106" s="31">
        <f>IF(2023-Tableau17[[#This Row],[Entrée dans la société]]&gt;100,"",2023-Tableau17[[#This Row],[Entrée dans la société]])</f>
        <v>26</v>
      </c>
      <c r="J106" s="83">
        <f>IF(2023-Tableau17[[#This Row],[Début de mandat]]&gt;100,"",2024-Tableau17[[#This Row],[Début de mandat]])</f>
        <v>3</v>
      </c>
      <c r="K106" s="83"/>
      <c r="L106" s="39"/>
      <c r="M106" s="31"/>
      <c r="N106" s="19"/>
      <c r="O106" s="6"/>
      <c r="P106" s="90"/>
      <c r="Q106" s="90"/>
      <c r="R106" s="90"/>
      <c r="S106" s="90"/>
      <c r="T106" s="90"/>
      <c r="U106" s="27">
        <v>55</v>
      </c>
      <c r="V106" s="15"/>
      <c r="X106" s="6">
        <f>'Réf cellules RB'!A261</f>
        <v>260</v>
      </c>
      <c r="Y106" s="6">
        <f>_xlfn.XLOOKUP(Tableau17[[#This Row],[Isin]],Tableau1[Isin],Tableau1[Sum intérêt])</f>
        <v>20</v>
      </c>
      <c r="Z106" s="6" t="str">
        <f>_xlfn.XLOOKUP(Tableau17[[#This Row],[Isin]],Tableau1[Isin],Tableau1[Liste des sociétés])</f>
        <v>Melexis nv</v>
      </c>
    </row>
    <row r="107" spans="1:26" ht="17">
      <c r="A107" s="31" t="s">
        <v>2705</v>
      </c>
      <c r="B107" s="39"/>
      <c r="C107" s="83" t="s">
        <v>3227</v>
      </c>
      <c r="D107" s="83" t="s">
        <v>3228</v>
      </c>
      <c r="E107" s="83">
        <v>1962</v>
      </c>
      <c r="F107" s="83">
        <v>1997</v>
      </c>
      <c r="G107" s="83">
        <v>2021</v>
      </c>
      <c r="H107" s="83">
        <v>2026</v>
      </c>
      <c r="I107" s="31">
        <f>IF(2023-Tableau17[[#This Row],[Entrée dans la société]]&gt;100,"",2023-Tableau17[[#This Row],[Entrée dans la société]])</f>
        <v>26</v>
      </c>
      <c r="J107" s="83">
        <f>IF(2023-Tableau17[[#This Row],[Début de mandat]]&gt;100,"",2024-Tableau17[[#This Row],[Début de mandat]])</f>
        <v>3</v>
      </c>
      <c r="K107" s="83"/>
      <c r="L107" s="39"/>
      <c r="M107" s="31"/>
      <c r="N107" s="19"/>
      <c r="O107" s="6"/>
      <c r="P107" s="90"/>
      <c r="Q107" s="90"/>
      <c r="R107" s="90"/>
      <c r="S107" s="90"/>
      <c r="T107" s="90"/>
      <c r="U107" s="27"/>
      <c r="V107" s="15">
        <f>U107*N107</f>
        <v>0</v>
      </c>
      <c r="X107" s="6">
        <f>'Réf cellules RB'!A253</f>
        <v>252</v>
      </c>
      <c r="Y107" s="6">
        <f>_xlfn.XLOOKUP(Tableau17[[#This Row],[Isin]],Tableau1[Isin],Tableau1[Sum intérêt])</f>
        <v>20</v>
      </c>
      <c r="Z107" s="6" t="str">
        <f>_xlfn.XLOOKUP(Tableau17[[#This Row],[Isin]],Tableau1[Isin],Tableau1[Liste des sociétés])</f>
        <v>Melexis nv</v>
      </c>
    </row>
    <row r="108" spans="1:26" ht="17">
      <c r="A108" s="31" t="s">
        <v>2705</v>
      </c>
      <c r="B108" s="39"/>
      <c r="E108" s="150"/>
      <c r="F108" s="33"/>
      <c r="G108" s="33"/>
      <c r="H108" s="31"/>
      <c r="I108" s="31" t="str">
        <f>IF(2023-Tableau17[[#This Row],[Entrée dans la société]]&gt;100,"",2023-Tableau17[[#This Row],[Entrée dans la société]])</f>
        <v/>
      </c>
      <c r="J108" s="83" t="str">
        <f>IF(2023-Tableau17[[#This Row],[Début de mandat]]&gt;100,"",2024-Tableau17[[#This Row],[Début de mandat]])</f>
        <v/>
      </c>
      <c r="K108" s="83"/>
      <c r="L108" s="39"/>
      <c r="M108" s="31"/>
      <c r="N108" s="19"/>
      <c r="O108" s="6"/>
      <c r="P108" s="90"/>
      <c r="Q108" s="90"/>
      <c r="R108" s="90"/>
      <c r="S108" s="90"/>
      <c r="T108" s="90"/>
      <c r="U108" s="27"/>
      <c r="V108" s="15">
        <f>U108*N108</f>
        <v>0</v>
      </c>
      <c r="X108" s="6">
        <f>'Réf cellules RB'!A251</f>
        <v>250</v>
      </c>
      <c r="Y108" s="6">
        <f>_xlfn.XLOOKUP(Tableau17[[#This Row],[Isin]],Tableau1[Isin],Tableau1[Sum intérêt])</f>
        <v>20</v>
      </c>
      <c r="Z108" s="6" t="str">
        <f>_xlfn.XLOOKUP(Tableau17[[#This Row],[Isin]],Tableau1[Isin],Tableau1[Liste des sociétés])</f>
        <v>Melexis nv</v>
      </c>
    </row>
    <row r="109" spans="1:26" ht="17">
      <c r="A109" s="31" t="s">
        <v>2263</v>
      </c>
      <c r="B109" s="39" t="s">
        <v>3270</v>
      </c>
      <c r="C109" s="83" t="s">
        <v>3182</v>
      </c>
      <c r="D109" s="83" t="s">
        <v>4543</v>
      </c>
      <c r="E109" s="83">
        <v>1969</v>
      </c>
      <c r="F109" s="33"/>
      <c r="G109" s="33"/>
      <c r="H109" s="31"/>
      <c r="I109" s="31" t="str">
        <f>IF(2023-Tableau17[[#This Row],[Entrée dans la société]]&gt;100,"",2023-Tableau17[[#This Row],[Entrée dans la société]])</f>
        <v/>
      </c>
      <c r="J109" s="83" t="str">
        <f>IF(2023-Tableau17[[#This Row],[Début de mandat]]&gt;100,"",2024-Tableau17[[#This Row],[Début de mandat]])</f>
        <v/>
      </c>
      <c r="K109" s="83"/>
      <c r="L109" s="39"/>
      <c r="M109" s="31"/>
      <c r="N109" s="19"/>
      <c r="O109" s="6"/>
      <c r="P109" s="90"/>
      <c r="Q109" s="90"/>
      <c r="R109" s="90"/>
      <c r="S109" s="90"/>
      <c r="T109" s="90"/>
      <c r="U109" s="27">
        <v>55</v>
      </c>
      <c r="V109" s="15"/>
      <c r="X109" s="6">
        <f>'Réf cellules RB'!A278</f>
        <v>277</v>
      </c>
      <c r="Y109" s="6">
        <f>_xlfn.XLOOKUP(Tableau17[[#This Row],[Isin]],Tableau1[Isin],Tableau1[Sum intérêt])</f>
        <v>20</v>
      </c>
      <c r="Z109" s="6" t="str">
        <f>_xlfn.XLOOKUP(Tableau17[[#This Row],[Isin]],Tableau1[Isin],Tableau1[Liste des sociétés])</f>
        <v>Mercedes-benz</v>
      </c>
    </row>
    <row r="110" spans="1:26" ht="17">
      <c r="A110" s="31" t="s">
        <v>2263</v>
      </c>
      <c r="B110" s="39"/>
      <c r="E110" s="150"/>
      <c r="F110" s="33"/>
      <c r="G110" s="33"/>
      <c r="H110" s="31"/>
      <c r="I110" s="31" t="str">
        <f>IF(2023-Tableau17[[#This Row],[Entrée dans la société]]&gt;100,"",2023-Tableau17[[#This Row],[Entrée dans la société]])</f>
        <v/>
      </c>
      <c r="J110" s="83" t="str">
        <f>IF(2023-Tableau17[[#This Row],[Début de mandat]]&gt;100,"",2024-Tableau17[[#This Row],[Début de mandat]])</f>
        <v/>
      </c>
      <c r="K110" s="83"/>
      <c r="L110" s="39"/>
      <c r="M110" s="31"/>
      <c r="N110" s="19"/>
      <c r="O110" s="6"/>
      <c r="P110" s="90"/>
      <c r="Q110" s="90"/>
      <c r="R110" s="90"/>
      <c r="S110" s="90"/>
      <c r="T110" s="90"/>
      <c r="U110" s="27"/>
      <c r="V110" s="15"/>
      <c r="X110" s="6">
        <f>'Réf cellules RB'!A279</f>
        <v>278</v>
      </c>
      <c r="Y110" s="6">
        <f>_xlfn.XLOOKUP(Tableau17[[#This Row],[Isin]],Tableau1[Isin],Tableau1[Sum intérêt])</f>
        <v>20</v>
      </c>
      <c r="Z110" s="6" t="str">
        <f>_xlfn.XLOOKUP(Tableau17[[#This Row],[Isin]],Tableau1[Isin],Tableau1[Liste des sociétés])</f>
        <v>Mercedes-benz</v>
      </c>
    </row>
    <row r="111" spans="1:26" ht="17">
      <c r="A111" s="31" t="s">
        <v>1658</v>
      </c>
      <c r="B111" s="39" t="s">
        <v>1656</v>
      </c>
      <c r="C111" s="83" t="s">
        <v>3184</v>
      </c>
      <c r="D111" s="83" t="s">
        <v>3271</v>
      </c>
      <c r="E111" s="83">
        <v>1972</v>
      </c>
      <c r="F111" s="31">
        <v>2011</v>
      </c>
      <c r="G111" s="31">
        <v>2011</v>
      </c>
      <c r="H111" s="31"/>
      <c r="I111" s="31">
        <f>IF(2023-Tableau17[[#This Row],[Entrée dans la société]]&gt;100,"",2023-Tableau17[[#This Row],[Entrée dans la société]])</f>
        <v>12</v>
      </c>
      <c r="J111" s="83">
        <f>IF(2023-Tableau17[[#This Row],[Début de mandat]]&gt;100,"",2024-Tableau17[[#This Row],[Début de mandat]])</f>
        <v>13</v>
      </c>
      <c r="K111" s="83"/>
      <c r="L111" s="39"/>
      <c r="M111" s="31"/>
      <c r="N111" s="19"/>
      <c r="O111" s="6"/>
      <c r="P111" s="90">
        <v>31586769</v>
      </c>
      <c r="Q111" s="90">
        <v>31264281</v>
      </c>
      <c r="S111" s="31"/>
      <c r="U111" s="107">
        <v>31</v>
      </c>
      <c r="V111" s="15"/>
      <c r="X111" s="6">
        <f>'Réf cellules RB'!A135</f>
        <v>134</v>
      </c>
      <c r="Y111" s="6">
        <f>_xlfn.XLOOKUP(Tableau17[[#This Row],[Isin]],Tableau1[Isin],Tableau1[Sum intérêt])</f>
        <v>20</v>
      </c>
      <c r="Z111" s="6" t="str">
        <f>_xlfn.XLOOKUP(Tableau17[[#This Row],[Isin]],Tableau1[Isin],Tableau1[Liste des sociétés])</f>
        <v>Moderna</v>
      </c>
    </row>
    <row r="112" spans="1:26" ht="17">
      <c r="A112" s="31" t="s">
        <v>1658</v>
      </c>
      <c r="B112" s="39"/>
      <c r="E112" s="83"/>
      <c r="H112" s="31"/>
      <c r="I112" s="31" t="str">
        <f>IF(2023-Tableau17[[#This Row],[Entrée dans la société]]&gt;100,"",2023-Tableau17[[#This Row],[Entrée dans la société]])</f>
        <v/>
      </c>
      <c r="J112" s="83" t="str">
        <f>IF(2023-Tableau17[[#This Row],[Début de mandat]]&gt;100,"",2024-Tableau17[[#This Row],[Début de mandat]])</f>
        <v/>
      </c>
      <c r="K112" s="83"/>
      <c r="L112" s="39"/>
      <c r="M112" s="31"/>
      <c r="N112" s="19"/>
      <c r="O112" s="6"/>
      <c r="P112" s="90"/>
      <c r="Q112" s="90"/>
      <c r="S112" s="31"/>
      <c r="U112" s="107"/>
      <c r="V112" s="15"/>
      <c r="X112" s="6">
        <f>'Réf cellules RB'!A136</f>
        <v>135</v>
      </c>
      <c r="Y112" s="6">
        <f>_xlfn.XLOOKUP(Tableau17[[#This Row],[Isin]],Tableau1[Isin],Tableau1[Sum intérêt])</f>
        <v>20</v>
      </c>
      <c r="Z112" s="6" t="str">
        <f>_xlfn.XLOOKUP(Tableau17[[#This Row],[Isin]],Tableau1[Isin],Tableau1[Liste des sociétés])</f>
        <v>Moderna</v>
      </c>
    </row>
    <row r="113" spans="1:26" ht="17">
      <c r="A113" s="31" t="s">
        <v>1104</v>
      </c>
      <c r="B113" s="39" t="s">
        <v>1101</v>
      </c>
      <c r="C113" s="83" t="s">
        <v>3184</v>
      </c>
      <c r="D113" s="83" t="s">
        <v>3272</v>
      </c>
      <c r="E113" s="83">
        <v>1972</v>
      </c>
      <c r="F113" s="31">
        <v>1997</v>
      </c>
      <c r="G113" s="31">
        <v>2018</v>
      </c>
      <c r="H113" s="31" t="s">
        <v>3198</v>
      </c>
      <c r="I113" s="31">
        <f>IF(2023-Tableau17[[#This Row],[Entrée dans la société]]&gt;100,"",2023-Tableau17[[#This Row],[Entrée dans la société]])</f>
        <v>26</v>
      </c>
      <c r="J113" s="83">
        <f>IF(2023-Tableau17[[#This Row],[Début de mandat]]&gt;100,"",2024-Tableau17[[#This Row],[Début de mandat]])</f>
        <v>6</v>
      </c>
      <c r="K113" s="83"/>
      <c r="L113" s="39">
        <v>53025</v>
      </c>
      <c r="M113" s="19">
        <v>25621</v>
      </c>
      <c r="N113" s="19">
        <v>20351</v>
      </c>
      <c r="O113" s="17">
        <f>14737+1024</f>
        <v>15761</v>
      </c>
      <c r="P113" s="90">
        <f>15977+3103-466</f>
        <v>18614</v>
      </c>
      <c r="Q113" s="90">
        <v>15977</v>
      </c>
      <c r="S113" s="31"/>
      <c r="U113" s="27">
        <v>100</v>
      </c>
      <c r="V113" s="15">
        <f>Tableau17[[#This Row],[Cours de l''action]]*Tableau17[[#This Row],[Nombre de titres au 31/12/2022]]</f>
        <v>2562100</v>
      </c>
      <c r="W113" s="6" t="s">
        <v>3273</v>
      </c>
      <c r="X113" s="6">
        <f>'Réf cellules RB'!A55</f>
        <v>54</v>
      </c>
      <c r="Y113" s="6">
        <f>_xlfn.XLOOKUP(Tableau17[[#This Row],[Isin]],Tableau1[Isin],Tableau1[Sum intérêt])</f>
        <v>20</v>
      </c>
      <c r="Z113" s="6" t="str">
        <f>_xlfn.XLOOKUP(Tableau17[[#This Row],[Isin]],Tableau1[Isin],Tableau1[Liste des sociétés])</f>
        <v>Nexans</v>
      </c>
    </row>
    <row r="114" spans="1:26" ht="17">
      <c r="A114" s="31" t="s">
        <v>1104</v>
      </c>
      <c r="B114" s="39"/>
      <c r="E114" s="83"/>
      <c r="H114" s="31"/>
      <c r="I114" s="31" t="str">
        <f>IF(2023-Tableau17[[#This Row],[Entrée dans la société]]&gt;100,"",2023-Tableau17[[#This Row],[Entrée dans la société]])</f>
        <v/>
      </c>
      <c r="J114" s="83" t="str">
        <f>IF(2023-Tableau17[[#This Row],[Début de mandat]]&gt;100,"",2024-Tableau17[[#This Row],[Début de mandat]])</f>
        <v/>
      </c>
      <c r="K114" s="83"/>
      <c r="L114" s="39"/>
      <c r="M114" s="31"/>
      <c r="N114" s="19"/>
      <c r="O114" s="17"/>
      <c r="S114" s="90"/>
      <c r="T114" s="90"/>
      <c r="U114" s="107"/>
      <c r="V114" s="15"/>
      <c r="X114" s="6">
        <f>'Réf cellules RB'!A59</f>
        <v>58</v>
      </c>
      <c r="Y114" s="6">
        <f>_xlfn.XLOOKUP(Tableau17[[#This Row],[Isin]],Tableau1[Isin],Tableau1[Sum intérêt])</f>
        <v>20</v>
      </c>
      <c r="Z114" s="6" t="str">
        <f>_xlfn.XLOOKUP(Tableau17[[#This Row],[Isin]],Tableau1[Isin],Tableau1[Liste des sociétés])</f>
        <v>Nexans</v>
      </c>
    </row>
    <row r="115" spans="1:26" ht="17">
      <c r="A115" s="31" t="s">
        <v>2557</v>
      </c>
      <c r="B115" s="39" t="s">
        <v>2555</v>
      </c>
      <c r="C115" s="83" t="s">
        <v>3182</v>
      </c>
      <c r="D115" s="83" t="s">
        <v>3274</v>
      </c>
      <c r="E115" s="83">
        <v>1964</v>
      </c>
      <c r="F115" s="31">
        <v>2017</v>
      </c>
      <c r="G115" s="31">
        <v>2021</v>
      </c>
      <c r="H115" s="31">
        <v>2025</v>
      </c>
      <c r="I115" s="31">
        <f>IF(2023-Tableau17[[#This Row],[Entrée dans la société]]&gt;100,"",2023-Tableau17[[#This Row],[Entrée dans la société]])</f>
        <v>6</v>
      </c>
      <c r="J115" s="83">
        <f>IF(2023-Tableau17[[#This Row],[Début de mandat]]&gt;100,"",2024-Tableau17[[#This Row],[Début de mandat]])</f>
        <v>3</v>
      </c>
      <c r="K115" s="83"/>
      <c r="L115" s="39"/>
      <c r="M115" s="19">
        <v>30912</v>
      </c>
      <c r="N115" s="19">
        <v>12500</v>
      </c>
      <c r="O115" s="6"/>
      <c r="S115" s="31"/>
      <c r="U115" s="27">
        <v>10</v>
      </c>
      <c r="V115" s="15">
        <f>U115*M115</f>
        <v>309120</v>
      </c>
      <c r="X115" s="6">
        <f>'Réf cellules RB'!A175</f>
        <v>174</v>
      </c>
      <c r="Y115" s="6">
        <f>_xlfn.XLOOKUP(Tableau17[[#This Row],[Isin]],Tableau1[Isin],Tableau1[Sum intérêt])</f>
        <v>20</v>
      </c>
      <c r="Z115" s="6" t="str">
        <f>_xlfn.XLOOKUP(Tableau17[[#This Row],[Isin]],Tableau1[Isin],Tableau1[Liste des sociétés])</f>
        <v>Nexity</v>
      </c>
    </row>
    <row r="116" spans="1:26" ht="17">
      <c r="A116" s="31" t="s">
        <v>2557</v>
      </c>
      <c r="B116" s="39"/>
      <c r="E116" s="83"/>
      <c r="G116" s="33"/>
      <c r="H116" s="31"/>
      <c r="I116" s="31" t="str">
        <f>IF(2023-Tableau17[[#This Row],[Entrée dans la société]]&gt;100,"",2023-Tableau17[[#This Row],[Entrée dans la société]])</f>
        <v/>
      </c>
      <c r="J116" s="83" t="str">
        <f>IF(2023-Tableau17[[#This Row],[Début de mandat]]&gt;100,"",2024-Tableau17[[#This Row],[Début de mandat]])</f>
        <v/>
      </c>
      <c r="K116" s="83"/>
      <c r="L116" s="39"/>
      <c r="M116" s="31"/>
      <c r="N116" s="19"/>
      <c r="O116" s="19"/>
      <c r="S116" s="31"/>
      <c r="U116" s="107"/>
      <c r="V116" s="15"/>
      <c r="X116" s="6">
        <f>'Réf cellules RB'!A177</f>
        <v>176</v>
      </c>
      <c r="Y116" s="6">
        <f>_xlfn.XLOOKUP(Tableau17[[#This Row],[Isin]],Tableau1[Isin],Tableau1[Sum intérêt])</f>
        <v>20</v>
      </c>
      <c r="Z116" s="6" t="str">
        <f>_xlfn.XLOOKUP(Tableau17[[#This Row],[Isin]],Tableau1[Isin],Tableau1[Liste des sociétés])</f>
        <v>Nexity</v>
      </c>
    </row>
    <row r="117" spans="1:26" ht="17">
      <c r="A117" s="31" t="s">
        <v>2615</v>
      </c>
      <c r="B117" s="39" t="s">
        <v>2612</v>
      </c>
      <c r="C117" s="83" t="s">
        <v>3182</v>
      </c>
      <c r="D117" s="83" t="s">
        <v>3275</v>
      </c>
      <c r="E117" s="83">
        <v>1963</v>
      </c>
      <c r="F117" s="31">
        <v>1993</v>
      </c>
      <c r="H117" s="31"/>
      <c r="I117" s="31">
        <f>IF(2023-Tableau17[[#This Row],[Entrée dans la société]]&gt;100,"",2023-Tableau17[[#This Row],[Entrée dans la société]])</f>
        <v>30</v>
      </c>
      <c r="J117" s="83" t="str">
        <f>IF(2023-Tableau17[[#This Row],[Début de mandat]]&gt;100,"",2024-Tableau17[[#This Row],[Début de mandat]])</f>
        <v/>
      </c>
      <c r="K117" s="83"/>
      <c r="L117" s="39"/>
      <c r="M117" s="31"/>
      <c r="N117" s="19"/>
      <c r="O117" s="25">
        <v>23287889</v>
      </c>
      <c r="P117" s="114"/>
      <c r="S117" s="31"/>
      <c r="U117" s="107">
        <v>110</v>
      </c>
      <c r="V117" s="15"/>
      <c r="W117" s="6" t="s">
        <v>3276</v>
      </c>
      <c r="X117" s="6">
        <f>'Réf cellules RB'!A220</f>
        <v>219</v>
      </c>
      <c r="Y117" s="6">
        <f>_xlfn.XLOOKUP(Tableau17[[#This Row],[Isin]],Tableau1[Isin],Tableau1[Sum intérêt])</f>
        <v>20</v>
      </c>
      <c r="Z117" s="6" t="str">
        <f>_xlfn.XLOOKUP(Tableau17[[#This Row],[Isin]],Tableau1[Isin],Tableau1[Liste des sociétés])</f>
        <v>Nvidia</v>
      </c>
    </row>
    <row r="118" spans="1:26" ht="17">
      <c r="A118" s="31" t="s">
        <v>2615</v>
      </c>
      <c r="B118" s="39"/>
      <c r="E118" s="152"/>
      <c r="H118" s="31"/>
      <c r="I118" s="31" t="str">
        <f>IF(2023-Tableau17[[#This Row],[Entrée dans la société]]&gt;100,"",2023-Tableau17[[#This Row],[Entrée dans la société]])</f>
        <v/>
      </c>
      <c r="J118" s="83" t="str">
        <f>IF(2023-Tableau17[[#This Row],[Début de mandat]]&gt;100,"",2024-Tableau17[[#This Row],[Début de mandat]])</f>
        <v/>
      </c>
      <c r="K118" s="83"/>
      <c r="L118" s="39"/>
      <c r="M118" s="31"/>
      <c r="N118" s="19"/>
      <c r="O118" s="25"/>
      <c r="S118" s="31"/>
      <c r="U118" s="107"/>
      <c r="V118" s="15"/>
      <c r="X118" s="6">
        <f>'Réf cellules RB'!A221</f>
        <v>220</v>
      </c>
      <c r="Y118" s="6">
        <f>_xlfn.XLOOKUP(Tableau17[[#This Row],[Isin]],Tableau1[Isin],Tableau1[Sum intérêt])</f>
        <v>20</v>
      </c>
      <c r="Z118" s="6" t="str">
        <f>_xlfn.XLOOKUP(Tableau17[[#This Row],[Isin]],Tableau1[Isin],Tableau1[Liste des sociétés])</f>
        <v>Nvidia</v>
      </c>
    </row>
    <row r="119" spans="1:26" ht="17">
      <c r="A119" s="31" t="s">
        <v>222</v>
      </c>
      <c r="B119" s="39" t="s">
        <v>219</v>
      </c>
      <c r="C119" s="83" t="s">
        <v>3182</v>
      </c>
      <c r="D119" s="83" t="s">
        <v>3277</v>
      </c>
      <c r="E119" s="83">
        <v>1972</v>
      </c>
      <c r="F119" s="31">
        <v>2015</v>
      </c>
      <c r="G119" s="33"/>
      <c r="H119" s="31"/>
      <c r="I119" s="31">
        <f>IF(2023-Tableau17[[#This Row],[Entrée dans la société]]&gt;100,"",2023-Tableau17[[#This Row],[Entrée dans la société]])</f>
        <v>8</v>
      </c>
      <c r="J119" s="83" t="str">
        <f>IF(2023-Tableau17[[#This Row],[Début de mandat]]&gt;100,"",2024-Tableau17[[#This Row],[Début de mandat]])</f>
        <v/>
      </c>
      <c r="K119" s="83"/>
      <c r="L119" s="90">
        <v>186050</v>
      </c>
      <c r="M119" s="90">
        <v>158566</v>
      </c>
      <c r="N119" s="19"/>
      <c r="O119" s="19"/>
      <c r="P119" s="90"/>
      <c r="Q119" s="90"/>
      <c r="R119" s="90"/>
      <c r="S119" s="90"/>
      <c r="T119" s="90"/>
      <c r="U119" s="27">
        <v>100</v>
      </c>
      <c r="V119" s="15"/>
      <c r="X119" s="6">
        <f>'Réf cellules RB'!A253</f>
        <v>252</v>
      </c>
      <c r="Y119" s="6">
        <f>_xlfn.XLOOKUP(Tableau17[[#This Row],[Isin]],Tableau1[Isin],Tableau1[Sum intérêt])</f>
        <v>20</v>
      </c>
      <c r="Z119" s="6" t="str">
        <f>_xlfn.XLOOKUP(Tableau17[[#This Row],[Isin]],Tableau1[Isin],Tableau1[Liste des sociétés])</f>
        <v>Pernod ricard sa</v>
      </c>
    </row>
    <row r="120" spans="1:26" ht="17">
      <c r="A120" s="31" t="s">
        <v>222</v>
      </c>
      <c r="B120" s="39"/>
      <c r="E120" s="150"/>
      <c r="F120" s="33"/>
      <c r="G120" s="33"/>
      <c r="H120" s="31"/>
      <c r="I120" s="31" t="str">
        <f>IF(2023-Tableau17[[#This Row],[Entrée dans la société]]&gt;100,"",2023-Tableau17[[#This Row],[Entrée dans la société]])</f>
        <v/>
      </c>
      <c r="J120" s="83" t="str">
        <f>IF(2023-Tableau17[[#This Row],[Début de mandat]]&gt;100,"",2024-Tableau17[[#This Row],[Début de mandat]])</f>
        <v/>
      </c>
      <c r="K120" s="83"/>
      <c r="L120" s="39"/>
      <c r="M120" s="31"/>
      <c r="N120" s="19"/>
      <c r="O120" s="6"/>
      <c r="P120" s="90"/>
      <c r="Q120" s="90"/>
      <c r="R120" s="90"/>
      <c r="S120" s="90"/>
      <c r="T120" s="90"/>
      <c r="U120" s="27"/>
      <c r="V120" s="15"/>
      <c r="X120" s="6">
        <f>'Réf cellules RB'!A262</f>
        <v>261</v>
      </c>
      <c r="Y120" s="6">
        <f>_xlfn.XLOOKUP(Tableau17[[#This Row],[Isin]],Tableau1[Isin],Tableau1[Sum intérêt])</f>
        <v>20</v>
      </c>
      <c r="Z120" s="6" t="str">
        <f>_xlfn.XLOOKUP(Tableau17[[#This Row],[Isin]],Tableau1[Isin],Tableau1[Liste des sociétés])</f>
        <v>Pernod ricard sa</v>
      </c>
    </row>
    <row r="121" spans="1:26" ht="17">
      <c r="A121" s="31" t="s">
        <v>2274</v>
      </c>
      <c r="B121" s="39" t="s">
        <v>2272</v>
      </c>
      <c r="C121" s="83" t="s">
        <v>3184</v>
      </c>
      <c r="D121" s="83" t="s">
        <v>4601</v>
      </c>
      <c r="E121" s="150"/>
      <c r="F121" s="33"/>
      <c r="G121" s="33"/>
      <c r="H121" s="31"/>
      <c r="I121" s="31" t="str">
        <f>IF(2023-Tableau17[[#This Row],[Entrée dans la société]]&gt;100,"",2023-Tableau17[[#This Row],[Entrée dans la société]])</f>
        <v/>
      </c>
      <c r="J121" s="83" t="str">
        <f>IF(2023-Tableau17[[#This Row],[Début de mandat]]&gt;100,"",2024-Tableau17[[#This Row],[Début de mandat]])</f>
        <v/>
      </c>
      <c r="K121" s="83"/>
      <c r="L121" s="39"/>
      <c r="M121" s="31"/>
      <c r="N121" s="19"/>
      <c r="O121" s="6"/>
      <c r="P121" s="90"/>
      <c r="Q121" s="90"/>
      <c r="R121" s="90"/>
      <c r="S121" s="90"/>
      <c r="T121" s="90"/>
      <c r="U121" s="27">
        <v>50</v>
      </c>
      <c r="V121" s="15"/>
      <c r="X121" s="6">
        <f>'Réf cellules RB'!A265</f>
        <v>264</v>
      </c>
      <c r="Y121" s="6">
        <f>_xlfn.XLOOKUP(Tableau17[[#This Row],[Isin]],Tableau1[Isin],Tableau1[Sum intérêt])</f>
        <v>20</v>
      </c>
      <c r="Z121" s="6" t="str">
        <f>_xlfn.XLOOKUP(Tableau17[[#This Row],[Isin]],Tableau1[Isin],Tableau1[Liste des sociétés])</f>
        <v>Renault</v>
      </c>
    </row>
    <row r="122" spans="1:26" ht="17">
      <c r="A122" s="31" t="s">
        <v>2274</v>
      </c>
      <c r="B122" s="39"/>
      <c r="E122" s="150"/>
      <c r="F122" s="33"/>
      <c r="G122" s="33"/>
      <c r="H122" s="31"/>
      <c r="I122" s="31" t="str">
        <f>IF(2023-Tableau17[[#This Row],[Entrée dans la société]]&gt;100,"",2023-Tableau17[[#This Row],[Entrée dans la société]])</f>
        <v/>
      </c>
      <c r="J122" s="83" t="str">
        <f>IF(2023-Tableau17[[#This Row],[Début de mandat]]&gt;100,"",2024-Tableau17[[#This Row],[Début de mandat]])</f>
        <v/>
      </c>
      <c r="K122" s="83"/>
      <c r="L122" s="39"/>
      <c r="M122" s="31"/>
      <c r="N122" s="19"/>
      <c r="O122" s="6"/>
      <c r="P122" s="90"/>
      <c r="Q122" s="90"/>
      <c r="R122" s="90"/>
      <c r="S122" s="90"/>
      <c r="T122" s="90"/>
      <c r="U122" s="27"/>
      <c r="V122" s="15"/>
      <c r="X122" s="6">
        <f>'Réf cellules RB'!A266</f>
        <v>265</v>
      </c>
      <c r="Y122" s="6">
        <f>_xlfn.XLOOKUP(Tableau17[[#This Row],[Isin]],Tableau1[Isin],Tableau1[Sum intérêt])</f>
        <v>20</v>
      </c>
      <c r="Z122" s="6" t="str">
        <f>_xlfn.XLOOKUP(Tableau17[[#This Row],[Isin]],Tableau1[Isin],Tableau1[Liste des sociétés])</f>
        <v>Renault</v>
      </c>
    </row>
    <row r="123" spans="1:26" ht="17">
      <c r="A123" s="31" t="s">
        <v>1399</v>
      </c>
      <c r="B123" s="39" t="s">
        <v>1394</v>
      </c>
      <c r="C123" s="83" t="s">
        <v>3184</v>
      </c>
      <c r="D123" s="83" t="s">
        <v>3278</v>
      </c>
      <c r="E123" s="83">
        <v>1962</v>
      </c>
      <c r="F123" s="31">
        <v>2008</v>
      </c>
      <c r="G123" s="31">
        <v>2021</v>
      </c>
      <c r="H123" s="31">
        <v>2027</v>
      </c>
      <c r="I123" s="31">
        <f>IF(2023-Tableau17[[#This Row],[Entrée dans la société]]&gt;100,"",2023-Tableau17[[#This Row],[Entrée dans la société]])</f>
        <v>15</v>
      </c>
      <c r="J123" s="83">
        <f>IF(2023-Tableau17[[#This Row],[Début de mandat]]&gt;100,"",2024-Tableau17[[#This Row],[Début de mandat]])</f>
        <v>3</v>
      </c>
      <c r="K123" s="83"/>
      <c r="L123" s="19">
        <v>26606</v>
      </c>
      <c r="M123" s="19">
        <v>26516</v>
      </c>
      <c r="N123" s="19">
        <v>26469</v>
      </c>
      <c r="O123" s="17">
        <v>19841</v>
      </c>
      <c r="S123" s="90"/>
      <c r="T123" s="90"/>
      <c r="U123" s="27">
        <v>240</v>
      </c>
      <c r="V123" s="15">
        <f>Tableau17[[#This Row],[Cours de l''action]]*Tableau17[[#This Row],[Nombre de titres au 31/12/2023]]</f>
        <v>6385440</v>
      </c>
      <c r="X123" s="6">
        <f>'Réf cellules RB'!A115</f>
        <v>114</v>
      </c>
      <c r="Y123" s="6">
        <f>_xlfn.XLOOKUP(Tableau17[[#This Row],[Isin]],Tableau1[Isin],Tableau1[Sum intérêt])</f>
        <v>20</v>
      </c>
      <c r="Z123" s="6" t="str">
        <f>_xlfn.XLOOKUP(Tableau17[[#This Row],[Isin]],Tableau1[Isin],Tableau1[Liste des sociétés])</f>
        <v>Safran</v>
      </c>
    </row>
    <row r="124" spans="1:26" ht="17">
      <c r="A124" s="31" t="s">
        <v>1399</v>
      </c>
      <c r="B124" s="39"/>
      <c r="E124" s="83"/>
      <c r="G124" s="33"/>
      <c r="H124" s="31"/>
      <c r="I124" s="31" t="str">
        <f>IF(2023-Tableau17[[#This Row],[Entrée dans la société]]&gt;100,"",2023-Tableau17[[#This Row],[Entrée dans la société]])</f>
        <v/>
      </c>
      <c r="J124" s="83" t="str">
        <f>IF(2023-Tableau17[[#This Row],[Début de mandat]]&gt;100,"",2024-Tableau17[[#This Row],[Début de mandat]])</f>
        <v/>
      </c>
      <c r="K124" s="83"/>
      <c r="L124" s="39"/>
      <c r="M124" s="31"/>
      <c r="N124" s="19"/>
      <c r="O124" s="17"/>
      <c r="P124" s="90"/>
      <c r="S124" s="31"/>
      <c r="U124" s="27"/>
      <c r="V124" s="15"/>
      <c r="X124" s="6">
        <f>'Réf cellules RB'!A118</f>
        <v>117</v>
      </c>
      <c r="Y124" s="6">
        <f>_xlfn.XLOOKUP(Tableau17[[#This Row],[Isin]],Tableau1[Isin],Tableau1[Sum intérêt])</f>
        <v>20</v>
      </c>
      <c r="Z124" s="6" t="str">
        <f>_xlfn.XLOOKUP(Tableau17[[#This Row],[Isin]],Tableau1[Isin],Tableau1[Liste des sociétés])</f>
        <v>Safran</v>
      </c>
    </row>
    <row r="125" spans="1:26" ht="17">
      <c r="A125" s="31" t="s">
        <v>825</v>
      </c>
      <c r="B125" s="39" t="s">
        <v>3279</v>
      </c>
      <c r="C125" s="83" t="s">
        <v>3184</v>
      </c>
      <c r="D125" s="83" t="s">
        <v>3280</v>
      </c>
      <c r="E125" s="83">
        <v>1980</v>
      </c>
      <c r="F125" s="31">
        <v>1999</v>
      </c>
      <c r="G125" s="31">
        <v>2018</v>
      </c>
      <c r="H125" s="31">
        <v>2025</v>
      </c>
      <c r="I125" s="31">
        <f>IF(2023-Tableau17[[#This Row],[Entrée dans la société]]&gt;100,"",2023-Tableau17[[#This Row],[Entrée dans la société]])</f>
        <v>24</v>
      </c>
      <c r="J125" s="83">
        <f>IF(2023-Tableau17[[#This Row],[Début de mandat]]&gt;100,"",2024-Tableau17[[#This Row],[Début de mandat]])</f>
        <v>6</v>
      </c>
      <c r="K125" s="83"/>
      <c r="L125" s="39"/>
      <c r="M125" s="31"/>
      <c r="N125" s="19"/>
      <c r="O125" s="17"/>
      <c r="P125" s="90">
        <v>33448</v>
      </c>
      <c r="S125" s="31"/>
      <c r="U125" s="27">
        <v>240</v>
      </c>
      <c r="V125" s="15"/>
      <c r="W125" s="26" t="s">
        <v>3281</v>
      </c>
      <c r="X125" s="6">
        <f>'Réf cellules RB'!A60</f>
        <v>59</v>
      </c>
      <c r="Y125" s="6">
        <f>_xlfn.XLOOKUP(Tableau17[[#This Row],[Isin]],Tableau1[Isin],Tableau1[Sum intérêt])</f>
        <v>20</v>
      </c>
      <c r="Z125" s="6" t="str">
        <f>_xlfn.XLOOKUP(Tableau17[[#This Row],[Isin]],Tableau1[Isin],Tableau1[Liste des sociétés])</f>
        <v>Sap</v>
      </c>
    </row>
    <row r="126" spans="1:26" ht="17">
      <c r="A126" s="31" t="s">
        <v>825</v>
      </c>
      <c r="B126" s="39"/>
      <c r="E126" s="83"/>
      <c r="G126" s="94"/>
      <c r="H126" s="31"/>
      <c r="I126" s="31" t="str">
        <f>IF(2023-Tableau17[[#This Row],[Entrée dans la société]]&gt;100,"",2023-Tableau17[[#This Row],[Entrée dans la société]])</f>
        <v/>
      </c>
      <c r="J126" s="83" t="str">
        <f>IF(2023-Tableau17[[#This Row],[Début de mandat]]&gt;100,"",2024-Tableau17[[#This Row],[Début de mandat]])</f>
        <v/>
      </c>
      <c r="K126" s="83"/>
      <c r="L126" s="39"/>
      <c r="M126" s="31"/>
      <c r="N126" s="19"/>
      <c r="O126" s="17"/>
      <c r="P126" s="90"/>
      <c r="S126" s="31"/>
      <c r="U126" s="27"/>
      <c r="V126" s="15"/>
      <c r="W126" s="26"/>
      <c r="X126" s="6">
        <f>'Réf cellules RB'!A62</f>
        <v>61</v>
      </c>
      <c r="Y126" s="6">
        <f>_xlfn.XLOOKUP(Tableau17[[#This Row],[Isin]],Tableau1[Isin],Tableau1[Sum intérêt])</f>
        <v>20</v>
      </c>
      <c r="Z126" s="6" t="str">
        <f>_xlfn.XLOOKUP(Tableau17[[#This Row],[Isin]],Tableau1[Isin],Tableau1[Liste des sociétés])</f>
        <v>Sap</v>
      </c>
    </row>
    <row r="127" spans="1:26" ht="17">
      <c r="A127" s="31" t="s">
        <v>2461</v>
      </c>
      <c r="B127" s="39" t="s">
        <v>3282</v>
      </c>
      <c r="C127" s="83" t="s">
        <v>3184</v>
      </c>
      <c r="D127" s="83" t="s">
        <v>3283</v>
      </c>
      <c r="E127" s="83">
        <v>1966</v>
      </c>
      <c r="F127" s="31">
        <v>2016</v>
      </c>
      <c r="G127" s="31">
        <v>2023</v>
      </c>
      <c r="H127" s="31"/>
      <c r="I127" s="31">
        <f>IF(2023-Tableau17[[#This Row],[Entrée dans la société]]&gt;100,"",2023-Tableau17[[#This Row],[Entrée dans la société]])</f>
        <v>7</v>
      </c>
      <c r="J127" s="83">
        <f>IF(2023-Tableau17[[#This Row],[Début de mandat]]&gt;100,"",2024-Tableau17[[#This Row],[Début de mandat]])</f>
        <v>1</v>
      </c>
      <c r="K127" s="83"/>
      <c r="L127" s="39"/>
      <c r="M127" s="31"/>
      <c r="N127" s="19"/>
      <c r="O127" s="6"/>
      <c r="P127" s="90"/>
      <c r="Q127" s="90"/>
      <c r="R127" s="90"/>
      <c r="S127" s="90"/>
      <c r="T127" s="90"/>
      <c r="U127" s="27">
        <v>250</v>
      </c>
      <c r="V127" s="15"/>
      <c r="X127" s="6">
        <f>'Réf cellules RB'!A282</f>
        <v>281</v>
      </c>
      <c r="Y127" s="6">
        <f>_xlfn.XLOOKUP(Tableau17[[#This Row],[Isin]],Tableau1[Isin],Tableau1[Sum intérêt])</f>
        <v>20</v>
      </c>
      <c r="Z127" s="6" t="str">
        <f>_xlfn.XLOOKUP(Tableau17[[#This Row],[Isin]],Tableau1[Isin],Tableau1[Liste des sociétés])</f>
        <v>Schneider electric</v>
      </c>
    </row>
    <row r="128" spans="1:26" ht="17">
      <c r="A128" s="31" t="s">
        <v>2461</v>
      </c>
      <c r="B128" s="39"/>
      <c r="E128" s="83"/>
      <c r="F128" s="33"/>
      <c r="G128" s="33"/>
      <c r="H128" s="31"/>
      <c r="I128" s="31" t="str">
        <f>IF(2023-Tableau17[[#This Row],[Entrée dans la société]]&gt;100,"",2023-Tableau17[[#This Row],[Entrée dans la société]])</f>
        <v/>
      </c>
      <c r="J128" s="83" t="str">
        <f>IF(2023-Tableau17[[#This Row],[Début de mandat]]&gt;100,"",2024-Tableau17[[#This Row],[Début de mandat]])</f>
        <v/>
      </c>
      <c r="K128" s="83"/>
      <c r="L128" s="39"/>
      <c r="M128" s="31"/>
      <c r="N128" s="19"/>
      <c r="O128" s="6"/>
      <c r="P128" s="90"/>
      <c r="Q128" s="90"/>
      <c r="R128" s="90"/>
      <c r="S128" s="90"/>
      <c r="T128" s="90"/>
      <c r="U128" s="27"/>
      <c r="V128" s="15"/>
      <c r="X128" s="6">
        <f>'Réf cellules RB'!A283</f>
        <v>282</v>
      </c>
      <c r="Y128" s="6">
        <f>_xlfn.XLOOKUP(Tableau17[[#This Row],[Isin]],Tableau1[Isin],Tableau1[Sum intérêt])</f>
        <v>20</v>
      </c>
      <c r="Z128" s="6" t="str">
        <f>_xlfn.XLOOKUP(Tableau17[[#This Row],[Isin]],Tableau1[Isin],Tableau1[Liste des sociétés])</f>
        <v>Schneider electric</v>
      </c>
    </row>
    <row r="129" spans="1:26" ht="17">
      <c r="A129" s="31" t="s">
        <v>944</v>
      </c>
      <c r="B129" s="39" t="s">
        <v>3284</v>
      </c>
      <c r="C129" s="83" t="s">
        <v>3182</v>
      </c>
      <c r="D129" s="83" t="s">
        <v>3285</v>
      </c>
      <c r="E129" s="83">
        <v>1961</v>
      </c>
      <c r="F129" s="31">
        <v>1986</v>
      </c>
      <c r="G129" s="31">
        <v>2011</v>
      </c>
      <c r="H129" s="31">
        <v>2025</v>
      </c>
      <c r="I129" s="31">
        <f>IF(2023-Tableau17[[#This Row],[Entrée dans la société]]&gt;100,"",2023-Tableau17[[#This Row],[Entrée dans la société]])</f>
        <v>37</v>
      </c>
      <c r="J129" s="83">
        <f>IF(2023-Tableau17[[#This Row],[Début de mandat]]&gt;100,"",2024-Tableau17[[#This Row],[Début de mandat]])</f>
        <v>13</v>
      </c>
      <c r="K129" s="83"/>
      <c r="L129" s="19">
        <v>2559283</v>
      </c>
      <c r="M129" s="19">
        <v>2479097</v>
      </c>
      <c r="N129" s="19">
        <v>2479097</v>
      </c>
      <c r="O129" s="17">
        <v>2455209</v>
      </c>
      <c r="P129" s="90">
        <v>2434396</v>
      </c>
      <c r="Q129" s="90">
        <v>2434396</v>
      </c>
      <c r="R129" s="90">
        <v>2434396</v>
      </c>
      <c r="S129" s="90">
        <v>2434396</v>
      </c>
      <c r="T129" s="90">
        <v>2436396</v>
      </c>
      <c r="U129" s="27">
        <v>40</v>
      </c>
      <c r="V129" s="15">
        <f>Tableau17[[#This Row],[Cours de l''action]]*Tableau17[[#This Row],[Nombre de titres au 31/12/2023]]</f>
        <v>102371320</v>
      </c>
      <c r="X129" s="6">
        <f>'Réf cellules RB'!A50</f>
        <v>49</v>
      </c>
      <c r="Y129" s="6">
        <f>_xlfn.XLOOKUP(Tableau17[[#This Row],[Isin]],Tableau1[Isin],Tableau1[Sum intérêt])</f>
        <v>20</v>
      </c>
      <c r="Z129" s="6" t="str">
        <f>_xlfn.XLOOKUP(Tableau17[[#This Row],[Isin]],Tableau1[Isin],Tableau1[Liste des sociétés])</f>
        <v>Spie</v>
      </c>
    </row>
    <row r="130" spans="1:26" ht="17">
      <c r="A130" s="31" t="s">
        <v>944</v>
      </c>
      <c r="B130" s="39"/>
      <c r="E130" s="83"/>
      <c r="G130" s="33"/>
      <c r="H130" s="110"/>
      <c r="I130" s="110" t="str">
        <f>IF(2023-Tableau17[[#This Row],[Entrée dans la société]]&gt;100,"",2023-Tableau17[[#This Row],[Entrée dans la société]])</f>
        <v/>
      </c>
      <c r="J130" s="83" t="str">
        <f>IF(2023-Tableau17[[#This Row],[Début de mandat]]&gt;100,"",2024-Tableau17[[#This Row],[Début de mandat]])</f>
        <v/>
      </c>
      <c r="K130" s="83"/>
      <c r="L130" s="39"/>
      <c r="M130" s="110"/>
      <c r="N130" s="19"/>
      <c r="O130" s="17"/>
      <c r="P130" s="90"/>
      <c r="Q130" s="90"/>
      <c r="R130" s="90"/>
      <c r="S130" s="90"/>
      <c r="T130" s="90"/>
      <c r="U130" s="27"/>
      <c r="V130" s="15"/>
      <c r="X130" s="6">
        <f>'Réf cellules RB'!A51</f>
        <v>50</v>
      </c>
      <c r="Y130" s="6">
        <f>_xlfn.XLOOKUP(Tableau17[[#This Row],[Isin]],Tableau1[Isin],Tableau1[Sum intérêt])</f>
        <v>20</v>
      </c>
      <c r="Z130" s="6" t="str">
        <f>_xlfn.XLOOKUP(Tableau17[[#This Row],[Isin]],Tableau1[Isin],Tableau1[Liste des sociétés])</f>
        <v>Spie</v>
      </c>
    </row>
    <row r="131" spans="1:26" ht="17">
      <c r="A131" s="31" t="s">
        <v>2636</v>
      </c>
      <c r="B131" s="39" t="s">
        <v>3286</v>
      </c>
      <c r="C131" s="83" t="s">
        <v>3182</v>
      </c>
      <c r="D131" s="83" t="s">
        <v>3287</v>
      </c>
      <c r="E131" s="83">
        <v>1960</v>
      </c>
      <c r="F131" s="31">
        <v>1987</v>
      </c>
      <c r="G131" s="31">
        <v>2020</v>
      </c>
      <c r="H131" s="31">
        <v>2023</v>
      </c>
      <c r="I131" s="31">
        <f>IF(2023-Tableau17[[#This Row],[Entrée dans la société]]&gt;100,"",2023-Tableau17[[#This Row],[Entrée dans la société]])</f>
        <v>36</v>
      </c>
      <c r="J131" s="83">
        <f>IF(2023-Tableau17[[#This Row],[Début de mandat]]&gt;100,"",2024-Tableau17[[#This Row],[Début de mandat]])</f>
        <v>4</v>
      </c>
      <c r="K131" s="83"/>
      <c r="L131" s="39"/>
      <c r="M131" s="19">
        <v>2741</v>
      </c>
      <c r="N131" s="19"/>
      <c r="O131" s="103"/>
      <c r="P131" s="114"/>
      <c r="S131" s="31"/>
      <c r="U131" s="107">
        <v>22</v>
      </c>
      <c r="V131" s="15"/>
      <c r="W131" s="6" t="s">
        <v>3288</v>
      </c>
      <c r="X131" s="6">
        <f>'Réf cellules RB'!A222</f>
        <v>221</v>
      </c>
      <c r="Y131" s="6">
        <f>_xlfn.XLOOKUP(Tableau17[[#This Row],[Isin]],Tableau1[Isin],Tableau1[Sum intérêt])</f>
        <v>20</v>
      </c>
      <c r="Z131" s="6" t="str">
        <f>_xlfn.XLOOKUP(Tableau17[[#This Row],[Isin]],Tableau1[Isin],Tableau1[Liste des sociétés])</f>
        <v>St microelectronics</v>
      </c>
    </row>
    <row r="132" spans="1:26" ht="17">
      <c r="A132" s="31" t="s">
        <v>2636</v>
      </c>
      <c r="B132" s="39"/>
      <c r="E132" s="83"/>
      <c r="H132" s="31"/>
      <c r="I132" s="31" t="str">
        <f>IF(2023-Tableau17[[#This Row],[Entrée dans la société]]&gt;100,"",2023-Tableau17[[#This Row],[Entrée dans la société]])</f>
        <v/>
      </c>
      <c r="J132" s="83" t="str">
        <f>IF(2023-Tableau17[[#This Row],[Début de mandat]]&gt;100,"",2024-Tableau17[[#This Row],[Début de mandat]])</f>
        <v/>
      </c>
      <c r="K132" s="83"/>
      <c r="L132" s="39"/>
      <c r="M132" s="94"/>
      <c r="N132" s="19"/>
      <c r="O132" s="103"/>
      <c r="S132" s="31"/>
      <c r="U132" s="107"/>
      <c r="V132" s="15"/>
      <c r="X132" s="6">
        <f>'Réf cellules RB'!A223</f>
        <v>222</v>
      </c>
      <c r="Y132" s="6">
        <f>_xlfn.XLOOKUP(Tableau17[[#This Row],[Isin]],Tableau1[Isin],Tableau1[Sum intérêt])</f>
        <v>20</v>
      </c>
      <c r="Z132" s="6" t="str">
        <f>_xlfn.XLOOKUP(Tableau17[[#This Row],[Isin]],Tableau1[Isin],Tableau1[Liste des sociétés])</f>
        <v>St microelectronics</v>
      </c>
    </row>
    <row r="133" spans="1:26" ht="17">
      <c r="A133" s="31" t="s">
        <v>2212</v>
      </c>
      <c r="B133" s="39" t="s">
        <v>2208</v>
      </c>
      <c r="C133" s="83" t="s">
        <v>3184</v>
      </c>
      <c r="D133" s="83" t="s">
        <v>3289</v>
      </c>
      <c r="E133" s="83">
        <v>1958</v>
      </c>
      <c r="F133" s="31">
        <v>2014</v>
      </c>
      <c r="G133" s="31">
        <v>2014</v>
      </c>
      <c r="H133" s="31">
        <v>2026</v>
      </c>
      <c r="I133" s="31">
        <f>IF(2023-Tableau17[[#This Row],[Entrée dans la société]]&gt;100,"",2023-Tableau17[[#This Row],[Entrée dans la société]])</f>
        <v>9</v>
      </c>
      <c r="J133" s="83">
        <f>IF(2023-Tableau17[[#This Row],[Début de mandat]]&gt;100,"",2024-Tableau17[[#This Row],[Début de mandat]])</f>
        <v>10</v>
      </c>
      <c r="K133" s="83"/>
      <c r="L133" s="39"/>
      <c r="M133" s="31"/>
      <c r="N133" s="19">
        <v>801808</v>
      </c>
      <c r="O133" s="17"/>
      <c r="P133" s="90">
        <v>196000</v>
      </c>
      <c r="Q133" s="90">
        <v>131000</v>
      </c>
      <c r="R133" s="90">
        <v>131000</v>
      </c>
      <c r="S133" s="90">
        <v>1000</v>
      </c>
      <c r="T133" s="90"/>
      <c r="U133" s="27">
        <v>10</v>
      </c>
      <c r="V133" s="15">
        <f>U133*N133</f>
        <v>8018080</v>
      </c>
      <c r="W133" s="26" t="s">
        <v>3290</v>
      </c>
      <c r="X133" s="6">
        <f>'Réf cellules RB'!A289</f>
        <v>288</v>
      </c>
      <c r="Y133" s="6">
        <f>_xlfn.XLOOKUP(Tableau17[[#This Row],[Isin]],Tableau1[Isin],Tableau1[Sum intérêt])</f>
        <v>20</v>
      </c>
      <c r="Z133" s="6" t="str">
        <f>_xlfn.XLOOKUP(Tableau17[[#This Row],[Isin]],Tableau1[Isin],Tableau1[Liste des sociétés])</f>
        <v>Stellantis (fiat-peugeot)</v>
      </c>
    </row>
    <row r="134" spans="1:26" ht="17">
      <c r="A134" s="31" t="s">
        <v>2212</v>
      </c>
      <c r="B134" s="39"/>
      <c r="E134" s="83"/>
      <c r="G134" s="33"/>
      <c r="H134" s="31"/>
      <c r="I134" s="31" t="str">
        <f>IF(2023-Tableau17[[#This Row],[Entrée dans la société]]&gt;100,"",2023-Tableau17[[#This Row],[Entrée dans la société]])</f>
        <v/>
      </c>
      <c r="J134" s="83" t="str">
        <f>IF(2023-Tableau17[[#This Row],[Début de mandat]]&gt;100,"",2024-Tableau17[[#This Row],[Début de mandat]])</f>
        <v/>
      </c>
      <c r="K134" s="83"/>
      <c r="L134" s="39"/>
      <c r="M134" s="31"/>
      <c r="N134" s="19"/>
      <c r="O134" s="17"/>
      <c r="P134" s="90"/>
      <c r="Q134" s="90"/>
      <c r="R134" s="90"/>
      <c r="S134" s="90"/>
      <c r="T134" s="90"/>
      <c r="U134" s="27"/>
      <c r="V134" s="15"/>
      <c r="W134" s="26"/>
      <c r="X134" s="6">
        <f>'Réf cellules RB'!A258</f>
        <v>257</v>
      </c>
      <c r="Y134" s="6">
        <f>_xlfn.XLOOKUP(Tableau17[[#This Row],[Isin]],Tableau1[Isin],Tableau1[Sum intérêt])</f>
        <v>20</v>
      </c>
      <c r="Z134" s="6" t="str">
        <f>_xlfn.XLOOKUP(Tableau17[[#This Row],[Isin]],Tableau1[Isin],Tableau1[Liste des sociétés])</f>
        <v>Stellantis (fiat-peugeot)</v>
      </c>
    </row>
    <row r="135" spans="1:26" ht="17">
      <c r="A135" s="31" t="s">
        <v>4156</v>
      </c>
      <c r="B135" s="39" t="s">
        <v>3048</v>
      </c>
      <c r="D135" s="83" t="s">
        <v>4536</v>
      </c>
      <c r="E135" s="83">
        <v>1964</v>
      </c>
      <c r="F135" s="33"/>
      <c r="G135" s="33"/>
      <c r="H135" s="31"/>
      <c r="I135" s="31" t="str">
        <f>IF(2023-Tableau17[[#This Row],[Entrée dans la société]]&gt;100,"",2023-Tableau17[[#This Row],[Entrée dans la société]])</f>
        <v/>
      </c>
      <c r="J135" s="83" t="str">
        <f>IF(2023-Tableau17[[#This Row],[Début de mandat]]&gt;100,"",2024-Tableau17[[#This Row],[Début de mandat]])</f>
        <v/>
      </c>
      <c r="K135" s="83"/>
      <c r="L135" s="39"/>
      <c r="M135" s="31"/>
      <c r="N135" s="19"/>
      <c r="O135" s="6"/>
      <c r="P135" s="90"/>
      <c r="Q135" s="90"/>
      <c r="R135" s="90"/>
      <c r="S135" s="90"/>
      <c r="T135" s="90"/>
      <c r="U135" s="27">
        <v>90</v>
      </c>
      <c r="V135" s="15"/>
      <c r="X135" s="6">
        <f>'Réf cellules RB'!A259</f>
        <v>258</v>
      </c>
      <c r="Y135" s="6">
        <f>_xlfn.XLOOKUP(Tableau17[[#This Row],[Isin]],Tableau1[Isin],Tableau1[Sum intérêt])</f>
        <v>20</v>
      </c>
      <c r="Z135" s="6" t="str">
        <f>_xlfn.XLOOKUP(Tableau17[[#This Row],[Isin]],Tableau1[Isin],Tableau1[Liste des sociétés])</f>
        <v>Symrise ag</v>
      </c>
    </row>
    <row r="136" spans="1:26" ht="17">
      <c r="A136" s="31" t="s">
        <v>4156</v>
      </c>
      <c r="B136" s="39"/>
      <c r="E136" s="150"/>
      <c r="F136" s="33"/>
      <c r="G136" s="33"/>
      <c r="H136" s="31"/>
      <c r="I136" s="31" t="str">
        <f>IF(2023-Tableau17[[#This Row],[Entrée dans la société]]&gt;100,"",2023-Tableau17[[#This Row],[Entrée dans la société]])</f>
        <v/>
      </c>
      <c r="J136" s="83" t="str">
        <f>IF(2023-Tableau17[[#This Row],[Début de mandat]]&gt;100,"",2024-Tableau17[[#This Row],[Début de mandat]])</f>
        <v/>
      </c>
      <c r="K136" s="83"/>
      <c r="L136" s="39"/>
      <c r="M136" s="31"/>
      <c r="N136" s="19"/>
      <c r="O136" s="6"/>
      <c r="P136" s="90"/>
      <c r="Q136" s="90"/>
      <c r="R136" s="90"/>
      <c r="S136" s="90"/>
      <c r="T136" s="90"/>
      <c r="U136" s="27"/>
      <c r="V136" s="15"/>
      <c r="X136" s="6">
        <f>'Réf cellules RB'!A259</f>
        <v>258</v>
      </c>
      <c r="Y136" s="6">
        <f>_xlfn.XLOOKUP(Tableau17[[#This Row],[Isin]],Tableau1[Isin],Tableau1[Sum intérêt])</f>
        <v>20</v>
      </c>
      <c r="Z136" s="6" t="str">
        <f>_xlfn.XLOOKUP(Tableau17[[#This Row],[Isin]],Tableau1[Isin],Tableau1[Liste des sociétés])</f>
        <v>Symrise ag</v>
      </c>
    </row>
    <row r="137" spans="1:26" ht="17">
      <c r="A137" s="31" t="s">
        <v>2280</v>
      </c>
      <c r="B137" s="39" t="s">
        <v>2277</v>
      </c>
      <c r="C137" s="83" t="s">
        <v>3184</v>
      </c>
      <c r="D137" s="83" t="s">
        <v>3406</v>
      </c>
      <c r="E137" s="83">
        <v>1959</v>
      </c>
      <c r="F137" s="31">
        <v>1988</v>
      </c>
      <c r="G137" s="31">
        <v>2016</v>
      </c>
      <c r="H137" s="31">
        <v>2024</v>
      </c>
      <c r="I137" s="31">
        <f>IF(2023-Tableau17[[#This Row],[Entrée dans la société]]&gt;100,"",2023-Tableau17[[#This Row],[Entrée dans la société]])</f>
        <v>35</v>
      </c>
      <c r="J137" s="83">
        <f>IF(2023-Tableau17[[#This Row],[Début de mandat]]&gt;100,"",2024-Tableau17[[#This Row],[Début de mandat]])</f>
        <v>8</v>
      </c>
      <c r="K137" s="83"/>
      <c r="L137" s="39"/>
      <c r="M137" s="33"/>
      <c r="N137" s="19"/>
      <c r="O137" s="19">
        <v>2000</v>
      </c>
      <c r="S137" s="31"/>
      <c r="U137" s="107">
        <v>110</v>
      </c>
      <c r="V137" s="15"/>
      <c r="X137" s="6">
        <f>'Réf cellules RB'!A133</f>
        <v>132</v>
      </c>
      <c r="Y137" s="6">
        <f>_xlfn.XLOOKUP(Tableau17[[#This Row],[Isin]],Tableau1[Isin],Tableau1[Sum intérêt])</f>
        <v>20</v>
      </c>
      <c r="Z137" s="6" t="str">
        <f>_xlfn.XLOOKUP(Tableau17[[#This Row],[Isin]],Tableau1[Isin],Tableau1[Liste des sociétés])</f>
        <v>Trigano</v>
      </c>
    </row>
    <row r="138" spans="1:26" ht="17">
      <c r="A138" s="31" t="s">
        <v>2280</v>
      </c>
      <c r="B138" s="39"/>
      <c r="E138" s="83"/>
      <c r="G138" s="33"/>
      <c r="H138" s="33"/>
      <c r="I138" s="31" t="str">
        <f>IF(2023-Tableau17[[#This Row],[Entrée dans la société]]&gt;100,"",2023-Tableau17[[#This Row],[Entrée dans la société]])</f>
        <v/>
      </c>
      <c r="J138" s="83" t="str">
        <f>IF(2023-Tableau17[[#This Row],[Début de mandat]]&gt;100,"",2024-Tableau17[[#This Row],[Début de mandat]])</f>
        <v/>
      </c>
      <c r="K138" s="83"/>
      <c r="L138" s="39"/>
      <c r="M138" s="33"/>
      <c r="N138" s="19"/>
      <c r="O138" s="19"/>
      <c r="S138" s="31"/>
      <c r="U138" s="107"/>
      <c r="V138" s="15"/>
      <c r="X138" s="6">
        <f>'Réf cellules RB'!A134</f>
        <v>133</v>
      </c>
      <c r="Y138" s="6">
        <f>_xlfn.XLOOKUP(Tableau17[[#This Row],[Isin]],Tableau1[Isin],Tableau1[Sum intérêt])</f>
        <v>20</v>
      </c>
      <c r="Z138" s="6" t="str">
        <f>_xlfn.XLOOKUP(Tableau17[[#This Row],[Isin]],Tableau1[Isin],Tableau1[Liste des sociétés])</f>
        <v>Trigano</v>
      </c>
    </row>
    <row r="139" spans="1:26" ht="17">
      <c r="A139" s="31" t="s">
        <v>343</v>
      </c>
      <c r="B139" s="39" t="s">
        <v>339</v>
      </c>
      <c r="C139" s="158" t="s">
        <v>3184</v>
      </c>
      <c r="D139" s="83" t="s">
        <v>3291</v>
      </c>
      <c r="E139" s="83">
        <v>1972</v>
      </c>
      <c r="F139" s="31">
        <v>2005</v>
      </c>
      <c r="G139" s="31">
        <v>2022</v>
      </c>
      <c r="H139" s="31">
        <v>2026</v>
      </c>
      <c r="I139" s="31">
        <f>IF(2023-Tableau17[[#This Row],[Entrée dans la société]]&gt;100,"",2023-Tableau17[[#This Row],[Entrée dans la société]])</f>
        <v>18</v>
      </c>
      <c r="J139" s="83">
        <f>IF(2023-Tableau17[[#This Row],[Début de mandat]]&gt;100,"",2024-Tableau17[[#This Row],[Début de mandat]])</f>
        <v>2</v>
      </c>
      <c r="K139" s="83"/>
      <c r="L139" s="19">
        <v>31533</v>
      </c>
      <c r="M139" s="19">
        <v>18308</v>
      </c>
      <c r="N139" s="19"/>
      <c r="O139" s="19">
        <v>39341</v>
      </c>
      <c r="S139" s="90">
        <v>36450</v>
      </c>
      <c r="T139" s="90">
        <v>36450</v>
      </c>
      <c r="U139" s="115">
        <v>29</v>
      </c>
      <c r="V139" s="15">
        <f>Tableau17[[#This Row],[Nombre de titres au 31/12/2023]]*Tableau17[[#This Row],[Cours de l''action]]</f>
        <v>914457</v>
      </c>
      <c r="X139" s="6">
        <f>'Réf cellules RB'!A146</f>
        <v>145</v>
      </c>
      <c r="Y139" s="6">
        <f>_xlfn.XLOOKUP(Tableau17[[#This Row],[Isin]],Tableau1[Isin],Tableau1[Sum intérêt])</f>
        <v>20</v>
      </c>
      <c r="Z139" s="6" t="str">
        <f>_xlfn.XLOOKUP(Tableau17[[#This Row],[Isin]],Tableau1[Isin],Tableau1[Liste des sociétés])</f>
        <v xml:space="preserve">Veolia </v>
      </c>
    </row>
    <row r="140" spans="1:26" ht="17">
      <c r="A140" s="31" t="s">
        <v>343</v>
      </c>
      <c r="B140" s="39"/>
      <c r="E140" s="83"/>
      <c r="H140" s="31"/>
      <c r="I140" s="31" t="str">
        <f>IF(2023-Tableau17[[#This Row],[Entrée dans la société]]&gt;100,"",2023-Tableau17[[#This Row],[Entrée dans la société]])</f>
        <v/>
      </c>
      <c r="J140" s="83" t="str">
        <f>IF(2023-Tableau17[[#This Row],[Début de mandat]]&gt;100,"",2024-Tableau17[[#This Row],[Début de mandat]])</f>
        <v/>
      </c>
      <c r="K140" s="83"/>
      <c r="L140" s="39"/>
      <c r="M140" s="31"/>
      <c r="N140" s="19"/>
      <c r="O140" s="19"/>
      <c r="S140" s="90"/>
      <c r="T140" s="90"/>
      <c r="U140" s="115"/>
      <c r="V140" s="15"/>
      <c r="X140" s="6">
        <f>'Réf cellules RB'!A147</f>
        <v>146</v>
      </c>
      <c r="Y140" s="6">
        <f>_xlfn.XLOOKUP(Tableau17[[#This Row],[Isin]],Tableau1[Isin],Tableau1[Sum intérêt])</f>
        <v>20</v>
      </c>
      <c r="Z140" s="6" t="str">
        <f>_xlfn.XLOOKUP(Tableau17[[#This Row],[Isin]],Tableau1[Isin],Tableau1[Liste des sociétés])</f>
        <v xml:space="preserve">Veolia </v>
      </c>
    </row>
    <row r="141" spans="1:26" ht="17">
      <c r="A141" s="31" t="s">
        <v>199</v>
      </c>
      <c r="B141" s="39" t="s">
        <v>194</v>
      </c>
      <c r="C141" s="83" t="s">
        <v>3184</v>
      </c>
      <c r="D141" s="83" t="s">
        <v>3292</v>
      </c>
      <c r="E141" s="83">
        <v>1966</v>
      </c>
      <c r="F141" s="31">
        <v>2022</v>
      </c>
      <c r="G141" s="31">
        <v>2022</v>
      </c>
      <c r="H141" s="31">
        <v>2026</v>
      </c>
      <c r="I141" s="31">
        <f>IF(2023-Tableau17[[#This Row],[Entrée dans la société]]&gt;100,"",2023-Tableau17[[#This Row],[Entrée dans la société]])</f>
        <v>1</v>
      </c>
      <c r="J141" s="83">
        <f>IF(2023-Tableau17[[#This Row],[Début de mandat]]&gt;100,"",2024-Tableau17[[#This Row],[Début de mandat]])</f>
        <v>2</v>
      </c>
      <c r="K141" s="83"/>
      <c r="L141" s="19">
        <v>2000</v>
      </c>
      <c r="M141" s="19">
        <v>2000</v>
      </c>
      <c r="N141" s="19"/>
      <c r="O141" s="6"/>
      <c r="P141" s="90"/>
      <c r="Q141" s="90"/>
      <c r="R141" s="90"/>
      <c r="S141" s="90"/>
      <c r="T141" s="90"/>
      <c r="U141" s="27">
        <v>29</v>
      </c>
      <c r="V141" s="15"/>
      <c r="X141" s="6">
        <f>'Réf cellules RB'!A258</f>
        <v>257</v>
      </c>
      <c r="Y141" s="6">
        <f>_xlfn.XLOOKUP(Tableau17[[#This Row],[Isin]],Tableau1[Isin],Tableau1[Sum intérêt])</f>
        <v>20</v>
      </c>
      <c r="Z141" s="6" t="str">
        <f>_xlfn.XLOOKUP(Tableau17[[#This Row],[Isin]],Tableau1[Isin],Tableau1[Liste des sociétés])</f>
        <v>Verallia</v>
      </c>
    </row>
    <row r="142" spans="1:26" ht="17">
      <c r="A142" s="31" t="s">
        <v>199</v>
      </c>
      <c r="B142" s="39"/>
      <c r="E142" s="83"/>
      <c r="I142" s="31"/>
      <c r="J142" s="83" t="str">
        <f>IF(2023-Tableau17[[#This Row],[Début de mandat]]&gt;100,"",2024-Tableau17[[#This Row],[Début de mandat]])</f>
        <v/>
      </c>
      <c r="K142" s="83"/>
      <c r="L142" s="39"/>
      <c r="M142" s="31"/>
      <c r="N142" s="19"/>
      <c r="O142" s="6"/>
      <c r="S142" s="31"/>
      <c r="U142" s="107"/>
      <c r="V142" s="15"/>
      <c r="X142" s="6">
        <f>'Réf cellules RB'!A259</f>
        <v>258</v>
      </c>
      <c r="Y142" s="6">
        <f>_xlfn.XLOOKUP(Tableau17[[#This Row],[Isin]],Tableau1[Isin],Tableau1[Sum intérêt])</f>
        <v>20</v>
      </c>
      <c r="Z142" s="6" t="str">
        <f>_xlfn.XLOOKUP(Tableau17[[#This Row],[Isin]],Tableau1[Isin],Tableau1[Liste des sociétés])</f>
        <v>Verallia</v>
      </c>
    </row>
    <row r="143" spans="1:26" ht="17">
      <c r="A143" s="31" t="s">
        <v>1928</v>
      </c>
      <c r="B143" s="39" t="s">
        <v>1925</v>
      </c>
      <c r="C143" s="83" t="s">
        <v>3182</v>
      </c>
      <c r="D143" s="83" t="s">
        <v>3293</v>
      </c>
      <c r="E143" s="83">
        <v>1954</v>
      </c>
      <c r="G143" s="31">
        <v>2006</v>
      </c>
      <c r="H143" s="31">
        <v>2026</v>
      </c>
      <c r="I143" s="31" t="str">
        <f>IF(2023-Tableau17[[#This Row],[Entrée dans la société]]&gt;100,"",2023-Tableau17[[#This Row],[Entrée dans la société]])</f>
        <v/>
      </c>
      <c r="J143" s="83">
        <f>IF(2023-Tableau17[[#This Row],[Début de mandat]]&gt;100,"",2024-Tableau17[[#This Row],[Début de mandat]])</f>
        <v>18</v>
      </c>
      <c r="K143" s="83"/>
      <c r="L143" s="39"/>
      <c r="M143" s="19">
        <v>359116</v>
      </c>
      <c r="N143" s="19"/>
      <c r="O143" s="6"/>
      <c r="P143" s="90"/>
      <c r="Q143" s="90"/>
      <c r="R143" s="90"/>
      <c r="S143" s="90"/>
      <c r="T143" s="90"/>
      <c r="U143" s="27">
        <v>112</v>
      </c>
      <c r="V143" s="15">
        <f>Tableau17[[#This Row],[Nombre de titres au 31/12/2022]]*Tableau17[[#This Row],[Cours de l''action]]</f>
        <v>40220992</v>
      </c>
      <c r="X143" s="6">
        <f>'Réf cellules RB'!A259</f>
        <v>258</v>
      </c>
      <c r="Y143" s="6">
        <f>_xlfn.XLOOKUP(Tableau17[[#This Row],[Isin]],Tableau1[Isin],Tableau1[Sum intérêt])</f>
        <v>20</v>
      </c>
      <c r="Z143" s="6" t="str">
        <f>_xlfn.XLOOKUP(Tableau17[[#This Row],[Isin]],Tableau1[Isin],Tableau1[Liste des sociétés])</f>
        <v>Vinci</v>
      </c>
    </row>
    <row r="144" spans="1:26" ht="17">
      <c r="A144" s="31" t="s">
        <v>1928</v>
      </c>
      <c r="B144" s="39"/>
      <c r="E144" s="150"/>
      <c r="F144" s="33"/>
      <c r="G144" s="33"/>
      <c r="H144" s="31"/>
      <c r="I144" s="31" t="str">
        <f>IF(2023-Tableau17[[#This Row],[Entrée dans la société]]&gt;100,"",2023-Tableau17[[#This Row],[Entrée dans la société]])</f>
        <v/>
      </c>
      <c r="J144" s="83" t="str">
        <f>IF(2023-Tableau17[[#This Row],[Début de mandat]]&gt;100,"",2024-Tableau17[[#This Row],[Début de mandat]])</f>
        <v/>
      </c>
      <c r="K144" s="83"/>
      <c r="L144" s="39"/>
      <c r="M144" s="31"/>
      <c r="N144" s="19"/>
      <c r="O144" s="6"/>
      <c r="P144" s="90"/>
      <c r="Q144" s="90"/>
      <c r="R144" s="90"/>
      <c r="S144" s="90"/>
      <c r="T144" s="90"/>
      <c r="U144" s="27"/>
      <c r="V144" s="15"/>
      <c r="X144" s="6">
        <f>'Réf cellules RB'!A260</f>
        <v>259</v>
      </c>
      <c r="Y144" s="6">
        <f>_xlfn.XLOOKUP(Tableau17[[#This Row],[Isin]],Tableau1[Isin],Tableau1[Sum intérêt])</f>
        <v>20</v>
      </c>
      <c r="Z144" s="6" t="str">
        <f>_xlfn.XLOOKUP(Tableau17[[#This Row],[Isin]],Tableau1[Isin],Tableau1[Liste des sociétés])</f>
        <v>Vinci</v>
      </c>
    </row>
    <row r="145" spans="1:26" ht="17">
      <c r="A145" s="122" t="s">
        <v>3294</v>
      </c>
      <c r="B145" s="157" t="s">
        <v>3295</v>
      </c>
      <c r="C145" s="146"/>
      <c r="D145" s="146"/>
      <c r="E145" s="151"/>
      <c r="F145" s="79"/>
      <c r="G145" s="79"/>
      <c r="H145" s="80"/>
      <c r="I145" s="80" t="str">
        <f>IF(2023-Tableau17[[#This Row],[Entrée dans la société]]&gt;100,"",2023-Tableau17[[#This Row],[Entrée dans la société]])</f>
        <v/>
      </c>
      <c r="J145" s="146" t="str">
        <f>IF(2023-Tableau17[[#This Row],[Début de mandat]]&gt;100,"",2024-Tableau17[[#This Row],[Début de mandat]])</f>
        <v/>
      </c>
      <c r="K145" s="146"/>
      <c r="L145" s="146"/>
      <c r="M145" s="80"/>
      <c r="N145" s="111"/>
      <c r="O145" s="95"/>
      <c r="P145" s="81"/>
      <c r="Q145" s="81"/>
      <c r="R145" s="81"/>
      <c r="S145" s="81"/>
      <c r="T145" s="81"/>
      <c r="U145" s="112"/>
      <c r="V145" s="113">
        <f>U145*N145</f>
        <v>0</v>
      </c>
      <c r="W145" s="95"/>
      <c r="X145" s="95">
        <f>'Réf cellules RB'!A248</f>
        <v>247</v>
      </c>
      <c r="Y145" s="95">
        <f>_xlfn.XLOOKUP(Tableau17[[#This Row],[Isin]],Tableau1[Isin],Tableau1[Sum intérêt])</f>
        <v>21</v>
      </c>
      <c r="Z145" s="95">
        <f>_xlfn.XLOOKUP(Tableau17[[#This Row],[Isin]],Tableau1[Isin],Tableau1[Liste des sociétés])</f>
        <v>0</v>
      </c>
    </row>
    <row r="146" spans="1:26" ht="17">
      <c r="A146" s="31" t="s">
        <v>87</v>
      </c>
      <c r="B146" s="39" t="s">
        <v>3296</v>
      </c>
      <c r="D146" s="83" t="s">
        <v>3297</v>
      </c>
      <c r="E146" s="83">
        <v>1972</v>
      </c>
      <c r="F146" s="31">
        <v>2018</v>
      </c>
      <c r="G146" s="31">
        <v>2018</v>
      </c>
      <c r="H146" s="31"/>
      <c r="I146" s="31">
        <f>IF(2023-Tableau17[[#This Row],[Entrée dans la société]]&gt;100,"",2023-Tableau17[[#This Row],[Entrée dans la société]])</f>
        <v>5</v>
      </c>
      <c r="J146" s="83">
        <f>IF(2023-Tableau17[[#This Row],[Début de mandat]]&gt;100,"",2024-Tableau17[[#This Row],[Début de mandat]])</f>
        <v>6</v>
      </c>
      <c r="K146" s="83"/>
      <c r="L146" s="39"/>
      <c r="M146" s="31"/>
      <c r="N146" s="19"/>
      <c r="O146" s="6"/>
      <c r="Q146" s="90">
        <v>50000</v>
      </c>
      <c r="S146" s="31"/>
      <c r="U146" s="27"/>
      <c r="V146" s="15"/>
      <c r="W146" s="6" t="s">
        <v>3298</v>
      </c>
      <c r="X146" s="6">
        <f>'Réf cellules RB'!A173</f>
        <v>172</v>
      </c>
      <c r="Y146" s="6">
        <f>_xlfn.XLOOKUP(Tableau17[[#This Row],[Isin]],Tableau1[Isin],Tableau1[Sum intérêt])</f>
        <v>30</v>
      </c>
      <c r="Z146" s="6" t="str">
        <f>_xlfn.XLOOKUP(Tableau17[[#This Row],[Isin]],Tableau1[Isin],Tableau1[Liste des sociétés])</f>
        <v>Air france klm</v>
      </c>
    </row>
    <row r="147" spans="1:26" ht="17">
      <c r="A147" s="31" t="s">
        <v>87</v>
      </c>
      <c r="B147" s="39"/>
      <c r="E147" s="83"/>
      <c r="G147" s="33"/>
      <c r="H147" s="31"/>
      <c r="I147" s="31" t="str">
        <f>IF(2023-Tableau17[[#This Row],[Entrée dans la société]]&gt;100,"",2023-Tableau17[[#This Row],[Entrée dans la société]])</f>
        <v/>
      </c>
      <c r="J147" s="83" t="str">
        <f>IF(2023-Tableau17[[#This Row],[Début de mandat]]&gt;100,"",2024-Tableau17[[#This Row],[Début de mandat]])</f>
        <v/>
      </c>
      <c r="K147" s="83"/>
      <c r="L147" s="39"/>
      <c r="M147" s="31"/>
      <c r="N147" s="19"/>
      <c r="O147" s="6"/>
      <c r="Q147" s="90"/>
      <c r="S147" s="31"/>
      <c r="U147" s="27"/>
      <c r="V147" s="15"/>
      <c r="X147" s="6">
        <f>'Réf cellules RB'!A174</f>
        <v>173</v>
      </c>
      <c r="Y147" s="6">
        <f>_xlfn.XLOOKUP(Tableau17[[#This Row],[Isin]],Tableau1[Isin],Tableau1[Sum intérêt])</f>
        <v>30</v>
      </c>
      <c r="Z147" s="6" t="str">
        <f>_xlfn.XLOOKUP(Tableau17[[#This Row],[Isin]],Tableau1[Isin],Tableau1[Liste des sociétés])</f>
        <v>Air france klm</v>
      </c>
    </row>
    <row r="148" spans="1:26" ht="17">
      <c r="A148" s="31" t="s">
        <v>980</v>
      </c>
      <c r="B148" s="39" t="s">
        <v>977</v>
      </c>
      <c r="C148" s="83" t="s">
        <v>3184</v>
      </c>
      <c r="D148" s="83" t="s">
        <v>3299</v>
      </c>
      <c r="E148" s="83">
        <v>1969</v>
      </c>
      <c r="F148" s="31">
        <v>1993</v>
      </c>
      <c r="G148" s="31">
        <v>2022</v>
      </c>
      <c r="H148" s="31">
        <v>2026</v>
      </c>
      <c r="I148" s="31">
        <f>IF(2023-Tableau17[[#This Row],[Entrée dans la société]]&gt;100,"",2023-Tableau17[[#This Row],[Entrée dans la société]])</f>
        <v>30</v>
      </c>
      <c r="J148" s="83">
        <f>IF(2023-Tableau17[[#This Row],[Début de mandat]]&gt;100,"",2024-Tableau17[[#This Row],[Début de mandat]])</f>
        <v>2</v>
      </c>
      <c r="K148" s="83"/>
      <c r="L148" s="39"/>
      <c r="M148" s="19">
        <v>52972</v>
      </c>
      <c r="N148" s="19"/>
      <c r="O148" s="17"/>
      <c r="P148" s="90">
        <v>389756</v>
      </c>
      <c r="R148" s="90">
        <v>289893</v>
      </c>
      <c r="S148" s="90">
        <v>214916</v>
      </c>
      <c r="T148" s="90">
        <v>433200</v>
      </c>
      <c r="U148" s="27">
        <v>165</v>
      </c>
      <c r="V148" s="15">
        <f>Tableau17[[#This Row],[Cours de l''action]]*Tableau17[[#This Row],[Nombre de titres au 31/12/2022]]</f>
        <v>8740380</v>
      </c>
      <c r="W148" s="6" t="s">
        <v>3300</v>
      </c>
      <c r="X148" s="6">
        <f>'Réf cellules RB'!A78</f>
        <v>77</v>
      </c>
      <c r="Y148" s="6">
        <f>_xlfn.XLOOKUP(Tableau17[[#This Row],[Isin]],Tableau1[Isin],Tableau1[Sum intérêt])</f>
        <v>30</v>
      </c>
      <c r="Z148" s="6" t="str">
        <f>_xlfn.XLOOKUP(Tableau17[[#This Row],[Isin]],Tableau1[Isin],Tableau1[Liste des sociétés])</f>
        <v>Air liquide</v>
      </c>
    </row>
    <row r="149" spans="1:26" ht="17">
      <c r="A149" s="31" t="s">
        <v>980</v>
      </c>
      <c r="B149" s="39"/>
      <c r="D149" s="83" t="s">
        <v>3301</v>
      </c>
      <c r="E149" s="83">
        <v>1957</v>
      </c>
      <c r="F149" s="31">
        <v>1981</v>
      </c>
      <c r="G149" s="31">
        <v>2000</v>
      </c>
      <c r="H149" s="31">
        <v>2022</v>
      </c>
      <c r="I149" s="31">
        <f>IF(2023-Tableau17[[#This Row],[Entrée dans la société]]&gt;100,"",2023-Tableau17[[#This Row],[Entrée dans la société]])</f>
        <v>42</v>
      </c>
      <c r="J149" s="83">
        <f>IF(2023-Tableau17[[#This Row],[Début de mandat]]&gt;100,"",2024-Tableau17[[#This Row],[Début de mandat]])</f>
        <v>24</v>
      </c>
      <c r="K149" s="83"/>
      <c r="L149" s="39"/>
      <c r="M149" s="31"/>
      <c r="N149" s="19">
        <v>532447</v>
      </c>
      <c r="O149" s="17"/>
      <c r="P149" s="90">
        <v>389756</v>
      </c>
      <c r="R149" s="90">
        <v>289893</v>
      </c>
      <c r="S149" s="90">
        <v>214916</v>
      </c>
      <c r="T149" s="90">
        <v>433200</v>
      </c>
      <c r="U149" s="27">
        <v>165</v>
      </c>
      <c r="V149" s="15">
        <f>U149*N149</f>
        <v>87853755</v>
      </c>
      <c r="X149" s="6">
        <f>'Réf cellules RB'!A84</f>
        <v>83</v>
      </c>
      <c r="Y149" s="6">
        <f>_xlfn.XLOOKUP(Tableau17[[#This Row],[Isin]],Tableau1[Isin],Tableau1[Sum intérêt])</f>
        <v>30</v>
      </c>
      <c r="Z149" s="6" t="str">
        <f>_xlfn.XLOOKUP(Tableau17[[#This Row],[Isin]],Tableau1[Isin],Tableau1[Liste des sociétés])</f>
        <v>Air liquide</v>
      </c>
    </row>
    <row r="150" spans="1:26" ht="17">
      <c r="A150" s="31" t="s">
        <v>980</v>
      </c>
      <c r="B150" s="39"/>
      <c r="E150" s="83"/>
      <c r="H150" s="31"/>
      <c r="I150" s="31" t="str">
        <f>IF(2023-Tableau17[[#This Row],[Entrée dans la société]]&gt;100,"",2023-Tableau17[[#This Row],[Entrée dans la société]])</f>
        <v/>
      </c>
      <c r="J150" s="83" t="str">
        <f>IF(2023-Tableau17[[#This Row],[Début de mandat]]&gt;100,"",2024-Tableau17[[#This Row],[Début de mandat]])</f>
        <v/>
      </c>
      <c r="K150" s="83"/>
      <c r="L150" s="39"/>
      <c r="M150" s="31"/>
      <c r="N150" s="19"/>
      <c r="O150" s="17"/>
      <c r="P150" s="90"/>
      <c r="R150" s="90"/>
      <c r="S150" s="90"/>
      <c r="T150" s="90"/>
      <c r="U150" s="27"/>
      <c r="V150" s="15"/>
      <c r="X150" s="6">
        <f>'Réf cellules RB'!A139</f>
        <v>138</v>
      </c>
      <c r="Y150" s="6">
        <f>_xlfn.XLOOKUP(Tableau17[[#This Row],[Isin]],Tableau1[Isin],Tableau1[Sum intérêt])</f>
        <v>30</v>
      </c>
      <c r="Z150" s="6" t="str">
        <f>_xlfn.XLOOKUP(Tableau17[[#This Row],[Isin]],Tableau1[Isin],Tableau1[Liste des sociétés])</f>
        <v>Air liquide</v>
      </c>
    </row>
    <row r="151" spans="1:26" ht="17">
      <c r="A151" s="31" t="s">
        <v>3302</v>
      </c>
      <c r="B151" s="39" t="s">
        <v>3303</v>
      </c>
      <c r="E151" s="150"/>
      <c r="F151" s="33"/>
      <c r="G151" s="33"/>
      <c r="H151" s="31"/>
      <c r="I151" s="31" t="str">
        <f>IF(2023-Tableau17[[#This Row],[Entrée dans la société]]&gt;100,"",2023-Tableau17[[#This Row],[Entrée dans la société]])</f>
        <v/>
      </c>
      <c r="J151" s="83" t="str">
        <f>IF(2023-Tableau17[[#This Row],[Début de mandat]]&gt;100,"",2024-Tableau17[[#This Row],[Début de mandat]])</f>
        <v/>
      </c>
      <c r="K151" s="83"/>
      <c r="L151" s="39"/>
      <c r="M151" s="31"/>
      <c r="N151" s="19"/>
      <c r="O151" s="6"/>
      <c r="P151" s="90"/>
      <c r="Q151" s="90"/>
      <c r="R151" s="90"/>
      <c r="S151" s="90"/>
      <c r="T151" s="90"/>
      <c r="U151" s="27"/>
      <c r="V151" s="15"/>
      <c r="X151" s="6">
        <f>'Réf cellules RB'!A266</f>
        <v>265</v>
      </c>
      <c r="Y151" s="6">
        <f>_xlfn.XLOOKUP(Tableau17[[#This Row],[Isin]],Tableau1[Isin],Tableau1[Sum intérêt])</f>
        <v>30</v>
      </c>
      <c r="Z151" s="6" t="str">
        <f>_xlfn.XLOOKUP(Tableau17[[#This Row],[Isin]],Tableau1[Isin],Tableau1[Liste des sociétés])</f>
        <v>Alibaba</v>
      </c>
    </row>
    <row r="152" spans="1:26" ht="17">
      <c r="A152" s="31" t="s">
        <v>3302</v>
      </c>
      <c r="B152" s="39"/>
      <c r="E152" s="150"/>
      <c r="F152" s="33"/>
      <c r="G152" s="33"/>
      <c r="H152" s="31"/>
      <c r="I152" s="31" t="str">
        <f>IF(2023-Tableau17[[#This Row],[Entrée dans la société]]&gt;100,"",2023-Tableau17[[#This Row],[Entrée dans la société]])</f>
        <v/>
      </c>
      <c r="J152" s="83" t="str">
        <f>IF(2023-Tableau17[[#This Row],[Début de mandat]]&gt;100,"",2024-Tableau17[[#This Row],[Début de mandat]])</f>
        <v/>
      </c>
      <c r="K152" s="83"/>
      <c r="L152" s="39"/>
      <c r="M152" s="31"/>
      <c r="N152" s="19"/>
      <c r="O152" s="6"/>
      <c r="P152" s="90"/>
      <c r="Q152" s="90"/>
      <c r="R152" s="90"/>
      <c r="S152" s="90"/>
      <c r="T152" s="90"/>
      <c r="U152" s="27"/>
      <c r="V152" s="15"/>
      <c r="X152" s="6">
        <f>'Réf cellules RB'!A267</f>
        <v>266</v>
      </c>
      <c r="Y152" s="6">
        <f>_xlfn.XLOOKUP(Tableau17[[#This Row],[Isin]],Tableau1[Isin],Tableau1[Sum intérêt])</f>
        <v>30</v>
      </c>
      <c r="Z152" s="6" t="str">
        <f>_xlfn.XLOOKUP(Tableau17[[#This Row],[Isin]],Tableau1[Isin],Tableau1[Liste des sociétés])</f>
        <v>Alibaba</v>
      </c>
    </row>
    <row r="153" spans="1:26" ht="17">
      <c r="A153" s="31" t="s">
        <v>2597</v>
      </c>
      <c r="B153" s="39" t="s">
        <v>2594</v>
      </c>
      <c r="C153" s="83" t="s">
        <v>3182</v>
      </c>
      <c r="D153" s="83" t="s">
        <v>3304</v>
      </c>
      <c r="E153" s="83"/>
      <c r="F153" s="31">
        <v>2000</v>
      </c>
      <c r="H153" s="31"/>
      <c r="I153" s="31">
        <f>IF(2023-Tableau17[[#This Row],[Entrée dans la société]]&gt;100,"",2023-Tableau17[[#This Row],[Entrée dans la société]])</f>
        <v>23</v>
      </c>
      <c r="J153" s="83" t="str">
        <f>IF(2023-Tableau17[[#This Row],[Début de mandat]]&gt;100,"",2024-Tableau17[[#This Row],[Début de mandat]])</f>
        <v/>
      </c>
      <c r="K153" s="83"/>
      <c r="L153" s="39"/>
      <c r="M153" s="31"/>
      <c r="N153" s="19"/>
      <c r="O153" s="103"/>
      <c r="P153" s="114"/>
      <c r="S153" s="31"/>
      <c r="U153" s="107"/>
      <c r="V153" s="15"/>
      <c r="W153" s="6" t="s">
        <v>3305</v>
      </c>
      <c r="X153" s="6">
        <f>'Réf cellules RB'!A216</f>
        <v>215</v>
      </c>
      <c r="Y153" s="6">
        <f>_xlfn.XLOOKUP(Tableau17[[#This Row],[Isin]],Tableau1[Isin],Tableau1[Sum intérêt])</f>
        <v>30</v>
      </c>
      <c r="Z153" s="6" t="str">
        <f>_xlfn.XLOOKUP(Tableau17[[#This Row],[Isin]],Tableau1[Isin],Tableau1[Liste des sociétés])</f>
        <v>All funds</v>
      </c>
    </row>
    <row r="154" spans="1:26" ht="17">
      <c r="A154" s="31" t="s">
        <v>2597</v>
      </c>
      <c r="B154" s="39"/>
      <c r="E154" s="83"/>
      <c r="H154" s="31"/>
      <c r="I154" s="31" t="str">
        <f>IF(2023-Tableau17[[#This Row],[Entrée dans la société]]&gt;100,"",2023-Tableau17[[#This Row],[Entrée dans la société]])</f>
        <v/>
      </c>
      <c r="J154" s="83" t="str">
        <f>IF(2023-Tableau17[[#This Row],[Début de mandat]]&gt;100,"",2024-Tableau17[[#This Row],[Début de mandat]])</f>
        <v/>
      </c>
      <c r="K154" s="83"/>
      <c r="L154" s="39"/>
      <c r="M154" s="31"/>
      <c r="N154" s="19"/>
      <c r="O154" s="103"/>
      <c r="S154" s="31"/>
      <c r="U154" s="107"/>
      <c r="V154" s="15"/>
      <c r="X154" s="6">
        <f>'Réf cellules RB'!A217</f>
        <v>216</v>
      </c>
      <c r="Y154" s="6">
        <f>_xlfn.XLOOKUP(Tableau17[[#This Row],[Isin]],Tableau1[Isin],Tableau1[Sum intérêt])</f>
        <v>30</v>
      </c>
      <c r="Z154" s="6" t="str">
        <f>_xlfn.XLOOKUP(Tableau17[[#This Row],[Isin]],Tableau1[Isin],Tableau1[Liste des sociétés])</f>
        <v>All funds</v>
      </c>
    </row>
    <row r="155" spans="1:26" ht="17">
      <c r="A155" s="31" t="s">
        <v>2739</v>
      </c>
      <c r="B155" s="39" t="s">
        <v>2736</v>
      </c>
      <c r="C155" s="83" t="s">
        <v>3182</v>
      </c>
      <c r="D155" s="83" t="s">
        <v>3306</v>
      </c>
      <c r="E155" s="83">
        <v>1969</v>
      </c>
      <c r="F155" s="31">
        <v>1998</v>
      </c>
      <c r="G155" s="31">
        <v>2016</v>
      </c>
      <c r="H155" s="31">
        <v>2023</v>
      </c>
      <c r="I155" s="31">
        <f>IF(2023-Tableau17[[#This Row],[Entrée dans la société]]&gt;100,"",2023-Tableau17[[#This Row],[Entrée dans la société]])</f>
        <v>25</v>
      </c>
      <c r="J155" s="83">
        <f>IF(2023-Tableau17[[#This Row],[Début de mandat]]&gt;100,"",2024-Tableau17[[#This Row],[Début de mandat]])</f>
        <v>8</v>
      </c>
      <c r="K155" s="83"/>
      <c r="L155" s="39"/>
      <c r="M155" s="19">
        <v>99598</v>
      </c>
      <c r="N155" s="19">
        <f>O155-72954</f>
        <v>65306</v>
      </c>
      <c r="O155" s="103">
        <v>138260</v>
      </c>
      <c r="P155" s="104">
        <v>86202</v>
      </c>
      <c r="S155" s="31"/>
      <c r="U155" s="105">
        <v>21</v>
      </c>
      <c r="V155" s="15">
        <f>Tableau17[[#This Row],[Nombre de titres au 31/12/2022]]*Tableau17[[#This Row],[Cours de l''action]]</f>
        <v>2091558</v>
      </c>
      <c r="W155" s="6" t="s">
        <v>3307</v>
      </c>
      <c r="X155" s="6">
        <f>'Réf cellules RB'!A224</f>
        <v>223</v>
      </c>
      <c r="Y155" s="6">
        <f>_xlfn.XLOOKUP(Tableau17[[#This Row],[Isin]],Tableau1[Isin],Tableau1[Sum intérêt])</f>
        <v>30</v>
      </c>
      <c r="Z155" s="6" t="str">
        <f>_xlfn.XLOOKUP(Tableau17[[#This Row],[Isin]],Tableau1[Isin],Tableau1[Liste des sociétés])</f>
        <v>Alstom</v>
      </c>
    </row>
    <row r="156" spans="1:26" ht="17">
      <c r="A156" s="31" t="s">
        <v>2739</v>
      </c>
      <c r="B156" s="39"/>
      <c r="E156" s="83"/>
      <c r="G156" s="102"/>
      <c r="H156" s="31"/>
      <c r="I156" s="31" t="str">
        <f>IF(2023-Tableau17[[#This Row],[Entrée dans la société]]&gt;100,"",2023-Tableau17[[#This Row],[Entrée dans la société]])</f>
        <v/>
      </c>
      <c r="J156" s="83" t="str">
        <f>IF(2023-Tableau17[[#This Row],[Début de mandat]]&gt;100,"",2024-Tableau17[[#This Row],[Début de mandat]])</f>
        <v/>
      </c>
      <c r="K156" s="83"/>
      <c r="L156" s="39"/>
      <c r="M156" s="31"/>
      <c r="N156" s="19"/>
      <c r="O156" s="103"/>
      <c r="P156" s="104"/>
      <c r="S156" s="31"/>
      <c r="U156" s="105"/>
      <c r="V156" s="15"/>
      <c r="W156" s="6" t="s">
        <v>3308</v>
      </c>
      <c r="X156" s="6">
        <f>'Réf cellules RB'!A225</f>
        <v>224</v>
      </c>
      <c r="Y156" s="6">
        <f>_xlfn.XLOOKUP(Tableau17[[#This Row],[Isin]],Tableau1[Isin],Tableau1[Sum intérêt])</f>
        <v>30</v>
      </c>
      <c r="Z156" s="6" t="str">
        <f>_xlfn.XLOOKUP(Tableau17[[#This Row],[Isin]],Tableau1[Isin],Tableau1[Liste des sociétés])</f>
        <v>Alstom</v>
      </c>
    </row>
    <row r="157" spans="1:26" ht="17">
      <c r="A157" s="31" t="s">
        <v>2739</v>
      </c>
      <c r="B157" s="39"/>
      <c r="E157" s="83"/>
      <c r="G157" s="102"/>
      <c r="H157" s="31"/>
      <c r="I157" s="31" t="str">
        <f>IF(2023-Tableau17[[#This Row],[Entrée dans la société]]&gt;100,"",2023-Tableau17[[#This Row],[Entrée dans la société]])</f>
        <v/>
      </c>
      <c r="J157" s="83" t="str">
        <f>IF(2023-Tableau17[[#This Row],[Début de mandat]]&gt;100,"",2024-Tableau17[[#This Row],[Début de mandat]])</f>
        <v/>
      </c>
      <c r="K157" s="83"/>
      <c r="L157" s="39"/>
      <c r="M157" s="31"/>
      <c r="N157" s="19"/>
      <c r="O157" s="103"/>
      <c r="P157" s="106"/>
      <c r="S157" s="31"/>
      <c r="U157" s="105"/>
      <c r="V157" s="15"/>
      <c r="X157" s="6">
        <f>'Réf cellules RB'!A226</f>
        <v>225</v>
      </c>
      <c r="Y157" s="6">
        <f>_xlfn.XLOOKUP(Tableau17[[#This Row],[Isin]],Tableau1[Isin],Tableau1[Sum intérêt])</f>
        <v>30</v>
      </c>
      <c r="Z157" s="6" t="str">
        <f>_xlfn.XLOOKUP(Tableau17[[#This Row],[Isin]],Tableau1[Isin],Tableau1[Liste des sociétés])</f>
        <v>Alstom</v>
      </c>
    </row>
    <row r="158" spans="1:26" ht="17">
      <c r="A158" s="31" t="s">
        <v>293</v>
      </c>
      <c r="B158" s="39" t="s">
        <v>3309</v>
      </c>
      <c r="C158" s="83" t="s">
        <v>3184</v>
      </c>
      <c r="D158" s="83" t="s">
        <v>3310</v>
      </c>
      <c r="E158" s="83">
        <v>1950</v>
      </c>
      <c r="F158" s="31">
        <v>1976</v>
      </c>
      <c r="G158" s="31">
        <v>1997</v>
      </c>
      <c r="H158" s="31">
        <v>2020</v>
      </c>
      <c r="I158" s="31">
        <f>IF(2023-Tableau17[[#This Row],[Entrée dans la société]]&gt;100,"",2023-Tableau17[[#This Row],[Entrée dans la société]])</f>
        <v>47</v>
      </c>
      <c r="J158" s="83">
        <f>IF(2023-Tableau17[[#This Row],[Début de mandat]]&gt;100,"",2024-Tableau17[[#This Row],[Début de mandat]])</f>
        <v>27</v>
      </c>
      <c r="K158" s="83"/>
      <c r="L158" s="39"/>
      <c r="M158" s="31"/>
      <c r="N158" s="19"/>
      <c r="O158" s="17"/>
      <c r="P158" s="90">
        <v>89933</v>
      </c>
      <c r="S158" s="31"/>
      <c r="U158" s="27">
        <v>28</v>
      </c>
      <c r="V158" s="15"/>
      <c r="W158" s="6" t="s">
        <v>3311</v>
      </c>
      <c r="X158" s="6">
        <f>'Réf cellules RB'!A63</f>
        <v>62</v>
      </c>
      <c r="Y158" s="6">
        <f>_xlfn.XLOOKUP(Tableau17[[#This Row],[Isin]],Tableau1[Isin],Tableau1[Sum intérêt])</f>
        <v>30</v>
      </c>
      <c r="Z158" s="6" t="str">
        <f>_xlfn.XLOOKUP(Tableau17[[#This Row],[Isin]],Tableau1[Isin],Tableau1[Liste des sociétés])</f>
        <v>Arcelor mittal</v>
      </c>
    </row>
    <row r="159" spans="1:26" ht="17">
      <c r="A159" s="31" t="s">
        <v>293</v>
      </c>
      <c r="B159" s="39"/>
      <c r="D159" s="83" t="s">
        <v>3312</v>
      </c>
      <c r="E159" s="83">
        <v>1976</v>
      </c>
      <c r="F159" s="31">
        <v>2006</v>
      </c>
      <c r="G159" s="31">
        <v>2020</v>
      </c>
      <c r="H159" s="31"/>
      <c r="I159" s="31">
        <f>IF(2023-Tableau17[[#This Row],[Entrée dans la société]]&gt;100,"",2023-Tableau17[[#This Row],[Entrée dans la société]])</f>
        <v>17</v>
      </c>
      <c r="J159" s="83">
        <f>IF(2023-Tableau17[[#This Row],[Début de mandat]]&gt;100,"",2024-Tableau17[[#This Row],[Début de mandat]])</f>
        <v>4</v>
      </c>
      <c r="K159" s="83"/>
      <c r="L159" s="39"/>
      <c r="M159" s="31"/>
      <c r="N159" s="19"/>
      <c r="O159" s="17"/>
      <c r="P159" s="90"/>
      <c r="S159" s="31"/>
      <c r="U159" s="27"/>
      <c r="V159" s="15"/>
      <c r="X159" s="6">
        <f>'Réf cellules RB'!A64</f>
        <v>63</v>
      </c>
      <c r="Y159" s="6">
        <f>_xlfn.XLOOKUP(Tableau17[[#This Row],[Isin]],Tableau1[Isin],Tableau1[Sum intérêt])</f>
        <v>30</v>
      </c>
      <c r="Z159" s="6" t="str">
        <f>_xlfn.XLOOKUP(Tableau17[[#This Row],[Isin]],Tableau1[Isin],Tableau1[Liste des sociétés])</f>
        <v>Arcelor mittal</v>
      </c>
    </row>
    <row r="160" spans="1:26" ht="17">
      <c r="A160" s="31" t="s">
        <v>2727</v>
      </c>
      <c r="B160" s="39" t="s">
        <v>2724</v>
      </c>
      <c r="C160" s="83" t="s">
        <v>3182</v>
      </c>
      <c r="D160" s="83" t="s">
        <v>3315</v>
      </c>
      <c r="E160" s="83"/>
      <c r="G160" s="102"/>
      <c r="H160" s="31"/>
      <c r="I160" s="31" t="str">
        <f>IF(2023-Tableau17[[#This Row],[Entrée dans la société]]&gt;100,"",2023-Tableau17[[#This Row],[Entrée dans la société]])</f>
        <v/>
      </c>
      <c r="J160" s="83" t="str">
        <f>IF(2023-Tableau17[[#This Row],[Début de mandat]]&gt;100,"",2024-Tableau17[[#This Row],[Début de mandat]])</f>
        <v/>
      </c>
      <c r="K160" s="83"/>
      <c r="L160" s="39"/>
      <c r="M160" s="31"/>
      <c r="N160" s="19"/>
      <c r="O160" s="103"/>
      <c r="P160" s="104"/>
      <c r="S160" s="31"/>
      <c r="U160" s="105"/>
      <c r="V160" s="15"/>
      <c r="W160" s="6" t="s">
        <v>3316</v>
      </c>
      <c r="X160" s="6">
        <f>'Réf cellules RB'!A229</f>
        <v>228</v>
      </c>
      <c r="Y160" s="6">
        <f>_xlfn.XLOOKUP(Tableau17[[#This Row],[Isin]],Tableau1[Isin],Tableau1[Sum intérêt])</f>
        <v>30</v>
      </c>
      <c r="Z160" s="6" t="str">
        <f>_xlfn.XLOOKUP(Tableau17[[#This Row],[Isin]],Tableau1[Isin],Tableau1[Liste des sociétés])</f>
        <v>Believe</v>
      </c>
    </row>
    <row r="161" spans="1:26" ht="17">
      <c r="A161" s="31" t="s">
        <v>2727</v>
      </c>
      <c r="B161" s="39"/>
      <c r="E161" s="83"/>
      <c r="G161" s="102"/>
      <c r="H161" s="31"/>
      <c r="I161" s="31" t="str">
        <f>IF(2023-Tableau17[[#This Row],[Entrée dans la société]]&gt;100,"",2023-Tableau17[[#This Row],[Entrée dans la société]])</f>
        <v/>
      </c>
      <c r="J161" s="83" t="str">
        <f>IF(2023-Tableau17[[#This Row],[Début de mandat]]&gt;100,"",2024-Tableau17[[#This Row],[Début de mandat]])</f>
        <v/>
      </c>
      <c r="K161" s="83"/>
      <c r="L161" s="39"/>
      <c r="M161" s="31"/>
      <c r="N161" s="19"/>
      <c r="O161" s="103"/>
      <c r="P161" s="106"/>
      <c r="S161" s="31"/>
      <c r="U161" s="105"/>
      <c r="V161" s="15"/>
      <c r="X161" s="6">
        <f>'Réf cellules RB'!A230</f>
        <v>229</v>
      </c>
      <c r="Y161" s="6">
        <f>_xlfn.XLOOKUP(Tableau17[[#This Row],[Isin]],Tableau1[Isin],Tableau1[Sum intérêt])</f>
        <v>30</v>
      </c>
      <c r="Z161" s="6" t="str">
        <f>_xlfn.XLOOKUP(Tableau17[[#This Row],[Isin]],Tableau1[Isin],Tableau1[Liste des sociétés])</f>
        <v>Believe</v>
      </c>
    </row>
    <row r="162" spans="1:26" ht="17">
      <c r="A162" s="31" t="s">
        <v>429</v>
      </c>
      <c r="B162" s="39" t="s">
        <v>425</v>
      </c>
      <c r="C162" s="83" t="s">
        <v>3184</v>
      </c>
      <c r="D162" s="83" t="s">
        <v>3317</v>
      </c>
      <c r="E162" s="83">
        <v>1957</v>
      </c>
      <c r="F162" s="31">
        <v>1997</v>
      </c>
      <c r="G162" s="31">
        <v>2006</v>
      </c>
      <c r="H162" s="31">
        <v>2023</v>
      </c>
      <c r="I162" s="31">
        <f>IF(2023-Tableau17[[#This Row],[Entrée dans la société]]&gt;100,"",2023-Tableau17[[#This Row],[Entrée dans la société]])</f>
        <v>26</v>
      </c>
      <c r="J162" s="83">
        <f>IF(2023-Tableau17[[#This Row],[Début de mandat]]&gt;100,"",2024-Tableau17[[#This Row],[Début de mandat]])</f>
        <v>18</v>
      </c>
      <c r="K162" s="83"/>
      <c r="L162" s="39"/>
      <c r="M162" s="31"/>
      <c r="N162" s="19"/>
      <c r="O162" s="6"/>
      <c r="S162" s="31"/>
      <c r="U162" s="107"/>
      <c r="V162" s="15"/>
      <c r="X162" s="6">
        <f>'Réf cellules RB'!A193</f>
        <v>192</v>
      </c>
      <c r="Y162" s="6">
        <f>_xlfn.XLOOKUP(Tableau17[[#This Row],[Isin]],Tableau1[Isin],Tableau1[Sum intérêt])</f>
        <v>30</v>
      </c>
      <c r="Z162" s="6" t="str">
        <f>_xlfn.XLOOKUP(Tableau17[[#This Row],[Isin]],Tableau1[Isin],Tableau1[Liste des sociétés])</f>
        <v>Boskalis</v>
      </c>
    </row>
    <row r="163" spans="1:26" ht="34">
      <c r="A163" s="31" t="s">
        <v>429</v>
      </c>
      <c r="B163" s="39"/>
      <c r="D163" s="83" t="s">
        <v>3318</v>
      </c>
      <c r="E163" s="83">
        <v>1947</v>
      </c>
      <c r="G163" s="31">
        <v>2015</v>
      </c>
      <c r="H163" s="31">
        <v>2023</v>
      </c>
      <c r="I163" s="31" t="str">
        <f>IF(2023-Tableau17[[#This Row],[Entrée dans la société]]&gt;100,"",2023-Tableau17[[#This Row],[Entrée dans la société]])</f>
        <v/>
      </c>
      <c r="J163" s="83">
        <f>IF(2023-Tableau17[[#This Row],[Début de mandat]]&gt;100,"",2024-Tableau17[[#This Row],[Début de mandat]])</f>
        <v>9</v>
      </c>
      <c r="K163" s="83"/>
      <c r="L163" s="39"/>
      <c r="M163" s="31"/>
      <c r="N163" s="19"/>
      <c r="O163" s="6"/>
      <c r="S163" s="31"/>
      <c r="U163" s="107"/>
      <c r="V163" s="15"/>
      <c r="X163" s="6">
        <f>'Réf cellules RB'!A194</f>
        <v>193</v>
      </c>
      <c r="Y163" s="6">
        <f>_xlfn.XLOOKUP(Tableau17[[#This Row],[Isin]],Tableau1[Isin],Tableau1[Sum intérêt])</f>
        <v>30</v>
      </c>
      <c r="Z163" s="6" t="str">
        <f>_xlfn.XLOOKUP(Tableau17[[#This Row],[Isin]],Tableau1[Isin],Tableau1[Liste des sociétés])</f>
        <v>Boskalis</v>
      </c>
    </row>
    <row r="164" spans="1:26" ht="17">
      <c r="A164" s="31" t="s">
        <v>429</v>
      </c>
      <c r="B164" s="39"/>
      <c r="E164" s="83"/>
      <c r="H164" s="31"/>
      <c r="I164" s="31" t="str">
        <f>IF(2023-Tableau17[[#This Row],[Entrée dans la société]]&gt;100,"",2023-Tableau17[[#This Row],[Entrée dans la société]])</f>
        <v/>
      </c>
      <c r="J164" s="83" t="str">
        <f>IF(2023-Tableau17[[#This Row],[Début de mandat]]&gt;100,"",2024-Tableau17[[#This Row],[Début de mandat]])</f>
        <v/>
      </c>
      <c r="K164" s="83"/>
      <c r="L164" s="39"/>
      <c r="M164" s="31"/>
      <c r="N164" s="19"/>
      <c r="O164" s="6"/>
      <c r="S164" s="31"/>
      <c r="U164" s="107"/>
      <c r="V164" s="15"/>
      <c r="X164" s="6">
        <f>'Réf cellules RB'!A195</f>
        <v>194</v>
      </c>
      <c r="Y164" s="6">
        <f>_xlfn.XLOOKUP(Tableau17[[#This Row],[Isin]],Tableau1[Isin],Tableau1[Sum intérêt])</f>
        <v>30</v>
      </c>
      <c r="Z164" s="6" t="str">
        <f>_xlfn.XLOOKUP(Tableau17[[#This Row],[Isin]],Tableau1[Isin],Tableau1[Liste des sociétés])</f>
        <v>Boskalis</v>
      </c>
    </row>
    <row r="165" spans="1:26" ht="17">
      <c r="A165" s="31" t="s">
        <v>968</v>
      </c>
      <c r="B165" s="39" t="s">
        <v>965</v>
      </c>
      <c r="D165" s="83" t="s">
        <v>3322</v>
      </c>
      <c r="E165" s="83">
        <v>1972</v>
      </c>
      <c r="G165" s="31">
        <v>2017</v>
      </c>
      <c r="H165" s="31"/>
      <c r="I165" s="31" t="str">
        <f>IF(2023-Tableau17[[#This Row],[Entrée dans la société]]&gt;100,"",2023-Tableau17[[#This Row],[Entrée dans la société]])</f>
        <v/>
      </c>
      <c r="J165" s="83">
        <f>IF(2023-Tableau17[[#This Row],[Début de mandat]]&gt;100,"",2024-Tableau17[[#This Row],[Début de mandat]])</f>
        <v>7</v>
      </c>
      <c r="K165" s="83"/>
      <c r="L165" s="39"/>
      <c r="M165" s="31"/>
      <c r="N165" s="19"/>
      <c r="O165" s="6"/>
      <c r="Q165" s="90">
        <f>24227+10000</f>
        <v>34227</v>
      </c>
      <c r="R165" s="90">
        <v>10000</v>
      </c>
      <c r="S165" s="90"/>
      <c r="T165" s="90"/>
      <c r="U165" s="27"/>
      <c r="V165" s="15"/>
      <c r="W165" s="6" t="s">
        <v>3323</v>
      </c>
      <c r="X165" s="6">
        <f>'Réf cellules RB'!A157</f>
        <v>156</v>
      </c>
      <c r="Y165" s="6">
        <f>_xlfn.XLOOKUP(Tableau17[[#This Row],[Isin]],Tableau1[Isin],Tableau1[Sum intérêt])</f>
        <v>30</v>
      </c>
      <c r="Z165" s="6" t="str">
        <f>_xlfn.XLOOKUP(Tableau17[[#This Row],[Isin]],Tableau1[Isin],Tableau1[Liste des sociétés])</f>
        <v>Carrefour</v>
      </c>
    </row>
    <row r="166" spans="1:26" ht="17">
      <c r="A166" s="31" t="s">
        <v>968</v>
      </c>
      <c r="B166" s="39"/>
      <c r="E166" s="83"/>
      <c r="H166" s="31"/>
      <c r="I166" s="31" t="str">
        <f>IF(2023-Tableau17[[#This Row],[Entrée dans la société]]&gt;100,"",2023-Tableau17[[#This Row],[Entrée dans la société]])</f>
        <v/>
      </c>
      <c r="J166" s="83" t="str">
        <f>IF(2023-Tableau17[[#This Row],[Début de mandat]]&gt;100,"",2024-Tableau17[[#This Row],[Début de mandat]])</f>
        <v/>
      </c>
      <c r="K166" s="83"/>
      <c r="L166" s="39"/>
      <c r="M166" s="31"/>
      <c r="N166" s="19"/>
      <c r="O166" s="6"/>
      <c r="S166" s="90"/>
      <c r="T166" s="90"/>
      <c r="U166" s="27"/>
      <c r="V166" s="15"/>
      <c r="W166" s="6" t="s">
        <v>3324</v>
      </c>
      <c r="X166" s="6">
        <f>'Réf cellules RB'!A158</f>
        <v>157</v>
      </c>
      <c r="Y166" s="6">
        <f>_xlfn.XLOOKUP(Tableau17[[#This Row],[Isin]],Tableau1[Isin],Tableau1[Sum intérêt])</f>
        <v>30</v>
      </c>
      <c r="Z166" s="6" t="str">
        <f>_xlfn.XLOOKUP(Tableau17[[#This Row],[Isin]],Tableau1[Isin],Tableau1[Liste des sociétés])</f>
        <v>Carrefour</v>
      </c>
    </row>
    <row r="167" spans="1:26" ht="17">
      <c r="A167" s="31" t="s">
        <v>968</v>
      </c>
      <c r="B167" s="39"/>
      <c r="E167" s="83"/>
      <c r="H167" s="31"/>
      <c r="I167" s="31" t="str">
        <f>IF(2023-Tableau17[[#This Row],[Entrée dans la société]]&gt;100,"",2023-Tableau17[[#This Row],[Entrée dans la société]])</f>
        <v/>
      </c>
      <c r="J167" s="83" t="str">
        <f>IF(2023-Tableau17[[#This Row],[Début de mandat]]&gt;100,"",2024-Tableau17[[#This Row],[Début de mandat]])</f>
        <v/>
      </c>
      <c r="K167" s="83"/>
      <c r="L167" s="39"/>
      <c r="M167" s="31"/>
      <c r="N167" s="19"/>
      <c r="O167" s="6"/>
      <c r="S167" s="90"/>
      <c r="T167" s="90"/>
      <c r="U167" s="27"/>
      <c r="V167" s="15"/>
      <c r="X167" s="6">
        <f>'Réf cellules RB'!A159</f>
        <v>158</v>
      </c>
      <c r="Y167" s="6">
        <f>_xlfn.XLOOKUP(Tableau17[[#This Row],[Isin]],Tableau1[Isin],Tableau1[Sum intérêt])</f>
        <v>30</v>
      </c>
      <c r="Z167" s="6" t="str">
        <f>_xlfn.XLOOKUP(Tableau17[[#This Row],[Isin]],Tableau1[Isin],Tableau1[Liste des sociétés])</f>
        <v>Carrefour</v>
      </c>
    </row>
    <row r="168" spans="1:26" ht="17">
      <c r="A168" s="31" t="s">
        <v>2851</v>
      </c>
      <c r="B168" s="39" t="s">
        <v>2848</v>
      </c>
      <c r="C168" s="83" t="s">
        <v>3184</v>
      </c>
      <c r="D168" s="83" t="s">
        <v>3325</v>
      </c>
      <c r="E168" s="83">
        <v>1959</v>
      </c>
      <c r="F168" s="31">
        <v>2000</v>
      </c>
      <c r="G168" s="102"/>
      <c r="H168" s="31"/>
      <c r="I168" s="31">
        <f>IF(2023-Tableau17[[#This Row],[Entrée dans la société]]&gt;100,"",2023-Tableau17[[#This Row],[Entrée dans la société]])</f>
        <v>23</v>
      </c>
      <c r="J168" s="83" t="str">
        <f>IF(2023-Tableau17[[#This Row],[Début de mandat]]&gt;100,"",2024-Tableau17[[#This Row],[Début de mandat]])</f>
        <v/>
      </c>
      <c r="K168" s="83"/>
      <c r="L168" s="39"/>
      <c r="M168" s="31"/>
      <c r="N168" s="19"/>
      <c r="O168" s="103"/>
      <c r="P168" s="104"/>
      <c r="S168" s="31"/>
      <c r="U168" s="105"/>
      <c r="V168" s="15"/>
      <c r="X168" s="6">
        <f>'Réf cellules RB'!A241</f>
        <v>240</v>
      </c>
      <c r="Y168" s="6">
        <f>_xlfn.XLOOKUP(Tableau17[[#This Row],[Isin]],Tableau1[Isin],Tableau1[Sum intérêt])</f>
        <v>30</v>
      </c>
      <c r="Z168" s="6" t="str">
        <f>_xlfn.XLOOKUP(Tableau17[[#This Row],[Isin]],Tableau1[Isin],Tableau1[Liste des sociétés])</f>
        <v>Cellnex</v>
      </c>
    </row>
    <row r="169" spans="1:26" ht="17">
      <c r="A169" s="31" t="s">
        <v>2851</v>
      </c>
      <c r="B169" s="39"/>
      <c r="D169" s="83" t="s">
        <v>3326</v>
      </c>
      <c r="E169" s="83">
        <v>1948</v>
      </c>
      <c r="F169" s="31">
        <v>2019</v>
      </c>
      <c r="G169" s="31">
        <v>2019</v>
      </c>
      <c r="H169" s="31"/>
      <c r="I169" s="31">
        <f>IF(2023-Tableau17[[#This Row],[Entrée dans la société]]&gt;100,"",2023-Tableau17[[#This Row],[Entrée dans la société]])</f>
        <v>4</v>
      </c>
      <c r="J169" s="83">
        <f>IF(2023-Tableau17[[#This Row],[Début de mandat]]&gt;100,"",2024-Tableau17[[#This Row],[Début de mandat]])</f>
        <v>5</v>
      </c>
      <c r="K169" s="83"/>
      <c r="L169" s="39"/>
      <c r="M169" s="31"/>
      <c r="N169" s="19"/>
      <c r="O169" s="103"/>
      <c r="P169" s="104"/>
      <c r="S169" s="31"/>
      <c r="U169" s="105"/>
      <c r="V169" s="15"/>
      <c r="W169" s="6" t="s">
        <v>3327</v>
      </c>
      <c r="X169" s="6">
        <f>'Réf cellules RB'!A243</f>
        <v>242</v>
      </c>
      <c r="Y169" s="6">
        <f>_xlfn.XLOOKUP(Tableau17[[#This Row],[Isin]],Tableau1[Isin],Tableau1[Sum intérêt])</f>
        <v>30</v>
      </c>
      <c r="Z169" s="6" t="str">
        <f>_xlfn.XLOOKUP(Tableau17[[#This Row],[Isin]],Tableau1[Isin],Tableau1[Liste des sociétés])</f>
        <v>Cellnex</v>
      </c>
    </row>
    <row r="170" spans="1:26" ht="17">
      <c r="A170" s="31" t="s">
        <v>2851</v>
      </c>
      <c r="B170" s="39"/>
      <c r="E170" s="150"/>
      <c r="H170" s="31"/>
      <c r="I170" s="31" t="str">
        <f>IF(2023-Tableau17[[#This Row],[Entrée dans la société]]&gt;100,"",2023-Tableau17[[#This Row],[Entrée dans la société]])</f>
        <v/>
      </c>
      <c r="J170" s="83" t="str">
        <f>IF(2023-Tableau17[[#This Row],[Début de mandat]]&gt;100,"",2024-Tableau17[[#This Row],[Début de mandat]])</f>
        <v/>
      </c>
      <c r="K170" s="83"/>
      <c r="L170" s="39"/>
      <c r="M170" s="31"/>
      <c r="N170" s="19"/>
      <c r="O170" s="103"/>
      <c r="P170" s="106"/>
      <c r="S170" s="31"/>
      <c r="U170" s="105"/>
      <c r="V170" s="15"/>
      <c r="X170" s="6">
        <f>'Réf cellules RB'!A244</f>
        <v>243</v>
      </c>
      <c r="Y170" s="6">
        <f>_xlfn.XLOOKUP(Tableau17[[#This Row],[Isin]],Tableau1[Isin],Tableau1[Sum intérêt])</f>
        <v>30</v>
      </c>
      <c r="Z170" s="6" t="str">
        <f>_xlfn.XLOOKUP(Tableau17[[#This Row],[Isin]],Tableau1[Isin],Tableau1[Liste des sociétés])</f>
        <v>Cellnex</v>
      </c>
    </row>
    <row r="171" spans="1:26" ht="17">
      <c r="A171" s="31" t="s">
        <v>472</v>
      </c>
      <c r="B171" s="39" t="s">
        <v>3328</v>
      </c>
      <c r="C171" s="83" t="s">
        <v>3184</v>
      </c>
      <c r="D171" s="83" t="s">
        <v>3329</v>
      </c>
      <c r="E171" s="83"/>
      <c r="G171" s="31">
        <v>2013</v>
      </c>
      <c r="H171" s="31">
        <v>2025</v>
      </c>
      <c r="I171" s="31" t="str">
        <f>IF(2023-Tableau17[[#This Row],[Entrée dans la société]]&gt;100,"",2023-Tableau17[[#This Row],[Entrée dans la société]])</f>
        <v/>
      </c>
      <c r="J171" s="83">
        <f>IF(2023-Tableau17[[#This Row],[Début de mandat]]&gt;100,"",2024-Tableau17[[#This Row],[Début de mandat]])</f>
        <v>11</v>
      </c>
      <c r="K171" s="83"/>
      <c r="L171" s="39"/>
      <c r="M171" s="31"/>
      <c r="N171" s="19"/>
      <c r="O171" s="6"/>
      <c r="S171" s="31"/>
      <c r="U171" s="107"/>
      <c r="V171" s="15"/>
      <c r="X171" s="6">
        <f>'Réf cellules RB'!A190</f>
        <v>189</v>
      </c>
      <c r="Y171" s="6">
        <f>_xlfn.XLOOKUP(Tableau17[[#This Row],[Isin]],Tableau1[Isin],Tableau1[Sum intérêt])</f>
        <v>30</v>
      </c>
      <c r="Z171" s="6" t="str">
        <f>_xlfn.XLOOKUP(Tableau17[[#This Row],[Isin]],Tableau1[Isin],Tableau1[Liste des sociétés])</f>
        <v>Cfe</v>
      </c>
    </row>
    <row r="172" spans="1:26" ht="17">
      <c r="A172" s="31" t="s">
        <v>472</v>
      </c>
      <c r="B172" s="39"/>
      <c r="D172" s="83" t="s">
        <v>3330</v>
      </c>
      <c r="E172" s="83"/>
      <c r="G172" s="31">
        <v>2013</v>
      </c>
      <c r="H172" s="31">
        <v>2025</v>
      </c>
      <c r="I172" s="31" t="str">
        <f>IF(2023-Tableau17[[#This Row],[Entrée dans la société]]&gt;100,"",2023-Tableau17[[#This Row],[Entrée dans la société]])</f>
        <v/>
      </c>
      <c r="J172" s="83">
        <f>IF(2023-Tableau17[[#This Row],[Début de mandat]]&gt;100,"",2024-Tableau17[[#This Row],[Début de mandat]])</f>
        <v>11</v>
      </c>
      <c r="K172" s="83"/>
      <c r="L172" s="39"/>
      <c r="M172" s="31"/>
      <c r="N172" s="19"/>
      <c r="O172" s="6"/>
      <c r="S172" s="31"/>
      <c r="U172" s="107"/>
      <c r="V172" s="15"/>
      <c r="X172" s="6">
        <f>'Réf cellules RB'!A191</f>
        <v>190</v>
      </c>
      <c r="Y172" s="6">
        <f>_xlfn.XLOOKUP(Tableau17[[#This Row],[Isin]],Tableau1[Isin],Tableau1[Sum intérêt])</f>
        <v>30</v>
      </c>
      <c r="Z172" s="6" t="str">
        <f>_xlfn.XLOOKUP(Tableau17[[#This Row],[Isin]],Tableau1[Isin],Tableau1[Liste des sociétés])</f>
        <v>Cfe</v>
      </c>
    </row>
    <row r="173" spans="1:26" ht="17">
      <c r="A173" s="31" t="s">
        <v>472</v>
      </c>
      <c r="B173" s="39"/>
      <c r="E173" s="83"/>
      <c r="G173" s="33"/>
      <c r="H173" s="31"/>
      <c r="I173" s="31" t="str">
        <f>IF(2023-Tableau17[[#This Row],[Entrée dans la société]]&gt;100,"",2023-Tableau17[[#This Row],[Entrée dans la société]])</f>
        <v/>
      </c>
      <c r="J173" s="83" t="str">
        <f>IF(2023-Tableau17[[#This Row],[Début de mandat]]&gt;100,"",2024-Tableau17[[#This Row],[Début de mandat]])</f>
        <v/>
      </c>
      <c r="K173" s="83"/>
      <c r="L173" s="39"/>
      <c r="M173" s="31"/>
      <c r="N173" s="19"/>
      <c r="O173" s="6"/>
      <c r="S173" s="31"/>
      <c r="U173" s="107"/>
      <c r="V173" s="15"/>
      <c r="X173" s="6">
        <f>'Réf cellules RB'!A192</f>
        <v>191</v>
      </c>
      <c r="Y173" s="6">
        <f>_xlfn.XLOOKUP(Tableau17[[#This Row],[Isin]],Tableau1[Isin],Tableau1[Sum intérêt])</f>
        <v>30</v>
      </c>
      <c r="Z173" s="6" t="str">
        <f>_xlfn.XLOOKUP(Tableau17[[#This Row],[Isin]],Tableau1[Isin],Tableau1[Liste des sociétés])</f>
        <v>Cfe</v>
      </c>
    </row>
    <row r="174" spans="1:26" ht="17">
      <c r="A174" s="31" t="s">
        <v>1209</v>
      </c>
      <c r="B174" s="39" t="s">
        <v>1206</v>
      </c>
      <c r="C174" s="83" t="s">
        <v>3182</v>
      </c>
      <c r="D174" s="83" t="s">
        <v>3331</v>
      </c>
      <c r="E174" s="83">
        <v>1971</v>
      </c>
      <c r="F174" s="31">
        <v>1997</v>
      </c>
      <c r="G174" s="31">
        <v>2020</v>
      </c>
      <c r="H174" s="31">
        <v>2024</v>
      </c>
      <c r="I174" s="31">
        <f>IF(2023-Tableau17[[#This Row],[Entrée dans la société]]&gt;100,"",2023-Tableau17[[#This Row],[Entrée dans la société]])</f>
        <v>26</v>
      </c>
      <c r="J174" s="83">
        <f>IF(2023-Tableau17[[#This Row],[Début de mandat]]&gt;100,"",2024-Tableau17[[#This Row],[Début de mandat]])</f>
        <v>4</v>
      </c>
      <c r="K174" s="83"/>
      <c r="L174" s="39"/>
      <c r="M174" s="31"/>
      <c r="N174" s="19"/>
      <c r="O174" s="103"/>
      <c r="P174" s="114"/>
      <c r="S174" s="31"/>
      <c r="U174" s="107"/>
      <c r="V174" s="15"/>
      <c r="W174" s="6" t="s">
        <v>3332</v>
      </c>
      <c r="X174" s="6">
        <f>'Réf cellules RB'!A208</f>
        <v>207</v>
      </c>
      <c r="Y174" s="6">
        <f>_xlfn.XLOOKUP(Tableau17[[#This Row],[Isin]],Tableau1[Isin],Tableau1[Sum intérêt])</f>
        <v>30</v>
      </c>
      <c r="Z174" s="6" t="str">
        <f>_xlfn.XLOOKUP(Tableau17[[#This Row],[Isin]],Tableau1[Isin],Tableau1[Liste des sociétés])</f>
        <v>Continental</v>
      </c>
    </row>
    <row r="175" spans="1:26" ht="17">
      <c r="A175" s="31" t="s">
        <v>1209</v>
      </c>
      <c r="B175" s="39"/>
      <c r="E175" s="150"/>
      <c r="G175" s="94"/>
      <c r="H175" s="31"/>
      <c r="I175" s="31" t="str">
        <f>IF(2023-Tableau17[[#This Row],[Entrée dans la société]]&gt;100,"",2023-Tableau17[[#This Row],[Entrée dans la société]])</f>
        <v/>
      </c>
      <c r="J175" s="83" t="str">
        <f>IF(2023-Tableau17[[#This Row],[Début de mandat]]&gt;100,"",2024-Tableau17[[#This Row],[Début de mandat]])</f>
        <v/>
      </c>
      <c r="K175" s="83"/>
      <c r="L175" s="39"/>
      <c r="M175" s="31"/>
      <c r="N175" s="19"/>
      <c r="O175" s="103"/>
      <c r="S175" s="31"/>
      <c r="U175" s="107"/>
      <c r="V175" s="15"/>
      <c r="X175" s="6">
        <f>'Réf cellules RB'!A209</f>
        <v>208</v>
      </c>
      <c r="Y175" s="6">
        <f>_xlfn.XLOOKUP(Tableau17[[#This Row],[Isin]],Tableau1[Isin],Tableau1[Sum intérêt])</f>
        <v>30</v>
      </c>
      <c r="Z175" s="6" t="str">
        <f>_xlfn.XLOOKUP(Tableau17[[#This Row],[Isin]],Tableau1[Isin],Tableau1[Liste des sociétés])</f>
        <v>Continental</v>
      </c>
    </row>
    <row r="176" spans="1:26" ht="17">
      <c r="A176" s="31" t="s">
        <v>3333</v>
      </c>
      <c r="B176" s="39" t="s">
        <v>3334</v>
      </c>
      <c r="C176" s="158"/>
      <c r="D176" s="83" t="s">
        <v>3335</v>
      </c>
      <c r="E176" s="83">
        <v>1959</v>
      </c>
      <c r="G176" s="31">
        <v>2015</v>
      </c>
      <c r="H176" s="31"/>
      <c r="I176" s="31" t="str">
        <f>IF(2023-Tableau17[[#This Row],[Entrée dans la société]]&gt;100,"",2023-Tableau17[[#This Row],[Entrée dans la société]])</f>
        <v/>
      </c>
      <c r="J176" s="83">
        <f>IF(2023-Tableau17[[#This Row],[Début de mandat]]&gt;100,"",2024-Tableau17[[#This Row],[Début de mandat]])</f>
        <v>9</v>
      </c>
      <c r="K176" s="83"/>
      <c r="L176" s="39"/>
      <c r="M176" s="31"/>
      <c r="N176" s="19"/>
      <c r="O176" s="6"/>
      <c r="S176" s="90"/>
      <c r="T176" s="90"/>
      <c r="U176" s="27"/>
      <c r="V176" s="15"/>
      <c r="X176" s="6">
        <f>'Réf cellules RB'!A169</f>
        <v>168</v>
      </c>
      <c r="Y176" s="6">
        <f>_xlfn.XLOOKUP(Tableau17[[#This Row],[Isin]],Tableau1[Isin],Tableau1[Sum intérêt])</f>
        <v>30</v>
      </c>
      <c r="Z176" s="6" t="str">
        <f>_xlfn.XLOOKUP(Tableau17[[#This Row],[Isin]],Tableau1[Isin],Tableau1[Liste des sociétés])</f>
        <v>Credit agricole sa</v>
      </c>
    </row>
    <row r="177" spans="1:26" ht="17">
      <c r="A177" s="31" t="s">
        <v>3333</v>
      </c>
      <c r="B177" s="39"/>
      <c r="E177" s="83"/>
      <c r="G177" s="94"/>
      <c r="H177" s="31"/>
      <c r="I177" s="31" t="str">
        <f>IF(2023-Tableau17[[#This Row],[Entrée dans la société]]&gt;100,"",2023-Tableau17[[#This Row],[Entrée dans la société]])</f>
        <v/>
      </c>
      <c r="J177" s="83" t="str">
        <f>IF(2023-Tableau17[[#This Row],[Début de mandat]]&gt;100,"",2024-Tableau17[[#This Row],[Début de mandat]])</f>
        <v/>
      </c>
      <c r="K177" s="83"/>
      <c r="L177" s="39"/>
      <c r="M177" s="31"/>
      <c r="N177" s="19"/>
      <c r="O177" s="6"/>
      <c r="S177" s="90"/>
      <c r="T177" s="90"/>
      <c r="U177" s="27"/>
      <c r="V177" s="15"/>
      <c r="X177" s="6">
        <f>'Réf cellules RB'!A170</f>
        <v>169</v>
      </c>
      <c r="Y177" s="6">
        <f>_xlfn.XLOOKUP(Tableau17[[#This Row],[Isin]],Tableau1[Isin],Tableau1[Sum intérêt])</f>
        <v>30</v>
      </c>
      <c r="Z177" s="6" t="str">
        <f>_xlfn.XLOOKUP(Tableau17[[#This Row],[Isin]],Tableau1[Isin],Tableau1[Liste des sociétés])</f>
        <v>Credit agricole sa</v>
      </c>
    </row>
    <row r="178" spans="1:26" ht="17">
      <c r="A178" s="31" t="s">
        <v>385</v>
      </c>
      <c r="B178" s="39" t="s">
        <v>3336</v>
      </c>
      <c r="D178" s="83" t="s">
        <v>3337</v>
      </c>
      <c r="E178" s="83"/>
      <c r="G178" s="31">
        <v>2014</v>
      </c>
      <c r="H178" s="31"/>
      <c r="I178" s="31" t="str">
        <f>IF(2023-Tableau17[[#This Row],[Entrée dans la société]]&gt;100,"",2023-Tableau17[[#This Row],[Entrée dans la société]])</f>
        <v/>
      </c>
      <c r="J178" s="83">
        <f>IF(2023-Tableau17[[#This Row],[Début de mandat]]&gt;100,"",2024-Tableau17[[#This Row],[Début de mandat]])</f>
        <v>10</v>
      </c>
      <c r="K178" s="83"/>
      <c r="L178" s="39"/>
      <c r="M178" s="31"/>
      <c r="N178" s="19"/>
      <c r="O178" s="6"/>
      <c r="P178" s="90"/>
      <c r="S178" s="90">
        <v>25000</v>
      </c>
      <c r="T178" s="90">
        <v>15000</v>
      </c>
      <c r="U178" s="27"/>
      <c r="V178" s="15"/>
      <c r="W178" s="6" t="s">
        <v>3338</v>
      </c>
      <c r="X178" s="6">
        <f>'Réf cellules RB'!A186</f>
        <v>185</v>
      </c>
      <c r="Y178" s="6">
        <f>_xlfn.XLOOKUP(Tableau17[[#This Row],[Isin]],Tableau1[Isin],Tableau1[Sum intérêt])</f>
        <v>30</v>
      </c>
      <c r="Z178" s="6" t="str">
        <f>_xlfn.XLOOKUP(Tableau17[[#This Row],[Isin]],Tableau1[Isin],Tableau1[Liste des sociétés])</f>
        <v>Diamond offshore drilling</v>
      </c>
    </row>
    <row r="179" spans="1:26" ht="17">
      <c r="A179" s="31" t="s">
        <v>385</v>
      </c>
      <c r="B179" s="39"/>
      <c r="E179" s="83"/>
      <c r="H179" s="31"/>
      <c r="I179" s="31" t="str">
        <f>IF(2023-Tableau17[[#This Row],[Entrée dans la société]]&gt;100,"",2023-Tableau17[[#This Row],[Entrée dans la société]])</f>
        <v/>
      </c>
      <c r="J179" s="83" t="str">
        <f>IF(2023-Tableau17[[#This Row],[Début de mandat]]&gt;100,"",2024-Tableau17[[#This Row],[Début de mandat]])</f>
        <v/>
      </c>
      <c r="K179" s="83"/>
      <c r="L179" s="39"/>
      <c r="M179" s="31"/>
      <c r="N179" s="19"/>
      <c r="O179" s="6"/>
      <c r="P179" s="90"/>
      <c r="S179" s="90"/>
      <c r="T179" s="90"/>
      <c r="U179" s="27"/>
      <c r="V179" s="15"/>
      <c r="X179" s="6">
        <f>'Réf cellules RB'!A187</f>
        <v>186</v>
      </c>
      <c r="Y179" s="6">
        <f>_xlfn.XLOOKUP(Tableau17[[#This Row],[Isin]],Tableau1[Isin],Tableau1[Sum intérêt])</f>
        <v>30</v>
      </c>
      <c r="Z179" s="6" t="str">
        <f>_xlfn.XLOOKUP(Tableau17[[#This Row],[Isin]],Tableau1[Isin],Tableau1[Liste des sociétés])</f>
        <v>Diamond offshore drilling</v>
      </c>
    </row>
    <row r="180" spans="1:26" ht="17">
      <c r="A180" s="31" t="s">
        <v>1075</v>
      </c>
      <c r="B180" s="39" t="s">
        <v>1072</v>
      </c>
      <c r="E180" s="83"/>
      <c r="G180" s="94"/>
      <c r="H180" s="31"/>
      <c r="I180" s="31" t="str">
        <f>IF(2023-Tableau17[[#This Row],[Entrée dans la société]]&gt;100,"",2023-Tableau17[[#This Row],[Entrée dans la société]])</f>
        <v/>
      </c>
      <c r="J180" s="83" t="str">
        <f>IF(2023-Tableau17[[#This Row],[Début de mandat]]&gt;100,"",2024-Tableau17[[#This Row],[Début de mandat]])</f>
        <v/>
      </c>
      <c r="K180" s="83"/>
      <c r="L180" s="39"/>
      <c r="M180" s="31"/>
      <c r="N180" s="19"/>
      <c r="O180" s="6"/>
      <c r="R180" s="90">
        <v>2000</v>
      </c>
      <c r="S180" s="90"/>
      <c r="T180" s="90"/>
      <c r="U180" s="27"/>
      <c r="V180" s="15"/>
      <c r="W180" s="6" t="s">
        <v>3339</v>
      </c>
      <c r="X180" s="6">
        <f>'Réf cellules RB'!A150</f>
        <v>149</v>
      </c>
      <c r="Y180" s="6">
        <f>_xlfn.XLOOKUP(Tableau17[[#This Row],[Isin]],Tableau1[Isin],Tableau1[Sum intérêt])</f>
        <v>30</v>
      </c>
      <c r="Z180" s="6" t="str">
        <f>_xlfn.XLOOKUP(Tableau17[[#This Row],[Isin]],Tableau1[Isin],Tableau1[Liste des sociétés])</f>
        <v>Eutelsat</v>
      </c>
    </row>
    <row r="181" spans="1:26" ht="17">
      <c r="A181" s="31" t="s">
        <v>1075</v>
      </c>
      <c r="B181" s="39"/>
      <c r="E181" s="83"/>
      <c r="G181" s="94"/>
      <c r="H181" s="31"/>
      <c r="I181" s="31" t="str">
        <f>IF(2023-Tableau17[[#This Row],[Entrée dans la société]]&gt;100,"",2023-Tableau17[[#This Row],[Entrée dans la société]])</f>
        <v/>
      </c>
      <c r="J181" s="83" t="str">
        <f>IF(2023-Tableau17[[#This Row],[Début de mandat]]&gt;100,"",2024-Tableau17[[#This Row],[Début de mandat]])</f>
        <v/>
      </c>
      <c r="K181" s="83"/>
      <c r="L181" s="39"/>
      <c r="M181" s="31"/>
      <c r="N181" s="19"/>
      <c r="O181" s="6"/>
      <c r="R181" s="90"/>
      <c r="S181" s="90"/>
      <c r="T181" s="90"/>
      <c r="U181" s="27"/>
      <c r="V181" s="15"/>
      <c r="X181" s="6">
        <f>'Réf cellules RB'!A257</f>
        <v>256</v>
      </c>
      <c r="Y181" s="6">
        <f>_xlfn.XLOOKUP(Tableau17[[#This Row],[Isin]],Tableau1[Isin],Tableau1[Sum intérêt])</f>
        <v>30</v>
      </c>
      <c r="Z181" s="6" t="str">
        <f>_xlfn.XLOOKUP(Tableau17[[#This Row],[Isin]],Tableau1[Isin],Tableau1[Liste des sociétés])</f>
        <v>Eutelsat</v>
      </c>
    </row>
    <row r="182" spans="1:26" ht="17">
      <c r="A182" s="31" t="s">
        <v>2476</v>
      </c>
      <c r="B182" s="39" t="s">
        <v>2473</v>
      </c>
      <c r="C182" s="83" t="s">
        <v>3182</v>
      </c>
      <c r="D182" s="83" t="s">
        <v>3340</v>
      </c>
      <c r="E182" s="83">
        <v>1974</v>
      </c>
      <c r="F182" s="31">
        <v>2007</v>
      </c>
      <c r="G182" s="31">
        <v>2007</v>
      </c>
      <c r="H182" s="31"/>
      <c r="I182" s="31">
        <f>IF(2023-Tableau17[[#This Row],[Entrée dans la société]]&gt;100,"",2023-Tableau17[[#This Row],[Entrée dans la société]])</f>
        <v>16</v>
      </c>
      <c r="J182" s="83">
        <f>IF(2023-Tableau17[[#This Row],[Début de mandat]]&gt;100,"",2024-Tableau17[[#This Row],[Début de mandat]])</f>
        <v>17</v>
      </c>
      <c r="K182" s="83"/>
      <c r="L182" s="39"/>
      <c r="M182" s="31"/>
      <c r="N182" s="19"/>
      <c r="O182" s="17"/>
      <c r="S182" s="31"/>
      <c r="U182" s="107"/>
      <c r="V182" s="15"/>
      <c r="X182" s="6">
        <f>'Réf cellules RB'!A108</f>
        <v>107</v>
      </c>
      <c r="Y182" s="6">
        <f>_xlfn.XLOOKUP(Tableau17[[#This Row],[Isin]],Tableau1[Isin],Tableau1[Sum intérêt])</f>
        <v>30</v>
      </c>
      <c r="Z182" s="6" t="str">
        <f>_xlfn.XLOOKUP(Tableau17[[#This Row],[Isin]],Tableau1[Isin],Tableau1[Liste des sociétés])</f>
        <v>Farfetch</v>
      </c>
    </row>
    <row r="183" spans="1:26" ht="17">
      <c r="A183" s="31" t="s">
        <v>2476</v>
      </c>
      <c r="B183" s="39"/>
      <c r="E183" s="83"/>
      <c r="H183" s="31"/>
      <c r="I183" s="31" t="str">
        <f>IF(2023-Tableau17[[#This Row],[Entrée dans la société]]&gt;100,"",2023-Tableau17[[#This Row],[Entrée dans la société]])</f>
        <v/>
      </c>
      <c r="J183" s="83" t="str">
        <f>IF(2023-Tableau17[[#This Row],[Début de mandat]]&gt;100,"",2024-Tableau17[[#This Row],[Début de mandat]])</f>
        <v/>
      </c>
      <c r="K183" s="83"/>
      <c r="L183" s="39"/>
      <c r="M183" s="31"/>
      <c r="N183" s="19"/>
      <c r="O183" s="17"/>
      <c r="S183" s="31"/>
      <c r="U183" s="107"/>
      <c r="V183" s="15"/>
      <c r="X183" s="6">
        <f>'Réf cellules RB'!A109</f>
        <v>108</v>
      </c>
      <c r="Y183" s="6">
        <f>_xlfn.XLOOKUP(Tableau17[[#This Row],[Isin]],Tableau1[Isin],Tableau1[Sum intérêt])</f>
        <v>30</v>
      </c>
      <c r="Z183" s="6" t="str">
        <f>_xlfn.XLOOKUP(Tableau17[[#This Row],[Isin]],Tableau1[Isin],Tableau1[Liste des sociétés])</f>
        <v>Farfetch</v>
      </c>
    </row>
    <row r="184" spans="1:26" ht="17">
      <c r="A184" s="31" t="s">
        <v>1375</v>
      </c>
      <c r="B184" s="39" t="s">
        <v>3341</v>
      </c>
      <c r="D184" s="83" t="s">
        <v>3342</v>
      </c>
      <c r="E184" s="83">
        <v>1958</v>
      </c>
      <c r="H184" s="31"/>
      <c r="I184" s="31" t="str">
        <f>IF(2023-Tableau17[[#This Row],[Entrée dans la société]]&gt;100,"",2023-Tableau17[[#This Row],[Entrée dans la société]])</f>
        <v/>
      </c>
      <c r="J184" s="83" t="str">
        <f>IF(2023-Tableau17[[#This Row],[Début de mandat]]&gt;100,"",2024-Tableau17[[#This Row],[Début de mandat]])</f>
        <v/>
      </c>
      <c r="K184" s="83"/>
      <c r="L184" s="39"/>
      <c r="M184" s="31"/>
      <c r="N184" s="19"/>
      <c r="O184" s="6"/>
      <c r="R184" s="116">
        <v>0.75449999999999995</v>
      </c>
      <c r="S184" s="90"/>
      <c r="T184" s="90"/>
      <c r="U184" s="27"/>
      <c r="V184" s="15"/>
      <c r="W184" s="6" t="s">
        <v>3343</v>
      </c>
      <c r="X184" s="6">
        <f>'Réf cellules RB'!A144</f>
        <v>143</v>
      </c>
      <c r="Y184" s="6">
        <f>_xlfn.XLOOKUP(Tableau17[[#This Row],[Isin]],Tableau1[Isin],Tableau1[Sum intérêt])</f>
        <v>30</v>
      </c>
      <c r="Z184" s="6" t="str">
        <f>_xlfn.XLOOKUP(Tableau17[[#This Row],[Isin]],Tableau1[Isin],Tableau1[Liste des sociétés])</f>
        <v>Figeac-aéro</v>
      </c>
    </row>
    <row r="185" spans="1:26" ht="17">
      <c r="A185" s="31" t="s">
        <v>1375</v>
      </c>
      <c r="B185" s="39"/>
      <c r="E185" s="83"/>
      <c r="H185" s="31"/>
      <c r="I185" s="31" t="str">
        <f>IF(2023-Tableau17[[#This Row],[Entrée dans la société]]&gt;100,"",2023-Tableau17[[#This Row],[Entrée dans la société]])</f>
        <v/>
      </c>
      <c r="J185" s="83" t="str">
        <f>IF(2023-Tableau17[[#This Row],[Début de mandat]]&gt;100,"",2024-Tableau17[[#This Row],[Début de mandat]])</f>
        <v/>
      </c>
      <c r="K185" s="83"/>
      <c r="L185" s="39"/>
      <c r="M185" s="31"/>
      <c r="N185" s="19"/>
      <c r="O185" s="6"/>
      <c r="R185" s="116"/>
      <c r="S185" s="90"/>
      <c r="T185" s="90"/>
      <c r="U185" s="27"/>
      <c r="V185" s="15"/>
      <c r="X185" s="6">
        <f>'Réf cellules RB'!A145</f>
        <v>144</v>
      </c>
      <c r="Y185" s="6">
        <f>_xlfn.XLOOKUP(Tableau17[[#This Row],[Isin]],Tableau1[Isin],Tableau1[Sum intérêt])</f>
        <v>30</v>
      </c>
      <c r="Z185" s="6" t="str">
        <f>_xlfn.XLOOKUP(Tableau17[[#This Row],[Isin]],Tableau1[Isin],Tableau1[Liste des sociétés])</f>
        <v>Figeac-aéro</v>
      </c>
    </row>
    <row r="186" spans="1:26" ht="17">
      <c r="A186" s="31" t="s">
        <v>1251</v>
      </c>
      <c r="B186" s="39" t="s">
        <v>3344</v>
      </c>
      <c r="C186" s="83" t="s">
        <v>3184</v>
      </c>
      <c r="D186" s="83" t="s">
        <v>3345</v>
      </c>
      <c r="E186" s="83">
        <v>1959</v>
      </c>
      <c r="F186" s="31">
        <v>2006</v>
      </c>
      <c r="G186" s="31">
        <v>2016</v>
      </c>
      <c r="H186" s="31">
        <v>2025</v>
      </c>
      <c r="I186" s="31">
        <f>IF(2023-Tableau17[[#This Row],[Entrée dans la société]]&gt;100,"",2023-Tableau17[[#This Row],[Entrée dans la société]])</f>
        <v>17</v>
      </c>
      <c r="J186" s="83">
        <f>IF(2023-Tableau17[[#This Row],[Début de mandat]]&gt;100,"",2024-Tableau17[[#This Row],[Début de mandat]])</f>
        <v>8</v>
      </c>
      <c r="K186" s="83"/>
      <c r="L186" s="39"/>
      <c r="M186" s="19">
        <v>149386</v>
      </c>
      <c r="N186" s="19">
        <v>114913</v>
      </c>
      <c r="O186" s="17">
        <v>87839</v>
      </c>
      <c r="S186" s="31"/>
      <c r="U186" s="105"/>
      <c r="V186" s="15">
        <f>U186*M186</f>
        <v>0</v>
      </c>
      <c r="W186" s="6" t="s">
        <v>3346</v>
      </c>
      <c r="X186" s="6">
        <f>'Réf cellules RB'!A45</f>
        <v>44</v>
      </c>
      <c r="Y186" s="6">
        <f>_xlfn.XLOOKUP(Tableau17[[#This Row],[Isin]],Tableau1[Isin],Tableau1[Sum intérêt])</f>
        <v>30</v>
      </c>
      <c r="Z186" s="6" t="str">
        <f>_xlfn.XLOOKUP(Tableau17[[#This Row],[Isin]],Tableau1[Isin],Tableau1[Liste des sociétés])</f>
        <v>Forvia (ex-faurecia)</v>
      </c>
    </row>
    <row r="187" spans="1:26" ht="17">
      <c r="A187" s="31" t="s">
        <v>1251</v>
      </c>
      <c r="B187" s="39"/>
      <c r="D187" s="83" t="s">
        <v>3347</v>
      </c>
      <c r="E187" s="83">
        <v>1951</v>
      </c>
      <c r="G187" s="31">
        <v>2016</v>
      </c>
      <c r="H187" s="31">
        <v>2024</v>
      </c>
      <c r="I187" s="31" t="str">
        <f>IF(2023-Tableau17[[#This Row],[Entrée dans la société]]&gt;100,"",2023-Tableau17[[#This Row],[Entrée dans la société]])</f>
        <v/>
      </c>
      <c r="J187" s="83">
        <f>IF(2023-Tableau17[[#This Row],[Début de mandat]]&gt;100,"",2024-Tableau17[[#This Row],[Début de mandat]])</f>
        <v>8</v>
      </c>
      <c r="K187" s="83"/>
      <c r="L187" s="39"/>
      <c r="M187" s="19"/>
      <c r="N187" s="19">
        <v>5944</v>
      </c>
      <c r="O187" s="17"/>
      <c r="S187" s="31"/>
      <c r="U187" s="105"/>
      <c r="V187" s="15"/>
      <c r="X187" s="6">
        <f>'Réf cellules RB'!A46</f>
        <v>45</v>
      </c>
      <c r="Y187" s="6">
        <f>_xlfn.XLOOKUP(Tableau17[[#This Row],[Isin]],Tableau1[Isin],Tableau1[Sum intérêt])</f>
        <v>30</v>
      </c>
      <c r="Z187" s="6" t="str">
        <f>_xlfn.XLOOKUP(Tableau17[[#This Row],[Isin]],Tableau1[Isin],Tableau1[Liste des sociétés])</f>
        <v>Forvia (ex-faurecia)</v>
      </c>
    </row>
    <row r="188" spans="1:26" ht="17">
      <c r="A188" s="31" t="s">
        <v>1251</v>
      </c>
      <c r="B188" s="39"/>
      <c r="E188" s="150"/>
      <c r="G188" s="94"/>
      <c r="H188" s="94"/>
      <c r="I188" s="31" t="str">
        <f>IF(2023-Tableau17[[#This Row],[Entrée dans la société]]&gt;100,"",2023-Tableau17[[#This Row],[Entrée dans la société]])</f>
        <v/>
      </c>
      <c r="J188" s="83" t="str">
        <f>IF(2023-Tableau17[[#This Row],[Début de mandat]]&gt;100,"",2024-Tableau17[[#This Row],[Début de mandat]])</f>
        <v/>
      </c>
      <c r="K188" s="83"/>
      <c r="L188" s="39"/>
      <c r="M188" s="19"/>
      <c r="N188" s="19"/>
      <c r="O188" s="17"/>
      <c r="S188" s="31"/>
      <c r="U188" s="107"/>
      <c r="V188" s="15"/>
      <c r="X188" s="6">
        <f>'Réf cellules RB'!A47</f>
        <v>46</v>
      </c>
      <c r="Y188" s="6">
        <f>_xlfn.XLOOKUP(Tableau17[[#This Row],[Isin]],Tableau1[Isin],Tableau1[Sum intérêt])</f>
        <v>30</v>
      </c>
      <c r="Z188" s="6" t="str">
        <f>_xlfn.XLOOKUP(Tableau17[[#This Row],[Isin]],Tableau1[Isin],Tableau1[Liste des sociétés])</f>
        <v>Forvia (ex-faurecia)</v>
      </c>
    </row>
    <row r="189" spans="1:26" ht="17">
      <c r="A189" s="31" t="s">
        <v>1629</v>
      </c>
      <c r="B189" s="39" t="s">
        <v>1627</v>
      </c>
      <c r="D189" s="83" t="s">
        <v>3348</v>
      </c>
      <c r="E189" s="83">
        <v>1958</v>
      </c>
      <c r="F189" s="31">
        <v>2010</v>
      </c>
      <c r="G189" s="31">
        <v>2016</v>
      </c>
      <c r="H189" s="31">
        <v>2019</v>
      </c>
      <c r="I189" s="31">
        <f>IF(2023-Tableau17[[#This Row],[Entrée dans la société]]&gt;100,"",2023-Tableau17[[#This Row],[Entrée dans la société]])</f>
        <v>13</v>
      </c>
      <c r="J189" s="83">
        <f>IF(2023-Tableau17[[#This Row],[Début de mandat]]&gt;100,"",2024-Tableau17[[#This Row],[Début de mandat]])</f>
        <v>8</v>
      </c>
      <c r="K189" s="83"/>
      <c r="L189" s="39"/>
      <c r="M189" s="19">
        <v>138501</v>
      </c>
      <c r="N189" s="19"/>
      <c r="O189" s="117"/>
      <c r="S189" s="31"/>
      <c r="U189" s="107"/>
      <c r="V189" s="15">
        <f>Tableau17[[#This Row],[Cours de l''action]]*Tableau17[[#This Row],[Nombre de titres au 31/12/2022]]</f>
        <v>0</v>
      </c>
      <c r="X189" s="6">
        <f>'Réf cellules RB'!A125</f>
        <v>124</v>
      </c>
      <c r="Y189" s="6">
        <f>_xlfn.XLOOKUP(Tableau17[[#This Row],[Isin]],Tableau1[Isin],Tableau1[Sum intérêt])</f>
        <v>30</v>
      </c>
      <c r="Z189" s="6" t="str">
        <f>_xlfn.XLOOKUP(Tableau17[[#This Row],[Isin]],Tableau1[Isin],Tableau1[Liste des sociétés])</f>
        <v>Ipsen</v>
      </c>
    </row>
    <row r="190" spans="1:26" ht="17">
      <c r="A190" s="31" t="s">
        <v>1629</v>
      </c>
      <c r="B190" s="39"/>
      <c r="C190" s="83" t="s">
        <v>3184</v>
      </c>
      <c r="D190" s="83" t="s">
        <v>3349</v>
      </c>
      <c r="E190" s="83">
        <v>1967</v>
      </c>
      <c r="F190" s="31">
        <v>2020</v>
      </c>
      <c r="G190" s="31">
        <v>2020</v>
      </c>
      <c r="H190" s="31">
        <v>2025</v>
      </c>
      <c r="I190" s="31">
        <f>IF(2023-Tableau17[[#This Row],[Entrée dans la société]]&gt;100,"",2023-Tableau17[[#This Row],[Entrée dans la société]])</f>
        <v>3</v>
      </c>
      <c r="J190" s="83">
        <f>IF(2023-Tableau17[[#This Row],[Début de mandat]]&gt;100,"",2024-Tableau17[[#This Row],[Début de mandat]])</f>
        <v>4</v>
      </c>
      <c r="K190" s="83"/>
      <c r="L190" s="39"/>
      <c r="M190" s="31">
        <v>500</v>
      </c>
      <c r="N190" s="19"/>
      <c r="O190" s="103"/>
      <c r="P190" s="114"/>
      <c r="S190" s="31"/>
      <c r="U190" s="107"/>
      <c r="V190" s="15">
        <f>Tableau17[[#This Row],[Cours de l''action]]*Tableau17[[#This Row],[Nombre de titres au 31/12/2022]]</f>
        <v>0</v>
      </c>
      <c r="W190" s="6" t="s">
        <v>3350</v>
      </c>
      <c r="X190" s="6">
        <f>'Réf cellules RB'!A218</f>
        <v>217</v>
      </c>
      <c r="Y190" s="6">
        <f>_xlfn.XLOOKUP(Tableau17[[#This Row],[Isin]],Tableau1[Isin],Tableau1[Sum intérêt])</f>
        <v>30</v>
      </c>
      <c r="Z190" s="6" t="str">
        <f>_xlfn.XLOOKUP(Tableau17[[#This Row],[Isin]],Tableau1[Isin],Tableau1[Liste des sociétés])</f>
        <v>Ipsen</v>
      </c>
    </row>
    <row r="191" spans="1:26" ht="17">
      <c r="A191" s="31" t="s">
        <v>1629</v>
      </c>
      <c r="B191" s="39"/>
      <c r="E191" s="83"/>
      <c r="G191" s="94"/>
      <c r="H191" s="31"/>
      <c r="I191" s="31" t="str">
        <f>IF(2023-Tableau17[[#This Row],[Entrée dans la société]]&gt;100,"",2023-Tableau17[[#This Row],[Entrée dans la société]])</f>
        <v/>
      </c>
      <c r="J191" s="83" t="str">
        <f>IF(2023-Tableau17[[#This Row],[Début de mandat]]&gt;100,"",2024-Tableau17[[#This Row],[Début de mandat]])</f>
        <v/>
      </c>
      <c r="K191" s="83"/>
      <c r="L191" s="39"/>
      <c r="M191" s="31"/>
      <c r="N191" s="19"/>
      <c r="O191" s="103"/>
      <c r="S191" s="31"/>
      <c r="U191" s="107"/>
      <c r="V191" s="15"/>
      <c r="X191" s="6">
        <f>'Réf cellules RB'!A219</f>
        <v>218</v>
      </c>
      <c r="Y191" s="6">
        <f>_xlfn.XLOOKUP(Tableau17[[#This Row],[Isin]],Tableau1[Isin],Tableau1[Sum intérêt])</f>
        <v>30</v>
      </c>
      <c r="Z191" s="6" t="str">
        <f>_xlfn.XLOOKUP(Tableau17[[#This Row],[Isin]],Tableau1[Isin],Tableau1[Liste des sociétés])</f>
        <v>Ipsen</v>
      </c>
    </row>
    <row r="192" spans="1:26" ht="17">
      <c r="A192" s="31" t="s">
        <v>3351</v>
      </c>
      <c r="B192" s="39" t="s">
        <v>3352</v>
      </c>
      <c r="E192" s="150"/>
      <c r="F192" s="33"/>
      <c r="G192" s="33"/>
      <c r="H192" s="31"/>
      <c r="I192" s="31" t="str">
        <f>IF(2023-Tableau17[[#This Row],[Entrée dans la société]]&gt;100,"",2023-Tableau17[[#This Row],[Entrée dans la société]])</f>
        <v/>
      </c>
      <c r="J192" s="83" t="str">
        <f>IF(2023-Tableau17[[#This Row],[Début de mandat]]&gt;100,"",2024-Tableau17[[#This Row],[Début de mandat]])</f>
        <v/>
      </c>
      <c r="K192" s="83"/>
      <c r="L192" s="39"/>
      <c r="M192" s="31"/>
      <c r="N192" s="19"/>
      <c r="O192" s="6"/>
      <c r="P192" s="90"/>
      <c r="Q192" s="90"/>
      <c r="R192" s="90"/>
      <c r="S192" s="90"/>
      <c r="T192" s="90"/>
      <c r="U192" s="27"/>
      <c r="V192" s="15"/>
      <c r="X192" s="6">
        <f>'Réf cellules RB'!A263</f>
        <v>262</v>
      </c>
      <c r="Y192" s="6">
        <f>_xlfn.XLOOKUP(Tableau17[[#This Row],[Isin]],Tableau1[Isin],Tableau1[Sum intérêt])</f>
        <v>30</v>
      </c>
      <c r="Z192" s="6" t="str">
        <f>_xlfn.XLOOKUP(Tableau17[[#This Row],[Isin]],Tableau1[Isin],Tableau1[Liste des sociétés])</f>
        <v>Jpmorgan chase &amp; co.</v>
      </c>
    </row>
    <row r="193" spans="1:26" ht="17">
      <c r="A193" s="31" t="s">
        <v>3351</v>
      </c>
      <c r="B193" s="39"/>
      <c r="E193" s="150"/>
      <c r="F193" s="33"/>
      <c r="G193" s="33"/>
      <c r="H193" s="31"/>
      <c r="I193" s="31" t="str">
        <f>IF(2023-Tableau17[[#This Row],[Entrée dans la société]]&gt;100,"",2023-Tableau17[[#This Row],[Entrée dans la société]])</f>
        <v/>
      </c>
      <c r="J193" s="83" t="str">
        <f>IF(2023-Tableau17[[#This Row],[Début de mandat]]&gt;100,"",2024-Tableau17[[#This Row],[Début de mandat]])</f>
        <v/>
      </c>
      <c r="K193" s="83"/>
      <c r="L193" s="39"/>
      <c r="M193" s="31"/>
      <c r="N193" s="19"/>
      <c r="O193" s="6"/>
      <c r="P193" s="90"/>
      <c r="Q193" s="90"/>
      <c r="R193" s="90"/>
      <c r="S193" s="90"/>
      <c r="T193" s="90"/>
      <c r="U193" s="27"/>
      <c r="V193" s="15"/>
      <c r="X193" s="6">
        <f>'Réf cellules RB'!A291</f>
        <v>290</v>
      </c>
      <c r="Y193" s="6">
        <f>_xlfn.XLOOKUP(Tableau17[[#This Row],[Isin]],Tableau1[Isin],Tableau1[Sum intérêt])</f>
        <v>30</v>
      </c>
      <c r="Z193" s="6" t="str">
        <f>_xlfn.XLOOKUP(Tableau17[[#This Row],[Isin]],Tableau1[Isin],Tableau1[Liste des sociétés])</f>
        <v>Jpmorgan chase &amp; co.</v>
      </c>
    </row>
    <row r="194" spans="1:26" ht="17">
      <c r="A194" s="31" t="s">
        <v>1295</v>
      </c>
      <c r="B194" s="39" t="s">
        <v>3353</v>
      </c>
      <c r="D194" s="83" t="s">
        <v>3354</v>
      </c>
      <c r="E194" s="153">
        <v>25569</v>
      </c>
      <c r="F194" s="94"/>
      <c r="G194" s="31">
        <v>2016</v>
      </c>
      <c r="H194" s="31"/>
      <c r="I194" s="31" t="str">
        <f>IF(2023-Tableau17[[#This Row],[Entrée dans la société]]&gt;100,"",2023-Tableau17[[#This Row],[Entrée dans la société]])</f>
        <v/>
      </c>
      <c r="J194" s="83">
        <f>IF(2023-Tableau17[[#This Row],[Début de mandat]]&gt;100,"",2024-Tableau17[[#This Row],[Début de mandat]])</f>
        <v>8</v>
      </c>
      <c r="K194" s="83"/>
      <c r="L194" s="39"/>
      <c r="M194" s="31"/>
      <c r="N194" s="19"/>
      <c r="O194" s="6"/>
      <c r="S194" s="90">
        <v>25000</v>
      </c>
      <c r="T194" s="90"/>
      <c r="U194" s="27"/>
      <c r="V194" s="15"/>
      <c r="X194" s="6">
        <f>'Réf cellules RB'!A160</f>
        <v>159</v>
      </c>
      <c r="Y194" s="6">
        <f>_xlfn.XLOOKUP(Tableau17[[#This Row],[Isin]],Tableau1[Isin],Tableau1[Sum intérêt])</f>
        <v>30</v>
      </c>
      <c r="Z194" s="6" t="str">
        <f>_xlfn.XLOOKUP(Tableau17[[#This Row],[Isin]],Tableau1[Isin],Tableau1[Liste des sociétés])</f>
        <v>Korian</v>
      </c>
    </row>
    <row r="195" spans="1:26" ht="17">
      <c r="A195" s="31" t="s">
        <v>1295</v>
      </c>
      <c r="B195" s="39"/>
      <c r="D195" s="83" t="s">
        <v>3355</v>
      </c>
      <c r="E195" s="153"/>
      <c r="F195" s="94"/>
      <c r="G195" s="94"/>
      <c r="H195" s="31"/>
      <c r="I195" s="31" t="str">
        <f>IF(2023-Tableau17[[#This Row],[Entrée dans la société]]&gt;100,"",2023-Tableau17[[#This Row],[Entrée dans la société]])</f>
        <v/>
      </c>
      <c r="J195" s="83" t="str">
        <f>IF(2023-Tableau17[[#This Row],[Début de mandat]]&gt;100,"",2024-Tableau17[[#This Row],[Début de mandat]])</f>
        <v/>
      </c>
      <c r="K195" s="83"/>
      <c r="L195" s="39"/>
      <c r="M195" s="31"/>
      <c r="N195" s="19"/>
      <c r="O195" s="6"/>
      <c r="Q195" s="90">
        <v>4821</v>
      </c>
      <c r="S195" s="90"/>
      <c r="T195" s="90"/>
      <c r="U195" s="27"/>
      <c r="V195" s="15"/>
      <c r="X195" s="6">
        <f>'Réf cellules RB'!A161</f>
        <v>160</v>
      </c>
      <c r="Y195" s="6">
        <f>_xlfn.XLOOKUP(Tableau17[[#This Row],[Isin]],Tableau1[Isin],Tableau1[Sum intérêt])</f>
        <v>30</v>
      </c>
      <c r="Z195" s="6" t="str">
        <f>_xlfn.XLOOKUP(Tableau17[[#This Row],[Isin]],Tableau1[Isin],Tableau1[Liste des sociétés])</f>
        <v>Korian</v>
      </c>
    </row>
    <row r="196" spans="1:26" ht="17">
      <c r="A196" s="31" t="s">
        <v>1295</v>
      </c>
      <c r="B196" s="39"/>
      <c r="E196" s="153"/>
      <c r="F196" s="94"/>
      <c r="G196" s="94"/>
      <c r="H196" s="31"/>
      <c r="I196" s="31" t="str">
        <f>IF(2023-Tableau17[[#This Row],[Entrée dans la société]]&gt;100,"",2023-Tableau17[[#This Row],[Entrée dans la société]])</f>
        <v/>
      </c>
      <c r="J196" s="83" t="str">
        <f>IF(2023-Tableau17[[#This Row],[Début de mandat]]&gt;100,"",2024-Tableau17[[#This Row],[Début de mandat]])</f>
        <v/>
      </c>
      <c r="K196" s="83"/>
      <c r="L196" s="39"/>
      <c r="M196" s="31"/>
      <c r="N196" s="19"/>
      <c r="O196" s="6"/>
      <c r="Q196" s="90"/>
      <c r="S196" s="90"/>
      <c r="T196" s="90"/>
      <c r="U196" s="27"/>
      <c r="V196" s="15"/>
      <c r="X196" s="6">
        <f>'Réf cellules RB'!A162</f>
        <v>161</v>
      </c>
      <c r="Y196" s="6">
        <f>_xlfn.XLOOKUP(Tableau17[[#This Row],[Isin]],Tableau1[Isin],Tableau1[Sum intérêt])</f>
        <v>30</v>
      </c>
      <c r="Z196" s="6" t="str">
        <f>_xlfn.XLOOKUP(Tableau17[[#This Row],[Isin]],Tableau1[Isin],Tableau1[Liste des sociétés])</f>
        <v>Korian</v>
      </c>
    </row>
    <row r="197" spans="1:26" ht="17">
      <c r="A197" s="31" t="s">
        <v>2831</v>
      </c>
      <c r="B197" s="39" t="s">
        <v>2828</v>
      </c>
      <c r="C197" s="83" t="s">
        <v>3184</v>
      </c>
      <c r="D197" s="83" t="s">
        <v>3356</v>
      </c>
      <c r="E197" s="83">
        <v>1976</v>
      </c>
      <c r="F197" s="31">
        <v>2004</v>
      </c>
      <c r="G197" s="31">
        <v>2018</v>
      </c>
      <c r="H197" s="31">
        <v>2023</v>
      </c>
      <c r="I197" s="31">
        <f>IF(2023-Tableau17[[#This Row],[Entrée dans la société]]&gt;100,"",2023-Tableau17[[#This Row],[Entrée dans la société]])</f>
        <v>19</v>
      </c>
      <c r="J197" s="83">
        <f>IF(2023-Tableau17[[#This Row],[Début de mandat]]&gt;100,"",2024-Tableau17[[#This Row],[Début de mandat]])</f>
        <v>6</v>
      </c>
      <c r="K197" s="83"/>
      <c r="L197" s="39"/>
      <c r="M197" s="102"/>
      <c r="N197" s="19"/>
      <c r="O197" s="103"/>
      <c r="P197" s="104"/>
      <c r="S197" s="31"/>
      <c r="U197" s="105"/>
      <c r="V197" s="15"/>
      <c r="W197" s="6" t="s">
        <v>3357</v>
      </c>
      <c r="X197" s="6">
        <f>'Réf cellules RB'!A238</f>
        <v>237</v>
      </c>
      <c r="Y197" s="6">
        <f>_xlfn.XLOOKUP(Tableau17[[#This Row],[Isin]],Tableau1[Isin],Tableau1[Sum intérêt])</f>
        <v>30</v>
      </c>
      <c r="Z197" s="6" t="str">
        <f>_xlfn.XLOOKUP(Tableau17[[#This Row],[Isin]],Tableau1[Isin],Tableau1[Liste des sociétés])</f>
        <v>Lacroix</v>
      </c>
    </row>
    <row r="198" spans="1:26" ht="17">
      <c r="A198" s="31" t="s">
        <v>2831</v>
      </c>
      <c r="B198" s="39"/>
      <c r="D198" s="83" t="s">
        <v>3358</v>
      </c>
      <c r="E198" s="83">
        <v>1978</v>
      </c>
      <c r="F198" s="31">
        <v>2005</v>
      </c>
      <c r="G198" s="102"/>
      <c r="H198" s="31"/>
      <c r="I198" s="31">
        <f>IF(2023-Tableau17[[#This Row],[Entrée dans la société]]&gt;100,"",2023-Tableau17[[#This Row],[Entrée dans la société]])</f>
        <v>18</v>
      </c>
      <c r="J198" s="83" t="str">
        <f>IF(2023-Tableau17[[#This Row],[Début de mandat]]&gt;100,"",2024-Tableau17[[#This Row],[Début de mandat]])</f>
        <v/>
      </c>
      <c r="K198" s="83"/>
      <c r="L198" s="39"/>
      <c r="M198" s="31"/>
      <c r="N198" s="19"/>
      <c r="O198" s="103"/>
      <c r="P198" s="104"/>
      <c r="S198" s="31"/>
      <c r="U198" s="105"/>
      <c r="V198" s="15"/>
      <c r="X198" s="6">
        <f>'Réf cellules RB'!A239</f>
        <v>238</v>
      </c>
      <c r="Y198" s="6">
        <f>_xlfn.XLOOKUP(Tableau17[[#This Row],[Isin]],Tableau1[Isin],Tableau1[Sum intérêt])</f>
        <v>30</v>
      </c>
      <c r="Z198" s="6" t="str">
        <f>_xlfn.XLOOKUP(Tableau17[[#This Row],[Isin]],Tableau1[Isin],Tableau1[Liste des sociétés])</f>
        <v>Lacroix</v>
      </c>
    </row>
    <row r="199" spans="1:26" ht="17">
      <c r="A199" s="31" t="s">
        <v>2831</v>
      </c>
      <c r="B199" s="39"/>
      <c r="E199" s="83"/>
      <c r="G199" s="102"/>
      <c r="H199" s="31"/>
      <c r="I199" s="31" t="str">
        <f>IF(2023-Tableau17[[#This Row],[Entrée dans la société]]&gt;100,"",2023-Tableau17[[#This Row],[Entrée dans la société]])</f>
        <v/>
      </c>
      <c r="J199" s="83" t="str">
        <f>IF(2023-Tableau17[[#This Row],[Début de mandat]]&gt;100,"",2024-Tableau17[[#This Row],[Début de mandat]])</f>
        <v/>
      </c>
      <c r="K199" s="83"/>
      <c r="L199" s="39"/>
      <c r="M199" s="31"/>
      <c r="N199" s="19"/>
      <c r="O199" s="103"/>
      <c r="P199" s="106"/>
      <c r="S199" s="31"/>
      <c r="U199" s="105"/>
      <c r="V199" s="15"/>
      <c r="X199" s="6">
        <f>'Réf cellules RB'!A240</f>
        <v>239</v>
      </c>
      <c r="Y199" s="6">
        <f>_xlfn.XLOOKUP(Tableau17[[#This Row],[Isin]],Tableau1[Isin],Tableau1[Sum intérêt])</f>
        <v>30</v>
      </c>
      <c r="Z199" s="6" t="str">
        <f>_xlfn.XLOOKUP(Tableau17[[#This Row],[Isin]],Tableau1[Isin],Tableau1[Liste des sociétés])</f>
        <v>Lacroix</v>
      </c>
    </row>
    <row r="200" spans="1:26" ht="17">
      <c r="A200" s="31" t="s">
        <v>244</v>
      </c>
      <c r="B200" s="39" t="s">
        <v>3359</v>
      </c>
      <c r="D200" s="83" t="s">
        <v>3360</v>
      </c>
      <c r="E200" s="83">
        <v>1966</v>
      </c>
      <c r="G200" s="31">
        <v>2017</v>
      </c>
      <c r="H200" s="31"/>
      <c r="I200" s="31" t="str">
        <f>IF(2023-Tableau17[[#This Row],[Entrée dans la société]]&gt;100,"",2023-Tableau17[[#This Row],[Entrée dans la société]])</f>
        <v/>
      </c>
      <c r="J200" s="83">
        <f>IF(2023-Tableau17[[#This Row],[Début de mandat]]&gt;100,"",2024-Tableau17[[#This Row],[Début de mandat]])</f>
        <v>7</v>
      </c>
      <c r="K200" s="83"/>
      <c r="L200" s="39"/>
      <c r="M200" s="31"/>
      <c r="N200" s="19"/>
      <c r="O200" s="6"/>
      <c r="R200" s="90">
        <v>120000</v>
      </c>
      <c r="S200" s="90"/>
      <c r="T200" s="90"/>
      <c r="U200" s="27"/>
      <c r="V200" s="15"/>
      <c r="W200" s="6" t="s">
        <v>3361</v>
      </c>
      <c r="X200" s="6">
        <f>'Réf cellules RB'!A152</f>
        <v>151</v>
      </c>
      <c r="Y200" s="6">
        <f>_xlfn.XLOOKUP(Tableau17[[#This Row],[Isin]],Tableau1[Isin],Tableau1[Sum intérêt])</f>
        <v>30</v>
      </c>
      <c r="Z200" s="6" t="str">
        <f>_xlfn.XLOOKUP(Tableau17[[#This Row],[Isin]],Tableau1[Isin],Tableau1[Liste des sociétés])</f>
        <v>Lafarge holcim</v>
      </c>
    </row>
    <row r="201" spans="1:26" ht="17">
      <c r="A201" s="31" t="s">
        <v>244</v>
      </c>
      <c r="B201" s="39"/>
      <c r="E201" s="83"/>
      <c r="H201" s="31"/>
      <c r="I201" s="31" t="str">
        <f>IF(2023-Tableau17[[#This Row],[Entrée dans la société]]&gt;100,"",2023-Tableau17[[#This Row],[Entrée dans la société]])</f>
        <v/>
      </c>
      <c r="J201" s="83" t="str">
        <f>IF(2023-Tableau17[[#This Row],[Début de mandat]]&gt;100,"",2024-Tableau17[[#This Row],[Début de mandat]])</f>
        <v/>
      </c>
      <c r="K201" s="83"/>
      <c r="L201" s="39"/>
      <c r="M201" s="31"/>
      <c r="N201" s="19"/>
      <c r="O201" s="6"/>
      <c r="R201" s="90"/>
      <c r="S201" s="90"/>
      <c r="T201" s="90"/>
      <c r="U201" s="27"/>
      <c r="V201" s="15"/>
      <c r="X201" s="6">
        <f>'Réf cellules RB'!A153</f>
        <v>152</v>
      </c>
      <c r="Y201" s="6">
        <f>_xlfn.XLOOKUP(Tableau17[[#This Row],[Isin]],Tableau1[Isin],Tableau1[Sum intérêt])</f>
        <v>30</v>
      </c>
      <c r="Z201" s="6" t="str">
        <f>_xlfn.XLOOKUP(Tableau17[[#This Row],[Isin]],Tableau1[Isin],Tableau1[Liste des sociétés])</f>
        <v>Lafarge holcim</v>
      </c>
    </row>
    <row r="202" spans="1:26" ht="17">
      <c r="A202" s="31" t="s">
        <v>1838</v>
      </c>
      <c r="B202" s="39" t="s">
        <v>1835</v>
      </c>
      <c r="C202" s="83" t="s">
        <v>3184</v>
      </c>
      <c r="D202" s="83" t="s">
        <v>3362</v>
      </c>
      <c r="E202" s="83"/>
      <c r="G202" s="31">
        <v>2013</v>
      </c>
      <c r="H202" s="31">
        <v>2026</v>
      </c>
      <c r="I202" s="31" t="str">
        <f>IF(2023-Tableau17[[#This Row],[Entrée dans la société]]&gt;100,"",2023-Tableau17[[#This Row],[Entrée dans la société]])</f>
        <v/>
      </c>
      <c r="J202" s="83">
        <f>IF(2023-Tableau17[[#This Row],[Début de mandat]]&gt;100,"",2024-Tableau17[[#This Row],[Début de mandat]])</f>
        <v>11</v>
      </c>
      <c r="K202" s="83"/>
      <c r="L202" s="39"/>
      <c r="M202" s="31"/>
      <c r="N202" s="19"/>
      <c r="O202" s="6"/>
      <c r="S202" s="31"/>
      <c r="U202" s="107"/>
      <c r="V202" s="15"/>
      <c r="X202" s="6">
        <f>'Réf cellules RB'!A178</f>
        <v>177</v>
      </c>
      <c r="Y202" s="6">
        <f>_xlfn.XLOOKUP(Tableau17[[#This Row],[Isin]],Tableau1[Isin],Tableau1[Sum intérêt])</f>
        <v>30</v>
      </c>
      <c r="Z202" s="6" t="str">
        <f>_xlfn.XLOOKUP(Tableau17[[#This Row],[Isin]],Tableau1[Isin],Tableau1[Liste des sociétés])</f>
        <v>Manitou</v>
      </c>
    </row>
    <row r="203" spans="1:26" ht="17">
      <c r="A203" s="31" t="s">
        <v>1838</v>
      </c>
      <c r="B203" s="39"/>
      <c r="D203" s="83" t="s">
        <v>3363</v>
      </c>
      <c r="E203" s="83">
        <v>1943</v>
      </c>
      <c r="G203" s="31">
        <v>1970</v>
      </c>
      <c r="H203" s="31">
        <v>2021</v>
      </c>
      <c r="I203" s="31" t="str">
        <f>IF(2023-Tableau17[[#This Row],[Entrée dans la société]]&gt;100,"",2023-Tableau17[[#This Row],[Entrée dans la société]])</f>
        <v/>
      </c>
      <c r="J203" s="83">
        <f>IF(2023-Tableau17[[#This Row],[Début de mandat]]&gt;100,"",2024-Tableau17[[#This Row],[Début de mandat]])</f>
        <v>54</v>
      </c>
      <c r="K203" s="83"/>
      <c r="L203" s="39"/>
      <c r="M203" s="31"/>
      <c r="N203" s="19"/>
      <c r="O203" s="6"/>
      <c r="S203" s="31"/>
      <c r="U203" s="107"/>
      <c r="V203" s="15"/>
      <c r="X203" s="6">
        <f>'Réf cellules RB'!A179</f>
        <v>178</v>
      </c>
      <c r="Y203" s="6">
        <f>_xlfn.XLOOKUP(Tableau17[[#This Row],[Isin]],Tableau1[Isin],Tableau1[Sum intérêt])</f>
        <v>30</v>
      </c>
      <c r="Z203" s="6" t="str">
        <f>_xlfn.XLOOKUP(Tableau17[[#This Row],[Isin]],Tableau1[Isin],Tableau1[Liste des sociétés])</f>
        <v>Manitou</v>
      </c>
    </row>
    <row r="204" spans="1:26" ht="17">
      <c r="A204" s="31" t="s">
        <v>1838</v>
      </c>
      <c r="B204" s="39"/>
      <c r="E204" s="83"/>
      <c r="H204" s="31"/>
      <c r="I204" s="31" t="str">
        <f>IF(2023-Tableau17[[#This Row],[Entrée dans la société]]&gt;100,"",2023-Tableau17[[#This Row],[Entrée dans la société]])</f>
        <v/>
      </c>
      <c r="J204" s="83" t="str">
        <f>IF(2023-Tableau17[[#This Row],[Début de mandat]]&gt;100,"",2024-Tableau17[[#This Row],[Début de mandat]])</f>
        <v/>
      </c>
      <c r="K204" s="83"/>
      <c r="L204" s="39"/>
      <c r="M204" s="31"/>
      <c r="N204" s="19"/>
      <c r="O204" s="6"/>
      <c r="S204" s="31"/>
      <c r="U204" s="107"/>
      <c r="V204" s="15"/>
      <c r="X204" s="6">
        <f>'Réf cellules RB'!A180</f>
        <v>179</v>
      </c>
      <c r="Y204" s="6">
        <f>_xlfn.XLOOKUP(Tableau17[[#This Row],[Isin]],Tableau1[Isin],Tableau1[Sum intérêt])</f>
        <v>30</v>
      </c>
      <c r="Z204" s="6" t="str">
        <f>_xlfn.XLOOKUP(Tableau17[[#This Row],[Isin]],Tableau1[Isin],Tableau1[Liste des sociétés])</f>
        <v>Manitou</v>
      </c>
    </row>
    <row r="205" spans="1:26" ht="17">
      <c r="A205" s="31" t="s">
        <v>1183</v>
      </c>
      <c r="B205" s="39" t="s">
        <v>1179</v>
      </c>
      <c r="C205" s="83" t="s">
        <v>3184</v>
      </c>
      <c r="D205" s="83" t="s">
        <v>3364</v>
      </c>
      <c r="E205" s="83">
        <v>1962</v>
      </c>
      <c r="F205" s="31">
        <v>1997</v>
      </c>
      <c r="G205" s="31">
        <v>2019</v>
      </c>
      <c r="H205" s="31"/>
      <c r="I205" s="31">
        <f>IF(2023-Tableau17[[#This Row],[Entrée dans la société]]&gt;100,"",2023-Tableau17[[#This Row],[Entrée dans la société]])</f>
        <v>26</v>
      </c>
      <c r="J205" s="83">
        <f>IF(2023-Tableau17[[#This Row],[Début de mandat]]&gt;100,"",2024-Tableau17[[#This Row],[Début de mandat]])</f>
        <v>5</v>
      </c>
      <c r="K205" s="83"/>
      <c r="L205" s="39"/>
      <c r="M205" s="31"/>
      <c r="N205" s="19"/>
      <c r="O205" s="17"/>
      <c r="S205" s="31"/>
      <c r="U205" s="107"/>
      <c r="V205" s="15"/>
      <c r="W205" s="6" t="s">
        <v>3365</v>
      </c>
      <c r="X205" s="6">
        <f>'Réf cellules RB'!A87</f>
        <v>86</v>
      </c>
      <c r="Y205" s="6">
        <f>_xlfn.XLOOKUP(Tableau17[[#This Row],[Isin]],Tableau1[Isin],Tableau1[Sum intérêt])</f>
        <v>30</v>
      </c>
      <c r="Z205" s="6" t="str">
        <f>_xlfn.XLOOKUP(Tableau17[[#This Row],[Isin]],Tableau1[Isin],Tableau1[Liste des sociétés])</f>
        <v>Michelin</v>
      </c>
    </row>
    <row r="206" spans="1:26" ht="17">
      <c r="A206" s="31" t="s">
        <v>1183</v>
      </c>
      <c r="B206" s="39"/>
      <c r="D206" s="83" t="s">
        <v>3366</v>
      </c>
      <c r="E206" s="83">
        <v>1953</v>
      </c>
      <c r="F206" s="31">
        <v>2005</v>
      </c>
      <c r="G206" s="31">
        <v>2011</v>
      </c>
      <c r="H206" s="31">
        <v>2019</v>
      </c>
      <c r="I206" s="31">
        <f>IF(2023-Tableau17[[#This Row],[Entrée dans la société]]&gt;100,"",2023-Tableau17[[#This Row],[Entrée dans la société]])</f>
        <v>18</v>
      </c>
      <c r="J206" s="83">
        <f>IF(2023-Tableau17[[#This Row],[Début de mandat]]&gt;100,"",2024-Tableau17[[#This Row],[Début de mandat]])</f>
        <v>13</v>
      </c>
      <c r="K206" s="83"/>
      <c r="L206" s="39"/>
      <c r="M206" s="31"/>
      <c r="N206" s="19"/>
      <c r="O206" s="17"/>
      <c r="S206" s="90">
        <v>16797</v>
      </c>
      <c r="T206" s="90">
        <v>16797</v>
      </c>
      <c r="U206" s="27"/>
      <c r="V206" s="15"/>
      <c r="X206" s="6">
        <f>'Réf cellules RB'!A88</f>
        <v>87</v>
      </c>
      <c r="Y206" s="6">
        <f>_xlfn.XLOOKUP(Tableau17[[#This Row],[Isin]],Tableau1[Isin],Tableau1[Sum intérêt])</f>
        <v>30</v>
      </c>
      <c r="Z206" s="6" t="str">
        <f>_xlfn.XLOOKUP(Tableau17[[#This Row],[Isin]],Tableau1[Isin],Tableau1[Liste des sociétés])</f>
        <v>Michelin</v>
      </c>
    </row>
    <row r="207" spans="1:26" ht="17">
      <c r="A207" s="31" t="s">
        <v>1183</v>
      </c>
      <c r="B207" s="39"/>
      <c r="E207" s="83"/>
      <c r="G207" s="33"/>
      <c r="H207" s="31"/>
      <c r="I207" s="31" t="str">
        <f>IF(2023-Tableau17[[#This Row],[Entrée dans la société]]&gt;100,"",2023-Tableau17[[#This Row],[Entrée dans la société]])</f>
        <v/>
      </c>
      <c r="J207" s="83" t="str">
        <f>IF(2023-Tableau17[[#This Row],[Début de mandat]]&gt;100,"",2024-Tableau17[[#This Row],[Début de mandat]])</f>
        <v/>
      </c>
      <c r="K207" s="83"/>
      <c r="L207" s="39"/>
      <c r="M207" s="31"/>
      <c r="N207" s="19"/>
      <c r="O207" s="17"/>
      <c r="S207" s="90"/>
      <c r="T207" s="90"/>
      <c r="U207" s="27"/>
      <c r="V207" s="15"/>
      <c r="X207" s="6">
        <f>'Réf cellules RB'!A89</f>
        <v>88</v>
      </c>
      <c r="Y207" s="6">
        <f>_xlfn.XLOOKUP(Tableau17[[#This Row],[Isin]],Tableau1[Isin],Tableau1[Sum intérêt])</f>
        <v>30</v>
      </c>
      <c r="Z207" s="6" t="str">
        <f>_xlfn.XLOOKUP(Tableau17[[#This Row],[Isin]],Tableau1[Isin],Tableau1[Liste des sociétés])</f>
        <v>Michelin</v>
      </c>
    </row>
    <row r="208" spans="1:26" ht="17">
      <c r="A208" s="31" t="s">
        <v>3367</v>
      </c>
      <c r="B208" s="39" t="s">
        <v>3368</v>
      </c>
      <c r="E208" s="150"/>
      <c r="F208" s="33"/>
      <c r="G208" s="33"/>
      <c r="H208" s="31"/>
      <c r="I208" s="31" t="str">
        <f>IF(2023-Tableau17[[#This Row],[Entrée dans la société]]&gt;100,"",2023-Tableau17[[#This Row],[Entrée dans la société]])</f>
        <v/>
      </c>
      <c r="J208" s="83" t="str">
        <f>IF(2023-Tableau17[[#This Row],[Début de mandat]]&gt;100,"",2024-Tableau17[[#This Row],[Début de mandat]])</f>
        <v/>
      </c>
      <c r="K208" s="83"/>
      <c r="L208" s="39"/>
      <c r="M208" s="31"/>
      <c r="N208" s="19"/>
      <c r="O208" s="6"/>
      <c r="P208" s="90"/>
      <c r="Q208" s="90"/>
      <c r="R208" s="90"/>
      <c r="S208" s="90"/>
      <c r="T208" s="90"/>
      <c r="U208" s="27"/>
      <c r="V208" s="15"/>
      <c r="X208" s="6">
        <f>'Réf cellules RB'!A264</f>
        <v>263</v>
      </c>
      <c r="Y208" s="6">
        <f>_xlfn.XLOOKUP(Tableau17[[#This Row],[Isin]],Tableau1[Isin],Tableau1[Sum intérêt])</f>
        <v>30</v>
      </c>
      <c r="Z208" s="6" t="str">
        <f>_xlfn.XLOOKUP(Tableau17[[#This Row],[Isin]],Tableau1[Isin],Tableau1[Liste des sociétés])</f>
        <v>Microsoft corporation</v>
      </c>
    </row>
    <row r="209" spans="1:26" ht="17">
      <c r="A209" s="31" t="s">
        <v>3367</v>
      </c>
      <c r="B209" s="39"/>
      <c r="E209" s="150"/>
      <c r="F209" s="33"/>
      <c r="G209" s="33"/>
      <c r="H209" s="31"/>
      <c r="I209" s="31" t="str">
        <f>IF(2023-Tableau17[[#This Row],[Entrée dans la société]]&gt;100,"",2023-Tableau17[[#This Row],[Entrée dans la société]])</f>
        <v/>
      </c>
      <c r="J209" s="83" t="str">
        <f>IF(2023-Tableau17[[#This Row],[Début de mandat]]&gt;100,"",2024-Tableau17[[#This Row],[Début de mandat]])</f>
        <v/>
      </c>
      <c r="K209" s="83"/>
      <c r="L209" s="39"/>
      <c r="M209" s="31"/>
      <c r="N209" s="19"/>
      <c r="O209" s="6"/>
      <c r="P209" s="90"/>
      <c r="Q209" s="90"/>
      <c r="R209" s="90"/>
      <c r="S209" s="90"/>
      <c r="T209" s="90"/>
      <c r="U209" s="27"/>
      <c r="V209" s="15"/>
      <c r="X209" s="6">
        <f>'Réf cellules RB'!A293</f>
        <v>292</v>
      </c>
      <c r="Y209" s="6">
        <f>_xlfn.XLOOKUP(Tableau17[[#This Row],[Isin]],Tableau1[Isin],Tableau1[Sum intérêt])</f>
        <v>30</v>
      </c>
      <c r="Z209" s="6" t="str">
        <f>_xlfn.XLOOKUP(Tableau17[[#This Row],[Isin]],Tableau1[Isin],Tableau1[Liste des sociétés])</f>
        <v>Microsoft corporation</v>
      </c>
    </row>
    <row r="210" spans="1:26" ht="17">
      <c r="A210" s="31" t="s">
        <v>2519</v>
      </c>
      <c r="B210" s="39" t="s">
        <v>3369</v>
      </c>
      <c r="C210" s="83" t="s">
        <v>3182</v>
      </c>
      <c r="D210" s="83" t="s">
        <v>3370</v>
      </c>
      <c r="E210" s="83">
        <v>1975</v>
      </c>
      <c r="F210" s="31">
        <v>2008</v>
      </c>
      <c r="G210" s="31">
        <v>2018</v>
      </c>
      <c r="H210" s="31">
        <v>2026</v>
      </c>
      <c r="I210" s="31">
        <f>IF(2023-Tableau17[[#This Row],[Entrée dans la société]]&gt;100,"",2023-Tableau17[[#This Row],[Entrée dans la société]])</f>
        <v>15</v>
      </c>
      <c r="J210" s="83">
        <f>IF(2023-Tableau17[[#This Row],[Début de mandat]]&gt;100,"",2024-Tableau17[[#This Row],[Début de mandat]])</f>
        <v>6</v>
      </c>
      <c r="K210" s="83"/>
      <c r="L210" s="19">
        <v>1946634</v>
      </c>
      <c r="M210" s="19">
        <v>1965496</v>
      </c>
      <c r="N210" s="19"/>
      <c r="O210" s="22" t="s">
        <v>3371</v>
      </c>
      <c r="P210" s="114" t="s">
        <v>3372</v>
      </c>
      <c r="Q210" s="114" t="s">
        <v>3373</v>
      </c>
      <c r="S210" s="31"/>
      <c r="U210" s="105">
        <v>39</v>
      </c>
      <c r="V210" s="15">
        <f>Tableau17[[#This Row],[Cours de l''action]]*Tableau17[[#This Row],[Nombre de titres au 31/12/2023]]</f>
        <v>75918726</v>
      </c>
      <c r="W210" s="6" t="s">
        <v>3374</v>
      </c>
      <c r="X210" s="6">
        <f>'Réf cellules RB'!A199</f>
        <v>198</v>
      </c>
      <c r="Y210" s="6">
        <f>_xlfn.XLOOKUP(Tableau17[[#This Row],[Isin]],Tableau1[Isin],Tableau1[Sum intérêt])</f>
        <v>30</v>
      </c>
      <c r="Z210" s="6" t="str">
        <f>_xlfn.XLOOKUP(Tableau17[[#This Row],[Isin]],Tableau1[Isin],Tableau1[Liste des sociétés])</f>
        <v>Neoen</v>
      </c>
    </row>
    <row r="211" spans="1:26" ht="17">
      <c r="A211" s="31" t="s">
        <v>2519</v>
      </c>
      <c r="B211" s="39"/>
      <c r="E211" s="83"/>
      <c r="H211" s="31"/>
      <c r="I211" s="31" t="str">
        <f>IF(2023-Tableau17[[#This Row],[Entrée dans la société]]&gt;100,"",2023-Tableau17[[#This Row],[Entrée dans la société]])</f>
        <v/>
      </c>
      <c r="J211" s="83" t="str">
        <f>IF(2023-Tableau17[[#This Row],[Début de mandat]]&gt;100,"",2024-Tableau17[[#This Row],[Début de mandat]])</f>
        <v/>
      </c>
      <c r="K211" s="83"/>
      <c r="L211" s="39"/>
      <c r="M211" s="19"/>
      <c r="N211" s="19"/>
      <c r="O211" s="6"/>
      <c r="S211" s="31"/>
      <c r="U211" s="105"/>
      <c r="V211" s="15"/>
      <c r="X211" s="6">
        <f>'Réf cellules RB'!A200</f>
        <v>199</v>
      </c>
      <c r="Y211" s="6">
        <f>_xlfn.XLOOKUP(Tableau17[[#This Row],[Isin]],Tableau1[Isin],Tableau1[Sum intérêt])</f>
        <v>30</v>
      </c>
      <c r="Z211" s="6" t="str">
        <f>_xlfn.XLOOKUP(Tableau17[[#This Row],[Isin]],Tableau1[Isin],Tableau1[Liste des sociétés])</f>
        <v>Neoen</v>
      </c>
    </row>
    <row r="212" spans="1:26" ht="17">
      <c r="A212" s="31" t="s">
        <v>1332</v>
      </c>
      <c r="B212" s="39" t="s">
        <v>1328</v>
      </c>
      <c r="D212" s="83" t="s">
        <v>3375</v>
      </c>
      <c r="E212" s="83">
        <v>1970</v>
      </c>
      <c r="H212" s="31"/>
      <c r="I212" s="31" t="str">
        <f>IF(2023-Tableau17[[#This Row],[Entrée dans la société]]&gt;100,"",2023-Tableau17[[#This Row],[Entrée dans la société]])</f>
        <v/>
      </c>
      <c r="J212" s="83" t="str">
        <f>IF(2023-Tableau17[[#This Row],[Début de mandat]]&gt;100,"",2024-Tableau17[[#This Row],[Début de mandat]])</f>
        <v/>
      </c>
      <c r="K212" s="83"/>
      <c r="L212" s="39"/>
      <c r="M212" s="31"/>
      <c r="N212" s="19"/>
      <c r="O212" s="6"/>
      <c r="Q212" s="90">
        <v>8750</v>
      </c>
      <c r="R212" s="90">
        <v>5750</v>
      </c>
      <c r="S212" s="90"/>
      <c r="T212" s="90"/>
      <c r="U212" s="27">
        <v>13.5</v>
      </c>
      <c r="V212" s="15"/>
      <c r="W212" s="6" t="s">
        <v>3376</v>
      </c>
      <c r="X212" s="6">
        <f>'Réf cellules RB'!A154</f>
        <v>153</v>
      </c>
      <c r="Y212" s="6">
        <f>_xlfn.XLOOKUP(Tableau17[[#This Row],[Isin]],Tableau1[Isin],Tableau1[Sum intérêt])</f>
        <v>30</v>
      </c>
      <c r="Z212" s="6" t="str">
        <f>_xlfn.XLOOKUP(Tableau17[[#This Row],[Isin]],Tableau1[Isin],Tableau1[Liste des sociétés])</f>
        <v>Nordex</v>
      </c>
    </row>
    <row r="213" spans="1:26" ht="17">
      <c r="A213" s="31" t="s">
        <v>1332</v>
      </c>
      <c r="B213" s="39"/>
      <c r="E213" s="83"/>
      <c r="H213" s="31"/>
      <c r="I213" s="31" t="str">
        <f>IF(2023-Tableau17[[#This Row],[Entrée dans la société]]&gt;100,"",2023-Tableau17[[#This Row],[Entrée dans la société]])</f>
        <v/>
      </c>
      <c r="J213" s="83" t="str">
        <f>IF(2023-Tableau17[[#This Row],[Début de mandat]]&gt;100,"",2024-Tableau17[[#This Row],[Début de mandat]])</f>
        <v/>
      </c>
      <c r="K213" s="83"/>
      <c r="L213" s="39"/>
      <c r="M213" s="31"/>
      <c r="N213" s="19"/>
      <c r="O213" s="6"/>
      <c r="R213" s="90"/>
      <c r="S213" s="90"/>
      <c r="T213" s="90"/>
      <c r="U213" s="27"/>
      <c r="V213" s="15"/>
      <c r="W213" s="6" t="s">
        <v>3377</v>
      </c>
      <c r="X213" s="6">
        <f>'Réf cellules RB'!A155</f>
        <v>154</v>
      </c>
      <c r="Y213" s="6">
        <f>_xlfn.XLOOKUP(Tableau17[[#This Row],[Isin]],Tableau1[Isin],Tableau1[Sum intérêt])</f>
        <v>30</v>
      </c>
      <c r="Z213" s="6" t="str">
        <f>_xlfn.XLOOKUP(Tableau17[[#This Row],[Isin]],Tableau1[Isin],Tableau1[Liste des sociétés])</f>
        <v>Nordex</v>
      </c>
    </row>
    <row r="214" spans="1:26" ht="17">
      <c r="A214" s="31" t="s">
        <v>1332</v>
      </c>
      <c r="B214" s="39"/>
      <c r="E214" s="83"/>
      <c r="H214" s="31"/>
      <c r="I214" s="31" t="str">
        <f>IF(2023-Tableau17[[#This Row],[Entrée dans la société]]&gt;100,"",2023-Tableau17[[#This Row],[Entrée dans la société]])</f>
        <v/>
      </c>
      <c r="J214" s="83" t="str">
        <f>IF(2023-Tableau17[[#This Row],[Début de mandat]]&gt;100,"",2024-Tableau17[[#This Row],[Début de mandat]])</f>
        <v/>
      </c>
      <c r="K214" s="83"/>
      <c r="L214" s="39"/>
      <c r="M214" s="31"/>
      <c r="N214" s="19"/>
      <c r="O214" s="6"/>
      <c r="R214" s="90"/>
      <c r="S214" s="90"/>
      <c r="T214" s="90"/>
      <c r="U214" s="27"/>
      <c r="V214" s="15"/>
      <c r="X214" s="6">
        <f>'Réf cellules RB'!A156</f>
        <v>155</v>
      </c>
      <c r="Y214" s="6">
        <f>_xlfn.XLOOKUP(Tableau17[[#This Row],[Isin]],Tableau1[Isin],Tableau1[Sum intérêt])</f>
        <v>30</v>
      </c>
      <c r="Z214" s="6" t="str">
        <f>_xlfn.XLOOKUP(Tableau17[[#This Row],[Isin]],Tableau1[Isin],Tableau1[Liste des sociétés])</f>
        <v>Nordex</v>
      </c>
    </row>
    <row r="215" spans="1:26" ht="17">
      <c r="A215" s="31" t="s">
        <v>1739</v>
      </c>
      <c r="B215" s="39" t="s">
        <v>1736</v>
      </c>
      <c r="D215" s="83" t="s">
        <v>3378</v>
      </c>
      <c r="E215" s="83">
        <v>1961</v>
      </c>
      <c r="G215" s="31">
        <v>2010</v>
      </c>
      <c r="H215" s="31">
        <v>2018</v>
      </c>
      <c r="I215" s="31" t="str">
        <f>IF(2023-Tableau17[[#This Row],[Entrée dans la société]]&gt;100,"",2023-Tableau17[[#This Row],[Entrée dans la société]])</f>
        <v/>
      </c>
      <c r="J215" s="83">
        <f>IF(2023-Tableau17[[#This Row],[Début de mandat]]&gt;100,"",2024-Tableau17[[#This Row],[Début de mandat]])</f>
        <v>14</v>
      </c>
      <c r="K215" s="83"/>
      <c r="L215" s="39"/>
      <c r="M215" s="31"/>
      <c r="N215" s="19"/>
      <c r="O215" s="6"/>
      <c r="S215" s="90">
        <v>31282</v>
      </c>
      <c r="T215" s="90"/>
      <c r="U215" s="27"/>
      <c r="V215" s="15"/>
      <c r="X215" s="6">
        <f>'Réf cellules RB'!A141</f>
        <v>140</v>
      </c>
      <c r="Y215" s="6">
        <f>_xlfn.XLOOKUP(Tableau17[[#This Row],[Isin]],Tableau1[Isin],Tableau1[Sum intérêt])</f>
        <v>30</v>
      </c>
      <c r="Z215" s="6" t="str">
        <f>_xlfn.XLOOKUP(Tableau17[[#This Row],[Isin]],Tableau1[Isin],Tableau1[Liste des sociétés])</f>
        <v>Orange</v>
      </c>
    </row>
    <row r="216" spans="1:26" ht="17">
      <c r="A216" s="31" t="s">
        <v>1739</v>
      </c>
      <c r="B216" s="39"/>
      <c r="D216" s="83" t="s">
        <v>3379</v>
      </c>
      <c r="E216" s="83"/>
      <c r="H216" s="31"/>
      <c r="I216" s="31" t="str">
        <f>IF(2023-Tableau17[[#This Row],[Entrée dans la société]]&gt;100,"",2023-Tableau17[[#This Row],[Entrée dans la société]])</f>
        <v/>
      </c>
      <c r="J216" s="83" t="str">
        <f>IF(2023-Tableau17[[#This Row],[Début de mandat]]&gt;100,"",2024-Tableau17[[#This Row],[Début de mandat]])</f>
        <v/>
      </c>
      <c r="K216" s="83"/>
      <c r="L216" s="39"/>
      <c r="M216" s="31"/>
      <c r="N216" s="19"/>
      <c r="O216" s="6"/>
      <c r="S216" s="90">
        <v>34257</v>
      </c>
      <c r="U216" s="27"/>
      <c r="V216" s="15"/>
      <c r="X216" s="6">
        <f>'Réf cellules RB'!A142</f>
        <v>141</v>
      </c>
      <c r="Y216" s="6">
        <f>_xlfn.XLOOKUP(Tableau17[[#This Row],[Isin]],Tableau1[Isin],Tableau1[Sum intérêt])</f>
        <v>30</v>
      </c>
      <c r="Z216" s="6" t="str">
        <f>_xlfn.XLOOKUP(Tableau17[[#This Row],[Isin]],Tableau1[Isin],Tableau1[Liste des sociétés])</f>
        <v>Orange</v>
      </c>
    </row>
    <row r="217" spans="1:26" ht="17">
      <c r="A217" s="31" t="s">
        <v>1739</v>
      </c>
      <c r="B217" s="39"/>
      <c r="E217" s="83"/>
      <c r="H217" s="31"/>
      <c r="I217" s="31" t="str">
        <f>IF(2023-Tableau17[[#This Row],[Entrée dans la société]]&gt;100,"",2023-Tableau17[[#This Row],[Entrée dans la société]])</f>
        <v/>
      </c>
      <c r="J217" s="83" t="str">
        <f>IF(2023-Tableau17[[#This Row],[Début de mandat]]&gt;100,"",2024-Tableau17[[#This Row],[Début de mandat]])</f>
        <v/>
      </c>
      <c r="K217" s="83"/>
      <c r="L217" s="39"/>
      <c r="M217" s="31"/>
      <c r="N217" s="19"/>
      <c r="O217" s="6"/>
      <c r="S217" s="90"/>
      <c r="U217" s="27"/>
      <c r="V217" s="15"/>
      <c r="X217" s="6">
        <f>'Réf cellules RB'!A143</f>
        <v>142</v>
      </c>
      <c r="Y217" s="6">
        <f>_xlfn.XLOOKUP(Tableau17[[#This Row],[Isin]],Tableau1[Isin],Tableau1[Sum intérêt])</f>
        <v>30</v>
      </c>
      <c r="Z217" s="6" t="str">
        <f>_xlfn.XLOOKUP(Tableau17[[#This Row],[Isin]],Tableau1[Isin],Tableau1[Liste des sociétés])</f>
        <v>Orange</v>
      </c>
    </row>
    <row r="218" spans="1:26" ht="17">
      <c r="A218" s="31" t="s">
        <v>857</v>
      </c>
      <c r="B218" s="39" t="s">
        <v>854</v>
      </c>
      <c r="C218" s="83" t="s">
        <v>3184</v>
      </c>
      <c r="D218" s="83" t="s">
        <v>3380</v>
      </c>
      <c r="E218" s="83">
        <v>1960</v>
      </c>
      <c r="F218" s="31">
        <v>2018</v>
      </c>
      <c r="G218" s="31">
        <v>2018</v>
      </c>
      <c r="H218" s="31">
        <v>2025</v>
      </c>
      <c r="I218" s="31">
        <f>IF(2023-Tableau17[[#This Row],[Entrée dans la société]]&gt;100,"",2023-Tableau17[[#This Row],[Entrée dans la société]])</f>
        <v>5</v>
      </c>
      <c r="J218" s="83">
        <f>IF(2023-Tableau17[[#This Row],[Début de mandat]]&gt;100,"",2024-Tableau17[[#This Row],[Début de mandat]])</f>
        <v>6</v>
      </c>
      <c r="K218" s="83"/>
      <c r="L218" s="39"/>
      <c r="M218" s="19">
        <v>887728</v>
      </c>
      <c r="N218" s="19"/>
      <c r="O218" s="6"/>
      <c r="P218" s="90"/>
      <c r="Q218" s="90"/>
      <c r="R218" s="90"/>
      <c r="S218" s="90"/>
      <c r="T218" s="90"/>
      <c r="U218" s="27"/>
      <c r="V218" s="15">
        <f>U218*M218</f>
        <v>0</v>
      </c>
      <c r="X218" s="6">
        <f>'Réf cellules RB'!A285</f>
        <v>284</v>
      </c>
      <c r="Y218" s="6">
        <f>_xlfn.XLOOKUP(Tableau17[[#This Row],[Isin]],Tableau1[Isin],Tableau1[Sum intérêt])</f>
        <v>30</v>
      </c>
      <c r="Z218" s="6" t="str">
        <f>_xlfn.XLOOKUP(Tableau17[[#This Row],[Isin]],Tableau1[Isin],Tableau1[Liste des sociétés])</f>
        <v>Ovhcloud</v>
      </c>
    </row>
    <row r="219" spans="1:26" ht="17">
      <c r="A219" s="31" t="s">
        <v>857</v>
      </c>
      <c r="B219" s="39"/>
      <c r="D219" s="83" t="s">
        <v>3381</v>
      </c>
      <c r="E219" s="83">
        <v>1975</v>
      </c>
      <c r="F219" s="31">
        <v>1999</v>
      </c>
      <c r="G219" s="33"/>
      <c r="H219" s="31"/>
      <c r="I219" s="31">
        <f>IF(2023-Tableau17[[#This Row],[Entrée dans la société]]&gt;100,"",2023-Tableau17[[#This Row],[Entrée dans la société]])</f>
        <v>24</v>
      </c>
      <c r="J219" s="83" t="str">
        <f>IF(2023-Tableau17[[#This Row],[Début de mandat]]&gt;100,"",2024-Tableau17[[#This Row],[Début de mandat]])</f>
        <v/>
      </c>
      <c r="K219" s="83"/>
      <c r="L219" s="39"/>
      <c r="M219" s="19"/>
      <c r="N219" s="19"/>
      <c r="O219" s="6"/>
      <c r="P219" s="90"/>
      <c r="Q219" s="90"/>
      <c r="R219" s="90"/>
      <c r="S219" s="90"/>
      <c r="T219" s="90"/>
      <c r="U219" s="27"/>
      <c r="V219" s="15"/>
      <c r="X219" s="6">
        <f>'Réf cellules RB'!A286</f>
        <v>285</v>
      </c>
      <c r="Y219" s="6">
        <f>_xlfn.XLOOKUP(Tableau17[[#This Row],[Isin]],Tableau1[Isin],Tableau1[Sum intérêt])</f>
        <v>30</v>
      </c>
      <c r="Z219" s="6" t="str">
        <f>_xlfn.XLOOKUP(Tableau17[[#This Row],[Isin]],Tableau1[Isin],Tableau1[Liste des sociétés])</f>
        <v>Ovhcloud</v>
      </c>
    </row>
    <row r="220" spans="1:26" ht="17">
      <c r="A220" s="31" t="s">
        <v>857</v>
      </c>
      <c r="B220" s="39"/>
      <c r="E220" s="150"/>
      <c r="F220" s="33"/>
      <c r="G220" s="33"/>
      <c r="H220" s="31"/>
      <c r="I220" s="31" t="str">
        <f>IF(2023-Tableau17[[#This Row],[Entrée dans la société]]&gt;100,"",2023-Tableau17[[#This Row],[Entrée dans la société]])</f>
        <v/>
      </c>
      <c r="J220" s="83" t="str">
        <f>IF(2023-Tableau17[[#This Row],[Début de mandat]]&gt;100,"",2024-Tableau17[[#This Row],[Début de mandat]])</f>
        <v/>
      </c>
      <c r="K220" s="83"/>
      <c r="L220" s="39"/>
      <c r="M220" s="31"/>
      <c r="N220" s="19"/>
      <c r="O220" s="6"/>
      <c r="P220" s="90"/>
      <c r="Q220" s="90"/>
      <c r="R220" s="90"/>
      <c r="S220" s="90"/>
      <c r="T220" s="90"/>
      <c r="U220" s="27"/>
      <c r="V220" s="15"/>
      <c r="X220" s="6">
        <f>'Réf cellules RB'!A183</f>
        <v>182</v>
      </c>
      <c r="Y220" s="6">
        <f>_xlfn.XLOOKUP(Tableau17[[#This Row],[Isin]],Tableau1[Isin],Tableau1[Sum intérêt])</f>
        <v>30</v>
      </c>
      <c r="Z220" s="6" t="str">
        <f>_xlfn.XLOOKUP(Tableau17[[#This Row],[Isin]],Tableau1[Isin],Tableau1[Liste des sociétés])</f>
        <v>Ovhcloud</v>
      </c>
    </row>
    <row r="221" spans="1:26" ht="17">
      <c r="A221" s="4" t="s">
        <v>3382</v>
      </c>
      <c r="B221" s="39" t="s">
        <v>3383</v>
      </c>
      <c r="E221" s="150"/>
      <c r="F221" s="33"/>
      <c r="G221" s="33"/>
      <c r="H221" s="31"/>
      <c r="I221" s="31" t="str">
        <f>IF(2023-Tableau17[[#This Row],[Entrée dans la société]]&gt;100,"",2023-Tableau17[[#This Row],[Entrée dans la société]])</f>
        <v/>
      </c>
      <c r="J221" s="83" t="str">
        <f>IF(2023-Tableau17[[#This Row],[Début de mandat]]&gt;100,"",2024-Tableau17[[#This Row],[Début de mandat]])</f>
        <v/>
      </c>
      <c r="K221" s="83"/>
      <c r="L221" s="39"/>
      <c r="M221" s="31"/>
      <c r="N221" s="19"/>
      <c r="O221" s="6"/>
      <c r="P221" s="90"/>
      <c r="Q221" s="90"/>
      <c r="R221" s="90"/>
      <c r="S221" s="90"/>
      <c r="T221" s="90"/>
      <c r="U221" s="27"/>
      <c r="V221" s="15"/>
      <c r="X221" s="6">
        <f>'Réf cellules RB'!A265</f>
        <v>264</v>
      </c>
      <c r="Y221" s="6">
        <f>_xlfn.XLOOKUP(Tableau17[[#This Row],[Isin]],Tableau1[Isin],Tableau1[Sum intérêt])</f>
        <v>30</v>
      </c>
      <c r="Z221" s="6" t="str">
        <f>_xlfn.XLOOKUP(Tableau17[[#This Row],[Isin]],Tableau1[Isin],Tableau1[Liste des sociétés])</f>
        <v>Pfizer inc.</v>
      </c>
    </row>
    <row r="222" spans="1:26" ht="17">
      <c r="A222" s="4" t="s">
        <v>3382</v>
      </c>
      <c r="B222" s="39"/>
      <c r="E222" s="150"/>
      <c r="F222" s="33"/>
      <c r="G222" s="33"/>
      <c r="H222" s="31"/>
      <c r="I222" s="31" t="str">
        <f>IF(2023-Tableau17[[#This Row],[Entrée dans la société]]&gt;100,"",2023-Tableau17[[#This Row],[Entrée dans la société]])</f>
        <v/>
      </c>
      <c r="J222" s="83" t="str">
        <f>IF(2023-Tableau17[[#This Row],[Début de mandat]]&gt;100,"",2024-Tableau17[[#This Row],[Début de mandat]])</f>
        <v/>
      </c>
      <c r="K222" s="83"/>
      <c r="L222" s="39"/>
      <c r="M222" s="31"/>
      <c r="N222" s="19"/>
      <c r="O222" s="6"/>
      <c r="P222" s="90"/>
      <c r="Q222" s="90"/>
      <c r="R222" s="90"/>
      <c r="S222" s="90"/>
      <c r="T222" s="90"/>
      <c r="U222" s="27"/>
      <c r="V222" s="15"/>
      <c r="X222" s="6">
        <f>'Réf cellules RB'!A295</f>
        <v>294</v>
      </c>
      <c r="Y222" s="6">
        <f>_xlfn.XLOOKUP(Tableau17[[#This Row],[Isin]],Tableau1[Isin],Tableau1[Sum intérêt])</f>
        <v>30</v>
      </c>
      <c r="Z222" s="6" t="str">
        <f>_xlfn.XLOOKUP(Tableau17[[#This Row],[Isin]],Tableau1[Isin],Tableau1[Liste des sociétés])</f>
        <v>Pfizer inc.</v>
      </c>
    </row>
    <row r="223" spans="1:26" ht="17">
      <c r="A223" s="31" t="s">
        <v>1719</v>
      </c>
      <c r="B223" s="39" t="s">
        <v>1716</v>
      </c>
      <c r="D223" s="83" t="s">
        <v>3384</v>
      </c>
      <c r="E223" s="83">
        <v>1971</v>
      </c>
      <c r="F223" s="33"/>
      <c r="G223" s="31">
        <v>2017</v>
      </c>
      <c r="H223" s="31">
        <v>2022</v>
      </c>
      <c r="I223" s="31" t="str">
        <f>IF(2023-Tableau17[[#This Row],[Entrée dans la société]]&gt;100,"",2023-Tableau17[[#This Row],[Entrée dans la société]])</f>
        <v/>
      </c>
      <c r="J223" s="83">
        <f>IF(2023-Tableau17[[#This Row],[Début de mandat]]&gt;100,"",2024-Tableau17[[#This Row],[Début de mandat]])</f>
        <v>7</v>
      </c>
      <c r="K223" s="83"/>
      <c r="L223" s="39"/>
      <c r="M223" s="33"/>
      <c r="N223" s="19"/>
      <c r="O223" s="117"/>
      <c r="Q223" s="90">
        <v>53795</v>
      </c>
      <c r="S223" s="31"/>
      <c r="U223" s="27"/>
      <c r="V223" s="15"/>
      <c r="W223" s="6" t="s">
        <v>3385</v>
      </c>
      <c r="X223" s="6">
        <f>'Réf cellules RB'!A163</f>
        <v>162</v>
      </c>
      <c r="Y223" s="6">
        <f>_xlfn.XLOOKUP(Tableau17[[#This Row],[Isin]],Tableau1[Isin],Tableau1[Sum intérêt])</f>
        <v>30</v>
      </c>
      <c r="Z223" s="6" t="str">
        <f>_xlfn.XLOOKUP(Tableau17[[#This Row],[Isin]],Tableau1[Isin],Tableau1[Liste des sociétés])</f>
        <v>Publicis</v>
      </c>
    </row>
    <row r="224" spans="1:26" ht="17">
      <c r="A224" s="31" t="s">
        <v>1719</v>
      </c>
      <c r="B224" s="39"/>
      <c r="E224" s="150"/>
      <c r="F224" s="33"/>
      <c r="G224" s="33"/>
      <c r="H224" s="33"/>
      <c r="I224" s="31" t="str">
        <f>IF(2023-Tableau17[[#This Row],[Entrée dans la société]]&gt;100,"",2023-Tableau17[[#This Row],[Entrée dans la société]])</f>
        <v/>
      </c>
      <c r="J224" s="83" t="str">
        <f>IF(2023-Tableau17[[#This Row],[Début de mandat]]&gt;100,"",2024-Tableau17[[#This Row],[Début de mandat]])</f>
        <v/>
      </c>
      <c r="K224" s="83"/>
      <c r="L224" s="39"/>
      <c r="M224" s="33"/>
      <c r="N224" s="19"/>
      <c r="O224" s="117"/>
      <c r="Q224" s="90"/>
      <c r="S224" s="31"/>
      <c r="U224" s="27"/>
      <c r="V224" s="15"/>
      <c r="X224" s="6">
        <f>'Réf cellules RB'!A164</f>
        <v>163</v>
      </c>
      <c r="Y224" s="6">
        <f>_xlfn.XLOOKUP(Tableau17[[#This Row],[Isin]],Tableau1[Isin],Tableau1[Sum intérêt])</f>
        <v>30</v>
      </c>
      <c r="Z224" s="6" t="str">
        <f>_xlfn.XLOOKUP(Tableau17[[#This Row],[Isin]],Tableau1[Isin],Tableau1[Liste des sociétés])</f>
        <v>Publicis</v>
      </c>
    </row>
    <row r="225" spans="1:26" ht="17">
      <c r="A225" s="31" t="s">
        <v>1594</v>
      </c>
      <c r="B225" s="39" t="s">
        <v>1591</v>
      </c>
      <c r="C225" s="83" t="s">
        <v>3184</v>
      </c>
      <c r="D225" s="83" t="s">
        <v>3386</v>
      </c>
      <c r="E225" s="83">
        <v>1967</v>
      </c>
      <c r="F225" s="31">
        <v>2019</v>
      </c>
      <c r="G225" s="31">
        <v>2019</v>
      </c>
      <c r="H225" s="31">
        <v>2026</v>
      </c>
      <c r="I225" s="31">
        <f>IF(2023-Tableau17[[#This Row],[Entrée dans la société]]&gt;100,"",2023-Tableau17[[#This Row],[Entrée dans la société]])</f>
        <v>4</v>
      </c>
      <c r="J225" s="83">
        <f>IF(2023-Tableau17[[#This Row],[Début de mandat]]&gt;100,"",2024-Tableau17[[#This Row],[Début de mandat]])</f>
        <v>5</v>
      </c>
      <c r="K225" s="83"/>
      <c r="L225" s="39"/>
      <c r="M225" s="19">
        <v>5600</v>
      </c>
      <c r="N225" s="19">
        <v>5600</v>
      </c>
      <c r="O225" s="17">
        <v>5600</v>
      </c>
      <c r="P225" s="109">
        <v>5600</v>
      </c>
      <c r="S225" s="31"/>
      <c r="U225" s="27">
        <v>104</v>
      </c>
      <c r="V225" s="15">
        <f>U225*N225</f>
        <v>582400</v>
      </c>
      <c r="W225" s="6" t="s">
        <v>3387</v>
      </c>
      <c r="X225" s="6">
        <f>'Réf cellules RB'!A41</f>
        <v>40</v>
      </c>
      <c r="Y225" s="6">
        <f>_xlfn.XLOOKUP(Tableau17[[#This Row],[Isin]],Tableau1[Isin],Tableau1[Sum intérêt])</f>
        <v>30</v>
      </c>
      <c r="Z225" s="6" t="str">
        <f>_xlfn.XLOOKUP(Tableau17[[#This Row],[Isin]],Tableau1[Isin],Tableau1[Liste des sociétés])</f>
        <v>Sanofi</v>
      </c>
    </row>
    <row r="226" spans="1:26" ht="17">
      <c r="A226" s="31" t="s">
        <v>1594</v>
      </c>
      <c r="B226" s="39"/>
      <c r="D226" s="83" t="s">
        <v>3388</v>
      </c>
      <c r="E226" s="83">
        <v>1963</v>
      </c>
      <c r="H226" s="31"/>
      <c r="I226" s="31" t="str">
        <f>IF(2023-Tableau17[[#This Row],[Entrée dans la société]]&gt;100,"",2023-Tableau17[[#This Row],[Entrée dans la société]])</f>
        <v/>
      </c>
      <c r="J226" s="83" t="str">
        <f>IF(2023-Tableau17[[#This Row],[Début de mandat]]&gt;100,"",2024-Tableau17[[#This Row],[Début de mandat]])</f>
        <v/>
      </c>
      <c r="K226" s="83"/>
      <c r="L226" s="39"/>
      <c r="M226" s="31"/>
      <c r="N226" s="19"/>
      <c r="O226" s="17"/>
      <c r="P226" s="109"/>
      <c r="S226" s="31"/>
      <c r="U226" s="27"/>
      <c r="V226" s="15"/>
      <c r="X226" s="6">
        <f>'Réf cellules RB'!A42</f>
        <v>41</v>
      </c>
      <c r="Y226" s="6">
        <f>_xlfn.XLOOKUP(Tableau17[[#This Row],[Isin]],Tableau1[Isin],Tableau1[Sum intérêt])</f>
        <v>30</v>
      </c>
      <c r="Z226" s="6" t="str">
        <f>_xlfn.XLOOKUP(Tableau17[[#This Row],[Isin]],Tableau1[Isin],Tableau1[Liste des sociétés])</f>
        <v>Sanofi</v>
      </c>
    </row>
    <row r="227" spans="1:26" ht="17">
      <c r="A227" s="31" t="s">
        <v>2152</v>
      </c>
      <c r="B227" s="39" t="s">
        <v>2149</v>
      </c>
      <c r="C227" s="83" t="s">
        <v>3184</v>
      </c>
      <c r="D227" s="83" t="s">
        <v>3389</v>
      </c>
      <c r="E227" s="83"/>
      <c r="H227" s="31"/>
      <c r="I227" s="31" t="str">
        <f>IF(2023-Tableau17[[#This Row],[Entrée dans la société]]&gt;100,"",2023-Tableau17[[#This Row],[Entrée dans la société]])</f>
        <v/>
      </c>
      <c r="J227" s="83" t="str">
        <f>IF(2023-Tableau17[[#This Row],[Début de mandat]]&gt;100,"",2024-Tableau17[[#This Row],[Début de mandat]])</f>
        <v/>
      </c>
      <c r="K227" s="83"/>
      <c r="L227" s="39"/>
      <c r="M227" s="31"/>
      <c r="N227" s="19"/>
      <c r="O227" s="17"/>
      <c r="P227" s="90"/>
      <c r="S227" s="31"/>
      <c r="U227" s="27">
        <v>27.5</v>
      </c>
      <c r="V227" s="15">
        <f>U227*N227</f>
        <v>0</v>
      </c>
      <c r="W227" s="6" t="s">
        <v>3390</v>
      </c>
      <c r="X227" s="6">
        <f>'Réf cellules RB'!A34</f>
        <v>33</v>
      </c>
      <c r="Y227" s="6">
        <f>_xlfn.XLOOKUP(Tableau17[[#This Row],[Isin]],Tableau1[Isin],Tableau1[Sum intérêt])</f>
        <v>30</v>
      </c>
      <c r="Z227" s="6" t="str">
        <f>_xlfn.XLOOKUP(Tableau17[[#This Row],[Isin]],Tableau1[Isin],Tableau1[Liste des sociétés])</f>
        <v>Scor</v>
      </c>
    </row>
    <row r="228" spans="1:26" ht="17">
      <c r="A228" s="31" t="s">
        <v>2152</v>
      </c>
      <c r="B228" s="39"/>
      <c r="E228" s="83"/>
      <c r="H228" s="31"/>
      <c r="I228" s="31" t="str">
        <f>IF(2023-Tableau17[[#This Row],[Entrée dans la société]]&gt;100,"",2023-Tableau17[[#This Row],[Entrée dans la société]])</f>
        <v/>
      </c>
      <c r="J228" s="83" t="str">
        <f>IF(2023-Tableau17[[#This Row],[Début de mandat]]&gt;100,"",2024-Tableau17[[#This Row],[Début de mandat]])</f>
        <v/>
      </c>
      <c r="K228" s="83"/>
      <c r="L228" s="39"/>
      <c r="M228" s="31"/>
      <c r="N228" s="19"/>
      <c r="O228" s="17"/>
      <c r="P228" s="90"/>
      <c r="S228" s="90"/>
      <c r="T228" s="90"/>
      <c r="U228" s="27"/>
      <c r="V228" s="15"/>
      <c r="X228" s="6">
        <f>'Réf cellules RB'!A37</f>
        <v>36</v>
      </c>
      <c r="Y228" s="6">
        <f>_xlfn.XLOOKUP(Tableau17[[#This Row],[Isin]],Tableau1[Isin],Tableau1[Sum intérêt])</f>
        <v>30</v>
      </c>
      <c r="Z228" s="6" t="str">
        <f>_xlfn.XLOOKUP(Tableau17[[#This Row],[Isin]],Tableau1[Isin],Tableau1[Liste des sociétés])</f>
        <v>Scor</v>
      </c>
    </row>
    <row r="229" spans="1:26" ht="17">
      <c r="A229" s="31" t="s">
        <v>2420</v>
      </c>
      <c r="B229" s="39" t="s">
        <v>2418</v>
      </c>
      <c r="C229" s="83" t="s">
        <v>3184</v>
      </c>
      <c r="D229" s="83" t="s">
        <v>3391</v>
      </c>
      <c r="E229" s="83"/>
      <c r="F229" s="31">
        <v>2018</v>
      </c>
      <c r="G229" s="31">
        <v>2022</v>
      </c>
      <c r="H229" s="31"/>
      <c r="I229" s="31">
        <f>IF(2023-Tableau17[[#This Row],[Entrée dans la société]]&gt;100,"",2023-Tableau17[[#This Row],[Entrée dans la société]])</f>
        <v>5</v>
      </c>
      <c r="J229" s="83">
        <f>IF(2023-Tableau17[[#This Row],[Début de mandat]]&gt;100,"",2024-Tableau17[[#This Row],[Début de mandat]])</f>
        <v>2</v>
      </c>
      <c r="K229" s="83"/>
      <c r="L229" s="39"/>
      <c r="M229" s="31"/>
      <c r="N229" s="19"/>
      <c r="O229" s="6"/>
      <c r="P229" s="90"/>
      <c r="S229" s="31"/>
      <c r="U229" s="107"/>
      <c r="V229" s="15"/>
      <c r="W229" s="6" t="s">
        <v>3392</v>
      </c>
      <c r="X229" s="6">
        <f>'Réf cellules RB'!A75</f>
        <v>74</v>
      </c>
      <c r="Y229" s="6">
        <f>_xlfn.XLOOKUP(Tableau17[[#This Row],[Isin]],Tableau1[Isin],Tableau1[Sum intérêt])</f>
        <v>30</v>
      </c>
      <c r="Z229" s="6" t="str">
        <f>_xlfn.XLOOKUP(Tableau17[[#This Row],[Isin]],Tableau1[Isin],Tableau1[Liste des sociétés])</f>
        <v xml:space="preserve">Seb </v>
      </c>
    </row>
    <row r="230" spans="1:26" ht="17">
      <c r="A230" s="31" t="s">
        <v>2420</v>
      </c>
      <c r="B230" s="39"/>
      <c r="D230" s="83" t="s">
        <v>3393</v>
      </c>
      <c r="E230" s="83">
        <v>1954</v>
      </c>
      <c r="G230" s="31">
        <v>1999</v>
      </c>
      <c r="H230" s="31">
        <v>2020</v>
      </c>
      <c r="I230" s="31" t="str">
        <f>IF(2023-Tableau17[[#This Row],[Entrée dans la société]]&gt;100,"",2023-Tableau17[[#This Row],[Entrée dans la société]])</f>
        <v/>
      </c>
      <c r="J230" s="83">
        <f>IF(2023-Tableau17[[#This Row],[Début de mandat]]&gt;100,"",2024-Tableau17[[#This Row],[Début de mandat]])</f>
        <v>25</v>
      </c>
      <c r="K230" s="83"/>
      <c r="L230" s="39"/>
      <c r="M230" s="31"/>
      <c r="N230" s="19"/>
      <c r="O230" s="17">
        <v>546002</v>
      </c>
      <c r="P230" s="90"/>
      <c r="S230" s="31"/>
      <c r="U230" s="27">
        <v>90</v>
      </c>
      <c r="V230" s="15"/>
      <c r="X230" s="6">
        <f>'Réf cellules RB'!A76</f>
        <v>75</v>
      </c>
      <c r="Y230" s="6">
        <f>_xlfn.XLOOKUP(Tableau17[[#This Row],[Isin]],Tableau1[Isin],Tableau1[Sum intérêt])</f>
        <v>30</v>
      </c>
      <c r="Z230" s="6" t="str">
        <f>_xlfn.XLOOKUP(Tableau17[[#This Row],[Isin]],Tableau1[Isin],Tableau1[Liste des sociétés])</f>
        <v xml:space="preserve">Seb </v>
      </c>
    </row>
    <row r="231" spans="1:26" ht="17">
      <c r="A231" s="31" t="s">
        <v>2420</v>
      </c>
      <c r="B231" s="39"/>
      <c r="E231" s="83"/>
      <c r="H231" s="31"/>
      <c r="I231" s="31" t="str">
        <f>IF(2023-Tableau17[[#This Row],[Entrée dans la société]]&gt;100,"",2023-Tableau17[[#This Row],[Entrée dans la société]])</f>
        <v/>
      </c>
      <c r="J231" s="83" t="str">
        <f>IF(2023-Tableau17[[#This Row],[Début de mandat]]&gt;100,"",2024-Tableau17[[#This Row],[Début de mandat]])</f>
        <v/>
      </c>
      <c r="K231" s="83"/>
      <c r="L231" s="39"/>
      <c r="M231" s="31"/>
      <c r="N231" s="19"/>
      <c r="O231" s="17"/>
      <c r="P231" s="90"/>
      <c r="S231" s="31"/>
      <c r="U231" s="27"/>
      <c r="V231" s="15"/>
      <c r="X231" s="6">
        <f>'Réf cellules RB'!A77</f>
        <v>76</v>
      </c>
      <c r="Y231" s="6">
        <f>_xlfn.XLOOKUP(Tableau17[[#This Row],[Isin]],Tableau1[Isin],Tableau1[Sum intérêt])</f>
        <v>30</v>
      </c>
      <c r="Z231" s="6" t="str">
        <f>_xlfn.XLOOKUP(Tableau17[[#This Row],[Isin]],Tableau1[Isin],Tableau1[Liste des sociétés])</f>
        <v xml:space="preserve">Seb </v>
      </c>
    </row>
    <row r="232" spans="1:26" ht="17">
      <c r="A232" s="31" t="s">
        <v>2817</v>
      </c>
      <c r="B232" s="39" t="s">
        <v>2815</v>
      </c>
      <c r="C232" s="83" t="s">
        <v>3184</v>
      </c>
      <c r="D232" s="83" t="s">
        <v>3394</v>
      </c>
      <c r="E232" s="83">
        <v>1966</v>
      </c>
      <c r="F232" s="31">
        <v>1994</v>
      </c>
      <c r="G232" s="31">
        <v>2020</v>
      </c>
      <c r="H232" s="31"/>
      <c r="I232" s="31">
        <f>IF(2023-Tableau17[[#This Row],[Entrée dans la société]]&gt;100,"",2023-Tableau17[[#This Row],[Entrée dans la société]])</f>
        <v>29</v>
      </c>
      <c r="J232" s="83">
        <f>IF(2023-Tableau17[[#This Row],[Début de mandat]]&gt;100,"",2024-Tableau17[[#This Row],[Début de mandat]])</f>
        <v>4</v>
      </c>
      <c r="K232" s="83"/>
      <c r="L232" s="39"/>
      <c r="M232" s="31"/>
      <c r="N232" s="19"/>
      <c r="O232" s="103"/>
      <c r="P232" s="104"/>
      <c r="S232" s="31"/>
      <c r="U232" s="105"/>
      <c r="V232" s="15"/>
      <c r="W232" s="6" t="s">
        <v>3395</v>
      </c>
      <c r="X232" s="6">
        <f>'Réf cellules RB'!A236</f>
        <v>235</v>
      </c>
      <c r="Y232" s="6">
        <f>_xlfn.XLOOKUP(Tableau17[[#This Row],[Isin]],Tableau1[Isin],Tableau1[Sum intérêt])</f>
        <v>30</v>
      </c>
      <c r="Z232" s="6" t="str">
        <f>_xlfn.XLOOKUP(Tableau17[[#This Row],[Isin]],Tableau1[Isin],Tableau1[Liste des sociétés])</f>
        <v>Sgs</v>
      </c>
    </row>
    <row r="233" spans="1:26" ht="17">
      <c r="A233" s="31" t="s">
        <v>2817</v>
      </c>
      <c r="B233" s="39"/>
      <c r="E233" s="83"/>
      <c r="G233" s="102"/>
      <c r="H233" s="31"/>
      <c r="I233" s="31" t="str">
        <f>IF(2023-Tableau17[[#This Row],[Entrée dans la société]]&gt;100,"",2023-Tableau17[[#This Row],[Entrée dans la société]])</f>
        <v/>
      </c>
      <c r="J233" s="83" t="str">
        <f>IF(2023-Tableau17[[#This Row],[Début de mandat]]&gt;100,"",2024-Tableau17[[#This Row],[Début de mandat]])</f>
        <v/>
      </c>
      <c r="K233" s="83"/>
      <c r="L233" s="39"/>
      <c r="M233" s="31"/>
      <c r="N233" s="19"/>
      <c r="O233" s="103"/>
      <c r="P233" s="106"/>
      <c r="S233" s="31"/>
      <c r="U233" s="105"/>
      <c r="V233" s="15"/>
      <c r="X233" s="6">
        <f>'Réf cellules RB'!A237</f>
        <v>236</v>
      </c>
      <c r="Y233" s="6">
        <f>_xlfn.XLOOKUP(Tableau17[[#This Row],[Isin]],Tableau1[Isin],Tableau1[Sum intérêt])</f>
        <v>30</v>
      </c>
      <c r="Z233" s="6" t="str">
        <f>_xlfn.XLOOKUP(Tableau17[[#This Row],[Isin]],Tableau1[Isin],Tableau1[Liste des sociétés])</f>
        <v>Sgs</v>
      </c>
    </row>
    <row r="234" spans="1:26" ht="17">
      <c r="A234" s="31" t="s">
        <v>4122</v>
      </c>
      <c r="B234" s="20" t="s">
        <v>4617</v>
      </c>
      <c r="E234" s="150"/>
      <c r="F234" s="33"/>
      <c r="G234" s="33"/>
      <c r="H234" s="31"/>
      <c r="I234" s="31" t="str">
        <f>IF(2023-Tableau17[[#This Row],[Entrée dans la société]]&gt;100,"",2023-Tableau17[[#This Row],[Entrée dans la société]])</f>
        <v/>
      </c>
      <c r="J234" s="83" t="str">
        <f>IF(2023-Tableau17[[#This Row],[Début de mandat]]&gt;100,"",2024-Tableau17[[#This Row],[Début de mandat]])</f>
        <v/>
      </c>
      <c r="K234" s="83"/>
      <c r="L234" s="39"/>
      <c r="M234" s="31"/>
      <c r="N234" s="19"/>
      <c r="O234" s="6"/>
      <c r="P234" s="90"/>
      <c r="Q234" s="90"/>
      <c r="R234" s="90"/>
      <c r="S234" s="90"/>
      <c r="T234" s="90"/>
      <c r="U234" s="27"/>
      <c r="V234" s="15"/>
      <c r="X234" s="6">
        <f>'Réf cellules RB'!A272</f>
        <v>271</v>
      </c>
      <c r="Y234" s="6">
        <f>_xlfn.XLOOKUP(Tableau17[[#This Row],[Isin]],Tableau1[Isin],Tableau1[Sum intérêt])</f>
        <v>30</v>
      </c>
      <c r="Z234" s="6" t="str">
        <f>_xlfn.XLOOKUP(Tableau17[[#This Row],[Isin]],Tableau1[Isin],Tableau1[Liste des sociétés])</f>
        <v>Sika société de financement sa</v>
      </c>
    </row>
    <row r="235" spans="1:26" ht="17">
      <c r="A235" s="31" t="s">
        <v>4122</v>
      </c>
      <c r="B235" s="39"/>
      <c r="E235" s="150"/>
      <c r="F235" s="33"/>
      <c r="G235" s="33"/>
      <c r="H235" s="31"/>
      <c r="I235" s="31" t="str">
        <f>IF(2023-Tableau17[[#This Row],[Entrée dans la société]]&gt;100,"",2023-Tableau17[[#This Row],[Entrée dans la société]])</f>
        <v/>
      </c>
      <c r="J235" s="83" t="str">
        <f>IF(2023-Tableau17[[#This Row],[Début de mandat]]&gt;100,"",2024-Tableau17[[#This Row],[Début de mandat]])</f>
        <v/>
      </c>
      <c r="K235" s="83"/>
      <c r="L235" s="39"/>
      <c r="M235" s="31"/>
      <c r="N235" s="19"/>
      <c r="O235" s="6"/>
      <c r="P235" s="90"/>
      <c r="Q235" s="90"/>
      <c r="R235" s="90"/>
      <c r="S235" s="90"/>
      <c r="T235" s="90"/>
      <c r="U235" s="27"/>
      <c r="V235" s="15"/>
      <c r="X235" s="6">
        <f>'Réf cellules RB'!A260</f>
        <v>259</v>
      </c>
      <c r="Y235" s="6">
        <f>_xlfn.XLOOKUP(Tableau17[[#This Row],[Isin]],Tableau1[Isin],Tableau1[Sum intérêt])</f>
        <v>30</v>
      </c>
      <c r="Z235" s="6" t="str">
        <f>_xlfn.XLOOKUP(Tableau17[[#This Row],[Isin]],Tableau1[Isin],Tableau1[Liste des sociétés])</f>
        <v>Sika société de financement sa</v>
      </c>
    </row>
    <row r="236" spans="1:26" ht="17">
      <c r="A236" s="31" t="s">
        <v>3396</v>
      </c>
      <c r="B236" s="39" t="s">
        <v>3397</v>
      </c>
      <c r="C236" s="158"/>
      <c r="D236" s="83" t="s">
        <v>3388</v>
      </c>
      <c r="E236" s="83">
        <v>1963</v>
      </c>
      <c r="F236" s="33"/>
      <c r="G236" s="31">
        <v>2009</v>
      </c>
      <c r="H236" s="31">
        <v>2019</v>
      </c>
      <c r="I236" s="31" t="str">
        <f>IF(2023-Tableau17[[#This Row],[Entrée dans la société]]&gt;100,"",2023-Tableau17[[#This Row],[Entrée dans la société]])</f>
        <v/>
      </c>
      <c r="J236" s="83">
        <f>IF(2023-Tableau17[[#This Row],[Début de mandat]]&gt;100,"",2024-Tableau17[[#This Row],[Début de mandat]])</f>
        <v>15</v>
      </c>
      <c r="K236" s="83"/>
      <c r="L236" s="39"/>
      <c r="M236" s="31"/>
      <c r="N236" s="19"/>
      <c r="O236" s="6"/>
      <c r="S236" s="90">
        <f>131145+1972</f>
        <v>133117</v>
      </c>
      <c r="U236" s="27">
        <v>40</v>
      </c>
      <c r="V236" s="15"/>
      <c r="X236" s="6">
        <f>'Réf cellules RB'!A167</f>
        <v>166</v>
      </c>
      <c r="Y236" s="6">
        <f>_xlfn.XLOOKUP(Tableau17[[#This Row],[Isin]],Tableau1[Isin],Tableau1[Sum intérêt])</f>
        <v>30</v>
      </c>
      <c r="Z236" s="6" t="str">
        <f>_xlfn.XLOOKUP(Tableau17[[#This Row],[Isin]],Tableau1[Isin],Tableau1[Liste des sociétés])</f>
        <v>Societe generale sa</v>
      </c>
    </row>
    <row r="237" spans="1:26" ht="17">
      <c r="A237" s="31" t="s">
        <v>3396</v>
      </c>
      <c r="B237" s="39"/>
      <c r="E237" s="150"/>
      <c r="F237" s="33"/>
      <c r="H237" s="31"/>
      <c r="I237" s="31" t="str">
        <f>IF(2023-Tableau17[[#This Row],[Entrée dans la société]]&gt;100,"",2023-Tableau17[[#This Row],[Entrée dans la société]])</f>
        <v/>
      </c>
      <c r="J237" s="83" t="str">
        <f>IF(2023-Tableau17[[#This Row],[Début de mandat]]&gt;100,"",2024-Tableau17[[#This Row],[Début de mandat]])</f>
        <v/>
      </c>
      <c r="K237" s="83"/>
      <c r="L237" s="39"/>
      <c r="M237" s="31"/>
      <c r="N237" s="19"/>
      <c r="O237" s="6"/>
      <c r="S237" s="90"/>
      <c r="U237" s="27"/>
      <c r="V237" s="15"/>
      <c r="X237" s="6">
        <f>'Réf cellules RB'!A168</f>
        <v>167</v>
      </c>
      <c r="Y237" s="6">
        <f>_xlfn.XLOOKUP(Tableau17[[#This Row],[Isin]],Tableau1[Isin],Tableau1[Sum intérêt])</f>
        <v>30</v>
      </c>
      <c r="Z237" s="6" t="str">
        <f>_xlfn.XLOOKUP(Tableau17[[#This Row],[Isin]],Tableau1[Isin],Tableau1[Liste des sociétés])</f>
        <v>Societe generale sa</v>
      </c>
    </row>
    <row r="238" spans="1:26" ht="17">
      <c r="A238" s="31" t="s">
        <v>2662</v>
      </c>
      <c r="B238" s="39" t="s">
        <v>2659</v>
      </c>
      <c r="E238" s="150"/>
      <c r="F238" s="33"/>
      <c r="G238" s="33"/>
      <c r="H238" s="31"/>
      <c r="I238" s="31" t="str">
        <f>IF(2023-Tableau17[[#This Row],[Entrée dans la société]]&gt;100,"",2023-Tableau17[[#This Row],[Entrée dans la société]])</f>
        <v/>
      </c>
      <c r="J238" s="83" t="str">
        <f>IF(2023-Tableau17[[#This Row],[Début de mandat]]&gt;100,"",2024-Tableau17[[#This Row],[Début de mandat]])</f>
        <v/>
      </c>
      <c r="K238" s="83"/>
      <c r="L238" s="39"/>
      <c r="M238" s="31"/>
      <c r="N238" s="19"/>
      <c r="O238" s="6"/>
      <c r="P238" s="90"/>
      <c r="Q238" s="90"/>
      <c r="R238" s="90"/>
      <c r="S238" s="90"/>
      <c r="T238" s="90"/>
      <c r="U238" s="27"/>
      <c r="V238" s="15"/>
      <c r="X238" s="6">
        <f>'Réf cellules RB'!A258</f>
        <v>257</v>
      </c>
      <c r="Y238" s="6">
        <f>_xlfn.XLOOKUP(Tableau17[[#This Row],[Isin]],Tableau1[Isin],Tableau1[Sum intérêt])</f>
        <v>30</v>
      </c>
      <c r="Z238" s="6" t="str">
        <f>_xlfn.XLOOKUP(Tableau17[[#This Row],[Isin]],Tableau1[Isin],Tableau1[Liste des sociétés])</f>
        <v>Soitec sa</v>
      </c>
    </row>
    <row r="239" spans="1:26" ht="17">
      <c r="A239" s="31" t="s">
        <v>2662</v>
      </c>
      <c r="B239" s="39"/>
      <c r="E239" s="150"/>
      <c r="F239" s="33"/>
      <c r="G239" s="33"/>
      <c r="H239" s="31"/>
      <c r="I239" s="31" t="str">
        <f>IF(2023-Tableau17[[#This Row],[Entrée dans la société]]&gt;100,"",2023-Tableau17[[#This Row],[Entrée dans la société]])</f>
        <v/>
      </c>
      <c r="J239" s="83" t="str">
        <f>IF(2023-Tableau17[[#This Row],[Début de mandat]]&gt;100,"",2024-Tableau17[[#This Row],[Début de mandat]])</f>
        <v/>
      </c>
      <c r="K239" s="83"/>
      <c r="L239" s="39"/>
      <c r="M239" s="31"/>
      <c r="N239" s="19"/>
      <c r="O239" s="6"/>
      <c r="P239" s="90"/>
      <c r="Q239" s="90"/>
      <c r="R239" s="90"/>
      <c r="S239" s="90"/>
      <c r="T239" s="90"/>
      <c r="U239" s="27"/>
      <c r="V239" s="15">
        <f>U239*N239</f>
        <v>0</v>
      </c>
      <c r="X239" s="6">
        <f>'Réf cellules RB'!A266</f>
        <v>265</v>
      </c>
      <c r="Y239" s="6">
        <f>_xlfn.XLOOKUP(Tableau17[[#This Row],[Isin]],Tableau1[Isin],Tableau1[Sum intérêt])</f>
        <v>30</v>
      </c>
      <c r="Z239" s="6" t="str">
        <f>_xlfn.XLOOKUP(Tableau17[[#This Row],[Isin]],Tableau1[Isin],Tableau1[Liste des sociétés])</f>
        <v>Soitec sa</v>
      </c>
    </row>
    <row r="240" spans="1:26" ht="17">
      <c r="A240" s="31" t="s">
        <v>922</v>
      </c>
      <c r="B240" s="39" t="s">
        <v>3398</v>
      </c>
      <c r="D240" s="83" t="s">
        <v>3399</v>
      </c>
      <c r="E240" s="83">
        <v>1936</v>
      </c>
      <c r="H240" s="31"/>
      <c r="I240" s="31" t="str">
        <f>IF(2023-Tableau17[[#This Row],[Entrée dans la société]]&gt;100,"",2023-Tableau17[[#This Row],[Entrée dans la société]])</f>
        <v/>
      </c>
      <c r="J240" s="83" t="str">
        <f>IF(2023-Tableau17[[#This Row],[Début de mandat]]&gt;100,"",2024-Tableau17[[#This Row],[Début de mandat]])</f>
        <v/>
      </c>
      <c r="K240" s="83"/>
      <c r="L240" s="39"/>
      <c r="M240" s="31"/>
      <c r="N240" s="19"/>
      <c r="O240" s="6"/>
      <c r="R240" s="90">
        <v>108113</v>
      </c>
      <c r="S240" s="90"/>
      <c r="T240" s="90"/>
      <c r="U240" s="27">
        <v>165</v>
      </c>
      <c r="V240" s="15"/>
      <c r="X240" s="6">
        <f>'Réf cellules RB'!A127</f>
        <v>126</v>
      </c>
      <c r="Y240" s="6">
        <f>_xlfn.XLOOKUP(Tableau17[[#This Row],[Isin]],Tableau1[Isin],Tableau1[Sum intérêt])</f>
        <v>30</v>
      </c>
      <c r="Z240" s="6" t="str">
        <f>_xlfn.XLOOKUP(Tableau17[[#This Row],[Isin]],Tableau1[Isin],Tableau1[Liste des sociétés])</f>
        <v>Sopra steria</v>
      </c>
    </row>
    <row r="241" spans="1:26" ht="17">
      <c r="A241" s="31" t="s">
        <v>922</v>
      </c>
      <c r="B241" s="39"/>
      <c r="E241" s="83"/>
      <c r="H241" s="31"/>
      <c r="I241" s="31" t="str">
        <f>IF(2023-Tableau17[[#This Row],[Entrée dans la société]]&gt;100,"",2023-Tableau17[[#This Row],[Entrée dans la société]])</f>
        <v/>
      </c>
      <c r="J241" s="83" t="str">
        <f>IF(2023-Tableau17[[#This Row],[Début de mandat]]&gt;100,"",2024-Tableau17[[#This Row],[Début de mandat]])</f>
        <v/>
      </c>
      <c r="K241" s="83"/>
      <c r="L241" s="39"/>
      <c r="M241" s="31"/>
      <c r="N241" s="19"/>
      <c r="O241" s="6"/>
      <c r="R241" s="90"/>
      <c r="S241" s="90"/>
      <c r="T241" s="90"/>
      <c r="U241" s="27"/>
      <c r="V241" s="15"/>
      <c r="X241" s="6">
        <f>'Réf cellules RB'!A128</f>
        <v>127</v>
      </c>
      <c r="Y241" s="6">
        <f>_xlfn.XLOOKUP(Tableau17[[#This Row],[Isin]],Tableau1[Isin],Tableau1[Sum intérêt])</f>
        <v>30</v>
      </c>
      <c r="Z241" s="6" t="str">
        <f>_xlfn.XLOOKUP(Tableau17[[#This Row],[Isin]],Tableau1[Isin],Tableau1[Liste des sociétés])</f>
        <v>Sopra steria</v>
      </c>
    </row>
    <row r="242" spans="1:26" ht="17">
      <c r="A242" s="31" t="s">
        <v>2945</v>
      </c>
      <c r="B242" s="39" t="s">
        <v>2942</v>
      </c>
      <c r="C242" s="83" t="s">
        <v>3182</v>
      </c>
      <c r="D242" s="83" t="s">
        <v>3400</v>
      </c>
      <c r="E242" s="83"/>
      <c r="F242" s="31">
        <v>2006</v>
      </c>
      <c r="G242" s="102"/>
      <c r="H242" s="31"/>
      <c r="I242" s="31">
        <f>IF(2023-Tableau17[[#This Row],[Entrée dans la société]]&gt;100,"",2023-Tableau17[[#This Row],[Entrée dans la société]])</f>
        <v>17</v>
      </c>
      <c r="J242" s="83" t="str">
        <f>IF(2023-Tableau17[[#This Row],[Début de mandat]]&gt;100,"",2024-Tableau17[[#This Row],[Début de mandat]])</f>
        <v/>
      </c>
      <c r="K242" s="83"/>
      <c r="L242" s="39"/>
      <c r="M242" s="31"/>
      <c r="N242" s="19"/>
      <c r="O242" s="103">
        <v>31973691</v>
      </c>
      <c r="P242" s="104"/>
      <c r="S242" s="31"/>
      <c r="U242" s="105">
        <v>314</v>
      </c>
      <c r="V242" s="15"/>
      <c r="W242" s="6" t="s">
        <v>3401</v>
      </c>
      <c r="X242" s="6">
        <f>'Réf cellules RB'!A227</f>
        <v>226</v>
      </c>
      <c r="Y242" s="6">
        <f>_xlfn.XLOOKUP(Tableau17[[#This Row],[Isin]],Tableau1[Isin],Tableau1[Sum intérêt])</f>
        <v>30</v>
      </c>
      <c r="Z242" s="6" t="str">
        <f>_xlfn.XLOOKUP(Tableau17[[#This Row],[Isin]],Tableau1[Isin],Tableau1[Liste des sociétés])</f>
        <v>Spotify</v>
      </c>
    </row>
    <row r="243" spans="1:26" ht="17">
      <c r="A243" s="31" t="s">
        <v>2945</v>
      </c>
      <c r="B243" s="39"/>
      <c r="E243" s="152"/>
      <c r="G243" s="102"/>
      <c r="H243" s="31"/>
      <c r="I243" s="31" t="str">
        <f>IF(2023-Tableau17[[#This Row],[Entrée dans la société]]&gt;100,"",2023-Tableau17[[#This Row],[Entrée dans la société]])</f>
        <v/>
      </c>
      <c r="J243" s="83" t="str">
        <f>IF(2023-Tableau17[[#This Row],[Début de mandat]]&gt;100,"",2024-Tableau17[[#This Row],[Début de mandat]])</f>
        <v/>
      </c>
      <c r="K243" s="83"/>
      <c r="L243" s="39"/>
      <c r="M243" s="31"/>
      <c r="N243" s="19"/>
      <c r="O243" s="103"/>
      <c r="P243" s="106"/>
      <c r="S243" s="31"/>
      <c r="U243" s="105"/>
      <c r="V243" s="15"/>
      <c r="X243" s="6">
        <f>'Réf cellules RB'!A228</f>
        <v>227</v>
      </c>
      <c r="Y243" s="6">
        <f>_xlfn.XLOOKUP(Tableau17[[#This Row],[Isin]],Tableau1[Isin],Tableau1[Sum intérêt])</f>
        <v>30</v>
      </c>
      <c r="Z243" s="6" t="str">
        <f>_xlfn.XLOOKUP(Tableau17[[#This Row],[Isin]],Tableau1[Isin],Tableau1[Liste des sociétés])</f>
        <v>Spotify</v>
      </c>
    </row>
    <row r="244" spans="1:26" ht="17">
      <c r="A244" s="31" t="s">
        <v>1799</v>
      </c>
      <c r="B244" s="39" t="s">
        <v>1796</v>
      </c>
      <c r="D244" s="83" t="s">
        <v>3402</v>
      </c>
      <c r="E244" s="83"/>
      <c r="H244" s="31"/>
      <c r="I244" s="31" t="str">
        <f>IF(2023-Tableau17[[#This Row],[Entrée dans la société]]&gt;100,"",2023-Tableau17[[#This Row],[Entrée dans la société]])</f>
        <v/>
      </c>
      <c r="J244" s="83" t="str">
        <f>IF(2023-Tableau17[[#This Row],[Début de mandat]]&gt;100,"",2024-Tableau17[[#This Row],[Début de mandat]])</f>
        <v/>
      </c>
      <c r="K244" s="83"/>
      <c r="L244" s="39"/>
      <c r="M244" s="31"/>
      <c r="N244" s="19"/>
      <c r="O244" s="6"/>
      <c r="S244" s="90"/>
      <c r="T244" s="90"/>
      <c r="U244" s="27"/>
      <c r="V244" s="15"/>
      <c r="W244" s="6" t="s">
        <v>3403</v>
      </c>
      <c r="X244" s="6">
        <f>'Réf cellules RB'!A148</f>
        <v>147</v>
      </c>
      <c r="Y244" s="6">
        <f>_xlfn.XLOOKUP(Tableau17[[#This Row],[Isin]],Tableau1[Isin],Tableau1[Sum intérêt])</f>
        <v>30</v>
      </c>
      <c r="Z244" s="6" t="str">
        <f>_xlfn.XLOOKUP(Tableau17[[#This Row],[Isin]],Tableau1[Isin],Tableau1[Liste des sociétés])</f>
        <v>Tarkett</v>
      </c>
    </row>
    <row r="245" spans="1:26" ht="17">
      <c r="A245" s="31" t="s">
        <v>1799</v>
      </c>
      <c r="B245" s="39"/>
      <c r="E245" s="83"/>
      <c r="H245" s="31"/>
      <c r="I245" s="31" t="str">
        <f>IF(2023-Tableau17[[#This Row],[Entrée dans la société]]&gt;100,"",2023-Tableau17[[#This Row],[Entrée dans la société]])</f>
        <v/>
      </c>
      <c r="J245" s="83" t="str">
        <f>IF(2023-Tableau17[[#This Row],[Début de mandat]]&gt;100,"",2024-Tableau17[[#This Row],[Début de mandat]])</f>
        <v/>
      </c>
      <c r="K245" s="83"/>
      <c r="L245" s="39"/>
      <c r="M245" s="31"/>
      <c r="N245" s="19"/>
      <c r="O245" s="6"/>
      <c r="S245" s="90"/>
      <c r="T245" s="90"/>
      <c r="U245" s="27"/>
      <c r="V245" s="15"/>
      <c r="X245" s="6">
        <f>'Réf cellules RB'!A149</f>
        <v>148</v>
      </c>
      <c r="Y245" s="6">
        <f>_xlfn.XLOOKUP(Tableau17[[#This Row],[Isin]],Tableau1[Isin],Tableau1[Sum intérêt])</f>
        <v>30</v>
      </c>
      <c r="Z245" s="6" t="str">
        <f>_xlfn.XLOOKUP(Tableau17[[#This Row],[Isin]],Tableau1[Isin],Tableau1[Liste des sociétés])</f>
        <v>Tarkett</v>
      </c>
    </row>
    <row r="246" spans="1:26" ht="17">
      <c r="A246" s="31" t="s">
        <v>2773</v>
      </c>
      <c r="B246" s="39" t="s">
        <v>2768</v>
      </c>
      <c r="D246" s="83" t="s">
        <v>3404</v>
      </c>
      <c r="E246" s="83">
        <v>1979</v>
      </c>
      <c r="F246" s="31">
        <v>1998</v>
      </c>
      <c r="G246" s="102"/>
      <c r="H246" s="31"/>
      <c r="I246" s="31">
        <f>IF(2023-Tableau17[[#This Row],[Entrée dans la société]]&gt;100,"",2023-Tableau17[[#This Row],[Entrée dans la société]])</f>
        <v>25</v>
      </c>
      <c r="J246" s="83" t="str">
        <f>IF(2023-Tableau17[[#This Row],[Début de mandat]]&gt;100,"",2024-Tableau17[[#This Row],[Début de mandat]])</f>
        <v/>
      </c>
      <c r="K246" s="83"/>
      <c r="L246" s="39"/>
      <c r="M246" s="31"/>
      <c r="N246" s="19"/>
      <c r="O246" s="103">
        <v>804859700</v>
      </c>
      <c r="P246" s="104"/>
      <c r="S246" s="31"/>
      <c r="U246" s="105">
        <v>599</v>
      </c>
      <c r="V246" s="15"/>
      <c r="W246" s="6" t="s">
        <v>3405</v>
      </c>
      <c r="X246" s="6">
        <f>'Réf cellules RB'!A231</f>
        <v>230</v>
      </c>
      <c r="Y246" s="6">
        <f>_xlfn.XLOOKUP(Tableau17[[#This Row],[Isin]],Tableau1[Isin],Tableau1[Sum intérêt])</f>
        <v>30</v>
      </c>
      <c r="Z246" s="6" t="str">
        <f>_xlfn.XLOOKUP(Tableau17[[#This Row],[Isin]],Tableau1[Isin],Tableau1[Liste des sociétés])</f>
        <v>Tencent</v>
      </c>
    </row>
    <row r="247" spans="1:26" ht="17">
      <c r="A247" s="31" t="s">
        <v>2773</v>
      </c>
      <c r="B247" s="39"/>
      <c r="E247" s="152"/>
      <c r="H247" s="31"/>
      <c r="I247" s="31" t="str">
        <f>IF(2023-Tableau17[[#This Row],[Entrée dans la société]]&gt;100,"",2023-Tableau17[[#This Row],[Entrée dans la société]])</f>
        <v/>
      </c>
      <c r="J247" s="83" t="str">
        <f>IF(2023-Tableau17[[#This Row],[Début de mandat]]&gt;100,"",2024-Tableau17[[#This Row],[Début de mandat]])</f>
        <v/>
      </c>
      <c r="K247" s="83"/>
      <c r="L247" s="39"/>
      <c r="M247" s="31"/>
      <c r="N247" s="19"/>
      <c r="O247" s="103"/>
      <c r="P247" s="106"/>
      <c r="S247" s="31"/>
      <c r="U247" s="105"/>
      <c r="V247" s="15"/>
      <c r="X247" s="6">
        <f>'Réf cellules RB'!A232</f>
        <v>231</v>
      </c>
      <c r="Y247" s="6">
        <f>_xlfn.XLOOKUP(Tableau17[[#This Row],[Isin]],Tableau1[Isin],Tableau1[Sum intérêt])</f>
        <v>30</v>
      </c>
      <c r="Z247" s="6" t="str">
        <f>_xlfn.XLOOKUP(Tableau17[[#This Row],[Isin]],Tableau1[Isin],Tableau1[Liste des sociétés])</f>
        <v>Tencent</v>
      </c>
    </row>
    <row r="248" spans="1:26" ht="17">
      <c r="A248" s="31" t="s">
        <v>516</v>
      </c>
      <c r="B248" s="39" t="s">
        <v>513</v>
      </c>
      <c r="C248" s="83" t="s">
        <v>3184</v>
      </c>
      <c r="D248" s="83" t="s">
        <v>3407</v>
      </c>
      <c r="E248" s="83">
        <v>1966</v>
      </c>
      <c r="F248" s="31">
        <v>1996</v>
      </c>
      <c r="G248" s="31">
        <v>2008</v>
      </c>
      <c r="H248" s="31"/>
      <c r="I248" s="31">
        <f>IF(2023-Tableau17[[#This Row],[Entrée dans la société]]&gt;100,"",2023-Tableau17[[#This Row],[Entrée dans la société]])</f>
        <v>27</v>
      </c>
      <c r="J248" s="83">
        <f>IF(2023-Tableau17[[#This Row],[Début de mandat]]&gt;100,"",2024-Tableau17[[#This Row],[Début de mandat]])</f>
        <v>16</v>
      </c>
      <c r="K248" s="83"/>
      <c r="L248" s="39"/>
      <c r="M248" s="19">
        <v>8334</v>
      </c>
      <c r="N248" s="19"/>
      <c r="O248" s="6"/>
      <c r="S248" s="31"/>
      <c r="U248" s="27"/>
      <c r="V248" s="15"/>
      <c r="W248" s="6" t="s">
        <v>3408</v>
      </c>
      <c r="X248" s="6">
        <f>'Réf cellules RB'!A137</f>
        <v>136</v>
      </c>
      <c r="Y248" s="6">
        <f>_xlfn.XLOOKUP(Tableau17[[#This Row],[Isin]],Tableau1[Isin],Tableau1[Sum intérêt])</f>
        <v>30</v>
      </c>
      <c r="Z248" s="6" t="str">
        <f>_xlfn.XLOOKUP(Tableau17[[#This Row],[Isin]],Tableau1[Isin],Tableau1[Liste des sociétés])</f>
        <v>Umicore</v>
      </c>
    </row>
    <row r="249" spans="1:26" ht="17">
      <c r="A249" s="31" t="s">
        <v>516</v>
      </c>
      <c r="B249" s="39"/>
      <c r="E249" s="83"/>
      <c r="G249" s="33"/>
      <c r="H249" s="31"/>
      <c r="I249" s="31" t="str">
        <f>IF(2023-Tableau17[[#This Row],[Entrée dans la société]]&gt;100,"",2023-Tableau17[[#This Row],[Entrée dans la société]])</f>
        <v/>
      </c>
      <c r="J249" s="83" t="str">
        <f>IF(2023-Tableau17[[#This Row],[Début de mandat]]&gt;100,"",2024-Tableau17[[#This Row],[Début de mandat]])</f>
        <v/>
      </c>
      <c r="K249" s="83"/>
      <c r="L249" s="39"/>
      <c r="M249" s="31"/>
      <c r="N249" s="19"/>
      <c r="O249" s="6"/>
      <c r="S249" s="31"/>
      <c r="U249" s="27"/>
      <c r="V249" s="15"/>
      <c r="X249" s="6">
        <f>'Réf cellules RB'!A138</f>
        <v>137</v>
      </c>
      <c r="Y249" s="6">
        <f>_xlfn.XLOOKUP(Tableau17[[#This Row],[Isin]],Tableau1[Isin],Tableau1[Sum intérêt])</f>
        <v>30</v>
      </c>
      <c r="Z249" s="6" t="str">
        <f>_xlfn.XLOOKUP(Tableau17[[#This Row],[Isin]],Tableau1[Isin],Tableau1[Liste des sociétés])</f>
        <v>Umicore</v>
      </c>
    </row>
    <row r="250" spans="1:26" ht="17">
      <c r="A250" s="121" t="s">
        <v>3409</v>
      </c>
      <c r="B250" s="155"/>
      <c r="E250" s="150"/>
      <c r="F250" s="33"/>
      <c r="G250" s="33"/>
      <c r="H250" s="31"/>
      <c r="I250" s="31" t="str">
        <f>IF(2023-Tableau17[[#This Row],[Entrée dans la société]]&gt;100,"",2023-Tableau17[[#This Row],[Entrée dans la société]])</f>
        <v/>
      </c>
      <c r="J250" s="83" t="str">
        <f>IF(2023-Tableau17[[#This Row],[Début de mandat]]&gt;100,"",2024-Tableau17[[#This Row],[Début de mandat]])</f>
        <v/>
      </c>
      <c r="K250" s="83"/>
      <c r="L250" s="39"/>
      <c r="M250" s="31"/>
      <c r="N250" s="19"/>
      <c r="O250" s="6"/>
      <c r="P250" s="90"/>
      <c r="Q250" s="90"/>
      <c r="R250" s="90"/>
      <c r="S250" s="90"/>
      <c r="T250" s="90"/>
      <c r="U250" s="27"/>
      <c r="V250" s="15"/>
      <c r="X250" s="6">
        <f>'Réf cellules RB'!A263</f>
        <v>262</v>
      </c>
      <c r="Y250" s="6">
        <f>_xlfn.XLOOKUP(Tableau17[[#This Row],[Isin]],Tableau1[Isin],Tableau1[Sum intérêt])</f>
        <v>33</v>
      </c>
      <c r="Z250" s="6">
        <f>_xlfn.XLOOKUP(Tableau17[[#This Row],[Isin]],Tableau1[Isin],Tableau1[Liste des sociétés])</f>
        <v>0</v>
      </c>
    </row>
    <row r="251" spans="1:26" ht="17">
      <c r="A251" s="121" t="s">
        <v>3410</v>
      </c>
      <c r="B251" s="155"/>
      <c r="E251" s="150"/>
      <c r="F251" s="33"/>
      <c r="G251" s="33"/>
      <c r="H251" s="31"/>
      <c r="I251" s="31" t="str">
        <f>IF(2023-Tableau17[[#This Row],[Entrée dans la société]]&gt;100,"",2023-Tableau17[[#This Row],[Entrée dans la société]])</f>
        <v/>
      </c>
      <c r="J251" s="83" t="str">
        <f>IF(2023-Tableau17[[#This Row],[Début de mandat]]&gt;100,"",2024-Tableau17[[#This Row],[Début de mandat]])</f>
        <v/>
      </c>
      <c r="K251" s="83"/>
      <c r="L251" s="39"/>
      <c r="M251" s="31"/>
      <c r="N251" s="19"/>
      <c r="O251" s="6"/>
      <c r="P251" s="90"/>
      <c r="Q251" s="90"/>
      <c r="R251" s="90"/>
      <c r="S251" s="90"/>
      <c r="T251" s="90"/>
      <c r="U251" s="27"/>
      <c r="V251" s="15"/>
      <c r="X251" s="6">
        <f>'Réf cellules RB'!A265</f>
        <v>264</v>
      </c>
      <c r="Y251" s="6">
        <f>_xlfn.XLOOKUP(Tableau17[[#This Row],[Isin]],Tableau1[Isin],Tableau1[Sum intérêt])</f>
        <v>35</v>
      </c>
      <c r="Z251" s="6">
        <f>_xlfn.XLOOKUP(Tableau17[[#This Row],[Isin]],Tableau1[Isin],Tableau1[Liste des sociétés])</f>
        <v>0</v>
      </c>
    </row>
    <row r="252" spans="1:26" ht="17">
      <c r="B252" s="39" t="s">
        <v>1498</v>
      </c>
      <c r="C252" s="83" t="s">
        <v>3184</v>
      </c>
      <c r="D252" s="83" t="s">
        <v>3411</v>
      </c>
      <c r="E252" s="83">
        <v>1960</v>
      </c>
      <c r="F252" s="31">
        <v>1986</v>
      </c>
      <c r="G252" s="31">
        <v>2019</v>
      </c>
      <c r="H252" s="31">
        <v>2023</v>
      </c>
      <c r="I252" s="31">
        <f>IF(2023-Tableau17[[#This Row],[Entrée dans la société]]&gt;100,"",2023-Tableau17[[#This Row],[Entrée dans la société]])</f>
        <v>37</v>
      </c>
      <c r="J252" s="83">
        <f>IF(2023-Tableau17[[#This Row],[Début de mandat]]&gt;100,"",2024-Tableau17[[#This Row],[Début de mandat]])</f>
        <v>5</v>
      </c>
      <c r="K252" s="83"/>
      <c r="L252" s="39"/>
      <c r="M252" s="31"/>
      <c r="N252" s="19"/>
      <c r="O252" s="103"/>
      <c r="P252" s="104"/>
      <c r="S252" s="31"/>
      <c r="U252" s="105"/>
      <c r="V252" s="15"/>
      <c r="W252" s="6" t="s">
        <v>3412</v>
      </c>
      <c r="X252" s="6">
        <f>'Réf cellules RB'!A213</f>
        <v>212</v>
      </c>
      <c r="Y252" s="6">
        <f>_xlfn.XLOOKUP(Tableau17[[#This Row],[Isin]],Tableau1[Isin],Tableau1[Sum intérêt])</f>
        <v>99</v>
      </c>
      <c r="Z252" s="6">
        <f>_xlfn.XLOOKUP(Tableau17[[#This Row],[Isin]],Tableau1[Isin],Tableau1[Liste des sociétés])</f>
        <v>0</v>
      </c>
    </row>
    <row r="253" spans="1:26" ht="17">
      <c r="B253" s="39"/>
      <c r="E253" s="83"/>
      <c r="H253" s="31"/>
      <c r="I253" s="31" t="str">
        <f>IF(2023-Tableau17[[#This Row],[Entrée dans la société]]&gt;100,"",2023-Tableau17[[#This Row],[Entrée dans la société]])</f>
        <v/>
      </c>
      <c r="J253" s="83" t="str">
        <f>IF(2023-Tableau17[[#This Row],[Début de mandat]]&gt;100,"",2024-Tableau17[[#This Row],[Début de mandat]])</f>
        <v/>
      </c>
      <c r="K253" s="83"/>
      <c r="L253" s="39"/>
      <c r="M253" s="31"/>
      <c r="N253" s="19"/>
      <c r="O253" s="103"/>
      <c r="S253" s="31"/>
      <c r="U253" s="107"/>
      <c r="V253" s="15"/>
      <c r="X253" s="6">
        <f>'Réf cellules RB'!A215</f>
        <v>214</v>
      </c>
      <c r="Y253" s="6">
        <f>_xlfn.XLOOKUP(Tableau17[[#This Row],[Isin]],Tableau1[Isin],Tableau1[Sum intérêt])</f>
        <v>99</v>
      </c>
      <c r="Z253" s="6">
        <f>_xlfn.XLOOKUP(Tableau17[[#This Row],[Isin]],Tableau1[Isin],Tableau1[Liste des sociétés])</f>
        <v>0</v>
      </c>
    </row>
    <row r="254" spans="1:26" ht="17">
      <c r="B254" s="39"/>
      <c r="E254" s="150"/>
      <c r="F254" s="33"/>
      <c r="G254" s="33"/>
      <c r="H254" s="31"/>
      <c r="I254" s="31" t="str">
        <f>IF(2023-Tableau17[[#This Row],[Entrée dans la société]]&gt;100,"",2023-Tableau17[[#This Row],[Entrée dans la société]])</f>
        <v/>
      </c>
      <c r="J254" s="83" t="str">
        <f>IF(2023-Tableau17[[#This Row],[Début de mandat]]&gt;100,"",2024-Tableau17[[#This Row],[Début de mandat]])</f>
        <v/>
      </c>
      <c r="K254" s="83"/>
      <c r="L254" s="39"/>
      <c r="M254" s="31"/>
      <c r="N254" s="19"/>
      <c r="O254" s="6"/>
      <c r="P254" s="90"/>
      <c r="Q254" s="90"/>
      <c r="R254" s="90"/>
      <c r="S254" s="90"/>
      <c r="T254" s="90"/>
      <c r="U254" s="27"/>
      <c r="V254" s="15"/>
      <c r="X254" s="6">
        <f>'Réf cellules RB'!A268</f>
        <v>267</v>
      </c>
      <c r="Y254" s="6">
        <f>_xlfn.XLOOKUP(Tableau17[[#This Row],[Isin]],Tableau1[Isin],Tableau1[Sum intérêt])</f>
        <v>99</v>
      </c>
      <c r="Z254" s="6">
        <f>_xlfn.XLOOKUP(Tableau17[[#This Row],[Isin]],Tableau1[Isin],Tableau1[Liste des sociétés])</f>
        <v>0</v>
      </c>
    </row>
    <row r="255" spans="1:26" ht="17">
      <c r="B255" s="39"/>
      <c r="E255" s="150"/>
      <c r="F255" s="33"/>
      <c r="G255" s="33"/>
      <c r="H255" s="31"/>
      <c r="I255" s="31" t="str">
        <f>IF(2023-Tableau17[[#This Row],[Entrée dans la société]]&gt;100,"",2023-Tableau17[[#This Row],[Entrée dans la société]])</f>
        <v/>
      </c>
      <c r="J255" s="83" t="str">
        <f>IF(2023-Tableau17[[#This Row],[Début de mandat]]&gt;100,"",2024-Tableau17[[#This Row],[Début de mandat]])</f>
        <v/>
      </c>
      <c r="K255" s="83"/>
      <c r="L255" s="39"/>
      <c r="M255" s="31"/>
      <c r="N255" s="19"/>
      <c r="O255" s="6"/>
      <c r="P255" s="90"/>
      <c r="Q255" s="90"/>
      <c r="R255" s="90"/>
      <c r="S255" s="90"/>
      <c r="T255" s="90"/>
      <c r="U255" s="27"/>
      <c r="V255" s="15"/>
      <c r="X255" s="6">
        <f>'Réf cellules RB'!A264</f>
        <v>263</v>
      </c>
      <c r="Y255" s="6">
        <f>_xlfn.XLOOKUP(Tableau17[[#This Row],[Isin]],Tableau1[Isin],Tableau1[Sum intérêt])</f>
        <v>99</v>
      </c>
      <c r="Z255" s="6">
        <f>_xlfn.XLOOKUP(Tableau17[[#This Row],[Isin]],Tableau1[Isin],Tableau1[Liste des sociétés])</f>
        <v>0</v>
      </c>
    </row>
    <row r="256" spans="1:26" ht="17">
      <c r="B256" s="39"/>
      <c r="E256" s="150"/>
      <c r="F256" s="33"/>
      <c r="G256" s="33"/>
      <c r="H256" s="31"/>
      <c r="I256" s="31" t="str">
        <f>IF(2023-Tableau17[[#This Row],[Entrée dans la société]]&gt;100,"",2023-Tableau17[[#This Row],[Entrée dans la société]])</f>
        <v/>
      </c>
      <c r="J256" s="83" t="str">
        <f>IF(2023-Tableau17[[#This Row],[Début de mandat]]&gt;100,"",2024-Tableau17[[#This Row],[Début de mandat]])</f>
        <v/>
      </c>
      <c r="K256" s="83"/>
      <c r="L256" s="39"/>
      <c r="M256" s="31"/>
      <c r="N256" s="19"/>
      <c r="O256" s="6"/>
      <c r="P256" s="90"/>
      <c r="Q256" s="90"/>
      <c r="R256" s="90"/>
      <c r="S256" s="90"/>
      <c r="T256" s="90"/>
      <c r="U256" s="27"/>
      <c r="V256" s="15"/>
      <c r="X256" s="6">
        <f>'Réf cellules RB'!A267</f>
        <v>266</v>
      </c>
      <c r="Y256" s="6">
        <f>_xlfn.XLOOKUP(Tableau17[[#This Row],[Isin]],Tableau1[Isin],Tableau1[Sum intérêt])</f>
        <v>99</v>
      </c>
      <c r="Z256" s="6">
        <f>_xlfn.XLOOKUP(Tableau17[[#This Row],[Isin]],Tableau1[Isin],Tableau1[Liste des sociétés])</f>
        <v>0</v>
      </c>
    </row>
    <row r="257" spans="1:26" ht="17">
      <c r="B257" s="39"/>
      <c r="E257" s="150"/>
      <c r="F257" s="33"/>
      <c r="G257" s="33"/>
      <c r="H257" s="31"/>
      <c r="I257" s="31" t="str">
        <f>IF(2023-Tableau17[[#This Row],[Entrée dans la société]]&gt;100,"",2023-Tableau17[[#This Row],[Entrée dans la société]])</f>
        <v/>
      </c>
      <c r="J257" s="83" t="str">
        <f>IF(2023-Tableau17[[#This Row],[Début de mandat]]&gt;100,"",2024-Tableau17[[#This Row],[Début de mandat]])</f>
        <v/>
      </c>
      <c r="K257" s="83"/>
      <c r="L257" s="39"/>
      <c r="M257" s="31"/>
      <c r="N257" s="19"/>
      <c r="O257" s="6"/>
      <c r="P257" s="90"/>
      <c r="Q257" s="90"/>
      <c r="R257" s="90"/>
      <c r="S257" s="90"/>
      <c r="T257" s="90"/>
      <c r="U257" s="27"/>
      <c r="V257" s="15"/>
      <c r="X257" s="6">
        <f>'Réf cellules RB'!A268</f>
        <v>267</v>
      </c>
      <c r="Y257" s="6">
        <f>_xlfn.XLOOKUP(Tableau17[[#This Row],[Isin]],Tableau1[Isin],Tableau1[Sum intérêt])</f>
        <v>99</v>
      </c>
      <c r="Z257" s="6">
        <f>_xlfn.XLOOKUP(Tableau17[[#This Row],[Isin]],Tableau1[Isin],Tableau1[Liste des sociétés])</f>
        <v>0</v>
      </c>
    </row>
    <row r="258" spans="1:26" ht="17">
      <c r="B258" s="39"/>
      <c r="E258" s="150"/>
      <c r="F258" s="33"/>
      <c r="G258" s="33"/>
      <c r="H258" s="31"/>
      <c r="I258" s="31" t="str">
        <f>IF(2023-Tableau17[[#This Row],[Entrée dans la société]]&gt;100,"",2023-Tableau17[[#This Row],[Entrée dans la société]])</f>
        <v/>
      </c>
      <c r="J258" s="83" t="str">
        <f>IF(2023-Tableau17[[#This Row],[Début de mandat]]&gt;100,"",2024-Tableau17[[#This Row],[Début de mandat]])</f>
        <v/>
      </c>
      <c r="K258" s="83"/>
      <c r="L258" s="39"/>
      <c r="M258" s="31"/>
      <c r="N258" s="19"/>
      <c r="O258" s="6"/>
      <c r="P258" s="90"/>
      <c r="Q258" s="90"/>
      <c r="R258" s="90"/>
      <c r="S258" s="90"/>
      <c r="T258" s="90"/>
      <c r="U258" s="27"/>
      <c r="V258" s="15"/>
      <c r="X258" s="6">
        <f>'Réf cellules RB'!A258</f>
        <v>257</v>
      </c>
      <c r="Y258" s="6">
        <f>_xlfn.XLOOKUP(Tableau17[[#This Row],[Isin]],Tableau1[Isin],Tableau1[Sum intérêt])</f>
        <v>99</v>
      </c>
      <c r="Z258" s="6">
        <f>_xlfn.XLOOKUP(Tableau17[[#This Row],[Isin]],Tableau1[Isin],Tableau1[Liste des sociétés])</f>
        <v>0</v>
      </c>
    </row>
    <row r="259" spans="1:26" ht="17">
      <c r="B259" s="39"/>
      <c r="E259" s="150"/>
      <c r="F259" s="33"/>
      <c r="G259" s="33"/>
      <c r="H259" s="31"/>
      <c r="I259" s="31" t="str">
        <f>IF(2023-Tableau17[[#This Row],[Entrée dans la société]]&gt;100,"",2023-Tableau17[[#This Row],[Entrée dans la société]])</f>
        <v/>
      </c>
      <c r="J259" s="83" t="str">
        <f>IF(2023-Tableau17[[#This Row],[Début de mandat]]&gt;100,"",2024-Tableau17[[#This Row],[Début de mandat]])</f>
        <v/>
      </c>
      <c r="K259" s="83"/>
      <c r="L259" s="39"/>
      <c r="M259" s="31"/>
      <c r="N259" s="19"/>
      <c r="O259" s="6"/>
      <c r="P259" s="90"/>
      <c r="Q259" s="90"/>
      <c r="R259" s="90"/>
      <c r="S259" s="90"/>
      <c r="T259" s="90"/>
      <c r="U259" s="27"/>
      <c r="V259" s="15"/>
      <c r="X259" s="6">
        <f>'Réf cellules RB'!A259</f>
        <v>258</v>
      </c>
      <c r="Y259" s="6">
        <f>_xlfn.XLOOKUP(Tableau17[[#This Row],[Isin]],Tableau1[Isin],Tableau1[Sum intérêt])</f>
        <v>99</v>
      </c>
      <c r="Z259" s="6">
        <f>_xlfn.XLOOKUP(Tableau17[[#This Row],[Isin]],Tableau1[Isin],Tableau1[Liste des sociétés])</f>
        <v>0</v>
      </c>
    </row>
    <row r="260" spans="1:26" ht="17">
      <c r="B260" s="39"/>
      <c r="E260" s="150"/>
      <c r="F260" s="33"/>
      <c r="G260" s="33"/>
      <c r="H260" s="31"/>
      <c r="I260" s="31" t="str">
        <f>IF(2023-Tableau17[[#This Row],[Entrée dans la société]]&gt;100,"",2023-Tableau17[[#This Row],[Entrée dans la société]])</f>
        <v/>
      </c>
      <c r="J260" s="83" t="str">
        <f>IF(2023-Tableau17[[#This Row],[Début de mandat]]&gt;100,"",2024-Tableau17[[#This Row],[Début de mandat]])</f>
        <v/>
      </c>
      <c r="K260" s="83"/>
      <c r="L260" s="39"/>
      <c r="M260" s="31"/>
      <c r="N260" s="19"/>
      <c r="O260" s="6"/>
      <c r="P260" s="90"/>
      <c r="Q260" s="90"/>
      <c r="R260" s="90"/>
      <c r="S260" s="90"/>
      <c r="T260" s="90"/>
      <c r="U260" s="27"/>
      <c r="V260" s="15"/>
      <c r="X260" s="6">
        <f>'Réf cellules RB'!A258</f>
        <v>257</v>
      </c>
      <c r="Y260" s="6">
        <f>_xlfn.XLOOKUP(Tableau17[[#This Row],[Isin]],Tableau1[Isin],Tableau1[Sum intérêt])</f>
        <v>99</v>
      </c>
      <c r="Z260" s="6">
        <f>_xlfn.XLOOKUP(Tableau17[[#This Row],[Isin]],Tableau1[Isin],Tableau1[Liste des sociétés])</f>
        <v>0</v>
      </c>
    </row>
    <row r="261" spans="1:26" ht="17">
      <c r="B261" s="39"/>
      <c r="E261" s="150"/>
      <c r="F261" s="33"/>
      <c r="G261" s="33"/>
      <c r="H261" s="31"/>
      <c r="I261" s="31" t="str">
        <f>IF(2023-Tableau17[[#This Row],[Entrée dans la société]]&gt;100,"",2023-Tableau17[[#This Row],[Entrée dans la société]])</f>
        <v/>
      </c>
      <c r="J261" s="83" t="str">
        <f>IF(2023-Tableau17[[#This Row],[Début de mandat]]&gt;100,"",2024-Tableau17[[#This Row],[Début de mandat]])</f>
        <v/>
      </c>
      <c r="K261" s="83"/>
      <c r="L261" s="39"/>
      <c r="M261" s="31"/>
      <c r="N261" s="19"/>
      <c r="O261" s="6"/>
      <c r="P261" s="90"/>
      <c r="Q261" s="90"/>
      <c r="R261" s="90"/>
      <c r="S261" s="90"/>
      <c r="T261" s="90"/>
      <c r="U261" s="27"/>
      <c r="V261" s="15"/>
      <c r="X261" s="6">
        <f>'Réf cellules RB'!A256</f>
        <v>255</v>
      </c>
      <c r="Y261" s="6">
        <f>_xlfn.XLOOKUP(Tableau17[[#This Row],[Isin]],Tableau1[Isin],Tableau1[Sum intérêt])</f>
        <v>99</v>
      </c>
      <c r="Z261" s="6">
        <f>_xlfn.XLOOKUP(Tableau17[[#This Row],[Isin]],Tableau1[Isin],Tableau1[Liste des sociétés])</f>
        <v>0</v>
      </c>
    </row>
    <row r="262" spans="1:26" ht="22">
      <c r="A262" s="143" t="s">
        <v>3413</v>
      </c>
      <c r="B262" s="154"/>
      <c r="C262" s="147"/>
      <c r="D262" s="147"/>
      <c r="E262" s="149"/>
      <c r="F262" s="73"/>
      <c r="G262" s="73"/>
      <c r="H262" s="72"/>
      <c r="I262" s="72" t="str">
        <f>IF(2023-Tableau17[[#This Row],[Entrée dans la société]]&gt;100,"",2023-Tableau17[[#This Row],[Entrée dans la société]])</f>
        <v/>
      </c>
      <c r="J262" s="147" t="str">
        <f>IF(2023-Tableau17[[#This Row],[Début de mandat]]&gt;100,"",2024-Tableau17[[#This Row],[Début de mandat]])</f>
        <v/>
      </c>
      <c r="K262" s="147"/>
      <c r="L262" s="144"/>
      <c r="M262" s="72"/>
      <c r="N262" s="99"/>
      <c r="O262" s="89"/>
      <c r="P262" s="87"/>
      <c r="Q262" s="87"/>
      <c r="R262" s="87"/>
      <c r="S262" s="87"/>
      <c r="T262" s="87"/>
      <c r="U262" s="100"/>
      <c r="V262" s="101">
        <f>U262*N262</f>
        <v>0</v>
      </c>
      <c r="W262" s="89"/>
      <c r="X262" s="89">
        <f>'Réf cellules RB'!A245</f>
        <v>244</v>
      </c>
      <c r="Y262" s="89" t="e">
        <f>_xlfn.XLOOKUP(Tableau17[[#This Row],[Isin]],Tableau1[Isin],Tableau1[Sum intérêt])</f>
        <v>#N/A</v>
      </c>
      <c r="Z262" s="89" t="e">
        <f>_xlfn.XLOOKUP(Tableau17[[#This Row],[Isin]],Tableau1[Isin],Tableau1[Liste des sociétés])</f>
        <v>#N/A</v>
      </c>
    </row>
    <row r="263" spans="1:26" ht="20">
      <c r="A263" s="118"/>
      <c r="B263" s="148" t="s">
        <v>3151</v>
      </c>
      <c r="C263" s="160"/>
      <c r="D263" s="148"/>
      <c r="E263" s="148"/>
      <c r="F263" s="118"/>
      <c r="G263" s="118"/>
      <c r="H263" s="118"/>
      <c r="I263" s="118"/>
      <c r="J263" s="160"/>
      <c r="K263" s="160"/>
      <c r="L263" s="148"/>
      <c r="M263" s="118"/>
      <c r="N263" s="119"/>
      <c r="O263" s="119"/>
      <c r="P263" s="118"/>
      <c r="Q263" s="118"/>
      <c r="R263" s="118"/>
      <c r="S263" s="118"/>
      <c r="T263" s="118"/>
      <c r="U263" s="118"/>
      <c r="V263" s="118"/>
      <c r="W263" s="118"/>
      <c r="X263" s="118">
        <f>SUBTOTAL(109,Tableau17[Index])</f>
        <v>44621</v>
      </c>
      <c r="Y263" s="118"/>
      <c r="Z263" s="118"/>
    </row>
    <row r="264" spans="1:26">
      <c r="S264" s="31"/>
      <c r="T264" s="109"/>
      <c r="U264" s="15">
        <f>T264*N264</f>
        <v>0</v>
      </c>
    </row>
    <row r="265" spans="1:26">
      <c r="T265" s="109"/>
    </row>
    <row r="266" spans="1:26">
      <c r="T266" s="109"/>
    </row>
    <row r="267" spans="1:26">
      <c r="T267" s="109"/>
    </row>
    <row r="268" spans="1:26">
      <c r="T268" s="109"/>
    </row>
    <row r="269" spans="1:26">
      <c r="T269" s="109"/>
    </row>
    <row r="270" spans="1:26">
      <c r="T270" s="109"/>
    </row>
    <row r="271" spans="1:26">
      <c r="T271" s="109"/>
    </row>
    <row r="272" spans="1:26">
      <c r="T272" s="109"/>
    </row>
    <row r="273" spans="20:20">
      <c r="T273" s="109"/>
    </row>
    <row r="274" spans="20:20">
      <c r="T274" s="109"/>
    </row>
    <row r="275" spans="20:20">
      <c r="T275" s="109"/>
    </row>
    <row r="276" spans="20:20">
      <c r="T276" s="109"/>
    </row>
    <row r="277" spans="20:20">
      <c r="T277" s="109"/>
    </row>
    <row r="278" spans="20:20">
      <c r="T278" s="109"/>
    </row>
    <row r="279" spans="20:20">
      <c r="T279" s="109"/>
    </row>
    <row r="280" spans="20:20">
      <c r="T280" s="109"/>
    </row>
    <row r="281" spans="20:20">
      <c r="T281" s="109"/>
    </row>
    <row r="282" spans="20:20">
      <c r="T282" s="109"/>
    </row>
    <row r="283" spans="20:20">
      <c r="T283" s="109"/>
    </row>
    <row r="284" spans="20:20">
      <c r="T284" s="109"/>
    </row>
    <row r="285" spans="20:20">
      <c r="T285" s="109"/>
    </row>
    <row r="286" spans="20:20">
      <c r="T286" s="109"/>
    </row>
    <row r="287" spans="20:20">
      <c r="T287" s="109"/>
    </row>
    <row r="288" spans="20:20">
      <c r="T288" s="109"/>
    </row>
    <row r="289" spans="20:20">
      <c r="T289" s="109"/>
    </row>
    <row r="290" spans="20:20">
      <c r="T290" s="109"/>
    </row>
    <row r="291" spans="20:20">
      <c r="T291" s="109"/>
    </row>
    <row r="292" spans="20:20">
      <c r="T292" s="109"/>
    </row>
    <row r="293" spans="20:20">
      <c r="T293" s="109"/>
    </row>
    <row r="294" spans="20:20">
      <c r="T294" s="109"/>
    </row>
    <row r="295" spans="20:20">
      <c r="T295" s="109"/>
    </row>
    <row r="296" spans="20:20">
      <c r="T296" s="109"/>
    </row>
    <row r="297" spans="20:20">
      <c r="T297" s="109"/>
    </row>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8" ht="16" customHeight="1"/>
    <row r="369" ht="16" customHeight="1"/>
  </sheetData>
  <protectedRanges>
    <protectedRange sqref="A252:B253" name="Plage1_1"/>
  </protectedRanges>
  <mergeCells count="1">
    <mergeCell ref="P1:R1"/>
  </mergeCells>
  <phoneticPr fontId="8" type="noConversion"/>
  <conditionalFormatting sqref="A242">
    <cfRule type="duplicateValues" dxfId="171" priority="1"/>
    <cfRule type="duplicateValues" dxfId="170" priority="2"/>
    <cfRule type="duplicateValues" dxfId="169" priority="3"/>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4C73E-C95A-E442-9A61-3D06A64D2571}">
  <sheetPr codeName="Feuil8"/>
  <dimension ref="B1:P1476"/>
  <sheetViews>
    <sheetView showGridLines="0" zoomScale="120" zoomScaleNormal="120" workbookViewId="0">
      <pane xSplit="5" ySplit="2" topLeftCell="F69" activePane="bottomRight" state="frozen"/>
      <selection activeCell="AC966" sqref="AC966"/>
      <selection pane="topRight" activeCell="AC966" sqref="AC966"/>
      <selection pane="bottomLeft" activeCell="AC966" sqref="AC966"/>
      <selection pane="bottomRight" activeCell="N97" sqref="N97"/>
    </sheetView>
  </sheetViews>
  <sheetFormatPr baseColWidth="10" defaultColWidth="11" defaultRowHeight="16"/>
  <cols>
    <col min="1" max="1" width="1" style="32" customWidth="1"/>
    <col min="2" max="2" width="7" style="32" hidden="1" customWidth="1"/>
    <col min="3" max="3" width="6" style="32" hidden="1" customWidth="1"/>
    <col min="4" max="4" width="28" style="32" bestFit="1" customWidth="1"/>
    <col min="5" max="5" width="25.83203125" style="26" customWidth="1"/>
    <col min="6" max="11" width="10" style="31" customWidth="1"/>
    <col min="12" max="12" width="10" style="32" customWidth="1"/>
    <col min="13" max="16384" width="11" style="32"/>
  </cols>
  <sheetData>
    <row r="1" spans="2:15" ht="19">
      <c r="F1" s="299" t="s">
        <v>3414</v>
      </c>
      <c r="G1" s="300"/>
      <c r="H1" s="300"/>
      <c r="I1" s="300"/>
      <c r="J1" s="300"/>
      <c r="K1" s="300"/>
      <c r="L1" s="300"/>
    </row>
    <row r="2" spans="2:15" s="31" customFormat="1" ht="34">
      <c r="B2" s="83" t="s">
        <v>3179</v>
      </c>
      <c r="C2" s="83" t="s">
        <v>3180</v>
      </c>
      <c r="D2" s="39" t="s">
        <v>43</v>
      </c>
      <c r="E2" s="39" t="s">
        <v>3160</v>
      </c>
      <c r="F2" s="84" t="s">
        <v>2210</v>
      </c>
      <c r="G2" s="85" t="s">
        <v>3415</v>
      </c>
      <c r="H2" s="85" t="s">
        <v>3416</v>
      </c>
      <c r="I2" s="85" t="s">
        <v>2770</v>
      </c>
      <c r="J2" s="85" t="s">
        <v>3417</v>
      </c>
      <c r="K2" s="85" t="s">
        <v>3418</v>
      </c>
      <c r="L2" s="86" t="s">
        <v>3151</v>
      </c>
    </row>
    <row r="3" spans="2:15">
      <c r="B3" s="32">
        <f>'Réf cellules RB'!A4</f>
        <v>3</v>
      </c>
      <c r="C3" s="32">
        <f>IFERROR(IF(_xlfn.XLOOKUP(Tableau4[[#This Row],[Isin]],Tableau1[Isin],Tableau1[Sum intérêt])=0,"",_xlfn.XLOOKUP(Tableau4[[#This Row],[Isin]],Tableau1[Isin],Tableau1[Sum intérêt])),"")</f>
        <v>2</v>
      </c>
      <c r="D3" s="75" t="s">
        <v>3181</v>
      </c>
      <c r="E3" s="66"/>
      <c r="F3" s="172"/>
      <c r="G3" s="91"/>
      <c r="H3" s="91"/>
      <c r="I3" s="91"/>
      <c r="J3" s="91"/>
      <c r="K3" s="91"/>
      <c r="L3" s="128" t="str">
        <f>IF(SUM(Tableau4[[#This Row],[Europe]:[Reste du Monde]])=0,"",SUM(Tableau4[[#This Row],[Europe]:[Reste du Monde]]))</f>
        <v/>
      </c>
      <c r="M3" s="31"/>
      <c r="N3" s="31"/>
      <c r="O3" s="31"/>
    </row>
    <row r="4" spans="2:15" ht="18.75" customHeight="1">
      <c r="B4" s="32">
        <f>'Réf cellules RB'!A38</f>
        <v>37</v>
      </c>
      <c r="C4" s="32">
        <f>IFERROR(IF(_xlfn.XLOOKUP(Tableau4[[#This Row],[Isin]],Tableau1[Isin],Tableau1[Sum intérêt])=0,"",_xlfn.XLOOKUP(Tableau4[[#This Row],[Isin]],Tableau1[Isin],Tableau1[Sum intérêt])),"")</f>
        <v>3</v>
      </c>
      <c r="D4" s="31" t="s">
        <v>2869</v>
      </c>
      <c r="E4" s="74" t="s">
        <v>2867</v>
      </c>
      <c r="F4" s="169">
        <v>0.74</v>
      </c>
      <c r="G4" s="91">
        <v>7.2999999999999995E-2</v>
      </c>
      <c r="H4" s="91">
        <v>0.19</v>
      </c>
      <c r="I4" s="91"/>
      <c r="J4" s="91"/>
      <c r="K4" s="91"/>
      <c r="L4" s="128">
        <f>IF(SUM(Tableau4[[#This Row],[Europe]:[Reste du Monde]])=0,"",SUM(Tableau4[[#This Row],[Europe]:[Reste du Monde]]))</f>
        <v>1.0029999999999999</v>
      </c>
      <c r="M4" s="31"/>
      <c r="N4" s="31"/>
      <c r="O4" s="31"/>
    </row>
    <row r="5" spans="2:15" ht="18.75" customHeight="1">
      <c r="B5" s="32">
        <f>'Réf cellules RB'!A6</f>
        <v>5</v>
      </c>
      <c r="C5" s="32">
        <f>IFERROR(IF(_xlfn.XLOOKUP(Tableau4[[#This Row],[Isin]],Tableau1[Isin],Tableau1[Sum intérêt])=0,"",_xlfn.XLOOKUP(Tableau4[[#This Row],[Isin]],Tableau1[Isin],Tableau1[Sum intérêt])),"")</f>
        <v>3</v>
      </c>
      <c r="D5" s="31" t="s">
        <v>768</v>
      </c>
      <c r="E5" s="74" t="s">
        <v>763</v>
      </c>
      <c r="F5" s="169">
        <v>0.375</v>
      </c>
      <c r="G5" s="92">
        <v>0.25</v>
      </c>
      <c r="H5" s="92">
        <v>0.21</v>
      </c>
      <c r="I5" s="91"/>
      <c r="J5" s="91">
        <v>5.2999999999999999E-2</v>
      </c>
      <c r="K5" s="91">
        <v>0.115</v>
      </c>
      <c r="L5" s="128">
        <f>IF(SUM(Tableau4[[#This Row],[Europe]:[Reste du Monde]])=0,"",SUM(Tableau4[[#This Row],[Europe]:[Reste du Monde]]))</f>
        <v>1.0030000000000001</v>
      </c>
      <c r="M5" s="31"/>
      <c r="N5" s="31"/>
      <c r="O5" s="31"/>
    </row>
    <row r="6" spans="2:15" ht="18.75" customHeight="1">
      <c r="B6" s="32">
        <f>'Réf cellules RB'!A69</f>
        <v>68</v>
      </c>
      <c r="C6" s="32">
        <f>IFERROR(IF(_xlfn.XLOOKUP(Tableau4[[#This Row],[Isin]],Tableau1[Isin],Tableau1[Sum intérêt])=0,"",_xlfn.XLOOKUP(Tableau4[[#This Row],[Isin]],Tableau1[Isin],Tableau1[Sum intérêt])),"")</f>
        <v>3</v>
      </c>
      <c r="D6" s="31" t="s">
        <v>2957</v>
      </c>
      <c r="E6" s="74" t="s">
        <v>3187</v>
      </c>
      <c r="F6" s="123">
        <v>0.34</v>
      </c>
      <c r="G6" s="91">
        <v>0.49</v>
      </c>
      <c r="H6" s="91">
        <v>0.17</v>
      </c>
      <c r="I6" s="91"/>
      <c r="J6" s="91"/>
      <c r="K6" s="91"/>
      <c r="L6" s="128">
        <f>IF(SUM(Tableau4[[#This Row],[Europe]:[Reste du Monde]])=0,"",SUM(Tableau4[[#This Row],[Europe]:[Reste du Monde]]))</f>
        <v>1</v>
      </c>
      <c r="M6" s="31"/>
      <c r="N6" s="31"/>
      <c r="O6" s="31"/>
    </row>
    <row r="7" spans="2:15" ht="18.75" customHeight="1">
      <c r="B7" s="32">
        <f>'Réf cellules RB'!A49</f>
        <v>48</v>
      </c>
      <c r="C7" s="32">
        <f>IFERROR(IF(_xlfn.XLOOKUP(Tableau4[[#This Row],[Isin]],Tableau1[Isin],Tableau1[Sum intérêt])=0,"",_xlfn.XLOOKUP(Tableau4[[#This Row],[Isin]],Tableau1[Isin],Tableau1[Sum intérêt])),"")</f>
        <v>3</v>
      </c>
      <c r="D7" s="31" t="s">
        <v>725</v>
      </c>
      <c r="E7" s="74" t="s">
        <v>722</v>
      </c>
      <c r="F7" s="169">
        <v>0.39</v>
      </c>
      <c r="G7" s="91">
        <v>0.4</v>
      </c>
      <c r="H7" s="91">
        <v>0.21</v>
      </c>
      <c r="I7" s="91"/>
      <c r="J7" s="91"/>
      <c r="K7" s="91"/>
      <c r="L7" s="128">
        <f>IF(SUM(Tableau4[[#This Row],[Europe]:[Reste du Monde]])=0,"",SUM(Tableau4[[#This Row],[Europe]:[Reste du Monde]]))</f>
        <v>1</v>
      </c>
      <c r="M7" s="31"/>
      <c r="N7" s="31"/>
      <c r="O7" s="31"/>
    </row>
    <row r="8" spans="2:15" ht="18.75" customHeight="1">
      <c r="B8" s="32">
        <f>'Réf cellules RB'!A60</f>
        <v>59</v>
      </c>
      <c r="C8" s="32">
        <f>IFERROR(IF(_xlfn.XLOOKUP(Tableau4[[#This Row],[Isin]],Tableau1[Isin],Tableau1[Sum intérêt])=0,"",_xlfn.XLOOKUP(Tableau4[[#This Row],[Isin]],Tableau1[Isin],Tableau1[Sum intérêt])),"")</f>
        <v>3</v>
      </c>
      <c r="D8" s="31" t="s">
        <v>52</v>
      </c>
      <c r="E8" s="74" t="s">
        <v>45</v>
      </c>
      <c r="F8" s="169">
        <v>1</v>
      </c>
      <c r="G8" s="91"/>
      <c r="H8" s="91"/>
      <c r="I8" s="91"/>
      <c r="J8" s="91"/>
      <c r="K8" s="91"/>
      <c r="L8" s="128">
        <f>IF(SUM(Tableau4[[#This Row],[Europe]:[Reste du Monde]])=0,"",SUM(Tableau4[[#This Row],[Europe]:[Reste du Monde]]))</f>
        <v>1</v>
      </c>
    </row>
    <row r="9" spans="2:15" ht="18.75" customHeight="1">
      <c r="B9" s="32">
        <f>'Réf cellules RB'!A11</f>
        <v>10</v>
      </c>
      <c r="C9" s="32">
        <f>IFERROR(IF(_xlfn.XLOOKUP(Tableau4[[#This Row],[Isin]],Tableau1[Isin],Tableau1[Sum intérêt])=0,"",_xlfn.XLOOKUP(Tableau4[[#This Row],[Isin]],Tableau1[Isin],Tableau1[Sum intérêt])),"")</f>
        <v>3</v>
      </c>
      <c r="D9" s="31" t="s">
        <v>1000</v>
      </c>
      <c r="E9" s="74" t="s">
        <v>997</v>
      </c>
      <c r="F9" s="169">
        <v>1</v>
      </c>
      <c r="G9" s="91"/>
      <c r="H9" s="91"/>
      <c r="I9" s="91"/>
      <c r="J9" s="91"/>
      <c r="K9" s="91"/>
      <c r="L9" s="128">
        <f>IF(SUM(Tableau4[[#This Row],[Europe]:[Reste du Monde]])=0,"",SUM(Tableau4[[#This Row],[Europe]:[Reste du Monde]]))</f>
        <v>1</v>
      </c>
    </row>
    <row r="10" spans="2:15" ht="18.75" customHeight="1">
      <c r="B10" s="32">
        <f>'Réf cellules RB'!A14</f>
        <v>13</v>
      </c>
      <c r="C10" s="32">
        <f>IFERROR(IF(_xlfn.XLOOKUP(Tableau4[[#This Row],[Isin]],Tableau1[Isin],Tableau1[Sum intérêt])=0,"",_xlfn.XLOOKUP(Tableau4[[#This Row],[Isin]],Tableau1[Isin],Tableau1[Sum intérêt])),"")</f>
        <v>3</v>
      </c>
      <c r="D10" s="31" t="s">
        <v>1462</v>
      </c>
      <c r="E10" s="93" t="s">
        <v>1459</v>
      </c>
      <c r="F10" s="169">
        <v>0.4</v>
      </c>
      <c r="G10" s="91">
        <v>0.26</v>
      </c>
      <c r="H10" s="91">
        <v>0.28999999999999998</v>
      </c>
      <c r="I10" s="91"/>
      <c r="J10" s="91"/>
      <c r="K10" s="91">
        <v>0.05</v>
      </c>
      <c r="L10" s="128">
        <f>IF(SUM(Tableau4[[#This Row],[Europe]:[Reste du Monde]])=0,"",SUM(Tableau4[[#This Row],[Europe]:[Reste du Monde]]))</f>
        <v>1</v>
      </c>
    </row>
    <row r="11" spans="2:15" ht="18.75" customHeight="1">
      <c r="B11" s="32">
        <f>'Réf cellules RB'!A15</f>
        <v>14</v>
      </c>
      <c r="C11" s="32">
        <f>IFERROR(IF(_xlfn.XLOOKUP(Tableau4[[#This Row],[Isin]],Tableau1[Isin],Tableau1[Sum intérêt])=0,"",_xlfn.XLOOKUP(Tableau4[[#This Row],[Isin]],Tableau1[Isin],Tableau1[Sum intérêt])),"")</f>
        <v>3</v>
      </c>
      <c r="D11" s="31" t="s">
        <v>2039</v>
      </c>
      <c r="E11" s="93" t="s">
        <v>2035</v>
      </c>
      <c r="F11" s="169">
        <v>0.48</v>
      </c>
      <c r="G11" s="91">
        <v>0.28000000000000003</v>
      </c>
      <c r="H11" s="91">
        <v>0.24</v>
      </c>
      <c r="I11" s="91"/>
      <c r="J11" s="91"/>
      <c r="K11" s="91"/>
      <c r="L11" s="128">
        <f>IF(SUM(Tableau4[[#This Row],[Europe]:[Reste du Monde]])=0,"",SUM(Tableau4[[#This Row],[Europe]:[Reste du Monde]]))</f>
        <v>1</v>
      </c>
    </row>
    <row r="12" spans="2:15" ht="18.75" customHeight="1">
      <c r="B12" s="32">
        <f>'Réf cellules RB'!A88</f>
        <v>87</v>
      </c>
      <c r="C12" s="32">
        <f>IFERROR(IF(_xlfn.XLOOKUP(Tableau4[[#This Row],[Isin]],Tableau1[Isin],Tableau1[Sum intérêt])=0,"",_xlfn.XLOOKUP(Tableau4[[#This Row],[Isin]],Tableau1[Isin],Tableau1[Sum intérêt])),"")</f>
        <v>3</v>
      </c>
      <c r="D12" s="31" t="s">
        <v>2995</v>
      </c>
      <c r="E12" s="74" t="s">
        <v>2992</v>
      </c>
      <c r="F12" s="123">
        <v>0.3</v>
      </c>
      <c r="G12" s="91">
        <v>0.4</v>
      </c>
      <c r="H12" s="91">
        <v>0.15</v>
      </c>
      <c r="I12" s="91"/>
      <c r="J12" s="91">
        <v>7.4999999999999997E-2</v>
      </c>
      <c r="K12" s="91">
        <v>7.0000000000000007E-2</v>
      </c>
      <c r="L12" s="128">
        <f>IF(SUM(Tableau4[[#This Row],[Europe]:[Reste du Monde]])=0,"",SUM(Tableau4[[#This Row],[Europe]:[Reste du Monde]]))</f>
        <v>0.99499999999999988</v>
      </c>
    </row>
    <row r="13" spans="2:15" ht="18.75" customHeight="1">
      <c r="B13" s="32">
        <f>'Réf cellules RB'!A29</f>
        <v>28</v>
      </c>
      <c r="C13" s="32">
        <f>IFERROR(IF(_xlfn.XLOOKUP(Tableau4[[#This Row],[Isin]],Tableau1[Isin],Tableau1[Sum intérêt])=0,"",_xlfn.XLOOKUP(Tableau4[[#This Row],[Isin]],Tableau1[Isin],Tableau1[Sum intérêt])),"")</f>
        <v>3</v>
      </c>
      <c r="D13" s="31" t="s">
        <v>490</v>
      </c>
      <c r="E13" s="74" t="s">
        <v>486</v>
      </c>
      <c r="F13" s="169">
        <v>0.32</v>
      </c>
      <c r="G13" s="91">
        <v>0.41</v>
      </c>
      <c r="H13" s="91">
        <v>0.24</v>
      </c>
      <c r="I13" s="91"/>
      <c r="J13" s="91">
        <v>0.03</v>
      </c>
      <c r="K13" s="91"/>
      <c r="L13" s="128">
        <f>IF(SUM(Tableau4[[#This Row],[Europe]:[Reste du Monde]])=0,"",SUM(Tableau4[[#This Row],[Europe]:[Reste du Monde]]))</f>
        <v>1</v>
      </c>
    </row>
    <row r="14" spans="2:15" ht="18.75" customHeight="1">
      <c r="B14" s="32">
        <f>'Réf cellules RB'!A16</f>
        <v>15</v>
      </c>
      <c r="C14" s="32">
        <f>IFERROR(IF(_xlfn.XLOOKUP(Tableau4[[#This Row],[Isin]],Tableau1[Isin],Tableau1[Sum intérêt])=0,"",_xlfn.XLOOKUP(Tableau4[[#This Row],[Isin]],Tableau1[Isin],Tableau1[Sum intérêt])),"")</f>
        <v>3</v>
      </c>
      <c r="D14" s="31" t="s">
        <v>1860</v>
      </c>
      <c r="E14" s="93" t="s">
        <v>1857</v>
      </c>
      <c r="F14" s="169">
        <v>0.6</v>
      </c>
      <c r="G14" s="91">
        <v>0.4</v>
      </c>
      <c r="H14" s="91"/>
      <c r="I14" s="91"/>
      <c r="J14" s="92"/>
      <c r="K14" s="91"/>
      <c r="L14" s="128">
        <f>IF(SUM(Tableau4[[#This Row],[Europe]:[Reste du Monde]])=0,"",SUM(Tableau4[[#This Row],[Europe]:[Reste du Monde]]))</f>
        <v>1</v>
      </c>
    </row>
    <row r="15" spans="2:15" ht="18.75" customHeight="1">
      <c r="B15" s="32">
        <f>'Réf cellules RB'!A17</f>
        <v>16</v>
      </c>
      <c r="C15" s="32">
        <f>IFERROR(IF(_xlfn.XLOOKUP(Tableau4[[#This Row],[Isin]],Tableau1[Isin],Tableau1[Sum intérêt])=0,"",_xlfn.XLOOKUP(Tableau4[[#This Row],[Isin]],Tableau1[Isin],Tableau1[Sum intérêt])),"")</f>
        <v>3</v>
      </c>
      <c r="D15" s="31" t="s">
        <v>2189</v>
      </c>
      <c r="E15" s="93" t="s">
        <v>2187</v>
      </c>
      <c r="F15" s="169"/>
      <c r="G15" s="91"/>
      <c r="H15" s="91"/>
      <c r="I15" s="91"/>
      <c r="J15" s="91"/>
      <c r="K15" s="91"/>
      <c r="L15" s="128"/>
    </row>
    <row r="16" spans="2:15" ht="18.75" customHeight="1">
      <c r="B16" s="32">
        <f>'Réf cellules RB'!A87</f>
        <v>86</v>
      </c>
      <c r="C16" s="32">
        <f>IFERROR(IF(_xlfn.XLOOKUP(Tableau4[[#This Row],[Isin]],Tableau1[Isin],Tableau1[Sum intérêt])=0,"",_xlfn.XLOOKUP(Tableau4[[#This Row],[Isin]],Tableau1[Isin],Tableau1[Sum intérêt])),"")</f>
        <v>3</v>
      </c>
      <c r="D16" s="4" t="s">
        <v>2377</v>
      </c>
      <c r="E16" s="74" t="s">
        <v>2373</v>
      </c>
      <c r="F16" s="123">
        <v>0.44</v>
      </c>
      <c r="J16" s="91">
        <v>0.39</v>
      </c>
      <c r="K16" s="91">
        <v>0.17</v>
      </c>
      <c r="L16" s="128">
        <f>IF(SUM(Tableau4[[#This Row],[Europe]:[Reste du Monde]])=0,"",SUM(Tableau4[[#This Row],[Europe]:[Reste du Monde]]))</f>
        <v>1</v>
      </c>
    </row>
    <row r="17" spans="2:12" ht="18.75" customHeight="1">
      <c r="B17" s="32">
        <f>'Réf cellules RB'!A19</f>
        <v>18</v>
      </c>
      <c r="C17" s="32">
        <f>IFERROR(IF(_xlfn.XLOOKUP(Tableau4[[#This Row],[Isin]],Tableau1[Isin],Tableau1[Sum intérêt])=0,"",_xlfn.XLOOKUP(Tableau4[[#This Row],[Isin]],Tableau1[Isin],Tableau1[Sum intérêt])),"")</f>
        <v>3</v>
      </c>
      <c r="D17" s="31" t="s">
        <v>167</v>
      </c>
      <c r="E17" s="74" t="s">
        <v>163</v>
      </c>
      <c r="F17" s="169">
        <v>0.65</v>
      </c>
      <c r="G17" s="91">
        <v>0.25</v>
      </c>
      <c r="H17" s="91">
        <v>0.1</v>
      </c>
      <c r="I17" s="91"/>
      <c r="J17" s="91"/>
      <c r="K17" s="91"/>
      <c r="L17" s="128">
        <f>IF(SUM(Tableau4[[#This Row],[Europe]:[Reste du Monde]])=0,"",SUM(Tableau4[[#This Row],[Europe]:[Reste du Monde]]))</f>
        <v>1</v>
      </c>
    </row>
    <row r="18" spans="2:12" ht="18.75" customHeight="1">
      <c r="B18" s="32">
        <f>'Réf cellules RB'!A21</f>
        <v>20</v>
      </c>
      <c r="C18" s="32">
        <f>IFERROR(IF(_xlfn.XLOOKUP(Tableau4[[#This Row],[Isin]],Tableau1[Isin],Tableau1[Sum intérêt])=0,"",_xlfn.XLOOKUP(Tableau4[[#This Row],[Isin]],Tableau1[Isin],Tableau1[Sum intérêt])),"")</f>
        <v>3</v>
      </c>
      <c r="D18" s="173" t="s">
        <v>103</v>
      </c>
      <c r="E18" s="93" t="s">
        <v>97</v>
      </c>
      <c r="F18" s="169">
        <v>0.27</v>
      </c>
      <c r="G18" s="91">
        <v>0.15</v>
      </c>
      <c r="H18" s="91">
        <v>0.22</v>
      </c>
      <c r="I18" s="91">
        <v>0.33</v>
      </c>
      <c r="J18" s="91"/>
      <c r="K18" s="91">
        <v>0.03</v>
      </c>
      <c r="L18" s="128">
        <f>IF(SUM(Tableau4[[#This Row],[Europe]:[Reste du Monde]])=0,"",SUM(Tableau4[[#This Row],[Europe]:[Reste du Monde]]))</f>
        <v>1</v>
      </c>
    </row>
    <row r="19" spans="2:12">
      <c r="B19" s="32">
        <f>'Réf cellules RB'!A22</f>
        <v>21</v>
      </c>
      <c r="C19" s="32">
        <f>IFERROR(IF(_xlfn.XLOOKUP(Tableau4[[#This Row],[Isin]],Tableau1[Isin],Tableau1[Sum intérêt])=0,"",_xlfn.XLOOKUP(Tableau4[[#This Row],[Isin]],Tableau1[Isin],Tableau1[Sum intérêt])),"")</f>
        <v>3</v>
      </c>
      <c r="D19" s="31" t="s">
        <v>2084</v>
      </c>
      <c r="E19" s="74" t="s">
        <v>2082</v>
      </c>
      <c r="F19" s="169">
        <v>0.71</v>
      </c>
      <c r="G19" s="92">
        <v>0.28999999999999998</v>
      </c>
      <c r="H19" s="91"/>
      <c r="I19" s="91"/>
      <c r="J19" s="91"/>
      <c r="K19" s="91"/>
      <c r="L19" s="128">
        <f>IF(SUM(Tableau4[[#This Row],[Europe]:[Reste du Monde]])=0,"",SUM(Tableau4[[#This Row],[Europe]:[Reste du Monde]]))</f>
        <v>1</v>
      </c>
    </row>
    <row r="20" spans="2:12" ht="18.75" customHeight="1">
      <c r="B20" s="32">
        <f>'Réf cellules RB'!A23</f>
        <v>22</v>
      </c>
      <c r="C20" s="32">
        <f>IFERROR(IF(_xlfn.XLOOKUP(Tableau4[[#This Row],[Isin]],Tableau1[Isin],Tableau1[Sum intérêt])=0,"",_xlfn.XLOOKUP(Tableau4[[#This Row],[Isin]],Tableau1[Isin],Tableau1[Sum intérêt])),"")</f>
        <v>3</v>
      </c>
      <c r="D20" s="31" t="s">
        <v>1225</v>
      </c>
      <c r="E20" s="93" t="s">
        <v>1223</v>
      </c>
      <c r="F20" s="169">
        <v>0.48</v>
      </c>
      <c r="G20" s="91">
        <v>0.2</v>
      </c>
      <c r="H20" s="91">
        <v>0.32</v>
      </c>
      <c r="I20" s="91"/>
      <c r="J20" s="91"/>
      <c r="K20" s="91"/>
      <c r="L20" s="128">
        <f>IF(SUM(Tableau4[[#This Row],[Europe]:[Reste du Monde]])=0,"",SUM(Tableau4[[#This Row],[Europe]:[Reste du Monde]]))</f>
        <v>1</v>
      </c>
    </row>
    <row r="21" spans="2:12" ht="18.75" customHeight="1">
      <c r="B21" s="32">
        <f>'Réf cellules RB'!A24</f>
        <v>23</v>
      </c>
      <c r="C21" s="32">
        <f>IFERROR(IF(_xlfn.XLOOKUP(Tableau4[[#This Row],[Isin]],Tableau1[Isin],Tableau1[Sum intérêt])=0,"",_xlfn.XLOOKUP(Tableau4[[#This Row],[Isin]],Tableau1[Isin],Tableau1[Sum intérêt])),"")</f>
        <v>3</v>
      </c>
      <c r="D21" s="31" t="s">
        <v>264</v>
      </c>
      <c r="E21" s="93" t="s">
        <v>262</v>
      </c>
      <c r="F21" s="169">
        <v>0.41</v>
      </c>
      <c r="G21" s="91">
        <v>0.25</v>
      </c>
      <c r="H21" s="91">
        <v>0.12</v>
      </c>
      <c r="I21" s="91"/>
      <c r="J21" s="91"/>
      <c r="K21" s="91">
        <v>0.22</v>
      </c>
      <c r="L21" s="128">
        <f>IF(SUM(Tableau4[[#This Row],[Europe]:[Reste du Monde]])=0,"",SUM(Tableau4[[#This Row],[Europe]:[Reste du Monde]]))</f>
        <v>0.99999999999999989</v>
      </c>
    </row>
    <row r="22" spans="2:12" ht="18.75" customHeight="1">
      <c r="B22" s="32">
        <f>'Réf cellules RB'!A43</f>
        <v>42</v>
      </c>
      <c r="C22" s="32">
        <f>IFERROR(IF(_xlfn.XLOOKUP(Tableau4[[#This Row],[Isin]],Tableau1[Isin],Tableau1[Sum intérêt])=0,"",_xlfn.XLOOKUP(Tableau4[[#This Row],[Isin]],Tableau1[Isin],Tableau1[Sum intérêt])),"")</f>
        <v>3</v>
      </c>
      <c r="D22" s="31" t="s">
        <v>1144</v>
      </c>
      <c r="E22" s="74" t="s">
        <v>1141</v>
      </c>
      <c r="F22" s="169">
        <v>0.4</v>
      </c>
      <c r="G22" s="91">
        <v>0.13</v>
      </c>
      <c r="H22" s="91">
        <v>0.17</v>
      </c>
      <c r="I22" s="91"/>
      <c r="J22" s="91">
        <v>0.16</v>
      </c>
      <c r="K22" s="91">
        <v>0.14000000000000001</v>
      </c>
      <c r="L22" s="128">
        <f>IF(SUM(Tableau4[[#This Row],[Europe]:[Reste du Monde]])=0,"",SUM(Tableau4[[#This Row],[Europe]:[Reste du Monde]]))</f>
        <v>1</v>
      </c>
    </row>
    <row r="23" spans="2:12" ht="18.75" customHeight="1">
      <c r="B23" s="32">
        <f>'Réf cellules RB'!A25</f>
        <v>24</v>
      </c>
      <c r="C23" s="32">
        <f>IFERROR(IF(_xlfn.XLOOKUP(Tableau4[[#This Row],[Isin]],Tableau1[Isin],Tableau1[Sum intérêt])=0,"",_xlfn.XLOOKUP(Tableau4[[#This Row],[Isin]],Tableau1[Isin],Tableau1[Sum intérêt])),"")</f>
        <v>4</v>
      </c>
      <c r="D23" s="75" t="s">
        <v>3217</v>
      </c>
      <c r="F23" s="169"/>
      <c r="G23" s="91"/>
      <c r="H23" s="91"/>
      <c r="I23" s="91"/>
      <c r="J23" s="91"/>
      <c r="K23" s="91"/>
      <c r="L23" s="128" t="str">
        <f>IF(SUM(Tableau4[[#This Row],[Europe]:[Reste du Monde]])=0,"",SUM(Tableau4[[#This Row],[Europe]:[Reste du Monde]]))</f>
        <v/>
      </c>
    </row>
    <row r="24" spans="2:12" ht="18.75" customHeight="1">
      <c r="B24" s="70">
        <f>'Réf cellules RB'!A26</f>
        <v>25</v>
      </c>
      <c r="C24" s="70">
        <f>IFERROR(IF(_xlfn.XLOOKUP(Tableau4[[#This Row],[Isin]],Tableau1[Isin],Tableau1[Sum intérêt])=0,"",_xlfn.XLOOKUP(Tableau4[[#This Row],[Isin]],Tableau1[Isin],Tableau1[Sum intérêt])),"")</f>
        <v>5</v>
      </c>
      <c r="D24" s="143" t="s">
        <v>3218</v>
      </c>
      <c r="E24" s="71"/>
      <c r="F24" s="294"/>
      <c r="G24" s="163"/>
      <c r="H24" s="163"/>
      <c r="I24" s="170"/>
      <c r="J24" s="170"/>
      <c r="K24" s="171"/>
      <c r="L24" s="127" t="str">
        <f>IF(SUM(Tableau4[[#This Row],[Europe]:[Reste du Monde]])=0,"",SUM(Tableau4[[#This Row],[Europe]:[Reste du Monde]]))</f>
        <v/>
      </c>
    </row>
    <row r="25" spans="2:12" ht="15.75" customHeight="1">
      <c r="B25" s="76">
        <f>'Réf cellules RB'!A27</f>
        <v>26</v>
      </c>
      <c r="C25" s="77">
        <f>IFERROR(IF(_xlfn.XLOOKUP(Tableau4[[#This Row],[Isin]],Tableau1[Isin],Tableau1[Sum intérêt])=0,"",_xlfn.XLOOKUP(Tableau4[[#This Row],[Isin]],Tableau1[Isin],Tableau1[Sum intérêt])),"")</f>
        <v>6</v>
      </c>
      <c r="D25" s="80" t="s">
        <v>3219</v>
      </c>
      <c r="E25" s="78" t="s">
        <v>3220</v>
      </c>
      <c r="F25" s="175"/>
      <c r="G25" s="130"/>
      <c r="H25" s="130"/>
      <c r="I25" s="131"/>
      <c r="J25" s="131"/>
      <c r="K25" s="131"/>
      <c r="L25" s="129" t="str">
        <f>IF(SUM(Tableau4[[#This Row],[Europe]:[Reste du Monde]])=0,"",SUM(Tableau4[[#This Row],[Europe]:[Reste du Monde]]))</f>
        <v/>
      </c>
    </row>
    <row r="26" spans="2:12" ht="21" customHeight="1">
      <c r="B26" s="32">
        <f>'Réf cellules RB'!A32</f>
        <v>31</v>
      </c>
      <c r="C26" s="32">
        <f>IFERROR(IF(_xlfn.XLOOKUP(Tableau4[[#This Row],[Isin]],Tableau1[Isin],Tableau1[Sum intérêt])=0,"",_xlfn.XLOOKUP(Tableau4[[#This Row],[Isin]],Tableau1[Isin],Tableau1[Sum intérêt])),"")</f>
        <v>10</v>
      </c>
      <c r="D26" s="31" t="s">
        <v>454</v>
      </c>
      <c r="E26" s="74" t="s">
        <v>1</v>
      </c>
      <c r="F26" s="172">
        <v>0.75</v>
      </c>
      <c r="G26" s="91">
        <v>0.05</v>
      </c>
      <c r="H26" s="91">
        <v>0.08</v>
      </c>
      <c r="I26" s="91"/>
      <c r="J26" s="91"/>
      <c r="K26" s="91">
        <v>0.12</v>
      </c>
      <c r="L26" s="128">
        <f>IF(SUM(Tableau4[[#This Row],[Europe]:[Reste du Monde]])=0,"",SUM(Tableau4[[#This Row],[Europe]:[Reste du Monde]]))</f>
        <v>1</v>
      </c>
    </row>
    <row r="27" spans="2:12" ht="18" customHeight="1">
      <c r="B27" s="32">
        <f>'Réf cellules RB'!A90</f>
        <v>89</v>
      </c>
      <c r="C27" s="32">
        <f>IFERROR(IF(_xlfn.XLOOKUP(Tableau4[[#This Row],[Isin]],Tableau1[Isin],Tableau1[Sum intérêt])=0,"",_xlfn.XLOOKUP(Tableau4[[#This Row],[Isin]],Tableau1[Isin],Tableau1[Sum intérêt])),"")</f>
        <v>10</v>
      </c>
      <c r="D27" s="31" t="s">
        <v>4064</v>
      </c>
      <c r="E27" s="74" t="s">
        <v>4470</v>
      </c>
      <c r="F27" s="91">
        <v>0.18</v>
      </c>
      <c r="G27" s="91">
        <v>0.52</v>
      </c>
      <c r="H27" s="91">
        <v>0.3</v>
      </c>
      <c r="L27" s="128">
        <f>IF(SUM(Tableau4[[#This Row],[Europe]:[Reste du Monde]])=0,"",SUM(Tableau4[[#This Row],[Europe]:[Reste du Monde]]))</f>
        <v>1</v>
      </c>
    </row>
    <row r="28" spans="2:12" ht="18" customHeight="1">
      <c r="B28" s="32">
        <f>'Réf cellules RB'!A91</f>
        <v>90</v>
      </c>
      <c r="C28" s="32">
        <f>IFERROR(IF(_xlfn.XLOOKUP(Tableau4[[#This Row],[Isin]],Tableau1[Isin],Tableau1[Sum intérêt])=0,"",_xlfn.XLOOKUP(Tableau4[[#This Row],[Isin]],Tableau1[Isin],Tableau1[Sum intérêt])),"")</f>
        <v>10</v>
      </c>
      <c r="D28" s="31" t="s">
        <v>4535</v>
      </c>
      <c r="E28" s="74" t="s">
        <v>3029</v>
      </c>
      <c r="F28" s="123">
        <v>0.39</v>
      </c>
      <c r="G28" s="91">
        <v>0.35599999999999998</v>
      </c>
      <c r="H28" s="91">
        <v>0.14499999999999999</v>
      </c>
      <c r="I28" s="91"/>
      <c r="J28" s="91">
        <v>7.0999999999999994E-2</v>
      </c>
      <c r="K28" s="91">
        <v>0.04</v>
      </c>
      <c r="L28" s="128">
        <f>IF(SUM(Tableau4[[#This Row],[Europe]:[Reste du Monde]])=0,"",SUM(Tableau4[[#This Row],[Europe]:[Reste du Monde]]))</f>
        <v>1.002</v>
      </c>
    </row>
    <row r="29" spans="2:12" ht="18" customHeight="1">
      <c r="B29" s="32">
        <f>'Réf cellules RB'!A30</f>
        <v>29</v>
      </c>
      <c r="C29" s="32">
        <f>IFERROR(IF(_xlfn.XLOOKUP(Tableau4[[#This Row],[Isin]],Tableau1[Isin],Tableau1[Sum intérêt])=0,"",_xlfn.XLOOKUP(Tableau4[[#This Row],[Isin]],Tableau1[Isin],Tableau1[Sum intérêt])),"")</f>
        <v>10</v>
      </c>
      <c r="D29" s="31" t="s">
        <v>1540</v>
      </c>
      <c r="E29" s="74" t="s">
        <v>1536</v>
      </c>
      <c r="F29" s="169">
        <v>0.33</v>
      </c>
      <c r="G29" s="91">
        <v>0.42</v>
      </c>
      <c r="H29" s="91">
        <v>0.13</v>
      </c>
      <c r="I29" s="91">
        <v>0.12</v>
      </c>
      <c r="J29" s="91"/>
      <c r="K29" s="91"/>
      <c r="L29" s="128">
        <f>IF(SUM(Tableau4[[#This Row],[Europe]:[Reste du Monde]])=0,"",SUM(Tableau4[[#This Row],[Europe]:[Reste du Monde]]))</f>
        <v>1</v>
      </c>
    </row>
    <row r="30" spans="2:12" ht="18" customHeight="1">
      <c r="B30" s="76">
        <f>'Réf cellules RB'!A2</f>
        <v>1</v>
      </c>
      <c r="C30" s="77">
        <f>IFERROR(IF(_xlfn.XLOOKUP(Tableau4[[#This Row],[Isin]],Tableau1[Isin],Tableau1[Sum intérêt])=0,"",_xlfn.XLOOKUP(Tableau4[[#This Row],[Isin]],Tableau1[Isin],Tableau1[Sum intérêt])),"")</f>
        <v>11</v>
      </c>
      <c r="D30" s="80" t="s">
        <v>3231</v>
      </c>
      <c r="E30" s="78" t="s">
        <v>3232</v>
      </c>
      <c r="F30" s="133"/>
      <c r="G30" s="130"/>
      <c r="H30" s="130"/>
      <c r="I30" s="131"/>
      <c r="J30" s="131"/>
      <c r="K30" s="131"/>
      <c r="L30" s="129" t="str">
        <f>IF(SUM(Tableau4[[#This Row],[Europe]:[Reste du Monde]])=0,"",SUM(Tableau4[[#This Row],[Europe]:[Reste du Monde]]))</f>
        <v/>
      </c>
    </row>
    <row r="31" spans="2:12" ht="18" customHeight="1">
      <c r="B31" s="32">
        <f>'Réf cellules RB'!A44</f>
        <v>43</v>
      </c>
      <c r="C31" s="32">
        <f>IFERROR(IF(_xlfn.XLOOKUP(Tableau4[[#This Row],[Isin]],Tableau1[Isin],Tableau1[Sum intérêt])=0,"",_xlfn.XLOOKUP(Tableau4[[#This Row],[Isin]],Tableau1[Isin],Tableau1[Sum intérêt])),"")</f>
        <v>20</v>
      </c>
      <c r="D31" s="31" t="s">
        <v>753</v>
      </c>
      <c r="E31" s="74" t="s">
        <v>750</v>
      </c>
      <c r="F31" s="169"/>
      <c r="G31" s="91"/>
      <c r="H31" s="91"/>
      <c r="I31" s="91"/>
      <c r="J31" s="91"/>
      <c r="K31" s="91"/>
      <c r="L31" s="128" t="str">
        <f>IF(SUM(Tableau4[[#This Row],[Europe]:[Reste du Monde]])=0,"",SUM(Tableau4[[#This Row],[Europe]:[Reste du Monde]]))</f>
        <v/>
      </c>
    </row>
    <row r="32" spans="2:12" ht="18" customHeight="1">
      <c r="B32" s="32">
        <f>'Réf cellules RB'!A95</f>
        <v>94</v>
      </c>
      <c r="C32" s="32">
        <f>IFERROR(IF(_xlfn.XLOOKUP(Tableau4[[#This Row],[Isin]],Tableau1[Isin],Tableau1[Sum intérêt])=0,"",_xlfn.XLOOKUP(Tableau4[[#This Row],[Isin]],Tableau1[Isin],Tableau1[Sum intérêt])),"")</f>
        <v>20</v>
      </c>
      <c r="D32" s="31" t="s">
        <v>3507</v>
      </c>
      <c r="E32" s="74" t="s">
        <v>4720</v>
      </c>
      <c r="F32" s="174"/>
      <c r="L32" s="128" t="str">
        <f>IF(SUM(Tableau4[[#This Row],[Europe]:[Reste du Monde]])=0,"",SUM(Tableau4[[#This Row],[Europe]:[Reste du Monde]]))</f>
        <v/>
      </c>
    </row>
    <row r="33" spans="2:12" ht="15.75" customHeight="1">
      <c r="B33" s="32">
        <f>'Réf cellules RB'!A59</f>
        <v>58</v>
      </c>
      <c r="C33" s="32">
        <f>IFERROR(IF(_xlfn.XLOOKUP(Tableau4[[#This Row],[Isin]],Tableau1[Isin],Tableau1[Sum intérêt])=0,"",_xlfn.XLOOKUP(Tableau4[[#This Row],[Isin]],Tableau1[Isin],Tableau1[Sum intérêt])),"")</f>
        <v>20</v>
      </c>
      <c r="D33" s="31" t="s">
        <v>698</v>
      </c>
      <c r="E33" s="74" t="s">
        <v>696</v>
      </c>
      <c r="F33" s="169">
        <v>0.59870000000000001</v>
      </c>
      <c r="G33" s="91">
        <v>0.23100000000000001</v>
      </c>
      <c r="H33" s="91">
        <v>9.6000000000000002E-2</v>
      </c>
      <c r="I33" s="91"/>
      <c r="J33" s="91">
        <v>7.0000000000000007E-2</v>
      </c>
      <c r="K33" s="91"/>
      <c r="L33" s="128">
        <f>IF(SUM(Tableau4[[#This Row],[Europe]:[Reste du Monde]])=0,"",SUM(Tableau4[[#This Row],[Europe]:[Reste du Monde]]))</f>
        <v>0.99570000000000003</v>
      </c>
    </row>
    <row r="34" spans="2:12" ht="18" customHeight="1">
      <c r="B34" s="32">
        <f>'Réf cellules RB'!A31</f>
        <v>30</v>
      </c>
      <c r="C34" s="32">
        <f>IFERROR(IF(_xlfn.XLOOKUP(Tableau4[[#This Row],[Isin]],Tableau1[Isin],Tableau1[Sum intérêt])=0,"",_xlfn.XLOOKUP(Tableau4[[#This Row],[Isin]],Tableau1[Isin],Tableau1[Sum intérêt])),"")</f>
        <v>20</v>
      </c>
      <c r="D34" s="31" t="s">
        <v>1048</v>
      </c>
      <c r="E34" s="93" t="s">
        <v>1044</v>
      </c>
      <c r="F34" s="169">
        <v>0.7</v>
      </c>
      <c r="G34" s="91">
        <v>0.1</v>
      </c>
      <c r="H34" s="91">
        <v>0.2</v>
      </c>
      <c r="I34" s="91"/>
      <c r="J34" s="91"/>
      <c r="K34" s="91"/>
      <c r="L34" s="128">
        <f>IF(SUM(Tableau4[[#This Row],[Europe]:[Reste du Monde]])=0,"",SUM(Tableau4[[#This Row],[Europe]:[Reste du Monde]]))</f>
        <v>1</v>
      </c>
    </row>
    <row r="35" spans="2:12" ht="18" customHeight="1">
      <c r="B35" s="32">
        <f>'Réf cellules RB'!A48</f>
        <v>47</v>
      </c>
      <c r="C35" s="32">
        <f>IFERROR(IF(_xlfn.XLOOKUP(Tableau4[[#This Row],[Isin]],Tableau1[Isin],Tableau1[Sum intérêt])=0,"",_xlfn.XLOOKUP(Tableau4[[#This Row],[Isin]],Tableau1[Isin],Tableau1[Sum intérêt])),"")</f>
        <v>20</v>
      </c>
      <c r="D35" s="31" t="s">
        <v>2449</v>
      </c>
      <c r="E35" s="74" t="s">
        <v>2448</v>
      </c>
      <c r="F35" s="172">
        <v>0.33</v>
      </c>
      <c r="G35" s="91">
        <v>0.35</v>
      </c>
      <c r="H35" s="91">
        <v>0.27</v>
      </c>
      <c r="I35" s="91"/>
      <c r="J35" s="91"/>
      <c r="K35" s="91">
        <v>0.05</v>
      </c>
      <c r="L35" s="128">
        <f>IF(SUM(Tableau4[[#This Row],[Europe]:[Reste du Monde]])=0,"",SUM(Tableau4[[#This Row],[Europe]:[Reste du Monde]]))</f>
        <v>1</v>
      </c>
    </row>
    <row r="36" spans="2:12" ht="18" customHeight="1">
      <c r="B36" s="32">
        <f>'Réf cellules RB'!A139</f>
        <v>138</v>
      </c>
      <c r="C36" s="32">
        <f>IFERROR(IF(_xlfn.XLOOKUP(Tableau4[[#This Row],[Isin]],Tableau1[Isin],Tableau1[Sum intérêt])=0,"",_xlfn.XLOOKUP(Tableau4[[#This Row],[Isin]],Tableau1[Isin],Tableau1[Sum intérêt])),"")</f>
        <v>20</v>
      </c>
      <c r="D36" s="31" t="s">
        <v>2681</v>
      </c>
      <c r="E36" s="161" t="s">
        <v>3420</v>
      </c>
      <c r="F36" s="123">
        <v>0.06</v>
      </c>
      <c r="G36" s="91">
        <v>0.09</v>
      </c>
      <c r="H36" s="91">
        <v>0.85</v>
      </c>
      <c r="I36" s="91"/>
      <c r="J36" s="91"/>
      <c r="K36" s="91"/>
      <c r="L36" s="128">
        <f>IF(SUM(Tableau4[[#This Row],[Europe]:[Reste du Monde]])=0,"",SUM(Tableau4[[#This Row],[Europe]:[Reste du Monde]]))</f>
        <v>1</v>
      </c>
    </row>
    <row r="37" spans="2:12" ht="18" customHeight="1">
      <c r="B37" s="32">
        <f>'Réf cellules RB'!A8</f>
        <v>7</v>
      </c>
      <c r="C37" s="32">
        <f>IFERROR(IF(_xlfn.XLOOKUP(Tableau4[[#This Row],[Isin]],Tableau1[Isin],Tableau1[Sum intérêt])=0,"",_xlfn.XLOOKUP(Tableau4[[#This Row],[Isin]],Tableau1[Isin],Tableau1[Sum intérêt])),"")</f>
        <v>20</v>
      </c>
      <c r="D37" s="31" t="s">
        <v>1977</v>
      </c>
      <c r="E37" s="93" t="s">
        <v>1974</v>
      </c>
      <c r="F37" s="169">
        <v>0.9</v>
      </c>
      <c r="G37" s="91">
        <v>0.1</v>
      </c>
      <c r="H37" s="91"/>
      <c r="I37" s="91"/>
      <c r="J37" s="91"/>
      <c r="K37" s="91"/>
      <c r="L37" s="128">
        <f>IF(SUM(Tableau4[[#This Row],[Europe]:[Reste du Monde]])=0,"",SUM(Tableau4[[#This Row],[Europe]:[Reste du Monde]]))</f>
        <v>1</v>
      </c>
    </row>
    <row r="38" spans="2:12" ht="18" customHeight="1">
      <c r="B38" s="32">
        <f>'Réf cellules RB'!A9</f>
        <v>8</v>
      </c>
      <c r="C38" s="32">
        <f>IFERROR(IF(_xlfn.XLOOKUP(Tableau4[[#This Row],[Isin]],Tableau1[Isin],Tableau1[Sum intérêt])=0,"",_xlfn.XLOOKUP(Tableau4[[#This Row],[Isin]],Tableau1[Isin],Tableau1[Sum intérêt])),"")</f>
        <v>20</v>
      </c>
      <c r="D38" s="31" t="s">
        <v>1935</v>
      </c>
      <c r="E38" s="93" t="s">
        <v>1931</v>
      </c>
      <c r="F38" s="169">
        <v>0.79</v>
      </c>
      <c r="G38" s="91">
        <v>0.13</v>
      </c>
      <c r="H38" s="92">
        <v>4.4999999999999998E-2</v>
      </c>
      <c r="I38" s="91"/>
      <c r="J38" s="91"/>
      <c r="K38" s="91">
        <v>0.03</v>
      </c>
      <c r="L38" s="128">
        <f>IF(SUM(Tableau4[[#This Row],[Europe]:[Reste du Monde]])=0,"",SUM(Tableau4[[#This Row],[Europe]:[Reste du Monde]]))</f>
        <v>0.99500000000000011</v>
      </c>
    </row>
    <row r="39" spans="2:12" ht="18" customHeight="1">
      <c r="B39" s="32">
        <f>'Réf cellules RB'!A69</f>
        <v>68</v>
      </c>
      <c r="C39" s="32">
        <f>IFERROR(IF(_xlfn.XLOOKUP(Tableau4[[#This Row],[Isin]],Tableau1[Isin],Tableau1[Sum intérêt])=0,"",_xlfn.XLOOKUP(Tableau4[[#This Row],[Isin]],Tableau1[Isin],Tableau1[Sum intérêt])),"")</f>
        <v>20</v>
      </c>
      <c r="D39" s="31" t="s">
        <v>2794</v>
      </c>
      <c r="E39" s="74" t="s">
        <v>2791</v>
      </c>
      <c r="F39" s="123">
        <v>0.35</v>
      </c>
      <c r="G39" s="91">
        <v>0.28000000000000003</v>
      </c>
      <c r="H39" s="91">
        <v>0.28000000000000003</v>
      </c>
      <c r="I39" s="91"/>
      <c r="J39" s="91"/>
      <c r="K39" s="91">
        <v>0.09</v>
      </c>
      <c r="L39" s="128">
        <f>IF(SUM(Tableau4[[#This Row],[Europe]:[Reste du Monde]])=0,"",SUM(Tableau4[[#This Row],[Europe]:[Reste du Monde]]))</f>
        <v>1</v>
      </c>
    </row>
    <row r="40" spans="2:12" ht="18" customHeight="1">
      <c r="B40" s="32">
        <f>'Réf cellules RB'!A85</f>
        <v>84</v>
      </c>
      <c r="C40" s="32">
        <f>IFERROR(IF(_xlfn.XLOOKUP(Tableau4[[#This Row],[Isin]],Tableau1[Isin],Tableau1[Sum intérêt])=0,"",_xlfn.XLOOKUP(Tableau4[[#This Row],[Isin]],Tableau1[Isin],Tableau1[Sum intérêt])),"")</f>
        <v>20</v>
      </c>
      <c r="D40" s="31" t="s">
        <v>1523</v>
      </c>
      <c r="E40" s="161" t="s">
        <v>1520</v>
      </c>
      <c r="F40" s="123">
        <v>0.28000000000000003</v>
      </c>
      <c r="G40" s="91">
        <v>0.26</v>
      </c>
      <c r="H40" s="91">
        <v>0.2</v>
      </c>
      <c r="I40" s="91">
        <v>0.26</v>
      </c>
      <c r="L40" s="128">
        <f>IF(SUM(Tableau4[[#This Row],[Europe]:[Reste du Monde]])=0,"",SUM(Tableau4[[#This Row],[Europe]:[Reste du Monde]]))</f>
        <v>1</v>
      </c>
    </row>
    <row r="41" spans="2:12" ht="18" customHeight="1">
      <c r="B41" s="32">
        <f>'Réf cellules RB'!A50</f>
        <v>49</v>
      </c>
      <c r="C41" s="32">
        <f>IFERROR(IF(_xlfn.XLOOKUP(Tableau4[[#This Row],[Isin]],Tableau1[Isin],Tableau1[Sum intérêt])=0,"",_xlfn.XLOOKUP(Tableau4[[#This Row],[Isin]],Tableau1[Isin],Tableau1[Sum intérêt])),"")</f>
        <v>20</v>
      </c>
      <c r="D41" s="31" t="s">
        <v>805</v>
      </c>
      <c r="E41" s="74" t="s">
        <v>3241</v>
      </c>
      <c r="F41" s="169"/>
      <c r="G41" s="91"/>
      <c r="H41" s="91"/>
      <c r="I41" s="91"/>
      <c r="J41" s="91"/>
      <c r="K41" s="91"/>
      <c r="L41" s="128" t="str">
        <f>IF(SUM(Tableau4[[#This Row],[Europe]:[Reste du Monde]])=0,"",SUM(Tableau4[[#This Row],[Europe]:[Reste du Monde]]))</f>
        <v/>
      </c>
    </row>
    <row r="42" spans="2:12" ht="18" customHeight="1">
      <c r="B42" s="32">
        <f>'Réf cellules RB'!A51</f>
        <v>50</v>
      </c>
      <c r="C42" s="32">
        <f>IFERROR(IF(_xlfn.XLOOKUP(Tableau4[[#This Row],[Isin]],Tableau1[Isin],Tableau1[Sum intérêt])=0,"",_xlfn.XLOOKUP(Tableau4[[#This Row],[Isin]],Tableau1[Isin],Tableau1[Sum intérêt])),"")</f>
        <v>20</v>
      </c>
      <c r="D42" s="31" t="s">
        <v>1902</v>
      </c>
      <c r="E42" s="74" t="s">
        <v>1899</v>
      </c>
      <c r="F42" s="169">
        <v>0.15</v>
      </c>
      <c r="G42" s="91">
        <v>0.56000000000000005</v>
      </c>
      <c r="H42" s="91">
        <v>0.09</v>
      </c>
      <c r="I42" s="91"/>
      <c r="J42" s="91"/>
      <c r="K42" s="91">
        <v>0.2</v>
      </c>
      <c r="L42" s="128">
        <f>IF(SUM(Tableau4[[#This Row],[Europe]:[Reste du Monde]])=0,"",SUM(Tableau4[[#This Row],[Europe]:[Reste du Monde]]))</f>
        <v>1</v>
      </c>
    </row>
    <row r="43" spans="2:12" ht="18" customHeight="1">
      <c r="B43" s="32">
        <f>'Réf cellules RB'!A35</f>
        <v>34</v>
      </c>
      <c r="C43" s="32">
        <f>IFERROR(IF(_xlfn.XLOOKUP(Tableau4[[#This Row],[Isin]],Tableau1[Isin],Tableau1[Sum intérêt])=0,"",_xlfn.XLOOKUP(Tableau4[[#This Row],[Isin]],Tableau1[Isin],Tableau1[Sum intérêt])),"")</f>
        <v>20</v>
      </c>
      <c r="D43" s="31" t="s">
        <v>2397</v>
      </c>
      <c r="E43" s="74" t="s">
        <v>2395</v>
      </c>
      <c r="F43" s="169">
        <v>0.61</v>
      </c>
      <c r="G43" s="91"/>
      <c r="H43" s="91"/>
      <c r="I43" s="91"/>
      <c r="J43" s="91">
        <v>0.28999999999999998</v>
      </c>
      <c r="K43" s="91">
        <v>0.1</v>
      </c>
      <c r="L43" s="128">
        <f>IF(SUM(Tableau4[[#This Row],[Europe]:[Reste du Monde]])=0,"",SUM(Tableau4[[#This Row],[Europe]:[Reste du Monde]]))</f>
        <v>0.99999999999999989</v>
      </c>
    </row>
    <row r="44" spans="2:12" ht="18" customHeight="1">
      <c r="B44" s="32">
        <f>'Réf cellules RB'!A65</f>
        <v>64</v>
      </c>
      <c r="C44" s="32">
        <f>IFERROR(IF(_xlfn.XLOOKUP(Tableau4[[#This Row],[Isin]],Tableau1[Isin],Tableau1[Sum intérêt])=0,"",_xlfn.XLOOKUP(Tableau4[[#This Row],[Isin]],Tableau1[Isin],Tableau1[Sum intérêt])),"")</f>
        <v>20</v>
      </c>
      <c r="D44" s="31" t="s">
        <v>1950</v>
      </c>
      <c r="E44" s="74" t="s">
        <v>1947</v>
      </c>
      <c r="F44" s="169">
        <v>0.97</v>
      </c>
      <c r="G44" s="91"/>
      <c r="H44" s="91"/>
      <c r="I44" s="91"/>
      <c r="J44" s="91"/>
      <c r="K44" s="91">
        <v>0.03</v>
      </c>
      <c r="L44" s="128">
        <f>IF(SUM(Tableau4[[#This Row],[Europe]:[Reste du Monde]])=0,"",SUM(Tableau4[[#This Row],[Europe]:[Reste du Monde]]))</f>
        <v>1</v>
      </c>
    </row>
    <row r="45" spans="2:12" ht="18" customHeight="1">
      <c r="B45" s="32">
        <f>'Réf cellules RB'!A10</f>
        <v>9</v>
      </c>
      <c r="C45" s="32">
        <f>IFERROR(IF(_xlfn.XLOOKUP(Tableau4[[#This Row],[Isin]],Tableau1[Isin],Tableau1[Sum intérêt])=0,"",_xlfn.XLOOKUP(Tableau4[[#This Row],[Isin]],Tableau1[Isin],Tableau1[Sum intérêt])),"")</f>
        <v>20</v>
      </c>
      <c r="D45" s="31" t="s">
        <v>537</v>
      </c>
      <c r="E45" s="74" t="s">
        <v>3250</v>
      </c>
      <c r="F45" s="169">
        <v>0.89700000000000002</v>
      </c>
      <c r="G45" s="91"/>
      <c r="H45" s="91"/>
      <c r="I45" s="91"/>
      <c r="J45" s="91">
        <v>0.1033</v>
      </c>
      <c r="K45" s="91"/>
      <c r="L45" s="128">
        <f>IF(SUM(Tableau4[[#This Row],[Europe]:[Reste du Monde]])=0,"",SUM(Tableau4[[#This Row],[Europe]:[Reste du Monde]]))</f>
        <v>1.0003</v>
      </c>
    </row>
    <row r="46" spans="2:12" ht="18" customHeight="1">
      <c r="B46" s="32">
        <f>'Réf cellules RB'!A100</f>
        <v>99</v>
      </c>
      <c r="C46" s="32">
        <f>IFERROR(IF(_xlfn.XLOOKUP(Tableau4[[#This Row],[Isin]],Tableau1[Isin],Tableau1[Sum intérêt])=0,"",_xlfn.XLOOKUP(Tableau4[[#This Row],[Isin]],Tableau1[Isin],Tableau1[Sum intérêt])),"")</f>
        <v>20</v>
      </c>
      <c r="D46" s="31" t="s">
        <v>374</v>
      </c>
      <c r="E46" s="74" t="s">
        <v>370</v>
      </c>
      <c r="F46" s="174"/>
      <c r="L46" s="128" t="str">
        <f>IF(SUM(Tableau4[[#This Row],[Europe]:[Reste du Monde]])=0,"",SUM(Tableau4[[#This Row],[Europe]:[Reste du Monde]]))</f>
        <v/>
      </c>
    </row>
    <row r="47" spans="2:12" ht="18" customHeight="1">
      <c r="B47" s="32">
        <f>'Réf cellules RB'!A69</f>
        <v>68</v>
      </c>
      <c r="C47" s="32">
        <f>IFERROR(IF(_xlfn.XLOOKUP(Tableau4[[#This Row],[Isin]],Tableau1[Isin],Tableau1[Sum intérêt])=0,"",_xlfn.XLOOKUP(Tableau4[[#This Row],[Isin]],Tableau1[Isin],Tableau1[Sum intérêt])),"")</f>
        <v>20</v>
      </c>
      <c r="D47" s="31" t="s">
        <v>1514</v>
      </c>
      <c r="E47" s="74" t="s">
        <v>3252</v>
      </c>
      <c r="F47" s="123">
        <v>0.35370000000000001</v>
      </c>
      <c r="G47" s="91">
        <v>0.47049999999999997</v>
      </c>
      <c r="H47" s="91">
        <v>0.12</v>
      </c>
      <c r="I47" s="91"/>
      <c r="J47" s="91">
        <v>0.06</v>
      </c>
      <c r="K47" s="91"/>
      <c r="L47" s="128">
        <f>IF(SUM(Tableau4[[#This Row],[Europe]:[Reste du Monde]])=0,"",SUM(Tableau4[[#This Row],[Europe]:[Reste du Monde]]))</f>
        <v>1.0042</v>
      </c>
    </row>
    <row r="48" spans="2:12" ht="18" customHeight="1">
      <c r="B48" s="32">
        <f>'Réf cellules RB'!A12</f>
        <v>11</v>
      </c>
      <c r="C48" s="32">
        <f>IFERROR(IF(_xlfn.XLOOKUP(Tableau4[[#This Row],[Isin]],Tableau1[Isin],Tableau1[Sum intérêt])=0,"",_xlfn.XLOOKUP(Tableau4[[#This Row],[Isin]],Tableau1[Isin],Tableau1[Sum intérêt])),"")</f>
        <v>20</v>
      </c>
      <c r="D48" s="31" t="s">
        <v>2341</v>
      </c>
      <c r="E48" s="93" t="s">
        <v>2338</v>
      </c>
      <c r="F48" s="169">
        <v>1</v>
      </c>
      <c r="G48" s="91"/>
      <c r="H48" s="91"/>
      <c r="I48" s="91"/>
      <c r="J48" s="91"/>
      <c r="K48" s="91"/>
      <c r="L48" s="128">
        <f>IF(SUM(Tableau4[[#This Row],[Europe]:[Reste du Monde]])=0,"",SUM(Tableau4[[#This Row],[Europe]:[Reste du Monde]]))</f>
        <v>1</v>
      </c>
    </row>
    <row r="49" spans="2:12" ht="18" customHeight="1">
      <c r="B49" s="32">
        <f>'Réf cellules RB'!A69</f>
        <v>68</v>
      </c>
      <c r="C49" s="32">
        <f>IFERROR(IF(_xlfn.XLOOKUP(Tableau4[[#This Row],[Isin]],Tableau1[Isin],Tableau1[Sum intérêt])=0,"",_xlfn.XLOOKUP(Tableau4[[#This Row],[Isin]],Tableau1[Isin],Tableau1[Sum intérêt])),"")</f>
        <v>20</v>
      </c>
      <c r="D49" s="31" t="s">
        <v>1569</v>
      </c>
      <c r="E49" s="74" t="s">
        <v>1567</v>
      </c>
      <c r="F49" s="123">
        <v>0.25</v>
      </c>
      <c r="G49" s="91">
        <v>0.43</v>
      </c>
      <c r="H49" s="91">
        <v>0.1542</v>
      </c>
      <c r="I49" s="91"/>
      <c r="J49" s="91"/>
      <c r="K49" s="91">
        <v>0.17</v>
      </c>
      <c r="L49" s="128">
        <f>IF(SUM(Tableau4[[#This Row],[Europe]:[Reste du Monde]])=0,"",SUM(Tableau4[[#This Row],[Europe]:[Reste du Monde]]))</f>
        <v>1.0042</v>
      </c>
    </row>
    <row r="50" spans="2:12" ht="18" customHeight="1">
      <c r="B50" s="32">
        <f>'Réf cellules RB'!A69</f>
        <v>68</v>
      </c>
      <c r="C50" s="32">
        <f>IFERROR(IF(_xlfn.XLOOKUP(Tableau4[[#This Row],[Isin]],Tableau1[Isin],Tableau1[Sum intérêt])=0,"",_xlfn.XLOOKUP(Tableau4[[#This Row],[Isin]],Tableau1[Isin],Tableau1[Sum intérêt])),"")</f>
        <v>20</v>
      </c>
      <c r="D50" s="31" t="s">
        <v>3012</v>
      </c>
      <c r="E50" s="74" t="s">
        <v>3009</v>
      </c>
      <c r="F50" s="123">
        <v>0.38</v>
      </c>
      <c r="G50" s="91">
        <v>0.26</v>
      </c>
      <c r="H50" s="91">
        <v>0.25</v>
      </c>
      <c r="I50" s="91"/>
      <c r="J50" s="91">
        <v>0.11</v>
      </c>
      <c r="K50" s="91"/>
      <c r="L50" s="128">
        <f>IF(SUM(Tableau4[[#This Row],[Europe]:[Reste du Monde]])=0,"",SUM(Tableau4[[#This Row],[Europe]:[Reste du Monde]]))</f>
        <v>1</v>
      </c>
    </row>
    <row r="51" spans="2:12" ht="18" customHeight="1">
      <c r="B51" s="32">
        <f>'Réf cellules RB'!A33</f>
        <v>32</v>
      </c>
      <c r="C51" s="32">
        <f>IFERROR(IF(_xlfn.XLOOKUP(Tableau4[[#This Row],[Isin]],Tableau1[Isin],Tableau1[Sum intérêt])=0,"",_xlfn.XLOOKUP(Tableau4[[#This Row],[Isin]],Tableau1[Isin],Tableau1[Sum intérêt])),"")</f>
        <v>20</v>
      </c>
      <c r="D51" s="31" t="s">
        <v>2311</v>
      </c>
      <c r="E51" s="74" t="s">
        <v>2307</v>
      </c>
      <c r="F51" s="169"/>
      <c r="G51" s="91"/>
      <c r="H51" s="91">
        <v>0.92300000000000004</v>
      </c>
      <c r="I51" s="91">
        <v>7.6999999999999999E-2</v>
      </c>
      <c r="J51" s="91"/>
      <c r="K51" s="91"/>
      <c r="L51" s="128">
        <f>IF(SUM(Tableau4[[#This Row],[Europe]:[Reste du Monde]])=0,"",SUM(Tableau4[[#This Row],[Europe]:[Reste du Monde]]))</f>
        <v>1</v>
      </c>
    </row>
    <row r="52" spans="2:12" ht="18" customHeight="1">
      <c r="B52" s="32">
        <f>'Réf cellules RB'!A69</f>
        <v>68</v>
      </c>
      <c r="C52" s="32">
        <f>IFERROR(IF(_xlfn.XLOOKUP(Tableau4[[#This Row],[Isin]],Tableau1[Isin],Tableau1[Sum intérêt])=0,"",_xlfn.XLOOKUP(Tableau4[[#This Row],[Isin]],Tableau1[Isin],Tableau1[Sum intérêt])),"")</f>
        <v>20</v>
      </c>
      <c r="D52" s="31" t="s">
        <v>2717</v>
      </c>
      <c r="E52" s="74" t="s">
        <v>2716</v>
      </c>
      <c r="F52" s="123">
        <v>0.27</v>
      </c>
      <c r="G52" s="91">
        <v>0.15</v>
      </c>
      <c r="H52" s="91">
        <v>0.57999999999999996</v>
      </c>
      <c r="I52" s="91"/>
      <c r="J52" s="91"/>
      <c r="K52" s="91"/>
      <c r="L52" s="128">
        <f>IF(SUM(Tableau4[[#This Row],[Europe]:[Reste du Monde]])=0,"",SUM(Tableau4[[#This Row],[Europe]:[Reste du Monde]]))</f>
        <v>1</v>
      </c>
    </row>
    <row r="53" spans="2:12" ht="18" customHeight="1">
      <c r="B53" s="32">
        <f>'Réf cellules RB'!A141</f>
        <v>140</v>
      </c>
      <c r="C53" s="32">
        <f>IFERROR(IF(_xlfn.XLOOKUP(Tableau4[[#This Row],[Isin]],Tableau1[Isin],Tableau1[Sum intérêt])=0,"",_xlfn.XLOOKUP(Tableau4[[#This Row],[Isin]],Tableau1[Isin],Tableau1[Sum intérêt])),"")</f>
        <v>20</v>
      </c>
      <c r="D53" s="31" t="s">
        <v>2578</v>
      </c>
      <c r="E53" s="74" t="s">
        <v>2576</v>
      </c>
      <c r="F53" s="123">
        <v>1</v>
      </c>
      <c r="G53" s="91"/>
      <c r="H53" s="91"/>
      <c r="I53" s="91"/>
      <c r="J53" s="91"/>
      <c r="K53" s="91"/>
      <c r="L53" s="128">
        <f>IF(SUM(Tableau4[[#This Row],[Europe]:[Reste du Monde]])=0,"",SUM(Tableau4[[#This Row],[Europe]:[Reste du Monde]]))</f>
        <v>1</v>
      </c>
    </row>
    <row r="54" spans="2:12" ht="18" customHeight="1">
      <c r="B54" s="32">
        <f>'Réf cellules RB'!A28</f>
        <v>27</v>
      </c>
      <c r="C54" s="32">
        <f>IFERROR(IF(_xlfn.XLOOKUP(Tableau4[[#This Row],[Isin]],Tableau1[Isin],Tableau1[Sum intérêt])=0,"",_xlfn.XLOOKUP(Tableau4[[#This Row],[Isin]],Tableau1[Isin],Tableau1[Sum intérêt])),"")</f>
        <v>20</v>
      </c>
      <c r="D54" s="31" t="s">
        <v>577</v>
      </c>
      <c r="E54" s="74" t="s">
        <v>574</v>
      </c>
      <c r="F54" s="169">
        <v>0.23</v>
      </c>
      <c r="G54" s="91">
        <v>0.26</v>
      </c>
      <c r="H54" s="91">
        <v>0.38</v>
      </c>
      <c r="I54" s="91"/>
      <c r="J54" s="91"/>
      <c r="K54" s="91">
        <v>0.13</v>
      </c>
      <c r="L54" s="128">
        <f>IF(SUM(Tableau4[[#This Row],[Europe]:[Reste du Monde]])=0,"",SUM(Tableau4[[#This Row],[Europe]:[Reste du Monde]]))</f>
        <v>1</v>
      </c>
    </row>
    <row r="55" spans="2:12" ht="15.75" customHeight="1">
      <c r="B55" s="32">
        <f>'Réf cellules RB'!A53</f>
        <v>52</v>
      </c>
      <c r="C55" s="32">
        <f>IFERROR(IF(_xlfn.XLOOKUP(Tableau4[[#This Row],[Isin]],Tableau1[Isin],Tableau1[Sum intérêt])=0,"",_xlfn.XLOOKUP(Tableau4[[#This Row],[Isin]],Tableau1[Isin],Tableau1[Sum intérêt])),"")</f>
        <v>20</v>
      </c>
      <c r="D55" s="31" t="s">
        <v>2290</v>
      </c>
      <c r="E55" s="74" t="s">
        <v>2286</v>
      </c>
      <c r="F55" s="169">
        <v>0.41</v>
      </c>
      <c r="G55" s="91">
        <v>0.39</v>
      </c>
      <c r="H55" s="91">
        <v>0.125</v>
      </c>
      <c r="I55" s="91"/>
      <c r="J55" s="91">
        <v>3.3000000000000002E-2</v>
      </c>
      <c r="K55" s="91">
        <v>0.04</v>
      </c>
      <c r="L55" s="128">
        <f>IF(SUM(Tableau4[[#This Row],[Europe]:[Reste du Monde]])=0,"",SUM(Tableau4[[#This Row],[Europe]:[Reste du Monde]]))</f>
        <v>0.99800000000000011</v>
      </c>
    </row>
    <row r="56" spans="2:12" ht="18" customHeight="1">
      <c r="B56" s="32">
        <f>'Réf cellules RB'!A138</f>
        <v>137</v>
      </c>
      <c r="C56" s="32">
        <f>IFERROR(IF(_xlfn.XLOOKUP(Tableau4[[#This Row],[Isin]],Tableau1[Isin],Tableau1[Sum intérêt])=0,"",_xlfn.XLOOKUP(Tableau4[[#This Row],[Isin]],Tableau1[Isin],Tableau1[Sum intérêt])),"")</f>
        <v>20</v>
      </c>
      <c r="D56" s="31" t="s">
        <v>2705</v>
      </c>
      <c r="E56" s="74" t="s">
        <v>2704</v>
      </c>
      <c r="F56" s="123">
        <v>0.25</v>
      </c>
      <c r="G56" s="91">
        <v>9.9000000000000005E-2</v>
      </c>
      <c r="H56" s="91">
        <v>0.6</v>
      </c>
      <c r="I56" s="91"/>
      <c r="J56" s="91"/>
      <c r="K56" s="91">
        <v>0.05</v>
      </c>
      <c r="L56" s="128">
        <f>IF(SUM(Tableau4[[#This Row],[Europe]:[Reste du Monde]])=0,"",SUM(Tableau4[[#This Row],[Europe]:[Reste du Monde]]))</f>
        <v>0.999</v>
      </c>
    </row>
    <row r="57" spans="2:12" ht="18" customHeight="1">
      <c r="B57" s="32">
        <f>'Réf cellules RB'!A58</f>
        <v>57</v>
      </c>
      <c r="C57" s="32">
        <f>IFERROR(IF(_xlfn.XLOOKUP(Tableau4[[#This Row],[Isin]],Tableau1[Isin],Tableau1[Sum intérêt])=0,"",_xlfn.XLOOKUP(Tableau4[[#This Row],[Isin]],Tableau1[Isin],Tableau1[Sum intérêt])),"")</f>
        <v>20</v>
      </c>
      <c r="D57" s="31" t="s">
        <v>2263</v>
      </c>
      <c r="E57" s="74" t="s">
        <v>3270</v>
      </c>
      <c r="F57" s="169">
        <v>0.4</v>
      </c>
      <c r="G57" s="91">
        <v>0.26</v>
      </c>
      <c r="H57" s="91">
        <v>0.28000000000000003</v>
      </c>
      <c r="I57" s="91"/>
      <c r="J57" s="91"/>
      <c r="K57" s="91">
        <v>0.06</v>
      </c>
      <c r="L57" s="128">
        <f>IF(SUM(Tableau4[[#This Row],[Europe]:[Reste du Monde]])=0,"",SUM(Tableau4[[#This Row],[Europe]:[Reste du Monde]]))</f>
        <v>1</v>
      </c>
    </row>
    <row r="58" spans="2:12" ht="18" customHeight="1">
      <c r="B58" s="32">
        <f>'Réf cellules RB'!A36</f>
        <v>35</v>
      </c>
      <c r="C58" s="32">
        <f>IFERROR(IF(_xlfn.XLOOKUP(Tableau4[[#This Row],[Isin]],Tableau1[Isin],Tableau1[Sum intérêt])=0,"",_xlfn.XLOOKUP(Tableau4[[#This Row],[Isin]],Tableau1[Isin],Tableau1[Sum intérêt])),"")</f>
        <v>20</v>
      </c>
      <c r="D58" s="31" t="s">
        <v>1658</v>
      </c>
      <c r="E58" s="74" t="s">
        <v>1656</v>
      </c>
      <c r="F58" s="169">
        <v>0.2</v>
      </c>
      <c r="G58" s="91">
        <v>0.26</v>
      </c>
      <c r="H58" s="91"/>
      <c r="I58" s="91"/>
      <c r="J58" s="91"/>
      <c r="K58" s="91">
        <v>0.54</v>
      </c>
      <c r="L58" s="128">
        <f>IF(SUM(Tableau4[[#This Row],[Europe]:[Reste du Monde]])=0,"",SUM(Tableau4[[#This Row],[Europe]:[Reste du Monde]]))</f>
        <v>1</v>
      </c>
    </row>
    <row r="59" spans="2:12" ht="18" customHeight="1">
      <c r="B59" s="32">
        <f>'Réf cellules RB'!A37</f>
        <v>36</v>
      </c>
      <c r="C59" s="32">
        <f>IFERROR(IF(_xlfn.XLOOKUP(Tableau4[[#This Row],[Isin]],Tableau1[Isin],Tableau1[Sum intérêt])=0,"",_xlfn.XLOOKUP(Tableau4[[#This Row],[Isin]],Tableau1[Isin],Tableau1[Sum intérêt])),"")</f>
        <v>20</v>
      </c>
      <c r="D59" s="31" t="s">
        <v>1104</v>
      </c>
      <c r="E59" s="74" t="s">
        <v>1101</v>
      </c>
      <c r="F59" s="169">
        <v>0.45</v>
      </c>
      <c r="G59" s="91">
        <v>0.25</v>
      </c>
      <c r="H59" s="91">
        <v>0.14000000000000001</v>
      </c>
      <c r="I59" s="91"/>
      <c r="J59" s="91">
        <v>0.08</v>
      </c>
      <c r="K59" s="91">
        <v>0.08</v>
      </c>
      <c r="L59" s="128">
        <f>IF(SUM(Tableau4[[#This Row],[Europe]:[Reste du Monde]])=0,"",SUM(Tableau4[[#This Row],[Europe]:[Reste du Monde]]))</f>
        <v>0.99999999999999989</v>
      </c>
    </row>
    <row r="60" spans="2:12" ht="18" customHeight="1">
      <c r="B60" s="32">
        <f>'Réf cellules RB'!A34</f>
        <v>33</v>
      </c>
      <c r="C60" s="32">
        <f>IFERROR(IF(_xlfn.XLOOKUP(Tableau4[[#This Row],[Isin]],Tableau1[Isin],Tableau1[Sum intérêt])=0,"",_xlfn.XLOOKUP(Tableau4[[#This Row],[Isin]],Tableau1[Isin],Tableau1[Sum intérêt])),"")</f>
        <v>20</v>
      </c>
      <c r="D60" s="31" t="s">
        <v>2557</v>
      </c>
      <c r="E60" s="74" t="s">
        <v>2555</v>
      </c>
      <c r="F60" s="123">
        <v>1</v>
      </c>
      <c r="G60" s="91"/>
      <c r="H60" s="91"/>
      <c r="I60" s="91"/>
      <c r="J60" s="91"/>
      <c r="K60" s="91"/>
      <c r="L60" s="128">
        <f>IF(SUM(Tableau4[[#This Row],[Europe]:[Reste du Monde]])=0,"",SUM(Tableau4[[#This Row],[Europe]:[Reste du Monde]]))</f>
        <v>1</v>
      </c>
    </row>
    <row r="61" spans="2:12" ht="18" customHeight="1">
      <c r="B61" s="32">
        <f>'Réf cellules RB'!A86</f>
        <v>85</v>
      </c>
      <c r="C61" s="32">
        <f>IFERROR(IF(_xlfn.XLOOKUP(Tableau4[[#This Row],[Isin]],Tableau1[Isin],Tableau1[Sum intérêt])=0,"",_xlfn.XLOOKUP(Tableau4[[#This Row],[Isin]],Tableau1[Isin],Tableau1[Sum intérêt])),"")</f>
        <v>20</v>
      </c>
      <c r="D61" s="31" t="s">
        <v>2615</v>
      </c>
      <c r="E61" s="74" t="s">
        <v>3421</v>
      </c>
      <c r="F61" s="174"/>
      <c r="L61" s="128" t="str">
        <f>IF(SUM(Tableau4[[#This Row],[Europe]:[Reste du Monde]])=0,"",SUM(Tableau4[[#This Row],[Europe]:[Reste du Monde]]))</f>
        <v/>
      </c>
    </row>
    <row r="62" spans="2:12" ht="18" customHeight="1">
      <c r="B62" s="32">
        <f>'Réf cellules RB'!A89</f>
        <v>88</v>
      </c>
      <c r="C62" s="32">
        <f>IFERROR(IF(_xlfn.XLOOKUP(Tableau4[[#This Row],[Isin]],Tableau1[Isin],Tableau1[Sum intérêt])=0,"",_xlfn.XLOOKUP(Tableau4[[#This Row],[Isin]],Tableau1[Isin],Tableau1[Sum intérêt])),"")</f>
        <v>20</v>
      </c>
      <c r="D62" s="31" t="s">
        <v>222</v>
      </c>
      <c r="E62" s="74" t="s">
        <v>219</v>
      </c>
      <c r="F62" s="123">
        <v>0.28000000000000003</v>
      </c>
      <c r="G62" s="91">
        <v>0.28000000000000003</v>
      </c>
      <c r="H62" s="91">
        <v>0.44</v>
      </c>
      <c r="I62" s="91"/>
      <c r="J62" s="91"/>
      <c r="K62" s="91"/>
      <c r="L62" s="128">
        <f>IF(SUM(Tableau4[[#This Row],[Europe]:[Reste du Monde]])=0,"",SUM(Tableau4[[#This Row],[Europe]:[Reste du Monde]]))</f>
        <v>1</v>
      </c>
    </row>
    <row r="63" spans="2:12" ht="18" customHeight="1">
      <c r="B63" s="32">
        <f>'Réf cellules RB'!A97</f>
        <v>96</v>
      </c>
      <c r="C63" s="32">
        <f>IFERROR(IF(_xlfn.XLOOKUP(Tableau4[[#This Row],[Isin]],Tableau1[Isin],Tableau1[Sum intérêt])=0,"",_xlfn.XLOOKUP(Tableau4[[#This Row],[Isin]],Tableau1[Isin],Tableau1[Sum intérêt])),"")</f>
        <v>20</v>
      </c>
      <c r="D63" s="31" t="s">
        <v>2274</v>
      </c>
      <c r="E63" s="161" t="s">
        <v>2272</v>
      </c>
      <c r="F63" s="123">
        <v>0.78</v>
      </c>
      <c r="G63" s="91">
        <v>0.09</v>
      </c>
      <c r="H63" s="91">
        <v>0.09</v>
      </c>
      <c r="K63" s="91">
        <v>0.04</v>
      </c>
      <c r="L63" s="128">
        <f>IF(SUM(Tableau4[[#This Row],[Europe]:[Reste du Monde]])=0,"",SUM(Tableau4[[#This Row],[Europe]:[Reste du Monde]]))</f>
        <v>1</v>
      </c>
    </row>
    <row r="64" spans="2:12" ht="18" customHeight="1">
      <c r="B64" s="32">
        <f>'Réf cellules RB'!A69</f>
        <v>68</v>
      </c>
      <c r="C64" s="32">
        <f>IFERROR(IF(_xlfn.XLOOKUP(Tableau4[[#This Row],[Isin]],Tableau1[Isin],Tableau1[Sum intérêt])=0,"",_xlfn.XLOOKUP(Tableau4[[#This Row],[Isin]],Tableau1[Isin],Tableau1[Sum intérêt])),"")</f>
        <v>20</v>
      </c>
      <c r="D64" s="31" t="s">
        <v>1399</v>
      </c>
      <c r="E64" s="74" t="s">
        <v>1394</v>
      </c>
      <c r="F64" s="169">
        <v>1</v>
      </c>
      <c r="G64" s="91"/>
      <c r="H64" s="91"/>
      <c r="I64" s="91"/>
      <c r="J64" s="91"/>
      <c r="K64" s="91"/>
      <c r="L64" s="128">
        <f>IF(SUM(Tableau4[[#This Row],[Europe]:[Reste du Monde]])=0,"",SUM(Tableau4[[#This Row],[Europe]:[Reste du Monde]]))</f>
        <v>1</v>
      </c>
    </row>
    <row r="65" spans="2:12" ht="18" customHeight="1">
      <c r="B65" s="32">
        <f>'Réf cellules RB'!A68</f>
        <v>67</v>
      </c>
      <c r="C65" s="32">
        <f>IFERROR(IF(_xlfn.XLOOKUP(Tableau4[[#This Row],[Isin]],Tableau1[Isin],Tableau1[Sum intérêt])=0,"",_xlfn.XLOOKUP(Tableau4[[#This Row],[Isin]],Tableau1[Isin],Tableau1[Sum intérêt])),"")</f>
        <v>20</v>
      </c>
      <c r="D65" s="31" t="s">
        <v>825</v>
      </c>
      <c r="E65" s="74" t="s">
        <v>3422</v>
      </c>
      <c r="F65" s="169">
        <v>0.45</v>
      </c>
      <c r="G65" s="91">
        <v>0.33</v>
      </c>
      <c r="H65" s="91">
        <v>0.14000000000000001</v>
      </c>
      <c r="I65" s="91"/>
      <c r="J65" s="91"/>
      <c r="K65" s="91">
        <v>0.08</v>
      </c>
      <c r="L65" s="128">
        <f>IF(SUM(Tableau4[[#This Row],[Europe]:[Reste du Monde]])=0,"",SUM(Tableau4[[#This Row],[Europe]:[Reste du Monde]]))</f>
        <v>1</v>
      </c>
    </row>
    <row r="66" spans="2:12" ht="18" customHeight="1">
      <c r="B66" s="32">
        <f>'Réf cellules RB'!A54</f>
        <v>53</v>
      </c>
      <c r="C66" s="32">
        <f>IFERROR(IF(_xlfn.XLOOKUP(Tableau4[[#This Row],[Isin]],Tableau1[Isin],Tableau1[Sum intérêt])=0,"",_xlfn.XLOOKUP(Tableau4[[#This Row],[Isin]],Tableau1[Isin],Tableau1[Sum intérêt])),"")</f>
        <v>20</v>
      </c>
      <c r="D66" s="31" t="s">
        <v>2461</v>
      </c>
      <c r="E66" s="74" t="s">
        <v>3282</v>
      </c>
      <c r="F66" s="169">
        <v>0.26</v>
      </c>
      <c r="G66" s="91">
        <v>0.28999999999999998</v>
      </c>
      <c r="H66" s="91">
        <v>0.31</v>
      </c>
      <c r="I66" s="91"/>
      <c r="J66" s="91"/>
      <c r="K66" s="91">
        <v>0.14000000000000001</v>
      </c>
      <c r="L66" s="128">
        <f>IF(SUM(Tableau4[[#This Row],[Europe]:[Reste du Monde]])=0,"",SUM(Tableau4[[#This Row],[Europe]:[Reste du Monde]]))</f>
        <v>1</v>
      </c>
    </row>
    <row r="67" spans="2:12" ht="18" customHeight="1">
      <c r="B67" s="32">
        <f>'Réf cellules RB'!A39</f>
        <v>38</v>
      </c>
      <c r="C67" s="32">
        <f>IFERROR(IF(_xlfn.XLOOKUP(Tableau4[[#This Row],[Isin]],Tableau1[Isin],Tableau1[Sum intérêt])=0,"",_xlfn.XLOOKUP(Tableau4[[#This Row],[Isin]],Tableau1[Isin],Tableau1[Sum intérêt])),"")</f>
        <v>20</v>
      </c>
      <c r="D67" s="31" t="s">
        <v>944</v>
      </c>
      <c r="E67" s="74" t="s">
        <v>3284</v>
      </c>
      <c r="F67" s="169">
        <v>1</v>
      </c>
      <c r="G67" s="91"/>
      <c r="H67" s="91"/>
      <c r="I67" s="91"/>
      <c r="J67" s="91"/>
      <c r="K67" s="91"/>
      <c r="L67" s="128">
        <f>IF(SUM(Tableau4[[#This Row],[Europe]:[Reste du Monde]])=0,"",SUM(Tableau4[[#This Row],[Europe]:[Reste du Monde]]))</f>
        <v>1</v>
      </c>
    </row>
    <row r="68" spans="2:12" ht="18" customHeight="1">
      <c r="B68" s="32">
        <f>'Réf cellules RB'!A42</f>
        <v>41</v>
      </c>
      <c r="C68" s="32">
        <f>IFERROR(IF(_xlfn.XLOOKUP(Tableau4[[#This Row],[Isin]],Tableau1[Isin],Tableau1[Sum intérêt])=0,"",_xlfn.XLOOKUP(Tableau4[[#This Row],[Isin]],Tableau1[Isin],Tableau1[Sum intérêt])),"")</f>
        <v>20</v>
      </c>
      <c r="D68" s="31" t="s">
        <v>2212</v>
      </c>
      <c r="E68" s="74" t="s">
        <v>2208</v>
      </c>
      <c r="F68" s="169">
        <v>0.53</v>
      </c>
      <c r="G68" s="91">
        <v>0.32</v>
      </c>
      <c r="H68" s="91"/>
      <c r="I68" s="91"/>
      <c r="J68" s="91">
        <v>0.1</v>
      </c>
      <c r="K68" s="91">
        <v>0.05</v>
      </c>
      <c r="L68" s="128">
        <f>IF(SUM(Tableau4[[#This Row],[Europe]:[Reste du Monde]])=0,"",SUM(Tableau4[[#This Row],[Europe]:[Reste du Monde]]))</f>
        <v>1</v>
      </c>
    </row>
    <row r="69" spans="2:12" ht="18" customHeight="1">
      <c r="B69" s="32">
        <f>'Réf cellules RB'!A55</f>
        <v>54</v>
      </c>
      <c r="C69" s="32">
        <f>IFERROR(IF(_xlfn.XLOOKUP(Tableau4[[#This Row],[Isin]],Tableau1[Isin],Tableau1[Sum intérêt])=0,"",_xlfn.XLOOKUP(Tableau4[[#This Row],[Isin]],Tableau1[Isin],Tableau1[Sum intérêt])),"")</f>
        <v>20</v>
      </c>
      <c r="D69" s="31" t="s">
        <v>2636</v>
      </c>
      <c r="E69" s="74" t="s">
        <v>3423</v>
      </c>
      <c r="F69" s="169">
        <v>0.35</v>
      </c>
      <c r="G69" s="91">
        <v>0.13200000000000001</v>
      </c>
      <c r="H69" s="91">
        <v>0.52</v>
      </c>
      <c r="I69" s="91"/>
      <c r="J69" s="91"/>
      <c r="K69" s="91"/>
      <c r="L69" s="128">
        <f>IF(SUM(Tableau4[[#This Row],[Europe]:[Reste du Monde]])=0,"",SUM(Tableau4[[#This Row],[Europe]:[Reste du Monde]]))</f>
        <v>1.002</v>
      </c>
    </row>
    <row r="70" spans="2:12" ht="18" customHeight="1">
      <c r="B70" s="32">
        <f>'Réf cellules RB'!A92</f>
        <v>91</v>
      </c>
      <c r="C70" s="32">
        <f>IFERROR(IF(_xlfn.XLOOKUP(Tableau4[[#This Row],[Isin]],Tableau1[Isin],Tableau1[Sum intérêt])=0,"",_xlfn.XLOOKUP(Tableau4[[#This Row],[Isin]],Tableau1[Isin],Tableau1[Sum intérêt])),"")</f>
        <v>20</v>
      </c>
      <c r="D70" s="31" t="s">
        <v>4156</v>
      </c>
      <c r="E70" s="74" t="s">
        <v>3048</v>
      </c>
      <c r="F70" s="123">
        <v>0.4</v>
      </c>
      <c r="G70" s="91">
        <v>0.24</v>
      </c>
      <c r="H70" s="91">
        <v>0.21</v>
      </c>
      <c r="K70" s="91">
        <v>0.15</v>
      </c>
      <c r="L70" s="128">
        <f>IF(SUM(Tableau4[[#This Row],[Europe]:[Reste du Monde]])=0,"",SUM(Tableau4[[#This Row],[Europe]:[Reste du Monde]]))</f>
        <v>1</v>
      </c>
    </row>
    <row r="71" spans="2:12" ht="18" customHeight="1">
      <c r="B71" s="32">
        <f>'Réf cellules RB'!A104</f>
        <v>103</v>
      </c>
      <c r="C71" s="32">
        <f>IFERROR(IF(_xlfn.XLOOKUP(Tableau4[[#This Row],[Isin]],Tableau1[Isin],Tableau1[Sum intérêt])=0,"",_xlfn.XLOOKUP(Tableau4[[#This Row],[Isin]],Tableau1[Isin],Tableau1[Sum intérêt])),"")</f>
        <v>20</v>
      </c>
      <c r="D71" s="31" t="s">
        <v>2280</v>
      </c>
      <c r="E71" s="74" t="s">
        <v>2277</v>
      </c>
      <c r="F71" s="123">
        <v>0.9</v>
      </c>
      <c r="K71" s="91">
        <v>0.1</v>
      </c>
      <c r="L71" s="128">
        <f>IF(SUM(Tableau4[[#This Row],[Europe]:[Reste du Monde]])=0,"",SUM(Tableau4[[#This Row],[Europe]:[Reste du Monde]]))</f>
        <v>1</v>
      </c>
    </row>
    <row r="72" spans="2:12" ht="41.5" customHeight="1">
      <c r="B72" s="32">
        <f>'Réf cellules RB'!A41</f>
        <v>40</v>
      </c>
      <c r="C72" s="32">
        <f>IFERROR(IF(_xlfn.XLOOKUP(Tableau4[[#This Row],[Isin]],Tableau1[Isin],Tableau1[Sum intérêt])=0,"",_xlfn.XLOOKUP(Tableau4[[#This Row],[Isin]],Tableau1[Isin],Tableau1[Sum intérêt])),"")</f>
        <v>20</v>
      </c>
      <c r="D72" s="31" t="s">
        <v>343</v>
      </c>
      <c r="E72" s="74" t="s">
        <v>3424</v>
      </c>
      <c r="F72" s="169">
        <v>0.8</v>
      </c>
      <c r="G72" s="91">
        <v>7.0000000000000007E-2</v>
      </c>
      <c r="H72" s="91">
        <v>0.12759999999999999</v>
      </c>
      <c r="I72" s="91"/>
      <c r="J72" s="91"/>
      <c r="K72" s="91"/>
      <c r="L72" s="128">
        <f>IF(SUM(Tableau4[[#This Row],[Europe]:[Reste du Monde]])=0,"",SUM(Tableau4[[#This Row],[Europe]:[Reste du Monde]]))</f>
        <v>0.99760000000000004</v>
      </c>
    </row>
    <row r="73" spans="2:12" ht="18" customHeight="1">
      <c r="B73" s="32">
        <f>'Réf cellules RB'!A69</f>
        <v>68</v>
      </c>
      <c r="C73" s="32">
        <f>IFERROR(IF(_xlfn.XLOOKUP(Tableau4[[#This Row],[Isin]],Tableau1[Isin],Tableau1[Sum intérêt])=0,"",_xlfn.XLOOKUP(Tableau4[[#This Row],[Isin]],Tableau1[Isin],Tableau1[Sum intérêt])),"")</f>
        <v>20</v>
      </c>
      <c r="D73" s="31" t="s">
        <v>199</v>
      </c>
      <c r="E73" s="74" t="s">
        <v>194</v>
      </c>
      <c r="F73" s="123">
        <v>0.87</v>
      </c>
      <c r="G73" s="91"/>
      <c r="H73" s="91"/>
      <c r="I73" s="91"/>
      <c r="J73" s="91">
        <v>0.13</v>
      </c>
      <c r="K73" s="91"/>
      <c r="L73" s="128">
        <f>IF(SUM(Tableau4[[#This Row],[Europe]:[Reste du Monde]])=0,"",SUM(Tableau4[[#This Row],[Europe]:[Reste du Monde]]))</f>
        <v>1</v>
      </c>
    </row>
    <row r="74" spans="2:12" ht="18" customHeight="1">
      <c r="B74" s="32">
        <f>'Réf cellules RB'!A57</f>
        <v>56</v>
      </c>
      <c r="C74" s="32">
        <f>IFERROR(IF(_xlfn.XLOOKUP(Tableau4[[#This Row],[Isin]],Tableau1[Isin],Tableau1[Sum intérêt])=0,"",_xlfn.XLOOKUP(Tableau4[[#This Row],[Isin]],Tableau1[Isin],Tableau1[Sum intérêt])),"")</f>
        <v>20</v>
      </c>
      <c r="D74" s="31" t="s">
        <v>1928</v>
      </c>
      <c r="E74" s="74" t="s">
        <v>1925</v>
      </c>
      <c r="F74" s="169">
        <v>0.78</v>
      </c>
      <c r="G74" s="91">
        <v>0.08</v>
      </c>
      <c r="H74" s="91">
        <v>0.06</v>
      </c>
      <c r="I74" s="91"/>
      <c r="J74" s="91">
        <v>0.05</v>
      </c>
      <c r="K74" s="91">
        <v>0.03</v>
      </c>
      <c r="L74" s="128">
        <f>IF(SUM(Tableau4[[#This Row],[Europe]:[Reste du Monde]])=0,"",SUM(Tableau4[[#This Row],[Europe]:[Reste du Monde]]))</f>
        <v>1</v>
      </c>
    </row>
    <row r="75" spans="2:12" ht="18" customHeight="1">
      <c r="B75" s="76">
        <f>'Réf cellules RB'!A61</f>
        <v>60</v>
      </c>
      <c r="C75" s="77">
        <f>IFERROR(IF(_xlfn.XLOOKUP(Tableau4[[#This Row],[Isin]],Tableau1[Isin],Tableau1[Sum intérêt])=0,"",_xlfn.XLOOKUP(Tableau4[[#This Row],[Isin]],Tableau1[Isin],Tableau1[Sum intérêt])),"")</f>
        <v>21</v>
      </c>
      <c r="D75" s="80" t="s">
        <v>3294</v>
      </c>
      <c r="E75" s="78" t="s">
        <v>3295</v>
      </c>
      <c r="F75" s="133"/>
      <c r="G75" s="130"/>
      <c r="H75" s="130"/>
      <c r="I75" s="131"/>
      <c r="J75" s="131"/>
      <c r="K75" s="131"/>
      <c r="L75" s="129" t="str">
        <f>IF(SUM(Tableau4[[#This Row],[Europe]:[Reste du Monde]])=0,"",SUM(Tableau4[[#This Row],[Europe]:[Reste du Monde]]))</f>
        <v/>
      </c>
    </row>
    <row r="76" spans="2:12" ht="18" customHeight="1">
      <c r="B76" s="32">
        <f>'Réf cellules RB'!A45</f>
        <v>44</v>
      </c>
      <c r="C76" s="32">
        <f>IFERROR(IF(_xlfn.XLOOKUP(Tableau4[[#This Row],[Isin]],Tableau1[Isin],Tableau1[Sum intérêt])=0,"",_xlfn.XLOOKUP(Tableau4[[#This Row],[Isin]],Tableau1[Isin],Tableau1[Sum intérêt])),"")</f>
        <v>30</v>
      </c>
      <c r="D76" s="31" t="s">
        <v>980</v>
      </c>
      <c r="E76" s="74" t="s">
        <v>977</v>
      </c>
      <c r="F76" s="169">
        <v>0.41</v>
      </c>
      <c r="G76" s="91">
        <v>0.37</v>
      </c>
      <c r="H76" s="91">
        <v>0.19</v>
      </c>
      <c r="I76" s="91"/>
      <c r="J76" s="91"/>
      <c r="K76" s="91">
        <v>0.03</v>
      </c>
      <c r="L76" s="128">
        <f>IF(SUM(Tableau4[[#This Row],[Europe]:[Reste du Monde]])=0,"",SUM(Tableau4[[#This Row],[Europe]:[Reste du Monde]]))</f>
        <v>1</v>
      </c>
    </row>
    <row r="77" spans="2:12" ht="18" customHeight="1">
      <c r="B77" s="32">
        <f>'Réf cellules RB'!A69</f>
        <v>68</v>
      </c>
      <c r="C77" s="32">
        <f>IFERROR(IF(_xlfn.XLOOKUP(Tableau4[[#This Row],[Isin]],Tableau1[Isin],Tableau1[Sum intérêt])=0,"",_xlfn.XLOOKUP(Tableau4[[#This Row],[Isin]],Tableau1[Isin],Tableau1[Sum intérêt])),"")</f>
        <v>30</v>
      </c>
      <c r="D77" s="31" t="s">
        <v>3302</v>
      </c>
      <c r="E77" s="74" t="s">
        <v>3303</v>
      </c>
      <c r="F77" s="123"/>
      <c r="G77" s="91"/>
      <c r="H77" s="91">
        <v>1</v>
      </c>
      <c r="I77" s="91"/>
      <c r="J77" s="91"/>
      <c r="K77" s="91"/>
      <c r="L77" s="128">
        <f>IF(SUM(Tableau4[[#This Row],[Europe]:[Reste du Monde]])=0,"",SUM(Tableau4[[#This Row],[Europe]:[Reste du Monde]]))</f>
        <v>1</v>
      </c>
    </row>
    <row r="78" spans="2:12">
      <c r="B78" s="32">
        <f>'Réf cellules RB'!A5</f>
        <v>4</v>
      </c>
      <c r="C78" s="32">
        <f>IFERROR(IF(_xlfn.XLOOKUP(Tableau4[[#This Row],[Isin]],Tableau1[Isin],Tableau1[Sum intérêt])=0,"",_xlfn.XLOOKUP(Tableau4[[#This Row],[Isin]],Tableau1[Isin],Tableau1[Sum intérêt])),"")</f>
        <v>30</v>
      </c>
      <c r="D78" s="31" t="s">
        <v>2739</v>
      </c>
      <c r="E78" s="74" t="s">
        <v>2736</v>
      </c>
      <c r="F78" s="169">
        <v>0.66</v>
      </c>
      <c r="G78" s="91">
        <v>0.11</v>
      </c>
      <c r="H78" s="92">
        <v>0.12</v>
      </c>
      <c r="I78" s="91"/>
      <c r="J78" s="91"/>
      <c r="K78" s="92">
        <f>11%</f>
        <v>0.11</v>
      </c>
      <c r="L78" s="128">
        <f>IF(SUM(Tableau4[[#This Row],[Europe]:[Reste du Monde]])=0,"",SUM(Tableau4[[#This Row],[Europe]:[Reste du Monde]]))</f>
        <v>1</v>
      </c>
    </row>
    <row r="79" spans="2:12" ht="22.5" customHeight="1">
      <c r="B79" s="32">
        <f>'Réf cellules RB'!A47</f>
        <v>46</v>
      </c>
      <c r="C79" s="32">
        <f>IFERROR(IF(_xlfn.XLOOKUP(Tableau4[[#This Row],[Isin]],Tableau1[Isin],Tableau1[Sum intérêt])=0,"",_xlfn.XLOOKUP(Tableau4[[#This Row],[Isin]],Tableau1[Isin],Tableau1[Sum intérêt])),"")</f>
        <v>30</v>
      </c>
      <c r="D79" s="31" t="s">
        <v>293</v>
      </c>
      <c r="E79" s="74" t="s">
        <v>3309</v>
      </c>
      <c r="F79" s="169">
        <v>0.56000000000000005</v>
      </c>
      <c r="G79" s="91">
        <v>0.2</v>
      </c>
      <c r="H79" s="91">
        <v>0.08</v>
      </c>
      <c r="I79" s="91"/>
      <c r="J79" s="91">
        <v>0.16</v>
      </c>
      <c r="K79" s="91"/>
      <c r="L79" s="128">
        <f>IF(SUM(Tableau4[[#This Row],[Europe]:[Reste du Monde]])=0,"",SUM(Tableau4[[#This Row],[Europe]:[Reste du Monde]]))</f>
        <v>1</v>
      </c>
    </row>
    <row r="80" spans="2:12">
      <c r="B80" s="32">
        <f>'Réf cellules RB'!A13</f>
        <v>12</v>
      </c>
      <c r="C80" s="32">
        <f>IFERROR(IF(_xlfn.XLOOKUP(Tableau4[[#This Row],[Isin]],Tableau1[Isin],Tableau1[Sum intérêt])=0,"",_xlfn.XLOOKUP(Tableau4[[#This Row],[Isin]],Tableau1[Isin],Tableau1[Sum intérêt])),"")</f>
        <v>30</v>
      </c>
      <c r="D80" s="31" t="s">
        <v>1251</v>
      </c>
      <c r="E80" s="93" t="s">
        <v>3344</v>
      </c>
      <c r="F80" s="169">
        <v>0.46</v>
      </c>
      <c r="G80" s="91">
        <v>0.24</v>
      </c>
      <c r="H80" s="91">
        <v>0.27</v>
      </c>
      <c r="I80" s="91"/>
      <c r="J80" s="91">
        <v>0.03</v>
      </c>
      <c r="K80" s="91"/>
      <c r="L80" s="128">
        <f>IF(SUM(Tableau4[[#This Row],[Europe]:[Reste du Monde]])=0,"",SUM(Tableau4[[#This Row],[Europe]:[Reste du Monde]]))</f>
        <v>1</v>
      </c>
    </row>
    <row r="81" spans="2:12">
      <c r="C81" s="32">
        <f>IFERROR(IF(_xlfn.XLOOKUP(Tableau4[[#This Row],[Isin]],Tableau1[Isin],Tableau1[Sum intérêt])=0,"",_xlfn.XLOOKUP(Tableau4[[#This Row],[Isin]],Tableau1[Isin],Tableau1[Sum intérêt])),"")</f>
        <v>30</v>
      </c>
      <c r="D81" s="31" t="s">
        <v>3351</v>
      </c>
      <c r="E81" s="74" t="s">
        <v>3352</v>
      </c>
      <c r="F81" s="123"/>
      <c r="G81" s="91"/>
      <c r="H81" s="91"/>
      <c r="I81" s="91"/>
      <c r="J81" s="91"/>
      <c r="K81" s="91"/>
      <c r="L81" s="128" t="s">
        <v>131</v>
      </c>
    </row>
    <row r="82" spans="2:12">
      <c r="B82" s="32">
        <f>'Réf cellules RB'!A71</f>
        <v>70</v>
      </c>
      <c r="C82" s="32">
        <f>IFERROR(IF(_xlfn.XLOOKUP(Tableau4[[#This Row],[Isin]],Tableau1[Isin],Tableau1[Sum intérêt])=0,"",_xlfn.XLOOKUP(Tableau4[[#This Row],[Isin]],Tableau1[Isin],Tableau1[Sum intérêt])),"")</f>
        <v>30</v>
      </c>
      <c r="D82" s="31" t="s">
        <v>1183</v>
      </c>
      <c r="E82" s="74" t="s">
        <v>1179</v>
      </c>
      <c r="F82" s="123">
        <v>0.35</v>
      </c>
      <c r="G82" s="91">
        <v>0.4</v>
      </c>
      <c r="H82" s="91"/>
      <c r="I82" s="91"/>
      <c r="J82" s="91"/>
      <c r="K82" s="91">
        <v>0.25</v>
      </c>
      <c r="L82" s="128">
        <f>IF(SUM(Tableau4[[#This Row],[Europe]:[Reste du Monde]])=0,"",SUM(Tableau4[[#This Row],[Europe]:[Reste du Monde]]))</f>
        <v>1</v>
      </c>
    </row>
    <row r="83" spans="2:12" ht="17.25" customHeight="1">
      <c r="C83" s="32">
        <f>IFERROR(IF(_xlfn.XLOOKUP(Tableau4[[#This Row],[Isin]],Tableau1[Isin],Tableau1[Sum intérêt])=0,"",_xlfn.XLOOKUP(Tableau4[[#This Row],[Isin]],Tableau1[Isin],Tableau1[Sum intérêt])),"")</f>
        <v>30</v>
      </c>
      <c r="D83" s="31" t="s">
        <v>3367</v>
      </c>
      <c r="E83" s="74" t="s">
        <v>3368</v>
      </c>
      <c r="F83" s="169"/>
      <c r="G83" s="91">
        <v>0.51</v>
      </c>
      <c r="H83" s="91"/>
      <c r="I83" s="91"/>
      <c r="J83" s="91"/>
      <c r="K83" s="91">
        <v>0.49</v>
      </c>
      <c r="L83" s="128">
        <f>IF(SUM(Tableau4[[#This Row],[Europe]:[Reste du Monde]])=0,"",SUM(Tableau4[[#This Row],[Europe]:[Reste du Monde]]))</f>
        <v>1</v>
      </c>
    </row>
    <row r="84" spans="2:12">
      <c r="B84" s="32">
        <f>'Réf cellules RB'!A46</f>
        <v>45</v>
      </c>
      <c r="C84" s="32">
        <f>IFERROR(IF(_xlfn.XLOOKUP(Tableau4[[#This Row],[Isin]],Tableau1[Isin],Tableau1[Sum intérêt])=0,"",_xlfn.XLOOKUP(Tableau4[[#This Row],[Isin]],Tableau1[Isin],Tableau1[Sum intérêt])),"")</f>
        <v>30</v>
      </c>
      <c r="D84" s="31" t="s">
        <v>2519</v>
      </c>
      <c r="E84" s="74" t="s">
        <v>2516</v>
      </c>
      <c r="F84" s="169">
        <v>0.45</v>
      </c>
      <c r="G84" s="91">
        <v>0.15</v>
      </c>
      <c r="H84" s="91"/>
      <c r="I84" s="91"/>
      <c r="J84" s="91"/>
      <c r="K84" s="91">
        <v>0.4</v>
      </c>
      <c r="L84" s="128">
        <f>IF(SUM(Tableau4[[#This Row],[Europe]:[Reste du Monde]])=0,"",SUM(Tableau4[[#This Row],[Europe]:[Reste du Monde]]))</f>
        <v>1</v>
      </c>
    </row>
    <row r="85" spans="2:12" ht="15.75" customHeight="1">
      <c r="B85" s="32">
        <f>'Réf cellules RB'!A62</f>
        <v>61</v>
      </c>
      <c r="C85" s="32">
        <f>IFERROR(IF(_xlfn.XLOOKUP(Tableau4[[#This Row],[Isin]],Tableau1[Isin],Tableau1[Sum intérêt])=0,"",_xlfn.XLOOKUP(Tableau4[[#This Row],[Isin]],Tableau1[Isin],Tableau1[Sum intérêt])),"")</f>
        <v>30</v>
      </c>
      <c r="D85" s="31" t="s">
        <v>857</v>
      </c>
      <c r="E85" s="74" t="s">
        <v>854</v>
      </c>
      <c r="F85" s="169">
        <v>0.78</v>
      </c>
      <c r="G85" s="91">
        <v>0.13</v>
      </c>
      <c r="H85" s="91">
        <v>0.09</v>
      </c>
      <c r="I85" s="91"/>
      <c r="J85" s="91"/>
      <c r="K85" s="91"/>
      <c r="L85" s="128">
        <f>IF(SUM(Tableau4[[#This Row],[Europe]:[Reste du Monde]])=0,"",SUM(Tableau4[[#This Row],[Europe]:[Reste du Monde]]))</f>
        <v>1</v>
      </c>
    </row>
    <row r="86" spans="2:12">
      <c r="C86" s="32">
        <f>IFERROR(IF(_xlfn.XLOOKUP(Tableau4[[#This Row],[Isin]],Tableau1[Isin],Tableau1[Sum intérêt])=0,"",_xlfn.XLOOKUP(Tableau4[[#This Row],[Isin]],Tableau1[Isin],Tableau1[Sum intérêt])),"")</f>
        <v>30</v>
      </c>
      <c r="D86" s="4" t="s">
        <v>3382</v>
      </c>
      <c r="E86" s="74" t="s">
        <v>3383</v>
      </c>
      <c r="F86" s="169"/>
      <c r="G86" s="91">
        <v>0.46</v>
      </c>
      <c r="H86" s="91"/>
      <c r="I86" s="91"/>
      <c r="J86" s="91"/>
      <c r="K86" s="91">
        <v>0.54</v>
      </c>
      <c r="L86" s="128">
        <f>IF(SUM(Tableau4[[#This Row],[Europe]:[Reste du Monde]])=0,"",SUM(Tableau4[[#This Row],[Europe]:[Reste du Monde]]))</f>
        <v>1</v>
      </c>
    </row>
    <row r="87" spans="2:12">
      <c r="B87" s="32">
        <f>'Réf cellules RB'!A18</f>
        <v>17</v>
      </c>
      <c r="C87" s="32">
        <f>IFERROR(IF(_xlfn.XLOOKUP(Tableau4[[#This Row],[Isin]],Tableau1[Isin],Tableau1[Sum intérêt])=0,"",_xlfn.XLOOKUP(Tableau4[[#This Row],[Isin]],Tableau1[Isin],Tableau1[Sum intérêt])),"")</f>
        <v>30</v>
      </c>
      <c r="D87" s="31" t="s">
        <v>1594</v>
      </c>
      <c r="E87" s="93" t="s">
        <v>1591</v>
      </c>
      <c r="F87" s="169">
        <v>0.25900000000000001</v>
      </c>
      <c r="G87" s="91">
        <v>0.38100000000000001</v>
      </c>
      <c r="H87" s="91"/>
      <c r="I87" s="91">
        <v>7.1999999999999995E-2</v>
      </c>
      <c r="J87" s="91"/>
      <c r="K87" s="91">
        <v>0.28799999999999998</v>
      </c>
      <c r="L87" s="128">
        <f>IF(SUM(Tableau4[[#This Row],[Europe]:[Reste du Monde]])=0,"",SUM(Tableau4[[#This Row],[Europe]:[Reste du Monde]]))</f>
        <v>1</v>
      </c>
    </row>
    <row r="88" spans="2:12">
      <c r="B88" s="32">
        <f>'Réf cellules RB'!A20</f>
        <v>19</v>
      </c>
      <c r="C88" s="32">
        <f>IFERROR(IF(_xlfn.XLOOKUP(Tableau4[[#This Row],[Isin]],Tableau1[Isin],Tableau1[Sum intérêt])=0,"",_xlfn.XLOOKUP(Tableau4[[#This Row],[Isin]],Tableau1[Isin],Tableau1[Sum intérêt])),"")</f>
        <v>30</v>
      </c>
      <c r="D88" s="31" t="s">
        <v>2152</v>
      </c>
      <c r="E88" s="93" t="s">
        <v>2149</v>
      </c>
      <c r="F88" s="169">
        <v>0.36099999999999999</v>
      </c>
      <c r="G88" s="91">
        <v>0.45</v>
      </c>
      <c r="H88" s="91">
        <v>0.189</v>
      </c>
      <c r="I88" s="91"/>
      <c r="J88" s="91"/>
      <c r="K88" s="91"/>
      <c r="L88" s="128">
        <f>IF(SUM(Tableau4[[#This Row],[Europe]:[Reste du Monde]])=0,"",SUM(Tableau4[[#This Row],[Europe]:[Reste du Monde]]))</f>
        <v>1</v>
      </c>
    </row>
    <row r="89" spans="2:12">
      <c r="B89" s="32">
        <f>'Réf cellules RB'!A40</f>
        <v>39</v>
      </c>
      <c r="C89" s="32">
        <f>IFERROR(IF(_xlfn.XLOOKUP(Tableau4[[#This Row],[Isin]],Tableau1[Isin],Tableau1[Sum intérêt])=0,"",_xlfn.XLOOKUP(Tableau4[[#This Row],[Isin]],Tableau1[Isin],Tableau1[Sum intérêt])),"")</f>
        <v>30</v>
      </c>
      <c r="D89" s="31" t="s">
        <v>2420</v>
      </c>
      <c r="E89" s="74" t="s">
        <v>3425</v>
      </c>
      <c r="F89" s="169">
        <v>0.38</v>
      </c>
      <c r="G89" s="91">
        <v>0.12</v>
      </c>
      <c r="H89" s="91">
        <v>0.08</v>
      </c>
      <c r="I89" s="92">
        <v>0.25</v>
      </c>
      <c r="J89" s="91">
        <v>0.04</v>
      </c>
      <c r="K89" s="91">
        <v>0.13</v>
      </c>
      <c r="L89" s="128">
        <f>IF(SUM(Tableau4[[#This Row],[Europe]:[Reste du Monde]])=0,"",SUM(Tableau4[[#This Row],[Europe]:[Reste du Monde]]))</f>
        <v>1</v>
      </c>
    </row>
    <row r="90" spans="2:12">
      <c r="B90" s="32">
        <f>'Réf cellules RB'!A98</f>
        <v>97</v>
      </c>
      <c r="C90" s="32">
        <f>IFERROR(IF(_xlfn.XLOOKUP(Tableau4[[#This Row],[Isin]],Tableau1[Isin],Tableau1[Sum intérêt])=0,"",_xlfn.XLOOKUP(Tableau4[[#This Row],[Isin]],Tableau1[Isin],Tableau1[Sum intérêt])),"")</f>
        <v>30</v>
      </c>
      <c r="D90" s="31" t="s">
        <v>4122</v>
      </c>
      <c r="E90" s="74" t="s">
        <v>4617</v>
      </c>
      <c r="F90" s="123">
        <v>0.4</v>
      </c>
      <c r="G90" s="91">
        <v>0.3</v>
      </c>
      <c r="H90" s="91">
        <v>0.22</v>
      </c>
      <c r="K90" s="91">
        <v>0.08</v>
      </c>
      <c r="L90" s="128">
        <f>IF(SUM(Tableau4[[#This Row],[Europe]:[Reste du Monde]])=0,"",SUM(Tableau4[[#This Row],[Europe]:[Reste du Monde]]))</f>
        <v>0.99999999999999989</v>
      </c>
    </row>
    <row r="91" spans="2:12" ht="17">
      <c r="B91" s="32">
        <f>'Réf cellules RB'!A140</f>
        <v>139</v>
      </c>
      <c r="C91" s="32">
        <f>IFERROR(IF(_xlfn.XLOOKUP(Tableau4[[#This Row],[Isin]],Tableau1[Isin],Tableau1[Sum intérêt])=0,"",_xlfn.XLOOKUP(Tableau4[[#This Row],[Isin]],Tableau1[Isin],Tableau1[Sum intérêt])),"")</f>
        <v>30</v>
      </c>
      <c r="D91" s="31" t="s">
        <v>2662</v>
      </c>
      <c r="E91" s="161" t="s">
        <v>2659</v>
      </c>
      <c r="F91" s="123">
        <v>0.2</v>
      </c>
      <c r="G91" s="91">
        <v>0.15</v>
      </c>
      <c r="H91" s="91">
        <v>0.65</v>
      </c>
      <c r="I91" s="91"/>
      <c r="J91" s="91"/>
      <c r="K91" s="91"/>
      <c r="L91" s="128">
        <f>IF(SUM(Tableau4[[#This Row],[Europe]:[Reste du Monde]])=0,"",SUM(Tableau4[[#This Row],[Europe]:[Reste du Monde]]))</f>
        <v>1</v>
      </c>
    </row>
    <row r="92" spans="2:12">
      <c r="B92" s="32">
        <f>'Réf cellules RB'!A69</f>
        <v>68</v>
      </c>
      <c r="C92" s="32">
        <f>IFERROR(IF(_xlfn.XLOOKUP(Tableau4[[#This Row],[Isin]],Tableau1[Isin],Tableau1[Sum intérêt])=0,"",_xlfn.XLOOKUP(Tableau4[[#This Row],[Isin]],Tableau1[Isin],Tableau1[Sum intérêt])),"")</f>
        <v>30</v>
      </c>
      <c r="D92" s="31" t="s">
        <v>2773</v>
      </c>
      <c r="E92" s="74" t="s">
        <v>2768</v>
      </c>
      <c r="F92" s="123"/>
      <c r="G92" s="91"/>
      <c r="H92" s="91"/>
      <c r="I92" s="91"/>
      <c r="J92" s="91"/>
      <c r="K92" s="91"/>
      <c r="L92" s="128" t="str">
        <f>IF(SUM(Tableau4[[#This Row],[Europe]:[Reste du Monde]])=0,"",SUM(Tableau4[[#This Row],[Europe]:[Reste du Monde]]))</f>
        <v/>
      </c>
    </row>
    <row r="93" spans="2:12">
      <c r="B93" s="32">
        <f>'Réf cellules RB'!A56</f>
        <v>55</v>
      </c>
      <c r="C93" s="32">
        <f>IFERROR(IF(_xlfn.XLOOKUP(Tableau4[[#This Row],[Isin]],Tableau1[Isin],Tableau1[Sum intérêt])=0,"",_xlfn.XLOOKUP(Tableau4[[#This Row],[Isin]],Tableau1[Isin],Tableau1[Sum intérêt])),"")</f>
        <v>30</v>
      </c>
      <c r="D93" s="31" t="s">
        <v>516</v>
      </c>
      <c r="E93" s="74" t="s">
        <v>513</v>
      </c>
      <c r="F93" s="169">
        <v>0.52</v>
      </c>
      <c r="G93" s="91">
        <v>0.2</v>
      </c>
      <c r="H93" s="91">
        <v>0.23</v>
      </c>
      <c r="I93" s="91"/>
      <c r="J93" s="91">
        <v>0.05</v>
      </c>
      <c r="K93" s="91"/>
      <c r="L93" s="128">
        <f>IF(SUM(Tableau4[[#This Row],[Europe]:[Reste du Monde]])=0,"",SUM(Tableau4[[#This Row],[Europe]:[Reste du Monde]]))</f>
        <v>1</v>
      </c>
    </row>
    <row r="94" spans="2:12">
      <c r="B94" s="32">
        <f>'Réf cellules RB'!A93</f>
        <v>92</v>
      </c>
      <c r="C94" s="32">
        <f>IFERROR(IF(_xlfn.XLOOKUP(Tableau4[[#This Row],[Isin]],Tableau1[Isin],Tableau1[Sum intérêt])=0,"",_xlfn.XLOOKUP(Tableau4[[#This Row],[Isin]],Tableau1[Isin],Tableau1[Sum intérêt])),"")</f>
        <v>99</v>
      </c>
      <c r="D94" s="31"/>
      <c r="E94" s="74"/>
      <c r="F94" s="174"/>
      <c r="L94" s="128" t="str">
        <f>IF(SUM(Tableau4[[#This Row],[Europe]:[Reste du Monde]])=0,"",SUM(Tableau4[[#This Row],[Europe]:[Reste du Monde]]))</f>
        <v/>
      </c>
    </row>
    <row r="95" spans="2:12">
      <c r="B95" s="32">
        <f>'Réf cellules RB'!A94</f>
        <v>93</v>
      </c>
      <c r="C95" s="32">
        <f>IFERROR(IF(_xlfn.XLOOKUP(Tableau4[[#This Row],[Isin]],Tableau1[Isin],Tableau1[Sum intérêt])=0,"",_xlfn.XLOOKUP(Tableau4[[#This Row],[Isin]],Tableau1[Isin],Tableau1[Sum intérêt])),"")</f>
        <v>99</v>
      </c>
      <c r="D95" s="31"/>
      <c r="F95" s="174"/>
      <c r="L95" s="128" t="str">
        <f>IF(SUM(Tableau4[[#This Row],[Europe]:[Reste du Monde]])=0,"",SUM(Tableau4[[#This Row],[Europe]:[Reste du Monde]]))</f>
        <v/>
      </c>
    </row>
    <row r="96" spans="2:12">
      <c r="B96" s="32">
        <f>'Réf cellules RB'!A96</f>
        <v>95</v>
      </c>
      <c r="C96" s="32">
        <f>IFERROR(IF(_xlfn.XLOOKUP(Tableau4[[#This Row],[Isin]],Tableau1[Isin],Tableau1[Sum intérêt])=0,"",_xlfn.XLOOKUP(Tableau4[[#This Row],[Isin]],Tableau1[Isin],Tableau1[Sum intérêt])),"")</f>
        <v>99</v>
      </c>
      <c r="D96" s="31"/>
      <c r="E96" s="74"/>
      <c r="F96" s="174"/>
      <c r="L96" s="128" t="str">
        <f>IF(SUM(Tableau4[[#This Row],[Europe]:[Reste du Monde]])=0,"",SUM(Tableau4[[#This Row],[Europe]:[Reste du Monde]]))</f>
        <v/>
      </c>
    </row>
    <row r="97" spans="2:12">
      <c r="B97" s="32">
        <f>'Réf cellules RB'!A99</f>
        <v>98</v>
      </c>
      <c r="C97" s="32">
        <f>IFERROR(IF(_xlfn.XLOOKUP(Tableau4[[#This Row],[Isin]],Tableau1[Isin],Tableau1[Sum intérêt])=0,"",_xlfn.XLOOKUP(Tableau4[[#This Row],[Isin]],Tableau1[Isin],Tableau1[Sum intérêt])),"")</f>
        <v>99</v>
      </c>
      <c r="D97" s="31"/>
      <c r="E97" s="74"/>
      <c r="F97" s="174"/>
      <c r="L97" s="128" t="str">
        <f>IF(SUM(Tableau4[[#This Row],[Europe]:[Reste du Monde]])=0,"",SUM(Tableau4[[#This Row],[Europe]:[Reste du Monde]]))</f>
        <v/>
      </c>
    </row>
    <row r="98" spans="2:12">
      <c r="B98" s="32">
        <f>'Réf cellules RB'!A101</f>
        <v>100</v>
      </c>
      <c r="C98" s="32">
        <f>IFERROR(IF(_xlfn.XLOOKUP(Tableau4[[#This Row],[Isin]],Tableau1[Isin],Tableau1[Sum intérêt])=0,"",_xlfn.XLOOKUP(Tableau4[[#This Row],[Isin]],Tableau1[Isin],Tableau1[Sum intérêt])),"")</f>
        <v>99</v>
      </c>
      <c r="D98" s="31"/>
      <c r="F98" s="174"/>
      <c r="L98" s="128" t="str">
        <f>IF(SUM(Tableau4[[#This Row],[Europe]:[Reste du Monde]])=0,"",SUM(Tableau4[[#This Row],[Europe]:[Reste du Monde]]))</f>
        <v/>
      </c>
    </row>
    <row r="99" spans="2:12">
      <c r="B99" s="32">
        <f>'Réf cellules RB'!A102</f>
        <v>101</v>
      </c>
      <c r="C99" s="32">
        <f>IFERROR(IF(_xlfn.XLOOKUP(Tableau4[[#This Row],[Isin]],Tableau1[Isin],Tableau1[Sum intérêt])=0,"",_xlfn.XLOOKUP(Tableau4[[#This Row],[Isin]],Tableau1[Isin],Tableau1[Sum intérêt])),"")</f>
        <v>99</v>
      </c>
      <c r="D99" s="31"/>
      <c r="F99" s="174"/>
      <c r="L99" s="128" t="str">
        <f>IF(SUM(Tableau4[[#This Row],[Europe]:[Reste du Monde]])=0,"",SUM(Tableau4[[#This Row],[Europe]:[Reste du Monde]]))</f>
        <v/>
      </c>
    </row>
    <row r="100" spans="2:12">
      <c r="B100" s="32">
        <f>'Réf cellules RB'!A103</f>
        <v>102</v>
      </c>
      <c r="C100" s="32">
        <f>IFERROR(IF(_xlfn.XLOOKUP(Tableau4[[#This Row],[Isin]],Tableau1[Isin],Tableau1[Sum intérêt])=0,"",_xlfn.XLOOKUP(Tableau4[[#This Row],[Isin]],Tableau1[Isin],Tableau1[Sum intérêt])),"")</f>
        <v>99</v>
      </c>
      <c r="D100" s="31"/>
      <c r="F100" s="174"/>
      <c r="L100" s="128" t="str">
        <f>IF(SUM(Tableau4[[#This Row],[Europe]:[Reste du Monde]])=0,"",SUM(Tableau4[[#This Row],[Europe]:[Reste du Monde]]))</f>
        <v/>
      </c>
    </row>
    <row r="101" spans="2:12">
      <c r="B101" s="32">
        <f>'Réf cellules RB'!A105</f>
        <v>104</v>
      </c>
      <c r="C101" s="32">
        <f>IFERROR(IF(_xlfn.XLOOKUP(Tableau4[[#This Row],[Isin]],Tableau1[Isin],Tableau1[Sum intérêt])=0,"",_xlfn.XLOOKUP(Tableau4[[#This Row],[Isin]],Tableau1[Isin],Tableau1[Sum intérêt])),"")</f>
        <v>99</v>
      </c>
      <c r="D101" s="31"/>
      <c r="F101" s="174"/>
      <c r="L101" s="128" t="str">
        <f>IF(SUM(Tableau4[[#This Row],[Europe]:[Reste du Monde]])=0,"",SUM(Tableau4[[#This Row],[Europe]:[Reste du Monde]]))</f>
        <v/>
      </c>
    </row>
    <row r="102" spans="2:12">
      <c r="B102" s="32">
        <f>'Réf cellules RB'!A106</f>
        <v>105</v>
      </c>
      <c r="C102" s="32">
        <f>IFERROR(IF(_xlfn.XLOOKUP(Tableau4[[#This Row],[Isin]],Tableau1[Isin],Tableau1[Sum intérêt])=0,"",_xlfn.XLOOKUP(Tableau4[[#This Row],[Isin]],Tableau1[Isin],Tableau1[Sum intérêt])),"")</f>
        <v>99</v>
      </c>
      <c r="D102" s="31"/>
      <c r="F102" s="174"/>
      <c r="L102" s="128" t="str">
        <f>IF(SUM(Tableau4[[#This Row],[Europe]:[Reste du Monde]])=0,"",SUM(Tableau4[[#This Row],[Europe]:[Reste du Monde]]))</f>
        <v/>
      </c>
    </row>
    <row r="103" spans="2:12">
      <c r="B103" s="32">
        <f>'Réf cellules RB'!A107</f>
        <v>106</v>
      </c>
      <c r="C103" s="32">
        <f>IFERROR(IF(_xlfn.XLOOKUP(Tableau4[[#This Row],[Isin]],Tableau1[Isin],Tableau1[Sum intérêt])=0,"",_xlfn.XLOOKUP(Tableau4[[#This Row],[Isin]],Tableau1[Isin],Tableau1[Sum intérêt])),"")</f>
        <v>99</v>
      </c>
      <c r="D103" s="31"/>
      <c r="F103" s="174"/>
      <c r="L103" s="128" t="str">
        <f>IF(SUM(Tableau4[[#This Row],[Europe]:[Reste du Monde]])=0,"",SUM(Tableau4[[#This Row],[Europe]:[Reste du Monde]]))</f>
        <v/>
      </c>
    </row>
    <row r="104" spans="2:12">
      <c r="B104" s="32">
        <f>'Réf cellules RB'!A108</f>
        <v>107</v>
      </c>
      <c r="C104" s="32">
        <f>IFERROR(IF(_xlfn.XLOOKUP(Tableau4[[#This Row],[Isin]],Tableau1[Isin],Tableau1[Sum intérêt])=0,"",_xlfn.XLOOKUP(Tableau4[[#This Row],[Isin]],Tableau1[Isin],Tableau1[Sum intérêt])),"")</f>
        <v>99</v>
      </c>
      <c r="D104" s="31"/>
      <c r="F104" s="174"/>
      <c r="L104" s="128" t="str">
        <f>IF(SUM(Tableau4[[#This Row],[Europe]:[Reste du Monde]])=0,"",SUM(Tableau4[[#This Row],[Europe]:[Reste du Monde]]))</f>
        <v/>
      </c>
    </row>
    <row r="105" spans="2:12">
      <c r="B105" s="32">
        <f>'Réf cellules RB'!A109</f>
        <v>108</v>
      </c>
      <c r="C105" s="32">
        <f>IFERROR(IF(_xlfn.XLOOKUP(Tableau4[[#This Row],[Isin]],Tableau1[Isin],Tableau1[Sum intérêt])=0,"",_xlfn.XLOOKUP(Tableau4[[#This Row],[Isin]],Tableau1[Isin],Tableau1[Sum intérêt])),"")</f>
        <v>99</v>
      </c>
      <c r="D105" s="31"/>
      <c r="F105" s="174"/>
      <c r="L105" s="128" t="str">
        <f>IF(SUM(Tableau4[[#This Row],[Europe]:[Reste du Monde]])=0,"",SUM(Tableau4[[#This Row],[Europe]:[Reste du Monde]]))</f>
        <v/>
      </c>
    </row>
    <row r="106" spans="2:12">
      <c r="B106" s="32">
        <f>'Réf cellules RB'!A110</f>
        <v>109</v>
      </c>
      <c r="C106" s="32">
        <f>IFERROR(IF(_xlfn.XLOOKUP(Tableau4[[#This Row],[Isin]],Tableau1[Isin],Tableau1[Sum intérêt])=0,"",_xlfn.XLOOKUP(Tableau4[[#This Row],[Isin]],Tableau1[Isin],Tableau1[Sum intérêt])),"")</f>
        <v>99</v>
      </c>
      <c r="D106" s="31"/>
      <c r="F106" s="174"/>
      <c r="L106" s="128" t="str">
        <f>IF(SUM(Tableau4[[#This Row],[Europe]:[Reste du Monde]])=0,"",SUM(Tableau4[[#This Row],[Europe]:[Reste du Monde]]))</f>
        <v/>
      </c>
    </row>
    <row r="107" spans="2:12">
      <c r="B107" s="32">
        <f>'Réf cellules RB'!A111</f>
        <v>110</v>
      </c>
      <c r="C107" s="32">
        <f>IFERROR(IF(_xlfn.XLOOKUP(Tableau4[[#This Row],[Isin]],Tableau1[Isin],Tableau1[Sum intérêt])=0,"",_xlfn.XLOOKUP(Tableau4[[#This Row],[Isin]],Tableau1[Isin],Tableau1[Sum intérêt])),"")</f>
        <v>99</v>
      </c>
      <c r="D107" s="31"/>
      <c r="F107" s="174"/>
      <c r="L107" s="128" t="str">
        <f>IF(SUM(Tableau4[[#This Row],[Europe]:[Reste du Monde]])=0,"",SUM(Tableau4[[#This Row],[Europe]:[Reste du Monde]]))</f>
        <v/>
      </c>
    </row>
    <row r="108" spans="2:12">
      <c r="B108" s="32">
        <f>'Réf cellules RB'!A112</f>
        <v>111</v>
      </c>
      <c r="C108" s="32">
        <f>IFERROR(IF(_xlfn.XLOOKUP(Tableau4[[#This Row],[Isin]],Tableau1[Isin],Tableau1[Sum intérêt])=0,"",_xlfn.XLOOKUP(Tableau4[[#This Row],[Isin]],Tableau1[Isin],Tableau1[Sum intérêt])),"")</f>
        <v>99</v>
      </c>
      <c r="D108" s="31"/>
      <c r="F108" s="174"/>
      <c r="L108" s="128" t="str">
        <f>IF(SUM(Tableau4[[#This Row],[Europe]:[Reste du Monde]])=0,"",SUM(Tableau4[[#This Row],[Europe]:[Reste du Monde]]))</f>
        <v/>
      </c>
    </row>
    <row r="109" spans="2:12">
      <c r="B109" s="32">
        <f>'Réf cellules RB'!A113</f>
        <v>112</v>
      </c>
      <c r="C109" s="32">
        <f>IFERROR(IF(_xlfn.XLOOKUP(Tableau4[[#This Row],[Isin]],Tableau1[Isin],Tableau1[Sum intérêt])=0,"",_xlfn.XLOOKUP(Tableau4[[#This Row],[Isin]],Tableau1[Isin],Tableau1[Sum intérêt])),"")</f>
        <v>99</v>
      </c>
      <c r="D109" s="31"/>
      <c r="F109" s="174"/>
      <c r="L109" s="128" t="str">
        <f>IF(SUM(Tableau4[[#This Row],[Europe]:[Reste du Monde]])=0,"",SUM(Tableau4[[#This Row],[Europe]:[Reste du Monde]]))</f>
        <v/>
      </c>
    </row>
    <row r="110" spans="2:12">
      <c r="B110" s="32">
        <f>'Réf cellules RB'!A114</f>
        <v>113</v>
      </c>
      <c r="C110" s="32">
        <f>IFERROR(IF(_xlfn.XLOOKUP(Tableau4[[#This Row],[Isin]],Tableau1[Isin],Tableau1[Sum intérêt])=0,"",_xlfn.XLOOKUP(Tableau4[[#This Row],[Isin]],Tableau1[Isin],Tableau1[Sum intérêt])),"")</f>
        <v>99</v>
      </c>
      <c r="D110" s="31"/>
      <c r="F110" s="174"/>
      <c r="L110" s="128" t="str">
        <f>IF(SUM(Tableau4[[#This Row],[Europe]:[Reste du Monde]])=0,"",SUM(Tableau4[[#This Row],[Europe]:[Reste du Monde]]))</f>
        <v/>
      </c>
    </row>
    <row r="111" spans="2:12">
      <c r="B111" s="32">
        <f>'Réf cellules RB'!A115</f>
        <v>114</v>
      </c>
      <c r="C111" s="32">
        <f>IFERROR(IF(_xlfn.XLOOKUP(Tableau4[[#This Row],[Isin]],Tableau1[Isin],Tableau1[Sum intérêt])=0,"",_xlfn.XLOOKUP(Tableau4[[#This Row],[Isin]],Tableau1[Isin],Tableau1[Sum intérêt])),"")</f>
        <v>99</v>
      </c>
      <c r="D111" s="31"/>
      <c r="F111" s="174"/>
      <c r="L111" s="128" t="str">
        <f>IF(SUM(Tableau4[[#This Row],[Europe]:[Reste du Monde]])=0,"",SUM(Tableau4[[#This Row],[Europe]:[Reste du Monde]]))</f>
        <v/>
      </c>
    </row>
    <row r="112" spans="2:12">
      <c r="B112" s="32">
        <f>'Réf cellules RB'!A116</f>
        <v>115</v>
      </c>
      <c r="C112" s="32">
        <f>IFERROR(IF(_xlfn.XLOOKUP(Tableau4[[#This Row],[Isin]],Tableau1[Isin],Tableau1[Sum intérêt])=0,"",_xlfn.XLOOKUP(Tableau4[[#This Row],[Isin]],Tableau1[Isin],Tableau1[Sum intérêt])),"")</f>
        <v>99</v>
      </c>
      <c r="D112" s="31"/>
      <c r="F112" s="174"/>
      <c r="L112" s="128" t="str">
        <f>IF(SUM(Tableau4[[#This Row],[Europe]:[Reste du Monde]])=0,"",SUM(Tableau4[[#This Row],[Europe]:[Reste du Monde]]))</f>
        <v/>
      </c>
    </row>
    <row r="113" spans="2:12">
      <c r="B113" s="32">
        <f>'Réf cellules RB'!A117</f>
        <v>116</v>
      </c>
      <c r="C113" s="32">
        <f>IFERROR(IF(_xlfn.XLOOKUP(Tableau4[[#This Row],[Isin]],Tableau1[Isin],Tableau1[Sum intérêt])=0,"",_xlfn.XLOOKUP(Tableau4[[#This Row],[Isin]],Tableau1[Isin],Tableau1[Sum intérêt])),"")</f>
        <v>99</v>
      </c>
      <c r="D113" s="31"/>
      <c r="F113" s="174"/>
      <c r="L113" s="128" t="str">
        <f>IF(SUM(Tableau4[[#This Row],[Europe]:[Reste du Monde]])=0,"",SUM(Tableau4[[#This Row],[Europe]:[Reste du Monde]]))</f>
        <v/>
      </c>
    </row>
    <row r="114" spans="2:12">
      <c r="B114" s="32">
        <f>'Réf cellules RB'!A118</f>
        <v>117</v>
      </c>
      <c r="C114" s="32">
        <f>IFERROR(IF(_xlfn.XLOOKUP(Tableau4[[#This Row],[Isin]],Tableau1[Isin],Tableau1[Sum intérêt])=0,"",_xlfn.XLOOKUP(Tableau4[[#This Row],[Isin]],Tableau1[Isin],Tableau1[Sum intérêt])),"")</f>
        <v>99</v>
      </c>
      <c r="D114" s="31"/>
      <c r="F114" s="174"/>
      <c r="L114" s="128" t="str">
        <f>IF(SUM(Tableau4[[#This Row],[Europe]:[Reste du Monde]])=0,"",SUM(Tableau4[[#This Row],[Europe]:[Reste du Monde]]))</f>
        <v/>
      </c>
    </row>
    <row r="115" spans="2:12">
      <c r="B115" s="32">
        <f>'Réf cellules RB'!A119</f>
        <v>118</v>
      </c>
      <c r="C115" s="32">
        <f>IFERROR(IF(_xlfn.XLOOKUP(Tableau4[[#This Row],[Isin]],Tableau1[Isin],Tableau1[Sum intérêt])=0,"",_xlfn.XLOOKUP(Tableau4[[#This Row],[Isin]],Tableau1[Isin],Tableau1[Sum intérêt])),"")</f>
        <v>99</v>
      </c>
      <c r="D115" s="31"/>
      <c r="F115" s="174"/>
      <c r="L115" s="128" t="str">
        <f>IF(SUM(Tableau4[[#This Row],[Europe]:[Reste du Monde]])=0,"",SUM(Tableau4[[#This Row],[Europe]:[Reste du Monde]]))</f>
        <v/>
      </c>
    </row>
    <row r="116" spans="2:12">
      <c r="B116" s="32">
        <f>'Réf cellules RB'!A120</f>
        <v>119</v>
      </c>
      <c r="C116" s="32">
        <f>IFERROR(IF(_xlfn.XLOOKUP(Tableau4[[#This Row],[Isin]],Tableau1[Isin],Tableau1[Sum intérêt])=0,"",_xlfn.XLOOKUP(Tableau4[[#This Row],[Isin]],Tableau1[Isin],Tableau1[Sum intérêt])),"")</f>
        <v>99</v>
      </c>
      <c r="D116" s="31"/>
      <c r="F116" s="174"/>
      <c r="L116" s="128" t="str">
        <f>IF(SUM(Tableau4[[#This Row],[Europe]:[Reste du Monde]])=0,"",SUM(Tableau4[[#This Row],[Europe]:[Reste du Monde]]))</f>
        <v/>
      </c>
    </row>
    <row r="117" spans="2:12">
      <c r="B117" s="32">
        <f>'Réf cellules RB'!A121</f>
        <v>120</v>
      </c>
      <c r="C117" s="32">
        <f>IFERROR(IF(_xlfn.XLOOKUP(Tableau4[[#This Row],[Isin]],Tableau1[Isin],Tableau1[Sum intérêt])=0,"",_xlfn.XLOOKUP(Tableau4[[#This Row],[Isin]],Tableau1[Isin],Tableau1[Sum intérêt])),"")</f>
        <v>99</v>
      </c>
      <c r="D117" s="31"/>
      <c r="F117" s="174"/>
      <c r="L117" s="128" t="str">
        <f>IF(SUM(Tableau4[[#This Row],[Europe]:[Reste du Monde]])=0,"",SUM(Tableau4[[#This Row],[Europe]:[Reste du Monde]]))</f>
        <v/>
      </c>
    </row>
    <row r="118" spans="2:12">
      <c r="B118" s="32">
        <f>'Réf cellules RB'!A122</f>
        <v>121</v>
      </c>
      <c r="C118" s="32">
        <f>IFERROR(IF(_xlfn.XLOOKUP(Tableau4[[#This Row],[Isin]],Tableau1[Isin],Tableau1[Sum intérêt])=0,"",_xlfn.XLOOKUP(Tableau4[[#This Row],[Isin]],Tableau1[Isin],Tableau1[Sum intérêt])),"")</f>
        <v>99</v>
      </c>
      <c r="D118" s="31"/>
      <c r="F118" s="174"/>
      <c r="L118" s="128" t="str">
        <f>IF(SUM(Tableau4[[#This Row],[Europe]:[Reste du Monde]])=0,"",SUM(Tableau4[[#This Row],[Europe]:[Reste du Monde]]))</f>
        <v/>
      </c>
    </row>
    <row r="119" spans="2:12">
      <c r="B119" s="32">
        <f>'Réf cellules RB'!A123</f>
        <v>122</v>
      </c>
      <c r="C119" s="32">
        <f>IFERROR(IF(_xlfn.XLOOKUP(Tableau4[[#This Row],[Isin]],Tableau1[Isin],Tableau1[Sum intérêt])=0,"",_xlfn.XLOOKUP(Tableau4[[#This Row],[Isin]],Tableau1[Isin],Tableau1[Sum intérêt])),"")</f>
        <v>99</v>
      </c>
      <c r="D119" s="31"/>
      <c r="F119" s="174"/>
      <c r="L119" s="128" t="str">
        <f>IF(SUM(Tableau4[[#This Row],[Europe]:[Reste du Monde]])=0,"",SUM(Tableau4[[#This Row],[Europe]:[Reste du Monde]]))</f>
        <v/>
      </c>
    </row>
    <row r="120" spans="2:12">
      <c r="B120" s="32">
        <f>'Réf cellules RB'!A124</f>
        <v>123</v>
      </c>
      <c r="C120" s="32">
        <f>IFERROR(IF(_xlfn.XLOOKUP(Tableau4[[#This Row],[Isin]],Tableau1[Isin],Tableau1[Sum intérêt])=0,"",_xlfn.XLOOKUP(Tableau4[[#This Row],[Isin]],Tableau1[Isin],Tableau1[Sum intérêt])),"")</f>
        <v>99</v>
      </c>
      <c r="D120" s="31"/>
      <c r="F120" s="174"/>
      <c r="L120" s="128" t="str">
        <f>IF(SUM(Tableau4[[#This Row],[Europe]:[Reste du Monde]])=0,"",SUM(Tableau4[[#This Row],[Europe]:[Reste du Monde]]))</f>
        <v/>
      </c>
    </row>
    <row r="121" spans="2:12">
      <c r="B121" s="32">
        <f>'Réf cellules RB'!A125</f>
        <v>124</v>
      </c>
      <c r="C121" s="32">
        <f>IFERROR(IF(_xlfn.XLOOKUP(Tableau4[[#This Row],[Isin]],Tableau1[Isin],Tableau1[Sum intérêt])=0,"",_xlfn.XLOOKUP(Tableau4[[#This Row],[Isin]],Tableau1[Isin],Tableau1[Sum intérêt])),"")</f>
        <v>99</v>
      </c>
      <c r="D121" s="31"/>
      <c r="F121" s="174"/>
      <c r="L121" s="128" t="str">
        <f>IF(SUM(Tableau4[[#This Row],[Europe]:[Reste du Monde]])=0,"",SUM(Tableau4[[#This Row],[Europe]:[Reste du Monde]]))</f>
        <v/>
      </c>
    </row>
    <row r="122" spans="2:12">
      <c r="B122" s="32">
        <f>'Réf cellules RB'!A126</f>
        <v>125</v>
      </c>
      <c r="C122" s="32">
        <f>IFERROR(IF(_xlfn.XLOOKUP(Tableau4[[#This Row],[Isin]],Tableau1[Isin],Tableau1[Sum intérêt])=0,"",_xlfn.XLOOKUP(Tableau4[[#This Row],[Isin]],Tableau1[Isin],Tableau1[Sum intérêt])),"")</f>
        <v>99</v>
      </c>
      <c r="D122" s="31"/>
      <c r="F122" s="174"/>
      <c r="L122" s="128" t="str">
        <f>IF(SUM(Tableau4[[#This Row],[Europe]:[Reste du Monde]])=0,"",SUM(Tableau4[[#This Row],[Europe]:[Reste du Monde]]))</f>
        <v/>
      </c>
    </row>
    <row r="123" spans="2:12">
      <c r="B123" s="32">
        <f>'Réf cellules RB'!A127</f>
        <v>126</v>
      </c>
      <c r="C123" s="32">
        <f>IFERROR(IF(_xlfn.XLOOKUP(Tableau4[[#This Row],[Isin]],Tableau1[Isin],Tableau1[Sum intérêt])=0,"",_xlfn.XLOOKUP(Tableau4[[#This Row],[Isin]],Tableau1[Isin],Tableau1[Sum intérêt])),"")</f>
        <v>99</v>
      </c>
      <c r="D123" s="31"/>
      <c r="F123" s="174"/>
      <c r="L123" s="128" t="str">
        <f>IF(SUM(Tableau4[[#This Row],[Europe]:[Reste du Monde]])=0,"",SUM(Tableau4[[#This Row],[Europe]:[Reste du Monde]]))</f>
        <v/>
      </c>
    </row>
    <row r="124" spans="2:12">
      <c r="B124" s="32">
        <f>'Réf cellules RB'!A128</f>
        <v>127</v>
      </c>
      <c r="C124" s="32">
        <f>IFERROR(IF(_xlfn.XLOOKUP(Tableau4[[#This Row],[Isin]],Tableau1[Isin],Tableau1[Sum intérêt])=0,"",_xlfn.XLOOKUP(Tableau4[[#This Row],[Isin]],Tableau1[Isin],Tableau1[Sum intérêt])),"")</f>
        <v>99</v>
      </c>
      <c r="D124" s="31"/>
      <c r="F124" s="174"/>
      <c r="L124" s="128" t="str">
        <f>IF(SUM(Tableau4[[#This Row],[Europe]:[Reste du Monde]])=0,"",SUM(Tableau4[[#This Row],[Europe]:[Reste du Monde]]))</f>
        <v/>
      </c>
    </row>
    <row r="125" spans="2:12">
      <c r="B125" s="32">
        <f>'Réf cellules RB'!A129</f>
        <v>128</v>
      </c>
      <c r="C125" s="32">
        <f>IFERROR(IF(_xlfn.XLOOKUP(Tableau4[[#This Row],[Isin]],Tableau1[Isin],Tableau1[Sum intérêt])=0,"",_xlfn.XLOOKUP(Tableau4[[#This Row],[Isin]],Tableau1[Isin],Tableau1[Sum intérêt])),"")</f>
        <v>99</v>
      </c>
      <c r="D125" s="31"/>
      <c r="F125" s="174"/>
      <c r="L125" s="128" t="str">
        <f>IF(SUM(Tableau4[[#This Row],[Europe]:[Reste du Monde]])=0,"",SUM(Tableau4[[#This Row],[Europe]:[Reste du Monde]]))</f>
        <v/>
      </c>
    </row>
    <row r="126" spans="2:12">
      <c r="B126" s="32">
        <f>'Réf cellules RB'!A130</f>
        <v>129</v>
      </c>
      <c r="C126" s="32">
        <f>IFERROR(IF(_xlfn.XLOOKUP(Tableau4[[#This Row],[Isin]],Tableau1[Isin],Tableau1[Sum intérêt])=0,"",_xlfn.XLOOKUP(Tableau4[[#This Row],[Isin]],Tableau1[Isin],Tableau1[Sum intérêt])),"")</f>
        <v>99</v>
      </c>
      <c r="D126" s="31"/>
      <c r="F126" s="174"/>
      <c r="L126" s="128" t="str">
        <f>IF(SUM(Tableau4[[#This Row],[Europe]:[Reste du Monde]])=0,"",SUM(Tableau4[[#This Row],[Europe]:[Reste du Monde]]))</f>
        <v/>
      </c>
    </row>
    <row r="127" spans="2:12">
      <c r="B127" s="32">
        <f>'Réf cellules RB'!A131</f>
        <v>130</v>
      </c>
      <c r="C127" s="32">
        <f>IFERROR(IF(_xlfn.XLOOKUP(Tableau4[[#This Row],[Isin]],Tableau1[Isin],Tableau1[Sum intérêt])=0,"",_xlfn.XLOOKUP(Tableau4[[#This Row],[Isin]],Tableau1[Isin],Tableau1[Sum intérêt])),"")</f>
        <v>99</v>
      </c>
      <c r="D127" s="31"/>
      <c r="F127" s="174"/>
      <c r="L127" s="128" t="str">
        <f>IF(SUM(Tableau4[[#This Row],[Europe]:[Reste du Monde]])=0,"",SUM(Tableau4[[#This Row],[Europe]:[Reste du Monde]]))</f>
        <v/>
      </c>
    </row>
    <row r="128" spans="2:12">
      <c r="B128" s="32">
        <f>'Réf cellules RB'!A132</f>
        <v>131</v>
      </c>
      <c r="C128" s="32">
        <f>IFERROR(IF(_xlfn.XLOOKUP(Tableau4[[#This Row],[Isin]],Tableau1[Isin],Tableau1[Sum intérêt])=0,"",_xlfn.XLOOKUP(Tableau4[[#This Row],[Isin]],Tableau1[Isin],Tableau1[Sum intérêt])),"")</f>
        <v>99</v>
      </c>
      <c r="D128" s="31"/>
      <c r="F128" s="174"/>
      <c r="L128" s="128" t="str">
        <f>IF(SUM(Tableau4[[#This Row],[Europe]:[Reste du Monde]])=0,"",SUM(Tableau4[[#This Row],[Europe]:[Reste du Monde]]))</f>
        <v/>
      </c>
    </row>
    <row r="129" spans="2:12">
      <c r="B129" s="32">
        <f>'Réf cellules RB'!A133</f>
        <v>132</v>
      </c>
      <c r="C129" s="32">
        <f>IFERROR(IF(_xlfn.XLOOKUP(Tableau4[[#This Row],[Isin]],Tableau1[Isin],Tableau1[Sum intérêt])=0,"",_xlfn.XLOOKUP(Tableau4[[#This Row],[Isin]],Tableau1[Isin],Tableau1[Sum intérêt])),"")</f>
        <v>99</v>
      </c>
      <c r="D129" s="31"/>
      <c r="F129" s="174"/>
      <c r="L129" s="128" t="str">
        <f>IF(SUM(Tableau4[[#This Row],[Europe]:[Reste du Monde]])=0,"",SUM(Tableau4[[#This Row],[Europe]:[Reste du Monde]]))</f>
        <v/>
      </c>
    </row>
    <row r="130" spans="2:12">
      <c r="B130" s="32">
        <f>'Réf cellules RB'!A134</f>
        <v>133</v>
      </c>
      <c r="C130" s="32">
        <f>IFERROR(IF(_xlfn.XLOOKUP(Tableau4[[#This Row],[Isin]],Tableau1[Isin],Tableau1[Sum intérêt])=0,"",_xlfn.XLOOKUP(Tableau4[[#This Row],[Isin]],Tableau1[Isin],Tableau1[Sum intérêt])),"")</f>
        <v>99</v>
      </c>
      <c r="D130" s="31"/>
      <c r="F130" s="174"/>
      <c r="L130" s="128" t="str">
        <f>IF(SUM(Tableau4[[#This Row],[Europe]:[Reste du Monde]])=0,"",SUM(Tableau4[[#This Row],[Europe]:[Reste du Monde]]))</f>
        <v/>
      </c>
    </row>
    <row r="131" spans="2:12">
      <c r="B131" s="32">
        <f>'Réf cellules RB'!A135</f>
        <v>134</v>
      </c>
      <c r="C131" s="32">
        <f>IFERROR(IF(_xlfn.XLOOKUP(Tableau4[[#This Row],[Isin]],Tableau1[Isin],Tableau1[Sum intérêt])=0,"",_xlfn.XLOOKUP(Tableau4[[#This Row],[Isin]],Tableau1[Isin],Tableau1[Sum intérêt])),"")</f>
        <v>99</v>
      </c>
      <c r="D131" s="31"/>
      <c r="F131" s="174"/>
      <c r="L131" s="128" t="str">
        <f>IF(SUM(Tableau4[[#This Row],[Europe]:[Reste du Monde]])=0,"",SUM(Tableau4[[#This Row],[Europe]:[Reste du Monde]]))</f>
        <v/>
      </c>
    </row>
    <row r="132" spans="2:12">
      <c r="B132" s="32">
        <f>'Réf cellules RB'!A136</f>
        <v>135</v>
      </c>
      <c r="C132" s="32">
        <f>IFERROR(IF(_xlfn.XLOOKUP(Tableau4[[#This Row],[Isin]],Tableau1[Isin],Tableau1[Sum intérêt])=0,"",_xlfn.XLOOKUP(Tableau4[[#This Row],[Isin]],Tableau1[Isin],Tableau1[Sum intérêt])),"")</f>
        <v>99</v>
      </c>
      <c r="D132" s="31"/>
      <c r="F132" s="174"/>
      <c r="L132" s="128" t="str">
        <f>IF(SUM(Tableau4[[#This Row],[Europe]:[Reste du Monde]])=0,"",SUM(Tableau4[[#This Row],[Europe]:[Reste du Monde]]))</f>
        <v/>
      </c>
    </row>
    <row r="133" spans="2:12">
      <c r="B133" s="32">
        <f>'Réf cellules RB'!A137</f>
        <v>136</v>
      </c>
      <c r="C133" s="32">
        <f>IFERROR(IF(_xlfn.XLOOKUP(Tableau4[[#This Row],[Isin]],Tableau1[Isin],Tableau1[Sum intérêt])=0,"",_xlfn.XLOOKUP(Tableau4[[#This Row],[Isin]],Tableau1[Isin],Tableau1[Sum intérêt])),"")</f>
        <v>99</v>
      </c>
      <c r="D133" s="31"/>
      <c r="F133" s="174"/>
      <c r="L133" s="128" t="str">
        <f>IF(SUM(Tableau4[[#This Row],[Europe]:[Reste du Monde]])=0,"",SUM(Tableau4[[#This Row],[Europe]:[Reste du Monde]]))</f>
        <v/>
      </c>
    </row>
    <row r="134" spans="2:12">
      <c r="B134" s="32">
        <f>'Réf cellules RB'!A142</f>
        <v>141</v>
      </c>
      <c r="C134" s="32">
        <f>IFERROR(IF(_xlfn.XLOOKUP(Tableau4[[#This Row],[Isin]],Tableau1[Isin],Tableau1[Sum intérêt])=0,"",_xlfn.XLOOKUP(Tableau4[[#This Row],[Isin]],Tableau1[Isin],Tableau1[Sum intérêt])),"")</f>
        <v>99</v>
      </c>
      <c r="D134" s="31"/>
      <c r="F134" s="174"/>
      <c r="L134" s="128" t="str">
        <f>IF(SUM(Tableau4[[#This Row],[Europe]:[Reste du Monde]])=0,"",SUM(Tableau4[[#This Row],[Europe]:[Reste du Monde]]))</f>
        <v/>
      </c>
    </row>
    <row r="135" spans="2:12">
      <c r="B135" s="32">
        <f>'Réf cellules RB'!A143</f>
        <v>142</v>
      </c>
      <c r="C135" s="32">
        <f>IFERROR(IF(_xlfn.XLOOKUP(Tableau4[[#This Row],[Isin]],Tableau1[Isin],Tableau1[Sum intérêt])=0,"",_xlfn.XLOOKUP(Tableau4[[#This Row],[Isin]],Tableau1[Isin],Tableau1[Sum intérêt])),"")</f>
        <v>99</v>
      </c>
      <c r="D135" s="31"/>
      <c r="F135" s="174"/>
      <c r="L135" s="128" t="str">
        <f>IF(SUM(Tableau4[[#This Row],[Europe]:[Reste du Monde]])=0,"",SUM(Tableau4[[#This Row],[Europe]:[Reste du Monde]]))</f>
        <v/>
      </c>
    </row>
    <row r="136" spans="2:12">
      <c r="B136" s="32">
        <f>'Réf cellules RB'!A144</f>
        <v>143</v>
      </c>
      <c r="C136" s="32">
        <f>IFERROR(IF(_xlfn.XLOOKUP(Tableau4[[#This Row],[Isin]],Tableau1[Isin],Tableau1[Sum intérêt])=0,"",_xlfn.XLOOKUP(Tableau4[[#This Row],[Isin]],Tableau1[Isin],Tableau1[Sum intérêt])),"")</f>
        <v>99</v>
      </c>
      <c r="D136" s="31"/>
      <c r="F136" s="174"/>
      <c r="L136" s="128" t="str">
        <f>IF(SUM(Tableau4[[#This Row],[Europe]:[Reste du Monde]])=0,"",SUM(Tableau4[[#This Row],[Europe]:[Reste du Monde]]))</f>
        <v/>
      </c>
    </row>
    <row r="137" spans="2:12">
      <c r="B137" s="32">
        <f>'Réf cellules RB'!A145</f>
        <v>144</v>
      </c>
      <c r="C137" s="32">
        <f>IFERROR(IF(_xlfn.XLOOKUP(Tableau4[[#This Row],[Isin]],Tableau1[Isin],Tableau1[Sum intérêt])=0,"",_xlfn.XLOOKUP(Tableau4[[#This Row],[Isin]],Tableau1[Isin],Tableau1[Sum intérêt])),"")</f>
        <v>99</v>
      </c>
      <c r="D137" s="31"/>
      <c r="F137" s="174"/>
      <c r="L137" s="128" t="str">
        <f>IF(SUM(Tableau4[[#This Row],[Europe]:[Reste du Monde]])=0,"",SUM(Tableau4[[#This Row],[Europe]:[Reste du Monde]]))</f>
        <v/>
      </c>
    </row>
    <row r="138" spans="2:12">
      <c r="B138" s="32">
        <f>'Réf cellules RB'!A146</f>
        <v>145</v>
      </c>
      <c r="C138" s="32">
        <f>IFERROR(IF(_xlfn.XLOOKUP(Tableau4[[#This Row],[Isin]],Tableau1[Isin],Tableau1[Sum intérêt])=0,"",_xlfn.XLOOKUP(Tableau4[[#This Row],[Isin]],Tableau1[Isin],Tableau1[Sum intérêt])),"")</f>
        <v>99</v>
      </c>
      <c r="D138" s="31"/>
      <c r="F138" s="174"/>
      <c r="L138" s="128" t="str">
        <f>IF(SUM(Tableau4[[#This Row],[Europe]:[Reste du Monde]])=0,"",SUM(Tableau4[[#This Row],[Europe]:[Reste du Monde]]))</f>
        <v/>
      </c>
    </row>
    <row r="139" spans="2:12" ht="21">
      <c r="B139" s="70">
        <f>'Réf cellules RB'!A3</f>
        <v>2</v>
      </c>
      <c r="C139" s="70" t="str">
        <f>IFERROR(IF(_xlfn.XLOOKUP(Tableau4[[#This Row],[Isin]],Tableau1[Isin],Tableau1[Sum intérêt])=0,"",_xlfn.XLOOKUP(Tableau4[[#This Row],[Isin]],Tableau1[Isin],Tableau1[Sum intérêt])),"")</f>
        <v/>
      </c>
      <c r="D139" s="71" t="s">
        <v>3413</v>
      </c>
      <c r="E139" s="71"/>
      <c r="F139" s="288"/>
      <c r="G139" s="88"/>
      <c r="H139" s="88"/>
      <c r="I139" s="124"/>
      <c r="J139" s="125"/>
      <c r="K139" s="126"/>
      <c r="L139" s="127" t="str">
        <f>IF(SUM(Tableau4[[#This Row],[Europe]:[Reste du Monde]])=0,"",SUM(Tableau4[[#This Row],[Europe]:[Reste du Monde]]))</f>
        <v/>
      </c>
    </row>
    <row r="140" spans="2:12">
      <c r="B140" s="32">
        <f>'Réf cellules RB'!A69</f>
        <v>68</v>
      </c>
      <c r="C140" s="32" t="str">
        <f>IFERROR(IF(_xlfn.XLOOKUP(Tableau4[[#This Row],[Isin]],Tableau1[Isin],Tableau1[Sum intérêt])=0,"",_xlfn.XLOOKUP(Tableau4[[#This Row],[Isin]],Tableau1[Isin],Tableau1[Sum intérêt])),"")</f>
        <v/>
      </c>
      <c r="D140" s="31" t="s">
        <v>1313</v>
      </c>
      <c r="E140" s="74"/>
      <c r="F140" s="91"/>
      <c r="G140" s="91"/>
      <c r="H140" s="91"/>
      <c r="I140" s="91"/>
      <c r="J140" s="91"/>
      <c r="K140" s="91"/>
      <c r="L140" s="128" t="str">
        <f>IF(SUM(Tableau4[[#This Row],[Europe]:[Reste du Monde]])=0,"",SUM(Tableau4[[#This Row],[Europe]:[Reste du Monde]]))</f>
        <v/>
      </c>
    </row>
    <row r="141" spans="2:12">
      <c r="B141" s="32">
        <f>'Réf cellules RB'!A69</f>
        <v>68</v>
      </c>
      <c r="C141" s="32" t="str">
        <f>IFERROR(IF(_xlfn.XLOOKUP(Tableau4[[#This Row],[Isin]],Tableau1[Isin],Tableau1[Sum intérêt])=0,"",_xlfn.XLOOKUP(Tableau4[[#This Row],[Isin]],Tableau1[Isin],Tableau1[Sum intérêt])),"")</f>
        <v/>
      </c>
      <c r="D141" s="31" t="s">
        <v>1313</v>
      </c>
      <c r="E141" s="74"/>
      <c r="F141" s="91"/>
      <c r="G141" s="91"/>
      <c r="H141" s="91"/>
      <c r="I141" s="91"/>
      <c r="J141" s="91"/>
      <c r="K141" s="91"/>
      <c r="L141" s="128" t="str">
        <f>IF(SUM(Tableau4[[#This Row],[Europe]:[Reste du Monde]])=0,"",SUM(Tableau4[[#This Row],[Europe]:[Reste du Monde]]))</f>
        <v/>
      </c>
    </row>
    <row r="142" spans="2:12">
      <c r="B142" s="32">
        <f>'Réf cellules RB'!A69</f>
        <v>68</v>
      </c>
      <c r="C142" s="32" t="str">
        <f>IFERROR(IF(_xlfn.XLOOKUP(Tableau4[[#This Row],[Isin]],Tableau1[Isin],Tableau1[Sum intérêt])=0,"",_xlfn.XLOOKUP(Tableau4[[#This Row],[Isin]],Tableau1[Isin],Tableau1[Sum intérêt])),"")</f>
        <v/>
      </c>
      <c r="D142" s="31" t="s">
        <v>1313</v>
      </c>
      <c r="E142" s="74"/>
      <c r="F142" s="91"/>
      <c r="G142" s="91"/>
      <c r="H142" s="91"/>
      <c r="I142" s="91"/>
      <c r="J142" s="91"/>
      <c r="K142" s="91"/>
      <c r="L142" s="128" t="str">
        <f>IF(SUM(Tableau4[[#This Row],[Europe]:[Reste du Monde]])=0,"",SUM(Tableau4[[#This Row],[Europe]:[Reste du Monde]]))</f>
        <v/>
      </c>
    </row>
    <row r="143" spans="2:12">
      <c r="B143" s="32">
        <f>'Réf cellules RB'!A70</f>
        <v>69</v>
      </c>
      <c r="C143" s="32" t="str">
        <f>IFERROR(IF(_xlfn.XLOOKUP(Tableau4[[#This Row],[Isin]],Tableau1[Isin],Tableau1[Sum intérêt])=0,"",_xlfn.XLOOKUP(Tableau4[[#This Row],[Isin]],Tableau1[Isin],Tableau1[Sum intérêt])),"")</f>
        <v/>
      </c>
      <c r="D143" s="31" t="s">
        <v>1313</v>
      </c>
      <c r="E143" s="74"/>
      <c r="F143" s="91"/>
      <c r="G143" s="91"/>
      <c r="H143" s="91"/>
      <c r="I143" s="91"/>
      <c r="J143" s="91"/>
      <c r="K143" s="91"/>
      <c r="L143" s="128" t="str">
        <f>IF(SUM(Tableau4[[#This Row],[Europe]:[Reste du Monde]])=0,"",SUM(Tableau4[[#This Row],[Europe]:[Reste du Monde]]))</f>
        <v/>
      </c>
    </row>
    <row r="144" spans="2:12" ht="19">
      <c r="B144" s="96" t="s">
        <v>3151</v>
      </c>
      <c r="C144" s="96"/>
      <c r="D144" s="97" t="s">
        <v>3426</v>
      </c>
      <c r="E144" s="82">
        <f>SUBTOTAL(103,Tableau4[Société])-3</f>
        <v>85</v>
      </c>
      <c r="F144" s="98"/>
      <c r="G144" s="98"/>
      <c r="H144" s="98"/>
      <c r="I144" s="98"/>
      <c r="J144" s="98"/>
      <c r="K144" s="98"/>
      <c r="L144" s="132">
        <f>SUBTOTAL(103,Tableau4[Total])</f>
        <v>140</v>
      </c>
    </row>
    <row r="1452" spans="16:16">
      <c r="P1452" s="32" t="s">
        <v>1418</v>
      </c>
    </row>
    <row r="1453" spans="16:16">
      <c r="P1453" s="32" t="s">
        <v>3427</v>
      </c>
    </row>
    <row r="1455" spans="16:16">
      <c r="P1455" s="32" t="s">
        <v>1421</v>
      </c>
    </row>
    <row r="1456" spans="16:16">
      <c r="P1456" s="32" t="s">
        <v>3428</v>
      </c>
    </row>
    <row r="1457" spans="16:16">
      <c r="P1457" s="32" t="s">
        <v>1423</v>
      </c>
    </row>
    <row r="1470" spans="16:16">
      <c r="P1470" s="32" t="s">
        <v>1435</v>
      </c>
    </row>
    <row r="1471" spans="16:16">
      <c r="P1471" s="32" t="s">
        <v>1436</v>
      </c>
    </row>
    <row r="1475" spans="16:16">
      <c r="P1475" s="32" t="s">
        <v>3429</v>
      </c>
    </row>
    <row r="1476" spans="16:16">
      <c r="P1476" s="32" t="s">
        <v>3430</v>
      </c>
    </row>
  </sheetData>
  <protectedRanges>
    <protectedRange sqref="D87:E87" name="Plage1_1"/>
  </protectedRanges>
  <mergeCells count="1">
    <mergeCell ref="F1:L1"/>
  </mergeCells>
  <phoneticPr fontId="8" type="noConversion"/>
  <conditionalFormatting sqref="D18">
    <cfRule type="duplicateValues" dxfId="168" priority="19"/>
    <cfRule type="duplicateValues" dxfId="167" priority="20"/>
    <cfRule type="duplicateValues" dxfId="166" priority="21"/>
  </conditionalFormatting>
  <conditionalFormatting sqref="D23">
    <cfRule type="duplicateValues" dxfId="165" priority="16"/>
    <cfRule type="duplicateValues" dxfId="164" priority="17"/>
    <cfRule type="duplicateValues" dxfId="163" priority="18"/>
  </conditionalFormatting>
  <conditionalFormatting sqref="D53">
    <cfRule type="duplicateValues" dxfId="162" priority="10"/>
    <cfRule type="duplicateValues" dxfId="161" priority="11"/>
    <cfRule type="duplicateValues" dxfId="160" priority="12"/>
  </conditionalFormatting>
  <conditionalFormatting sqref="D100">
    <cfRule type="duplicateValues" dxfId="159" priority="1"/>
    <cfRule type="duplicateValues" dxfId="158" priority="2"/>
    <cfRule type="duplicateValues" dxfId="157" priority="3"/>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BFBA8-5DFA-4F1E-BD85-66F95365C583}">
  <sheetPr codeName="Feuil10"/>
  <dimension ref="A1:AB329"/>
  <sheetViews>
    <sheetView zoomScaleNormal="100" workbookViewId="0">
      <selection activeCell="H30" sqref="H30"/>
    </sheetView>
  </sheetViews>
  <sheetFormatPr baseColWidth="10" defaultColWidth="11" defaultRowHeight="16"/>
  <cols>
    <col min="1" max="1" width="19" bestFit="1" customWidth="1"/>
    <col min="2" max="2" width="34" bestFit="1" customWidth="1"/>
    <col min="3" max="3" width="14" bestFit="1" customWidth="1"/>
    <col min="4" max="4" width="11.83203125" bestFit="1" customWidth="1"/>
    <col min="5" max="6" width="14.83203125" bestFit="1" customWidth="1"/>
    <col min="7" max="7" width="21" bestFit="1" customWidth="1"/>
    <col min="8" max="8" width="14" bestFit="1" customWidth="1"/>
    <col min="9" max="9" width="21" bestFit="1" customWidth="1"/>
    <col min="10" max="10" width="15" bestFit="1" customWidth="1"/>
    <col min="11" max="14" width="14" bestFit="1" customWidth="1"/>
    <col min="15" max="15" width="11.83203125" bestFit="1" customWidth="1"/>
    <col min="16" max="16" width="35" bestFit="1" customWidth="1"/>
    <col min="17" max="17" width="13" bestFit="1" customWidth="1"/>
    <col min="18" max="23" width="17" bestFit="1" customWidth="1"/>
    <col min="24" max="24" width="23" bestFit="1" customWidth="1"/>
    <col min="25" max="25" width="17" bestFit="1" customWidth="1"/>
    <col min="26" max="26" width="24" bestFit="1" customWidth="1"/>
    <col min="27" max="27" width="17" bestFit="1" customWidth="1"/>
    <col min="28" max="28" width="80.83203125" bestFit="1" customWidth="1"/>
    <col min="29" max="29" width="12" bestFit="1" customWidth="1"/>
  </cols>
  <sheetData>
    <row r="1" spans="1:28">
      <c r="A1" t="s">
        <v>3434</v>
      </c>
      <c r="B1" t="s">
        <v>3435</v>
      </c>
      <c r="C1" t="s">
        <v>43</v>
      </c>
      <c r="D1" t="s">
        <v>3436</v>
      </c>
      <c r="E1" t="s">
        <v>3437</v>
      </c>
      <c r="F1" t="s">
        <v>3438</v>
      </c>
      <c r="G1" t="s">
        <v>3439</v>
      </c>
      <c r="H1" t="s">
        <v>3440</v>
      </c>
      <c r="I1" t="s">
        <v>3441</v>
      </c>
      <c r="J1" t="s">
        <v>3442</v>
      </c>
      <c r="K1" t="s">
        <v>3443</v>
      </c>
      <c r="L1" t="s">
        <v>3444</v>
      </c>
      <c r="M1" t="s">
        <v>3445</v>
      </c>
      <c r="N1" t="s">
        <v>3446</v>
      </c>
      <c r="O1" t="s">
        <v>3447</v>
      </c>
      <c r="P1" t="s">
        <v>3448</v>
      </c>
      <c r="Q1" t="s">
        <v>3449</v>
      </c>
      <c r="R1" t="s">
        <v>3450</v>
      </c>
      <c r="S1" t="s">
        <v>3451</v>
      </c>
      <c r="T1" t="s">
        <v>3452</v>
      </c>
      <c r="U1" t="s">
        <v>3453</v>
      </c>
      <c r="V1" t="s">
        <v>3454</v>
      </c>
      <c r="W1" t="s">
        <v>3455</v>
      </c>
      <c r="X1" t="s">
        <v>3456</v>
      </c>
      <c r="Y1" t="s">
        <v>3457</v>
      </c>
      <c r="Z1" t="s">
        <v>3458</v>
      </c>
      <c r="AA1" t="s">
        <v>3459</v>
      </c>
      <c r="AB1" t="s">
        <v>3460</v>
      </c>
    </row>
    <row r="2" spans="1:28">
      <c r="B2" t="s">
        <v>3461</v>
      </c>
      <c r="C2" t="s">
        <v>3462</v>
      </c>
      <c r="D2" t="s">
        <v>1664</v>
      </c>
      <c r="E2" t="s">
        <v>1664</v>
      </c>
      <c r="F2">
        <v>0</v>
      </c>
      <c r="H2">
        <v>0</v>
      </c>
      <c r="J2" t="s">
        <v>1664</v>
      </c>
      <c r="K2" t="s">
        <v>1664</v>
      </c>
      <c r="L2" t="s">
        <v>1664</v>
      </c>
      <c r="M2" t="s">
        <v>1664</v>
      </c>
      <c r="N2" t="s">
        <v>1664</v>
      </c>
      <c r="O2" t="s">
        <v>1664</v>
      </c>
      <c r="P2" t="s">
        <v>3463</v>
      </c>
      <c r="Q2" t="s">
        <v>3464</v>
      </c>
      <c r="R2" t="s">
        <v>1664</v>
      </c>
      <c r="S2" t="s">
        <v>1664</v>
      </c>
      <c r="T2" t="s">
        <v>1664</v>
      </c>
      <c r="U2" t="s">
        <v>1664</v>
      </c>
      <c r="V2" t="s">
        <v>1664</v>
      </c>
      <c r="W2">
        <v>0</v>
      </c>
      <c r="Y2">
        <v>0</v>
      </c>
      <c r="AA2">
        <v>54117334896</v>
      </c>
      <c r="AB2" t="s">
        <v>3465</v>
      </c>
    </row>
    <row r="3" spans="1:28">
      <c r="B3" t="s">
        <v>3466</v>
      </c>
      <c r="C3" t="s">
        <v>3467</v>
      </c>
      <c r="D3" t="s">
        <v>1664</v>
      </c>
      <c r="E3" t="s">
        <v>1664</v>
      </c>
      <c r="F3">
        <v>0</v>
      </c>
      <c r="H3">
        <v>0</v>
      </c>
      <c r="J3" t="s">
        <v>1664</v>
      </c>
      <c r="K3" t="s">
        <v>1664</v>
      </c>
      <c r="L3" t="s">
        <v>1664</v>
      </c>
      <c r="M3" t="s">
        <v>1664</v>
      </c>
      <c r="N3" t="s">
        <v>1664</v>
      </c>
      <c r="O3" t="s">
        <v>1664</v>
      </c>
      <c r="P3" t="s">
        <v>3468</v>
      </c>
      <c r="Q3" t="s">
        <v>3469</v>
      </c>
      <c r="R3" t="s">
        <v>1664</v>
      </c>
      <c r="S3" t="s">
        <v>1664</v>
      </c>
      <c r="T3" t="s">
        <v>1664</v>
      </c>
      <c r="U3" t="s">
        <v>1664</v>
      </c>
      <c r="V3" t="s">
        <v>1664</v>
      </c>
      <c r="W3">
        <v>0</v>
      </c>
      <c r="Y3">
        <v>0</v>
      </c>
      <c r="AA3">
        <v>61880250000</v>
      </c>
      <c r="AB3" t="s">
        <v>3470</v>
      </c>
    </row>
    <row r="4" spans="1:28">
      <c r="B4" t="s">
        <v>3471</v>
      </c>
      <c r="C4" t="s">
        <v>3472</v>
      </c>
      <c r="D4" t="s">
        <v>1664</v>
      </c>
      <c r="E4" t="s">
        <v>1664</v>
      </c>
      <c r="F4">
        <v>0</v>
      </c>
      <c r="H4">
        <v>0</v>
      </c>
      <c r="J4" t="s">
        <v>1664</v>
      </c>
      <c r="K4" t="s">
        <v>1664</v>
      </c>
      <c r="L4" t="s">
        <v>1664</v>
      </c>
      <c r="M4" t="s">
        <v>1664</v>
      </c>
      <c r="N4" t="s">
        <v>1664</v>
      </c>
      <c r="O4" t="s">
        <v>1664</v>
      </c>
      <c r="P4" t="s">
        <v>3473</v>
      </c>
      <c r="Q4" t="s">
        <v>3474</v>
      </c>
      <c r="R4" t="s">
        <v>1664</v>
      </c>
      <c r="S4" t="s">
        <v>1664</v>
      </c>
      <c r="T4" t="s">
        <v>1664</v>
      </c>
      <c r="U4" t="s">
        <v>1664</v>
      </c>
      <c r="V4" t="s">
        <v>1664</v>
      </c>
      <c r="W4">
        <v>0</v>
      </c>
      <c r="Y4">
        <v>0</v>
      </c>
      <c r="AA4">
        <v>270669957450</v>
      </c>
      <c r="AB4" t="s">
        <v>3475</v>
      </c>
    </row>
    <row r="5" spans="1:28">
      <c r="B5" t="s">
        <v>2007</v>
      </c>
      <c r="C5" t="s">
        <v>2010</v>
      </c>
      <c r="D5" t="s">
        <v>1664</v>
      </c>
      <c r="E5" t="s">
        <v>1664</v>
      </c>
      <c r="F5">
        <v>0</v>
      </c>
      <c r="H5">
        <v>0</v>
      </c>
      <c r="J5" t="s">
        <v>1664</v>
      </c>
      <c r="K5" t="s">
        <v>1664</v>
      </c>
      <c r="L5" t="s">
        <v>1664</v>
      </c>
      <c r="M5" t="s">
        <v>1664</v>
      </c>
      <c r="N5" t="s">
        <v>1664</v>
      </c>
      <c r="O5" t="s">
        <v>1664</v>
      </c>
      <c r="P5" t="s">
        <v>3476</v>
      </c>
      <c r="Q5" t="s">
        <v>3477</v>
      </c>
      <c r="R5" t="s">
        <v>1664</v>
      </c>
      <c r="S5" t="s">
        <v>1664</v>
      </c>
      <c r="T5" t="s">
        <v>1664</v>
      </c>
      <c r="U5" t="s">
        <v>1664</v>
      </c>
      <c r="V5" t="s">
        <v>1664</v>
      </c>
      <c r="W5">
        <v>0</v>
      </c>
      <c r="Y5">
        <v>0</v>
      </c>
      <c r="AA5">
        <v>9059369000</v>
      </c>
      <c r="AB5" t="s">
        <v>3478</v>
      </c>
    </row>
    <row r="6" spans="1:28">
      <c r="B6" t="s">
        <v>3479</v>
      </c>
      <c r="C6" t="s">
        <v>3480</v>
      </c>
      <c r="D6" t="s">
        <v>1664</v>
      </c>
      <c r="E6" t="s">
        <v>1664</v>
      </c>
      <c r="F6">
        <v>0</v>
      </c>
      <c r="H6">
        <v>0</v>
      </c>
      <c r="J6" t="s">
        <v>1664</v>
      </c>
      <c r="K6" t="s">
        <v>1664</v>
      </c>
      <c r="L6" t="s">
        <v>1664</v>
      </c>
      <c r="M6" t="s">
        <v>1664</v>
      </c>
      <c r="N6" t="s">
        <v>1664</v>
      </c>
      <c r="O6" t="s">
        <v>1664</v>
      </c>
      <c r="P6" t="s">
        <v>3481</v>
      </c>
      <c r="Q6" t="s">
        <v>3482</v>
      </c>
      <c r="R6" t="s">
        <v>1664</v>
      </c>
      <c r="S6" t="s">
        <v>1664</v>
      </c>
      <c r="T6" t="s">
        <v>1664</v>
      </c>
      <c r="U6" t="s">
        <v>1664</v>
      </c>
      <c r="V6" t="s">
        <v>1664</v>
      </c>
      <c r="W6">
        <v>0</v>
      </c>
      <c r="Y6">
        <v>0</v>
      </c>
      <c r="AA6">
        <v>4857051000</v>
      </c>
      <c r="AB6" t="s">
        <v>3483</v>
      </c>
    </row>
    <row r="7" spans="1:28">
      <c r="B7" t="s">
        <v>3484</v>
      </c>
      <c r="C7" t="s">
        <v>3485</v>
      </c>
      <c r="D7" t="s">
        <v>1664</v>
      </c>
      <c r="E7" t="s">
        <v>1664</v>
      </c>
      <c r="F7">
        <v>0</v>
      </c>
      <c r="H7">
        <v>0</v>
      </c>
      <c r="J7" t="s">
        <v>1664</v>
      </c>
      <c r="K7" t="s">
        <v>1664</v>
      </c>
      <c r="L7" t="s">
        <v>1664</v>
      </c>
      <c r="M7" t="s">
        <v>1664</v>
      </c>
      <c r="N7" t="s">
        <v>1664</v>
      </c>
      <c r="O7" t="s">
        <v>1664</v>
      </c>
      <c r="P7" t="s">
        <v>3486</v>
      </c>
      <c r="Q7" t="s">
        <v>3487</v>
      </c>
      <c r="R7" t="s">
        <v>1664</v>
      </c>
      <c r="S7" t="s">
        <v>1664</v>
      </c>
      <c r="T7" t="s">
        <v>1664</v>
      </c>
      <c r="U7" t="s">
        <v>1664</v>
      </c>
      <c r="V7" t="s">
        <v>1664</v>
      </c>
      <c r="W7">
        <v>0</v>
      </c>
      <c r="Y7">
        <v>0</v>
      </c>
      <c r="AA7">
        <v>30024000000</v>
      </c>
      <c r="AB7" t="s">
        <v>3488</v>
      </c>
    </row>
    <row r="8" spans="1:28">
      <c r="A8" t="s">
        <v>1046</v>
      </c>
      <c r="B8" t="s">
        <v>3489</v>
      </c>
      <c r="C8" t="s">
        <v>753</v>
      </c>
      <c r="D8">
        <v>0</v>
      </c>
      <c r="E8">
        <v>0</v>
      </c>
      <c r="F8">
        <v>5200000000</v>
      </c>
      <c r="H8">
        <v>4822000000</v>
      </c>
      <c r="J8">
        <v>5260000000</v>
      </c>
      <c r="K8">
        <v>2951000000</v>
      </c>
      <c r="L8">
        <v>2591000000</v>
      </c>
      <c r="M8">
        <v>1664000000</v>
      </c>
      <c r="N8">
        <v>1169000000</v>
      </c>
      <c r="O8" t="s">
        <v>1664</v>
      </c>
      <c r="P8" t="s">
        <v>3490</v>
      </c>
      <c r="Q8" t="s">
        <v>3491</v>
      </c>
      <c r="R8">
        <v>51141300000</v>
      </c>
      <c r="S8">
        <v>86373600000</v>
      </c>
      <c r="T8">
        <v>110434500000</v>
      </c>
      <c r="U8">
        <v>160768800000</v>
      </c>
      <c r="V8">
        <v>241548300000</v>
      </c>
      <c r="W8">
        <v>272755859999.99997</v>
      </c>
      <c r="Y8">
        <v>159178690000</v>
      </c>
      <c r="AA8">
        <v>238424422000</v>
      </c>
      <c r="AB8" t="s">
        <v>3492</v>
      </c>
    </row>
    <row r="9" spans="1:28">
      <c r="A9" t="s">
        <v>3493</v>
      </c>
      <c r="B9" t="s">
        <v>3494</v>
      </c>
      <c r="C9" t="s">
        <v>698</v>
      </c>
      <c r="D9">
        <v>728300000</v>
      </c>
      <c r="E9">
        <v>700000000</v>
      </c>
      <c r="F9">
        <v>600000000</v>
      </c>
      <c r="H9">
        <v>469717000</v>
      </c>
      <c r="J9">
        <v>261019000</v>
      </c>
      <c r="K9">
        <v>204039000</v>
      </c>
      <c r="L9">
        <v>131146000</v>
      </c>
      <c r="M9" t="s">
        <v>1664</v>
      </c>
      <c r="N9" t="s">
        <v>1664</v>
      </c>
      <c r="O9">
        <v>29.411485714285714</v>
      </c>
      <c r="P9" t="s">
        <v>3495</v>
      </c>
      <c r="Q9" t="s">
        <v>3496</v>
      </c>
      <c r="R9" t="s">
        <v>1664</v>
      </c>
      <c r="S9" t="s">
        <v>1664</v>
      </c>
      <c r="T9">
        <v>14200600000</v>
      </c>
      <c r="U9">
        <v>21853976000</v>
      </c>
      <c r="V9">
        <v>57736740000</v>
      </c>
      <c r="W9">
        <v>71524744500</v>
      </c>
      <c r="Y9">
        <v>39917208800</v>
      </c>
      <c r="AA9">
        <v>20588040000</v>
      </c>
      <c r="AB9" t="s">
        <v>3497</v>
      </c>
    </row>
    <row r="10" spans="1:28">
      <c r="B10" t="s">
        <v>3498</v>
      </c>
      <c r="C10" t="s">
        <v>3499</v>
      </c>
      <c r="D10" t="s">
        <v>1664</v>
      </c>
      <c r="E10" t="s">
        <v>1664</v>
      </c>
      <c r="F10">
        <v>0</v>
      </c>
      <c r="H10">
        <v>0</v>
      </c>
      <c r="J10" t="s">
        <v>1664</v>
      </c>
      <c r="K10" t="s">
        <v>1664</v>
      </c>
      <c r="L10" t="s">
        <v>1664</v>
      </c>
      <c r="M10" t="s">
        <v>1664</v>
      </c>
      <c r="N10" t="s">
        <v>1664</v>
      </c>
      <c r="O10" t="s">
        <v>1664</v>
      </c>
      <c r="P10" t="s">
        <v>3500</v>
      </c>
      <c r="Q10" t="s">
        <v>3482</v>
      </c>
      <c r="R10" t="s">
        <v>1664</v>
      </c>
      <c r="S10" t="s">
        <v>1664</v>
      </c>
      <c r="T10" t="s">
        <v>1664</v>
      </c>
      <c r="U10" t="s">
        <v>1664</v>
      </c>
      <c r="V10" t="s">
        <v>1664</v>
      </c>
      <c r="W10">
        <v>0</v>
      </c>
      <c r="Y10">
        <v>0</v>
      </c>
      <c r="AA10">
        <v>2696092000</v>
      </c>
      <c r="AB10" t="s">
        <v>3501</v>
      </c>
    </row>
    <row r="11" spans="1:28">
      <c r="B11" t="s">
        <v>3502</v>
      </c>
      <c r="C11" t="s">
        <v>3503</v>
      </c>
      <c r="D11" t="s">
        <v>1664</v>
      </c>
      <c r="E11" t="s">
        <v>1664</v>
      </c>
      <c r="F11">
        <v>0</v>
      </c>
      <c r="H11">
        <v>0</v>
      </c>
      <c r="J11" t="s">
        <v>1664</v>
      </c>
      <c r="K11" t="s">
        <v>1664</v>
      </c>
      <c r="L11" t="s">
        <v>1664</v>
      </c>
      <c r="M11" t="s">
        <v>1664</v>
      </c>
      <c r="N11" t="s">
        <v>1664</v>
      </c>
      <c r="O11" t="s">
        <v>1664</v>
      </c>
      <c r="P11" t="s">
        <v>3504</v>
      </c>
      <c r="Q11" t="s">
        <v>3496</v>
      </c>
      <c r="R11" t="s">
        <v>1664</v>
      </c>
      <c r="S11" t="s">
        <v>1664</v>
      </c>
      <c r="T11" t="s">
        <v>1664</v>
      </c>
      <c r="U11" t="s">
        <v>1664</v>
      </c>
      <c r="V11" t="s">
        <v>1664</v>
      </c>
      <c r="W11">
        <v>0</v>
      </c>
      <c r="Y11">
        <v>0</v>
      </c>
      <c r="AA11">
        <v>9762986000</v>
      </c>
      <c r="AB11" t="s">
        <v>3505</v>
      </c>
    </row>
    <row r="12" spans="1:28">
      <c r="B12" t="s">
        <v>3506</v>
      </c>
      <c r="C12" t="s">
        <v>3507</v>
      </c>
      <c r="D12" t="s">
        <v>1664</v>
      </c>
      <c r="E12" t="s">
        <v>1664</v>
      </c>
      <c r="F12">
        <v>0</v>
      </c>
      <c r="H12">
        <v>0</v>
      </c>
      <c r="J12" t="s">
        <v>1664</v>
      </c>
      <c r="K12" t="s">
        <v>1664</v>
      </c>
      <c r="L12" t="s">
        <v>1664</v>
      </c>
      <c r="M12" t="s">
        <v>1664</v>
      </c>
      <c r="N12" t="s">
        <v>1664</v>
      </c>
      <c r="O12" t="s">
        <v>1664</v>
      </c>
      <c r="P12" t="s">
        <v>3508</v>
      </c>
      <c r="Q12" t="s">
        <v>3477</v>
      </c>
      <c r="R12" t="s">
        <v>1664</v>
      </c>
      <c r="S12" t="s">
        <v>1664</v>
      </c>
      <c r="T12" t="s">
        <v>1664</v>
      </c>
      <c r="U12" t="s">
        <v>1664</v>
      </c>
      <c r="V12" t="s">
        <v>1664</v>
      </c>
      <c r="W12">
        <v>0</v>
      </c>
      <c r="Y12">
        <v>0</v>
      </c>
      <c r="AA12">
        <v>11400260000</v>
      </c>
      <c r="AB12" t="s">
        <v>3509</v>
      </c>
    </row>
    <row r="13" spans="1:28">
      <c r="B13" t="s">
        <v>3510</v>
      </c>
      <c r="C13" t="s">
        <v>3511</v>
      </c>
      <c r="D13" t="s">
        <v>1664</v>
      </c>
      <c r="E13" t="s">
        <v>1664</v>
      </c>
      <c r="F13">
        <v>0</v>
      </c>
      <c r="H13">
        <v>0</v>
      </c>
      <c r="J13" t="s">
        <v>1664</v>
      </c>
      <c r="K13" t="s">
        <v>1664</v>
      </c>
      <c r="L13" t="s">
        <v>1664</v>
      </c>
      <c r="M13" t="s">
        <v>1664</v>
      </c>
      <c r="N13" t="s">
        <v>1664</v>
      </c>
      <c r="O13" t="s">
        <v>1664</v>
      </c>
      <c r="P13" t="s">
        <v>3504</v>
      </c>
      <c r="Q13" t="s">
        <v>3482</v>
      </c>
      <c r="R13" t="s">
        <v>1664</v>
      </c>
      <c r="S13" t="s">
        <v>1664</v>
      </c>
      <c r="T13" t="s">
        <v>1664</v>
      </c>
      <c r="U13" t="s">
        <v>1664</v>
      </c>
      <c r="V13" t="s">
        <v>1664</v>
      </c>
      <c r="W13">
        <v>0</v>
      </c>
      <c r="Y13">
        <v>0</v>
      </c>
      <c r="AA13">
        <v>7554562000</v>
      </c>
      <c r="AB13" t="s">
        <v>3512</v>
      </c>
    </row>
    <row r="14" spans="1:28">
      <c r="B14" t="s">
        <v>3513</v>
      </c>
      <c r="C14" t="s">
        <v>87</v>
      </c>
      <c r="D14" t="s">
        <v>1664</v>
      </c>
      <c r="E14" t="s">
        <v>1664</v>
      </c>
      <c r="F14">
        <v>0</v>
      </c>
      <c r="H14">
        <v>0</v>
      </c>
      <c r="J14" t="s">
        <v>1664</v>
      </c>
      <c r="K14">
        <v>500000000</v>
      </c>
      <c r="L14">
        <v>409000000</v>
      </c>
      <c r="M14">
        <v>-274000000</v>
      </c>
      <c r="N14">
        <v>792000000</v>
      </c>
      <c r="O14" t="s">
        <v>1664</v>
      </c>
      <c r="P14" t="s">
        <v>3514</v>
      </c>
      <c r="Q14" t="s">
        <v>3477</v>
      </c>
      <c r="R14">
        <v>1552133667.26</v>
      </c>
      <c r="S14">
        <v>6026594532.1000004</v>
      </c>
      <c r="T14">
        <v>3857706315</v>
      </c>
      <c r="U14">
        <v>1658813715.45</v>
      </c>
      <c r="V14" t="s">
        <v>1664</v>
      </c>
      <c r="W14">
        <v>0</v>
      </c>
      <c r="Y14">
        <v>0</v>
      </c>
      <c r="AA14">
        <v>3226537000</v>
      </c>
      <c r="AB14" t="s">
        <v>3515</v>
      </c>
    </row>
    <row r="15" spans="1:28">
      <c r="A15" t="s">
        <v>1949</v>
      </c>
      <c r="B15" t="s">
        <v>3516</v>
      </c>
      <c r="C15" t="s">
        <v>980</v>
      </c>
      <c r="D15">
        <v>0</v>
      </c>
      <c r="E15">
        <v>0</v>
      </c>
      <c r="F15">
        <v>2760000000</v>
      </c>
      <c r="G15">
        <v>2760000000</v>
      </c>
      <c r="H15">
        <v>2572000000</v>
      </c>
      <c r="J15">
        <v>2341000000</v>
      </c>
      <c r="K15">
        <v>2307000000</v>
      </c>
      <c r="L15">
        <v>2113000000</v>
      </c>
      <c r="M15">
        <v>2209000000</v>
      </c>
      <c r="N15">
        <v>1844000000</v>
      </c>
      <c r="O15" t="s">
        <v>1664</v>
      </c>
      <c r="P15" t="s">
        <v>3517</v>
      </c>
      <c r="Q15" t="s">
        <v>3518</v>
      </c>
      <c r="R15">
        <v>41220830666</v>
      </c>
      <c r="S15">
        <v>47466448540</v>
      </c>
      <c r="T15">
        <v>46080805284</v>
      </c>
      <c r="U15">
        <v>56545795920</v>
      </c>
      <c r="V15">
        <v>63312757524</v>
      </c>
      <c r="W15">
        <v>72706921134</v>
      </c>
      <c r="Y15">
        <v>69301101928</v>
      </c>
      <c r="AA15">
        <v>84941730000</v>
      </c>
      <c r="AB15" t="s">
        <v>3519</v>
      </c>
    </row>
    <row r="16" spans="1:28">
      <c r="B16" t="s">
        <v>1415</v>
      </c>
      <c r="C16" t="s">
        <v>1417</v>
      </c>
      <c r="D16">
        <v>10500000000</v>
      </c>
      <c r="E16">
        <v>0</v>
      </c>
      <c r="F16">
        <v>3500000000</v>
      </c>
      <c r="H16">
        <v>2901000000</v>
      </c>
      <c r="J16">
        <v>-25000000</v>
      </c>
      <c r="K16">
        <v>-4364000000</v>
      </c>
      <c r="L16">
        <v>-3000000</v>
      </c>
      <c r="M16">
        <v>10611000000</v>
      </c>
      <c r="N16">
        <v>-917000000</v>
      </c>
      <c r="O16" t="s">
        <v>1664</v>
      </c>
      <c r="P16" t="s">
        <v>3520</v>
      </c>
      <c r="Q16" t="s">
        <v>3518</v>
      </c>
      <c r="R16">
        <v>48558271445.160004</v>
      </c>
      <c r="S16">
        <v>64974386454.300003</v>
      </c>
      <c r="T16">
        <v>65029526125.309998</v>
      </c>
      <c r="U16">
        <v>101606488389.39999</v>
      </c>
      <c r="V16">
        <v>70362057943.100006</v>
      </c>
      <c r="W16">
        <v>88273269383.800003</v>
      </c>
      <c r="Y16">
        <v>98397435000</v>
      </c>
      <c r="Z16">
        <v>98397435000</v>
      </c>
      <c r="AA16">
        <v>102466900000</v>
      </c>
      <c r="AB16" t="s">
        <v>3521</v>
      </c>
    </row>
    <row r="17" spans="1:28">
      <c r="B17" t="s">
        <v>3522</v>
      </c>
      <c r="C17" t="s">
        <v>3523</v>
      </c>
      <c r="D17" t="s">
        <v>1664</v>
      </c>
      <c r="E17" t="s">
        <v>1664</v>
      </c>
      <c r="F17">
        <v>0</v>
      </c>
      <c r="H17">
        <v>0</v>
      </c>
      <c r="J17" t="s">
        <v>1664</v>
      </c>
      <c r="K17" t="s">
        <v>1664</v>
      </c>
      <c r="L17" t="s">
        <v>1664</v>
      </c>
      <c r="M17" t="s">
        <v>1664</v>
      </c>
      <c r="N17" t="s">
        <v>1664</v>
      </c>
      <c r="O17" t="s">
        <v>1664</v>
      </c>
      <c r="P17" t="s">
        <v>3517</v>
      </c>
      <c r="Q17" t="s">
        <v>3496</v>
      </c>
      <c r="R17" t="s">
        <v>1664</v>
      </c>
      <c r="S17" t="s">
        <v>1664</v>
      </c>
      <c r="T17" t="s">
        <v>1664</v>
      </c>
      <c r="U17" t="s">
        <v>1664</v>
      </c>
      <c r="V17" t="s">
        <v>1664</v>
      </c>
      <c r="W17">
        <v>0</v>
      </c>
      <c r="Y17">
        <v>0</v>
      </c>
      <c r="AA17">
        <v>11890180000</v>
      </c>
      <c r="AB17" t="s">
        <v>3524</v>
      </c>
    </row>
    <row r="18" spans="1:28">
      <c r="B18" t="s">
        <v>3525</v>
      </c>
      <c r="C18" t="s">
        <v>3526</v>
      </c>
      <c r="D18" t="s">
        <v>1664</v>
      </c>
      <c r="E18" t="s">
        <v>1664</v>
      </c>
      <c r="F18">
        <v>0</v>
      </c>
      <c r="H18">
        <v>0</v>
      </c>
      <c r="J18" t="s">
        <v>1664</v>
      </c>
      <c r="K18" t="s">
        <v>1664</v>
      </c>
      <c r="L18" t="s">
        <v>1664</v>
      </c>
      <c r="M18" t="s">
        <v>1664</v>
      </c>
      <c r="N18" t="s">
        <v>1664</v>
      </c>
      <c r="O18" t="s">
        <v>1664</v>
      </c>
      <c r="P18" t="s">
        <v>3527</v>
      </c>
      <c r="Q18" t="s">
        <v>3477</v>
      </c>
      <c r="R18" t="s">
        <v>1664</v>
      </c>
      <c r="S18" t="s">
        <v>1664</v>
      </c>
      <c r="T18" t="s">
        <v>1664</v>
      </c>
      <c r="U18" t="s">
        <v>1664</v>
      </c>
      <c r="V18" t="s">
        <v>1664</v>
      </c>
      <c r="W18">
        <v>0</v>
      </c>
      <c r="Y18">
        <v>0</v>
      </c>
      <c r="AA18">
        <v>1526993000</v>
      </c>
      <c r="AB18" t="s">
        <v>3528</v>
      </c>
    </row>
    <row r="19" spans="1:28">
      <c r="B19" t="s">
        <v>3529</v>
      </c>
      <c r="C19" t="s">
        <v>3530</v>
      </c>
      <c r="D19" t="s">
        <v>1664</v>
      </c>
      <c r="E19" t="s">
        <v>1664</v>
      </c>
      <c r="F19">
        <v>0</v>
      </c>
      <c r="H19">
        <v>0</v>
      </c>
      <c r="J19" t="s">
        <v>1664</v>
      </c>
      <c r="K19" t="s">
        <v>1664</v>
      </c>
      <c r="L19" t="s">
        <v>1664</v>
      </c>
      <c r="M19" t="s">
        <v>1664</v>
      </c>
      <c r="N19" t="s">
        <v>1664</v>
      </c>
      <c r="O19" t="s">
        <v>1664</v>
      </c>
      <c r="P19" t="s">
        <v>3531</v>
      </c>
      <c r="Q19" t="s">
        <v>3469</v>
      </c>
      <c r="R19" t="s">
        <v>1664</v>
      </c>
      <c r="S19" t="s">
        <v>1664</v>
      </c>
      <c r="T19" t="s">
        <v>1664</v>
      </c>
      <c r="U19" t="s">
        <v>1664</v>
      </c>
      <c r="V19" t="s">
        <v>1664</v>
      </c>
      <c r="W19">
        <v>0</v>
      </c>
      <c r="Y19">
        <v>0</v>
      </c>
      <c r="AA19">
        <v>36228250000</v>
      </c>
      <c r="AB19" t="s">
        <v>3532</v>
      </c>
    </row>
    <row r="20" spans="1:28">
      <c r="A20" t="s">
        <v>197</v>
      </c>
      <c r="B20" t="s">
        <v>3533</v>
      </c>
      <c r="C20" t="s">
        <v>2981</v>
      </c>
      <c r="D20">
        <v>0</v>
      </c>
      <c r="E20">
        <v>0</v>
      </c>
      <c r="F20">
        <v>0</v>
      </c>
      <c r="H20">
        <v>873000000</v>
      </c>
      <c r="J20">
        <v>510000000</v>
      </c>
      <c r="K20" t="s">
        <v>1664</v>
      </c>
      <c r="L20" t="s">
        <v>1664</v>
      </c>
      <c r="M20" t="s">
        <v>1664</v>
      </c>
      <c r="N20" t="s">
        <v>1664</v>
      </c>
      <c r="O20" t="s">
        <v>1664</v>
      </c>
      <c r="P20" t="s">
        <v>3534</v>
      </c>
      <c r="Q20" t="s">
        <v>3477</v>
      </c>
      <c r="R20" t="s">
        <v>1664</v>
      </c>
      <c r="S20" t="s">
        <v>1664</v>
      </c>
      <c r="T20" t="s">
        <v>1664</v>
      </c>
      <c r="U20" t="s">
        <v>1664</v>
      </c>
      <c r="V20">
        <v>5093740528.5</v>
      </c>
      <c r="W20">
        <v>5713848071.1000004</v>
      </c>
      <c r="Y20">
        <v>4765969398.8400002</v>
      </c>
      <c r="AA20">
        <v>6780771000</v>
      </c>
      <c r="AB20" t="s">
        <v>3535</v>
      </c>
    </row>
    <row r="21" spans="1:28">
      <c r="A21" t="s">
        <v>3536</v>
      </c>
      <c r="B21" t="s">
        <v>3303</v>
      </c>
      <c r="C21" t="s">
        <v>3302</v>
      </c>
      <c r="D21" t="s">
        <v>1664</v>
      </c>
      <c r="E21" t="s">
        <v>1664</v>
      </c>
      <c r="F21">
        <v>0</v>
      </c>
      <c r="H21">
        <v>0</v>
      </c>
      <c r="J21" t="s">
        <v>1664</v>
      </c>
      <c r="K21" t="s">
        <v>1664</v>
      </c>
      <c r="L21" t="s">
        <v>1664</v>
      </c>
      <c r="M21" t="s">
        <v>1664</v>
      </c>
      <c r="N21" t="s">
        <v>1664</v>
      </c>
      <c r="O21" t="s">
        <v>1664</v>
      </c>
      <c r="P21" t="s">
        <v>1664</v>
      </c>
      <c r="Q21">
        <v>0</v>
      </c>
      <c r="R21" t="s">
        <v>1664</v>
      </c>
      <c r="S21" t="s">
        <v>1664</v>
      </c>
      <c r="T21" t="s">
        <v>1664</v>
      </c>
      <c r="U21" t="s">
        <v>1664</v>
      </c>
      <c r="V21" t="s">
        <v>1664</v>
      </c>
      <c r="W21">
        <v>0</v>
      </c>
      <c r="Y21">
        <v>0</v>
      </c>
      <c r="AA21" t="s">
        <v>1664</v>
      </c>
    </row>
    <row r="22" spans="1:28">
      <c r="B22" t="s">
        <v>3537</v>
      </c>
      <c r="C22" t="s">
        <v>3538</v>
      </c>
      <c r="D22" t="s">
        <v>1664</v>
      </c>
      <c r="E22" t="s">
        <v>1664</v>
      </c>
      <c r="F22">
        <v>0</v>
      </c>
      <c r="H22">
        <v>0</v>
      </c>
      <c r="J22" t="s">
        <v>1664</v>
      </c>
      <c r="K22" t="s">
        <v>1664</v>
      </c>
      <c r="L22" t="s">
        <v>1664</v>
      </c>
      <c r="M22" t="s">
        <v>1664</v>
      </c>
      <c r="N22" t="s">
        <v>1664</v>
      </c>
      <c r="O22" t="s">
        <v>1664</v>
      </c>
      <c r="P22" t="s">
        <v>3531</v>
      </c>
      <c r="Q22" t="s">
        <v>3491</v>
      </c>
      <c r="R22" t="s">
        <v>1664</v>
      </c>
      <c r="S22" t="s">
        <v>1664</v>
      </c>
      <c r="T22" t="s">
        <v>1664</v>
      </c>
      <c r="U22" t="s">
        <v>1664</v>
      </c>
      <c r="V22" t="s">
        <v>1664</v>
      </c>
      <c r="W22">
        <v>0</v>
      </c>
      <c r="Y22">
        <v>0</v>
      </c>
      <c r="AA22">
        <v>23326706423</v>
      </c>
      <c r="AB22" t="s">
        <v>3539</v>
      </c>
    </row>
    <row r="23" spans="1:28">
      <c r="B23" t="s">
        <v>3540</v>
      </c>
      <c r="C23" t="s">
        <v>2597</v>
      </c>
      <c r="D23">
        <v>0</v>
      </c>
      <c r="E23" t="s">
        <v>1664</v>
      </c>
      <c r="F23">
        <v>0</v>
      </c>
      <c r="H23">
        <v>0</v>
      </c>
      <c r="J23">
        <v>136000000</v>
      </c>
      <c r="K23">
        <v>89000000</v>
      </c>
      <c r="L23">
        <v>85000000</v>
      </c>
      <c r="M23" t="s">
        <v>1664</v>
      </c>
      <c r="N23" t="s">
        <v>1664</v>
      </c>
      <c r="O23" t="s">
        <v>1664</v>
      </c>
      <c r="P23" t="s">
        <v>3495</v>
      </c>
      <c r="R23" t="s">
        <v>1664</v>
      </c>
      <c r="S23" t="s">
        <v>1664</v>
      </c>
      <c r="T23">
        <v>0</v>
      </c>
      <c r="U23">
        <v>0</v>
      </c>
      <c r="V23">
        <v>0</v>
      </c>
      <c r="W23">
        <v>10750704400</v>
      </c>
      <c r="Y23">
        <v>4051710559.9999995</v>
      </c>
      <c r="AA23">
        <v>3260428000</v>
      </c>
      <c r="AB23" t="s">
        <v>3541</v>
      </c>
    </row>
    <row r="24" spans="1:28">
      <c r="B24" t="s">
        <v>3542</v>
      </c>
      <c r="C24" t="s">
        <v>3543</v>
      </c>
      <c r="D24" t="s">
        <v>1664</v>
      </c>
      <c r="E24" t="s">
        <v>1664</v>
      </c>
      <c r="F24">
        <v>0</v>
      </c>
      <c r="H24">
        <v>0</v>
      </c>
      <c r="J24" t="s">
        <v>1664</v>
      </c>
      <c r="K24" t="s">
        <v>1664</v>
      </c>
      <c r="L24" t="s">
        <v>1664</v>
      </c>
      <c r="M24" t="s">
        <v>1664</v>
      </c>
      <c r="N24" t="s">
        <v>1664</v>
      </c>
      <c r="O24" t="s">
        <v>1664</v>
      </c>
      <c r="P24" t="s">
        <v>3504</v>
      </c>
      <c r="Q24" t="s">
        <v>3487</v>
      </c>
      <c r="R24" t="s">
        <v>1664</v>
      </c>
      <c r="S24" t="s">
        <v>1664</v>
      </c>
      <c r="T24" t="s">
        <v>1664</v>
      </c>
      <c r="U24" t="s">
        <v>1664</v>
      </c>
      <c r="V24" t="s">
        <v>1664</v>
      </c>
      <c r="W24">
        <v>0</v>
      </c>
      <c r="Y24">
        <v>0</v>
      </c>
      <c r="AA24">
        <v>93326860000</v>
      </c>
      <c r="AB24" t="s">
        <v>3544</v>
      </c>
    </row>
    <row r="25" spans="1:28">
      <c r="B25" t="s">
        <v>3545</v>
      </c>
      <c r="C25" t="s">
        <v>3546</v>
      </c>
      <c r="D25" t="s">
        <v>1664</v>
      </c>
      <c r="E25" t="s">
        <v>1664</v>
      </c>
      <c r="F25">
        <v>0</v>
      </c>
      <c r="H25">
        <v>0</v>
      </c>
      <c r="J25" t="s">
        <v>1664</v>
      </c>
      <c r="K25" t="s">
        <v>1664</v>
      </c>
      <c r="L25" t="s">
        <v>1664</v>
      </c>
      <c r="M25" t="s">
        <v>1664</v>
      </c>
      <c r="N25" t="s">
        <v>1664</v>
      </c>
      <c r="O25" t="s">
        <v>1664</v>
      </c>
      <c r="P25" t="s">
        <v>3490</v>
      </c>
      <c r="Q25" t="s">
        <v>3491</v>
      </c>
      <c r="R25" t="s">
        <v>1664</v>
      </c>
      <c r="S25" t="s">
        <v>1664</v>
      </c>
      <c r="T25" t="s">
        <v>1664</v>
      </c>
      <c r="U25" t="s">
        <v>1664</v>
      </c>
      <c r="V25" t="s">
        <v>1664</v>
      </c>
      <c r="W25">
        <v>0</v>
      </c>
      <c r="Y25">
        <v>0</v>
      </c>
      <c r="AA25">
        <v>1691259000000</v>
      </c>
      <c r="AB25" t="s">
        <v>3547</v>
      </c>
    </row>
    <row r="26" spans="1:28">
      <c r="A26" t="s">
        <v>3548</v>
      </c>
      <c r="B26" t="s">
        <v>2736</v>
      </c>
      <c r="C26" t="s">
        <v>2739</v>
      </c>
      <c r="D26">
        <v>767000000</v>
      </c>
      <c r="E26">
        <v>-132000000</v>
      </c>
      <c r="F26">
        <v>-581000000</v>
      </c>
      <c r="H26">
        <v>247000000</v>
      </c>
      <c r="J26">
        <v>467000000</v>
      </c>
      <c r="K26">
        <v>681000000</v>
      </c>
      <c r="L26">
        <v>365000000</v>
      </c>
      <c r="M26">
        <v>289000000</v>
      </c>
      <c r="N26">
        <v>3001000000</v>
      </c>
      <c r="O26">
        <v>-70.045780303030298</v>
      </c>
      <c r="P26" t="s">
        <v>3468</v>
      </c>
      <c r="Q26" t="s">
        <v>3518</v>
      </c>
      <c r="R26">
        <v>5018003651.2999992</v>
      </c>
      <c r="S26">
        <v>6173902423</v>
      </c>
      <c r="T26">
        <v>7699592820.1499996</v>
      </c>
      <c r="U26">
        <v>8629891281.8000011</v>
      </c>
      <c r="V26">
        <v>8166692481.4800005</v>
      </c>
      <c r="W26">
        <v>11588919977.459999</v>
      </c>
      <c r="Y26">
        <v>8520799643.7200003</v>
      </c>
      <c r="AA26">
        <v>9246043000</v>
      </c>
      <c r="AB26" t="s">
        <v>3549</v>
      </c>
    </row>
    <row r="27" spans="1:28">
      <c r="B27" t="s">
        <v>3550</v>
      </c>
      <c r="C27" t="s">
        <v>3551</v>
      </c>
      <c r="D27" t="s">
        <v>1664</v>
      </c>
      <c r="E27" t="s">
        <v>1664</v>
      </c>
      <c r="F27">
        <v>0</v>
      </c>
      <c r="H27">
        <v>0</v>
      </c>
      <c r="J27" t="s">
        <v>1664</v>
      </c>
      <c r="K27" t="s">
        <v>1664</v>
      </c>
      <c r="L27" t="s">
        <v>1664</v>
      </c>
      <c r="M27" t="s">
        <v>1664</v>
      </c>
      <c r="N27" t="s">
        <v>1664</v>
      </c>
      <c r="O27" t="s">
        <v>1664</v>
      </c>
      <c r="P27" t="s">
        <v>3552</v>
      </c>
      <c r="Q27" t="s">
        <v>3477</v>
      </c>
      <c r="R27" t="s">
        <v>1664</v>
      </c>
      <c r="S27" t="s">
        <v>1664</v>
      </c>
      <c r="T27" t="s">
        <v>1664</v>
      </c>
      <c r="U27" t="s">
        <v>1664</v>
      </c>
      <c r="V27" t="s">
        <v>1664</v>
      </c>
      <c r="W27">
        <v>0</v>
      </c>
      <c r="Y27">
        <v>0</v>
      </c>
      <c r="AA27">
        <v>1922303000</v>
      </c>
      <c r="AB27" t="s">
        <v>3553</v>
      </c>
    </row>
    <row r="28" spans="1:28">
      <c r="A28" t="s">
        <v>3493</v>
      </c>
      <c r="B28" t="s">
        <v>2867</v>
      </c>
      <c r="C28" t="s">
        <v>2869</v>
      </c>
      <c r="D28">
        <v>500325000</v>
      </c>
      <c r="E28">
        <v>0</v>
      </c>
      <c r="F28">
        <v>457525000</v>
      </c>
      <c r="H28">
        <v>180000000</v>
      </c>
      <c r="J28">
        <v>98011000</v>
      </c>
      <c r="K28">
        <v>164225000</v>
      </c>
      <c r="L28">
        <v>157869000</v>
      </c>
      <c r="M28">
        <v>147025000</v>
      </c>
      <c r="N28">
        <v>112405000</v>
      </c>
      <c r="O28" t="s">
        <v>1664</v>
      </c>
      <c r="P28" t="s">
        <v>3490</v>
      </c>
      <c r="Q28" t="s">
        <v>3477</v>
      </c>
      <c r="R28">
        <v>2202802184.6999998</v>
      </c>
      <c r="S28">
        <v>2428370599.1999998</v>
      </c>
      <c r="T28">
        <v>2416544030.25</v>
      </c>
      <c r="U28">
        <v>3876970486.7999997</v>
      </c>
      <c r="V28">
        <v>3164569150.5</v>
      </c>
      <c r="W28">
        <v>5275904301.1999998</v>
      </c>
      <c r="Y28">
        <v>3983869763.1999998</v>
      </c>
      <c r="AA28">
        <v>4526616000</v>
      </c>
      <c r="AB28" t="s">
        <v>3554</v>
      </c>
    </row>
    <row r="29" spans="1:28">
      <c r="A29" t="s">
        <v>3555</v>
      </c>
      <c r="B29" t="s">
        <v>763</v>
      </c>
      <c r="C29" t="s">
        <v>768</v>
      </c>
      <c r="D29">
        <v>1640300000</v>
      </c>
      <c r="E29">
        <v>1100000000</v>
      </c>
      <c r="F29">
        <v>664300000</v>
      </c>
      <c r="H29">
        <v>-142400000</v>
      </c>
      <c r="J29">
        <v>-626300000</v>
      </c>
      <c r="K29">
        <v>1113200000</v>
      </c>
      <c r="L29">
        <v>1002500000</v>
      </c>
      <c r="M29">
        <v>1002900000</v>
      </c>
      <c r="N29">
        <v>825500000</v>
      </c>
      <c r="O29">
        <v>25.703027272727272</v>
      </c>
      <c r="P29" t="s">
        <v>3490</v>
      </c>
      <c r="R29">
        <v>18690254698.420002</v>
      </c>
      <c r="S29">
        <v>27350823309.919998</v>
      </c>
      <c r="T29">
        <v>27335009615.16</v>
      </c>
      <c r="U29">
        <v>30525100416.959995</v>
      </c>
      <c r="V29">
        <v>23391175780</v>
      </c>
      <c r="W29">
        <v>27244982261.220001</v>
      </c>
      <c r="Y29">
        <v>21871736402.75</v>
      </c>
      <c r="AA29">
        <v>28273330000</v>
      </c>
      <c r="AB29" t="s">
        <v>3556</v>
      </c>
    </row>
    <row r="30" spans="1:28">
      <c r="B30" t="s">
        <v>3557</v>
      </c>
      <c r="C30" t="s">
        <v>3558</v>
      </c>
      <c r="D30" t="s">
        <v>1664</v>
      </c>
      <c r="E30" t="s">
        <v>1664</v>
      </c>
      <c r="F30">
        <v>0</v>
      </c>
      <c r="H30">
        <v>0</v>
      </c>
      <c r="J30" t="s">
        <v>1664</v>
      </c>
      <c r="K30" t="s">
        <v>1664</v>
      </c>
      <c r="L30" t="s">
        <v>1664</v>
      </c>
      <c r="M30" t="s">
        <v>1664</v>
      </c>
      <c r="N30" t="s">
        <v>1664</v>
      </c>
      <c r="O30" t="s">
        <v>1664</v>
      </c>
      <c r="P30" t="s">
        <v>3559</v>
      </c>
      <c r="Q30" t="s">
        <v>3491</v>
      </c>
      <c r="R30" t="s">
        <v>1664</v>
      </c>
      <c r="S30" t="s">
        <v>1664</v>
      </c>
      <c r="T30" t="s">
        <v>1664</v>
      </c>
      <c r="U30" t="s">
        <v>1664</v>
      </c>
      <c r="V30" t="s">
        <v>1664</v>
      </c>
      <c r="W30">
        <v>0</v>
      </c>
      <c r="Y30">
        <v>0</v>
      </c>
      <c r="AA30">
        <v>1395889000000</v>
      </c>
      <c r="AB30" t="s">
        <v>3560</v>
      </c>
    </row>
    <row r="31" spans="1:28">
      <c r="B31" t="s">
        <v>3561</v>
      </c>
      <c r="C31" t="s">
        <v>3562</v>
      </c>
      <c r="D31" t="s">
        <v>1664</v>
      </c>
      <c r="E31" t="s">
        <v>1664</v>
      </c>
      <c r="F31">
        <v>0</v>
      </c>
      <c r="H31">
        <v>0</v>
      </c>
      <c r="J31" t="s">
        <v>1664</v>
      </c>
      <c r="K31" t="s">
        <v>1664</v>
      </c>
      <c r="L31" t="s">
        <v>1664</v>
      </c>
      <c r="M31" t="s">
        <v>1664</v>
      </c>
      <c r="N31" t="s">
        <v>1664</v>
      </c>
      <c r="O31" t="s">
        <v>1664</v>
      </c>
      <c r="P31" t="s">
        <v>3563</v>
      </c>
      <c r="Q31" t="s">
        <v>3464</v>
      </c>
      <c r="R31" t="s">
        <v>1664</v>
      </c>
      <c r="S31" t="s">
        <v>1664</v>
      </c>
      <c r="T31" t="s">
        <v>1664</v>
      </c>
      <c r="U31" t="s">
        <v>1664</v>
      </c>
      <c r="V31" t="s">
        <v>1664</v>
      </c>
      <c r="W31">
        <v>0</v>
      </c>
      <c r="Y31">
        <v>0</v>
      </c>
      <c r="AA31">
        <v>114497265183</v>
      </c>
      <c r="AB31" t="s">
        <v>3564</v>
      </c>
    </row>
    <row r="32" spans="1:28">
      <c r="B32" t="s">
        <v>3127</v>
      </c>
      <c r="C32" t="s">
        <v>3128</v>
      </c>
      <c r="D32">
        <v>525300000</v>
      </c>
      <c r="E32">
        <v>0</v>
      </c>
      <c r="F32">
        <v>183300000</v>
      </c>
      <c r="H32">
        <v>175200000</v>
      </c>
      <c r="J32">
        <v>96600000</v>
      </c>
      <c r="K32">
        <v>127100000</v>
      </c>
      <c r="L32">
        <v>107100000</v>
      </c>
      <c r="M32" t="s">
        <v>1664</v>
      </c>
      <c r="N32" t="s">
        <v>1664</v>
      </c>
      <c r="O32" t="s">
        <v>1664</v>
      </c>
      <c r="P32" t="s">
        <v>3531</v>
      </c>
      <c r="Q32">
        <v>0</v>
      </c>
      <c r="R32" t="s">
        <v>1664</v>
      </c>
      <c r="S32" t="s">
        <v>1664</v>
      </c>
      <c r="T32">
        <v>3087606138.2000003</v>
      </c>
      <c r="U32">
        <v>5688584319.3199997</v>
      </c>
      <c r="V32">
        <v>7618072720.8400002</v>
      </c>
      <c r="W32">
        <v>10675361261.5</v>
      </c>
      <c r="Y32">
        <v>6247182973.1999998</v>
      </c>
      <c r="AA32">
        <v>6870895000</v>
      </c>
      <c r="AB32" t="s">
        <v>3565</v>
      </c>
    </row>
    <row r="33" spans="1:28">
      <c r="A33" t="s">
        <v>3566</v>
      </c>
      <c r="B33" t="s">
        <v>1044</v>
      </c>
      <c r="C33" t="s">
        <v>1048</v>
      </c>
      <c r="D33">
        <v>1466000000</v>
      </c>
      <c r="E33">
        <v>1150000000</v>
      </c>
      <c r="F33">
        <v>1074000000</v>
      </c>
      <c r="H33">
        <v>1250000000</v>
      </c>
      <c r="J33">
        <v>906974000</v>
      </c>
      <c r="K33">
        <v>959322000</v>
      </c>
      <c r="L33">
        <v>855004000</v>
      </c>
      <c r="M33">
        <v>681294000</v>
      </c>
      <c r="N33">
        <v>568265000</v>
      </c>
      <c r="O33">
        <v>9.6896173913043473</v>
      </c>
      <c r="P33" t="s">
        <v>3567</v>
      </c>
      <c r="Q33" t="s">
        <v>3477</v>
      </c>
      <c r="R33">
        <v>8127592699.5999994</v>
      </c>
      <c r="S33">
        <v>14236721205.300001</v>
      </c>
      <c r="T33">
        <v>9701979427.3999996</v>
      </c>
      <c r="U33">
        <v>14151431350</v>
      </c>
      <c r="V33">
        <v>14140499519.4</v>
      </c>
      <c r="W33">
        <v>15057985371.650002</v>
      </c>
      <c r="Y33">
        <v>10804586943</v>
      </c>
      <c r="AA33">
        <v>11143060000</v>
      </c>
      <c r="AB33" t="s">
        <v>3568</v>
      </c>
    </row>
    <row r="34" spans="1:28">
      <c r="B34" t="s">
        <v>3569</v>
      </c>
      <c r="C34" t="s">
        <v>3570</v>
      </c>
      <c r="D34" t="s">
        <v>1664</v>
      </c>
      <c r="E34" t="s">
        <v>1664</v>
      </c>
      <c r="F34">
        <v>0</v>
      </c>
      <c r="H34">
        <v>0</v>
      </c>
      <c r="J34" t="s">
        <v>1664</v>
      </c>
      <c r="K34" t="s">
        <v>1664</v>
      </c>
      <c r="L34" t="s">
        <v>1664</v>
      </c>
      <c r="M34" t="s">
        <v>1664</v>
      </c>
      <c r="N34" t="s">
        <v>1664</v>
      </c>
      <c r="O34" t="s">
        <v>1664</v>
      </c>
      <c r="P34" t="s">
        <v>3571</v>
      </c>
      <c r="Q34" t="s">
        <v>3482</v>
      </c>
      <c r="R34" t="s">
        <v>1664</v>
      </c>
      <c r="S34" t="s">
        <v>1664</v>
      </c>
      <c r="T34" t="s">
        <v>1664</v>
      </c>
      <c r="U34" t="s">
        <v>1664</v>
      </c>
      <c r="V34" t="s">
        <v>1664</v>
      </c>
      <c r="W34">
        <v>0</v>
      </c>
      <c r="Y34">
        <v>0</v>
      </c>
      <c r="AA34">
        <v>92783700000</v>
      </c>
      <c r="AB34" t="s">
        <v>3572</v>
      </c>
    </row>
    <row r="35" spans="1:28">
      <c r="B35" t="s">
        <v>3573</v>
      </c>
      <c r="C35" t="s">
        <v>3574</v>
      </c>
      <c r="D35" t="s">
        <v>1664</v>
      </c>
      <c r="E35" t="s">
        <v>1664</v>
      </c>
      <c r="F35">
        <v>0</v>
      </c>
      <c r="H35">
        <v>0</v>
      </c>
      <c r="N35" t="s">
        <v>1664</v>
      </c>
      <c r="O35" t="s">
        <v>1664</v>
      </c>
      <c r="P35" t="s">
        <v>3567</v>
      </c>
      <c r="R35" t="s">
        <v>1664</v>
      </c>
      <c r="S35" t="s">
        <v>1664</v>
      </c>
      <c r="T35" t="s">
        <v>1664</v>
      </c>
      <c r="U35" t="s">
        <v>1664</v>
      </c>
      <c r="V35" t="s">
        <v>1664</v>
      </c>
      <c r="W35">
        <v>0</v>
      </c>
      <c r="Y35">
        <v>0</v>
      </c>
      <c r="AA35">
        <v>2347865000</v>
      </c>
      <c r="AB35" t="s">
        <v>3575</v>
      </c>
    </row>
    <row r="36" spans="1:28">
      <c r="B36" t="s">
        <v>3576</v>
      </c>
      <c r="C36" t="s">
        <v>3577</v>
      </c>
      <c r="D36" t="s">
        <v>1664</v>
      </c>
      <c r="E36" t="s">
        <v>1664</v>
      </c>
      <c r="F36">
        <v>0</v>
      </c>
      <c r="H36">
        <v>0</v>
      </c>
      <c r="J36" t="s">
        <v>1664</v>
      </c>
      <c r="K36" t="s">
        <v>1664</v>
      </c>
      <c r="L36" t="s">
        <v>1664</v>
      </c>
      <c r="M36" t="s">
        <v>1664</v>
      </c>
      <c r="N36" t="s">
        <v>1664</v>
      </c>
      <c r="O36" t="s">
        <v>1664</v>
      </c>
      <c r="P36" t="s">
        <v>3578</v>
      </c>
      <c r="Q36" t="s">
        <v>3477</v>
      </c>
      <c r="R36" t="s">
        <v>1664</v>
      </c>
      <c r="S36" t="s">
        <v>1664</v>
      </c>
      <c r="T36" t="s">
        <v>1664</v>
      </c>
      <c r="U36" t="s">
        <v>1664</v>
      </c>
      <c r="V36" t="s">
        <v>1664</v>
      </c>
      <c r="W36">
        <v>0</v>
      </c>
      <c r="Y36">
        <v>0</v>
      </c>
      <c r="AA36">
        <v>2161616000</v>
      </c>
      <c r="AB36" t="s">
        <v>3579</v>
      </c>
    </row>
    <row r="37" spans="1:28">
      <c r="A37" t="s">
        <v>3580</v>
      </c>
      <c r="B37" t="s">
        <v>3581</v>
      </c>
      <c r="C37" t="s">
        <v>3582</v>
      </c>
      <c r="D37" t="s">
        <v>1664</v>
      </c>
      <c r="E37" t="s">
        <v>1664</v>
      </c>
      <c r="F37">
        <v>0</v>
      </c>
      <c r="H37">
        <v>0</v>
      </c>
      <c r="J37" t="s">
        <v>1664</v>
      </c>
      <c r="K37" t="s">
        <v>1664</v>
      </c>
      <c r="L37" t="s">
        <v>1664</v>
      </c>
      <c r="M37" t="s">
        <v>1664</v>
      </c>
      <c r="N37" t="s">
        <v>1664</v>
      </c>
      <c r="O37" t="s">
        <v>1664</v>
      </c>
      <c r="P37" t="s">
        <v>3583</v>
      </c>
      <c r="Q37" t="s">
        <v>3491</v>
      </c>
      <c r="R37" t="s">
        <v>1664</v>
      </c>
      <c r="S37" t="s">
        <v>1664</v>
      </c>
      <c r="T37" t="s">
        <v>1664</v>
      </c>
      <c r="U37" t="s">
        <v>1664</v>
      </c>
      <c r="V37" t="s">
        <v>1664</v>
      </c>
      <c r="W37">
        <v>0</v>
      </c>
      <c r="Y37">
        <v>0</v>
      </c>
      <c r="AA37">
        <v>2749748372400</v>
      </c>
      <c r="AB37" t="s">
        <v>3584</v>
      </c>
    </row>
    <row r="38" spans="1:28">
      <c r="A38" t="s">
        <v>3555</v>
      </c>
      <c r="B38" t="s">
        <v>3585</v>
      </c>
      <c r="C38" t="s">
        <v>293</v>
      </c>
      <c r="D38">
        <v>0</v>
      </c>
      <c r="E38">
        <v>0</v>
      </c>
      <c r="F38">
        <v>8930000000</v>
      </c>
      <c r="G38">
        <v>8930000000</v>
      </c>
      <c r="H38">
        <v>12389380530.973452</v>
      </c>
      <c r="J38">
        <v>-733000000</v>
      </c>
      <c r="K38">
        <v>-2230909090.9090905</v>
      </c>
      <c r="L38">
        <v>4597321428.5714283</v>
      </c>
      <c r="M38">
        <v>3770491803.2786884</v>
      </c>
      <c r="N38">
        <v>1662616822.4299064</v>
      </c>
      <c r="O38" t="s">
        <v>1664</v>
      </c>
      <c r="P38" t="s">
        <v>3578</v>
      </c>
      <c r="Q38" t="s">
        <v>3518</v>
      </c>
      <c r="R38">
        <v>21766547169.899998</v>
      </c>
      <c r="S38">
        <v>27591397821</v>
      </c>
      <c r="T38">
        <v>20728384578</v>
      </c>
      <c r="U38">
        <v>14394711512.5</v>
      </c>
      <c r="V38">
        <v>19675026156.600002</v>
      </c>
      <c r="W38">
        <v>27323940000</v>
      </c>
      <c r="Y38">
        <v>24090177000</v>
      </c>
      <c r="Z38">
        <v>24090177000</v>
      </c>
      <c r="AA38">
        <v>20450380000</v>
      </c>
      <c r="AB38" t="s">
        <v>3586</v>
      </c>
    </row>
    <row r="39" spans="1:28">
      <c r="B39" t="s">
        <v>3587</v>
      </c>
      <c r="C39" t="s">
        <v>3588</v>
      </c>
      <c r="D39" t="s">
        <v>1664</v>
      </c>
      <c r="E39" t="s">
        <v>1664</v>
      </c>
      <c r="F39">
        <v>0</v>
      </c>
      <c r="H39">
        <v>0</v>
      </c>
      <c r="J39" t="s">
        <v>1664</v>
      </c>
      <c r="K39" t="s">
        <v>1664</v>
      </c>
      <c r="L39" t="s">
        <v>1664</v>
      </c>
      <c r="M39" t="s">
        <v>1664</v>
      </c>
      <c r="N39" t="s">
        <v>1664</v>
      </c>
      <c r="O39" t="s">
        <v>1664</v>
      </c>
      <c r="P39" t="s">
        <v>3589</v>
      </c>
      <c r="Q39" t="s">
        <v>3482</v>
      </c>
      <c r="R39" t="s">
        <v>1664</v>
      </c>
      <c r="S39" t="s">
        <v>1664</v>
      </c>
      <c r="T39" t="s">
        <v>1664</v>
      </c>
      <c r="U39" t="s">
        <v>1664</v>
      </c>
      <c r="V39" t="s">
        <v>1664</v>
      </c>
      <c r="W39">
        <v>0</v>
      </c>
      <c r="Y39">
        <v>0</v>
      </c>
      <c r="AA39">
        <v>28590880000</v>
      </c>
      <c r="AB39" t="s">
        <v>3590</v>
      </c>
    </row>
    <row r="40" spans="1:28">
      <c r="A40" t="s">
        <v>165</v>
      </c>
      <c r="B40" t="s">
        <v>2448</v>
      </c>
      <c r="C40" t="s">
        <v>2449</v>
      </c>
      <c r="D40">
        <v>0</v>
      </c>
      <c r="E40">
        <v>0</v>
      </c>
      <c r="F40">
        <v>0</v>
      </c>
      <c r="H40">
        <v>330000000</v>
      </c>
      <c r="J40">
        <v>332000000</v>
      </c>
      <c r="K40">
        <v>543000000</v>
      </c>
      <c r="L40">
        <v>707000000</v>
      </c>
      <c r="M40">
        <v>576000000</v>
      </c>
      <c r="N40">
        <v>427000000</v>
      </c>
      <c r="O40" t="s">
        <v>1664</v>
      </c>
      <c r="P40" t="s">
        <v>3517</v>
      </c>
      <c r="Q40" t="s">
        <v>3477</v>
      </c>
      <c r="R40">
        <v>7037225994.1799994</v>
      </c>
      <c r="S40">
        <v>7708443409.5999994</v>
      </c>
      <c r="T40">
        <v>5740548640.3199997</v>
      </c>
      <c r="U40">
        <v>7256313634</v>
      </c>
      <c r="V40">
        <v>7174860506</v>
      </c>
      <c r="W40">
        <v>9503812552.6000004</v>
      </c>
      <c r="Y40">
        <v>0</v>
      </c>
      <c r="AA40">
        <v>6876988000</v>
      </c>
      <c r="AB40" t="s">
        <v>3591</v>
      </c>
    </row>
    <row r="41" spans="1:28">
      <c r="B41" t="s">
        <v>3592</v>
      </c>
      <c r="C41" t="s">
        <v>3593</v>
      </c>
      <c r="D41" t="s">
        <v>1664</v>
      </c>
      <c r="E41" t="s">
        <v>1664</v>
      </c>
      <c r="F41">
        <v>0</v>
      </c>
      <c r="H41">
        <v>0</v>
      </c>
      <c r="J41" t="s">
        <v>1664</v>
      </c>
      <c r="K41" t="s">
        <v>1664</v>
      </c>
      <c r="L41" t="s">
        <v>1664</v>
      </c>
      <c r="M41" t="s">
        <v>1664</v>
      </c>
      <c r="N41" t="s">
        <v>1664</v>
      </c>
      <c r="O41" t="s">
        <v>1664</v>
      </c>
      <c r="P41" t="s">
        <v>3594</v>
      </c>
      <c r="Q41" t="s">
        <v>3496</v>
      </c>
      <c r="R41" t="s">
        <v>1664</v>
      </c>
      <c r="S41" t="s">
        <v>1664</v>
      </c>
      <c r="T41" t="s">
        <v>1664</v>
      </c>
      <c r="U41" t="s">
        <v>1664</v>
      </c>
      <c r="V41" t="s">
        <v>1664</v>
      </c>
      <c r="W41">
        <v>0</v>
      </c>
      <c r="Y41">
        <v>0</v>
      </c>
      <c r="AA41">
        <v>18389890000</v>
      </c>
      <c r="AB41" t="s">
        <v>3595</v>
      </c>
    </row>
    <row r="42" spans="1:28">
      <c r="B42" t="s">
        <v>3596</v>
      </c>
      <c r="C42" t="s">
        <v>2681</v>
      </c>
      <c r="D42">
        <v>0</v>
      </c>
      <c r="E42" t="s">
        <v>1664</v>
      </c>
      <c r="F42">
        <v>6395800000</v>
      </c>
      <c r="H42">
        <v>6134600000</v>
      </c>
      <c r="J42">
        <v>3696800000</v>
      </c>
      <c r="K42">
        <v>0</v>
      </c>
      <c r="L42">
        <v>0</v>
      </c>
      <c r="M42" t="s">
        <v>1664</v>
      </c>
      <c r="N42" t="s">
        <v>1664</v>
      </c>
      <c r="O42" t="s">
        <v>1664</v>
      </c>
      <c r="P42" t="s">
        <v>3594</v>
      </c>
      <c r="Q42" t="s">
        <v>3496</v>
      </c>
      <c r="R42" t="s">
        <v>1664</v>
      </c>
      <c r="S42" t="s">
        <v>1664</v>
      </c>
      <c r="T42">
        <v>0</v>
      </c>
      <c r="U42">
        <v>0</v>
      </c>
      <c r="V42">
        <v>0</v>
      </c>
      <c r="W42">
        <v>0</v>
      </c>
      <c r="Y42">
        <v>0</v>
      </c>
      <c r="AA42">
        <v>224386700000</v>
      </c>
      <c r="AB42" t="s">
        <v>3597</v>
      </c>
    </row>
    <row r="43" spans="1:28">
      <c r="B43" t="s">
        <v>3237</v>
      </c>
      <c r="C43" t="s">
        <v>1646</v>
      </c>
      <c r="D43" t="s">
        <v>1664</v>
      </c>
      <c r="E43" t="s">
        <v>1664</v>
      </c>
      <c r="F43">
        <v>0</v>
      </c>
      <c r="H43">
        <v>0</v>
      </c>
      <c r="J43">
        <v>3196000000</v>
      </c>
      <c r="K43">
        <v>1335000000</v>
      </c>
      <c r="L43">
        <v>2155000000</v>
      </c>
      <c r="M43">
        <v>3001000000</v>
      </c>
      <c r="N43" t="s">
        <v>1664</v>
      </c>
      <c r="O43" t="s">
        <v>1664</v>
      </c>
      <c r="P43" t="s">
        <v>3473</v>
      </c>
      <c r="R43" t="s">
        <v>1664</v>
      </c>
      <c r="S43">
        <v>64843208392.050003</v>
      </c>
      <c r="T43">
        <v>74413226076.279999</v>
      </c>
      <c r="U43">
        <v>100463844132.44</v>
      </c>
      <c r="V43">
        <v>96547112274.080002</v>
      </c>
      <c r="W43">
        <v>113867333557.28</v>
      </c>
      <c r="Y43">
        <v>0</v>
      </c>
      <c r="AA43">
        <v>169713800000</v>
      </c>
      <c r="AB43" t="s">
        <v>3598</v>
      </c>
    </row>
    <row r="44" spans="1:28">
      <c r="A44" t="s">
        <v>3599</v>
      </c>
      <c r="B44" t="s">
        <v>893</v>
      </c>
      <c r="C44" t="s">
        <v>896</v>
      </c>
      <c r="D44">
        <v>1020000000</v>
      </c>
      <c r="E44">
        <v>0</v>
      </c>
      <c r="F44">
        <v>-1012000000</v>
      </c>
      <c r="H44">
        <v>-2962000000</v>
      </c>
      <c r="J44">
        <v>550000000</v>
      </c>
      <c r="K44">
        <v>834000000</v>
      </c>
      <c r="L44">
        <v>650000000</v>
      </c>
      <c r="M44">
        <v>601000000</v>
      </c>
      <c r="N44">
        <v>578800000</v>
      </c>
      <c r="O44" t="s">
        <v>1664</v>
      </c>
      <c r="P44" t="s">
        <v>3490</v>
      </c>
      <c r="Q44" t="s">
        <v>3477</v>
      </c>
      <c r="R44">
        <v>10500252028.4</v>
      </c>
      <c r="S44">
        <v>12864332578</v>
      </c>
      <c r="T44">
        <v>7054490454</v>
      </c>
      <c r="U44">
        <v>7482035330</v>
      </c>
      <c r="V44">
        <v>8167091268.9200001</v>
      </c>
      <c r="W44">
        <v>4098357637</v>
      </c>
      <c r="Y44">
        <v>987331612.54999995</v>
      </c>
      <c r="AA44">
        <v>798574100</v>
      </c>
      <c r="AB44" t="s">
        <v>3600</v>
      </c>
    </row>
    <row r="45" spans="1:28">
      <c r="B45" t="s">
        <v>3601</v>
      </c>
      <c r="C45" t="s">
        <v>3602</v>
      </c>
      <c r="D45" t="s">
        <v>1664</v>
      </c>
      <c r="E45" t="s">
        <v>1664</v>
      </c>
      <c r="F45">
        <v>6680000000</v>
      </c>
      <c r="G45">
        <v>6680000000</v>
      </c>
      <c r="H45">
        <v>3164000000</v>
      </c>
      <c r="I45">
        <v>3164000000</v>
      </c>
      <c r="J45" t="s">
        <v>1664</v>
      </c>
      <c r="K45" t="s">
        <v>1664</v>
      </c>
      <c r="L45" t="s">
        <v>1664</v>
      </c>
      <c r="M45" t="s">
        <v>1664</v>
      </c>
      <c r="N45" t="s">
        <v>1664</v>
      </c>
      <c r="O45" t="s">
        <v>1664</v>
      </c>
      <c r="P45" t="s">
        <v>3504</v>
      </c>
      <c r="Q45" t="s">
        <v>3518</v>
      </c>
      <c r="R45" t="s">
        <v>1664</v>
      </c>
      <c r="S45" t="s">
        <v>1664</v>
      </c>
      <c r="T45" t="s">
        <v>1664</v>
      </c>
      <c r="U45" t="s">
        <v>1664</v>
      </c>
      <c r="V45" t="s">
        <v>1664</v>
      </c>
      <c r="W45">
        <v>50552176000</v>
      </c>
      <c r="X45">
        <v>50552176000</v>
      </c>
      <c r="Y45">
        <v>57782100000</v>
      </c>
      <c r="Z45">
        <v>57782100000</v>
      </c>
      <c r="AA45">
        <v>66176960000</v>
      </c>
      <c r="AB45" t="s">
        <v>3603</v>
      </c>
    </row>
    <row r="46" spans="1:28">
      <c r="B46" t="s">
        <v>3604</v>
      </c>
      <c r="C46" t="s">
        <v>3605</v>
      </c>
      <c r="D46" t="s">
        <v>1664</v>
      </c>
      <c r="E46" t="s">
        <v>1664</v>
      </c>
      <c r="F46">
        <v>0</v>
      </c>
      <c r="H46">
        <v>0</v>
      </c>
      <c r="J46" t="s">
        <v>1664</v>
      </c>
      <c r="K46" t="s">
        <v>1664</v>
      </c>
      <c r="L46" t="s">
        <v>1664</v>
      </c>
      <c r="M46" t="s">
        <v>1664</v>
      </c>
      <c r="N46" t="s">
        <v>1664</v>
      </c>
      <c r="O46" t="s">
        <v>1664</v>
      </c>
      <c r="P46" t="s">
        <v>3563</v>
      </c>
      <c r="Q46" t="s">
        <v>3474</v>
      </c>
      <c r="R46" t="s">
        <v>1664</v>
      </c>
      <c r="S46" t="s">
        <v>1664</v>
      </c>
      <c r="T46" t="s">
        <v>1664</v>
      </c>
      <c r="U46" t="s">
        <v>1664</v>
      </c>
      <c r="V46" t="s">
        <v>1664</v>
      </c>
      <c r="W46">
        <v>0</v>
      </c>
      <c r="Y46">
        <v>0</v>
      </c>
      <c r="AA46">
        <v>224564472720</v>
      </c>
      <c r="AB46" t="s">
        <v>3606</v>
      </c>
    </row>
    <row r="47" spans="1:28">
      <c r="B47" t="s">
        <v>3607</v>
      </c>
      <c r="C47" t="s">
        <v>3608</v>
      </c>
      <c r="D47" t="s">
        <v>1664</v>
      </c>
      <c r="E47" t="s">
        <v>1664</v>
      </c>
      <c r="F47">
        <v>0</v>
      </c>
      <c r="H47">
        <v>0</v>
      </c>
      <c r="J47" t="s">
        <v>1664</v>
      </c>
      <c r="K47" t="s">
        <v>1664</v>
      </c>
      <c r="L47" t="s">
        <v>1664</v>
      </c>
      <c r="M47" t="s">
        <v>1664</v>
      </c>
      <c r="N47" t="s">
        <v>1664</v>
      </c>
      <c r="O47" t="s">
        <v>1664</v>
      </c>
      <c r="P47" t="s">
        <v>3517</v>
      </c>
      <c r="Q47" t="s">
        <v>3487</v>
      </c>
      <c r="R47" t="s">
        <v>1664</v>
      </c>
      <c r="S47" t="s">
        <v>1664</v>
      </c>
      <c r="T47" t="s">
        <v>1664</v>
      </c>
      <c r="U47" t="s">
        <v>1664</v>
      </c>
      <c r="V47" t="s">
        <v>1664</v>
      </c>
      <c r="W47">
        <v>0</v>
      </c>
      <c r="Y47">
        <v>0</v>
      </c>
      <c r="AA47">
        <v>40774880000</v>
      </c>
      <c r="AB47" t="s">
        <v>3609</v>
      </c>
    </row>
    <row r="48" spans="1:28">
      <c r="B48" t="s">
        <v>3610</v>
      </c>
      <c r="C48" t="s">
        <v>3611</v>
      </c>
      <c r="D48" t="s">
        <v>1664</v>
      </c>
      <c r="E48" t="s">
        <v>1664</v>
      </c>
      <c r="F48">
        <v>0</v>
      </c>
      <c r="H48">
        <v>0</v>
      </c>
      <c r="J48" t="s">
        <v>1664</v>
      </c>
      <c r="K48" t="s">
        <v>1664</v>
      </c>
      <c r="L48" t="s">
        <v>1664</v>
      </c>
      <c r="M48" t="s">
        <v>1664</v>
      </c>
      <c r="N48" t="s">
        <v>1664</v>
      </c>
      <c r="O48" t="s">
        <v>1664</v>
      </c>
      <c r="P48" t="s">
        <v>3473</v>
      </c>
      <c r="Q48" t="s">
        <v>3487</v>
      </c>
      <c r="R48" t="s">
        <v>1664</v>
      </c>
      <c r="S48" t="s">
        <v>1664</v>
      </c>
      <c r="T48" t="s">
        <v>1664</v>
      </c>
      <c r="U48" t="s">
        <v>1664</v>
      </c>
      <c r="V48" t="s">
        <v>1664</v>
      </c>
      <c r="W48">
        <v>0</v>
      </c>
      <c r="Y48">
        <v>0</v>
      </c>
      <c r="AA48">
        <v>48291050000</v>
      </c>
      <c r="AB48" t="s">
        <v>3612</v>
      </c>
    </row>
    <row r="49" spans="1:28">
      <c r="B49" t="s">
        <v>3613</v>
      </c>
      <c r="C49" t="s">
        <v>3614</v>
      </c>
      <c r="D49" t="s">
        <v>1664</v>
      </c>
      <c r="E49" t="s">
        <v>1664</v>
      </c>
      <c r="F49">
        <v>0</v>
      </c>
      <c r="H49">
        <v>0</v>
      </c>
      <c r="J49" t="s">
        <v>1664</v>
      </c>
      <c r="K49" t="s">
        <v>1664</v>
      </c>
      <c r="L49" t="s">
        <v>1664</v>
      </c>
      <c r="M49" t="s">
        <v>1664</v>
      </c>
      <c r="N49" t="s">
        <v>1664</v>
      </c>
      <c r="O49" t="s">
        <v>1664</v>
      </c>
      <c r="P49" t="s">
        <v>3615</v>
      </c>
      <c r="Q49" t="s">
        <v>3487</v>
      </c>
      <c r="R49" t="s">
        <v>1664</v>
      </c>
      <c r="S49" t="s">
        <v>1664</v>
      </c>
      <c r="T49" t="s">
        <v>1664</v>
      </c>
      <c r="U49" t="s">
        <v>1664</v>
      </c>
      <c r="V49" t="s">
        <v>1664</v>
      </c>
      <c r="W49">
        <v>0</v>
      </c>
      <c r="Y49">
        <v>0</v>
      </c>
      <c r="AA49">
        <v>63533500000</v>
      </c>
      <c r="AB49" t="s">
        <v>3616</v>
      </c>
    </row>
    <row r="50" spans="1:28">
      <c r="B50" t="s">
        <v>3617</v>
      </c>
      <c r="C50" t="s">
        <v>3618</v>
      </c>
      <c r="D50" t="s">
        <v>1664</v>
      </c>
      <c r="E50" t="s">
        <v>1664</v>
      </c>
      <c r="F50">
        <v>0</v>
      </c>
      <c r="H50">
        <v>0</v>
      </c>
      <c r="J50" t="s">
        <v>1664</v>
      </c>
      <c r="K50" t="s">
        <v>1664</v>
      </c>
      <c r="L50" t="s">
        <v>1664</v>
      </c>
      <c r="M50" t="s">
        <v>1664</v>
      </c>
      <c r="N50" t="s">
        <v>1664</v>
      </c>
      <c r="O50" t="s">
        <v>1664</v>
      </c>
      <c r="P50" t="s">
        <v>3594</v>
      </c>
      <c r="Q50" t="s">
        <v>3496</v>
      </c>
      <c r="R50" t="s">
        <v>1664</v>
      </c>
      <c r="S50" t="s">
        <v>1664</v>
      </c>
      <c r="T50" t="s">
        <v>1664</v>
      </c>
      <c r="U50" t="s">
        <v>1664</v>
      </c>
      <c r="V50" t="s">
        <v>1664</v>
      </c>
      <c r="W50">
        <v>0</v>
      </c>
      <c r="Y50">
        <v>0</v>
      </c>
      <c r="AA50">
        <v>7244781000</v>
      </c>
      <c r="AB50" t="s">
        <v>3619</v>
      </c>
    </row>
    <row r="51" spans="1:28">
      <c r="B51" t="s">
        <v>2724</v>
      </c>
      <c r="C51" t="s">
        <v>2727</v>
      </c>
      <c r="D51" t="s">
        <v>1664</v>
      </c>
      <c r="E51" t="s">
        <v>1664</v>
      </c>
      <c r="F51">
        <v>0</v>
      </c>
      <c r="H51">
        <v>0</v>
      </c>
      <c r="J51">
        <v>-26300000</v>
      </c>
      <c r="K51">
        <v>4600000</v>
      </c>
      <c r="L51">
        <v>2500000</v>
      </c>
      <c r="M51" t="s">
        <v>1664</v>
      </c>
      <c r="N51" t="s">
        <v>1664</v>
      </c>
      <c r="O51" t="s">
        <v>1664</v>
      </c>
      <c r="P51" t="s">
        <v>3620</v>
      </c>
      <c r="R51" t="s">
        <v>1664</v>
      </c>
      <c r="S51" t="s">
        <v>1664</v>
      </c>
      <c r="T51">
        <v>0</v>
      </c>
      <c r="U51">
        <v>0</v>
      </c>
      <c r="V51">
        <v>1792011309.5999999</v>
      </c>
      <c r="W51">
        <v>0</v>
      </c>
      <c r="Y51">
        <v>0</v>
      </c>
      <c r="AA51">
        <v>827804500</v>
      </c>
      <c r="AB51" t="s">
        <v>3621</v>
      </c>
    </row>
    <row r="52" spans="1:28">
      <c r="B52" t="s">
        <v>3622</v>
      </c>
      <c r="C52" t="s">
        <v>1784</v>
      </c>
      <c r="D52">
        <v>404500000</v>
      </c>
      <c r="E52">
        <v>0</v>
      </c>
      <c r="F52">
        <v>225200000</v>
      </c>
      <c r="H52">
        <v>191700000</v>
      </c>
      <c r="J52">
        <v>170000000</v>
      </c>
      <c r="K52">
        <v>176100000</v>
      </c>
      <c r="L52">
        <v>173400000</v>
      </c>
      <c r="M52">
        <v>288300000</v>
      </c>
      <c r="N52">
        <v>249700000</v>
      </c>
      <c r="O52" t="s">
        <v>1664</v>
      </c>
      <c r="P52" t="s">
        <v>3623</v>
      </c>
      <c r="Q52" t="s">
        <v>3477</v>
      </c>
      <c r="R52">
        <v>6075743037.8500004</v>
      </c>
      <c r="S52">
        <v>4311044097.2399998</v>
      </c>
      <c r="T52">
        <v>3631889381.8500004</v>
      </c>
      <c r="U52">
        <v>2822998880</v>
      </c>
      <c r="V52">
        <v>2106321422.3999999</v>
      </c>
      <c r="W52">
        <v>2078940289.8</v>
      </c>
      <c r="Y52">
        <v>2725038012</v>
      </c>
      <c r="AA52">
        <v>2806350000</v>
      </c>
      <c r="AB52" t="s">
        <v>3624</v>
      </c>
    </row>
    <row r="53" spans="1:28">
      <c r="A53" t="s">
        <v>106</v>
      </c>
      <c r="B53" t="s">
        <v>2958</v>
      </c>
      <c r="C53" t="s">
        <v>2957</v>
      </c>
      <c r="D53">
        <v>864000000</v>
      </c>
      <c r="E53">
        <v>0</v>
      </c>
      <c r="F53">
        <v>452400000</v>
      </c>
      <c r="H53">
        <v>601100000</v>
      </c>
      <c r="J53">
        <v>404400000</v>
      </c>
      <c r="K53">
        <v>273000000</v>
      </c>
      <c r="L53">
        <v>257000000</v>
      </c>
      <c r="M53">
        <v>238000000</v>
      </c>
      <c r="N53">
        <v>179000000</v>
      </c>
      <c r="O53" t="s">
        <v>1664</v>
      </c>
      <c r="P53" t="s">
        <v>3531</v>
      </c>
      <c r="Q53" t="s">
        <v>3477</v>
      </c>
      <c r="R53">
        <v>5598485706</v>
      </c>
      <c r="S53">
        <v>8840399521.7999992</v>
      </c>
      <c r="T53">
        <v>6805770150</v>
      </c>
      <c r="U53">
        <v>9391962807</v>
      </c>
      <c r="V53">
        <v>13658884788</v>
      </c>
      <c r="W53">
        <v>14783316378</v>
      </c>
      <c r="Y53">
        <v>11717760780</v>
      </c>
      <c r="AA53">
        <v>10950780000</v>
      </c>
      <c r="AB53" t="s">
        <v>3625</v>
      </c>
    </row>
    <row r="54" spans="1:28">
      <c r="B54" t="s">
        <v>877</v>
      </c>
      <c r="C54" t="s">
        <v>879</v>
      </c>
      <c r="D54" t="s">
        <v>1664</v>
      </c>
      <c r="E54" t="s">
        <v>1664</v>
      </c>
      <c r="F54">
        <v>0</v>
      </c>
      <c r="H54">
        <v>26000000</v>
      </c>
      <c r="J54">
        <v>-46911000</v>
      </c>
      <c r="K54">
        <v>-32535000</v>
      </c>
      <c r="L54">
        <v>-28714000</v>
      </c>
      <c r="M54">
        <v>-33408000</v>
      </c>
      <c r="N54">
        <v>-26937000</v>
      </c>
      <c r="O54" t="s">
        <v>1664</v>
      </c>
      <c r="P54" t="s">
        <v>3490</v>
      </c>
      <c r="R54">
        <v>1416811140</v>
      </c>
      <c r="S54">
        <v>1770162029.9999998</v>
      </c>
      <c r="T54">
        <v>2239254394.6500001</v>
      </c>
      <c r="U54">
        <v>2883802050.6400003</v>
      </c>
      <c r="V54">
        <v>7509297601.2599993</v>
      </c>
      <c r="W54">
        <v>6489450000</v>
      </c>
      <c r="Y54">
        <v>0</v>
      </c>
      <c r="AA54">
        <v>3306698520</v>
      </c>
      <c r="AB54" t="s">
        <v>3626</v>
      </c>
    </row>
    <row r="55" spans="1:28">
      <c r="B55" t="s">
        <v>3627</v>
      </c>
      <c r="C55" t="s">
        <v>3628</v>
      </c>
      <c r="D55" t="s">
        <v>1664</v>
      </c>
      <c r="E55" t="s">
        <v>1664</v>
      </c>
      <c r="F55">
        <v>0</v>
      </c>
      <c r="H55">
        <v>0</v>
      </c>
      <c r="J55" t="s">
        <v>1664</v>
      </c>
      <c r="K55" t="s">
        <v>1664</v>
      </c>
      <c r="L55" t="s">
        <v>1664</v>
      </c>
      <c r="M55" t="s">
        <v>1664</v>
      </c>
      <c r="N55" t="s">
        <v>1664</v>
      </c>
      <c r="O55" t="s">
        <v>1664</v>
      </c>
      <c r="P55" t="s">
        <v>3567</v>
      </c>
      <c r="Q55" t="s">
        <v>3474</v>
      </c>
      <c r="R55" t="s">
        <v>1664</v>
      </c>
      <c r="S55" t="s">
        <v>1664</v>
      </c>
      <c r="T55" t="s">
        <v>1664</v>
      </c>
      <c r="U55" t="s">
        <v>1664</v>
      </c>
      <c r="V55" t="s">
        <v>1664</v>
      </c>
      <c r="W55">
        <v>0</v>
      </c>
      <c r="Y55">
        <v>0</v>
      </c>
      <c r="AA55">
        <v>102045400000</v>
      </c>
      <c r="AB55" t="s">
        <v>3629</v>
      </c>
    </row>
    <row r="56" spans="1:28">
      <c r="A56" t="s">
        <v>1046</v>
      </c>
      <c r="B56" t="s">
        <v>3630</v>
      </c>
      <c r="C56" t="s">
        <v>1977</v>
      </c>
      <c r="D56">
        <v>16717000000</v>
      </c>
      <c r="E56">
        <v>10603840000</v>
      </c>
      <c r="F56">
        <v>10196000000</v>
      </c>
      <c r="H56">
        <v>9500000000</v>
      </c>
      <c r="J56">
        <v>7067000000</v>
      </c>
      <c r="K56">
        <v>8173000000</v>
      </c>
      <c r="L56">
        <v>8207000000</v>
      </c>
      <c r="M56">
        <v>8207000000</v>
      </c>
      <c r="N56">
        <v>8115000000</v>
      </c>
      <c r="O56">
        <v>7.225209923952078</v>
      </c>
      <c r="P56" t="s">
        <v>3563</v>
      </c>
      <c r="Q56" t="s">
        <v>3518</v>
      </c>
      <c r="R56">
        <v>76241379809.009995</v>
      </c>
      <c r="S56">
        <v>77741496778.5</v>
      </c>
      <c r="T56">
        <v>56198672370</v>
      </c>
      <c r="U56">
        <v>64364625891.5</v>
      </c>
      <c r="V56">
        <v>53872566971.904999</v>
      </c>
      <c r="W56">
        <v>75950258551.970001</v>
      </c>
      <c r="Y56">
        <v>66551773373.25</v>
      </c>
      <c r="AA56">
        <v>76614970000</v>
      </c>
      <c r="AB56" t="s">
        <v>3631</v>
      </c>
    </row>
    <row r="57" spans="1:28">
      <c r="B57" t="s">
        <v>1430</v>
      </c>
      <c r="C57" t="s">
        <v>1432</v>
      </c>
      <c r="D57">
        <v>0</v>
      </c>
      <c r="E57">
        <v>0</v>
      </c>
      <c r="F57">
        <v>0</v>
      </c>
      <c r="H57">
        <v>-4202000000</v>
      </c>
      <c r="J57">
        <v>-11873000000</v>
      </c>
      <c r="K57">
        <v>-636000000</v>
      </c>
      <c r="L57">
        <v>0</v>
      </c>
      <c r="M57">
        <v>0</v>
      </c>
      <c r="N57" t="s">
        <v>1664</v>
      </c>
      <c r="O57" t="s">
        <v>1664</v>
      </c>
      <c r="P57" t="s">
        <v>3520</v>
      </c>
      <c r="Q57" t="s">
        <v>3464</v>
      </c>
      <c r="R57" t="s">
        <v>1664</v>
      </c>
      <c r="S57">
        <v>0</v>
      </c>
      <c r="T57">
        <v>188842500000</v>
      </c>
      <c r="U57">
        <v>0</v>
      </c>
      <c r="V57">
        <v>0</v>
      </c>
      <c r="W57">
        <v>0</v>
      </c>
      <c r="Y57">
        <v>110007975000</v>
      </c>
      <c r="AA57">
        <v>121337420158</v>
      </c>
      <c r="AB57" t="s">
        <v>3632</v>
      </c>
    </row>
    <row r="58" spans="1:28">
      <c r="B58" t="s">
        <v>3633</v>
      </c>
      <c r="C58" t="s">
        <v>3634</v>
      </c>
      <c r="D58" t="s">
        <v>1664</v>
      </c>
      <c r="E58" t="s">
        <v>1664</v>
      </c>
      <c r="F58">
        <v>0</v>
      </c>
      <c r="H58">
        <v>0</v>
      </c>
      <c r="J58" t="s">
        <v>1664</v>
      </c>
      <c r="K58" t="s">
        <v>1664</v>
      </c>
      <c r="L58" t="s">
        <v>1664</v>
      </c>
      <c r="M58" t="s">
        <v>1664</v>
      </c>
      <c r="N58" t="s">
        <v>1664</v>
      </c>
      <c r="O58" t="s">
        <v>1664</v>
      </c>
      <c r="P58" t="s">
        <v>3620</v>
      </c>
      <c r="Q58" t="s">
        <v>3477</v>
      </c>
      <c r="R58" t="s">
        <v>1664</v>
      </c>
      <c r="S58" t="s">
        <v>1664</v>
      </c>
      <c r="T58" t="s">
        <v>1664</v>
      </c>
      <c r="U58" t="s">
        <v>1664</v>
      </c>
      <c r="V58" t="s">
        <v>1664</v>
      </c>
      <c r="W58">
        <v>0</v>
      </c>
      <c r="Y58">
        <v>0</v>
      </c>
      <c r="AA58">
        <v>15641220000</v>
      </c>
      <c r="AB58" t="s">
        <v>3635</v>
      </c>
    </row>
    <row r="59" spans="1:28">
      <c r="B59" t="s">
        <v>425</v>
      </c>
      <c r="C59" t="s">
        <v>429</v>
      </c>
      <c r="D59">
        <v>0</v>
      </c>
      <c r="E59" t="s">
        <v>1664</v>
      </c>
      <c r="F59">
        <v>0</v>
      </c>
      <c r="H59">
        <v>148000000</v>
      </c>
      <c r="J59">
        <v>-97000000</v>
      </c>
      <c r="K59">
        <v>74889000</v>
      </c>
      <c r="L59">
        <v>-433736000</v>
      </c>
      <c r="M59">
        <v>150400000</v>
      </c>
      <c r="N59">
        <v>-561800000</v>
      </c>
      <c r="O59" t="s">
        <v>1664</v>
      </c>
      <c r="P59" t="s">
        <v>3481</v>
      </c>
      <c r="R59">
        <v>4230749688</v>
      </c>
      <c r="S59">
        <v>4116460777.7999997</v>
      </c>
      <c r="T59">
        <v>2844612536.5099998</v>
      </c>
      <c r="U59">
        <v>3028729222.0799999</v>
      </c>
      <c r="V59">
        <v>3008742007.6799998</v>
      </c>
      <c r="W59">
        <v>3318097440</v>
      </c>
      <c r="Y59">
        <v>4250583840</v>
      </c>
      <c r="AA59">
        <v>4247030000</v>
      </c>
      <c r="AB59" t="s">
        <v>3636</v>
      </c>
    </row>
    <row r="60" spans="1:28">
      <c r="A60" t="s">
        <v>3637</v>
      </c>
      <c r="B60" t="s">
        <v>1931</v>
      </c>
      <c r="C60" t="s">
        <v>1935</v>
      </c>
      <c r="D60">
        <v>3988980000</v>
      </c>
      <c r="E60">
        <v>1300000000</v>
      </c>
      <c r="F60">
        <v>973000000</v>
      </c>
      <c r="H60">
        <v>1125000000</v>
      </c>
      <c r="J60">
        <v>696000000</v>
      </c>
      <c r="K60">
        <v>1184000000</v>
      </c>
      <c r="L60">
        <v>1311000000</v>
      </c>
      <c r="M60">
        <v>1085000000</v>
      </c>
      <c r="N60">
        <v>732000000</v>
      </c>
      <c r="O60">
        <v>9.9485923076923068</v>
      </c>
      <c r="P60" t="s">
        <v>3481</v>
      </c>
      <c r="Q60" t="s">
        <v>3518</v>
      </c>
      <c r="R60">
        <v>12066890598</v>
      </c>
      <c r="S60">
        <v>15823934817.699999</v>
      </c>
      <c r="T60">
        <v>11539992329.609999</v>
      </c>
      <c r="U60">
        <v>14346108092.400002</v>
      </c>
      <c r="V60">
        <v>12808699539</v>
      </c>
      <c r="W60">
        <v>12045075994.549999</v>
      </c>
      <c r="Y60">
        <v>10485629756</v>
      </c>
      <c r="AA60">
        <v>12933170000</v>
      </c>
      <c r="AB60" t="s">
        <v>3638</v>
      </c>
    </row>
    <row r="61" spans="1:28">
      <c r="B61" t="s">
        <v>3639</v>
      </c>
      <c r="C61" t="s">
        <v>3640</v>
      </c>
      <c r="D61" t="s">
        <v>1664</v>
      </c>
      <c r="E61" t="s">
        <v>1664</v>
      </c>
      <c r="F61">
        <v>0</v>
      </c>
      <c r="H61">
        <v>0</v>
      </c>
      <c r="J61" t="s">
        <v>1664</v>
      </c>
      <c r="K61" t="s">
        <v>1664</v>
      </c>
      <c r="L61" t="s">
        <v>1664</v>
      </c>
      <c r="M61" t="s">
        <v>1664</v>
      </c>
      <c r="N61" t="s">
        <v>1664</v>
      </c>
      <c r="O61" t="s">
        <v>1664</v>
      </c>
      <c r="P61" t="s">
        <v>3517</v>
      </c>
      <c r="Q61" t="s">
        <v>3487</v>
      </c>
      <c r="R61" t="s">
        <v>1664</v>
      </c>
      <c r="S61" t="s">
        <v>1664</v>
      </c>
      <c r="T61" t="s">
        <v>1664</v>
      </c>
      <c r="U61" t="s">
        <v>1664</v>
      </c>
      <c r="V61" t="s">
        <v>1664</v>
      </c>
      <c r="W61">
        <v>0</v>
      </c>
      <c r="Y61">
        <v>0</v>
      </c>
      <c r="AA61">
        <v>11986110000</v>
      </c>
      <c r="AB61" t="s">
        <v>3641</v>
      </c>
    </row>
    <row r="62" spans="1:28">
      <c r="B62" t="s">
        <v>3642</v>
      </c>
      <c r="C62" t="s">
        <v>3643</v>
      </c>
      <c r="D62" t="s">
        <v>1664</v>
      </c>
      <c r="E62" t="s">
        <v>1664</v>
      </c>
      <c r="F62">
        <v>0</v>
      </c>
      <c r="H62">
        <v>0</v>
      </c>
      <c r="J62" t="s">
        <v>1664</v>
      </c>
      <c r="K62" t="s">
        <v>1664</v>
      </c>
      <c r="L62" t="s">
        <v>1664</v>
      </c>
      <c r="M62" t="s">
        <v>1664</v>
      </c>
      <c r="N62" t="s">
        <v>1664</v>
      </c>
      <c r="O62" t="s">
        <v>1664</v>
      </c>
      <c r="P62" t="s">
        <v>3567</v>
      </c>
      <c r="Q62">
        <v>0</v>
      </c>
      <c r="R62" t="s">
        <v>1664</v>
      </c>
      <c r="S62" t="s">
        <v>1664</v>
      </c>
      <c r="T62" t="s">
        <v>1664</v>
      </c>
      <c r="U62" t="s">
        <v>1664</v>
      </c>
      <c r="V62" t="s">
        <v>1664</v>
      </c>
      <c r="W62">
        <v>0</v>
      </c>
      <c r="Y62">
        <v>0</v>
      </c>
      <c r="AA62">
        <v>1580591000</v>
      </c>
      <c r="AB62" t="s">
        <v>3644</v>
      </c>
    </row>
    <row r="63" spans="1:28">
      <c r="B63" t="s">
        <v>3645</v>
      </c>
      <c r="C63" t="s">
        <v>1757</v>
      </c>
      <c r="D63" t="s">
        <v>1664</v>
      </c>
      <c r="E63" t="s">
        <v>1664</v>
      </c>
      <c r="F63">
        <v>0</v>
      </c>
      <c r="H63">
        <v>0</v>
      </c>
      <c r="J63" t="s">
        <v>1664</v>
      </c>
      <c r="K63" t="s">
        <v>1664</v>
      </c>
      <c r="L63" t="s">
        <v>1664</v>
      </c>
      <c r="M63">
        <v>0</v>
      </c>
      <c r="N63" t="s">
        <v>1664</v>
      </c>
      <c r="O63" t="s">
        <v>1664</v>
      </c>
      <c r="P63" t="s">
        <v>3646</v>
      </c>
      <c r="R63" t="s">
        <v>1664</v>
      </c>
      <c r="S63">
        <v>13017526200</v>
      </c>
      <c r="T63" t="s">
        <v>1664</v>
      </c>
      <c r="U63" t="s">
        <v>1664</v>
      </c>
      <c r="V63" t="s">
        <v>1664</v>
      </c>
      <c r="W63">
        <v>0</v>
      </c>
      <c r="Y63">
        <v>0</v>
      </c>
      <c r="AA63">
        <v>12069880000</v>
      </c>
      <c r="AB63" t="s">
        <v>3647</v>
      </c>
    </row>
    <row r="64" spans="1:28">
      <c r="B64" t="s">
        <v>3648</v>
      </c>
      <c r="C64" t="s">
        <v>2794</v>
      </c>
      <c r="D64">
        <v>1073520000.0000001</v>
      </c>
      <c r="E64">
        <v>0</v>
      </c>
      <c r="F64">
        <v>484600000</v>
      </c>
      <c r="H64">
        <v>420900000</v>
      </c>
      <c r="J64">
        <v>138900000</v>
      </c>
      <c r="K64">
        <v>392600000</v>
      </c>
      <c r="L64">
        <v>417200000</v>
      </c>
      <c r="M64">
        <v>416100000</v>
      </c>
      <c r="N64">
        <v>319400000</v>
      </c>
      <c r="O64" t="s">
        <v>1664</v>
      </c>
      <c r="P64" t="s">
        <v>3623</v>
      </c>
      <c r="Q64" t="s">
        <v>3477</v>
      </c>
      <c r="R64">
        <v>8132799999.999999</v>
      </c>
      <c r="S64">
        <v>10077600000</v>
      </c>
      <c r="T64">
        <v>7606115200</v>
      </c>
      <c r="U64">
        <v>10714603815.6</v>
      </c>
      <c r="V64">
        <v>9994174533.2000008</v>
      </c>
      <c r="W64">
        <v>13227986295.5</v>
      </c>
      <c r="Y64">
        <v>11156296872.25</v>
      </c>
      <c r="AA64">
        <v>10935270000</v>
      </c>
      <c r="AB64" t="s">
        <v>3649</v>
      </c>
    </row>
    <row r="65" spans="2:28">
      <c r="B65" t="s">
        <v>3650</v>
      </c>
      <c r="C65" t="s">
        <v>1323</v>
      </c>
      <c r="D65" t="s">
        <v>1664</v>
      </c>
      <c r="E65" t="s">
        <v>1664</v>
      </c>
      <c r="F65">
        <v>0</v>
      </c>
      <c r="H65">
        <v>0</v>
      </c>
      <c r="J65" t="s">
        <v>1664</v>
      </c>
      <c r="K65" t="s">
        <v>1664</v>
      </c>
      <c r="L65" t="s">
        <v>1664</v>
      </c>
      <c r="M65">
        <v>0</v>
      </c>
      <c r="N65">
        <v>563000000</v>
      </c>
      <c r="O65" t="s">
        <v>1664</v>
      </c>
      <c r="P65" t="s">
        <v>3651</v>
      </c>
      <c r="R65">
        <v>19285081400</v>
      </c>
      <c r="S65">
        <v>14891800000</v>
      </c>
      <c r="T65" t="s">
        <v>1664</v>
      </c>
      <c r="U65" t="s">
        <v>1664</v>
      </c>
      <c r="V65" t="s">
        <v>1664</v>
      </c>
      <c r="W65">
        <v>13385680000</v>
      </c>
      <c r="Y65">
        <v>0</v>
      </c>
      <c r="AA65">
        <v>12727033670</v>
      </c>
      <c r="AB65" t="s">
        <v>3652</v>
      </c>
    </row>
    <row r="66" spans="2:28">
      <c r="B66" t="s">
        <v>3653</v>
      </c>
      <c r="C66" t="s">
        <v>937</v>
      </c>
      <c r="D66" t="s">
        <v>1664</v>
      </c>
      <c r="E66" t="s">
        <v>1664</v>
      </c>
      <c r="F66">
        <v>1550000000</v>
      </c>
      <c r="G66">
        <v>1550000000</v>
      </c>
      <c r="H66">
        <v>1300000000</v>
      </c>
      <c r="J66">
        <v>700000000</v>
      </c>
      <c r="K66">
        <v>856000000</v>
      </c>
      <c r="L66">
        <v>730000000</v>
      </c>
      <c r="M66">
        <v>820000000</v>
      </c>
      <c r="N66">
        <v>921000000</v>
      </c>
      <c r="O66" t="s">
        <v>1664</v>
      </c>
      <c r="P66" t="s">
        <v>3490</v>
      </c>
      <c r="Q66" t="s">
        <v>3518</v>
      </c>
      <c r="R66">
        <v>13581475288.150002</v>
      </c>
      <c r="S66">
        <v>16619212207.290001</v>
      </c>
      <c r="T66">
        <v>21405999784.399998</v>
      </c>
      <c r="U66">
        <v>18441724841.100002</v>
      </c>
      <c r="V66">
        <v>21473009273.200001</v>
      </c>
      <c r="W66">
        <v>36493955034.5</v>
      </c>
      <c r="Y66">
        <v>33211452000</v>
      </c>
      <c r="Z66">
        <v>33211452000</v>
      </c>
      <c r="AA66">
        <v>29318020000</v>
      </c>
      <c r="AB66" t="s">
        <v>3654</v>
      </c>
    </row>
    <row r="67" spans="2:28">
      <c r="B67" t="s">
        <v>965</v>
      </c>
      <c r="C67" t="s">
        <v>968</v>
      </c>
      <c r="D67" t="s">
        <v>1664</v>
      </c>
      <c r="E67" t="s">
        <v>1664</v>
      </c>
      <c r="F67">
        <v>1210000000</v>
      </c>
      <c r="G67">
        <v>1210000000</v>
      </c>
      <c r="H67">
        <v>1150000000</v>
      </c>
      <c r="J67">
        <v>1011000000</v>
      </c>
      <c r="K67">
        <v>861000000</v>
      </c>
      <c r="L67">
        <v>826000000</v>
      </c>
      <c r="M67">
        <v>0</v>
      </c>
      <c r="N67">
        <v>1031000000</v>
      </c>
      <c r="O67" t="s">
        <v>1664</v>
      </c>
      <c r="P67" t="s">
        <v>3655</v>
      </c>
      <c r="Q67" t="s">
        <v>3518</v>
      </c>
      <c r="R67">
        <v>17310222675.060001</v>
      </c>
      <c r="S67">
        <v>11721644887</v>
      </c>
      <c r="T67">
        <v>11343527310</v>
      </c>
      <c r="U67">
        <v>11325935021.119999</v>
      </c>
      <c r="V67">
        <v>12108982560</v>
      </c>
      <c r="W67">
        <v>12996974614.400002</v>
      </c>
      <c r="Y67">
        <v>11996659000</v>
      </c>
      <c r="Z67">
        <v>11996659000</v>
      </c>
      <c r="AA67">
        <v>12185730000</v>
      </c>
      <c r="AB67" t="s">
        <v>3656</v>
      </c>
    </row>
    <row r="68" spans="2:28">
      <c r="B68" t="s">
        <v>3657</v>
      </c>
      <c r="C68" t="s">
        <v>3658</v>
      </c>
      <c r="D68" t="s">
        <v>1664</v>
      </c>
      <c r="E68" t="s">
        <v>1664</v>
      </c>
      <c r="F68">
        <v>0</v>
      </c>
      <c r="H68">
        <v>0</v>
      </c>
      <c r="J68" t="s">
        <v>1664</v>
      </c>
      <c r="K68" t="s">
        <v>1664</v>
      </c>
      <c r="L68" t="s">
        <v>1664</v>
      </c>
      <c r="M68" t="s">
        <v>1664</v>
      </c>
      <c r="N68" t="s">
        <v>1664</v>
      </c>
      <c r="O68" t="s">
        <v>1664</v>
      </c>
      <c r="P68" t="s">
        <v>3655</v>
      </c>
      <c r="Q68" t="s">
        <v>3477</v>
      </c>
      <c r="R68" t="s">
        <v>1664</v>
      </c>
      <c r="S68" t="s">
        <v>1664</v>
      </c>
      <c r="T68" t="s">
        <v>1664</v>
      </c>
      <c r="U68" t="s">
        <v>1664</v>
      </c>
      <c r="V68" t="s">
        <v>1664</v>
      </c>
      <c r="W68">
        <v>0</v>
      </c>
      <c r="Y68">
        <v>0</v>
      </c>
      <c r="AA68">
        <v>178903300</v>
      </c>
      <c r="AB68" t="s">
        <v>3659</v>
      </c>
    </row>
    <row r="69" spans="2:28">
      <c r="B69" t="s">
        <v>3660</v>
      </c>
      <c r="C69" t="s">
        <v>3661</v>
      </c>
      <c r="D69" t="s">
        <v>1664</v>
      </c>
      <c r="E69" t="s">
        <v>1664</v>
      </c>
      <c r="F69">
        <v>0</v>
      </c>
      <c r="H69">
        <v>0</v>
      </c>
      <c r="J69" t="s">
        <v>1664</v>
      </c>
      <c r="K69" t="s">
        <v>1664</v>
      </c>
      <c r="L69" t="s">
        <v>1664</v>
      </c>
      <c r="M69" t="s">
        <v>1664</v>
      </c>
      <c r="N69" t="s">
        <v>1664</v>
      </c>
      <c r="O69" t="s">
        <v>1664</v>
      </c>
      <c r="P69" t="s">
        <v>3468</v>
      </c>
      <c r="Q69" t="s">
        <v>3464</v>
      </c>
      <c r="R69" t="s">
        <v>1664</v>
      </c>
      <c r="S69" t="s">
        <v>1664</v>
      </c>
      <c r="T69" t="s">
        <v>1664</v>
      </c>
      <c r="U69" t="s">
        <v>1664</v>
      </c>
      <c r="V69" t="s">
        <v>1664</v>
      </c>
      <c r="W69">
        <v>0</v>
      </c>
      <c r="Y69">
        <v>0</v>
      </c>
      <c r="AA69">
        <v>139553369049</v>
      </c>
      <c r="AB69" t="s">
        <v>3662</v>
      </c>
    </row>
    <row r="70" spans="2:28">
      <c r="B70" t="s">
        <v>2848</v>
      </c>
      <c r="C70" t="s">
        <v>2851</v>
      </c>
      <c r="D70" t="s">
        <v>1664</v>
      </c>
      <c r="E70" t="s">
        <v>1664</v>
      </c>
      <c r="F70">
        <v>0</v>
      </c>
      <c r="H70">
        <v>0</v>
      </c>
      <c r="J70">
        <v>-133000000</v>
      </c>
      <c r="K70">
        <v>-9177000</v>
      </c>
      <c r="L70">
        <v>-14983000</v>
      </c>
      <c r="M70">
        <v>33000000</v>
      </c>
      <c r="N70">
        <v>40000000</v>
      </c>
      <c r="O70" t="s">
        <v>1664</v>
      </c>
      <c r="P70" t="s">
        <v>3646</v>
      </c>
      <c r="R70">
        <v>2425489141.3800001</v>
      </c>
      <c r="S70">
        <v>3762892916.25</v>
      </c>
      <c r="T70">
        <v>3862392139.2900004</v>
      </c>
      <c r="U70">
        <v>13016330149.620001</v>
      </c>
      <c r="V70">
        <v>22145244439.5</v>
      </c>
      <c r="W70">
        <v>34306050062</v>
      </c>
      <c r="Y70">
        <v>0</v>
      </c>
      <c r="AA70">
        <v>25602670000</v>
      </c>
      <c r="AB70" t="s">
        <v>3663</v>
      </c>
    </row>
    <row r="71" spans="2:28">
      <c r="B71" t="s">
        <v>3664</v>
      </c>
      <c r="C71" t="s">
        <v>472</v>
      </c>
      <c r="D71" t="s">
        <v>1664</v>
      </c>
      <c r="E71" t="s">
        <v>1664</v>
      </c>
      <c r="F71">
        <v>0</v>
      </c>
      <c r="H71">
        <v>150008000</v>
      </c>
      <c r="J71">
        <v>150000000</v>
      </c>
      <c r="K71">
        <v>64000000</v>
      </c>
      <c r="L71">
        <v>133400000</v>
      </c>
      <c r="M71">
        <v>171500000</v>
      </c>
      <c r="N71" t="s">
        <v>1664</v>
      </c>
      <c r="O71" t="s">
        <v>1664</v>
      </c>
      <c r="P71" t="s">
        <v>3665</v>
      </c>
      <c r="Q71" t="s">
        <v>3666</v>
      </c>
      <c r="R71" t="s">
        <v>1664</v>
      </c>
      <c r="S71">
        <v>3080772459.4000001</v>
      </c>
      <c r="T71">
        <v>2187171244.8000002</v>
      </c>
      <c r="U71">
        <v>2463099098.5999999</v>
      </c>
      <c r="V71">
        <v>2116290695.1999998</v>
      </c>
      <c r="W71">
        <v>3108618389.5999999</v>
      </c>
      <c r="Y71">
        <v>0</v>
      </c>
      <c r="AA71">
        <v>178213900</v>
      </c>
      <c r="AB71" t="s">
        <v>3667</v>
      </c>
    </row>
    <row r="72" spans="2:28">
      <c r="B72" t="s">
        <v>3668</v>
      </c>
      <c r="C72" t="s">
        <v>409</v>
      </c>
      <c r="D72" t="s">
        <v>1664</v>
      </c>
      <c r="E72" t="s">
        <v>1664</v>
      </c>
      <c r="F72">
        <v>0</v>
      </c>
      <c r="H72">
        <v>-180000000</v>
      </c>
      <c r="J72">
        <v>-441800000</v>
      </c>
      <c r="K72">
        <v>-61500000</v>
      </c>
      <c r="L72">
        <v>-790000000</v>
      </c>
      <c r="M72">
        <v>-514100000</v>
      </c>
      <c r="N72">
        <v>-576600000</v>
      </c>
      <c r="O72" t="s">
        <v>1664</v>
      </c>
      <c r="P72" t="s">
        <v>371</v>
      </c>
      <c r="Q72" t="s">
        <v>3477</v>
      </c>
      <c r="R72">
        <v>492341904.06504071</v>
      </c>
      <c r="S72">
        <v>283135465.05000001</v>
      </c>
      <c r="T72">
        <v>930741510.7379998</v>
      </c>
      <c r="U72">
        <v>2264760782.02</v>
      </c>
      <c r="V72">
        <v>575699194.25999999</v>
      </c>
      <c r="W72">
        <v>452617162.38</v>
      </c>
      <c r="Y72">
        <v>0</v>
      </c>
      <c r="AA72">
        <v>539539200</v>
      </c>
      <c r="AB72" t="s">
        <v>3669</v>
      </c>
    </row>
    <row r="73" spans="2:28">
      <c r="B73" t="s">
        <v>3670</v>
      </c>
      <c r="C73" t="s">
        <v>3671</v>
      </c>
      <c r="D73" t="s">
        <v>1664</v>
      </c>
      <c r="E73" t="s">
        <v>1664</v>
      </c>
      <c r="F73">
        <v>0</v>
      </c>
      <c r="H73">
        <v>0</v>
      </c>
      <c r="J73" t="s">
        <v>1664</v>
      </c>
      <c r="K73" t="s">
        <v>1664</v>
      </c>
      <c r="L73" t="s">
        <v>1664</v>
      </c>
      <c r="M73" t="s">
        <v>1664</v>
      </c>
      <c r="N73" t="s">
        <v>1664</v>
      </c>
      <c r="O73" t="s">
        <v>1664</v>
      </c>
      <c r="P73" t="s">
        <v>371</v>
      </c>
      <c r="Q73" t="s">
        <v>3464</v>
      </c>
      <c r="R73" t="s">
        <v>1664</v>
      </c>
      <c r="S73" t="s">
        <v>1664</v>
      </c>
      <c r="T73" t="s">
        <v>1664</v>
      </c>
      <c r="U73" t="s">
        <v>1664</v>
      </c>
      <c r="V73" t="s">
        <v>1664</v>
      </c>
      <c r="W73">
        <v>0</v>
      </c>
      <c r="Y73">
        <v>0</v>
      </c>
      <c r="AA73">
        <v>318292264290</v>
      </c>
      <c r="AB73" t="s">
        <v>3672</v>
      </c>
    </row>
    <row r="74" spans="2:28">
      <c r="B74" t="s">
        <v>3673</v>
      </c>
      <c r="C74" t="s">
        <v>3674</v>
      </c>
      <c r="D74" t="s">
        <v>1664</v>
      </c>
      <c r="E74" t="s">
        <v>1664</v>
      </c>
      <c r="F74">
        <v>0</v>
      </c>
      <c r="H74">
        <v>0</v>
      </c>
      <c r="J74" t="s">
        <v>1664</v>
      </c>
      <c r="K74" t="s">
        <v>1664</v>
      </c>
      <c r="L74" t="s">
        <v>1664</v>
      </c>
      <c r="M74" t="s">
        <v>1664</v>
      </c>
      <c r="N74" t="s">
        <v>1664</v>
      </c>
      <c r="O74" t="s">
        <v>1664</v>
      </c>
      <c r="P74" t="s">
        <v>3623</v>
      </c>
      <c r="Q74" t="s">
        <v>3491</v>
      </c>
      <c r="R74" t="s">
        <v>1664</v>
      </c>
      <c r="S74" t="s">
        <v>1664</v>
      </c>
      <c r="T74" t="s">
        <v>1664</v>
      </c>
      <c r="U74" t="s">
        <v>1664</v>
      </c>
      <c r="V74" t="s">
        <v>1664</v>
      </c>
      <c r="W74">
        <v>0</v>
      </c>
      <c r="Y74">
        <v>0</v>
      </c>
      <c r="AA74">
        <v>52209424568</v>
      </c>
      <c r="AB74" t="s">
        <v>3675</v>
      </c>
    </row>
    <row r="75" spans="2:28">
      <c r="B75" t="s">
        <v>3676</v>
      </c>
      <c r="C75" t="s">
        <v>3677</v>
      </c>
      <c r="D75" t="s">
        <v>1664</v>
      </c>
      <c r="E75" t="s">
        <v>1664</v>
      </c>
      <c r="F75">
        <v>0</v>
      </c>
      <c r="H75">
        <v>0</v>
      </c>
      <c r="J75" t="s">
        <v>1664</v>
      </c>
      <c r="K75" t="s">
        <v>1664</v>
      </c>
      <c r="L75" t="s">
        <v>1664</v>
      </c>
      <c r="M75" t="s">
        <v>1664</v>
      </c>
      <c r="N75" t="s">
        <v>1664</v>
      </c>
      <c r="O75" t="s">
        <v>1664</v>
      </c>
      <c r="P75" t="s">
        <v>3678</v>
      </c>
      <c r="Q75" t="s">
        <v>3491</v>
      </c>
      <c r="R75" t="s">
        <v>1664</v>
      </c>
      <c r="S75" t="s">
        <v>1664</v>
      </c>
      <c r="T75" t="s">
        <v>1664</v>
      </c>
      <c r="U75" t="s">
        <v>1664</v>
      </c>
      <c r="V75" t="s">
        <v>1664</v>
      </c>
      <c r="W75">
        <v>0</v>
      </c>
      <c r="Y75">
        <v>0</v>
      </c>
      <c r="AA75">
        <v>217380937380</v>
      </c>
      <c r="AB75" t="s">
        <v>3679</v>
      </c>
    </row>
    <row r="76" spans="2:28">
      <c r="B76" t="s">
        <v>3680</v>
      </c>
      <c r="C76" t="s">
        <v>3681</v>
      </c>
      <c r="D76" t="s">
        <v>1664</v>
      </c>
      <c r="E76" t="s">
        <v>1664</v>
      </c>
      <c r="F76">
        <v>0</v>
      </c>
      <c r="H76">
        <v>0</v>
      </c>
      <c r="J76" t="s">
        <v>1664</v>
      </c>
      <c r="K76" t="s">
        <v>1664</v>
      </c>
      <c r="L76" t="s">
        <v>1664</v>
      </c>
      <c r="M76" t="s">
        <v>1664</v>
      </c>
      <c r="N76" t="s">
        <v>1664</v>
      </c>
      <c r="O76" t="s">
        <v>1664</v>
      </c>
      <c r="P76" t="s">
        <v>3490</v>
      </c>
      <c r="Q76" t="s">
        <v>3491</v>
      </c>
      <c r="R76" t="s">
        <v>1664</v>
      </c>
      <c r="S76" t="s">
        <v>1664</v>
      </c>
      <c r="T76" t="s">
        <v>1664</v>
      </c>
      <c r="U76" t="s">
        <v>1664</v>
      </c>
      <c r="V76" t="s">
        <v>1664</v>
      </c>
      <c r="W76">
        <v>0</v>
      </c>
      <c r="Y76">
        <v>0</v>
      </c>
      <c r="AA76">
        <v>13178280000</v>
      </c>
      <c r="AB76" t="s">
        <v>3682</v>
      </c>
    </row>
    <row r="77" spans="2:28">
      <c r="B77" t="s">
        <v>3683</v>
      </c>
      <c r="C77" t="s">
        <v>3684</v>
      </c>
      <c r="D77" t="s">
        <v>1664</v>
      </c>
      <c r="E77" t="s">
        <v>1664</v>
      </c>
      <c r="F77">
        <v>0</v>
      </c>
      <c r="H77">
        <v>0</v>
      </c>
      <c r="J77" t="s">
        <v>1664</v>
      </c>
      <c r="K77" t="s">
        <v>1664</v>
      </c>
      <c r="L77" t="s">
        <v>1664</v>
      </c>
      <c r="M77" t="s">
        <v>1664</v>
      </c>
      <c r="N77" t="s">
        <v>1664</v>
      </c>
      <c r="O77" t="s">
        <v>1664</v>
      </c>
      <c r="P77" t="s">
        <v>3504</v>
      </c>
      <c r="Q77" t="s">
        <v>3477</v>
      </c>
      <c r="R77" t="s">
        <v>1664</v>
      </c>
      <c r="S77" t="s">
        <v>1664</v>
      </c>
      <c r="T77" t="s">
        <v>1664</v>
      </c>
      <c r="U77" t="s">
        <v>1664</v>
      </c>
      <c r="V77" t="s">
        <v>1664</v>
      </c>
      <c r="W77">
        <v>0</v>
      </c>
      <c r="Y77">
        <v>0</v>
      </c>
      <c r="AA77">
        <v>14295400000</v>
      </c>
      <c r="AB77" t="s">
        <v>3685</v>
      </c>
    </row>
    <row r="78" spans="2:28">
      <c r="B78" t="s">
        <v>3686</v>
      </c>
      <c r="C78" t="s">
        <v>3687</v>
      </c>
      <c r="D78" t="s">
        <v>1664</v>
      </c>
      <c r="E78" t="s">
        <v>1664</v>
      </c>
      <c r="F78">
        <v>0</v>
      </c>
      <c r="H78">
        <v>0</v>
      </c>
      <c r="J78" t="s">
        <v>1664</v>
      </c>
      <c r="K78" t="s">
        <v>1664</v>
      </c>
      <c r="L78" t="s">
        <v>1664</v>
      </c>
      <c r="M78" t="s">
        <v>1664</v>
      </c>
      <c r="N78" t="s">
        <v>1664</v>
      </c>
      <c r="O78" t="s">
        <v>1664</v>
      </c>
      <c r="P78" t="s">
        <v>3504</v>
      </c>
      <c r="Q78" t="s">
        <v>3477</v>
      </c>
      <c r="R78" t="s">
        <v>1664</v>
      </c>
      <c r="S78" t="s">
        <v>1664</v>
      </c>
      <c r="T78" t="s">
        <v>1664</v>
      </c>
      <c r="U78" t="s">
        <v>1664</v>
      </c>
      <c r="V78" t="s">
        <v>1664</v>
      </c>
      <c r="W78">
        <v>0</v>
      </c>
      <c r="Y78">
        <v>0</v>
      </c>
      <c r="AA78">
        <v>1926807000</v>
      </c>
      <c r="AB78" t="s">
        <v>3688</v>
      </c>
    </row>
    <row r="79" spans="2:28">
      <c r="B79" t="s">
        <v>3689</v>
      </c>
      <c r="C79" t="s">
        <v>3690</v>
      </c>
      <c r="D79" t="s">
        <v>1664</v>
      </c>
      <c r="E79" t="s">
        <v>1664</v>
      </c>
      <c r="F79">
        <v>0</v>
      </c>
      <c r="H79">
        <v>0</v>
      </c>
      <c r="J79" t="s">
        <v>1664</v>
      </c>
      <c r="K79" t="s">
        <v>1664</v>
      </c>
      <c r="L79" t="s">
        <v>1664</v>
      </c>
      <c r="M79" t="s">
        <v>1664</v>
      </c>
      <c r="N79" t="s">
        <v>1664</v>
      </c>
      <c r="O79" t="s">
        <v>1664</v>
      </c>
      <c r="P79" t="s">
        <v>3500</v>
      </c>
      <c r="Q79" t="s">
        <v>3482</v>
      </c>
      <c r="R79" t="s">
        <v>1664</v>
      </c>
      <c r="S79" t="s">
        <v>1664</v>
      </c>
      <c r="T79" t="s">
        <v>1664</v>
      </c>
      <c r="U79" t="s">
        <v>1664</v>
      </c>
      <c r="V79" t="s">
        <v>1664</v>
      </c>
      <c r="W79">
        <v>0</v>
      </c>
      <c r="Y79">
        <v>0</v>
      </c>
      <c r="AA79">
        <v>2346296000</v>
      </c>
      <c r="AB79" t="s">
        <v>3691</v>
      </c>
    </row>
    <row r="80" spans="2:28">
      <c r="B80" t="s">
        <v>3692</v>
      </c>
      <c r="C80" t="s">
        <v>3693</v>
      </c>
      <c r="D80" t="s">
        <v>1664</v>
      </c>
      <c r="E80" t="s">
        <v>1664</v>
      </c>
      <c r="F80">
        <v>0</v>
      </c>
      <c r="H80">
        <v>0</v>
      </c>
      <c r="J80" t="s">
        <v>1664</v>
      </c>
      <c r="K80" t="s">
        <v>1664</v>
      </c>
      <c r="L80" t="s">
        <v>1664</v>
      </c>
      <c r="M80" t="s">
        <v>1664</v>
      </c>
      <c r="N80" t="s">
        <v>1664</v>
      </c>
      <c r="O80" t="s">
        <v>1664</v>
      </c>
      <c r="P80" t="s">
        <v>3490</v>
      </c>
      <c r="Q80" t="s">
        <v>3491</v>
      </c>
      <c r="R80" t="s">
        <v>1664</v>
      </c>
      <c r="S80" t="s">
        <v>1664</v>
      </c>
      <c r="T80" t="s">
        <v>1664</v>
      </c>
      <c r="U80" t="s">
        <v>1664</v>
      </c>
      <c r="V80" t="s">
        <v>1664</v>
      </c>
      <c r="W80">
        <v>0</v>
      </c>
      <c r="Y80">
        <v>0</v>
      </c>
      <c r="AA80">
        <v>34938764052</v>
      </c>
      <c r="AB80" t="s">
        <v>3694</v>
      </c>
    </row>
    <row r="81" spans="1:28">
      <c r="B81" t="s">
        <v>3695</v>
      </c>
      <c r="C81" t="s">
        <v>3696</v>
      </c>
      <c r="D81" t="s">
        <v>1664</v>
      </c>
      <c r="E81" t="s">
        <v>1664</v>
      </c>
      <c r="F81">
        <v>0</v>
      </c>
      <c r="H81">
        <v>0</v>
      </c>
      <c r="J81" t="s">
        <v>1664</v>
      </c>
      <c r="K81" t="s">
        <v>1664</v>
      </c>
      <c r="L81" t="s">
        <v>1664</v>
      </c>
      <c r="M81" t="s">
        <v>1664</v>
      </c>
      <c r="N81" t="s">
        <v>1664</v>
      </c>
      <c r="O81" t="s">
        <v>1664</v>
      </c>
      <c r="P81" t="s">
        <v>3646</v>
      </c>
      <c r="Q81" t="s">
        <v>3491</v>
      </c>
      <c r="R81" t="s">
        <v>1664</v>
      </c>
      <c r="S81" t="s">
        <v>1664</v>
      </c>
      <c r="T81" t="s">
        <v>1664</v>
      </c>
      <c r="U81" t="s">
        <v>1664</v>
      </c>
      <c r="V81" t="s">
        <v>1664</v>
      </c>
      <c r="W81">
        <v>0</v>
      </c>
      <c r="Y81">
        <v>0</v>
      </c>
      <c r="AA81">
        <v>188559829430</v>
      </c>
      <c r="AB81" t="s">
        <v>3697</v>
      </c>
    </row>
    <row r="82" spans="1:28">
      <c r="B82" t="s">
        <v>3698</v>
      </c>
      <c r="C82" t="s">
        <v>3699</v>
      </c>
      <c r="D82" t="s">
        <v>1664</v>
      </c>
      <c r="E82" t="s">
        <v>1664</v>
      </c>
      <c r="F82">
        <v>0</v>
      </c>
      <c r="H82">
        <v>0</v>
      </c>
      <c r="J82" t="s">
        <v>1664</v>
      </c>
      <c r="K82" t="s">
        <v>1664</v>
      </c>
      <c r="L82" t="s">
        <v>1664</v>
      </c>
      <c r="M82" t="s">
        <v>1664</v>
      </c>
      <c r="N82" t="s">
        <v>1664</v>
      </c>
      <c r="O82" t="s">
        <v>1664</v>
      </c>
      <c r="P82" t="s">
        <v>3486</v>
      </c>
      <c r="Q82" t="s">
        <v>3469</v>
      </c>
      <c r="R82" t="s">
        <v>1664</v>
      </c>
      <c r="S82" t="s">
        <v>1664</v>
      </c>
      <c r="T82" t="s">
        <v>1664</v>
      </c>
      <c r="U82" t="s">
        <v>1664</v>
      </c>
      <c r="V82" t="s">
        <v>1664</v>
      </c>
      <c r="W82">
        <v>0</v>
      </c>
      <c r="Y82">
        <v>0</v>
      </c>
      <c r="AA82">
        <v>60317100000</v>
      </c>
      <c r="AB82" t="s">
        <v>3700</v>
      </c>
    </row>
    <row r="83" spans="1:28">
      <c r="B83" t="s">
        <v>1206</v>
      </c>
      <c r="C83" t="s">
        <v>1209</v>
      </c>
      <c r="D83" t="s">
        <v>1664</v>
      </c>
      <c r="E83" t="s">
        <v>1664</v>
      </c>
      <c r="F83">
        <v>0</v>
      </c>
      <c r="H83">
        <v>2000000000</v>
      </c>
      <c r="J83">
        <v>-961900000</v>
      </c>
      <c r="K83">
        <v>-1225000000</v>
      </c>
      <c r="L83">
        <v>2897300000</v>
      </c>
      <c r="M83">
        <v>2984600000</v>
      </c>
      <c r="N83">
        <v>2802500000</v>
      </c>
      <c r="O83" t="s">
        <v>1664</v>
      </c>
      <c r="P83" t="s">
        <v>3615</v>
      </c>
      <c r="Q83" t="s">
        <v>3487</v>
      </c>
      <c r="R83">
        <v>36741099077.099998</v>
      </c>
      <c r="S83">
        <v>45101349166.5</v>
      </c>
      <c r="T83">
        <v>24140722148.100002</v>
      </c>
      <c r="U83">
        <v>23120691634.799999</v>
      </c>
      <c r="V83">
        <v>24330727831.950001</v>
      </c>
      <c r="W83">
        <v>18622557077.130001</v>
      </c>
      <c r="Y83">
        <v>0</v>
      </c>
      <c r="AA83">
        <v>13404400000</v>
      </c>
      <c r="AB83" t="s">
        <v>3701</v>
      </c>
    </row>
    <row r="84" spans="1:28">
      <c r="B84" t="s">
        <v>3702</v>
      </c>
      <c r="C84" t="s">
        <v>3703</v>
      </c>
      <c r="D84" t="s">
        <v>1664</v>
      </c>
      <c r="E84" t="s">
        <v>1664</v>
      </c>
      <c r="F84">
        <v>0</v>
      </c>
      <c r="H84">
        <v>0</v>
      </c>
      <c r="J84" t="s">
        <v>1664</v>
      </c>
      <c r="K84" t="s">
        <v>1664</v>
      </c>
      <c r="L84" t="s">
        <v>1664</v>
      </c>
      <c r="M84" t="s">
        <v>1664</v>
      </c>
      <c r="N84" t="s">
        <v>1664</v>
      </c>
      <c r="O84" t="s">
        <v>1664</v>
      </c>
      <c r="P84" t="s">
        <v>3559</v>
      </c>
      <c r="Q84" t="s">
        <v>3491</v>
      </c>
      <c r="R84" t="s">
        <v>1664</v>
      </c>
      <c r="S84" t="s">
        <v>1664</v>
      </c>
      <c r="T84" t="s">
        <v>1664</v>
      </c>
      <c r="U84" t="s">
        <v>1664</v>
      </c>
      <c r="V84" t="s">
        <v>1664</v>
      </c>
      <c r="W84">
        <v>0</v>
      </c>
      <c r="Y84">
        <v>0</v>
      </c>
      <c r="AA84">
        <v>249426133225</v>
      </c>
      <c r="AB84" t="s">
        <v>3704</v>
      </c>
    </row>
    <row r="85" spans="1:28">
      <c r="B85" t="s">
        <v>3705</v>
      </c>
      <c r="C85" t="s">
        <v>3706</v>
      </c>
      <c r="D85" t="s">
        <v>1664</v>
      </c>
      <c r="E85" t="s">
        <v>1664</v>
      </c>
      <c r="F85">
        <v>0</v>
      </c>
      <c r="H85">
        <v>0</v>
      </c>
      <c r="J85" t="s">
        <v>1664</v>
      </c>
      <c r="K85" t="s">
        <v>1664</v>
      </c>
      <c r="L85" t="s">
        <v>1664</v>
      </c>
      <c r="M85" t="s">
        <v>1664</v>
      </c>
      <c r="N85" t="s">
        <v>1664</v>
      </c>
      <c r="O85" t="s">
        <v>1664</v>
      </c>
      <c r="P85" t="s">
        <v>3517</v>
      </c>
      <c r="Q85" t="s">
        <v>3487</v>
      </c>
      <c r="R85" t="s">
        <v>1664</v>
      </c>
      <c r="S85" t="s">
        <v>1664</v>
      </c>
      <c r="T85" t="s">
        <v>1664</v>
      </c>
      <c r="U85" t="s">
        <v>1664</v>
      </c>
      <c r="V85" t="s">
        <v>1664</v>
      </c>
      <c r="W85">
        <v>0</v>
      </c>
      <c r="Y85">
        <v>0</v>
      </c>
      <c r="AA85">
        <v>10027080000</v>
      </c>
      <c r="AB85" t="s">
        <v>3707</v>
      </c>
    </row>
    <row r="86" spans="1:28">
      <c r="B86" t="s">
        <v>3708</v>
      </c>
      <c r="C86" t="s">
        <v>3709</v>
      </c>
      <c r="D86" t="s">
        <v>1664</v>
      </c>
      <c r="E86" t="s">
        <v>1664</v>
      </c>
      <c r="F86">
        <v>0</v>
      </c>
      <c r="H86">
        <v>0</v>
      </c>
      <c r="J86" t="s">
        <v>1664</v>
      </c>
      <c r="K86" t="s">
        <v>1664</v>
      </c>
      <c r="L86" t="s">
        <v>1664</v>
      </c>
      <c r="M86" t="s">
        <v>1664</v>
      </c>
      <c r="N86" t="s">
        <v>1664</v>
      </c>
      <c r="O86" t="s">
        <v>1664</v>
      </c>
      <c r="P86" t="s">
        <v>3500</v>
      </c>
      <c r="Q86" t="s">
        <v>3477</v>
      </c>
      <c r="R86" t="s">
        <v>1664</v>
      </c>
      <c r="S86" t="s">
        <v>1664</v>
      </c>
      <c r="T86" t="s">
        <v>1664</v>
      </c>
      <c r="U86" t="s">
        <v>1664</v>
      </c>
      <c r="V86" t="s">
        <v>1664</v>
      </c>
      <c r="W86">
        <v>0</v>
      </c>
      <c r="Y86">
        <v>0</v>
      </c>
      <c r="AA86">
        <v>4430140000</v>
      </c>
      <c r="AB86" t="s">
        <v>3710</v>
      </c>
    </row>
    <row r="87" spans="1:28">
      <c r="B87" t="s">
        <v>3711</v>
      </c>
      <c r="C87" t="s">
        <v>3333</v>
      </c>
      <c r="D87" t="s">
        <v>1664</v>
      </c>
      <c r="E87" t="s">
        <v>1664</v>
      </c>
      <c r="F87">
        <v>8100000000</v>
      </c>
      <c r="G87">
        <v>8100000000</v>
      </c>
      <c r="H87">
        <v>5844000000</v>
      </c>
      <c r="I87">
        <v>5844000000</v>
      </c>
      <c r="J87" t="s">
        <v>1664</v>
      </c>
      <c r="K87" t="s">
        <v>1664</v>
      </c>
      <c r="L87" t="s">
        <v>1664</v>
      </c>
      <c r="M87" t="s">
        <v>1664</v>
      </c>
      <c r="N87" t="s">
        <v>1664</v>
      </c>
      <c r="O87" t="s">
        <v>1664</v>
      </c>
      <c r="P87" t="s">
        <v>3563</v>
      </c>
      <c r="Q87" t="s">
        <v>3518</v>
      </c>
      <c r="R87" t="s">
        <v>1664</v>
      </c>
      <c r="S87" t="s">
        <v>1664</v>
      </c>
      <c r="T87" t="s">
        <v>1664</v>
      </c>
      <c r="U87" t="s">
        <v>1664</v>
      </c>
      <c r="V87" t="s">
        <v>1664</v>
      </c>
      <c r="W87">
        <v>42605677500</v>
      </c>
      <c r="X87">
        <v>42605677500</v>
      </c>
      <c r="Y87">
        <v>35362766000</v>
      </c>
      <c r="Z87">
        <v>35362766000</v>
      </c>
      <c r="AA87">
        <v>36022310000</v>
      </c>
      <c r="AB87" t="s">
        <v>3712</v>
      </c>
    </row>
    <row r="88" spans="1:28">
      <c r="B88" t="s">
        <v>3713</v>
      </c>
      <c r="C88" t="s">
        <v>3714</v>
      </c>
      <c r="D88" t="s">
        <v>1664</v>
      </c>
      <c r="E88" t="s">
        <v>1664</v>
      </c>
      <c r="F88">
        <v>0</v>
      </c>
      <c r="H88">
        <v>0</v>
      </c>
      <c r="J88" t="s">
        <v>1664</v>
      </c>
      <c r="K88" t="s">
        <v>1664</v>
      </c>
      <c r="L88" t="s">
        <v>1664</v>
      </c>
      <c r="M88" t="s">
        <v>1664</v>
      </c>
      <c r="N88" t="s">
        <v>1664</v>
      </c>
      <c r="O88" t="s">
        <v>1664</v>
      </c>
      <c r="P88" t="s">
        <v>3468</v>
      </c>
      <c r="Q88" t="s">
        <v>3487</v>
      </c>
      <c r="R88" t="s">
        <v>1664</v>
      </c>
      <c r="S88" t="s">
        <v>1664</v>
      </c>
      <c r="T88" t="s">
        <v>1664</v>
      </c>
      <c r="U88" t="s">
        <v>1664</v>
      </c>
      <c r="V88" t="s">
        <v>1664</v>
      </c>
      <c r="W88">
        <v>0</v>
      </c>
      <c r="Y88">
        <v>0</v>
      </c>
      <c r="AA88">
        <v>27980360000</v>
      </c>
      <c r="AB88" t="s">
        <v>3715</v>
      </c>
    </row>
    <row r="89" spans="1:28">
      <c r="B89" t="s">
        <v>1314</v>
      </c>
      <c r="C89" t="s">
        <v>1317</v>
      </c>
      <c r="D89" t="s">
        <v>1664</v>
      </c>
      <c r="E89" t="s">
        <v>1664</v>
      </c>
      <c r="F89">
        <v>959000000</v>
      </c>
      <c r="G89">
        <v>959000000</v>
      </c>
      <c r="H89">
        <v>773700000</v>
      </c>
      <c r="I89">
        <v>773700000</v>
      </c>
      <c r="J89" t="s">
        <v>1664</v>
      </c>
      <c r="K89" t="s">
        <v>1664</v>
      </c>
      <c r="L89">
        <v>2700000000</v>
      </c>
      <c r="M89">
        <v>2453000000</v>
      </c>
      <c r="N89">
        <v>1720000000</v>
      </c>
      <c r="O89" t="s">
        <v>1664</v>
      </c>
      <c r="P89" t="s">
        <v>3651</v>
      </c>
      <c r="Q89" t="s">
        <v>3518</v>
      </c>
      <c r="R89">
        <v>37219469701</v>
      </c>
      <c r="S89">
        <v>43898488620</v>
      </c>
      <c r="T89">
        <v>33714039260.16</v>
      </c>
      <c r="U89" t="s">
        <v>1664</v>
      </c>
      <c r="V89" t="s">
        <v>1664</v>
      </c>
      <c r="W89">
        <v>34240821123.600002</v>
      </c>
      <c r="Y89">
        <v>34230625000</v>
      </c>
      <c r="Z89">
        <v>34230625000</v>
      </c>
      <c r="AA89">
        <v>36653970000</v>
      </c>
      <c r="AB89" t="s">
        <v>3716</v>
      </c>
    </row>
    <row r="90" spans="1:28">
      <c r="B90" t="s">
        <v>3717</v>
      </c>
      <c r="C90" t="s">
        <v>3718</v>
      </c>
      <c r="D90" t="s">
        <v>1664</v>
      </c>
      <c r="E90" t="s">
        <v>1664</v>
      </c>
      <c r="F90">
        <v>0</v>
      </c>
      <c r="H90">
        <v>0</v>
      </c>
      <c r="J90" t="s">
        <v>1664</v>
      </c>
      <c r="K90" t="s">
        <v>1664</v>
      </c>
      <c r="L90" t="s">
        <v>1664</v>
      </c>
      <c r="M90" t="s">
        <v>1664</v>
      </c>
      <c r="N90" t="s">
        <v>1664</v>
      </c>
      <c r="O90" t="s">
        <v>1664</v>
      </c>
      <c r="P90" t="s">
        <v>3520</v>
      </c>
      <c r="Q90" t="s">
        <v>3477</v>
      </c>
      <c r="R90" t="s">
        <v>1664</v>
      </c>
      <c r="S90" t="s">
        <v>1664</v>
      </c>
      <c r="T90" t="s">
        <v>1664</v>
      </c>
      <c r="U90" t="s">
        <v>1664</v>
      </c>
      <c r="V90" t="s">
        <v>1664</v>
      </c>
      <c r="W90">
        <v>0</v>
      </c>
      <c r="Y90">
        <v>0</v>
      </c>
      <c r="AA90">
        <v>14625230000</v>
      </c>
      <c r="AB90" t="s">
        <v>3719</v>
      </c>
    </row>
    <row r="91" spans="1:28">
      <c r="A91" t="s">
        <v>1949</v>
      </c>
      <c r="B91" t="s">
        <v>3720</v>
      </c>
      <c r="C91" t="s">
        <v>725</v>
      </c>
      <c r="D91">
        <v>2000000000</v>
      </c>
      <c r="E91">
        <v>955000000</v>
      </c>
      <c r="F91">
        <v>1000000000</v>
      </c>
      <c r="H91">
        <v>773800000</v>
      </c>
      <c r="J91">
        <v>485500000</v>
      </c>
      <c r="K91" t="s">
        <v>3721</v>
      </c>
      <c r="L91" t="s">
        <v>3722</v>
      </c>
      <c r="M91" t="s">
        <v>3723</v>
      </c>
      <c r="N91" t="s">
        <v>3724</v>
      </c>
      <c r="O91">
        <v>49.41731937172775</v>
      </c>
      <c r="P91" t="s">
        <v>3490</v>
      </c>
      <c r="Q91" t="s">
        <v>3518</v>
      </c>
      <c r="R91" t="s">
        <v>3725</v>
      </c>
      <c r="S91" t="s">
        <v>3726</v>
      </c>
      <c r="T91" t="s">
        <v>3727</v>
      </c>
      <c r="U91" t="s">
        <v>3728</v>
      </c>
      <c r="V91" t="s">
        <v>3729</v>
      </c>
      <c r="W91" t="s">
        <v>3730</v>
      </c>
      <c r="Y91">
        <v>44686519660</v>
      </c>
      <c r="AA91">
        <v>47193540000</v>
      </c>
      <c r="AB91" t="s">
        <v>3731</v>
      </c>
    </row>
    <row r="92" spans="1:28">
      <c r="B92" t="s">
        <v>3241</v>
      </c>
      <c r="C92" t="s">
        <v>805</v>
      </c>
      <c r="D92">
        <v>0</v>
      </c>
      <c r="E92">
        <v>0</v>
      </c>
      <c r="F92">
        <v>0</v>
      </c>
      <c r="H92">
        <v>-20745000</v>
      </c>
      <c r="J92">
        <v>-24547000</v>
      </c>
      <c r="K92">
        <v>-16710000</v>
      </c>
      <c r="L92">
        <v>-10762000</v>
      </c>
      <c r="M92">
        <v>-2570000</v>
      </c>
      <c r="N92" t="s">
        <v>1664</v>
      </c>
      <c r="O92" t="s">
        <v>1664</v>
      </c>
      <c r="P92" t="s">
        <v>3490</v>
      </c>
      <c r="R92" t="s">
        <v>1664</v>
      </c>
      <c r="S92">
        <v>0</v>
      </c>
      <c r="T92">
        <v>0</v>
      </c>
      <c r="U92">
        <v>5049415300</v>
      </c>
      <c r="V92">
        <v>29554440000</v>
      </c>
      <c r="W92">
        <v>55044539280.000008</v>
      </c>
      <c r="Y92">
        <v>25725000000</v>
      </c>
      <c r="AA92">
        <v>29651329382</v>
      </c>
      <c r="AB92" t="s">
        <v>3732</v>
      </c>
    </row>
    <row r="93" spans="1:28">
      <c r="A93" t="s">
        <v>727</v>
      </c>
      <c r="B93" t="s">
        <v>3733</v>
      </c>
      <c r="C93" t="s">
        <v>1902</v>
      </c>
      <c r="D93">
        <v>0</v>
      </c>
      <c r="E93">
        <v>0</v>
      </c>
      <c r="F93">
        <v>7131000000</v>
      </c>
      <c r="H93">
        <v>5963000000</v>
      </c>
      <c r="J93">
        <v>2751000000</v>
      </c>
      <c r="K93">
        <v>3253000000</v>
      </c>
      <c r="L93">
        <v>3073000000</v>
      </c>
      <c r="M93">
        <v>2159100000</v>
      </c>
      <c r="N93">
        <v>1523900000</v>
      </c>
      <c r="O93" t="s">
        <v>1664</v>
      </c>
      <c r="P93" t="s">
        <v>3468</v>
      </c>
      <c r="Q93" t="s">
        <v>3474</v>
      </c>
      <c r="R93">
        <v>33565648000</v>
      </c>
      <c r="S93">
        <v>50001750000</v>
      </c>
      <c r="T93">
        <v>46501000000</v>
      </c>
      <c r="U93">
        <v>56297360000</v>
      </c>
      <c r="V93">
        <v>85181230000</v>
      </c>
      <c r="W93">
        <v>107667460000</v>
      </c>
      <c r="Y93">
        <v>130343040000</v>
      </c>
      <c r="AA93">
        <v>113089195602</v>
      </c>
      <c r="AB93" t="s">
        <v>3734</v>
      </c>
    </row>
    <row r="94" spans="1:28">
      <c r="B94" t="s">
        <v>3735</v>
      </c>
      <c r="C94" t="s">
        <v>3736</v>
      </c>
      <c r="D94" t="s">
        <v>1664</v>
      </c>
      <c r="E94" t="s">
        <v>1664</v>
      </c>
      <c r="F94">
        <v>0</v>
      </c>
      <c r="H94">
        <v>0</v>
      </c>
      <c r="J94" t="s">
        <v>1664</v>
      </c>
      <c r="K94" t="s">
        <v>1664</v>
      </c>
      <c r="L94" t="s">
        <v>1664</v>
      </c>
      <c r="M94" t="s">
        <v>1664</v>
      </c>
      <c r="N94" t="s">
        <v>1664</v>
      </c>
      <c r="O94" t="s">
        <v>1664</v>
      </c>
      <c r="P94" t="s">
        <v>3490</v>
      </c>
      <c r="Q94" t="s">
        <v>3487</v>
      </c>
      <c r="R94" t="s">
        <v>1664</v>
      </c>
      <c r="S94" t="s">
        <v>1664</v>
      </c>
      <c r="T94" t="s">
        <v>1664</v>
      </c>
      <c r="U94" t="s">
        <v>1664</v>
      </c>
      <c r="V94" t="s">
        <v>1664</v>
      </c>
      <c r="W94">
        <v>0</v>
      </c>
      <c r="Y94">
        <v>0</v>
      </c>
      <c r="AA94">
        <v>8595517000</v>
      </c>
      <c r="AB94" t="s">
        <v>3737</v>
      </c>
    </row>
    <row r="95" spans="1:28">
      <c r="A95" t="s">
        <v>106</v>
      </c>
      <c r="B95" t="s">
        <v>3245</v>
      </c>
      <c r="C95" t="s">
        <v>454</v>
      </c>
      <c r="D95">
        <v>474000000</v>
      </c>
      <c r="E95">
        <v>0</v>
      </c>
      <c r="F95">
        <v>113000000</v>
      </c>
      <c r="H95">
        <v>114600000</v>
      </c>
      <c r="J95">
        <v>50400000</v>
      </c>
      <c r="K95">
        <v>125000000</v>
      </c>
      <c r="L95">
        <v>155600000</v>
      </c>
      <c r="M95">
        <v>155100000</v>
      </c>
      <c r="N95">
        <v>155300000</v>
      </c>
      <c r="O95" t="s">
        <v>1664</v>
      </c>
      <c r="P95" t="s">
        <v>3481</v>
      </c>
      <c r="R95">
        <v>0</v>
      </c>
      <c r="S95">
        <v>0</v>
      </c>
      <c r="T95">
        <v>0</v>
      </c>
      <c r="U95">
        <v>0</v>
      </c>
      <c r="V95">
        <v>0</v>
      </c>
      <c r="W95">
        <v>0</v>
      </c>
      <c r="Y95">
        <v>3138995768</v>
      </c>
      <c r="AA95">
        <v>2658021000</v>
      </c>
      <c r="AB95" t="s">
        <v>3738</v>
      </c>
    </row>
    <row r="96" spans="1:28">
      <c r="B96" t="s">
        <v>3739</v>
      </c>
      <c r="C96" t="s">
        <v>3740</v>
      </c>
      <c r="D96" t="s">
        <v>1664</v>
      </c>
      <c r="E96" t="s">
        <v>1664</v>
      </c>
      <c r="F96">
        <v>0</v>
      </c>
      <c r="H96">
        <v>0</v>
      </c>
      <c r="J96" t="s">
        <v>1664</v>
      </c>
      <c r="K96" t="s">
        <v>1664</v>
      </c>
      <c r="L96" t="s">
        <v>1664</v>
      </c>
      <c r="M96" t="s">
        <v>1664</v>
      </c>
      <c r="N96" t="s">
        <v>1664</v>
      </c>
      <c r="O96" t="s">
        <v>1664</v>
      </c>
      <c r="P96" t="s">
        <v>3623</v>
      </c>
      <c r="Q96" t="s">
        <v>3477</v>
      </c>
      <c r="R96" t="s">
        <v>1664</v>
      </c>
      <c r="S96" t="s">
        <v>1664</v>
      </c>
      <c r="T96" t="s">
        <v>1664</v>
      </c>
      <c r="U96" t="s">
        <v>1664</v>
      </c>
      <c r="V96" t="s">
        <v>1664</v>
      </c>
      <c r="W96">
        <v>0</v>
      </c>
      <c r="Y96">
        <v>0</v>
      </c>
      <c r="AA96">
        <v>761601200</v>
      </c>
      <c r="AB96" t="s">
        <v>3741</v>
      </c>
    </row>
    <row r="97" spans="1:28">
      <c r="B97" t="s">
        <v>3742</v>
      </c>
      <c r="C97" t="s">
        <v>3743</v>
      </c>
      <c r="D97" t="s">
        <v>1664</v>
      </c>
      <c r="E97" t="s">
        <v>1664</v>
      </c>
      <c r="F97">
        <v>0</v>
      </c>
      <c r="H97">
        <v>0</v>
      </c>
      <c r="J97" t="s">
        <v>1664</v>
      </c>
      <c r="K97" t="s">
        <v>1664</v>
      </c>
      <c r="L97" t="s">
        <v>1664</v>
      </c>
      <c r="M97" t="s">
        <v>1664</v>
      </c>
      <c r="N97" t="s">
        <v>1664</v>
      </c>
      <c r="O97" t="s">
        <v>1664</v>
      </c>
      <c r="P97" t="s">
        <v>3563</v>
      </c>
      <c r="Q97" t="s">
        <v>3487</v>
      </c>
      <c r="R97" t="s">
        <v>1664</v>
      </c>
      <c r="S97" t="s">
        <v>1664</v>
      </c>
      <c r="T97" t="s">
        <v>1664</v>
      </c>
      <c r="U97" t="s">
        <v>1664</v>
      </c>
      <c r="V97" t="s">
        <v>1664</v>
      </c>
      <c r="W97">
        <v>0</v>
      </c>
      <c r="Y97">
        <v>0</v>
      </c>
      <c r="AA97">
        <v>20708470000</v>
      </c>
      <c r="AB97" t="s">
        <v>3744</v>
      </c>
    </row>
    <row r="98" spans="1:28">
      <c r="B98" t="s">
        <v>3745</v>
      </c>
      <c r="C98" t="s">
        <v>2365</v>
      </c>
      <c r="D98">
        <v>0</v>
      </c>
      <c r="E98">
        <v>0</v>
      </c>
      <c r="F98">
        <v>0</v>
      </c>
      <c r="H98">
        <v>1150000000</v>
      </c>
      <c r="J98">
        <v>1079900000</v>
      </c>
      <c r="K98">
        <v>1003900000</v>
      </c>
      <c r="L98">
        <v>824300000</v>
      </c>
      <c r="M98">
        <v>874300000</v>
      </c>
      <c r="N98">
        <v>722100000</v>
      </c>
      <c r="O98" t="s">
        <v>1664</v>
      </c>
      <c r="P98" t="s">
        <v>3567</v>
      </c>
      <c r="Q98" t="s">
        <v>3487</v>
      </c>
      <c r="R98">
        <v>0</v>
      </c>
      <c r="S98">
        <v>0</v>
      </c>
      <c r="T98">
        <v>0</v>
      </c>
      <c r="U98">
        <v>25698407803.5</v>
      </c>
      <c r="V98">
        <v>25546158974.399998</v>
      </c>
      <c r="W98">
        <v>26968448716.149998</v>
      </c>
      <c r="Y98">
        <v>29611154816.950001</v>
      </c>
      <c r="AA98">
        <v>31492500000</v>
      </c>
      <c r="AB98" t="s">
        <v>3746</v>
      </c>
    </row>
    <row r="99" spans="1:28">
      <c r="B99" t="s">
        <v>3747</v>
      </c>
      <c r="C99" t="s">
        <v>3748</v>
      </c>
      <c r="D99" t="s">
        <v>1664</v>
      </c>
      <c r="E99" t="s">
        <v>1664</v>
      </c>
      <c r="F99">
        <v>0</v>
      </c>
      <c r="H99">
        <v>0</v>
      </c>
      <c r="J99" t="s">
        <v>1664</v>
      </c>
      <c r="K99" t="s">
        <v>1664</v>
      </c>
      <c r="L99" t="s">
        <v>1664</v>
      </c>
      <c r="M99" t="s">
        <v>1664</v>
      </c>
      <c r="N99" t="s">
        <v>1664</v>
      </c>
      <c r="O99" t="s">
        <v>1664</v>
      </c>
      <c r="P99" t="s">
        <v>3646</v>
      </c>
      <c r="Q99" t="s">
        <v>3487</v>
      </c>
      <c r="R99" t="s">
        <v>1664</v>
      </c>
      <c r="S99" t="s">
        <v>1664</v>
      </c>
      <c r="T99" t="s">
        <v>1664</v>
      </c>
      <c r="U99" t="s">
        <v>1664</v>
      </c>
      <c r="V99" t="s">
        <v>1664</v>
      </c>
      <c r="W99">
        <v>0</v>
      </c>
      <c r="Y99">
        <v>0</v>
      </c>
      <c r="AA99">
        <v>103493900000</v>
      </c>
      <c r="AB99" t="s">
        <v>3749</v>
      </c>
    </row>
    <row r="100" spans="1:28">
      <c r="B100" t="s">
        <v>3750</v>
      </c>
      <c r="C100" t="s">
        <v>385</v>
      </c>
      <c r="D100">
        <v>120000000</v>
      </c>
      <c r="E100">
        <v>0</v>
      </c>
      <c r="F100">
        <v>-55000000</v>
      </c>
      <c r="H100">
        <v>-2139333000</v>
      </c>
      <c r="J100">
        <v>-1254904000</v>
      </c>
      <c r="K100">
        <v>-357214000</v>
      </c>
      <c r="L100">
        <v>-180272000</v>
      </c>
      <c r="M100">
        <v>18346000</v>
      </c>
      <c r="N100">
        <v>-415522000</v>
      </c>
      <c r="O100" t="s">
        <v>1664</v>
      </c>
      <c r="P100" t="s">
        <v>371</v>
      </c>
      <c r="R100">
        <v>2427873600</v>
      </c>
      <c r="S100">
        <v>2608035000</v>
      </c>
      <c r="T100">
        <v>1649232000</v>
      </c>
      <c r="U100">
        <v>771108800</v>
      </c>
      <c r="V100">
        <v>23735311.999999996</v>
      </c>
      <c r="W100">
        <v>13009750</v>
      </c>
      <c r="Y100">
        <v>1040780000</v>
      </c>
      <c r="AA100">
        <v>1529713900</v>
      </c>
      <c r="AB100" t="s">
        <v>3751</v>
      </c>
    </row>
    <row r="101" spans="1:28">
      <c r="B101" t="s">
        <v>3752</v>
      </c>
      <c r="C101" t="s">
        <v>3753</v>
      </c>
      <c r="D101" t="s">
        <v>1664</v>
      </c>
      <c r="E101" t="s">
        <v>1664</v>
      </c>
      <c r="F101">
        <v>0</v>
      </c>
      <c r="H101">
        <v>0</v>
      </c>
      <c r="J101" t="s">
        <v>1664</v>
      </c>
      <c r="K101" t="s">
        <v>1664</v>
      </c>
      <c r="L101" t="s">
        <v>1664</v>
      </c>
      <c r="M101" t="s">
        <v>1664</v>
      </c>
      <c r="N101" t="s">
        <v>1664</v>
      </c>
      <c r="O101" t="s">
        <v>1664</v>
      </c>
      <c r="P101" t="s">
        <v>371</v>
      </c>
      <c r="Q101" t="s">
        <v>3487</v>
      </c>
      <c r="R101" t="s">
        <v>1664</v>
      </c>
      <c r="S101" t="s">
        <v>1664</v>
      </c>
      <c r="T101" t="s">
        <v>1664</v>
      </c>
      <c r="U101" t="s">
        <v>1664</v>
      </c>
      <c r="V101" t="s">
        <v>1664</v>
      </c>
      <c r="W101">
        <v>0</v>
      </c>
      <c r="Y101">
        <v>0</v>
      </c>
      <c r="AA101">
        <v>31312830000</v>
      </c>
      <c r="AB101" t="s">
        <v>3754</v>
      </c>
    </row>
    <row r="102" spans="1:28">
      <c r="A102" t="s">
        <v>3755</v>
      </c>
      <c r="B102" t="s">
        <v>3756</v>
      </c>
      <c r="C102" t="s">
        <v>52</v>
      </c>
      <c r="D102">
        <v>569000000</v>
      </c>
      <c r="E102">
        <v>100000000</v>
      </c>
      <c r="F102">
        <v>-169000000</v>
      </c>
      <c r="H102">
        <v>-858000000</v>
      </c>
      <c r="J102">
        <v>-1273000000</v>
      </c>
      <c r="K102">
        <v>349000000</v>
      </c>
      <c r="L102">
        <v>358000000</v>
      </c>
      <c r="M102">
        <v>305000000</v>
      </c>
      <c r="N102">
        <v>437000000</v>
      </c>
      <c r="O102">
        <v>32.647489999999998</v>
      </c>
      <c r="P102" t="s">
        <v>3514</v>
      </c>
      <c r="R102">
        <v>3545202951</v>
      </c>
      <c r="S102">
        <v>5475369002.1000004</v>
      </c>
      <c r="T102">
        <v>5239022138.6999998</v>
      </c>
      <c r="U102">
        <v>5282866400</v>
      </c>
      <c r="V102">
        <v>3626180567.5000005</v>
      </c>
      <c r="W102">
        <v>4104111881.6399999</v>
      </c>
      <c r="Y102">
        <v>2396033663.2740002</v>
      </c>
      <c r="AA102">
        <v>3264749000</v>
      </c>
      <c r="AB102" t="s">
        <v>3757</v>
      </c>
    </row>
    <row r="103" spans="1:28">
      <c r="A103" t="s">
        <v>1181</v>
      </c>
      <c r="B103" t="s">
        <v>2395</v>
      </c>
      <c r="C103" t="s">
        <v>2397</v>
      </c>
      <c r="D103">
        <v>836000000</v>
      </c>
      <c r="E103">
        <v>0</v>
      </c>
      <c r="F103">
        <v>386000000</v>
      </c>
      <c r="H103">
        <v>313000000</v>
      </c>
      <c r="J103">
        <v>238000000</v>
      </c>
      <c r="K103">
        <v>312000000</v>
      </c>
      <c r="L103">
        <v>254000000</v>
      </c>
      <c r="M103">
        <v>247000000</v>
      </c>
      <c r="N103">
        <v>180000000</v>
      </c>
      <c r="O103" t="s">
        <v>1664</v>
      </c>
      <c r="P103" t="s">
        <v>3623</v>
      </c>
      <c r="Q103" t="s">
        <v>3477</v>
      </c>
      <c r="R103">
        <v>4710985675.1999998</v>
      </c>
      <c r="S103">
        <v>6122838272.4000006</v>
      </c>
      <c r="T103">
        <v>8479599443.999999</v>
      </c>
      <c r="U103">
        <v>11865964973.030001</v>
      </c>
      <c r="V103">
        <v>11287137413.369999</v>
      </c>
      <c r="W103">
        <v>9866821048.4899998</v>
      </c>
      <c r="Y103">
        <v>12379127221.299999</v>
      </c>
      <c r="AA103">
        <v>15194920000</v>
      </c>
      <c r="AB103" t="s">
        <v>3758</v>
      </c>
    </row>
    <row r="104" spans="1:28">
      <c r="B104" t="s">
        <v>3759</v>
      </c>
      <c r="C104" t="s">
        <v>320</v>
      </c>
      <c r="D104">
        <v>8000000000</v>
      </c>
      <c r="E104" t="s">
        <v>1664</v>
      </c>
      <c r="F104">
        <v>-6000000000</v>
      </c>
      <c r="H104">
        <v>5113000000</v>
      </c>
      <c r="J104">
        <v>650000000</v>
      </c>
      <c r="K104">
        <v>5155000000</v>
      </c>
      <c r="L104">
        <v>1177000000</v>
      </c>
      <c r="M104">
        <v>3173000000</v>
      </c>
      <c r="N104">
        <v>2851000000</v>
      </c>
      <c r="O104" t="s">
        <v>1664</v>
      </c>
      <c r="P104" t="s">
        <v>371</v>
      </c>
      <c r="Q104" t="s">
        <v>3477</v>
      </c>
      <c r="R104">
        <v>20036798488.5</v>
      </c>
      <c r="S104">
        <v>31760897014</v>
      </c>
      <c r="T104">
        <v>46057095442.800003</v>
      </c>
      <c r="U104">
        <v>33560665886</v>
      </c>
      <c r="V104">
        <v>39357508175.400002</v>
      </c>
      <c r="W104">
        <v>32620405665.310001</v>
      </c>
      <c r="Y104">
        <v>32216423277.399998</v>
      </c>
      <c r="AA104">
        <v>48011200000</v>
      </c>
      <c r="AB104" t="s">
        <v>3760</v>
      </c>
    </row>
    <row r="105" spans="1:28">
      <c r="A105" t="s">
        <v>1949</v>
      </c>
      <c r="B105" t="s">
        <v>1947</v>
      </c>
      <c r="C105" t="s">
        <v>1950</v>
      </c>
      <c r="D105">
        <v>0</v>
      </c>
      <c r="E105">
        <v>0</v>
      </c>
      <c r="F105">
        <v>0</v>
      </c>
      <c r="H105">
        <v>520000000</v>
      </c>
      <c r="J105">
        <v>300000000</v>
      </c>
      <c r="K105">
        <v>725000000</v>
      </c>
      <c r="L105">
        <v>629000000</v>
      </c>
      <c r="M105">
        <v>545000000</v>
      </c>
      <c r="N105">
        <v>475000000</v>
      </c>
      <c r="O105" t="s">
        <v>1664</v>
      </c>
      <c r="P105" t="s">
        <v>3481</v>
      </c>
      <c r="Q105" t="s">
        <v>3477</v>
      </c>
      <c r="R105">
        <v>6502854169.5</v>
      </c>
      <c r="S105">
        <v>8957544212.3999996</v>
      </c>
      <c r="T105">
        <v>7075600000</v>
      </c>
      <c r="U105">
        <v>9996000000</v>
      </c>
      <c r="V105">
        <v>7872532911.3600006</v>
      </c>
      <c r="W105">
        <v>8869000000</v>
      </c>
      <c r="Y105">
        <v>0</v>
      </c>
      <c r="AA105">
        <v>9051280000</v>
      </c>
      <c r="AB105" t="s">
        <v>3761</v>
      </c>
    </row>
    <row r="106" spans="1:28">
      <c r="B106" t="s">
        <v>3762</v>
      </c>
      <c r="C106" t="s">
        <v>3763</v>
      </c>
      <c r="D106" t="s">
        <v>1664</v>
      </c>
      <c r="E106" t="s">
        <v>1664</v>
      </c>
      <c r="F106">
        <v>0</v>
      </c>
      <c r="H106">
        <v>0</v>
      </c>
      <c r="J106" t="s">
        <v>1664</v>
      </c>
      <c r="K106" t="s">
        <v>1664</v>
      </c>
      <c r="L106" t="s">
        <v>1664</v>
      </c>
      <c r="M106" t="s">
        <v>1664</v>
      </c>
      <c r="N106" t="s">
        <v>1664</v>
      </c>
      <c r="O106" t="s">
        <v>1664</v>
      </c>
      <c r="P106" t="s">
        <v>3490</v>
      </c>
      <c r="Q106" t="s">
        <v>3491</v>
      </c>
      <c r="R106" t="s">
        <v>1664</v>
      </c>
      <c r="S106" t="s">
        <v>1664</v>
      </c>
      <c r="T106" t="s">
        <v>1664</v>
      </c>
      <c r="U106" t="s">
        <v>1664</v>
      </c>
      <c r="V106" t="s">
        <v>1664</v>
      </c>
      <c r="W106">
        <v>0</v>
      </c>
      <c r="Y106">
        <v>0</v>
      </c>
      <c r="AA106">
        <v>32539204287</v>
      </c>
      <c r="AB106" t="s">
        <v>3764</v>
      </c>
    </row>
    <row r="107" spans="1:28">
      <c r="B107" t="s">
        <v>3765</v>
      </c>
      <c r="C107" t="s">
        <v>3766</v>
      </c>
      <c r="D107" t="s">
        <v>1664</v>
      </c>
      <c r="E107" t="s">
        <v>1664</v>
      </c>
      <c r="F107">
        <v>0</v>
      </c>
      <c r="H107">
        <v>0</v>
      </c>
      <c r="J107" t="s">
        <v>1664</v>
      </c>
      <c r="K107" t="s">
        <v>1664</v>
      </c>
      <c r="L107" t="s">
        <v>1664</v>
      </c>
      <c r="M107" t="s">
        <v>1664</v>
      </c>
      <c r="N107" t="s">
        <v>1664</v>
      </c>
      <c r="O107" t="s">
        <v>1664</v>
      </c>
      <c r="P107" t="s">
        <v>3473</v>
      </c>
      <c r="Q107" t="s">
        <v>3474</v>
      </c>
      <c r="R107" t="s">
        <v>1664</v>
      </c>
      <c r="S107" t="s">
        <v>1664</v>
      </c>
      <c r="T107" t="s">
        <v>1664</v>
      </c>
      <c r="U107" t="s">
        <v>1664</v>
      </c>
      <c r="V107" t="s">
        <v>1664</v>
      </c>
      <c r="W107">
        <v>0</v>
      </c>
      <c r="Y107">
        <v>0</v>
      </c>
      <c r="AA107">
        <v>535856255905</v>
      </c>
      <c r="AB107" t="s">
        <v>3767</v>
      </c>
    </row>
    <row r="108" spans="1:28">
      <c r="B108" t="s">
        <v>3768</v>
      </c>
      <c r="C108" t="s">
        <v>3769</v>
      </c>
      <c r="D108" t="s">
        <v>1664</v>
      </c>
      <c r="E108" t="s">
        <v>1664</v>
      </c>
      <c r="F108">
        <v>0</v>
      </c>
      <c r="H108">
        <v>0</v>
      </c>
      <c r="J108" t="s">
        <v>1664</v>
      </c>
      <c r="K108" t="s">
        <v>1664</v>
      </c>
      <c r="L108" t="s">
        <v>1664</v>
      </c>
      <c r="M108" t="s">
        <v>1664</v>
      </c>
      <c r="N108" t="s">
        <v>1664</v>
      </c>
      <c r="O108" t="s">
        <v>1664</v>
      </c>
      <c r="P108" t="s">
        <v>371</v>
      </c>
      <c r="Q108" t="s">
        <v>3482</v>
      </c>
      <c r="R108" t="s">
        <v>1664</v>
      </c>
      <c r="S108" t="s">
        <v>1664</v>
      </c>
      <c r="T108" t="s">
        <v>1664</v>
      </c>
      <c r="U108" t="s">
        <v>1664</v>
      </c>
      <c r="V108" t="s">
        <v>1664</v>
      </c>
      <c r="W108">
        <v>0</v>
      </c>
      <c r="Y108">
        <v>0</v>
      </c>
      <c r="AA108">
        <v>7793313000</v>
      </c>
      <c r="AB108" t="s">
        <v>3770</v>
      </c>
    </row>
    <row r="109" spans="1:28">
      <c r="B109" t="s">
        <v>3771</v>
      </c>
      <c r="C109" t="s">
        <v>134</v>
      </c>
      <c r="D109">
        <v>-6000000</v>
      </c>
      <c r="E109" t="s">
        <v>1664</v>
      </c>
      <c r="F109">
        <v>-427000000</v>
      </c>
      <c r="H109">
        <v>-100000000</v>
      </c>
      <c r="J109">
        <v>-483000000</v>
      </c>
      <c r="K109">
        <v>270000000</v>
      </c>
      <c r="L109">
        <v>34000000</v>
      </c>
      <c r="M109">
        <v>114000000</v>
      </c>
      <c r="N109">
        <v>135000000</v>
      </c>
      <c r="O109" t="s">
        <v>1664</v>
      </c>
      <c r="P109" t="s">
        <v>3476</v>
      </c>
      <c r="Q109" t="s">
        <v>3477</v>
      </c>
      <c r="R109">
        <v>3706699201</v>
      </c>
      <c r="S109">
        <v>2758473824</v>
      </c>
      <c r="T109">
        <v>2104351188.1600001</v>
      </c>
      <c r="U109">
        <v>2227847628.8000002</v>
      </c>
      <c r="V109">
        <v>957688974</v>
      </c>
      <c r="W109">
        <v>1107580154.28</v>
      </c>
      <c r="Y109">
        <v>569065955.69999993</v>
      </c>
      <c r="AA109">
        <v>496131500</v>
      </c>
      <c r="AB109" t="s">
        <v>3772</v>
      </c>
    </row>
    <row r="110" spans="1:28">
      <c r="A110" t="s">
        <v>3773</v>
      </c>
      <c r="B110" t="s">
        <v>3250</v>
      </c>
      <c r="C110" t="s">
        <v>537</v>
      </c>
      <c r="D110">
        <v>1260897000</v>
      </c>
      <c r="E110">
        <v>260000000</v>
      </c>
      <c r="F110">
        <v>204600000</v>
      </c>
      <c r="H110">
        <v>114300000</v>
      </c>
      <c r="J110">
        <v>138700000</v>
      </c>
      <c r="K110">
        <v>141800000</v>
      </c>
      <c r="L110">
        <v>81800000</v>
      </c>
      <c r="M110">
        <v>66200000</v>
      </c>
      <c r="N110">
        <v>93000000</v>
      </c>
      <c r="O110">
        <v>14.795834615384615</v>
      </c>
      <c r="P110" t="s">
        <v>3623</v>
      </c>
      <c r="Q110" t="s">
        <v>3477</v>
      </c>
      <c r="R110">
        <v>1932404530.6499999</v>
      </c>
      <c r="S110">
        <v>4951846883.5500002</v>
      </c>
      <c r="T110">
        <v>3220354638.7599998</v>
      </c>
      <c r="U110">
        <v>3540764752</v>
      </c>
      <c r="V110">
        <v>2737251766.1999998</v>
      </c>
      <c r="W110">
        <v>3410436826.54</v>
      </c>
      <c r="Y110">
        <v>3172351660.1399999</v>
      </c>
      <c r="AA110">
        <v>3846917000</v>
      </c>
      <c r="AB110" t="s">
        <v>3774</v>
      </c>
    </row>
    <row r="111" spans="1:28">
      <c r="A111" t="s">
        <v>165</v>
      </c>
      <c r="B111" t="s">
        <v>370</v>
      </c>
      <c r="C111" t="s">
        <v>374</v>
      </c>
      <c r="D111">
        <v>0</v>
      </c>
      <c r="E111" t="s">
        <v>1664</v>
      </c>
      <c r="F111">
        <v>5200000000</v>
      </c>
      <c r="G111">
        <v>5200000000</v>
      </c>
      <c r="H111">
        <v>3661000000</v>
      </c>
      <c r="I111">
        <v>3661000000</v>
      </c>
      <c r="J111">
        <v>100000000</v>
      </c>
      <c r="K111">
        <v>984000000</v>
      </c>
      <c r="L111">
        <v>1033000000</v>
      </c>
      <c r="M111">
        <v>1423000000</v>
      </c>
      <c r="N111">
        <v>-415000000</v>
      </c>
      <c r="O111" t="s">
        <v>1664</v>
      </c>
      <c r="P111" t="s">
        <v>371</v>
      </c>
      <c r="Q111" t="s">
        <v>3518</v>
      </c>
      <c r="R111">
        <v>29710477134.199997</v>
      </c>
      <c r="S111">
        <v>34581047156.199997</v>
      </c>
      <c r="T111">
        <v>30441062637.5</v>
      </c>
      <c r="U111">
        <v>35311632659.5</v>
      </c>
      <c r="V111">
        <v>30489768337.719997</v>
      </c>
      <c r="W111">
        <v>34439472000</v>
      </c>
      <c r="X111">
        <v>34439472000</v>
      </c>
      <c r="Y111">
        <v>34495753000</v>
      </c>
      <c r="Z111">
        <v>34495753000</v>
      </c>
      <c r="AA111">
        <v>36938400000</v>
      </c>
      <c r="AB111" t="s">
        <v>3775</v>
      </c>
    </row>
    <row r="112" spans="1:28">
      <c r="B112" t="s">
        <v>3776</v>
      </c>
      <c r="C112" t="s">
        <v>3777</v>
      </c>
      <c r="D112" t="s">
        <v>1664</v>
      </c>
      <c r="E112" t="s">
        <v>1664</v>
      </c>
      <c r="F112">
        <v>0</v>
      </c>
      <c r="H112">
        <v>0</v>
      </c>
      <c r="N112" t="s">
        <v>1664</v>
      </c>
      <c r="O112" t="s">
        <v>1664</v>
      </c>
      <c r="P112" t="s">
        <v>3567</v>
      </c>
      <c r="R112" t="s">
        <v>1664</v>
      </c>
      <c r="S112" t="s">
        <v>1664</v>
      </c>
      <c r="T112" t="s">
        <v>1664</v>
      </c>
      <c r="U112" t="s">
        <v>1664</v>
      </c>
      <c r="V112" t="s">
        <v>1664</v>
      </c>
      <c r="W112">
        <v>0</v>
      </c>
      <c r="Y112">
        <v>0</v>
      </c>
      <c r="AA112">
        <v>255910500000</v>
      </c>
      <c r="AB112" t="s">
        <v>3778</v>
      </c>
    </row>
    <row r="113" spans="1:28">
      <c r="B113" t="s">
        <v>3779</v>
      </c>
      <c r="C113" t="s">
        <v>3780</v>
      </c>
      <c r="D113" t="s">
        <v>1664</v>
      </c>
      <c r="E113" t="s">
        <v>1664</v>
      </c>
      <c r="F113">
        <v>0</v>
      </c>
      <c r="H113">
        <v>0</v>
      </c>
      <c r="J113" t="s">
        <v>1664</v>
      </c>
      <c r="K113" t="s">
        <v>1664</v>
      </c>
      <c r="L113" t="s">
        <v>1664</v>
      </c>
      <c r="M113" t="s">
        <v>1664</v>
      </c>
      <c r="N113" t="s">
        <v>1664</v>
      </c>
      <c r="O113" t="s">
        <v>1664</v>
      </c>
      <c r="P113" t="s">
        <v>371</v>
      </c>
      <c r="Q113" t="s">
        <v>3477</v>
      </c>
      <c r="R113" t="s">
        <v>1664</v>
      </c>
      <c r="S113" t="s">
        <v>1664</v>
      </c>
      <c r="T113" t="s">
        <v>1664</v>
      </c>
      <c r="U113" t="s">
        <v>1664</v>
      </c>
      <c r="V113" t="s">
        <v>1664</v>
      </c>
      <c r="W113">
        <v>0</v>
      </c>
      <c r="Y113">
        <v>0</v>
      </c>
      <c r="AA113">
        <v>2093367000</v>
      </c>
      <c r="AB113" t="s">
        <v>3781</v>
      </c>
    </row>
    <row r="114" spans="1:28">
      <c r="B114" t="s">
        <v>3782</v>
      </c>
      <c r="C114" t="s">
        <v>1450</v>
      </c>
      <c r="D114" t="s">
        <v>1664</v>
      </c>
      <c r="E114" t="s">
        <v>1664</v>
      </c>
      <c r="F114">
        <v>0</v>
      </c>
      <c r="H114">
        <v>-18500000</v>
      </c>
      <c r="J114">
        <v>1400000</v>
      </c>
      <c r="K114">
        <v>3334000</v>
      </c>
      <c r="L114">
        <v>2375000</v>
      </c>
      <c r="M114">
        <v>7523000</v>
      </c>
      <c r="N114">
        <v>5330000</v>
      </c>
      <c r="O114" t="s">
        <v>1664</v>
      </c>
      <c r="P114" t="s">
        <v>3514</v>
      </c>
      <c r="R114">
        <v>149876800</v>
      </c>
      <c r="S114">
        <v>269639640</v>
      </c>
      <c r="T114">
        <v>240657680</v>
      </c>
      <c r="U114">
        <v>275619453.59999996</v>
      </c>
      <c r="V114">
        <v>447731164.80000001</v>
      </c>
      <c r="W114">
        <v>447731164.80000001</v>
      </c>
      <c r="Y114">
        <v>0</v>
      </c>
      <c r="AA114">
        <v>917418000</v>
      </c>
      <c r="AB114" t="s">
        <v>3783</v>
      </c>
    </row>
    <row r="115" spans="1:28">
      <c r="A115" t="s">
        <v>727</v>
      </c>
      <c r="B115" t="s">
        <v>3784</v>
      </c>
      <c r="C115" t="s">
        <v>1514</v>
      </c>
      <c r="D115">
        <v>0</v>
      </c>
      <c r="E115" t="s">
        <v>1664</v>
      </c>
      <c r="F115">
        <v>2100000000</v>
      </c>
      <c r="G115">
        <v>2100000000</v>
      </c>
      <c r="H115">
        <v>2300000000</v>
      </c>
      <c r="J115">
        <v>788000000</v>
      </c>
      <c r="K115">
        <v>2054000000</v>
      </c>
      <c r="L115">
        <v>1866000000</v>
      </c>
      <c r="M115" t="s">
        <v>1664</v>
      </c>
      <c r="N115" t="s">
        <v>1664</v>
      </c>
      <c r="O115" t="s">
        <v>1664</v>
      </c>
      <c r="P115" t="s">
        <v>3531</v>
      </c>
      <c r="Q115" t="s">
        <v>3518</v>
      </c>
      <c r="R115" t="s">
        <v>1664</v>
      </c>
      <c r="S115" t="s">
        <v>1664</v>
      </c>
      <c r="T115">
        <v>46838799675.5</v>
      </c>
      <c r="U115">
        <v>60471404364.199997</v>
      </c>
      <c r="V115">
        <v>55968391648.399994</v>
      </c>
      <c r="W115">
        <v>81903995127.76001</v>
      </c>
      <c r="X115">
        <v>66875731000</v>
      </c>
      <c r="Y115">
        <v>74438619000</v>
      </c>
      <c r="Z115">
        <v>74438619000</v>
      </c>
      <c r="AA115">
        <v>79533750000</v>
      </c>
      <c r="AB115" t="s">
        <v>3785</v>
      </c>
    </row>
    <row r="116" spans="1:28">
      <c r="B116" t="s">
        <v>3786</v>
      </c>
      <c r="C116" t="s">
        <v>3787</v>
      </c>
      <c r="D116" t="s">
        <v>1664</v>
      </c>
      <c r="E116" t="s">
        <v>1664</v>
      </c>
      <c r="F116">
        <v>0</v>
      </c>
      <c r="H116">
        <v>0</v>
      </c>
      <c r="J116" t="s">
        <v>1664</v>
      </c>
      <c r="K116" t="s">
        <v>1664</v>
      </c>
      <c r="L116" t="s">
        <v>1664</v>
      </c>
      <c r="M116" t="s">
        <v>1664</v>
      </c>
      <c r="N116" t="s">
        <v>1664</v>
      </c>
      <c r="O116" t="s">
        <v>1664</v>
      </c>
      <c r="P116" t="s">
        <v>3655</v>
      </c>
      <c r="Q116" t="s">
        <v>3482</v>
      </c>
      <c r="R116" t="s">
        <v>1664</v>
      </c>
      <c r="S116" t="s">
        <v>1664</v>
      </c>
      <c r="T116" t="s">
        <v>1664</v>
      </c>
      <c r="U116" t="s">
        <v>1664</v>
      </c>
      <c r="V116" t="s">
        <v>1664</v>
      </c>
      <c r="W116">
        <v>0</v>
      </c>
      <c r="Y116">
        <v>0</v>
      </c>
      <c r="AA116">
        <v>5046684000</v>
      </c>
      <c r="AB116" t="s">
        <v>3788</v>
      </c>
    </row>
    <row r="117" spans="1:28">
      <c r="A117" t="s">
        <v>106</v>
      </c>
      <c r="B117" t="s">
        <v>997</v>
      </c>
      <c r="C117" t="s">
        <v>1000</v>
      </c>
      <c r="D117">
        <v>0</v>
      </c>
      <c r="E117">
        <v>0</v>
      </c>
      <c r="F117">
        <v>5950000000</v>
      </c>
      <c r="H117">
        <v>1576426000</v>
      </c>
      <c r="J117">
        <v>-160477000</v>
      </c>
      <c r="K117">
        <v>122948000</v>
      </c>
      <c r="L117">
        <v>245407000</v>
      </c>
      <c r="M117">
        <v>440609000</v>
      </c>
      <c r="N117">
        <v>519747000</v>
      </c>
      <c r="O117" t="s">
        <v>1664</v>
      </c>
      <c r="P117" t="s">
        <v>3567</v>
      </c>
      <c r="Q117" t="s">
        <v>3477</v>
      </c>
      <c r="R117">
        <v>4064653526.7000003</v>
      </c>
      <c r="S117">
        <v>5794248000</v>
      </c>
      <c r="T117">
        <v>5338315500</v>
      </c>
      <c r="U117">
        <v>4990056086.6999998</v>
      </c>
      <c r="V117">
        <v>4364824473</v>
      </c>
      <c r="W117">
        <v>6088405053.6499996</v>
      </c>
      <c r="Y117">
        <v>4602945134.9000006</v>
      </c>
      <c r="AA117">
        <v>4606906000</v>
      </c>
      <c r="AB117" t="s">
        <v>3789</v>
      </c>
    </row>
    <row r="118" spans="1:28">
      <c r="B118" t="s">
        <v>3790</v>
      </c>
      <c r="C118" t="s">
        <v>3060</v>
      </c>
      <c r="D118">
        <v>1513000000</v>
      </c>
      <c r="E118">
        <v>0</v>
      </c>
      <c r="F118">
        <v>683000000</v>
      </c>
      <c r="G118">
        <v>606000000</v>
      </c>
      <c r="H118">
        <v>1043400000</v>
      </c>
      <c r="I118">
        <v>782600000</v>
      </c>
      <c r="J118">
        <v>706500000</v>
      </c>
      <c r="K118">
        <v>359400000</v>
      </c>
      <c r="L118">
        <v>356100000</v>
      </c>
      <c r="M118" t="s">
        <v>1664</v>
      </c>
      <c r="N118" t="s">
        <v>1664</v>
      </c>
      <c r="O118" t="s">
        <v>1664</v>
      </c>
      <c r="P118" t="s">
        <v>3623</v>
      </c>
      <c r="Q118" t="s">
        <v>3518</v>
      </c>
      <c r="R118" t="s">
        <v>1664</v>
      </c>
      <c r="S118" t="s">
        <v>1664</v>
      </c>
      <c r="T118">
        <v>5787203508</v>
      </c>
      <c r="U118">
        <v>8847922055</v>
      </c>
      <c r="V118">
        <v>13094185357</v>
      </c>
      <c r="W118">
        <v>20917007372.799999</v>
      </c>
      <c r="X118">
        <v>16566908000</v>
      </c>
      <c r="Y118">
        <v>12925116435.98</v>
      </c>
      <c r="Z118">
        <v>11168543000</v>
      </c>
      <c r="AA118">
        <v>10824590000</v>
      </c>
      <c r="AB118" t="s">
        <v>3791</v>
      </c>
    </row>
    <row r="119" spans="1:28">
      <c r="A119" t="s">
        <v>943</v>
      </c>
      <c r="B119" t="s">
        <v>2338</v>
      </c>
      <c r="C119" t="s">
        <v>2341</v>
      </c>
      <c r="D119">
        <v>785400000</v>
      </c>
      <c r="E119">
        <v>420000000</v>
      </c>
      <c r="F119">
        <v>437800000</v>
      </c>
      <c r="H119">
        <v>413300000</v>
      </c>
      <c r="J119">
        <v>315500000</v>
      </c>
      <c r="K119">
        <v>222000000</v>
      </c>
      <c r="L119">
        <v>216000000</v>
      </c>
      <c r="M119">
        <v>241300000</v>
      </c>
      <c r="N119">
        <v>197000000</v>
      </c>
      <c r="O119">
        <v>16.728983333333332</v>
      </c>
      <c r="P119" t="s">
        <v>3567</v>
      </c>
      <c r="Q119" t="s">
        <v>3477</v>
      </c>
      <c r="R119">
        <v>2884000000</v>
      </c>
      <c r="S119">
        <v>3738000000</v>
      </c>
      <c r="T119">
        <v>3325000000</v>
      </c>
      <c r="U119">
        <v>5194000000</v>
      </c>
      <c r="V119">
        <v>6209000000</v>
      </c>
      <c r="W119">
        <v>9773449327.5</v>
      </c>
      <c r="Y119">
        <v>7407471293.04</v>
      </c>
      <c r="AA119">
        <v>7026173000</v>
      </c>
      <c r="AB119" t="s">
        <v>3792</v>
      </c>
    </row>
    <row r="120" spans="1:28">
      <c r="B120" t="s">
        <v>3793</v>
      </c>
      <c r="C120" t="s">
        <v>2107</v>
      </c>
      <c r="D120" t="s">
        <v>1664</v>
      </c>
      <c r="E120" t="s">
        <v>1664</v>
      </c>
      <c r="F120">
        <v>0</v>
      </c>
      <c r="H120">
        <v>-100000000</v>
      </c>
      <c r="J120">
        <v>-644800000</v>
      </c>
      <c r="K120">
        <v>38000000</v>
      </c>
      <c r="L120">
        <v>139497000</v>
      </c>
      <c r="M120">
        <v>61101000</v>
      </c>
      <c r="N120">
        <v>119000000</v>
      </c>
      <c r="O120" t="s">
        <v>1664</v>
      </c>
      <c r="P120" t="s">
        <v>3514</v>
      </c>
      <c r="Q120" t="s">
        <v>3477</v>
      </c>
      <c r="R120">
        <v>1521741844.3499999</v>
      </c>
      <c r="S120">
        <v>1650566550.75</v>
      </c>
      <c r="T120">
        <v>1219003784.3099999</v>
      </c>
      <c r="U120">
        <v>606371828.60000002</v>
      </c>
      <c r="V120">
        <v>114718994.59999999</v>
      </c>
      <c r="W120">
        <v>2231959837</v>
      </c>
      <c r="Y120">
        <v>0</v>
      </c>
      <c r="AA120">
        <v>2552961000</v>
      </c>
      <c r="AB120" t="s">
        <v>3794</v>
      </c>
    </row>
    <row r="121" spans="1:28">
      <c r="B121" t="s">
        <v>1072</v>
      </c>
      <c r="C121" t="s">
        <v>1075</v>
      </c>
      <c r="D121" t="s">
        <v>1664</v>
      </c>
      <c r="E121" t="s">
        <v>1664</v>
      </c>
      <c r="F121">
        <v>0</v>
      </c>
      <c r="H121">
        <v>0</v>
      </c>
      <c r="J121" t="s">
        <v>1664</v>
      </c>
      <c r="K121" t="s">
        <v>1664</v>
      </c>
      <c r="L121" t="s">
        <v>1664</v>
      </c>
      <c r="M121" t="s">
        <v>1664</v>
      </c>
      <c r="N121" t="s">
        <v>1664</v>
      </c>
      <c r="O121" t="s">
        <v>1664</v>
      </c>
      <c r="P121" t="s">
        <v>3646</v>
      </c>
      <c r="Q121" t="s">
        <v>3477</v>
      </c>
      <c r="R121" t="s">
        <v>1664</v>
      </c>
      <c r="S121" t="s">
        <v>1664</v>
      </c>
      <c r="T121" t="s">
        <v>1664</v>
      </c>
      <c r="U121" t="s">
        <v>1664</v>
      </c>
      <c r="V121" t="s">
        <v>1664</v>
      </c>
      <c r="W121">
        <v>0</v>
      </c>
      <c r="Y121">
        <v>0</v>
      </c>
      <c r="AA121">
        <v>1403944000</v>
      </c>
      <c r="AB121" t="s">
        <v>3795</v>
      </c>
    </row>
    <row r="122" spans="1:28">
      <c r="B122" t="s">
        <v>3796</v>
      </c>
      <c r="C122" t="s">
        <v>3797</v>
      </c>
      <c r="D122" t="s">
        <v>1664</v>
      </c>
      <c r="E122" t="s">
        <v>1664</v>
      </c>
      <c r="F122">
        <v>0</v>
      </c>
      <c r="H122">
        <v>0</v>
      </c>
      <c r="J122" t="s">
        <v>1664</v>
      </c>
      <c r="K122" t="s">
        <v>1664</v>
      </c>
      <c r="L122" t="s">
        <v>1664</v>
      </c>
      <c r="M122" t="s">
        <v>1664</v>
      </c>
      <c r="N122" t="s">
        <v>1664</v>
      </c>
      <c r="O122" t="s">
        <v>1664</v>
      </c>
      <c r="P122" t="s">
        <v>371</v>
      </c>
      <c r="Q122" t="s">
        <v>3474</v>
      </c>
      <c r="R122" t="s">
        <v>1664</v>
      </c>
      <c r="S122" t="s">
        <v>1664</v>
      </c>
      <c r="T122" t="s">
        <v>1664</v>
      </c>
      <c r="U122" t="s">
        <v>1664</v>
      </c>
      <c r="V122" t="s">
        <v>1664</v>
      </c>
      <c r="W122">
        <v>0</v>
      </c>
      <c r="Y122">
        <v>0</v>
      </c>
      <c r="AA122">
        <v>467653006260</v>
      </c>
      <c r="AB122" t="s">
        <v>3798</v>
      </c>
    </row>
    <row r="123" spans="1:28">
      <c r="B123" t="s">
        <v>2473</v>
      </c>
      <c r="C123" t="s">
        <v>2476</v>
      </c>
      <c r="D123" t="s">
        <v>1664</v>
      </c>
      <c r="E123" t="s">
        <v>1664</v>
      </c>
      <c r="F123">
        <v>0</v>
      </c>
      <c r="H123">
        <v>600000000</v>
      </c>
      <c r="J123">
        <v>-3333071000</v>
      </c>
      <c r="K123">
        <v>-373688000</v>
      </c>
      <c r="L123">
        <v>-155575000</v>
      </c>
      <c r="M123">
        <v>-112275000</v>
      </c>
      <c r="N123">
        <v>-81459000</v>
      </c>
      <c r="O123" t="s">
        <v>1664</v>
      </c>
      <c r="P123" t="s">
        <v>3490</v>
      </c>
      <c r="R123">
        <v>0</v>
      </c>
      <c r="S123">
        <v>0</v>
      </c>
      <c r="T123">
        <v>4595831879.3199997</v>
      </c>
      <c r="U123">
        <v>4595831879.3199997</v>
      </c>
      <c r="V123">
        <v>21875949182.610001</v>
      </c>
      <c r="W123">
        <v>12259774173.799999</v>
      </c>
      <c r="Y123">
        <v>0</v>
      </c>
      <c r="AA123">
        <v>705251060</v>
      </c>
      <c r="AB123" t="s">
        <v>3799</v>
      </c>
    </row>
    <row r="124" spans="1:28">
      <c r="B124" t="s">
        <v>3800</v>
      </c>
      <c r="C124" t="s">
        <v>1375</v>
      </c>
      <c r="D124">
        <v>36000000</v>
      </c>
      <c r="E124" t="s">
        <v>1664</v>
      </c>
      <c r="F124">
        <v>-20000000</v>
      </c>
      <c r="H124">
        <v>-57145000</v>
      </c>
      <c r="J124">
        <v>-55465000</v>
      </c>
      <c r="K124">
        <v>14313000</v>
      </c>
      <c r="L124">
        <v>30289000</v>
      </c>
      <c r="M124">
        <v>32545000</v>
      </c>
      <c r="N124">
        <v>33260000</v>
      </c>
      <c r="O124" t="s">
        <v>1664</v>
      </c>
      <c r="P124" t="s">
        <v>3520</v>
      </c>
      <c r="R124">
        <v>635582800</v>
      </c>
      <c r="S124">
        <v>508600592</v>
      </c>
      <c r="T124">
        <v>428729976</v>
      </c>
      <c r="U124">
        <v>407293477.19999999</v>
      </c>
      <c r="V124">
        <v>156665078.72999999</v>
      </c>
      <c r="W124">
        <v>214364988</v>
      </c>
      <c r="Y124">
        <v>251864988</v>
      </c>
      <c r="AA124">
        <v>161432900</v>
      </c>
      <c r="AB124" t="s">
        <v>3801</v>
      </c>
    </row>
    <row r="125" spans="1:28">
      <c r="B125" t="s">
        <v>3802</v>
      </c>
      <c r="C125" t="s">
        <v>3803</v>
      </c>
      <c r="D125" t="s">
        <v>1664</v>
      </c>
      <c r="E125" t="s">
        <v>1664</v>
      </c>
      <c r="F125">
        <v>0</v>
      </c>
      <c r="H125">
        <v>0</v>
      </c>
      <c r="J125" t="s">
        <v>1664</v>
      </c>
      <c r="K125" t="s">
        <v>1664</v>
      </c>
      <c r="L125" t="s">
        <v>1664</v>
      </c>
      <c r="M125" t="s">
        <v>1664</v>
      </c>
      <c r="N125" t="s">
        <v>1664</v>
      </c>
      <c r="O125" t="s">
        <v>1664</v>
      </c>
      <c r="P125" t="s">
        <v>3804</v>
      </c>
      <c r="Q125" t="s">
        <v>3477</v>
      </c>
      <c r="R125" t="s">
        <v>1664</v>
      </c>
      <c r="S125" t="s">
        <v>1664</v>
      </c>
      <c r="T125" t="s">
        <v>1664</v>
      </c>
      <c r="U125" t="s">
        <v>1664</v>
      </c>
      <c r="V125" t="s">
        <v>1664</v>
      </c>
      <c r="W125">
        <v>0</v>
      </c>
      <c r="Y125">
        <v>0</v>
      </c>
      <c r="AA125">
        <v>670574900</v>
      </c>
      <c r="AB125" t="s">
        <v>3805</v>
      </c>
    </row>
    <row r="126" spans="1:28">
      <c r="A126" t="s">
        <v>3599</v>
      </c>
      <c r="B126" t="s">
        <v>3806</v>
      </c>
      <c r="C126" t="s">
        <v>1251</v>
      </c>
      <c r="D126">
        <v>3012000000</v>
      </c>
      <c r="E126">
        <v>450000000</v>
      </c>
      <c r="F126">
        <v>-382000000</v>
      </c>
      <c r="H126">
        <v>-79000000</v>
      </c>
      <c r="J126">
        <v>-378800000</v>
      </c>
      <c r="K126">
        <v>589700000</v>
      </c>
      <c r="L126">
        <v>700800000</v>
      </c>
      <c r="M126">
        <v>0</v>
      </c>
      <c r="N126">
        <v>0</v>
      </c>
      <c r="O126">
        <v>8.8996777777777769</v>
      </c>
      <c r="P126" t="s">
        <v>3615</v>
      </c>
      <c r="Q126" t="s">
        <v>3477</v>
      </c>
      <c r="R126">
        <v>5245360438</v>
      </c>
      <c r="S126">
        <v>9386434468</v>
      </c>
      <c r="T126">
        <v>4417145632</v>
      </c>
      <c r="U126">
        <v>6487682647</v>
      </c>
      <c r="V126">
        <v>5785080419.9099998</v>
      </c>
      <c r="W126">
        <v>5774037555.8299999</v>
      </c>
      <c r="Y126">
        <v>2784872374.2000003</v>
      </c>
      <c r="AA126">
        <v>4004855000</v>
      </c>
      <c r="AB126" t="s">
        <v>3807</v>
      </c>
    </row>
    <row r="127" spans="1:28">
      <c r="B127" t="s">
        <v>3808</v>
      </c>
      <c r="C127" t="s">
        <v>3809</v>
      </c>
      <c r="D127" t="s">
        <v>1664</v>
      </c>
      <c r="E127" t="s">
        <v>1664</v>
      </c>
      <c r="F127">
        <v>0</v>
      </c>
      <c r="H127">
        <v>0</v>
      </c>
      <c r="J127" t="s">
        <v>1664</v>
      </c>
      <c r="K127" t="s">
        <v>1664</v>
      </c>
      <c r="L127" t="s">
        <v>1664</v>
      </c>
      <c r="M127" t="s">
        <v>1664</v>
      </c>
      <c r="N127" t="s">
        <v>1664</v>
      </c>
      <c r="O127" t="s">
        <v>1664</v>
      </c>
      <c r="P127" t="s">
        <v>3810</v>
      </c>
      <c r="Q127" t="s">
        <v>3487</v>
      </c>
      <c r="R127" t="s">
        <v>1664</v>
      </c>
      <c r="S127" t="s">
        <v>1664</v>
      </c>
      <c r="T127" t="s">
        <v>1664</v>
      </c>
      <c r="U127" t="s">
        <v>1664</v>
      </c>
      <c r="V127" t="s">
        <v>1664</v>
      </c>
      <c r="W127">
        <v>0</v>
      </c>
      <c r="Y127">
        <v>0</v>
      </c>
      <c r="AA127">
        <v>12675460000</v>
      </c>
      <c r="AB127" t="s">
        <v>3811</v>
      </c>
    </row>
    <row r="128" spans="1:28">
      <c r="B128" t="s">
        <v>3812</v>
      </c>
      <c r="C128" t="s">
        <v>3813</v>
      </c>
      <c r="D128" t="s">
        <v>1664</v>
      </c>
      <c r="E128" t="s">
        <v>1664</v>
      </c>
      <c r="F128">
        <v>0</v>
      </c>
      <c r="H128">
        <v>0</v>
      </c>
      <c r="J128" t="s">
        <v>1664</v>
      </c>
      <c r="K128" t="s">
        <v>1664</v>
      </c>
      <c r="L128" t="s">
        <v>1664</v>
      </c>
      <c r="M128" t="s">
        <v>1664</v>
      </c>
      <c r="N128" t="s">
        <v>1664</v>
      </c>
      <c r="O128" t="s">
        <v>1664</v>
      </c>
      <c r="P128" t="s">
        <v>3810</v>
      </c>
      <c r="Q128" t="s">
        <v>3487</v>
      </c>
      <c r="R128" t="s">
        <v>1664</v>
      </c>
      <c r="S128" t="s">
        <v>1664</v>
      </c>
      <c r="T128" t="s">
        <v>1664</v>
      </c>
      <c r="U128" t="s">
        <v>1664</v>
      </c>
      <c r="V128" t="s">
        <v>1664</v>
      </c>
      <c r="W128">
        <v>0</v>
      </c>
      <c r="Y128">
        <v>0</v>
      </c>
      <c r="AA128">
        <v>17522310000</v>
      </c>
      <c r="AB128" t="s">
        <v>3814</v>
      </c>
    </row>
    <row r="129" spans="1:28">
      <c r="B129" t="s">
        <v>3815</v>
      </c>
      <c r="C129" t="s">
        <v>3816</v>
      </c>
      <c r="D129" t="s">
        <v>1664</v>
      </c>
      <c r="E129" t="s">
        <v>1664</v>
      </c>
      <c r="F129">
        <v>0</v>
      </c>
      <c r="H129">
        <v>0</v>
      </c>
      <c r="J129" t="s">
        <v>1664</v>
      </c>
      <c r="K129" t="s">
        <v>1664</v>
      </c>
      <c r="L129" t="s">
        <v>1664</v>
      </c>
      <c r="M129" t="s">
        <v>1664</v>
      </c>
      <c r="N129" t="s">
        <v>1664</v>
      </c>
      <c r="O129" t="s">
        <v>1664</v>
      </c>
      <c r="P129" t="s">
        <v>3589</v>
      </c>
      <c r="Q129" t="s">
        <v>3482</v>
      </c>
      <c r="R129" t="s">
        <v>1664</v>
      </c>
      <c r="S129" t="s">
        <v>1664</v>
      </c>
      <c r="T129" t="s">
        <v>1664</v>
      </c>
      <c r="U129" t="s">
        <v>1664</v>
      </c>
      <c r="V129" t="s">
        <v>1664</v>
      </c>
      <c r="W129">
        <v>0</v>
      </c>
      <c r="Y129">
        <v>0</v>
      </c>
      <c r="AA129">
        <v>2206234000</v>
      </c>
      <c r="AB129" t="s">
        <v>3817</v>
      </c>
    </row>
    <row r="130" spans="1:28">
      <c r="B130" t="s">
        <v>3818</v>
      </c>
      <c r="C130" t="s">
        <v>3819</v>
      </c>
      <c r="D130" t="s">
        <v>1664</v>
      </c>
      <c r="E130" t="s">
        <v>1664</v>
      </c>
      <c r="F130">
        <v>0</v>
      </c>
      <c r="H130">
        <v>0</v>
      </c>
      <c r="J130" t="s">
        <v>1664</v>
      </c>
      <c r="K130" t="s">
        <v>1664</v>
      </c>
      <c r="L130" t="s">
        <v>1664</v>
      </c>
      <c r="M130" t="s">
        <v>1664</v>
      </c>
      <c r="N130" t="s">
        <v>1664</v>
      </c>
      <c r="O130" t="s">
        <v>1664</v>
      </c>
      <c r="P130" t="s">
        <v>3500</v>
      </c>
      <c r="Q130" t="s">
        <v>3477</v>
      </c>
      <c r="R130" t="s">
        <v>1664</v>
      </c>
      <c r="S130" t="s">
        <v>1664</v>
      </c>
      <c r="T130" t="s">
        <v>1664</v>
      </c>
      <c r="U130" t="s">
        <v>1664</v>
      </c>
      <c r="V130" t="s">
        <v>1664</v>
      </c>
      <c r="W130">
        <v>0</v>
      </c>
      <c r="Y130">
        <v>0</v>
      </c>
      <c r="AA130">
        <v>7746604000</v>
      </c>
      <c r="AB130" t="s">
        <v>3820</v>
      </c>
    </row>
    <row r="131" spans="1:28">
      <c r="A131" t="s">
        <v>3821</v>
      </c>
      <c r="B131" t="s">
        <v>3822</v>
      </c>
      <c r="C131" t="s">
        <v>1569</v>
      </c>
      <c r="D131">
        <v>3000000000</v>
      </c>
      <c r="E131">
        <v>2400000000</v>
      </c>
      <c r="F131">
        <v>1916000000</v>
      </c>
      <c r="H131">
        <v>2247000000</v>
      </c>
      <c r="J131">
        <v>13846000000</v>
      </c>
      <c r="K131">
        <v>1524000000</v>
      </c>
      <c r="L131" t="s">
        <v>1664</v>
      </c>
      <c r="M131" t="s">
        <v>1664</v>
      </c>
      <c r="N131" t="s">
        <v>1664</v>
      </c>
      <c r="O131">
        <v>12.223776624999999</v>
      </c>
      <c r="P131" t="s">
        <v>3531</v>
      </c>
      <c r="R131" t="s">
        <v>1664</v>
      </c>
      <c r="S131" t="s">
        <v>1664</v>
      </c>
      <c r="T131" t="s">
        <v>1664</v>
      </c>
      <c r="U131">
        <v>0</v>
      </c>
      <c r="V131">
        <v>0</v>
      </c>
      <c r="W131">
        <v>0</v>
      </c>
      <c r="Y131">
        <v>27282877200</v>
      </c>
      <c r="AA131">
        <v>29337063900</v>
      </c>
      <c r="AB131" t="s">
        <v>3823</v>
      </c>
    </row>
    <row r="132" spans="1:28">
      <c r="B132" t="s">
        <v>3824</v>
      </c>
      <c r="C132" t="s">
        <v>3825</v>
      </c>
      <c r="D132" t="s">
        <v>1664</v>
      </c>
      <c r="E132" t="s">
        <v>1664</v>
      </c>
      <c r="F132">
        <v>0</v>
      </c>
      <c r="H132">
        <v>0</v>
      </c>
      <c r="J132" t="s">
        <v>1664</v>
      </c>
      <c r="K132" t="s">
        <v>1664</v>
      </c>
      <c r="L132" t="s">
        <v>1664</v>
      </c>
      <c r="M132" t="s">
        <v>1664</v>
      </c>
      <c r="N132" t="s">
        <v>1664</v>
      </c>
      <c r="O132" t="s">
        <v>1664</v>
      </c>
      <c r="P132" t="s">
        <v>3615</v>
      </c>
      <c r="Q132" t="s">
        <v>3474</v>
      </c>
      <c r="R132" t="s">
        <v>1664</v>
      </c>
      <c r="S132" t="s">
        <v>1664</v>
      </c>
      <c r="T132" t="s">
        <v>1664</v>
      </c>
      <c r="U132" t="s">
        <v>1664</v>
      </c>
      <c r="V132" t="s">
        <v>1664</v>
      </c>
      <c r="W132">
        <v>0</v>
      </c>
      <c r="Y132">
        <v>0</v>
      </c>
      <c r="AA132">
        <v>45473660249</v>
      </c>
      <c r="AB132" t="s">
        <v>3826</v>
      </c>
    </row>
    <row r="133" spans="1:28">
      <c r="B133" t="s">
        <v>3827</v>
      </c>
      <c r="C133" t="s">
        <v>3828</v>
      </c>
      <c r="D133" t="s">
        <v>1664</v>
      </c>
      <c r="E133" t="s">
        <v>1664</v>
      </c>
      <c r="F133">
        <v>0</v>
      </c>
      <c r="H133">
        <v>0</v>
      </c>
      <c r="J133" t="s">
        <v>1664</v>
      </c>
      <c r="K133" t="s">
        <v>1664</v>
      </c>
      <c r="L133" t="s">
        <v>1664</v>
      </c>
      <c r="M133" t="s">
        <v>1664</v>
      </c>
      <c r="N133" t="s">
        <v>1664</v>
      </c>
      <c r="O133" t="s">
        <v>1664</v>
      </c>
      <c r="P133" t="s">
        <v>3508</v>
      </c>
      <c r="Q133" t="s">
        <v>3477</v>
      </c>
      <c r="R133" t="s">
        <v>1664</v>
      </c>
      <c r="S133" t="s">
        <v>1664</v>
      </c>
      <c r="T133" t="s">
        <v>1664</v>
      </c>
      <c r="U133" t="s">
        <v>1664</v>
      </c>
      <c r="V133" t="s">
        <v>1664</v>
      </c>
      <c r="W133">
        <v>0</v>
      </c>
      <c r="Y133">
        <v>0</v>
      </c>
      <c r="AA133">
        <v>8640500000</v>
      </c>
      <c r="AB133" t="s">
        <v>3829</v>
      </c>
    </row>
    <row r="134" spans="1:28">
      <c r="B134" t="s">
        <v>3830</v>
      </c>
      <c r="C134" t="s">
        <v>3831</v>
      </c>
      <c r="D134" t="s">
        <v>1664</v>
      </c>
      <c r="E134" t="s">
        <v>1664</v>
      </c>
      <c r="F134">
        <v>0</v>
      </c>
      <c r="H134">
        <v>0</v>
      </c>
      <c r="J134" t="s">
        <v>1664</v>
      </c>
      <c r="K134" t="s">
        <v>1664</v>
      </c>
      <c r="L134" t="s">
        <v>1664</v>
      </c>
      <c r="M134" t="s">
        <v>1664</v>
      </c>
      <c r="N134" t="s">
        <v>1664</v>
      </c>
      <c r="O134" t="s">
        <v>1664</v>
      </c>
      <c r="P134" t="s">
        <v>3473</v>
      </c>
      <c r="Q134" t="s">
        <v>3491</v>
      </c>
      <c r="R134" t="s">
        <v>1664</v>
      </c>
      <c r="S134" t="s">
        <v>1664</v>
      </c>
      <c r="T134" t="s">
        <v>1664</v>
      </c>
      <c r="U134" t="s">
        <v>1664</v>
      </c>
      <c r="V134" t="s">
        <v>1664</v>
      </c>
      <c r="W134">
        <v>0</v>
      </c>
      <c r="Y134">
        <v>0</v>
      </c>
      <c r="AA134">
        <v>94223578680</v>
      </c>
      <c r="AB134" t="s">
        <v>3832</v>
      </c>
    </row>
    <row r="135" spans="1:28">
      <c r="A135" t="s">
        <v>1181</v>
      </c>
      <c r="B135" t="s">
        <v>3833</v>
      </c>
      <c r="C135" t="s">
        <v>3012</v>
      </c>
      <c r="D135">
        <v>1476000000</v>
      </c>
      <c r="E135">
        <v>0</v>
      </c>
      <c r="F135">
        <v>856000000</v>
      </c>
      <c r="H135">
        <v>821000000</v>
      </c>
      <c r="J135">
        <v>743000000</v>
      </c>
      <c r="K135">
        <v>702000000</v>
      </c>
      <c r="L135">
        <v>663000000</v>
      </c>
      <c r="M135">
        <v>720000000</v>
      </c>
      <c r="N135" t="s">
        <v>1664</v>
      </c>
      <c r="O135" t="s">
        <v>1664</v>
      </c>
      <c r="P135" t="s">
        <v>3517</v>
      </c>
      <c r="Q135" t="s">
        <v>3469</v>
      </c>
      <c r="R135" t="s">
        <v>1664</v>
      </c>
      <c r="S135">
        <v>20794035672</v>
      </c>
      <c r="T135">
        <v>21015641736</v>
      </c>
      <c r="U135">
        <v>27986999166</v>
      </c>
      <c r="V135">
        <v>34441275780</v>
      </c>
      <c r="W135">
        <v>44247344112</v>
      </c>
      <c r="Y135">
        <v>26158749138</v>
      </c>
      <c r="AA135">
        <v>27377580000</v>
      </c>
      <c r="AB135" t="s">
        <v>3834</v>
      </c>
    </row>
    <row r="136" spans="1:28">
      <c r="B136" t="s">
        <v>1581</v>
      </c>
      <c r="C136" t="s">
        <v>1583</v>
      </c>
      <c r="D136">
        <v>1560000000</v>
      </c>
      <c r="E136">
        <v>0</v>
      </c>
      <c r="F136">
        <v>570000000</v>
      </c>
      <c r="H136">
        <v>1790000000</v>
      </c>
      <c r="J136">
        <v>0</v>
      </c>
      <c r="K136">
        <v>0</v>
      </c>
      <c r="L136">
        <v>0</v>
      </c>
      <c r="M136" t="s">
        <v>1664</v>
      </c>
      <c r="N136" t="s">
        <v>1664</v>
      </c>
      <c r="O136" t="s">
        <v>1664</v>
      </c>
      <c r="P136" t="s">
        <v>3531</v>
      </c>
      <c r="Q136">
        <v>0</v>
      </c>
      <c r="R136" t="s">
        <v>1664</v>
      </c>
      <c r="S136" t="s">
        <v>1664</v>
      </c>
      <c r="T136">
        <v>0</v>
      </c>
      <c r="U136">
        <v>0</v>
      </c>
      <c r="V136">
        <v>0</v>
      </c>
      <c r="W136">
        <v>0</v>
      </c>
      <c r="Y136">
        <v>0</v>
      </c>
      <c r="AA136">
        <v>20026120000</v>
      </c>
      <c r="AB136" t="s">
        <v>3835</v>
      </c>
    </row>
    <row r="137" spans="1:28">
      <c r="B137" t="s">
        <v>3836</v>
      </c>
      <c r="C137" t="s">
        <v>1883</v>
      </c>
      <c r="D137" t="s">
        <v>1664</v>
      </c>
      <c r="E137" t="s">
        <v>1664</v>
      </c>
      <c r="F137">
        <v>0</v>
      </c>
      <c r="H137">
        <v>0</v>
      </c>
      <c r="J137" t="s">
        <v>1664</v>
      </c>
      <c r="K137" t="s">
        <v>1664</v>
      </c>
      <c r="L137">
        <v>0</v>
      </c>
      <c r="M137" t="s">
        <v>1664</v>
      </c>
      <c r="N137" t="s">
        <v>1664</v>
      </c>
      <c r="O137" t="s">
        <v>1664</v>
      </c>
      <c r="P137" t="s">
        <v>3567</v>
      </c>
      <c r="Q137" t="s">
        <v>3464</v>
      </c>
      <c r="R137" t="s">
        <v>1664</v>
      </c>
      <c r="S137" t="s">
        <v>1664</v>
      </c>
      <c r="T137">
        <v>0</v>
      </c>
      <c r="U137" t="s">
        <v>1664</v>
      </c>
      <c r="V137" t="s">
        <v>1664</v>
      </c>
      <c r="W137">
        <v>0</v>
      </c>
      <c r="Y137">
        <v>0</v>
      </c>
      <c r="AA137">
        <v>111000300000</v>
      </c>
      <c r="AB137" t="s">
        <v>3837</v>
      </c>
    </row>
    <row r="138" spans="1:28">
      <c r="B138" t="s">
        <v>3838</v>
      </c>
      <c r="C138" t="s">
        <v>3839</v>
      </c>
      <c r="D138" t="s">
        <v>1664</v>
      </c>
      <c r="E138" t="s">
        <v>1664</v>
      </c>
      <c r="F138">
        <v>0</v>
      </c>
      <c r="H138">
        <v>0</v>
      </c>
      <c r="J138" t="s">
        <v>1664</v>
      </c>
      <c r="K138" t="s">
        <v>1664</v>
      </c>
      <c r="L138" t="s">
        <v>1664</v>
      </c>
      <c r="M138" t="s">
        <v>1664</v>
      </c>
      <c r="N138" t="s">
        <v>1664</v>
      </c>
      <c r="O138" t="s">
        <v>1664</v>
      </c>
      <c r="P138" t="s">
        <v>3840</v>
      </c>
      <c r="Q138" t="s">
        <v>3482</v>
      </c>
      <c r="R138" t="s">
        <v>1664</v>
      </c>
      <c r="S138" t="s">
        <v>1664</v>
      </c>
      <c r="T138" t="s">
        <v>1664</v>
      </c>
      <c r="U138" t="s">
        <v>1664</v>
      </c>
      <c r="V138" t="s">
        <v>1664</v>
      </c>
      <c r="W138">
        <v>0</v>
      </c>
      <c r="Y138">
        <v>0</v>
      </c>
      <c r="AA138">
        <v>10808860000</v>
      </c>
      <c r="AB138" t="s">
        <v>3841</v>
      </c>
    </row>
    <row r="139" spans="1:28">
      <c r="A139" t="s">
        <v>3493</v>
      </c>
      <c r="B139" t="s">
        <v>3842</v>
      </c>
      <c r="C139" t="s">
        <v>2311</v>
      </c>
      <c r="D139">
        <v>161124000</v>
      </c>
      <c r="E139">
        <v>185000000</v>
      </c>
      <c r="F139">
        <v>128291000</v>
      </c>
      <c r="H139">
        <v>134101000</v>
      </c>
      <c r="J139">
        <v>198862000</v>
      </c>
      <c r="K139">
        <v>143353000</v>
      </c>
      <c r="L139">
        <v>142800000</v>
      </c>
      <c r="M139">
        <v>116245000</v>
      </c>
      <c r="N139">
        <v>119868000</v>
      </c>
      <c r="O139">
        <v>23.549767567567567</v>
      </c>
      <c r="P139" t="s">
        <v>3843</v>
      </c>
      <c r="Q139" t="s">
        <v>3477</v>
      </c>
      <c r="R139">
        <v>1464224317.9300001</v>
      </c>
      <c r="S139">
        <v>1905827549.8</v>
      </c>
      <c r="T139">
        <v>2523182193.8499999</v>
      </c>
      <c r="U139">
        <v>3303681608.6999998</v>
      </c>
      <c r="V139">
        <v>2936605874.4000001</v>
      </c>
      <c r="W139">
        <v>3049694863.25</v>
      </c>
      <c r="Y139">
        <v>3700420028.5999999</v>
      </c>
      <c r="AA139">
        <v>4356707000</v>
      </c>
      <c r="AB139" t="s">
        <v>3844</v>
      </c>
    </row>
    <row r="140" spans="1:28">
      <c r="A140" t="s">
        <v>106</v>
      </c>
      <c r="B140" t="s">
        <v>1459</v>
      </c>
      <c r="C140" t="s">
        <v>1462</v>
      </c>
      <c r="D140">
        <v>103100000</v>
      </c>
      <c r="E140">
        <v>5000000</v>
      </c>
      <c r="F140">
        <v>-41100000</v>
      </c>
      <c r="H140">
        <v>32600000</v>
      </c>
      <c r="J140">
        <v>17700000</v>
      </c>
      <c r="K140">
        <v>37300000</v>
      </c>
      <c r="L140">
        <v>46800000</v>
      </c>
      <c r="M140">
        <v>46200000</v>
      </c>
      <c r="N140">
        <v>28900000</v>
      </c>
      <c r="O140">
        <v>51.575760000000002</v>
      </c>
      <c r="P140" t="s">
        <v>3531</v>
      </c>
      <c r="Q140" t="s">
        <v>3845</v>
      </c>
      <c r="R140">
        <v>889956726.12</v>
      </c>
      <c r="S140">
        <v>915617531.03999996</v>
      </c>
      <c r="T140">
        <v>729713138</v>
      </c>
      <c r="U140">
        <v>566156745</v>
      </c>
      <c r="V140">
        <v>413997840.90000004</v>
      </c>
      <c r="W140">
        <v>467706455</v>
      </c>
      <c r="Y140">
        <v>214393310.40000001</v>
      </c>
      <c r="AA140">
        <v>257878800</v>
      </c>
      <c r="AB140" t="s">
        <v>3846</v>
      </c>
    </row>
    <row r="141" spans="1:28">
      <c r="B141" t="s">
        <v>3847</v>
      </c>
      <c r="C141" t="s">
        <v>3848</v>
      </c>
      <c r="D141" t="s">
        <v>1664</v>
      </c>
      <c r="E141" t="s">
        <v>1664</v>
      </c>
      <c r="F141">
        <v>0</v>
      </c>
      <c r="H141">
        <v>0</v>
      </c>
      <c r="J141" t="s">
        <v>1664</v>
      </c>
      <c r="K141" t="s">
        <v>1664</v>
      </c>
      <c r="L141" t="s">
        <v>1664</v>
      </c>
      <c r="M141" t="s">
        <v>1664</v>
      </c>
      <c r="N141" t="s">
        <v>1664</v>
      </c>
      <c r="O141" t="s">
        <v>1664</v>
      </c>
      <c r="P141" t="s">
        <v>3504</v>
      </c>
      <c r="Q141" t="s">
        <v>3487</v>
      </c>
      <c r="R141" t="s">
        <v>1664</v>
      </c>
      <c r="S141" t="s">
        <v>1664</v>
      </c>
      <c r="T141" t="s">
        <v>1664</v>
      </c>
      <c r="U141" t="s">
        <v>1664</v>
      </c>
      <c r="V141" t="s">
        <v>1664</v>
      </c>
      <c r="W141">
        <v>0</v>
      </c>
      <c r="Y141">
        <v>0</v>
      </c>
      <c r="AA141">
        <v>25554530000</v>
      </c>
      <c r="AB141" t="s">
        <v>3849</v>
      </c>
    </row>
    <row r="142" spans="1:28">
      <c r="B142" t="s">
        <v>3850</v>
      </c>
      <c r="C142" t="s">
        <v>1817</v>
      </c>
      <c r="D142">
        <v>10000000</v>
      </c>
      <c r="E142" t="s">
        <v>1664</v>
      </c>
      <c r="F142">
        <v>0</v>
      </c>
      <c r="H142">
        <v>8138000</v>
      </c>
      <c r="J142">
        <v>-26017000</v>
      </c>
      <c r="K142">
        <v>19500000</v>
      </c>
      <c r="L142">
        <v>23873000</v>
      </c>
      <c r="M142">
        <v>17688000</v>
      </c>
      <c r="N142">
        <v>23255000</v>
      </c>
      <c r="O142" t="s">
        <v>1664</v>
      </c>
      <c r="P142" t="s">
        <v>3468</v>
      </c>
      <c r="Q142" t="s">
        <v>3845</v>
      </c>
      <c r="R142">
        <v>441080112.44</v>
      </c>
      <c r="S142">
        <v>533311658</v>
      </c>
      <c r="T142">
        <v>282341466</v>
      </c>
      <c r="U142">
        <v>151836980.68000001</v>
      </c>
      <c r="V142">
        <v>190423633.18000001</v>
      </c>
      <c r="W142">
        <v>150582115.19999999</v>
      </c>
      <c r="Y142">
        <v>108701464.41</v>
      </c>
      <c r="AA142">
        <v>94741250</v>
      </c>
      <c r="AB142" t="s">
        <v>3851</v>
      </c>
    </row>
    <row r="143" spans="1:28">
      <c r="B143" t="s">
        <v>3852</v>
      </c>
      <c r="C143" t="s">
        <v>3853</v>
      </c>
      <c r="D143" t="s">
        <v>1664</v>
      </c>
      <c r="E143" t="s">
        <v>1664</v>
      </c>
      <c r="F143">
        <v>0</v>
      </c>
      <c r="H143">
        <v>0</v>
      </c>
      <c r="J143" t="s">
        <v>1664</v>
      </c>
      <c r="K143" t="s">
        <v>1664</v>
      </c>
      <c r="L143" t="s">
        <v>1664</v>
      </c>
      <c r="M143" t="s">
        <v>1664</v>
      </c>
      <c r="N143" t="s">
        <v>1664</v>
      </c>
      <c r="O143" t="s">
        <v>1664</v>
      </c>
      <c r="P143" t="s">
        <v>3854</v>
      </c>
      <c r="Q143" t="s">
        <v>3487</v>
      </c>
      <c r="R143" t="s">
        <v>1664</v>
      </c>
      <c r="S143" t="s">
        <v>1664</v>
      </c>
      <c r="T143" t="s">
        <v>1664</v>
      </c>
      <c r="U143" t="s">
        <v>1664</v>
      </c>
      <c r="V143" t="s">
        <v>1664</v>
      </c>
      <c r="W143">
        <v>0</v>
      </c>
      <c r="Y143">
        <v>0</v>
      </c>
      <c r="AA143">
        <v>13528250000</v>
      </c>
      <c r="AB143" t="s">
        <v>3855</v>
      </c>
    </row>
    <row r="144" spans="1:28">
      <c r="B144" t="s">
        <v>3856</v>
      </c>
      <c r="C144" t="s">
        <v>3857</v>
      </c>
      <c r="D144" t="s">
        <v>1664</v>
      </c>
      <c r="E144" t="s">
        <v>1664</v>
      </c>
      <c r="F144">
        <v>0</v>
      </c>
      <c r="H144">
        <v>0</v>
      </c>
      <c r="J144" t="s">
        <v>1664</v>
      </c>
      <c r="K144" t="s">
        <v>1664</v>
      </c>
      <c r="L144" t="s">
        <v>1664</v>
      </c>
      <c r="M144" t="s">
        <v>1664</v>
      </c>
      <c r="N144" t="s">
        <v>1664</v>
      </c>
      <c r="O144" t="s">
        <v>1664</v>
      </c>
      <c r="P144" t="s">
        <v>3571</v>
      </c>
      <c r="Q144" t="s">
        <v>3496</v>
      </c>
      <c r="R144" t="s">
        <v>1664</v>
      </c>
      <c r="S144" t="s">
        <v>1664</v>
      </c>
      <c r="T144" t="s">
        <v>1664</v>
      </c>
      <c r="U144" t="s">
        <v>1664</v>
      </c>
      <c r="V144" t="s">
        <v>1664</v>
      </c>
      <c r="W144">
        <v>0</v>
      </c>
      <c r="Y144">
        <v>0</v>
      </c>
      <c r="AA144">
        <v>50261990000</v>
      </c>
      <c r="AB144" t="s">
        <v>3858</v>
      </c>
    </row>
    <row r="145" spans="1:28">
      <c r="B145" t="s">
        <v>3859</v>
      </c>
      <c r="C145" t="s">
        <v>3860</v>
      </c>
      <c r="D145" t="s">
        <v>1664</v>
      </c>
      <c r="E145" t="s">
        <v>1664</v>
      </c>
      <c r="F145">
        <v>0</v>
      </c>
      <c r="H145">
        <v>0</v>
      </c>
      <c r="J145" t="s">
        <v>1664</v>
      </c>
      <c r="K145" t="s">
        <v>1664</v>
      </c>
      <c r="L145" t="s">
        <v>1664</v>
      </c>
      <c r="M145" t="s">
        <v>1664</v>
      </c>
      <c r="N145" t="s">
        <v>1664</v>
      </c>
      <c r="O145" t="s">
        <v>1664</v>
      </c>
      <c r="P145" t="s">
        <v>3655</v>
      </c>
      <c r="Q145" t="s">
        <v>3487</v>
      </c>
      <c r="R145" t="s">
        <v>1664</v>
      </c>
      <c r="S145" t="s">
        <v>1664</v>
      </c>
      <c r="T145" t="s">
        <v>1664</v>
      </c>
      <c r="U145" t="s">
        <v>1664</v>
      </c>
      <c r="V145" t="s">
        <v>1664</v>
      </c>
      <c r="W145">
        <v>0</v>
      </c>
      <c r="Y145">
        <v>0</v>
      </c>
      <c r="AA145">
        <v>5568966000</v>
      </c>
      <c r="AB145" t="s">
        <v>3861</v>
      </c>
    </row>
    <row r="146" spans="1:28">
      <c r="B146" t="s">
        <v>3862</v>
      </c>
      <c r="C146" t="s">
        <v>3863</v>
      </c>
      <c r="D146" t="s">
        <v>1664</v>
      </c>
      <c r="E146" t="s">
        <v>1664</v>
      </c>
      <c r="F146">
        <v>0</v>
      </c>
      <c r="H146">
        <v>0</v>
      </c>
      <c r="J146" t="s">
        <v>1664</v>
      </c>
      <c r="K146" t="s">
        <v>1664</v>
      </c>
      <c r="L146" t="s">
        <v>1664</v>
      </c>
      <c r="M146" t="s">
        <v>1664</v>
      </c>
      <c r="N146" t="s">
        <v>1664</v>
      </c>
      <c r="O146" t="s">
        <v>1664</v>
      </c>
      <c r="P146" t="s">
        <v>3517</v>
      </c>
      <c r="Q146" t="s">
        <v>3487</v>
      </c>
      <c r="R146" t="s">
        <v>1664</v>
      </c>
      <c r="S146" t="s">
        <v>1664</v>
      </c>
      <c r="T146" t="s">
        <v>1664</v>
      </c>
      <c r="U146" t="s">
        <v>1664</v>
      </c>
      <c r="V146" t="s">
        <v>1664</v>
      </c>
      <c r="W146">
        <v>0</v>
      </c>
      <c r="Y146">
        <v>0</v>
      </c>
      <c r="AA146">
        <v>27922090000</v>
      </c>
      <c r="AB146" t="s">
        <v>3864</v>
      </c>
    </row>
    <row r="147" spans="1:28">
      <c r="A147" t="s">
        <v>3865</v>
      </c>
      <c r="B147" t="s">
        <v>3866</v>
      </c>
      <c r="C147" t="s">
        <v>2142</v>
      </c>
      <c r="D147">
        <v>0</v>
      </c>
      <c r="E147">
        <v>0</v>
      </c>
      <c r="F147">
        <v>3400000000</v>
      </c>
      <c r="G147">
        <v>3400000000</v>
      </c>
      <c r="H147">
        <v>3000000000</v>
      </c>
      <c r="J147">
        <v>1528200000</v>
      </c>
      <c r="K147">
        <v>1528200000</v>
      </c>
      <c r="L147">
        <v>1405500000</v>
      </c>
      <c r="M147">
        <v>0</v>
      </c>
      <c r="N147">
        <v>0</v>
      </c>
      <c r="O147" t="s">
        <v>1664</v>
      </c>
      <c r="P147" t="s">
        <v>3486</v>
      </c>
      <c r="Q147" t="s">
        <v>3518</v>
      </c>
      <c r="R147">
        <v>41235412327.200005</v>
      </c>
      <c r="S147">
        <v>46978388340</v>
      </c>
      <c r="T147">
        <v>49765420816.799995</v>
      </c>
      <c r="U147">
        <v>71491605806.400009</v>
      </c>
      <c r="V147">
        <v>92858854795.199997</v>
      </c>
      <c r="W147">
        <v>162154616832</v>
      </c>
      <c r="Y147">
        <v>182624862000</v>
      </c>
      <c r="Z147">
        <v>182624862000</v>
      </c>
      <c r="AA147">
        <v>198090400000</v>
      </c>
      <c r="AB147" t="s">
        <v>3867</v>
      </c>
    </row>
    <row r="148" spans="1:28">
      <c r="B148" t="s">
        <v>3868</v>
      </c>
      <c r="C148" t="s">
        <v>3869</v>
      </c>
      <c r="D148" t="s">
        <v>1664</v>
      </c>
      <c r="E148" t="s">
        <v>1664</v>
      </c>
      <c r="F148">
        <v>0</v>
      </c>
      <c r="H148">
        <v>0</v>
      </c>
      <c r="J148" t="s">
        <v>1664</v>
      </c>
      <c r="K148" t="s">
        <v>1664</v>
      </c>
      <c r="L148" t="s">
        <v>1664</v>
      </c>
      <c r="M148" t="s">
        <v>1664</v>
      </c>
      <c r="N148" t="s">
        <v>1664</v>
      </c>
      <c r="O148" t="s">
        <v>1664</v>
      </c>
      <c r="P148" t="s">
        <v>3500</v>
      </c>
      <c r="Q148" t="s">
        <v>3477</v>
      </c>
      <c r="R148" t="s">
        <v>1664</v>
      </c>
      <c r="S148" t="s">
        <v>1664</v>
      </c>
      <c r="T148" t="s">
        <v>1664</v>
      </c>
      <c r="U148" t="s">
        <v>1664</v>
      </c>
      <c r="V148" t="s">
        <v>1664</v>
      </c>
      <c r="W148">
        <v>0</v>
      </c>
      <c r="Y148">
        <v>0</v>
      </c>
      <c r="AA148">
        <v>2524888000</v>
      </c>
      <c r="AB148" t="s">
        <v>3870</v>
      </c>
    </row>
    <row r="149" spans="1:28">
      <c r="B149" t="s">
        <v>3871</v>
      </c>
      <c r="C149" t="s">
        <v>3872</v>
      </c>
      <c r="D149" t="s">
        <v>1664</v>
      </c>
      <c r="E149" t="s">
        <v>1664</v>
      </c>
      <c r="F149">
        <v>0</v>
      </c>
      <c r="H149">
        <v>0</v>
      </c>
      <c r="N149" t="s">
        <v>1664</v>
      </c>
      <c r="O149" t="s">
        <v>1664</v>
      </c>
      <c r="P149" t="s">
        <v>3567</v>
      </c>
      <c r="R149" t="s">
        <v>1664</v>
      </c>
      <c r="S149" t="s">
        <v>1664</v>
      </c>
      <c r="T149" t="s">
        <v>1664</v>
      </c>
      <c r="U149" t="s">
        <v>1664</v>
      </c>
      <c r="V149" t="s">
        <v>1664</v>
      </c>
      <c r="W149">
        <v>0</v>
      </c>
      <c r="Y149">
        <v>0</v>
      </c>
      <c r="AA149">
        <v>3955242000</v>
      </c>
      <c r="AB149" t="s">
        <v>3873</v>
      </c>
    </row>
    <row r="150" spans="1:28">
      <c r="B150" t="s">
        <v>3136</v>
      </c>
      <c r="C150" t="s">
        <v>3139</v>
      </c>
      <c r="D150">
        <v>372800000</v>
      </c>
      <c r="E150">
        <v>0</v>
      </c>
      <c r="F150">
        <v>41700000</v>
      </c>
      <c r="H150">
        <v>35700000</v>
      </c>
      <c r="J150">
        <v>28200000</v>
      </c>
      <c r="K150">
        <v>0</v>
      </c>
      <c r="L150">
        <v>0</v>
      </c>
      <c r="M150" t="s">
        <v>1664</v>
      </c>
      <c r="N150" t="s">
        <v>1664</v>
      </c>
      <c r="O150" t="s">
        <v>1664</v>
      </c>
      <c r="P150" t="s">
        <v>3534</v>
      </c>
      <c r="Q150">
        <v>0</v>
      </c>
      <c r="R150" t="s">
        <v>1664</v>
      </c>
      <c r="S150" t="s">
        <v>1664</v>
      </c>
      <c r="T150">
        <v>0</v>
      </c>
      <c r="U150">
        <v>0</v>
      </c>
      <c r="V150">
        <v>0</v>
      </c>
      <c r="W150">
        <v>0</v>
      </c>
      <c r="Y150">
        <v>0</v>
      </c>
      <c r="AA150">
        <v>1564939000</v>
      </c>
      <c r="AB150" t="s">
        <v>3874</v>
      </c>
    </row>
    <row r="151" spans="1:28">
      <c r="B151" t="s">
        <v>3875</v>
      </c>
      <c r="C151" t="s">
        <v>3876</v>
      </c>
      <c r="D151" t="s">
        <v>1664</v>
      </c>
      <c r="E151" t="s">
        <v>1664</v>
      </c>
      <c r="F151">
        <v>0</v>
      </c>
      <c r="H151">
        <v>0</v>
      </c>
      <c r="J151" t="s">
        <v>1664</v>
      </c>
      <c r="K151" t="s">
        <v>1664</v>
      </c>
      <c r="L151" t="s">
        <v>1664</v>
      </c>
      <c r="M151" t="s">
        <v>1664</v>
      </c>
      <c r="N151" t="s">
        <v>1664</v>
      </c>
      <c r="O151" t="s">
        <v>1664</v>
      </c>
      <c r="P151" t="s">
        <v>3517</v>
      </c>
      <c r="Q151" t="s">
        <v>3496</v>
      </c>
      <c r="R151" t="s">
        <v>1664</v>
      </c>
      <c r="S151" t="s">
        <v>1664</v>
      </c>
      <c r="T151" t="s">
        <v>1664</v>
      </c>
      <c r="U151" t="s">
        <v>1664</v>
      </c>
      <c r="V151" t="s">
        <v>1664</v>
      </c>
      <c r="W151">
        <v>0</v>
      </c>
      <c r="Y151">
        <v>0</v>
      </c>
      <c r="AA151">
        <v>6884133000</v>
      </c>
      <c r="AB151" t="s">
        <v>3877</v>
      </c>
    </row>
    <row r="152" spans="1:28">
      <c r="A152" t="s">
        <v>3878</v>
      </c>
      <c r="B152" t="s">
        <v>2035</v>
      </c>
      <c r="C152" t="s">
        <v>2039</v>
      </c>
      <c r="D152">
        <v>720000000</v>
      </c>
      <c r="E152">
        <v>250000000</v>
      </c>
      <c r="F152">
        <v>237000000</v>
      </c>
      <c r="H152">
        <v>240000000</v>
      </c>
      <c r="J152">
        <v>30000000</v>
      </c>
      <c r="K152">
        <v>121200000</v>
      </c>
      <c r="L152">
        <v>0</v>
      </c>
      <c r="M152">
        <v>368200000</v>
      </c>
      <c r="N152">
        <v>292800000</v>
      </c>
      <c r="O152">
        <v>10.09778</v>
      </c>
      <c r="P152" t="s">
        <v>3578</v>
      </c>
      <c r="Q152" t="s">
        <v>3477</v>
      </c>
      <c r="R152">
        <v>5736843715.3999996</v>
      </c>
      <c r="S152">
        <v>6248936372.5</v>
      </c>
      <c r="T152">
        <v>3338399148</v>
      </c>
      <c r="U152">
        <v>2992397201.48</v>
      </c>
      <c r="V152">
        <v>3283817320.2999997</v>
      </c>
      <c r="W152">
        <v>3103742495.6999998</v>
      </c>
      <c r="Y152">
        <v>3086754304.7000003</v>
      </c>
      <c r="AA152">
        <v>2524445000</v>
      </c>
      <c r="AB152" t="s">
        <v>3879</v>
      </c>
    </row>
    <row r="153" spans="1:28">
      <c r="B153" t="s">
        <v>3880</v>
      </c>
      <c r="C153" t="s">
        <v>2717</v>
      </c>
      <c r="D153" t="s">
        <v>1664</v>
      </c>
      <c r="E153" t="s">
        <v>1664</v>
      </c>
      <c r="F153">
        <v>0</v>
      </c>
      <c r="H153">
        <v>0</v>
      </c>
      <c r="J153" t="s">
        <v>1664</v>
      </c>
      <c r="K153" t="s">
        <v>1664</v>
      </c>
      <c r="L153" t="s">
        <v>1664</v>
      </c>
      <c r="M153" t="s">
        <v>1664</v>
      </c>
      <c r="N153" t="s">
        <v>1664</v>
      </c>
      <c r="O153" t="s">
        <v>1664</v>
      </c>
      <c r="P153" t="s">
        <v>3594</v>
      </c>
      <c r="Q153" t="s">
        <v>3487</v>
      </c>
      <c r="R153" t="s">
        <v>1664</v>
      </c>
      <c r="S153" t="s">
        <v>1664</v>
      </c>
      <c r="T153" t="s">
        <v>1664</v>
      </c>
      <c r="U153" t="s">
        <v>1664</v>
      </c>
      <c r="V153" t="s">
        <v>1664</v>
      </c>
      <c r="W153">
        <v>0</v>
      </c>
      <c r="Y153">
        <v>0</v>
      </c>
      <c r="AA153">
        <v>41169160000</v>
      </c>
      <c r="AB153" t="s">
        <v>3881</v>
      </c>
    </row>
    <row r="154" spans="1:28">
      <c r="B154" t="s">
        <v>3882</v>
      </c>
      <c r="C154" t="s">
        <v>3883</v>
      </c>
      <c r="D154" t="s">
        <v>1664</v>
      </c>
      <c r="E154" t="s">
        <v>1664</v>
      </c>
      <c r="F154">
        <v>0</v>
      </c>
      <c r="H154">
        <v>0</v>
      </c>
      <c r="J154" t="s">
        <v>1664</v>
      </c>
      <c r="K154" t="s">
        <v>1664</v>
      </c>
      <c r="L154" t="s">
        <v>1664</v>
      </c>
      <c r="M154" t="s">
        <v>1664</v>
      </c>
      <c r="N154" t="s">
        <v>1664</v>
      </c>
      <c r="O154" t="s">
        <v>1664</v>
      </c>
      <c r="P154" t="s">
        <v>3563</v>
      </c>
      <c r="Q154" t="s">
        <v>3496</v>
      </c>
      <c r="R154" t="s">
        <v>1664</v>
      </c>
      <c r="S154" t="s">
        <v>1664</v>
      </c>
      <c r="T154" t="s">
        <v>1664</v>
      </c>
      <c r="U154" t="s">
        <v>1664</v>
      </c>
      <c r="V154" t="s">
        <v>1664</v>
      </c>
      <c r="W154">
        <v>0</v>
      </c>
      <c r="Y154">
        <v>0</v>
      </c>
      <c r="AA154">
        <v>47473520000</v>
      </c>
      <c r="AB154" t="s">
        <v>3884</v>
      </c>
    </row>
    <row r="155" spans="1:28">
      <c r="B155" t="s">
        <v>3885</v>
      </c>
      <c r="C155" t="s">
        <v>3886</v>
      </c>
      <c r="D155" t="s">
        <v>1664</v>
      </c>
      <c r="E155" t="s">
        <v>1664</v>
      </c>
      <c r="F155">
        <v>0</v>
      </c>
      <c r="H155">
        <v>0</v>
      </c>
      <c r="J155" t="s">
        <v>1664</v>
      </c>
      <c r="K155" t="s">
        <v>1664</v>
      </c>
      <c r="L155" t="s">
        <v>1664</v>
      </c>
      <c r="M155" t="s">
        <v>1664</v>
      </c>
      <c r="N155" t="s">
        <v>1664</v>
      </c>
      <c r="O155" t="s">
        <v>1664</v>
      </c>
      <c r="P155" t="s">
        <v>3594</v>
      </c>
      <c r="Q155" t="s">
        <v>3491</v>
      </c>
      <c r="R155" t="s">
        <v>1664</v>
      </c>
      <c r="S155" t="s">
        <v>1664</v>
      </c>
      <c r="T155" t="s">
        <v>1664</v>
      </c>
      <c r="U155" t="s">
        <v>1664</v>
      </c>
      <c r="V155" t="s">
        <v>1664</v>
      </c>
      <c r="W155">
        <v>0</v>
      </c>
      <c r="Y155">
        <v>0</v>
      </c>
      <c r="AA155">
        <v>146265900000</v>
      </c>
      <c r="AB155" t="s">
        <v>3887</v>
      </c>
    </row>
    <row r="156" spans="1:28">
      <c r="B156" t="s">
        <v>3888</v>
      </c>
      <c r="C156" t="s">
        <v>3889</v>
      </c>
      <c r="D156" t="s">
        <v>1664</v>
      </c>
      <c r="E156" t="s">
        <v>1664</v>
      </c>
      <c r="F156">
        <v>0</v>
      </c>
      <c r="H156">
        <v>0</v>
      </c>
      <c r="J156" t="s">
        <v>1664</v>
      </c>
      <c r="K156" t="s">
        <v>1664</v>
      </c>
      <c r="L156" t="s">
        <v>1664</v>
      </c>
      <c r="M156" t="s">
        <v>1664</v>
      </c>
      <c r="N156" t="s">
        <v>1664</v>
      </c>
      <c r="O156" t="s">
        <v>1664</v>
      </c>
      <c r="P156" t="s">
        <v>3490</v>
      </c>
      <c r="Q156" t="s">
        <v>3464</v>
      </c>
      <c r="R156" t="s">
        <v>1664</v>
      </c>
      <c r="S156" t="s">
        <v>1664</v>
      </c>
      <c r="T156" t="s">
        <v>1664</v>
      </c>
      <c r="U156" t="s">
        <v>1664</v>
      </c>
      <c r="V156" t="s">
        <v>1664</v>
      </c>
      <c r="W156">
        <v>0</v>
      </c>
      <c r="Y156">
        <v>0</v>
      </c>
      <c r="AA156">
        <v>135475732002</v>
      </c>
      <c r="AB156" t="s">
        <v>3890</v>
      </c>
    </row>
    <row r="157" spans="1:28">
      <c r="B157" t="s">
        <v>3891</v>
      </c>
      <c r="C157" t="s">
        <v>2995</v>
      </c>
      <c r="D157">
        <v>159008000</v>
      </c>
      <c r="E157">
        <v>0</v>
      </c>
      <c r="F157">
        <v>99500000</v>
      </c>
      <c r="H157">
        <v>71100000</v>
      </c>
      <c r="J157">
        <v>30700000</v>
      </c>
      <c r="K157">
        <v>50600000</v>
      </c>
      <c r="L157">
        <v>47200000</v>
      </c>
      <c r="M157">
        <v>0</v>
      </c>
      <c r="N157" t="s">
        <v>1664</v>
      </c>
      <c r="O157" t="s">
        <v>1664</v>
      </c>
      <c r="P157" t="s">
        <v>3892</v>
      </c>
      <c r="Q157" t="s">
        <v>3477</v>
      </c>
      <c r="R157" t="s">
        <v>1664</v>
      </c>
      <c r="S157">
        <v>0</v>
      </c>
      <c r="T157">
        <v>990357725.39999998</v>
      </c>
      <c r="U157">
        <v>1309162663</v>
      </c>
      <c r="V157">
        <v>1845588519.5</v>
      </c>
      <c r="W157">
        <v>3821251978.1799998</v>
      </c>
      <c r="Y157">
        <v>0</v>
      </c>
      <c r="AA157">
        <v>3750454000</v>
      </c>
      <c r="AB157" t="s">
        <v>3893</v>
      </c>
    </row>
    <row r="158" spans="1:28">
      <c r="B158" t="s">
        <v>1036</v>
      </c>
      <c r="C158" t="s">
        <v>1039</v>
      </c>
      <c r="D158" t="s">
        <v>1664</v>
      </c>
      <c r="E158" t="s">
        <v>1664</v>
      </c>
      <c r="F158">
        <v>0</v>
      </c>
      <c r="H158">
        <v>0</v>
      </c>
      <c r="J158" t="s">
        <v>1664</v>
      </c>
      <c r="K158" t="s">
        <v>1664</v>
      </c>
      <c r="L158" t="s">
        <v>1664</v>
      </c>
      <c r="M158" t="s">
        <v>1664</v>
      </c>
      <c r="N158">
        <v>854200000</v>
      </c>
      <c r="O158" t="s">
        <v>1664</v>
      </c>
      <c r="P158" t="s">
        <v>3567</v>
      </c>
      <c r="R158">
        <v>7227527286</v>
      </c>
      <c r="S158" t="s">
        <v>1664</v>
      </c>
      <c r="T158" t="s">
        <v>1664</v>
      </c>
      <c r="U158" t="s">
        <v>1664</v>
      </c>
      <c r="V158" t="s">
        <v>1664</v>
      </c>
      <c r="W158">
        <v>9545477804</v>
      </c>
      <c r="Y158">
        <v>0</v>
      </c>
      <c r="AA158">
        <v>6630610990</v>
      </c>
      <c r="AB158" t="s">
        <v>3894</v>
      </c>
    </row>
    <row r="159" spans="1:28">
      <c r="B159" t="s">
        <v>1627</v>
      </c>
      <c r="C159" t="s">
        <v>1629</v>
      </c>
      <c r="D159">
        <v>0</v>
      </c>
      <c r="E159">
        <v>0</v>
      </c>
      <c r="F159">
        <v>0</v>
      </c>
      <c r="H159">
        <v>0</v>
      </c>
      <c r="J159">
        <v>548900000</v>
      </c>
      <c r="K159">
        <v>-50200000</v>
      </c>
      <c r="L159">
        <v>389100000</v>
      </c>
      <c r="M159">
        <v>272900000</v>
      </c>
      <c r="N159">
        <v>226600000</v>
      </c>
      <c r="O159" t="s">
        <v>1664</v>
      </c>
      <c r="P159" t="s">
        <v>3473</v>
      </c>
      <c r="Q159" t="s">
        <v>3477</v>
      </c>
      <c r="R159">
        <v>5728720150.8000002</v>
      </c>
      <c r="S159">
        <v>8339662081.1999998</v>
      </c>
      <c r="T159">
        <v>9151916701.2000008</v>
      </c>
      <c r="U159">
        <v>6621347554</v>
      </c>
      <c r="V159">
        <v>5699387768</v>
      </c>
      <c r="W159">
        <v>0</v>
      </c>
      <c r="Y159">
        <v>0</v>
      </c>
      <c r="AA159">
        <v>10569010000</v>
      </c>
      <c r="AB159" t="s">
        <v>3895</v>
      </c>
    </row>
    <row r="160" spans="1:28">
      <c r="B160" t="s">
        <v>3896</v>
      </c>
      <c r="C160" t="s">
        <v>3897</v>
      </c>
      <c r="D160" t="s">
        <v>1664</v>
      </c>
      <c r="E160" t="s">
        <v>1664</v>
      </c>
      <c r="F160">
        <v>0</v>
      </c>
      <c r="H160">
        <v>0</v>
      </c>
      <c r="J160" t="s">
        <v>1664</v>
      </c>
      <c r="K160" t="s">
        <v>1664</v>
      </c>
      <c r="L160" t="s">
        <v>1664</v>
      </c>
      <c r="M160" t="s">
        <v>1664</v>
      </c>
      <c r="N160" t="s">
        <v>1664</v>
      </c>
      <c r="O160" t="s">
        <v>1664</v>
      </c>
      <c r="P160" t="s">
        <v>3620</v>
      </c>
      <c r="Q160" t="s">
        <v>3477</v>
      </c>
      <c r="R160" t="s">
        <v>1664</v>
      </c>
      <c r="S160" t="s">
        <v>1664</v>
      </c>
      <c r="T160" t="s">
        <v>1664</v>
      </c>
      <c r="U160" t="s">
        <v>1664</v>
      </c>
      <c r="V160" t="s">
        <v>1664</v>
      </c>
      <c r="W160">
        <v>0</v>
      </c>
      <c r="Y160">
        <v>0</v>
      </c>
      <c r="AA160">
        <v>2011752000</v>
      </c>
      <c r="AB160" t="s">
        <v>3898</v>
      </c>
    </row>
    <row r="161" spans="1:28">
      <c r="B161" t="s">
        <v>3899</v>
      </c>
      <c r="C161" t="s">
        <v>3900</v>
      </c>
      <c r="D161" t="s">
        <v>1664</v>
      </c>
      <c r="E161" t="s">
        <v>1664</v>
      </c>
      <c r="F161">
        <v>0</v>
      </c>
      <c r="H161">
        <v>0</v>
      </c>
      <c r="J161" t="s">
        <v>1664</v>
      </c>
      <c r="K161" t="s">
        <v>1664</v>
      </c>
      <c r="L161" t="s">
        <v>1664</v>
      </c>
      <c r="M161" t="s">
        <v>1664</v>
      </c>
      <c r="N161" t="s">
        <v>1664</v>
      </c>
      <c r="O161" t="s">
        <v>1664</v>
      </c>
      <c r="P161" t="s">
        <v>3620</v>
      </c>
      <c r="Q161" t="s">
        <v>3477</v>
      </c>
      <c r="R161" t="s">
        <v>1664</v>
      </c>
      <c r="S161" t="s">
        <v>1664</v>
      </c>
      <c r="T161" t="s">
        <v>1664</v>
      </c>
      <c r="U161" t="s">
        <v>1664</v>
      </c>
      <c r="V161" t="s">
        <v>1664</v>
      </c>
      <c r="W161">
        <v>0</v>
      </c>
      <c r="Y161">
        <v>0</v>
      </c>
      <c r="AA161">
        <v>3517167000</v>
      </c>
      <c r="AB161" t="s">
        <v>3901</v>
      </c>
    </row>
    <row r="162" spans="1:28">
      <c r="B162" t="s">
        <v>3902</v>
      </c>
      <c r="C162" t="s">
        <v>3903</v>
      </c>
      <c r="D162" t="s">
        <v>1664</v>
      </c>
      <c r="E162" t="s">
        <v>1664</v>
      </c>
      <c r="F162">
        <v>0</v>
      </c>
      <c r="H162">
        <v>0</v>
      </c>
      <c r="J162" t="s">
        <v>1664</v>
      </c>
      <c r="K162" t="s">
        <v>1664</v>
      </c>
      <c r="L162" t="s">
        <v>1664</v>
      </c>
      <c r="M162" t="s">
        <v>1664</v>
      </c>
      <c r="N162" t="s">
        <v>1664</v>
      </c>
      <c r="O162" t="s">
        <v>1664</v>
      </c>
      <c r="P162" t="s">
        <v>3473</v>
      </c>
      <c r="Q162" t="s">
        <v>3464</v>
      </c>
      <c r="R162" t="s">
        <v>1664</v>
      </c>
      <c r="S162" t="s">
        <v>1664</v>
      </c>
      <c r="T162" t="s">
        <v>1664</v>
      </c>
      <c r="U162" t="s">
        <v>1664</v>
      </c>
      <c r="V162" t="s">
        <v>1664</v>
      </c>
      <c r="W162">
        <v>0</v>
      </c>
      <c r="Y162">
        <v>0</v>
      </c>
      <c r="AA162">
        <v>390387229680</v>
      </c>
      <c r="AB162" t="s">
        <v>3904</v>
      </c>
    </row>
    <row r="163" spans="1:28">
      <c r="A163" t="s">
        <v>1949</v>
      </c>
      <c r="B163" t="s">
        <v>3432</v>
      </c>
      <c r="C163" t="s">
        <v>3351</v>
      </c>
      <c r="D163" t="s">
        <v>1664</v>
      </c>
      <c r="E163" t="s">
        <v>1664</v>
      </c>
      <c r="F163">
        <v>0</v>
      </c>
      <c r="H163">
        <v>0</v>
      </c>
      <c r="J163" t="s">
        <v>1664</v>
      </c>
      <c r="K163" t="s">
        <v>1664</v>
      </c>
      <c r="L163" t="s">
        <v>1664</v>
      </c>
      <c r="M163" t="s">
        <v>1664</v>
      </c>
      <c r="N163" t="s">
        <v>1664</v>
      </c>
      <c r="O163" t="s">
        <v>1664</v>
      </c>
      <c r="P163" t="s">
        <v>3563</v>
      </c>
      <c r="Q163" t="s">
        <v>3464</v>
      </c>
      <c r="R163" t="s">
        <v>1664</v>
      </c>
      <c r="S163" t="s">
        <v>1664</v>
      </c>
      <c r="T163" t="s">
        <v>1664</v>
      </c>
      <c r="U163" t="s">
        <v>1664</v>
      </c>
      <c r="V163" t="s">
        <v>1664</v>
      </c>
      <c r="W163">
        <v>0</v>
      </c>
      <c r="Y163">
        <v>0</v>
      </c>
      <c r="AA163">
        <v>426947477775</v>
      </c>
      <c r="AB163" t="s">
        <v>3905</v>
      </c>
    </row>
    <row r="164" spans="1:28">
      <c r="B164" t="s">
        <v>3906</v>
      </c>
      <c r="C164" t="s">
        <v>3907</v>
      </c>
      <c r="D164" t="s">
        <v>1664</v>
      </c>
      <c r="E164" t="s">
        <v>1664</v>
      </c>
      <c r="F164">
        <v>0</v>
      </c>
      <c r="H164">
        <v>0</v>
      </c>
      <c r="J164" t="s">
        <v>1664</v>
      </c>
      <c r="K164" t="s">
        <v>1664</v>
      </c>
      <c r="L164" t="s">
        <v>1664</v>
      </c>
      <c r="M164" t="s">
        <v>1664</v>
      </c>
      <c r="N164" t="s">
        <v>1664</v>
      </c>
      <c r="O164" t="s">
        <v>1664</v>
      </c>
      <c r="P164" t="s">
        <v>3490</v>
      </c>
      <c r="Q164" t="s">
        <v>3496</v>
      </c>
      <c r="R164" t="s">
        <v>1664</v>
      </c>
      <c r="S164" t="s">
        <v>1664</v>
      </c>
      <c r="T164" t="s">
        <v>1664</v>
      </c>
      <c r="U164" t="s">
        <v>1664</v>
      </c>
      <c r="V164" t="s">
        <v>1664</v>
      </c>
      <c r="W164">
        <v>0</v>
      </c>
      <c r="Y164">
        <v>0</v>
      </c>
      <c r="AA164">
        <v>2911471000</v>
      </c>
      <c r="AB164" t="s">
        <v>3908</v>
      </c>
    </row>
    <row r="165" spans="1:28">
      <c r="B165" t="s">
        <v>2576</v>
      </c>
      <c r="C165" t="s">
        <v>2578</v>
      </c>
      <c r="D165">
        <v>0</v>
      </c>
      <c r="E165">
        <v>0</v>
      </c>
      <c r="F165">
        <v>49000000</v>
      </c>
      <c r="H165">
        <v>43865000</v>
      </c>
      <c r="J165">
        <v>40138000</v>
      </c>
      <c r="K165">
        <v>77891000</v>
      </c>
      <c r="L165">
        <v>72972000</v>
      </c>
      <c r="M165" t="s">
        <v>1664</v>
      </c>
      <c r="N165" t="s">
        <v>1664</v>
      </c>
      <c r="O165" t="s">
        <v>1664</v>
      </c>
      <c r="P165" t="s">
        <v>3665</v>
      </c>
      <c r="Q165">
        <v>0</v>
      </c>
      <c r="R165" t="s">
        <v>1664</v>
      </c>
      <c r="S165" t="s">
        <v>1664</v>
      </c>
      <c r="T165">
        <v>0</v>
      </c>
      <c r="U165">
        <v>0</v>
      </c>
      <c r="V165">
        <v>0</v>
      </c>
      <c r="W165">
        <v>0</v>
      </c>
      <c r="Y165">
        <v>0</v>
      </c>
      <c r="AA165">
        <v>550178000</v>
      </c>
      <c r="AB165" t="s">
        <v>3909</v>
      </c>
    </row>
    <row r="166" spans="1:28">
      <c r="B166" t="s">
        <v>3910</v>
      </c>
      <c r="C166" t="s">
        <v>3911</v>
      </c>
      <c r="D166" t="s">
        <v>1664</v>
      </c>
      <c r="E166" t="s">
        <v>1664</v>
      </c>
      <c r="F166">
        <v>0</v>
      </c>
      <c r="H166">
        <v>0</v>
      </c>
      <c r="J166" t="s">
        <v>1664</v>
      </c>
      <c r="K166" t="s">
        <v>1664</v>
      </c>
      <c r="L166" t="s">
        <v>1664</v>
      </c>
      <c r="M166" t="s">
        <v>1664</v>
      </c>
      <c r="N166" t="s">
        <v>1664</v>
      </c>
      <c r="O166" t="s">
        <v>1664</v>
      </c>
      <c r="P166" t="s">
        <v>3563</v>
      </c>
      <c r="Q166" t="s">
        <v>3482</v>
      </c>
      <c r="R166" t="s">
        <v>1664</v>
      </c>
      <c r="S166" t="s">
        <v>1664</v>
      </c>
      <c r="T166" t="s">
        <v>1664</v>
      </c>
      <c r="U166" t="s">
        <v>1664</v>
      </c>
      <c r="V166" t="s">
        <v>1664</v>
      </c>
      <c r="W166">
        <v>0</v>
      </c>
      <c r="Y166">
        <v>0</v>
      </c>
      <c r="AA166">
        <v>25497390000</v>
      </c>
      <c r="AB166" t="s">
        <v>3912</v>
      </c>
    </row>
    <row r="167" spans="1:28">
      <c r="A167" t="s">
        <v>727</v>
      </c>
      <c r="B167" t="s">
        <v>574</v>
      </c>
      <c r="C167" t="s">
        <v>577</v>
      </c>
      <c r="D167">
        <v>7255000000</v>
      </c>
      <c r="E167">
        <v>4000000000</v>
      </c>
      <c r="F167">
        <v>3614000000</v>
      </c>
      <c r="H167">
        <v>3175700000</v>
      </c>
      <c r="J167">
        <v>2150400000</v>
      </c>
      <c r="K167">
        <v>2166900000</v>
      </c>
      <c r="L167">
        <v>2816700000</v>
      </c>
      <c r="M167">
        <v>1785600000</v>
      </c>
      <c r="N167">
        <v>813500000</v>
      </c>
      <c r="O167">
        <v>14.193697500000001</v>
      </c>
      <c r="P167" t="s">
        <v>3804</v>
      </c>
      <c r="Q167" t="s">
        <v>3518</v>
      </c>
      <c r="R167">
        <v>26970752952</v>
      </c>
      <c r="S167">
        <v>49627773546</v>
      </c>
      <c r="T167">
        <v>47354745750</v>
      </c>
      <c r="U167">
        <v>67509674640</v>
      </c>
      <c r="V167">
        <v>66209145480</v>
      </c>
      <c r="W167">
        <v>87704167564.5</v>
      </c>
      <c r="Y167">
        <v>58115785935</v>
      </c>
      <c r="AA167">
        <v>56774790000</v>
      </c>
      <c r="AB167" t="s">
        <v>3913</v>
      </c>
    </row>
    <row r="168" spans="1:28">
      <c r="B168" t="s">
        <v>3914</v>
      </c>
      <c r="C168" t="s">
        <v>3915</v>
      </c>
      <c r="D168" t="s">
        <v>1664</v>
      </c>
      <c r="E168" t="s">
        <v>1664</v>
      </c>
      <c r="F168">
        <v>0</v>
      </c>
      <c r="H168">
        <v>0</v>
      </c>
      <c r="J168" t="s">
        <v>1664</v>
      </c>
      <c r="K168" t="s">
        <v>1664</v>
      </c>
      <c r="L168" t="s">
        <v>1664</v>
      </c>
      <c r="M168" t="s">
        <v>1664</v>
      </c>
      <c r="N168" t="s">
        <v>1664</v>
      </c>
      <c r="O168" t="s">
        <v>1664</v>
      </c>
      <c r="P168" t="s">
        <v>3500</v>
      </c>
      <c r="Q168" t="s">
        <v>3477</v>
      </c>
      <c r="R168" t="s">
        <v>1664</v>
      </c>
      <c r="S168" t="s">
        <v>1664</v>
      </c>
      <c r="T168" t="s">
        <v>1664</v>
      </c>
      <c r="U168" t="s">
        <v>1664</v>
      </c>
      <c r="V168" t="s">
        <v>1664</v>
      </c>
      <c r="W168">
        <v>0</v>
      </c>
      <c r="Y168">
        <v>0</v>
      </c>
      <c r="AA168">
        <v>7165792000</v>
      </c>
      <c r="AB168" t="s">
        <v>3916</v>
      </c>
    </row>
    <row r="169" spans="1:28">
      <c r="B169" t="s">
        <v>3917</v>
      </c>
      <c r="C169" t="s">
        <v>3918</v>
      </c>
      <c r="D169" t="s">
        <v>1664</v>
      </c>
      <c r="E169" t="s">
        <v>1664</v>
      </c>
      <c r="F169">
        <v>0</v>
      </c>
      <c r="H169">
        <v>0</v>
      </c>
      <c r="J169" t="s">
        <v>1664</v>
      </c>
      <c r="K169" t="s">
        <v>1664</v>
      </c>
      <c r="L169" t="s">
        <v>1664</v>
      </c>
      <c r="M169" t="s">
        <v>1664</v>
      </c>
      <c r="N169" t="s">
        <v>1664</v>
      </c>
      <c r="O169" t="s">
        <v>1664</v>
      </c>
      <c r="P169" t="s">
        <v>3655</v>
      </c>
      <c r="Q169" t="s">
        <v>3496</v>
      </c>
      <c r="R169" t="s">
        <v>1664</v>
      </c>
      <c r="S169" t="s">
        <v>1664</v>
      </c>
      <c r="T169" t="s">
        <v>1664</v>
      </c>
      <c r="U169" t="s">
        <v>1664</v>
      </c>
      <c r="V169" t="s">
        <v>1664</v>
      </c>
      <c r="W169">
        <v>0</v>
      </c>
      <c r="Y169">
        <v>0</v>
      </c>
      <c r="AA169">
        <v>28477510000</v>
      </c>
      <c r="AB169" t="s">
        <v>3919</v>
      </c>
    </row>
    <row r="170" spans="1:28">
      <c r="B170" t="s">
        <v>3920</v>
      </c>
      <c r="C170" t="s">
        <v>3921</v>
      </c>
      <c r="D170" t="s">
        <v>1664</v>
      </c>
      <c r="E170" t="s">
        <v>1664</v>
      </c>
      <c r="F170">
        <v>0</v>
      </c>
      <c r="H170">
        <v>0</v>
      </c>
      <c r="J170" t="s">
        <v>1664</v>
      </c>
      <c r="K170" t="s">
        <v>1664</v>
      </c>
      <c r="L170" t="s">
        <v>1664</v>
      </c>
      <c r="M170" t="s">
        <v>1664</v>
      </c>
      <c r="N170" t="s">
        <v>1664</v>
      </c>
      <c r="O170" t="s">
        <v>1664</v>
      </c>
      <c r="P170" t="s">
        <v>3646</v>
      </c>
      <c r="Q170" t="s">
        <v>3496</v>
      </c>
      <c r="R170" t="s">
        <v>1664</v>
      </c>
      <c r="S170" t="s">
        <v>1664</v>
      </c>
      <c r="T170" t="s">
        <v>1664</v>
      </c>
      <c r="U170" t="s">
        <v>1664</v>
      </c>
      <c r="V170" t="s">
        <v>1664</v>
      </c>
      <c r="W170">
        <v>0</v>
      </c>
      <c r="Y170">
        <v>0</v>
      </c>
      <c r="AA170">
        <v>12777790000</v>
      </c>
      <c r="AB170" t="s">
        <v>3922</v>
      </c>
    </row>
    <row r="171" spans="1:28">
      <c r="B171" t="s">
        <v>3923</v>
      </c>
      <c r="C171" t="s">
        <v>3924</v>
      </c>
      <c r="D171" t="s">
        <v>1664</v>
      </c>
      <c r="E171" t="s">
        <v>1664</v>
      </c>
      <c r="F171">
        <v>0</v>
      </c>
      <c r="H171">
        <v>0</v>
      </c>
      <c r="J171" t="s">
        <v>1664</v>
      </c>
      <c r="K171" t="s">
        <v>1664</v>
      </c>
      <c r="L171" t="s">
        <v>1664</v>
      </c>
      <c r="M171" t="s">
        <v>1664</v>
      </c>
      <c r="N171" t="s">
        <v>1664</v>
      </c>
      <c r="O171" t="s">
        <v>1664</v>
      </c>
      <c r="P171" t="s">
        <v>3531</v>
      </c>
      <c r="Q171" t="s">
        <v>3496</v>
      </c>
      <c r="R171" t="s">
        <v>1664</v>
      </c>
      <c r="S171" t="s">
        <v>1664</v>
      </c>
      <c r="T171" t="s">
        <v>1664</v>
      </c>
      <c r="U171" t="s">
        <v>1664</v>
      </c>
      <c r="V171" t="s">
        <v>1664</v>
      </c>
      <c r="W171">
        <v>0</v>
      </c>
      <c r="Y171">
        <v>0</v>
      </c>
      <c r="AA171">
        <v>18487560000</v>
      </c>
      <c r="AB171" t="s">
        <v>3925</v>
      </c>
    </row>
    <row r="172" spans="1:28">
      <c r="B172" t="s">
        <v>1292</v>
      </c>
      <c r="C172" t="s">
        <v>1295</v>
      </c>
      <c r="D172" t="s">
        <v>1664</v>
      </c>
      <c r="E172" t="s">
        <v>1664</v>
      </c>
      <c r="F172">
        <v>0</v>
      </c>
      <c r="H172">
        <v>100000000</v>
      </c>
      <c r="J172">
        <v>35000000</v>
      </c>
      <c r="K172">
        <v>114700000</v>
      </c>
      <c r="L172">
        <v>123100000</v>
      </c>
      <c r="M172">
        <v>163300000</v>
      </c>
      <c r="N172">
        <v>131000000</v>
      </c>
      <c r="O172" t="s">
        <v>1664</v>
      </c>
      <c r="P172" t="s">
        <v>3810</v>
      </c>
      <c r="Q172" t="s">
        <v>3477</v>
      </c>
      <c r="R172">
        <v>2205621082.5</v>
      </c>
      <c r="S172">
        <v>2429470290</v>
      </c>
      <c r="T172">
        <v>2705222025</v>
      </c>
      <c r="U172">
        <v>3197436957</v>
      </c>
      <c r="V172">
        <v>3262458241.0599999</v>
      </c>
      <c r="W172">
        <v>2924762631.3600001</v>
      </c>
      <c r="Y172">
        <v>0</v>
      </c>
      <c r="AA172">
        <v>683168500</v>
      </c>
      <c r="AB172" t="s">
        <v>3926</v>
      </c>
    </row>
    <row r="173" spans="1:28">
      <c r="B173" t="s">
        <v>3927</v>
      </c>
      <c r="C173" t="s">
        <v>2073</v>
      </c>
      <c r="D173" t="s">
        <v>1664</v>
      </c>
      <c r="E173" t="s">
        <v>1664</v>
      </c>
      <c r="F173">
        <v>0</v>
      </c>
      <c r="H173">
        <v>0</v>
      </c>
      <c r="J173" t="s">
        <v>1664</v>
      </c>
      <c r="K173">
        <v>170400000</v>
      </c>
      <c r="L173">
        <v>170400000</v>
      </c>
      <c r="M173">
        <v>180700000</v>
      </c>
      <c r="N173">
        <v>176000000</v>
      </c>
      <c r="O173" t="s">
        <v>1664</v>
      </c>
      <c r="P173" t="s">
        <v>3476</v>
      </c>
      <c r="Q173" t="s">
        <v>3477</v>
      </c>
      <c r="R173">
        <v>0</v>
      </c>
      <c r="S173">
        <v>0</v>
      </c>
      <c r="T173">
        <v>0</v>
      </c>
      <c r="U173">
        <v>7145309999.999999</v>
      </c>
      <c r="V173" t="s">
        <v>1664</v>
      </c>
      <c r="W173">
        <v>7429900000</v>
      </c>
      <c r="Y173">
        <v>0</v>
      </c>
      <c r="AA173">
        <v>6215140000</v>
      </c>
      <c r="AB173" t="s">
        <v>3928</v>
      </c>
    </row>
    <row r="174" spans="1:28">
      <c r="B174" t="s">
        <v>2828</v>
      </c>
      <c r="C174" t="s">
        <v>2831</v>
      </c>
      <c r="D174" t="s">
        <v>1664</v>
      </c>
      <c r="E174" t="s">
        <v>1664</v>
      </c>
      <c r="F174">
        <v>0</v>
      </c>
      <c r="H174">
        <v>12000000</v>
      </c>
      <c r="J174" t="s">
        <v>1664</v>
      </c>
      <c r="K174">
        <v>10617000</v>
      </c>
      <c r="L174">
        <v>8498000</v>
      </c>
      <c r="M174">
        <v>8276000</v>
      </c>
      <c r="N174">
        <v>-8824000</v>
      </c>
      <c r="O174" t="s">
        <v>1664</v>
      </c>
      <c r="P174" t="s">
        <v>3468</v>
      </c>
      <c r="R174">
        <v>67798080</v>
      </c>
      <c r="S174">
        <v>99813840</v>
      </c>
      <c r="T174">
        <v>69681360</v>
      </c>
      <c r="U174">
        <v>99813840</v>
      </c>
      <c r="V174" t="s">
        <v>1664</v>
      </c>
      <c r="W174">
        <v>211745990</v>
      </c>
      <c r="Y174">
        <v>0</v>
      </c>
      <c r="AA174">
        <v>192198000</v>
      </c>
      <c r="AB174" t="s">
        <v>3929</v>
      </c>
    </row>
    <row r="175" spans="1:28">
      <c r="B175" t="s">
        <v>3930</v>
      </c>
      <c r="C175" t="s">
        <v>244</v>
      </c>
      <c r="D175" t="s">
        <v>1664</v>
      </c>
      <c r="E175" t="s">
        <v>1664</v>
      </c>
      <c r="F175">
        <v>0</v>
      </c>
      <c r="H175">
        <v>0</v>
      </c>
      <c r="J175" t="s">
        <v>1664</v>
      </c>
      <c r="K175">
        <v>1650000000</v>
      </c>
      <c r="L175">
        <v>1502000000</v>
      </c>
      <c r="M175">
        <v>1417000000</v>
      </c>
      <c r="N175">
        <v>1791000000</v>
      </c>
      <c r="O175" t="s">
        <v>1664</v>
      </c>
      <c r="P175" t="s">
        <v>3854</v>
      </c>
      <c r="R175">
        <v>32773090320</v>
      </c>
      <c r="S175">
        <v>36414544800</v>
      </c>
      <c r="T175">
        <v>24261431871.959999</v>
      </c>
      <c r="U175">
        <v>26629128148.549999</v>
      </c>
      <c r="V175" t="s">
        <v>1664</v>
      </c>
      <c r="W175">
        <v>0</v>
      </c>
      <c r="Y175">
        <v>0</v>
      </c>
      <c r="AA175">
        <v>34504240000</v>
      </c>
      <c r="AB175" t="s">
        <v>3931</v>
      </c>
    </row>
    <row r="176" spans="1:28">
      <c r="B176" t="s">
        <v>2017</v>
      </c>
      <c r="C176" t="s">
        <v>2020</v>
      </c>
      <c r="D176" t="s">
        <v>1664</v>
      </c>
      <c r="E176" t="s">
        <v>1664</v>
      </c>
      <c r="F176">
        <v>0</v>
      </c>
      <c r="H176">
        <v>0</v>
      </c>
      <c r="J176">
        <v>200000000</v>
      </c>
      <c r="K176">
        <v>-15000000</v>
      </c>
      <c r="L176">
        <v>194000000</v>
      </c>
      <c r="M176">
        <v>176000000</v>
      </c>
      <c r="N176">
        <v>238000000</v>
      </c>
      <c r="O176" t="s">
        <v>1664</v>
      </c>
      <c r="P176" t="s">
        <v>3620</v>
      </c>
      <c r="Q176" t="s">
        <v>3477</v>
      </c>
      <c r="R176">
        <v>3461918750.3999996</v>
      </c>
      <c r="S176">
        <v>3501258736.1999998</v>
      </c>
      <c r="T176">
        <v>2884932292</v>
      </c>
      <c r="U176">
        <v>2884932292</v>
      </c>
      <c r="V176">
        <v>2688232363</v>
      </c>
      <c r="W176">
        <v>3197029512.6799998</v>
      </c>
      <c r="Y176">
        <v>0</v>
      </c>
      <c r="AA176">
        <v>2857949000</v>
      </c>
      <c r="AB176" t="s">
        <v>3932</v>
      </c>
    </row>
    <row r="177" spans="1:28">
      <c r="A177" t="s">
        <v>1949</v>
      </c>
      <c r="B177" t="s">
        <v>2286</v>
      </c>
      <c r="C177" t="s">
        <v>2290</v>
      </c>
      <c r="D177">
        <v>1976500000</v>
      </c>
      <c r="E177">
        <v>1200000000</v>
      </c>
      <c r="F177">
        <v>1000000000</v>
      </c>
      <c r="H177">
        <v>904500000</v>
      </c>
      <c r="J177">
        <v>681200000</v>
      </c>
      <c r="K177">
        <v>836100000</v>
      </c>
      <c r="L177">
        <v>772400000</v>
      </c>
      <c r="M177">
        <v>713200000</v>
      </c>
      <c r="N177">
        <v>630200000</v>
      </c>
      <c r="O177">
        <v>19.495483333333333</v>
      </c>
      <c r="P177" t="s">
        <v>3468</v>
      </c>
      <c r="Q177" t="s">
        <v>3518</v>
      </c>
      <c r="R177">
        <v>14422311827.300001</v>
      </c>
      <c r="S177">
        <v>17126261156.689999</v>
      </c>
      <c r="T177">
        <v>13182160942.720001</v>
      </c>
      <c r="U177">
        <v>19810506607.360001</v>
      </c>
      <c r="V177">
        <v>19523685458</v>
      </c>
      <c r="W177">
        <v>27520373063.400002</v>
      </c>
      <c r="Y177">
        <v>20010440355.719997</v>
      </c>
      <c r="AA177">
        <v>23394580000</v>
      </c>
      <c r="AB177" t="s">
        <v>3933</v>
      </c>
    </row>
    <row r="178" spans="1:28">
      <c r="B178" t="s">
        <v>3934</v>
      </c>
      <c r="C178" t="s">
        <v>3935</v>
      </c>
      <c r="D178" t="s">
        <v>1664</v>
      </c>
      <c r="E178" t="s">
        <v>1664</v>
      </c>
      <c r="F178">
        <v>0</v>
      </c>
      <c r="H178">
        <v>0</v>
      </c>
      <c r="J178" t="s">
        <v>1664</v>
      </c>
      <c r="K178" t="s">
        <v>1664</v>
      </c>
      <c r="L178" t="s">
        <v>1664</v>
      </c>
      <c r="M178" t="s">
        <v>1664</v>
      </c>
      <c r="N178" t="s">
        <v>1664</v>
      </c>
      <c r="O178" t="s">
        <v>1664</v>
      </c>
      <c r="P178" t="s">
        <v>3517</v>
      </c>
      <c r="Q178" t="s">
        <v>3487</v>
      </c>
      <c r="R178" t="s">
        <v>1664</v>
      </c>
      <c r="S178" t="s">
        <v>1664</v>
      </c>
      <c r="T178" t="s">
        <v>1664</v>
      </c>
      <c r="U178" t="s">
        <v>1664</v>
      </c>
      <c r="V178" t="s">
        <v>1664</v>
      </c>
      <c r="W178">
        <v>0</v>
      </c>
      <c r="Y178">
        <v>0</v>
      </c>
      <c r="AA178">
        <v>184843700000</v>
      </c>
      <c r="AB178" t="s">
        <v>3936</v>
      </c>
    </row>
    <row r="179" spans="1:28">
      <c r="B179" t="s">
        <v>3937</v>
      </c>
      <c r="C179" t="s">
        <v>3938</v>
      </c>
      <c r="D179" t="s">
        <v>1664</v>
      </c>
      <c r="E179" t="s">
        <v>1664</v>
      </c>
      <c r="F179">
        <v>0</v>
      </c>
      <c r="H179">
        <v>0</v>
      </c>
      <c r="J179" t="s">
        <v>1664</v>
      </c>
      <c r="K179" t="s">
        <v>1664</v>
      </c>
      <c r="L179" t="s">
        <v>1664</v>
      </c>
      <c r="M179" t="s">
        <v>1664</v>
      </c>
      <c r="N179" t="s">
        <v>1664</v>
      </c>
      <c r="O179" t="s">
        <v>1664</v>
      </c>
      <c r="P179" t="s">
        <v>3589</v>
      </c>
      <c r="Q179" t="s">
        <v>3469</v>
      </c>
      <c r="R179" t="s">
        <v>1664</v>
      </c>
      <c r="S179" t="s">
        <v>1664</v>
      </c>
      <c r="T179" t="s">
        <v>1664</v>
      </c>
      <c r="U179" t="s">
        <v>1664</v>
      </c>
      <c r="V179" t="s">
        <v>1664</v>
      </c>
      <c r="W179">
        <v>0</v>
      </c>
      <c r="Y179">
        <v>0</v>
      </c>
      <c r="AA179">
        <v>32818380000</v>
      </c>
      <c r="AB179" t="s">
        <v>3939</v>
      </c>
    </row>
    <row r="180" spans="1:28">
      <c r="A180" t="s">
        <v>3865</v>
      </c>
      <c r="B180" t="s">
        <v>3940</v>
      </c>
      <c r="C180" t="s">
        <v>2132</v>
      </c>
      <c r="D180">
        <v>0</v>
      </c>
      <c r="E180">
        <v>0</v>
      </c>
      <c r="F180">
        <v>5700000000</v>
      </c>
      <c r="G180">
        <v>5700000000</v>
      </c>
      <c r="H180">
        <v>4800000000</v>
      </c>
      <c r="J180">
        <v>4099000000</v>
      </c>
      <c r="K180">
        <v>4356900000</v>
      </c>
      <c r="L180">
        <v>3987600000</v>
      </c>
      <c r="M180">
        <v>3585500000</v>
      </c>
      <c r="N180" t="s">
        <v>1664</v>
      </c>
      <c r="O180" t="s">
        <v>1664</v>
      </c>
      <c r="P180" t="s">
        <v>3892</v>
      </c>
      <c r="Q180" t="s">
        <v>3518</v>
      </c>
      <c r="R180" t="s">
        <v>1664</v>
      </c>
      <c r="S180">
        <v>0</v>
      </c>
      <c r="T180">
        <v>0</v>
      </c>
      <c r="U180">
        <v>152036596620</v>
      </c>
      <c r="V180">
        <v>174120061380</v>
      </c>
      <c r="W180">
        <v>233438455281</v>
      </c>
      <c r="Y180">
        <v>186773159088</v>
      </c>
      <c r="AA180">
        <v>219756900000</v>
      </c>
      <c r="AB180" t="s">
        <v>3941</v>
      </c>
    </row>
    <row r="181" spans="1:28">
      <c r="B181" t="s">
        <v>3942</v>
      </c>
      <c r="C181" t="s">
        <v>603</v>
      </c>
      <c r="D181">
        <v>23000000000</v>
      </c>
      <c r="E181" t="s">
        <v>1664</v>
      </c>
      <c r="F181">
        <v>14084000000</v>
      </c>
      <c r="H181">
        <v>12036000000</v>
      </c>
      <c r="J181">
        <v>4702000000</v>
      </c>
      <c r="K181">
        <v>7171000000</v>
      </c>
      <c r="L181">
        <v>6354000000</v>
      </c>
      <c r="M181">
        <v>5365000000</v>
      </c>
      <c r="N181">
        <v>3981000000</v>
      </c>
      <c r="O181" t="s">
        <v>1664</v>
      </c>
      <c r="P181" t="s">
        <v>3486</v>
      </c>
      <c r="Q181" t="s">
        <v>3518</v>
      </c>
      <c r="R181">
        <v>91977526914.400009</v>
      </c>
      <c r="S181">
        <v>126760649000</v>
      </c>
      <c r="T181">
        <v>126559040861</v>
      </c>
      <c r="U181">
        <v>211159152052.20001</v>
      </c>
      <c r="V181">
        <v>253113486766</v>
      </c>
      <c r="W181">
        <v>366332095384</v>
      </c>
      <c r="Y181">
        <v>342164664786.09998</v>
      </c>
      <c r="AA181">
        <v>369859100000</v>
      </c>
      <c r="AB181" t="s">
        <v>3943</v>
      </c>
    </row>
    <row r="182" spans="1:28">
      <c r="B182" t="s">
        <v>3944</v>
      </c>
      <c r="C182" t="s">
        <v>3945</v>
      </c>
      <c r="D182" t="s">
        <v>1664</v>
      </c>
      <c r="E182" t="s">
        <v>1664</v>
      </c>
      <c r="F182">
        <v>0</v>
      </c>
      <c r="H182">
        <v>0</v>
      </c>
      <c r="J182" t="s">
        <v>1664</v>
      </c>
      <c r="K182" t="s">
        <v>1664</v>
      </c>
      <c r="L182" t="s">
        <v>1664</v>
      </c>
      <c r="M182" t="s">
        <v>1664</v>
      </c>
      <c r="N182" t="s">
        <v>1664</v>
      </c>
      <c r="O182" t="s">
        <v>1664</v>
      </c>
      <c r="P182" t="s">
        <v>3804</v>
      </c>
      <c r="Q182" t="s">
        <v>3477</v>
      </c>
      <c r="R182" t="s">
        <v>1664</v>
      </c>
      <c r="S182" t="s">
        <v>1664</v>
      </c>
      <c r="T182" t="s">
        <v>1664</v>
      </c>
      <c r="U182" t="s">
        <v>1664</v>
      </c>
      <c r="V182" t="s">
        <v>1664</v>
      </c>
      <c r="W182">
        <v>0</v>
      </c>
      <c r="Y182">
        <v>0</v>
      </c>
      <c r="AA182">
        <v>305771200</v>
      </c>
      <c r="AB182" t="s">
        <v>3946</v>
      </c>
    </row>
    <row r="183" spans="1:28">
      <c r="B183" t="s">
        <v>1835</v>
      </c>
      <c r="C183" t="s">
        <v>1838</v>
      </c>
      <c r="D183">
        <v>240000000</v>
      </c>
      <c r="E183">
        <v>0</v>
      </c>
      <c r="F183">
        <v>140000000</v>
      </c>
      <c r="H183">
        <v>125000000</v>
      </c>
      <c r="J183">
        <v>39583000</v>
      </c>
      <c r="K183">
        <v>95625000</v>
      </c>
      <c r="L183">
        <v>84000000</v>
      </c>
      <c r="M183">
        <v>60000000</v>
      </c>
      <c r="N183">
        <v>43000000</v>
      </c>
      <c r="O183" t="s">
        <v>1664</v>
      </c>
      <c r="P183" t="s">
        <v>3468</v>
      </c>
      <c r="R183">
        <v>739724296.29999995</v>
      </c>
      <c r="S183">
        <v>1208458739</v>
      </c>
      <c r="T183">
        <v>888572137.5999999</v>
      </c>
      <c r="U183">
        <v>850887158.54999995</v>
      </c>
      <c r="V183">
        <v>948074736.0999999</v>
      </c>
      <c r="W183">
        <v>1092864392.45</v>
      </c>
      <c r="Y183">
        <v>983776295.20000005</v>
      </c>
      <c r="AA183">
        <v>963942100</v>
      </c>
      <c r="AB183" t="s">
        <v>3947</v>
      </c>
    </row>
    <row r="184" spans="1:28">
      <c r="B184" t="s">
        <v>3948</v>
      </c>
      <c r="C184" t="s">
        <v>3949</v>
      </c>
      <c r="D184" t="s">
        <v>1664</v>
      </c>
      <c r="E184" t="s">
        <v>1664</v>
      </c>
      <c r="F184">
        <v>0</v>
      </c>
      <c r="H184">
        <v>0</v>
      </c>
      <c r="J184" t="s">
        <v>1664</v>
      </c>
      <c r="K184" t="s">
        <v>1664</v>
      </c>
      <c r="L184" t="s">
        <v>1664</v>
      </c>
      <c r="M184" t="s">
        <v>1664</v>
      </c>
      <c r="N184" t="s">
        <v>1664</v>
      </c>
      <c r="O184" t="s">
        <v>1664</v>
      </c>
      <c r="P184" t="s">
        <v>3490</v>
      </c>
      <c r="Q184" t="s">
        <v>3474</v>
      </c>
      <c r="R184" t="s">
        <v>1664</v>
      </c>
      <c r="S184" t="s">
        <v>1664</v>
      </c>
      <c r="T184" t="s">
        <v>1664</v>
      </c>
      <c r="U184" t="s">
        <v>1664</v>
      </c>
      <c r="V184" t="s">
        <v>1664</v>
      </c>
      <c r="W184">
        <v>0</v>
      </c>
      <c r="Y184">
        <v>0</v>
      </c>
      <c r="AA184">
        <v>383613446476</v>
      </c>
      <c r="AB184" t="s">
        <v>3950</v>
      </c>
    </row>
    <row r="185" spans="1:28">
      <c r="B185" t="s">
        <v>3951</v>
      </c>
      <c r="C185" t="s">
        <v>3952</v>
      </c>
      <c r="D185" t="s">
        <v>1664</v>
      </c>
      <c r="E185" t="s">
        <v>1664</v>
      </c>
      <c r="F185">
        <v>0</v>
      </c>
      <c r="H185">
        <v>0</v>
      </c>
      <c r="J185" t="s">
        <v>1664</v>
      </c>
      <c r="K185" t="s">
        <v>1664</v>
      </c>
      <c r="L185" t="s">
        <v>1664</v>
      </c>
      <c r="M185" t="s">
        <v>1664</v>
      </c>
      <c r="N185" t="s">
        <v>1664</v>
      </c>
      <c r="O185" t="s">
        <v>1664</v>
      </c>
      <c r="P185" t="s">
        <v>3476</v>
      </c>
      <c r="Q185" t="s">
        <v>3464</v>
      </c>
      <c r="R185" t="s">
        <v>1664</v>
      </c>
      <c r="S185" t="s">
        <v>1664</v>
      </c>
      <c r="T185" t="s">
        <v>1664</v>
      </c>
      <c r="U185" t="s">
        <v>1664</v>
      </c>
      <c r="V185" t="s">
        <v>1664</v>
      </c>
      <c r="W185">
        <v>0</v>
      </c>
      <c r="Y185">
        <v>0</v>
      </c>
      <c r="AA185">
        <v>201062178243</v>
      </c>
      <c r="AB185" t="s">
        <v>3953</v>
      </c>
    </row>
    <row r="186" spans="1:28">
      <c r="B186" t="s">
        <v>3954</v>
      </c>
      <c r="C186" t="s">
        <v>3955</v>
      </c>
      <c r="D186" t="s">
        <v>1664</v>
      </c>
      <c r="E186" t="s">
        <v>1664</v>
      </c>
      <c r="F186">
        <v>0</v>
      </c>
      <c r="H186">
        <v>0</v>
      </c>
      <c r="J186" t="s">
        <v>1664</v>
      </c>
      <c r="K186" t="s">
        <v>1664</v>
      </c>
      <c r="L186" t="s">
        <v>1664</v>
      </c>
      <c r="M186" t="s">
        <v>1664</v>
      </c>
      <c r="N186" t="s">
        <v>1664</v>
      </c>
      <c r="O186" t="s">
        <v>1664</v>
      </c>
      <c r="P186" t="s">
        <v>3468</v>
      </c>
      <c r="Q186" t="s">
        <v>3477</v>
      </c>
      <c r="R186" t="s">
        <v>1664</v>
      </c>
      <c r="S186" t="s">
        <v>1664</v>
      </c>
      <c r="T186" t="s">
        <v>1664</v>
      </c>
      <c r="U186" t="s">
        <v>1664</v>
      </c>
      <c r="V186" t="s">
        <v>1664</v>
      </c>
      <c r="W186">
        <v>0</v>
      </c>
      <c r="Y186">
        <v>0</v>
      </c>
      <c r="AA186">
        <v>161743400</v>
      </c>
      <c r="AB186" t="s">
        <v>3956</v>
      </c>
    </row>
    <row r="187" spans="1:28">
      <c r="B187" t="s">
        <v>3074</v>
      </c>
      <c r="C187" t="s">
        <v>3077</v>
      </c>
      <c r="D187">
        <v>120400000</v>
      </c>
      <c r="E187">
        <v>0</v>
      </c>
      <c r="F187">
        <v>46249000</v>
      </c>
      <c r="H187">
        <v>51521000</v>
      </c>
      <c r="J187">
        <v>37091000</v>
      </c>
      <c r="K187">
        <v>11859000</v>
      </c>
      <c r="L187">
        <v>0</v>
      </c>
      <c r="M187">
        <v>0</v>
      </c>
      <c r="N187">
        <v>0</v>
      </c>
      <c r="O187" t="s">
        <v>1664</v>
      </c>
      <c r="P187" t="s">
        <v>1664</v>
      </c>
      <c r="Q187">
        <v>0</v>
      </c>
      <c r="R187">
        <v>0</v>
      </c>
      <c r="S187">
        <v>0</v>
      </c>
      <c r="T187">
        <v>0</v>
      </c>
      <c r="U187">
        <v>1448000000</v>
      </c>
      <c r="V187">
        <v>1752000000</v>
      </c>
      <c r="W187">
        <v>2840000000</v>
      </c>
      <c r="Y187">
        <v>2060000000</v>
      </c>
      <c r="AA187" t="s">
        <v>1664</v>
      </c>
    </row>
    <row r="188" spans="1:28">
      <c r="B188" t="s">
        <v>3957</v>
      </c>
      <c r="C188" t="s">
        <v>3958</v>
      </c>
      <c r="D188" t="s">
        <v>1664</v>
      </c>
      <c r="E188" t="s">
        <v>1664</v>
      </c>
      <c r="F188">
        <v>0</v>
      </c>
      <c r="H188">
        <v>0</v>
      </c>
      <c r="J188" t="s">
        <v>1664</v>
      </c>
      <c r="K188" t="s">
        <v>1664</v>
      </c>
      <c r="L188" t="s">
        <v>1664</v>
      </c>
      <c r="M188" t="s">
        <v>1664</v>
      </c>
      <c r="N188" t="s">
        <v>1664</v>
      </c>
      <c r="O188" t="s">
        <v>1664</v>
      </c>
      <c r="P188" t="s">
        <v>3531</v>
      </c>
      <c r="R188" t="s">
        <v>1664</v>
      </c>
      <c r="S188" t="s">
        <v>1664</v>
      </c>
      <c r="T188" t="s">
        <v>1664</v>
      </c>
      <c r="U188" t="s">
        <v>1664</v>
      </c>
      <c r="V188" t="s">
        <v>1664</v>
      </c>
      <c r="W188">
        <v>0</v>
      </c>
      <c r="Y188">
        <v>0</v>
      </c>
      <c r="AA188">
        <v>108411900000</v>
      </c>
      <c r="AB188" t="s">
        <v>3959</v>
      </c>
    </row>
    <row r="189" spans="1:28">
      <c r="B189" t="s">
        <v>3960</v>
      </c>
      <c r="C189" t="s">
        <v>2705</v>
      </c>
      <c r="D189" t="s">
        <v>1664</v>
      </c>
      <c r="E189" t="s">
        <v>1664</v>
      </c>
      <c r="F189">
        <v>0</v>
      </c>
      <c r="H189">
        <v>0</v>
      </c>
      <c r="J189" t="s">
        <v>1664</v>
      </c>
      <c r="K189" t="s">
        <v>1664</v>
      </c>
      <c r="L189" t="s">
        <v>1664</v>
      </c>
      <c r="M189" t="s">
        <v>1664</v>
      </c>
      <c r="N189" t="s">
        <v>1664</v>
      </c>
      <c r="O189" t="s">
        <v>1664</v>
      </c>
      <c r="P189" t="s">
        <v>3594</v>
      </c>
      <c r="Q189" t="s">
        <v>3482</v>
      </c>
      <c r="R189" t="s">
        <v>1664</v>
      </c>
      <c r="S189" t="s">
        <v>1664</v>
      </c>
      <c r="T189" t="s">
        <v>1664</v>
      </c>
      <c r="U189" t="s">
        <v>1664</v>
      </c>
      <c r="V189" t="s">
        <v>1664</v>
      </c>
      <c r="W189">
        <v>0</v>
      </c>
      <c r="Y189">
        <v>0</v>
      </c>
      <c r="AA189">
        <v>3298660000</v>
      </c>
      <c r="AB189" t="s">
        <v>3961</v>
      </c>
    </row>
    <row r="190" spans="1:28">
      <c r="A190" t="s">
        <v>3962</v>
      </c>
      <c r="B190" t="s">
        <v>3963</v>
      </c>
      <c r="C190" t="s">
        <v>2263</v>
      </c>
      <c r="D190">
        <v>0</v>
      </c>
      <c r="E190">
        <v>0</v>
      </c>
      <c r="F190">
        <v>0</v>
      </c>
      <c r="H190">
        <v>10000000000</v>
      </c>
      <c r="J190">
        <v>500000000</v>
      </c>
      <c r="K190">
        <v>2709000000</v>
      </c>
      <c r="L190">
        <v>7582000000</v>
      </c>
      <c r="M190">
        <v>10864000000</v>
      </c>
      <c r="N190">
        <v>8784000000</v>
      </c>
      <c r="O190" t="s">
        <v>1664</v>
      </c>
      <c r="P190" t="s">
        <v>3615</v>
      </c>
      <c r="Q190" t="s">
        <v>3487</v>
      </c>
      <c r="R190">
        <v>83016480000</v>
      </c>
      <c r="S190">
        <v>75313920000</v>
      </c>
      <c r="T190">
        <v>75527880000</v>
      </c>
      <c r="U190">
        <v>52313220000</v>
      </c>
      <c r="V190">
        <v>61823742000</v>
      </c>
      <c r="W190">
        <v>72307782000</v>
      </c>
      <c r="Y190">
        <v>0</v>
      </c>
      <c r="AA190">
        <v>72973610000</v>
      </c>
      <c r="AB190" t="s">
        <v>3964</v>
      </c>
    </row>
    <row r="191" spans="1:28">
      <c r="B191" t="s">
        <v>3965</v>
      </c>
      <c r="C191" t="s">
        <v>3966</v>
      </c>
      <c r="D191" t="s">
        <v>1664</v>
      </c>
      <c r="E191" t="s">
        <v>1664</v>
      </c>
      <c r="F191">
        <v>0</v>
      </c>
      <c r="H191">
        <v>0</v>
      </c>
      <c r="J191" t="s">
        <v>1664</v>
      </c>
      <c r="K191" t="s">
        <v>1664</v>
      </c>
      <c r="L191" t="s">
        <v>1664</v>
      </c>
      <c r="M191" t="s">
        <v>1664</v>
      </c>
      <c r="N191" t="s">
        <v>1664</v>
      </c>
      <c r="O191" t="s">
        <v>1664</v>
      </c>
      <c r="P191" t="s">
        <v>3500</v>
      </c>
      <c r="Q191" t="s">
        <v>3477</v>
      </c>
      <c r="R191" t="s">
        <v>1664</v>
      </c>
      <c r="S191" t="s">
        <v>1664</v>
      </c>
      <c r="T191" t="s">
        <v>1664</v>
      </c>
      <c r="U191" t="s">
        <v>1664</v>
      </c>
      <c r="V191" t="s">
        <v>1664</v>
      </c>
      <c r="W191">
        <v>0</v>
      </c>
      <c r="Y191">
        <v>0</v>
      </c>
      <c r="AA191">
        <v>817282000</v>
      </c>
      <c r="AB191" t="s">
        <v>3967</v>
      </c>
    </row>
    <row r="192" spans="1:28">
      <c r="B192" t="s">
        <v>3968</v>
      </c>
      <c r="C192" t="s">
        <v>3969</v>
      </c>
      <c r="D192" t="s">
        <v>1664</v>
      </c>
      <c r="E192" t="s">
        <v>1664</v>
      </c>
      <c r="F192">
        <v>0</v>
      </c>
      <c r="H192">
        <v>0</v>
      </c>
      <c r="J192" t="s">
        <v>1664</v>
      </c>
      <c r="K192" t="s">
        <v>1664</v>
      </c>
      <c r="L192" t="s">
        <v>1664</v>
      </c>
      <c r="M192" t="s">
        <v>1664</v>
      </c>
      <c r="N192" t="s">
        <v>1664</v>
      </c>
      <c r="O192" t="s">
        <v>1664</v>
      </c>
      <c r="P192" t="s">
        <v>3473</v>
      </c>
      <c r="Q192" t="s">
        <v>3464</v>
      </c>
      <c r="R192" t="s">
        <v>1664</v>
      </c>
      <c r="S192" t="s">
        <v>1664</v>
      </c>
      <c r="T192" t="s">
        <v>1664</v>
      </c>
      <c r="U192" t="s">
        <v>1664</v>
      </c>
      <c r="V192" t="s">
        <v>1664</v>
      </c>
      <c r="W192">
        <v>0</v>
      </c>
      <c r="Y192">
        <v>0</v>
      </c>
      <c r="AA192">
        <v>272199877670</v>
      </c>
      <c r="AB192" t="s">
        <v>3970</v>
      </c>
    </row>
    <row r="193" spans="1:28">
      <c r="B193" t="s">
        <v>3971</v>
      </c>
      <c r="C193" t="s">
        <v>3972</v>
      </c>
      <c r="D193" t="s">
        <v>1664</v>
      </c>
      <c r="E193" t="s">
        <v>1664</v>
      </c>
      <c r="F193">
        <v>0</v>
      </c>
      <c r="H193">
        <v>0</v>
      </c>
      <c r="J193" t="s">
        <v>1664</v>
      </c>
      <c r="K193" t="s">
        <v>1664</v>
      </c>
      <c r="L193" t="s">
        <v>1664</v>
      </c>
      <c r="M193" t="s">
        <v>1664</v>
      </c>
      <c r="N193" t="s">
        <v>1664</v>
      </c>
      <c r="O193" t="s">
        <v>1664</v>
      </c>
      <c r="P193" t="s">
        <v>3473</v>
      </c>
      <c r="Q193" t="s">
        <v>3487</v>
      </c>
      <c r="R193" t="s">
        <v>1664</v>
      </c>
      <c r="S193" t="s">
        <v>1664</v>
      </c>
      <c r="T193" t="s">
        <v>1664</v>
      </c>
      <c r="U193" t="s">
        <v>1664</v>
      </c>
      <c r="V193" t="s">
        <v>1664</v>
      </c>
      <c r="W193">
        <v>0</v>
      </c>
      <c r="Y193">
        <v>0</v>
      </c>
      <c r="AA193">
        <v>20730460000</v>
      </c>
      <c r="AB193" t="s">
        <v>3973</v>
      </c>
    </row>
    <row r="194" spans="1:28">
      <c r="A194" t="s">
        <v>106</v>
      </c>
      <c r="B194" t="s">
        <v>486</v>
      </c>
      <c r="C194" t="s">
        <v>490</v>
      </c>
      <c r="D194">
        <v>191745599.99999997</v>
      </c>
      <c r="E194">
        <v>95000000</v>
      </c>
      <c r="F194">
        <v>80400000</v>
      </c>
      <c r="H194">
        <v>54000000</v>
      </c>
      <c r="J194">
        <v>5000000</v>
      </c>
      <c r="K194">
        <v>57300000</v>
      </c>
      <c r="L194">
        <v>56500000</v>
      </c>
      <c r="M194">
        <v>37600000</v>
      </c>
      <c r="N194">
        <v>3200000</v>
      </c>
      <c r="O194">
        <v>9.8701389473684209</v>
      </c>
      <c r="P194" t="s">
        <v>3463</v>
      </c>
      <c r="R194">
        <v>462643515.20000005</v>
      </c>
      <c r="S194">
        <v>833204457.80000007</v>
      </c>
      <c r="T194">
        <v>477666714</v>
      </c>
      <c r="U194">
        <v>646605037</v>
      </c>
      <c r="V194">
        <v>516241118.25</v>
      </c>
      <c r="W194">
        <v>768302538.29999995</v>
      </c>
      <c r="Y194">
        <v>786000564.25</v>
      </c>
      <c r="AA194">
        <v>937663200</v>
      </c>
      <c r="AB194" t="s">
        <v>3974</v>
      </c>
    </row>
    <row r="195" spans="1:28">
      <c r="B195" t="s">
        <v>3975</v>
      </c>
      <c r="C195" t="s">
        <v>3976</v>
      </c>
      <c r="D195" t="s">
        <v>1664</v>
      </c>
      <c r="E195" t="s">
        <v>1664</v>
      </c>
      <c r="F195">
        <v>0</v>
      </c>
      <c r="H195">
        <v>0</v>
      </c>
      <c r="J195" t="s">
        <v>1664</v>
      </c>
      <c r="K195" t="s">
        <v>1664</v>
      </c>
      <c r="L195" t="s">
        <v>1664</v>
      </c>
      <c r="M195" t="s">
        <v>1664</v>
      </c>
      <c r="N195" t="s">
        <v>1664</v>
      </c>
      <c r="O195" t="s">
        <v>1664</v>
      </c>
      <c r="P195" t="s">
        <v>3620</v>
      </c>
      <c r="Q195" t="s">
        <v>3477</v>
      </c>
      <c r="R195" t="s">
        <v>1664</v>
      </c>
      <c r="S195" t="s">
        <v>1664</v>
      </c>
      <c r="T195" t="s">
        <v>1664</v>
      </c>
      <c r="U195" t="s">
        <v>1664</v>
      </c>
      <c r="V195" t="s">
        <v>1664</v>
      </c>
      <c r="W195">
        <v>0</v>
      </c>
      <c r="Y195">
        <v>0</v>
      </c>
      <c r="AA195">
        <v>1537197000</v>
      </c>
      <c r="AB195" t="s">
        <v>3977</v>
      </c>
    </row>
    <row r="196" spans="1:28">
      <c r="A196" t="s">
        <v>1949</v>
      </c>
      <c r="B196" t="s">
        <v>1179</v>
      </c>
      <c r="C196" t="s">
        <v>1183</v>
      </c>
      <c r="D196">
        <v>0</v>
      </c>
      <c r="E196" t="s">
        <v>1664</v>
      </c>
      <c r="F196">
        <v>2000000000</v>
      </c>
      <c r="G196">
        <v>2000000000</v>
      </c>
      <c r="H196">
        <v>1845000000</v>
      </c>
      <c r="J196">
        <v>625000000</v>
      </c>
      <c r="K196">
        <v>1730000000</v>
      </c>
      <c r="L196">
        <v>1660000000</v>
      </c>
      <c r="M196">
        <v>1693000000</v>
      </c>
      <c r="N196">
        <v>1667000000</v>
      </c>
      <c r="O196" t="s">
        <v>1664</v>
      </c>
      <c r="P196" t="s">
        <v>3615</v>
      </c>
      <c r="Q196" t="s">
        <v>3518</v>
      </c>
      <c r="R196">
        <v>19168038580.450001</v>
      </c>
      <c r="S196">
        <v>21901560414</v>
      </c>
      <c r="T196">
        <v>15216878840</v>
      </c>
      <c r="U196">
        <v>18756435075</v>
      </c>
      <c r="V196">
        <v>18716792025.700001</v>
      </c>
      <c r="W196">
        <v>25709158121.850002</v>
      </c>
      <c r="Y196">
        <v>18552770415.720001</v>
      </c>
      <c r="AA196">
        <v>21630640000</v>
      </c>
      <c r="AB196" t="s">
        <v>3978</v>
      </c>
    </row>
    <row r="197" spans="1:28">
      <c r="A197" t="s">
        <v>3979</v>
      </c>
      <c r="B197" t="s">
        <v>3433</v>
      </c>
      <c r="C197" t="s">
        <v>3367</v>
      </c>
      <c r="D197" t="s">
        <v>1664</v>
      </c>
      <c r="E197" t="s">
        <v>1664</v>
      </c>
      <c r="F197">
        <v>0</v>
      </c>
      <c r="H197">
        <v>0</v>
      </c>
      <c r="J197" t="s">
        <v>1664</v>
      </c>
      <c r="K197" t="s">
        <v>1664</v>
      </c>
      <c r="L197" t="s">
        <v>1664</v>
      </c>
      <c r="M197" t="s">
        <v>1664</v>
      </c>
      <c r="N197" t="s">
        <v>1664</v>
      </c>
      <c r="O197" t="s">
        <v>1664</v>
      </c>
      <c r="P197" t="s">
        <v>3490</v>
      </c>
      <c r="Q197" t="s">
        <v>3491</v>
      </c>
      <c r="R197" t="s">
        <v>1664</v>
      </c>
      <c r="S197" t="s">
        <v>1664</v>
      </c>
      <c r="T197" t="s">
        <v>1664</v>
      </c>
      <c r="U197" t="s">
        <v>1664</v>
      </c>
      <c r="V197" t="s">
        <v>1664</v>
      </c>
      <c r="W197">
        <v>0</v>
      </c>
      <c r="Y197">
        <v>0</v>
      </c>
      <c r="AA197">
        <v>2377078694160</v>
      </c>
      <c r="AB197" t="s">
        <v>3980</v>
      </c>
    </row>
    <row r="198" spans="1:28">
      <c r="A198" t="s">
        <v>3493</v>
      </c>
      <c r="B198" t="s">
        <v>1656</v>
      </c>
      <c r="C198" t="s">
        <v>1658</v>
      </c>
      <c r="D198">
        <v>0</v>
      </c>
      <c r="E198">
        <v>0</v>
      </c>
      <c r="F198">
        <v>14000000000</v>
      </c>
      <c r="H198">
        <v>10000000000</v>
      </c>
      <c r="J198">
        <v>-747064000</v>
      </c>
      <c r="K198">
        <v>-514021000</v>
      </c>
      <c r="L198">
        <v>-401857000</v>
      </c>
      <c r="M198">
        <v>-269841000</v>
      </c>
      <c r="N198" t="s">
        <v>1664</v>
      </c>
      <c r="O198" t="s">
        <v>1664</v>
      </c>
      <c r="P198" t="s">
        <v>3589</v>
      </c>
      <c r="Q198" t="s">
        <v>3474</v>
      </c>
      <c r="R198" t="s">
        <v>1664</v>
      </c>
      <c r="S198">
        <v>0</v>
      </c>
      <c r="T198">
        <v>1375696543.6800001</v>
      </c>
      <c r="U198">
        <v>6248852349.04</v>
      </c>
      <c r="V198">
        <v>41442953140.959999</v>
      </c>
      <c r="W198">
        <v>95207320320</v>
      </c>
      <c r="Y198">
        <v>71254745316.160004</v>
      </c>
      <c r="AA198">
        <v>39277156320</v>
      </c>
      <c r="AB198" t="s">
        <v>3981</v>
      </c>
    </row>
    <row r="199" spans="1:28">
      <c r="B199" t="s">
        <v>3982</v>
      </c>
      <c r="C199" t="s">
        <v>2006</v>
      </c>
      <c r="D199" t="s">
        <v>1664</v>
      </c>
      <c r="E199" t="s">
        <v>1664</v>
      </c>
      <c r="F199">
        <v>0</v>
      </c>
      <c r="H199">
        <v>0</v>
      </c>
      <c r="J199" t="s">
        <v>1664</v>
      </c>
      <c r="K199" t="s">
        <v>1664</v>
      </c>
      <c r="L199" t="s">
        <v>1664</v>
      </c>
      <c r="M199" t="s">
        <v>1664</v>
      </c>
      <c r="N199" t="s">
        <v>1664</v>
      </c>
      <c r="O199" t="s">
        <v>1664</v>
      </c>
      <c r="P199" t="s">
        <v>3520</v>
      </c>
      <c r="Q199" t="s">
        <v>3487</v>
      </c>
      <c r="R199" t="s">
        <v>1664</v>
      </c>
      <c r="S199" t="s">
        <v>1664</v>
      </c>
      <c r="T199" t="s">
        <v>1664</v>
      </c>
      <c r="U199" t="s">
        <v>1664</v>
      </c>
      <c r="V199" t="s">
        <v>1664</v>
      </c>
      <c r="W199">
        <v>0</v>
      </c>
      <c r="Y199">
        <v>0</v>
      </c>
      <c r="AA199">
        <v>8751862000</v>
      </c>
      <c r="AB199" t="s">
        <v>3983</v>
      </c>
    </row>
    <row r="200" spans="1:28">
      <c r="B200" t="s">
        <v>640</v>
      </c>
      <c r="C200" t="s">
        <v>642</v>
      </c>
      <c r="D200" t="s">
        <v>1664</v>
      </c>
      <c r="E200" t="s">
        <v>1664</v>
      </c>
      <c r="F200">
        <v>0</v>
      </c>
      <c r="H200">
        <v>0</v>
      </c>
      <c r="J200">
        <v>-46868000</v>
      </c>
      <c r="K200">
        <v>-4851000</v>
      </c>
      <c r="L200">
        <v>4906000</v>
      </c>
      <c r="M200">
        <v>4990000</v>
      </c>
      <c r="N200">
        <v>2700000</v>
      </c>
      <c r="O200" t="s">
        <v>1664</v>
      </c>
      <c r="P200" t="s">
        <v>3486</v>
      </c>
      <c r="R200">
        <v>651525000</v>
      </c>
      <c r="S200">
        <v>625940000</v>
      </c>
      <c r="T200">
        <v>169860000</v>
      </c>
      <c r="U200">
        <v>164772000</v>
      </c>
      <c r="V200">
        <v>136116000</v>
      </c>
      <c r="W200">
        <v>191040000</v>
      </c>
      <c r="Y200">
        <v>0</v>
      </c>
      <c r="AA200">
        <v>120154900</v>
      </c>
      <c r="AB200" t="s">
        <v>3984</v>
      </c>
    </row>
    <row r="201" spans="1:28">
      <c r="B201" t="s">
        <v>3985</v>
      </c>
      <c r="C201" t="s">
        <v>3986</v>
      </c>
      <c r="D201" t="s">
        <v>1664</v>
      </c>
      <c r="E201" t="s">
        <v>1664</v>
      </c>
      <c r="F201">
        <v>0</v>
      </c>
      <c r="H201">
        <v>0</v>
      </c>
      <c r="J201" t="s">
        <v>1664</v>
      </c>
      <c r="K201" t="s">
        <v>1664</v>
      </c>
      <c r="L201" t="s">
        <v>1664</v>
      </c>
      <c r="M201" t="s">
        <v>1664</v>
      </c>
      <c r="N201" t="s">
        <v>1664</v>
      </c>
      <c r="O201" t="s">
        <v>1664</v>
      </c>
      <c r="P201" t="s">
        <v>3504</v>
      </c>
      <c r="Q201" t="s">
        <v>3487</v>
      </c>
      <c r="R201" t="s">
        <v>1664</v>
      </c>
      <c r="S201" t="s">
        <v>1664</v>
      </c>
      <c r="T201" t="s">
        <v>1664</v>
      </c>
      <c r="U201" t="s">
        <v>1664</v>
      </c>
      <c r="V201" t="s">
        <v>1664</v>
      </c>
      <c r="W201">
        <v>0</v>
      </c>
      <c r="Y201">
        <v>0</v>
      </c>
      <c r="AA201">
        <v>51489430000</v>
      </c>
      <c r="AB201" t="s">
        <v>3987</v>
      </c>
    </row>
    <row r="202" spans="1:28">
      <c r="A202" t="s">
        <v>106</v>
      </c>
      <c r="B202" t="s">
        <v>3369</v>
      </c>
      <c r="C202" t="s">
        <v>2519</v>
      </c>
      <c r="D202">
        <v>414000000</v>
      </c>
      <c r="E202">
        <v>80000000</v>
      </c>
      <c r="F202">
        <v>45200000</v>
      </c>
      <c r="H202">
        <v>41000000</v>
      </c>
      <c r="J202">
        <v>3300000</v>
      </c>
      <c r="K202">
        <v>37000000</v>
      </c>
      <c r="L202">
        <v>13500000</v>
      </c>
      <c r="M202" t="s">
        <v>1664</v>
      </c>
      <c r="N202" t="s">
        <v>1664</v>
      </c>
      <c r="O202">
        <v>55.22045</v>
      </c>
      <c r="P202" t="s">
        <v>371</v>
      </c>
      <c r="Q202" t="s">
        <v>3477</v>
      </c>
      <c r="R202" t="s">
        <v>1664</v>
      </c>
      <c r="S202" t="s">
        <v>1664</v>
      </c>
      <c r="T202">
        <v>1472140140.3399999</v>
      </c>
      <c r="U202">
        <v>2407160680.9200001</v>
      </c>
      <c r="V202">
        <v>4926865504.0799999</v>
      </c>
      <c r="W202">
        <v>4083565136.3999996</v>
      </c>
      <c r="Y202">
        <v>3387336970.9200001</v>
      </c>
      <c r="AA202">
        <v>4417636000</v>
      </c>
      <c r="AB202" t="s">
        <v>3988</v>
      </c>
    </row>
    <row r="203" spans="1:28">
      <c r="A203" t="s">
        <v>664</v>
      </c>
      <c r="B203" t="s">
        <v>3989</v>
      </c>
      <c r="C203" t="s">
        <v>3990</v>
      </c>
      <c r="D203" t="s">
        <v>1664</v>
      </c>
      <c r="E203" t="s">
        <v>1664</v>
      </c>
      <c r="F203">
        <v>0</v>
      </c>
      <c r="H203">
        <v>0</v>
      </c>
      <c r="J203" t="s">
        <v>1664</v>
      </c>
      <c r="K203" t="s">
        <v>1664</v>
      </c>
      <c r="L203" t="s">
        <v>1664</v>
      </c>
      <c r="M203" t="s">
        <v>1664</v>
      </c>
      <c r="N203" t="s">
        <v>1664</v>
      </c>
      <c r="O203" t="s">
        <v>1664</v>
      </c>
      <c r="P203" t="s">
        <v>3651</v>
      </c>
      <c r="Q203" t="s">
        <v>3469</v>
      </c>
      <c r="R203" t="s">
        <v>1664</v>
      </c>
      <c r="S203" t="s">
        <v>1664</v>
      </c>
      <c r="T203" t="s">
        <v>1664</v>
      </c>
      <c r="U203" t="s">
        <v>1664</v>
      </c>
      <c r="V203" t="s">
        <v>1664</v>
      </c>
      <c r="W203">
        <v>0</v>
      </c>
      <c r="Y203">
        <v>0</v>
      </c>
      <c r="AA203">
        <v>284942400000</v>
      </c>
      <c r="AB203" t="s">
        <v>3991</v>
      </c>
    </row>
    <row r="204" spans="1:28">
      <c r="B204" t="s">
        <v>3992</v>
      </c>
      <c r="C204" t="s">
        <v>3993</v>
      </c>
      <c r="D204" t="s">
        <v>1664</v>
      </c>
      <c r="E204" t="s">
        <v>1664</v>
      </c>
      <c r="F204">
        <v>0</v>
      </c>
      <c r="H204">
        <v>0</v>
      </c>
      <c r="J204" t="s">
        <v>1664</v>
      </c>
      <c r="K204" t="s">
        <v>1664</v>
      </c>
      <c r="L204" t="s">
        <v>1664</v>
      </c>
      <c r="M204" t="s">
        <v>1664</v>
      </c>
      <c r="N204" t="s">
        <v>1664</v>
      </c>
      <c r="O204" t="s">
        <v>1664</v>
      </c>
      <c r="P204" t="s">
        <v>3490</v>
      </c>
      <c r="Q204" t="s">
        <v>3491</v>
      </c>
      <c r="R204" t="s">
        <v>1664</v>
      </c>
      <c r="S204" t="s">
        <v>1664</v>
      </c>
      <c r="T204" t="s">
        <v>1664</v>
      </c>
      <c r="U204" t="s">
        <v>1664</v>
      </c>
      <c r="V204" t="s">
        <v>1664</v>
      </c>
      <c r="W204">
        <v>0</v>
      </c>
      <c r="Y204">
        <v>0</v>
      </c>
      <c r="AA204">
        <v>173491972200</v>
      </c>
      <c r="AB204" t="s">
        <v>3994</v>
      </c>
    </row>
    <row r="205" spans="1:28">
      <c r="A205" t="s">
        <v>3995</v>
      </c>
      <c r="B205" t="s">
        <v>1101</v>
      </c>
      <c r="C205" t="s">
        <v>1104</v>
      </c>
      <c r="D205">
        <v>599000000</v>
      </c>
      <c r="E205">
        <v>0</v>
      </c>
      <c r="F205">
        <v>248000000</v>
      </c>
      <c r="H205">
        <v>164000000</v>
      </c>
      <c r="J205">
        <v>80000000</v>
      </c>
      <c r="K205">
        <v>-118000000</v>
      </c>
      <c r="L205">
        <v>14000000</v>
      </c>
      <c r="M205">
        <v>125000000</v>
      </c>
      <c r="N205">
        <v>61000000</v>
      </c>
      <c r="O205" t="s">
        <v>1664</v>
      </c>
      <c r="P205" t="s">
        <v>3468</v>
      </c>
      <c r="Q205" t="s">
        <v>3477</v>
      </c>
      <c r="R205">
        <v>2161166543.8299999</v>
      </c>
      <c r="S205">
        <v>2218930287</v>
      </c>
      <c r="T205">
        <v>1000377893</v>
      </c>
      <c r="U205">
        <v>1875071760</v>
      </c>
      <c r="V205">
        <v>2586171966</v>
      </c>
      <c r="W205">
        <v>3746226920.6499996</v>
      </c>
      <c r="Y205">
        <v>3685135276.0500002</v>
      </c>
      <c r="AA205">
        <v>3399638000</v>
      </c>
      <c r="AB205" t="s">
        <v>3996</v>
      </c>
    </row>
    <row r="206" spans="1:28">
      <c r="A206" t="s">
        <v>106</v>
      </c>
      <c r="B206" t="s">
        <v>2555</v>
      </c>
      <c r="C206" t="s">
        <v>2557</v>
      </c>
      <c r="D206">
        <v>520000000</v>
      </c>
      <c r="E206">
        <v>0</v>
      </c>
      <c r="F206">
        <v>188000000</v>
      </c>
      <c r="H206">
        <v>325000000</v>
      </c>
      <c r="J206">
        <v>118100000</v>
      </c>
      <c r="K206">
        <v>160700000</v>
      </c>
      <c r="L206">
        <v>276900000</v>
      </c>
      <c r="M206">
        <v>182700000</v>
      </c>
      <c r="N206">
        <v>142400000</v>
      </c>
      <c r="O206" t="s">
        <v>1664</v>
      </c>
      <c r="P206" t="s">
        <v>3552</v>
      </c>
      <c r="Q206" t="s">
        <v>3477</v>
      </c>
      <c r="R206">
        <v>2439002458</v>
      </c>
      <c r="S206">
        <v>2779421510.4000001</v>
      </c>
      <c r="T206">
        <v>2205898153.1999998</v>
      </c>
      <c r="U206">
        <v>2469707856</v>
      </c>
      <c r="V206">
        <v>2000463363.3600001</v>
      </c>
      <c r="W206">
        <v>2310299439.8399997</v>
      </c>
      <c r="Y206">
        <v>1462740607.4399998</v>
      </c>
      <c r="AA206">
        <v>810513200</v>
      </c>
      <c r="AB206" t="s">
        <v>3997</v>
      </c>
    </row>
    <row r="207" spans="1:28">
      <c r="B207" t="s">
        <v>3998</v>
      </c>
      <c r="C207" t="s">
        <v>3999</v>
      </c>
      <c r="D207" t="s">
        <v>1664</v>
      </c>
      <c r="E207" t="s">
        <v>1664</v>
      </c>
      <c r="F207">
        <v>0</v>
      </c>
      <c r="H207">
        <v>0</v>
      </c>
      <c r="J207" t="s">
        <v>1664</v>
      </c>
      <c r="K207" t="s">
        <v>1664</v>
      </c>
      <c r="L207" t="s">
        <v>1664</v>
      </c>
      <c r="M207" t="s">
        <v>1664</v>
      </c>
      <c r="N207" t="s">
        <v>1664</v>
      </c>
      <c r="O207" t="s">
        <v>1664</v>
      </c>
      <c r="P207" t="s">
        <v>3486</v>
      </c>
      <c r="Q207" t="s">
        <v>3464</v>
      </c>
      <c r="R207" t="s">
        <v>1664</v>
      </c>
      <c r="S207" t="s">
        <v>1664</v>
      </c>
      <c r="T207" t="s">
        <v>1664</v>
      </c>
      <c r="U207" t="s">
        <v>1664</v>
      </c>
      <c r="V207" t="s">
        <v>1664</v>
      </c>
      <c r="W207">
        <v>0</v>
      </c>
      <c r="Y207">
        <v>0</v>
      </c>
      <c r="AA207">
        <v>143878500000</v>
      </c>
      <c r="AB207" t="s">
        <v>4000</v>
      </c>
    </row>
    <row r="208" spans="1:28">
      <c r="B208" t="s">
        <v>4001</v>
      </c>
      <c r="C208" t="s">
        <v>4002</v>
      </c>
      <c r="D208" t="s">
        <v>1664</v>
      </c>
      <c r="E208" t="s">
        <v>1664</v>
      </c>
      <c r="F208">
        <v>0</v>
      </c>
      <c r="H208">
        <v>0</v>
      </c>
      <c r="J208" t="s">
        <v>1664</v>
      </c>
      <c r="K208" t="s">
        <v>1664</v>
      </c>
      <c r="L208" t="s">
        <v>1664</v>
      </c>
      <c r="M208" t="s">
        <v>1664</v>
      </c>
      <c r="N208" t="s">
        <v>1664</v>
      </c>
      <c r="O208" t="s">
        <v>1664</v>
      </c>
      <c r="P208" t="s">
        <v>3504</v>
      </c>
      <c r="Q208" t="s">
        <v>3496</v>
      </c>
      <c r="R208" t="s">
        <v>1664</v>
      </c>
      <c r="S208" t="s">
        <v>1664</v>
      </c>
      <c r="T208" t="s">
        <v>1664</v>
      </c>
      <c r="U208" t="s">
        <v>1664</v>
      </c>
      <c r="V208" t="s">
        <v>1664</v>
      </c>
      <c r="W208">
        <v>0</v>
      </c>
      <c r="Y208">
        <v>0</v>
      </c>
      <c r="AA208">
        <v>10627650000</v>
      </c>
      <c r="AB208" t="s">
        <v>4003</v>
      </c>
    </row>
    <row r="209" spans="1:28">
      <c r="B209" t="s">
        <v>1328</v>
      </c>
      <c r="C209" t="s">
        <v>1332</v>
      </c>
      <c r="D209" t="s">
        <v>1664</v>
      </c>
      <c r="E209" t="s">
        <v>1664</v>
      </c>
      <c r="F209">
        <v>0</v>
      </c>
      <c r="H209">
        <v>-100000000</v>
      </c>
      <c r="J209">
        <v>-129600000</v>
      </c>
      <c r="K209">
        <v>-72600000</v>
      </c>
      <c r="L209">
        <v>-83853000</v>
      </c>
      <c r="M209">
        <v>329000</v>
      </c>
      <c r="N209">
        <v>95400000</v>
      </c>
      <c r="O209" t="s">
        <v>1664</v>
      </c>
      <c r="P209" t="s">
        <v>3527</v>
      </c>
      <c r="R209">
        <v>1896668480</v>
      </c>
      <c r="S209">
        <v>707002038.63</v>
      </c>
      <c r="T209">
        <v>814652554.80000007</v>
      </c>
      <c r="U209">
        <v>1333508637.5</v>
      </c>
      <c r="V209">
        <v>2381113023.1199999</v>
      </c>
      <c r="W209">
        <v>2233893648.5999999</v>
      </c>
      <c r="Y209">
        <v>0</v>
      </c>
      <c r="AA209">
        <v>2830311000</v>
      </c>
      <c r="AB209" t="s">
        <v>4004</v>
      </c>
    </row>
    <row r="210" spans="1:28">
      <c r="B210" t="s">
        <v>4005</v>
      </c>
      <c r="C210" t="s">
        <v>4006</v>
      </c>
      <c r="D210" t="s">
        <v>1664</v>
      </c>
      <c r="E210" t="s">
        <v>1664</v>
      </c>
      <c r="F210">
        <v>0</v>
      </c>
      <c r="H210">
        <v>0</v>
      </c>
      <c r="J210" t="s">
        <v>1664</v>
      </c>
      <c r="K210" t="s">
        <v>1664</v>
      </c>
      <c r="L210" t="s">
        <v>1664</v>
      </c>
      <c r="M210" t="s">
        <v>1664</v>
      </c>
      <c r="N210" t="s">
        <v>1664</v>
      </c>
      <c r="O210" t="s">
        <v>1664</v>
      </c>
      <c r="P210" t="s">
        <v>3473</v>
      </c>
      <c r="Q210" t="s">
        <v>3469</v>
      </c>
      <c r="R210" t="s">
        <v>1664</v>
      </c>
      <c r="S210" t="s">
        <v>1664</v>
      </c>
      <c r="T210" t="s">
        <v>1664</v>
      </c>
      <c r="U210" t="s">
        <v>1664</v>
      </c>
      <c r="V210" t="s">
        <v>1664</v>
      </c>
      <c r="W210">
        <v>0</v>
      </c>
      <c r="Y210">
        <v>0</v>
      </c>
      <c r="AA210">
        <v>211554900000</v>
      </c>
      <c r="AB210" t="s">
        <v>4007</v>
      </c>
    </row>
    <row r="211" spans="1:28">
      <c r="B211" t="s">
        <v>2612</v>
      </c>
      <c r="C211" t="s">
        <v>2615</v>
      </c>
      <c r="D211">
        <v>0</v>
      </c>
      <c r="E211">
        <v>0</v>
      </c>
      <c r="F211">
        <v>0</v>
      </c>
      <c r="H211">
        <v>4332000000</v>
      </c>
      <c r="J211">
        <v>2796000000</v>
      </c>
      <c r="K211">
        <v>4141000000</v>
      </c>
      <c r="L211">
        <v>3047000000</v>
      </c>
      <c r="M211">
        <v>1666000000</v>
      </c>
      <c r="N211">
        <v>614000000</v>
      </c>
      <c r="O211" t="s">
        <v>1664</v>
      </c>
      <c r="P211" t="s">
        <v>3594</v>
      </c>
      <c r="Q211" t="s">
        <v>3491</v>
      </c>
      <c r="R211">
        <v>62476200000</v>
      </c>
      <c r="S211">
        <v>125581500000</v>
      </c>
      <c r="T211">
        <v>84435200000</v>
      </c>
      <c r="U211">
        <v>149625000000</v>
      </c>
      <c r="V211">
        <v>322719600000</v>
      </c>
      <c r="W211">
        <v>369389600000</v>
      </c>
      <c r="Y211">
        <v>0</v>
      </c>
      <c r="AA211">
        <v>1037745800000</v>
      </c>
      <c r="AB211" t="s">
        <v>4008</v>
      </c>
    </row>
    <row r="212" spans="1:28">
      <c r="A212" t="s">
        <v>4009</v>
      </c>
      <c r="B212" t="s">
        <v>1857</v>
      </c>
      <c r="C212" t="s">
        <v>1860</v>
      </c>
      <c r="D212">
        <v>135000000</v>
      </c>
      <c r="E212">
        <v>20000000</v>
      </c>
      <c r="F212">
        <v>-270900000</v>
      </c>
      <c r="H212">
        <v>-61900000</v>
      </c>
      <c r="J212">
        <v>54000000</v>
      </c>
      <c r="K212">
        <v>37300000</v>
      </c>
      <c r="L212">
        <v>97000000</v>
      </c>
      <c r="M212">
        <v>128400000</v>
      </c>
      <c r="N212">
        <v>119700000</v>
      </c>
      <c r="O212">
        <v>29.583234999999998</v>
      </c>
      <c r="P212" t="s">
        <v>3892</v>
      </c>
      <c r="Q212" t="s">
        <v>4010</v>
      </c>
      <c r="R212">
        <v>2114826301</v>
      </c>
      <c r="S212">
        <v>2358424323.52</v>
      </c>
      <c r="T212">
        <v>1317555488</v>
      </c>
      <c r="U212">
        <v>1235208270</v>
      </c>
      <c r="V212">
        <v>905819398</v>
      </c>
      <c r="W212">
        <v>575607053.82000005</v>
      </c>
      <c r="Y212">
        <v>513846640.31999999</v>
      </c>
      <c r="AA212">
        <v>591664700</v>
      </c>
      <c r="AB212" t="s">
        <v>4011</v>
      </c>
    </row>
    <row r="213" spans="1:28">
      <c r="B213" t="s">
        <v>1736</v>
      </c>
      <c r="C213" t="s">
        <v>1739</v>
      </c>
      <c r="D213">
        <v>12963000000</v>
      </c>
      <c r="E213">
        <v>2700000000</v>
      </c>
      <c r="F213">
        <v>2146000000</v>
      </c>
      <c r="H213">
        <v>233000000</v>
      </c>
      <c r="J213">
        <v>4822000000</v>
      </c>
      <c r="K213">
        <v>3004000000</v>
      </c>
      <c r="L213">
        <v>1954000000</v>
      </c>
      <c r="M213">
        <v>1906000000</v>
      </c>
      <c r="N213">
        <v>2935000000</v>
      </c>
      <c r="O213">
        <v>11.083570370370371</v>
      </c>
      <c r="P213" t="s">
        <v>3646</v>
      </c>
      <c r="Q213" t="s">
        <v>3518</v>
      </c>
      <c r="R213">
        <v>38411217289.559998</v>
      </c>
      <c r="S213">
        <v>38570820685.5</v>
      </c>
      <c r="T213">
        <v>37240792386</v>
      </c>
      <c r="U213">
        <v>25882350708.27</v>
      </c>
      <c r="V213">
        <v>25270537690.5</v>
      </c>
      <c r="W213">
        <v>24685325238.719997</v>
      </c>
      <c r="Y213">
        <v>24685325238.719997</v>
      </c>
      <c r="AA213">
        <v>29925640000</v>
      </c>
      <c r="AB213" t="s">
        <v>4012</v>
      </c>
    </row>
    <row r="214" spans="1:28">
      <c r="B214" t="s">
        <v>1308</v>
      </c>
      <c r="C214" t="s">
        <v>1310</v>
      </c>
      <c r="D214" t="s">
        <v>1664</v>
      </c>
      <c r="E214" t="s">
        <v>1664</v>
      </c>
      <c r="F214">
        <v>0</v>
      </c>
      <c r="H214">
        <v>0</v>
      </c>
      <c r="J214" t="s">
        <v>1664</v>
      </c>
      <c r="K214" t="s">
        <v>1664</v>
      </c>
      <c r="L214" t="s">
        <v>1664</v>
      </c>
      <c r="M214">
        <v>197800000</v>
      </c>
      <c r="N214">
        <v>177600000</v>
      </c>
      <c r="O214" t="s">
        <v>1664</v>
      </c>
      <c r="P214" t="s">
        <v>3810</v>
      </c>
      <c r="Q214" t="s">
        <v>3477</v>
      </c>
      <c r="R214">
        <v>4577184094.54</v>
      </c>
      <c r="S214">
        <v>6942688378.6499996</v>
      </c>
      <c r="T214" t="s">
        <v>1664</v>
      </c>
      <c r="U214" t="s">
        <v>1664</v>
      </c>
      <c r="V214" t="s">
        <v>1664</v>
      </c>
      <c r="W214">
        <v>5687130136.2999992</v>
      </c>
      <c r="Y214">
        <v>0</v>
      </c>
      <c r="AA214">
        <v>86592720</v>
      </c>
      <c r="AB214" t="s">
        <v>4013</v>
      </c>
    </row>
    <row r="215" spans="1:28">
      <c r="B215" t="s">
        <v>4014</v>
      </c>
      <c r="C215" t="s">
        <v>857</v>
      </c>
      <c r="D215">
        <v>308000000</v>
      </c>
      <c r="E215">
        <v>25000000</v>
      </c>
      <c r="F215">
        <v>-28554000</v>
      </c>
      <c r="H215">
        <v>-32344000</v>
      </c>
      <c r="J215">
        <v>-11306000</v>
      </c>
      <c r="K215">
        <v>-40900000</v>
      </c>
      <c r="L215">
        <v>-27900000</v>
      </c>
      <c r="M215" t="s">
        <v>1664</v>
      </c>
      <c r="N215" t="s">
        <v>1664</v>
      </c>
      <c r="O215">
        <v>67.71808</v>
      </c>
      <c r="P215" t="s">
        <v>3490</v>
      </c>
      <c r="Q215" t="s">
        <v>3477</v>
      </c>
      <c r="R215" t="s">
        <v>1664</v>
      </c>
      <c r="S215" t="s">
        <v>1664</v>
      </c>
      <c r="T215">
        <v>0</v>
      </c>
      <c r="U215">
        <v>0</v>
      </c>
      <c r="V215">
        <v>0</v>
      </c>
      <c r="W215">
        <v>4788730986.3999996</v>
      </c>
      <c r="Y215">
        <v>3012752801.6800003</v>
      </c>
      <c r="AA215">
        <v>1692952000</v>
      </c>
      <c r="AB215" t="s">
        <v>4015</v>
      </c>
    </row>
    <row r="216" spans="1:28">
      <c r="B216" t="s">
        <v>4016</v>
      </c>
      <c r="C216" t="s">
        <v>4017</v>
      </c>
      <c r="D216" t="s">
        <v>1664</v>
      </c>
      <c r="E216" t="s">
        <v>1664</v>
      </c>
      <c r="F216">
        <v>0</v>
      </c>
      <c r="H216">
        <v>0</v>
      </c>
      <c r="J216" t="s">
        <v>1664</v>
      </c>
      <c r="K216" t="s">
        <v>1664</v>
      </c>
      <c r="L216" t="s">
        <v>1664</v>
      </c>
      <c r="M216" t="s">
        <v>1664</v>
      </c>
      <c r="N216" t="s">
        <v>1664</v>
      </c>
      <c r="O216" t="s">
        <v>1664</v>
      </c>
      <c r="P216" t="s">
        <v>3567</v>
      </c>
      <c r="Q216" t="s">
        <v>3469</v>
      </c>
      <c r="R216" t="s">
        <v>1664</v>
      </c>
      <c r="S216" t="s">
        <v>1664</v>
      </c>
      <c r="T216" t="s">
        <v>1664</v>
      </c>
      <c r="U216" t="s">
        <v>1664</v>
      </c>
      <c r="V216" t="s">
        <v>1664</v>
      </c>
      <c r="W216">
        <v>0</v>
      </c>
      <c r="Y216">
        <v>0</v>
      </c>
      <c r="AA216">
        <v>28115100000</v>
      </c>
      <c r="AB216" t="s">
        <v>4018</v>
      </c>
    </row>
    <row r="217" spans="1:28">
      <c r="B217" t="s">
        <v>4019</v>
      </c>
      <c r="C217" t="s">
        <v>2504</v>
      </c>
      <c r="D217" t="s">
        <v>1664</v>
      </c>
      <c r="E217" t="s">
        <v>1664</v>
      </c>
      <c r="F217">
        <v>0</v>
      </c>
      <c r="H217">
        <v>0</v>
      </c>
      <c r="J217">
        <v>-71600000</v>
      </c>
      <c r="K217">
        <v>-195600000</v>
      </c>
      <c r="L217">
        <v>-47800000</v>
      </c>
      <c r="M217">
        <v>-71100000</v>
      </c>
      <c r="N217" t="s">
        <v>1664</v>
      </c>
      <c r="O217" t="s">
        <v>1664</v>
      </c>
      <c r="P217" t="s">
        <v>4020</v>
      </c>
      <c r="R217" t="s">
        <v>1664</v>
      </c>
      <c r="S217">
        <v>0</v>
      </c>
      <c r="T217">
        <v>0</v>
      </c>
      <c r="U217">
        <v>650694097.60000002</v>
      </c>
      <c r="V217">
        <v>33518454352.899998</v>
      </c>
      <c r="W217">
        <v>7901251995.1199999</v>
      </c>
      <c r="Y217">
        <v>0</v>
      </c>
      <c r="AA217">
        <v>1624380485</v>
      </c>
      <c r="AB217" t="s">
        <v>4021</v>
      </c>
    </row>
    <row r="218" spans="1:28">
      <c r="B218" t="s">
        <v>4022</v>
      </c>
      <c r="C218" t="s">
        <v>222</v>
      </c>
      <c r="D218" t="s">
        <v>1664</v>
      </c>
      <c r="E218" t="s">
        <v>1664</v>
      </c>
      <c r="F218">
        <v>1996000000</v>
      </c>
      <c r="G218">
        <v>1996000000</v>
      </c>
      <c r="H218">
        <v>1305000000</v>
      </c>
      <c r="I218">
        <v>1305000000</v>
      </c>
      <c r="J218" t="s">
        <v>1664</v>
      </c>
      <c r="K218" t="s">
        <v>1664</v>
      </c>
      <c r="L218" t="s">
        <v>1664</v>
      </c>
      <c r="M218" t="s">
        <v>1664</v>
      </c>
      <c r="N218" t="s">
        <v>1664</v>
      </c>
      <c r="O218" t="s">
        <v>1664</v>
      </c>
      <c r="P218" t="s">
        <v>3571</v>
      </c>
      <c r="Q218" t="s">
        <v>3518</v>
      </c>
      <c r="R218" t="s">
        <v>1664</v>
      </c>
      <c r="S218" t="s">
        <v>1664</v>
      </c>
      <c r="T218" t="s">
        <v>1664</v>
      </c>
      <c r="U218" t="s">
        <v>1664</v>
      </c>
      <c r="V218" t="s">
        <v>1664</v>
      </c>
      <c r="W218">
        <v>48136005000</v>
      </c>
      <c r="X218">
        <v>48136005000</v>
      </c>
      <c r="Y218">
        <v>47863477000</v>
      </c>
      <c r="Z218">
        <v>47863477000</v>
      </c>
      <c r="AA218">
        <v>43125070000</v>
      </c>
      <c r="AB218" t="s">
        <v>4023</v>
      </c>
    </row>
    <row r="219" spans="1:28">
      <c r="A219" t="s">
        <v>106</v>
      </c>
      <c r="B219" t="s">
        <v>4024</v>
      </c>
      <c r="C219" t="s">
        <v>2189</v>
      </c>
      <c r="D219">
        <v>0</v>
      </c>
      <c r="E219">
        <v>0</v>
      </c>
      <c r="F219">
        <v>0</v>
      </c>
      <c r="H219">
        <v>0</v>
      </c>
      <c r="J219" t="s">
        <v>1664</v>
      </c>
      <c r="K219" t="s">
        <v>1664</v>
      </c>
      <c r="L219" t="s">
        <v>1664</v>
      </c>
      <c r="M219" t="s">
        <v>1664</v>
      </c>
      <c r="N219" t="s">
        <v>1664</v>
      </c>
      <c r="O219" t="s">
        <v>1664</v>
      </c>
      <c r="P219" t="s">
        <v>3567</v>
      </c>
      <c r="Q219" t="s">
        <v>3845</v>
      </c>
      <c r="R219" t="s">
        <v>1664</v>
      </c>
      <c r="S219" t="s">
        <v>1664</v>
      </c>
      <c r="T219" t="s">
        <v>1664</v>
      </c>
      <c r="U219" t="s">
        <v>1664</v>
      </c>
      <c r="V219" t="s">
        <v>1664</v>
      </c>
      <c r="W219">
        <v>0</v>
      </c>
      <c r="Y219">
        <v>2218110421</v>
      </c>
      <c r="AA219">
        <v>2552073000</v>
      </c>
      <c r="AB219" t="s">
        <v>4025</v>
      </c>
    </row>
    <row r="220" spans="1:28">
      <c r="A220" t="s">
        <v>4026</v>
      </c>
      <c r="B220" t="s">
        <v>3383</v>
      </c>
      <c r="C220" t="s">
        <v>3382</v>
      </c>
      <c r="D220" t="s">
        <v>1664</v>
      </c>
      <c r="E220" t="s">
        <v>1664</v>
      </c>
      <c r="F220">
        <v>0</v>
      </c>
      <c r="H220">
        <v>0</v>
      </c>
      <c r="J220" t="s">
        <v>1664</v>
      </c>
      <c r="K220" t="s">
        <v>1664</v>
      </c>
      <c r="L220" t="s">
        <v>1664</v>
      </c>
      <c r="M220" t="s">
        <v>1664</v>
      </c>
      <c r="N220" t="s">
        <v>1664</v>
      </c>
      <c r="O220" t="s">
        <v>1664</v>
      </c>
      <c r="P220" t="s">
        <v>3473</v>
      </c>
      <c r="Q220" t="s">
        <v>3464</v>
      </c>
      <c r="R220" t="s">
        <v>1664</v>
      </c>
      <c r="S220" t="s">
        <v>1664</v>
      </c>
      <c r="T220" t="s">
        <v>1664</v>
      </c>
      <c r="U220" t="s">
        <v>1664</v>
      </c>
      <c r="V220" t="s">
        <v>1664</v>
      </c>
      <c r="W220">
        <v>0</v>
      </c>
      <c r="Y220">
        <v>0</v>
      </c>
      <c r="AA220">
        <v>188433881625</v>
      </c>
      <c r="AB220" t="s">
        <v>4027</v>
      </c>
    </row>
    <row r="221" spans="1:28">
      <c r="B221" t="s">
        <v>4028</v>
      </c>
      <c r="C221" t="s">
        <v>1285</v>
      </c>
      <c r="D221" t="s">
        <v>1664</v>
      </c>
      <c r="E221" t="s">
        <v>1664</v>
      </c>
      <c r="F221">
        <v>0</v>
      </c>
      <c r="H221">
        <v>350000000</v>
      </c>
      <c r="J221">
        <v>275970000</v>
      </c>
      <c r="K221">
        <v>275970000</v>
      </c>
      <c r="L221">
        <v>533296000</v>
      </c>
      <c r="M221">
        <v>425177000</v>
      </c>
      <c r="N221">
        <v>312112000</v>
      </c>
      <c r="O221" t="s">
        <v>1664</v>
      </c>
      <c r="P221" t="s">
        <v>3615</v>
      </c>
      <c r="Q221" t="s">
        <v>3477</v>
      </c>
      <c r="R221">
        <v>4726787000</v>
      </c>
      <c r="S221">
        <v>5963591500</v>
      </c>
      <c r="T221">
        <v>2971320000</v>
      </c>
      <c r="U221">
        <v>3714150000</v>
      </c>
      <c r="V221">
        <v>4192532520</v>
      </c>
      <c r="W221">
        <v>3396218760</v>
      </c>
      <c r="Y221">
        <v>0</v>
      </c>
      <c r="AA221">
        <v>2366190000</v>
      </c>
      <c r="AB221" t="s">
        <v>4029</v>
      </c>
    </row>
    <row r="222" spans="1:28">
      <c r="B222" t="s">
        <v>4030</v>
      </c>
      <c r="C222" t="s">
        <v>4031</v>
      </c>
      <c r="D222" t="s">
        <v>1664</v>
      </c>
      <c r="E222" t="s">
        <v>1664</v>
      </c>
      <c r="F222">
        <v>0</v>
      </c>
      <c r="H222">
        <v>0</v>
      </c>
      <c r="J222" t="s">
        <v>1664</v>
      </c>
      <c r="K222" t="s">
        <v>1664</v>
      </c>
      <c r="L222" t="s">
        <v>1664</v>
      </c>
      <c r="M222" t="s">
        <v>1664</v>
      </c>
      <c r="N222" t="s">
        <v>1664</v>
      </c>
      <c r="O222" t="s">
        <v>1664</v>
      </c>
      <c r="P222" t="s">
        <v>3615</v>
      </c>
      <c r="Q222" t="s">
        <v>3487</v>
      </c>
      <c r="R222" t="s">
        <v>1664</v>
      </c>
      <c r="S222" t="s">
        <v>1664</v>
      </c>
      <c r="T222" t="s">
        <v>1664</v>
      </c>
      <c r="U222" t="s">
        <v>1664</v>
      </c>
      <c r="V222" t="s">
        <v>1664</v>
      </c>
      <c r="W222">
        <v>0</v>
      </c>
      <c r="Y222">
        <v>0</v>
      </c>
      <c r="AA222">
        <v>7590940000</v>
      </c>
      <c r="AB222" t="s">
        <v>4032</v>
      </c>
    </row>
    <row r="223" spans="1:28">
      <c r="B223" t="s">
        <v>4033</v>
      </c>
      <c r="C223" t="s">
        <v>632</v>
      </c>
      <c r="D223" t="s">
        <v>1664</v>
      </c>
      <c r="E223" t="s">
        <v>1664</v>
      </c>
      <c r="F223">
        <v>0</v>
      </c>
      <c r="H223">
        <v>0</v>
      </c>
      <c r="J223" t="s">
        <v>1664</v>
      </c>
      <c r="K223" t="s">
        <v>1664</v>
      </c>
      <c r="L223">
        <v>249000000</v>
      </c>
      <c r="M223">
        <v>249000000</v>
      </c>
      <c r="N223">
        <v>260230000</v>
      </c>
      <c r="O223" t="s">
        <v>1664</v>
      </c>
      <c r="P223" t="s">
        <v>3486</v>
      </c>
      <c r="R223">
        <v>9008851656.7999992</v>
      </c>
      <c r="S223">
        <v>9092525201.6000004</v>
      </c>
      <c r="T223">
        <v>131011788800</v>
      </c>
      <c r="U223" t="s">
        <v>1664</v>
      </c>
      <c r="V223" t="s">
        <v>1664</v>
      </c>
      <c r="W223">
        <v>127685317600</v>
      </c>
      <c r="Y223">
        <v>0</v>
      </c>
      <c r="AA223">
        <v>124614700000</v>
      </c>
      <c r="AB223" t="s">
        <v>4034</v>
      </c>
    </row>
    <row r="224" spans="1:28">
      <c r="B224" t="s">
        <v>2494</v>
      </c>
      <c r="C224" t="s">
        <v>2498</v>
      </c>
      <c r="D224" t="s">
        <v>1664</v>
      </c>
      <c r="E224" t="s">
        <v>1664</v>
      </c>
      <c r="F224">
        <v>0</v>
      </c>
      <c r="H224">
        <v>2939723000</v>
      </c>
      <c r="J224">
        <v>1481814000</v>
      </c>
      <c r="K224">
        <v>1572959000</v>
      </c>
      <c r="L224">
        <v>1649361000</v>
      </c>
      <c r="M224">
        <v>1652325000</v>
      </c>
      <c r="N224">
        <v>1209932000</v>
      </c>
      <c r="O224" t="s">
        <v>1664</v>
      </c>
      <c r="P224" t="s">
        <v>3500</v>
      </c>
      <c r="R224">
        <v>27913828800</v>
      </c>
      <c r="S224">
        <v>34059904000</v>
      </c>
      <c r="T224">
        <v>35888112000</v>
      </c>
      <c r="U224">
        <v>55850854800</v>
      </c>
      <c r="V224">
        <v>62964889020</v>
      </c>
      <c r="W224">
        <v>106369342920.00002</v>
      </c>
      <c r="Y224">
        <v>0</v>
      </c>
      <c r="AA224">
        <v>111704200000</v>
      </c>
      <c r="AB224" t="s">
        <v>4035</v>
      </c>
    </row>
    <row r="225" spans="2:28">
      <c r="B225" t="s">
        <v>4036</v>
      </c>
      <c r="C225" t="s">
        <v>4037</v>
      </c>
      <c r="D225" t="s">
        <v>1664</v>
      </c>
      <c r="E225" t="s">
        <v>1664</v>
      </c>
      <c r="F225">
        <v>0</v>
      </c>
      <c r="H225">
        <v>0</v>
      </c>
      <c r="J225" t="s">
        <v>1664</v>
      </c>
      <c r="K225" t="s">
        <v>1664</v>
      </c>
      <c r="L225" t="s">
        <v>1664</v>
      </c>
      <c r="M225" t="s">
        <v>1664</v>
      </c>
      <c r="N225" t="s">
        <v>1664</v>
      </c>
      <c r="O225" t="s">
        <v>1664</v>
      </c>
      <c r="P225" t="s">
        <v>3490</v>
      </c>
      <c r="Q225" t="s">
        <v>3496</v>
      </c>
      <c r="R225" t="s">
        <v>1664</v>
      </c>
      <c r="S225" t="s">
        <v>1664</v>
      </c>
      <c r="T225" t="s">
        <v>1664</v>
      </c>
      <c r="U225" t="s">
        <v>1664</v>
      </c>
      <c r="V225" t="s">
        <v>1664</v>
      </c>
      <c r="W225">
        <v>0</v>
      </c>
      <c r="Y225">
        <v>0</v>
      </c>
      <c r="AA225">
        <v>76781320000</v>
      </c>
      <c r="AB225" t="s">
        <v>4038</v>
      </c>
    </row>
    <row r="226" spans="2:28">
      <c r="B226" t="s">
        <v>4039</v>
      </c>
      <c r="C226" t="s">
        <v>4040</v>
      </c>
      <c r="D226" t="s">
        <v>1664</v>
      </c>
      <c r="E226" t="s">
        <v>1664</v>
      </c>
      <c r="F226">
        <v>0</v>
      </c>
      <c r="H226">
        <v>0</v>
      </c>
      <c r="J226" t="s">
        <v>1664</v>
      </c>
      <c r="K226" t="s">
        <v>1664</v>
      </c>
      <c r="L226" t="s">
        <v>1664</v>
      </c>
      <c r="M226" t="s">
        <v>1664</v>
      </c>
      <c r="N226" t="s">
        <v>1664</v>
      </c>
      <c r="O226" t="s">
        <v>1664</v>
      </c>
      <c r="P226" t="s">
        <v>3646</v>
      </c>
      <c r="Q226" t="s">
        <v>3482</v>
      </c>
      <c r="R226" t="s">
        <v>1664</v>
      </c>
      <c r="S226" t="s">
        <v>1664</v>
      </c>
      <c r="T226" t="s">
        <v>1664</v>
      </c>
      <c r="U226" t="s">
        <v>1664</v>
      </c>
      <c r="V226" t="s">
        <v>1664</v>
      </c>
      <c r="W226">
        <v>0</v>
      </c>
      <c r="Y226">
        <v>0</v>
      </c>
      <c r="AA226">
        <v>2671751000</v>
      </c>
      <c r="AB226" t="s">
        <v>4041</v>
      </c>
    </row>
    <row r="227" spans="2:28">
      <c r="B227" t="s">
        <v>1716</v>
      </c>
      <c r="C227" t="s">
        <v>1719</v>
      </c>
      <c r="D227" t="s">
        <v>1664</v>
      </c>
      <c r="E227" t="s">
        <v>1664</v>
      </c>
      <c r="F227">
        <v>1220000000</v>
      </c>
      <c r="G227">
        <v>1220000000</v>
      </c>
      <c r="H227">
        <v>1027000000</v>
      </c>
      <c r="I227">
        <v>1027000000</v>
      </c>
      <c r="J227" t="s">
        <v>1664</v>
      </c>
      <c r="K227">
        <v>930000000</v>
      </c>
      <c r="L227">
        <v>919000000</v>
      </c>
      <c r="M227">
        <v>862000000</v>
      </c>
      <c r="N227">
        <v>0</v>
      </c>
      <c r="O227" t="s">
        <v>1664</v>
      </c>
      <c r="P227" t="s">
        <v>3620</v>
      </c>
      <c r="Q227" t="s">
        <v>3518</v>
      </c>
      <c r="R227">
        <v>15110909917.199999</v>
      </c>
      <c r="S227">
        <v>12687046790</v>
      </c>
      <c r="T227">
        <v>10555397190</v>
      </c>
      <c r="U227">
        <v>9800211467.8400002</v>
      </c>
      <c r="V227" t="s">
        <v>1664</v>
      </c>
      <c r="W227">
        <v>14233869452.800001</v>
      </c>
      <c r="X227">
        <v>17835998000</v>
      </c>
      <c r="Y227">
        <v>15380383000</v>
      </c>
      <c r="Z227">
        <v>15380383000</v>
      </c>
      <c r="AA227">
        <v>18315540000</v>
      </c>
      <c r="AB227" t="s">
        <v>4042</v>
      </c>
    </row>
    <row r="228" spans="2:28">
      <c r="B228" t="s">
        <v>4043</v>
      </c>
      <c r="C228" t="s">
        <v>565</v>
      </c>
      <c r="D228">
        <v>0</v>
      </c>
      <c r="E228">
        <v>0</v>
      </c>
      <c r="F228">
        <v>353500000</v>
      </c>
      <c r="H228">
        <v>309600000</v>
      </c>
      <c r="J228">
        <v>78900000</v>
      </c>
      <c r="K228">
        <v>262400000</v>
      </c>
      <c r="L228">
        <v>187400000</v>
      </c>
      <c r="M228">
        <v>135800000</v>
      </c>
      <c r="N228">
        <v>62400000</v>
      </c>
      <c r="O228" t="s">
        <v>1664</v>
      </c>
      <c r="P228" t="s">
        <v>3486</v>
      </c>
      <c r="Q228" t="s">
        <v>3487</v>
      </c>
      <c r="R228">
        <v>0</v>
      </c>
      <c r="S228">
        <v>4675571280</v>
      </c>
      <c r="T228">
        <v>7616656440</v>
      </c>
      <c r="U228">
        <v>13849611992.639999</v>
      </c>
      <c r="V228">
        <v>13803242400</v>
      </c>
      <c r="W228">
        <v>16083075000</v>
      </c>
      <c r="Y228">
        <v>8482887000</v>
      </c>
      <c r="AA228">
        <v>8958983000</v>
      </c>
      <c r="AB228" t="s">
        <v>4044</v>
      </c>
    </row>
    <row r="229" spans="2:28">
      <c r="B229" t="s">
        <v>4045</v>
      </c>
      <c r="C229" t="s">
        <v>4046</v>
      </c>
      <c r="D229" t="s">
        <v>1664</v>
      </c>
      <c r="E229" t="s">
        <v>1664</v>
      </c>
      <c r="F229">
        <v>0</v>
      </c>
      <c r="H229">
        <v>0</v>
      </c>
      <c r="J229" t="s">
        <v>1664</v>
      </c>
      <c r="K229" t="s">
        <v>1664</v>
      </c>
      <c r="L229" t="s">
        <v>1664</v>
      </c>
      <c r="M229" t="s">
        <v>1664</v>
      </c>
      <c r="N229" t="s">
        <v>1664</v>
      </c>
      <c r="O229" t="s">
        <v>1664</v>
      </c>
      <c r="P229" t="s">
        <v>3589</v>
      </c>
      <c r="Q229" t="s">
        <v>3487</v>
      </c>
      <c r="R229" t="s">
        <v>1664</v>
      </c>
      <c r="S229" t="s">
        <v>1664</v>
      </c>
      <c r="T229" t="s">
        <v>1664</v>
      </c>
      <c r="U229" t="s">
        <v>1664</v>
      </c>
      <c r="V229" t="s">
        <v>1664</v>
      </c>
      <c r="W229">
        <v>0</v>
      </c>
      <c r="Y229">
        <v>0</v>
      </c>
      <c r="AA229">
        <v>9211707000</v>
      </c>
      <c r="AB229" t="s">
        <v>4047</v>
      </c>
    </row>
    <row r="230" spans="2:28">
      <c r="B230" t="s">
        <v>4048</v>
      </c>
      <c r="C230" t="s">
        <v>658</v>
      </c>
      <c r="D230" t="s">
        <v>1664</v>
      </c>
      <c r="E230" t="s">
        <v>1664</v>
      </c>
      <c r="F230">
        <v>0</v>
      </c>
      <c r="H230">
        <v>0</v>
      </c>
      <c r="J230" t="s">
        <v>1664</v>
      </c>
      <c r="K230">
        <v>450000000</v>
      </c>
      <c r="L230">
        <v>450000000</v>
      </c>
      <c r="M230" t="s">
        <v>1664</v>
      </c>
      <c r="N230" t="s">
        <v>1664</v>
      </c>
      <c r="O230" t="s">
        <v>1664</v>
      </c>
      <c r="P230" t="s">
        <v>3486</v>
      </c>
      <c r="R230" t="s">
        <v>1664</v>
      </c>
      <c r="S230" t="s">
        <v>1664</v>
      </c>
      <c r="T230">
        <v>8114284500</v>
      </c>
      <c r="U230">
        <v>8016913086</v>
      </c>
      <c r="V230" t="s">
        <v>1664</v>
      </c>
      <c r="W230">
        <v>0</v>
      </c>
      <c r="Y230">
        <v>0</v>
      </c>
      <c r="AA230">
        <v>7399572605</v>
      </c>
      <c r="AB230" t="s">
        <v>4049</v>
      </c>
    </row>
    <row r="231" spans="2:28">
      <c r="B231" t="s">
        <v>4050</v>
      </c>
      <c r="C231" t="s">
        <v>3094</v>
      </c>
      <c r="D231">
        <v>658400000</v>
      </c>
      <c r="E231">
        <v>0</v>
      </c>
      <c r="F231">
        <v>118400000</v>
      </c>
      <c r="H231">
        <v>73800000</v>
      </c>
      <c r="N231" t="s">
        <v>1664</v>
      </c>
      <c r="O231" t="s">
        <v>1664</v>
      </c>
      <c r="P231" t="s">
        <v>3810</v>
      </c>
      <c r="R231" t="s">
        <v>1664</v>
      </c>
      <c r="S231" t="s">
        <v>1664</v>
      </c>
      <c r="T231" t="s">
        <v>1664</v>
      </c>
      <c r="U231" t="s">
        <v>1664</v>
      </c>
      <c r="V231" t="s">
        <v>1664</v>
      </c>
      <c r="W231">
        <v>2362339366</v>
      </c>
      <c r="Y231">
        <v>2020131327</v>
      </c>
      <c r="AA231">
        <v>2461690000</v>
      </c>
      <c r="AB231" t="s">
        <v>4051</v>
      </c>
    </row>
    <row r="232" spans="2:28">
      <c r="B232" t="s">
        <v>4052</v>
      </c>
      <c r="C232" t="s">
        <v>4053</v>
      </c>
      <c r="D232" t="s">
        <v>1664</v>
      </c>
      <c r="E232" t="s">
        <v>1664</v>
      </c>
      <c r="F232">
        <v>0</v>
      </c>
      <c r="H232">
        <v>0</v>
      </c>
      <c r="J232" t="s">
        <v>1664</v>
      </c>
      <c r="K232" t="s">
        <v>1664</v>
      </c>
      <c r="L232" t="s">
        <v>1664</v>
      </c>
      <c r="M232" t="s">
        <v>1664</v>
      </c>
      <c r="N232" t="s">
        <v>1664</v>
      </c>
      <c r="O232" t="s">
        <v>1664</v>
      </c>
      <c r="P232" t="s">
        <v>3623</v>
      </c>
      <c r="Q232" t="s">
        <v>3496</v>
      </c>
      <c r="R232" t="s">
        <v>1664</v>
      </c>
      <c r="S232" t="s">
        <v>1664</v>
      </c>
      <c r="T232" t="s">
        <v>1664</v>
      </c>
      <c r="U232" t="s">
        <v>1664</v>
      </c>
      <c r="V232" t="s">
        <v>1664</v>
      </c>
      <c r="W232">
        <v>0</v>
      </c>
      <c r="Y232">
        <v>0</v>
      </c>
      <c r="AA232">
        <v>9580601000</v>
      </c>
      <c r="AB232" t="s">
        <v>4054</v>
      </c>
    </row>
    <row r="233" spans="2:28">
      <c r="B233" t="s">
        <v>4055</v>
      </c>
      <c r="C233" t="s">
        <v>4056</v>
      </c>
      <c r="D233" t="s">
        <v>1664</v>
      </c>
      <c r="E233" t="s">
        <v>1664</v>
      </c>
      <c r="F233">
        <v>0</v>
      </c>
      <c r="H233">
        <v>0</v>
      </c>
      <c r="J233" t="s">
        <v>1664</v>
      </c>
      <c r="K233" t="s">
        <v>1664</v>
      </c>
      <c r="L233" t="s">
        <v>1664</v>
      </c>
      <c r="M233" t="s">
        <v>1664</v>
      </c>
      <c r="N233" t="s">
        <v>1664</v>
      </c>
      <c r="O233" t="s">
        <v>1664</v>
      </c>
      <c r="P233" t="s">
        <v>3520</v>
      </c>
      <c r="Q233" t="s">
        <v>3464</v>
      </c>
      <c r="R233" t="s">
        <v>1664</v>
      </c>
      <c r="S233" t="s">
        <v>1664</v>
      </c>
      <c r="T233" t="s">
        <v>1664</v>
      </c>
      <c r="U233" t="s">
        <v>1664</v>
      </c>
      <c r="V233" t="s">
        <v>1664</v>
      </c>
      <c r="W233">
        <v>0</v>
      </c>
      <c r="Y233">
        <v>0</v>
      </c>
      <c r="AA233">
        <v>107606223950</v>
      </c>
      <c r="AB233" t="s">
        <v>4057</v>
      </c>
    </row>
    <row r="234" spans="2:28">
      <c r="B234" t="s">
        <v>4058</v>
      </c>
      <c r="C234" t="s">
        <v>4059</v>
      </c>
      <c r="D234" t="s">
        <v>1664</v>
      </c>
      <c r="E234" t="s">
        <v>1664</v>
      </c>
      <c r="F234">
        <v>0</v>
      </c>
      <c r="H234">
        <v>0</v>
      </c>
      <c r="J234" t="s">
        <v>1664</v>
      </c>
      <c r="K234" t="s">
        <v>1664</v>
      </c>
      <c r="L234" t="s">
        <v>1664</v>
      </c>
      <c r="M234" t="s">
        <v>1664</v>
      </c>
      <c r="N234" t="s">
        <v>1664</v>
      </c>
      <c r="O234" t="s">
        <v>1664</v>
      </c>
      <c r="P234" t="s">
        <v>3589</v>
      </c>
      <c r="Q234" t="s">
        <v>3491</v>
      </c>
      <c r="R234" t="s">
        <v>1664</v>
      </c>
      <c r="S234" t="s">
        <v>1664</v>
      </c>
      <c r="T234" t="s">
        <v>1664</v>
      </c>
      <c r="U234" t="s">
        <v>1664</v>
      </c>
      <c r="V234" t="s">
        <v>1664</v>
      </c>
      <c r="W234">
        <v>0</v>
      </c>
      <c r="Y234">
        <v>0</v>
      </c>
      <c r="AA234">
        <v>89712909680</v>
      </c>
      <c r="AB234" t="s">
        <v>4060</v>
      </c>
    </row>
    <row r="235" spans="2:28">
      <c r="B235" t="s">
        <v>4061</v>
      </c>
      <c r="C235" t="s">
        <v>2920</v>
      </c>
      <c r="D235">
        <v>0</v>
      </c>
      <c r="E235">
        <v>0</v>
      </c>
      <c r="F235">
        <v>0</v>
      </c>
      <c r="H235">
        <v>1689000000</v>
      </c>
      <c r="J235">
        <v>1543000000</v>
      </c>
      <c r="K235">
        <v>1808000000</v>
      </c>
      <c r="L235">
        <v>1674000000</v>
      </c>
      <c r="M235">
        <v>1620000000</v>
      </c>
      <c r="N235" t="s">
        <v>1664</v>
      </c>
      <c r="O235" t="s">
        <v>1664</v>
      </c>
      <c r="P235" t="s">
        <v>3623</v>
      </c>
      <c r="Q235" t="s">
        <v>3496</v>
      </c>
      <c r="R235" t="s">
        <v>1664</v>
      </c>
      <c r="S235">
        <v>45517983000</v>
      </c>
      <c r="T235">
        <v>39410506800</v>
      </c>
      <c r="U235">
        <v>36587239500</v>
      </c>
      <c r="V235">
        <v>34378561000</v>
      </c>
      <c r="W235">
        <v>46094160000</v>
      </c>
      <c r="Y235">
        <v>0</v>
      </c>
      <c r="AA235">
        <v>53469100000</v>
      </c>
      <c r="AB235" t="s">
        <v>4062</v>
      </c>
    </row>
    <row r="236" spans="2:28">
      <c r="B236" t="s">
        <v>4063</v>
      </c>
      <c r="C236" t="s">
        <v>4064</v>
      </c>
      <c r="D236" t="s">
        <v>1664</v>
      </c>
      <c r="E236" t="s">
        <v>1664</v>
      </c>
      <c r="F236">
        <v>0</v>
      </c>
      <c r="H236">
        <v>0</v>
      </c>
      <c r="J236" t="s">
        <v>1664</v>
      </c>
      <c r="K236" t="s">
        <v>1664</v>
      </c>
      <c r="L236" t="s">
        <v>1664</v>
      </c>
      <c r="M236" t="s">
        <v>1664</v>
      </c>
      <c r="N236" t="s">
        <v>1664</v>
      </c>
      <c r="O236" t="s">
        <v>1664</v>
      </c>
      <c r="P236" t="s">
        <v>3571</v>
      </c>
      <c r="Q236" t="s">
        <v>3477</v>
      </c>
      <c r="R236" t="s">
        <v>1664</v>
      </c>
      <c r="S236" t="s">
        <v>1664</v>
      </c>
      <c r="T236" t="s">
        <v>1664</v>
      </c>
      <c r="U236" t="s">
        <v>1664</v>
      </c>
      <c r="V236" t="s">
        <v>1664</v>
      </c>
      <c r="W236">
        <v>0</v>
      </c>
      <c r="Y236">
        <v>0</v>
      </c>
      <c r="AA236">
        <v>6603726000</v>
      </c>
      <c r="AB236" t="s">
        <v>4065</v>
      </c>
    </row>
    <row r="237" spans="2:28">
      <c r="B237" t="s">
        <v>2272</v>
      </c>
      <c r="C237" t="s">
        <v>2274</v>
      </c>
      <c r="D237">
        <v>0</v>
      </c>
      <c r="E237">
        <v>0</v>
      </c>
      <c r="F237">
        <v>-338000000</v>
      </c>
      <c r="G237">
        <v>-338000000</v>
      </c>
      <c r="H237">
        <v>888000000</v>
      </c>
      <c r="I237">
        <v>888000000</v>
      </c>
      <c r="J237">
        <v>-8008000000</v>
      </c>
      <c r="K237">
        <v>-141000000</v>
      </c>
      <c r="L237">
        <v>3302000000</v>
      </c>
      <c r="M237">
        <v>5114000000</v>
      </c>
      <c r="N237">
        <v>3419000000</v>
      </c>
      <c r="O237" t="s">
        <v>1664</v>
      </c>
      <c r="P237" t="s">
        <v>3615</v>
      </c>
      <c r="Q237" t="s">
        <v>3518</v>
      </c>
      <c r="R237">
        <v>24991466220</v>
      </c>
      <c r="S237">
        <v>24814033020</v>
      </c>
      <c r="T237">
        <v>16131635100</v>
      </c>
      <c r="U237">
        <v>12473553960</v>
      </c>
      <c r="V237">
        <v>10575018720</v>
      </c>
      <c r="W237">
        <v>9871712000</v>
      </c>
      <c r="X237">
        <v>9871712000</v>
      </c>
      <c r="Y237">
        <v>11783954000</v>
      </c>
      <c r="Z237">
        <v>11783954000</v>
      </c>
      <c r="AA237">
        <v>11539080000</v>
      </c>
      <c r="AB237" t="s">
        <v>4066</v>
      </c>
    </row>
    <row r="238" spans="2:28">
      <c r="B238" t="s">
        <v>4067</v>
      </c>
      <c r="C238" t="s">
        <v>4068</v>
      </c>
      <c r="D238" t="s">
        <v>1664</v>
      </c>
      <c r="E238" t="s">
        <v>1664</v>
      </c>
      <c r="F238">
        <v>0</v>
      </c>
      <c r="H238">
        <v>0</v>
      </c>
      <c r="J238" t="s">
        <v>1664</v>
      </c>
      <c r="K238" t="s">
        <v>1664</v>
      </c>
      <c r="L238" t="s">
        <v>1664</v>
      </c>
      <c r="M238" t="s">
        <v>1664</v>
      </c>
      <c r="N238" t="s">
        <v>1664</v>
      </c>
      <c r="O238" t="s">
        <v>1664</v>
      </c>
      <c r="P238" t="s">
        <v>3468</v>
      </c>
      <c r="Q238" t="s">
        <v>3477</v>
      </c>
      <c r="R238" t="s">
        <v>1664</v>
      </c>
      <c r="S238" t="s">
        <v>1664</v>
      </c>
      <c r="T238" t="s">
        <v>1664</v>
      </c>
      <c r="U238" t="s">
        <v>1664</v>
      </c>
      <c r="V238" t="s">
        <v>1664</v>
      </c>
      <c r="W238">
        <v>0</v>
      </c>
      <c r="Y238">
        <v>0</v>
      </c>
      <c r="AA238">
        <v>6863208000</v>
      </c>
      <c r="AB238" t="s">
        <v>4069</v>
      </c>
    </row>
    <row r="239" spans="2:28">
      <c r="B239" t="s">
        <v>4070</v>
      </c>
      <c r="C239" t="s">
        <v>4071</v>
      </c>
      <c r="D239" t="s">
        <v>1664</v>
      </c>
      <c r="E239" t="s">
        <v>1664</v>
      </c>
      <c r="F239">
        <v>0</v>
      </c>
      <c r="H239">
        <v>0</v>
      </c>
      <c r="J239" t="s">
        <v>1664</v>
      </c>
      <c r="K239" t="s">
        <v>1664</v>
      </c>
      <c r="L239" t="s">
        <v>1664</v>
      </c>
      <c r="M239" t="s">
        <v>1664</v>
      </c>
      <c r="N239" t="s">
        <v>1664</v>
      </c>
      <c r="O239" t="s">
        <v>1664</v>
      </c>
      <c r="P239" t="s">
        <v>3473</v>
      </c>
      <c r="Q239" t="s">
        <v>3469</v>
      </c>
      <c r="R239" t="s">
        <v>1664</v>
      </c>
      <c r="S239" t="s">
        <v>1664</v>
      </c>
      <c r="T239" t="s">
        <v>1664</v>
      </c>
      <c r="U239" t="s">
        <v>1664</v>
      </c>
      <c r="V239" t="s">
        <v>1664</v>
      </c>
      <c r="W239">
        <v>0</v>
      </c>
      <c r="Y239">
        <v>0</v>
      </c>
      <c r="AA239">
        <v>209650400000</v>
      </c>
      <c r="AB239" t="s">
        <v>4072</v>
      </c>
    </row>
    <row r="240" spans="2:28">
      <c r="B240" t="s">
        <v>4073</v>
      </c>
      <c r="C240" t="s">
        <v>2063</v>
      </c>
      <c r="D240">
        <v>0</v>
      </c>
      <c r="E240">
        <v>0</v>
      </c>
      <c r="F240">
        <v>0</v>
      </c>
      <c r="H240">
        <v>0</v>
      </c>
      <c r="J240" t="s">
        <v>1664</v>
      </c>
      <c r="K240">
        <v>243000000</v>
      </c>
      <c r="L240">
        <v>286000000</v>
      </c>
      <c r="M240" t="s">
        <v>1664</v>
      </c>
      <c r="N240" t="s">
        <v>1664</v>
      </c>
      <c r="O240" t="s">
        <v>1664</v>
      </c>
      <c r="P240" t="s">
        <v>3567</v>
      </c>
      <c r="R240" t="s">
        <v>1664</v>
      </c>
      <c r="S240" t="s">
        <v>1664</v>
      </c>
      <c r="T240">
        <v>0</v>
      </c>
      <c r="U240">
        <v>2008998560.8</v>
      </c>
      <c r="V240" t="s">
        <v>1664</v>
      </c>
      <c r="W240">
        <v>3133727484.7999997</v>
      </c>
      <c r="Y240">
        <v>0</v>
      </c>
      <c r="AA240">
        <v>2972288000</v>
      </c>
      <c r="AB240" t="s">
        <v>4074</v>
      </c>
    </row>
    <row r="241" spans="1:28">
      <c r="B241" t="s">
        <v>4075</v>
      </c>
      <c r="C241" t="s">
        <v>4076</v>
      </c>
      <c r="D241" t="s">
        <v>1664</v>
      </c>
      <c r="E241" t="s">
        <v>1664</v>
      </c>
      <c r="F241">
        <v>0</v>
      </c>
      <c r="H241">
        <v>0</v>
      </c>
      <c r="J241" t="s">
        <v>1664</v>
      </c>
      <c r="K241" t="s">
        <v>1664</v>
      </c>
      <c r="L241" t="s">
        <v>1664</v>
      </c>
      <c r="M241" t="s">
        <v>1664</v>
      </c>
      <c r="N241" t="s">
        <v>1664</v>
      </c>
      <c r="O241" t="s">
        <v>1664</v>
      </c>
      <c r="P241" t="s">
        <v>3651</v>
      </c>
      <c r="Q241" t="s">
        <v>3496</v>
      </c>
      <c r="R241" t="s">
        <v>1664</v>
      </c>
      <c r="S241" t="s">
        <v>1664</v>
      </c>
      <c r="T241" t="s">
        <v>1664</v>
      </c>
      <c r="U241" t="s">
        <v>1664</v>
      </c>
      <c r="V241" t="s">
        <v>1664</v>
      </c>
      <c r="W241">
        <v>0</v>
      </c>
      <c r="Y241">
        <v>0</v>
      </c>
      <c r="AA241">
        <v>762728800</v>
      </c>
      <c r="AB241" t="s">
        <v>4077</v>
      </c>
    </row>
    <row r="242" spans="1:28">
      <c r="B242" t="s">
        <v>4078</v>
      </c>
      <c r="C242" t="s">
        <v>4079</v>
      </c>
      <c r="D242" t="s">
        <v>1664</v>
      </c>
      <c r="E242" t="s">
        <v>1664</v>
      </c>
      <c r="F242">
        <v>0</v>
      </c>
      <c r="H242">
        <v>0</v>
      </c>
      <c r="J242" t="s">
        <v>1664</v>
      </c>
      <c r="K242" t="s">
        <v>1664</v>
      </c>
      <c r="L242" t="s">
        <v>1664</v>
      </c>
      <c r="M242" t="s">
        <v>1664</v>
      </c>
      <c r="N242" t="s">
        <v>1664</v>
      </c>
      <c r="O242" t="s">
        <v>1664</v>
      </c>
      <c r="P242" t="s">
        <v>371</v>
      </c>
      <c r="Q242" t="s">
        <v>3477</v>
      </c>
      <c r="R242" t="s">
        <v>1664</v>
      </c>
      <c r="S242" t="s">
        <v>1664</v>
      </c>
      <c r="T242" t="s">
        <v>1664</v>
      </c>
      <c r="U242" t="s">
        <v>1664</v>
      </c>
      <c r="V242" t="s">
        <v>1664</v>
      </c>
      <c r="W242">
        <v>0</v>
      </c>
      <c r="Y242">
        <v>0</v>
      </c>
      <c r="AA242">
        <v>2330147000</v>
      </c>
      <c r="AB242" t="s">
        <v>4080</v>
      </c>
    </row>
    <row r="243" spans="1:28">
      <c r="B243" t="s">
        <v>4081</v>
      </c>
      <c r="C243" t="s">
        <v>4082</v>
      </c>
      <c r="D243" t="s">
        <v>1664</v>
      </c>
      <c r="E243" t="s">
        <v>1664</v>
      </c>
      <c r="F243">
        <v>0</v>
      </c>
      <c r="H243">
        <v>0</v>
      </c>
      <c r="J243" t="s">
        <v>1664</v>
      </c>
      <c r="K243" t="s">
        <v>1664</v>
      </c>
      <c r="L243" t="s">
        <v>1664</v>
      </c>
      <c r="M243" t="s">
        <v>1664</v>
      </c>
      <c r="N243" t="s">
        <v>1664</v>
      </c>
      <c r="O243" t="s">
        <v>1664</v>
      </c>
      <c r="P243" t="s">
        <v>371</v>
      </c>
      <c r="Q243" t="s">
        <v>3487</v>
      </c>
      <c r="R243" t="s">
        <v>1664</v>
      </c>
      <c r="S243" t="s">
        <v>1664</v>
      </c>
      <c r="T243" t="s">
        <v>1664</v>
      </c>
      <c r="U243" t="s">
        <v>1664</v>
      </c>
      <c r="V243" t="s">
        <v>1664</v>
      </c>
      <c r="W243">
        <v>0</v>
      </c>
      <c r="Y243">
        <v>0</v>
      </c>
      <c r="AA243">
        <v>27373360000</v>
      </c>
      <c r="AB243" t="s">
        <v>4083</v>
      </c>
    </row>
    <row r="244" spans="1:28">
      <c r="A244" t="s">
        <v>4084</v>
      </c>
      <c r="B244" t="s">
        <v>1394</v>
      </c>
      <c r="C244" t="s">
        <v>1399</v>
      </c>
      <c r="D244">
        <v>3200000000</v>
      </c>
      <c r="E244">
        <v>0</v>
      </c>
      <c r="F244">
        <v>1100000000</v>
      </c>
      <c r="H244">
        <v>760000000</v>
      </c>
      <c r="J244">
        <v>844000000</v>
      </c>
      <c r="K244">
        <v>2665000000</v>
      </c>
      <c r="L244">
        <v>1981000000</v>
      </c>
      <c r="M244">
        <v>2623000000</v>
      </c>
      <c r="N244">
        <v>1804000000</v>
      </c>
      <c r="O244" t="s">
        <v>1664</v>
      </c>
      <c r="P244" t="s">
        <v>3520</v>
      </c>
      <c r="Q244" t="s">
        <v>3518</v>
      </c>
      <c r="R244">
        <v>28232902904.5</v>
      </c>
      <c r="S244">
        <v>37199038982</v>
      </c>
      <c r="T244">
        <v>52553614890.599998</v>
      </c>
      <c r="U244">
        <v>56822142615</v>
      </c>
      <c r="V244">
        <v>49964224369.5</v>
      </c>
      <c r="W244">
        <v>45996620288.360001</v>
      </c>
      <c r="Y244">
        <v>49952859410.32</v>
      </c>
      <c r="AA244">
        <v>64960690000</v>
      </c>
      <c r="AB244" t="s">
        <v>4085</v>
      </c>
    </row>
    <row r="245" spans="1:28">
      <c r="A245" t="s">
        <v>943</v>
      </c>
      <c r="B245" t="s">
        <v>4086</v>
      </c>
      <c r="C245" t="s">
        <v>167</v>
      </c>
      <c r="D245">
        <v>7123000000</v>
      </c>
      <c r="E245">
        <v>0</v>
      </c>
      <c r="F245">
        <v>3003000000</v>
      </c>
      <c r="H245">
        <v>2614000000</v>
      </c>
      <c r="J245">
        <v>456000000</v>
      </c>
      <c r="K245">
        <v>1406000000</v>
      </c>
      <c r="L245">
        <v>420000000</v>
      </c>
      <c r="M245">
        <v>1566000000</v>
      </c>
      <c r="N245">
        <v>1311000000</v>
      </c>
      <c r="O245" t="s">
        <v>1664</v>
      </c>
      <c r="P245" t="s">
        <v>3665</v>
      </c>
      <c r="Q245" t="s">
        <v>3518</v>
      </c>
      <c r="R245">
        <v>25542896468</v>
      </c>
      <c r="S245">
        <v>27677854550</v>
      </c>
      <c r="T245">
        <v>15577672614</v>
      </c>
      <c r="U245">
        <v>20056951527</v>
      </c>
      <c r="V245">
        <v>19650659812.5</v>
      </c>
      <c r="W245">
        <v>32420968602.649998</v>
      </c>
      <c r="Y245">
        <v>23921403211.75</v>
      </c>
      <c r="AA245">
        <v>29780950000</v>
      </c>
      <c r="AB245" t="s">
        <v>4087</v>
      </c>
    </row>
    <row r="246" spans="1:28">
      <c r="B246" t="s">
        <v>4088</v>
      </c>
      <c r="C246" t="s">
        <v>4089</v>
      </c>
      <c r="D246" t="s">
        <v>1664</v>
      </c>
      <c r="E246" t="s">
        <v>1664</v>
      </c>
      <c r="F246">
        <v>0</v>
      </c>
      <c r="H246">
        <v>0</v>
      </c>
      <c r="J246" t="s">
        <v>1664</v>
      </c>
      <c r="K246" t="s">
        <v>1664</v>
      </c>
      <c r="L246" t="s">
        <v>1664</v>
      </c>
      <c r="M246" t="s">
        <v>1664</v>
      </c>
      <c r="N246" t="s">
        <v>1664</v>
      </c>
      <c r="O246" t="s">
        <v>1664</v>
      </c>
      <c r="P246" t="s">
        <v>3490</v>
      </c>
      <c r="Q246" t="s">
        <v>3474</v>
      </c>
      <c r="R246" t="s">
        <v>1664</v>
      </c>
      <c r="S246" t="s">
        <v>1664</v>
      </c>
      <c r="T246" t="s">
        <v>1664</v>
      </c>
      <c r="U246" t="s">
        <v>1664</v>
      </c>
      <c r="V246" t="s">
        <v>1664</v>
      </c>
      <c r="W246">
        <v>0</v>
      </c>
      <c r="Y246">
        <v>0</v>
      </c>
      <c r="AA246">
        <v>205823555000</v>
      </c>
      <c r="AB246" t="s">
        <v>4090</v>
      </c>
    </row>
    <row r="247" spans="1:28">
      <c r="A247" t="s">
        <v>4091</v>
      </c>
      <c r="B247" t="s">
        <v>1591</v>
      </c>
      <c r="C247" t="s">
        <v>1594</v>
      </c>
      <c r="D247">
        <v>13040000000</v>
      </c>
      <c r="E247">
        <v>6900000000</v>
      </c>
      <c r="F247">
        <v>6720000000</v>
      </c>
      <c r="H247">
        <v>6223000000</v>
      </c>
      <c r="J247">
        <v>12294000000</v>
      </c>
      <c r="K247">
        <v>2806000000</v>
      </c>
      <c r="L247">
        <v>4306000000</v>
      </c>
      <c r="M247">
        <v>8434000000</v>
      </c>
      <c r="N247">
        <v>4709000000</v>
      </c>
      <c r="O247">
        <v>19.022869565217391</v>
      </c>
      <c r="P247" t="s">
        <v>3473</v>
      </c>
      <c r="Q247" t="s">
        <v>3518</v>
      </c>
      <c r="R247">
        <v>99356516715.600006</v>
      </c>
      <c r="S247">
        <v>89988468311.040009</v>
      </c>
      <c r="T247">
        <v>94377941411.519989</v>
      </c>
      <c r="U247">
        <v>113121996134.42</v>
      </c>
      <c r="V247">
        <v>98862316223.800003</v>
      </c>
      <c r="W247">
        <v>111273493914.92</v>
      </c>
      <c r="Y247">
        <v>112856295928.16</v>
      </c>
      <c r="AA247">
        <v>131257800000</v>
      </c>
      <c r="AB247" t="s">
        <v>4092</v>
      </c>
    </row>
    <row r="248" spans="1:28">
      <c r="A248" t="s">
        <v>727</v>
      </c>
      <c r="B248" t="s">
        <v>3279</v>
      </c>
      <c r="C248" t="s">
        <v>825</v>
      </c>
      <c r="D248">
        <v>8454000000</v>
      </c>
      <c r="E248">
        <v>0</v>
      </c>
      <c r="F248">
        <v>5383000000</v>
      </c>
      <c r="H248">
        <v>5383000000</v>
      </c>
      <c r="J248">
        <v>5283000000</v>
      </c>
      <c r="K248">
        <v>3370000000</v>
      </c>
      <c r="L248">
        <v>4088000000</v>
      </c>
      <c r="M248">
        <v>4056000000</v>
      </c>
      <c r="N248">
        <v>3634000000</v>
      </c>
      <c r="O248" t="s">
        <v>1664</v>
      </c>
      <c r="P248" t="s">
        <v>3490</v>
      </c>
      <c r="Q248" t="s">
        <v>3487</v>
      </c>
      <c r="R248">
        <v>102579750000</v>
      </c>
      <c r="S248">
        <v>114741900000</v>
      </c>
      <c r="T248">
        <v>103562550000</v>
      </c>
      <c r="U248">
        <v>149999850000</v>
      </c>
      <c r="V248">
        <v>131720223755.03999</v>
      </c>
      <c r="W248">
        <v>153440178576.80002</v>
      </c>
      <c r="Y248">
        <v>118415522922.48</v>
      </c>
      <c r="AA248">
        <v>154128100000</v>
      </c>
      <c r="AB248" t="s">
        <v>4093</v>
      </c>
    </row>
    <row r="249" spans="1:28">
      <c r="B249" t="s">
        <v>4094</v>
      </c>
      <c r="C249" t="s">
        <v>4095</v>
      </c>
      <c r="D249" t="s">
        <v>1664</v>
      </c>
      <c r="E249" t="s">
        <v>1664</v>
      </c>
      <c r="F249">
        <v>0</v>
      </c>
      <c r="H249">
        <v>0</v>
      </c>
      <c r="J249" t="s">
        <v>1664</v>
      </c>
      <c r="K249" t="s">
        <v>1664</v>
      </c>
      <c r="L249" t="s">
        <v>1664</v>
      </c>
      <c r="M249" t="s">
        <v>1664</v>
      </c>
      <c r="N249" t="s">
        <v>1664</v>
      </c>
      <c r="O249" t="s">
        <v>1664</v>
      </c>
      <c r="P249" t="s">
        <v>3531</v>
      </c>
      <c r="Q249" t="s">
        <v>3487</v>
      </c>
      <c r="R249" t="s">
        <v>1664</v>
      </c>
      <c r="S249" t="s">
        <v>1664</v>
      </c>
      <c r="T249" t="s">
        <v>1664</v>
      </c>
      <c r="U249" t="s">
        <v>1664</v>
      </c>
      <c r="V249" t="s">
        <v>1664</v>
      </c>
      <c r="W249">
        <v>0</v>
      </c>
      <c r="Y249">
        <v>0</v>
      </c>
      <c r="AA249">
        <v>22503750000</v>
      </c>
      <c r="AB249" t="s">
        <v>4096</v>
      </c>
    </row>
    <row r="250" spans="1:28">
      <c r="B250" t="s">
        <v>4097</v>
      </c>
      <c r="C250" t="s">
        <v>4098</v>
      </c>
      <c r="D250" t="s">
        <v>1664</v>
      </c>
      <c r="E250" t="s">
        <v>1664</v>
      </c>
      <c r="F250">
        <v>0</v>
      </c>
      <c r="H250">
        <v>0</v>
      </c>
      <c r="J250" t="s">
        <v>1664</v>
      </c>
      <c r="K250" t="s">
        <v>1664</v>
      </c>
      <c r="L250" t="s">
        <v>1664</v>
      </c>
      <c r="M250" t="s">
        <v>1664</v>
      </c>
      <c r="N250" t="s">
        <v>1664</v>
      </c>
      <c r="O250" t="s">
        <v>1664</v>
      </c>
      <c r="P250" t="s">
        <v>3531</v>
      </c>
      <c r="Q250" t="s">
        <v>3477</v>
      </c>
      <c r="R250" t="s">
        <v>1664</v>
      </c>
      <c r="S250" t="s">
        <v>1664</v>
      </c>
      <c r="T250" t="s">
        <v>1664</v>
      </c>
      <c r="U250" t="s">
        <v>1664</v>
      </c>
      <c r="V250" t="s">
        <v>1664</v>
      </c>
      <c r="W250">
        <v>0</v>
      </c>
      <c r="Y250">
        <v>0</v>
      </c>
      <c r="AA250">
        <v>22095590000</v>
      </c>
      <c r="AB250" t="s">
        <v>4099</v>
      </c>
    </row>
    <row r="251" spans="1:28">
      <c r="A251" t="s">
        <v>1949</v>
      </c>
      <c r="B251" t="s">
        <v>4100</v>
      </c>
      <c r="C251" t="s">
        <v>2461</v>
      </c>
      <c r="D251">
        <v>6017000000</v>
      </c>
      <c r="E251">
        <v>0</v>
      </c>
      <c r="F251">
        <v>3477000000</v>
      </c>
      <c r="H251">
        <v>3000000000</v>
      </c>
      <c r="J251">
        <v>2000000000</v>
      </c>
      <c r="K251">
        <v>2523000000</v>
      </c>
      <c r="L251">
        <v>2431000000</v>
      </c>
      <c r="M251">
        <v>2210000000</v>
      </c>
      <c r="N251">
        <v>1811000000</v>
      </c>
      <c r="O251" t="s">
        <v>1664</v>
      </c>
      <c r="P251" t="s">
        <v>3468</v>
      </c>
      <c r="Q251" t="s">
        <v>3518</v>
      </c>
      <c r="R251">
        <v>39170108890</v>
      </c>
      <c r="S251">
        <v>41796058320</v>
      </c>
      <c r="T251">
        <v>34298388180</v>
      </c>
      <c r="U251">
        <v>53282596260</v>
      </c>
      <c r="V251">
        <v>67084210056.5</v>
      </c>
      <c r="W251">
        <v>97796642995.300003</v>
      </c>
      <c r="X251">
        <v>81482808000</v>
      </c>
      <c r="Y251">
        <v>86783567000</v>
      </c>
      <c r="Z251">
        <v>86783567000</v>
      </c>
      <c r="AA251">
        <v>90485160000</v>
      </c>
      <c r="AB251" t="s">
        <v>4101</v>
      </c>
    </row>
    <row r="252" spans="1:28">
      <c r="A252" t="s">
        <v>3566</v>
      </c>
      <c r="B252" t="s">
        <v>2149</v>
      </c>
      <c r="C252" t="s">
        <v>2152</v>
      </c>
      <c r="D252">
        <v>0</v>
      </c>
      <c r="E252">
        <v>650000000</v>
      </c>
      <c r="F252">
        <v>-301000000</v>
      </c>
      <c r="H252">
        <v>456000000</v>
      </c>
      <c r="J252">
        <v>234000000</v>
      </c>
      <c r="K252">
        <v>422000000</v>
      </c>
      <c r="L252">
        <v>322000000</v>
      </c>
      <c r="M252">
        <v>286000000</v>
      </c>
      <c r="N252">
        <v>603000000</v>
      </c>
      <c r="O252">
        <v>8.3941507692307695</v>
      </c>
      <c r="P252" t="s">
        <v>3504</v>
      </c>
      <c r="Q252" t="s">
        <v>3477</v>
      </c>
      <c r="R252">
        <v>6320559965.2999992</v>
      </c>
      <c r="S252">
        <v>6491935635.3499994</v>
      </c>
      <c r="T252">
        <v>7607580204.8000002</v>
      </c>
      <c r="U252">
        <v>6916460542</v>
      </c>
      <c r="V252">
        <v>4933408607.9200001</v>
      </c>
      <c r="W252">
        <v>4962089447</v>
      </c>
      <c r="Y252">
        <v>3834437000.5</v>
      </c>
      <c r="AA252">
        <v>5456198000</v>
      </c>
      <c r="AB252" t="s">
        <v>4102</v>
      </c>
    </row>
    <row r="253" spans="1:28">
      <c r="A253" t="s">
        <v>106</v>
      </c>
      <c r="B253" t="s">
        <v>3425</v>
      </c>
      <c r="C253" t="s">
        <v>2420</v>
      </c>
      <c r="D253">
        <v>900000000</v>
      </c>
      <c r="E253">
        <v>0</v>
      </c>
      <c r="F253">
        <v>316000000</v>
      </c>
      <c r="H253">
        <v>453800000</v>
      </c>
      <c r="J253">
        <v>301000000</v>
      </c>
      <c r="K253">
        <v>428300000</v>
      </c>
      <c r="L253">
        <v>462500000</v>
      </c>
      <c r="M253">
        <v>408600000</v>
      </c>
      <c r="N253">
        <v>290800000</v>
      </c>
      <c r="O253" t="s">
        <v>1664</v>
      </c>
      <c r="P253" t="s">
        <v>4103</v>
      </c>
      <c r="Q253" t="s">
        <v>3477</v>
      </c>
      <c r="R253">
        <v>6459265058.75</v>
      </c>
      <c r="S253">
        <v>7736067355.7999992</v>
      </c>
      <c r="T253">
        <v>5533646104.6999998</v>
      </c>
      <c r="U253">
        <v>6642382087.6000004</v>
      </c>
      <c r="V253">
        <v>7495752536</v>
      </c>
      <c r="W253">
        <v>7575740713</v>
      </c>
      <c r="Y253">
        <v>4330180502.5</v>
      </c>
      <c r="AA253">
        <v>5035737000</v>
      </c>
      <c r="AB253" t="s">
        <v>4104</v>
      </c>
    </row>
    <row r="254" spans="1:28">
      <c r="B254" t="s">
        <v>4105</v>
      </c>
      <c r="C254" t="s">
        <v>1088</v>
      </c>
      <c r="D254" t="s">
        <v>1664</v>
      </c>
      <c r="E254" t="s">
        <v>1664</v>
      </c>
      <c r="F254">
        <v>0</v>
      </c>
      <c r="H254">
        <v>0</v>
      </c>
      <c r="J254" t="s">
        <v>1664</v>
      </c>
      <c r="K254" t="s">
        <v>1664</v>
      </c>
      <c r="L254" t="s">
        <v>1664</v>
      </c>
      <c r="M254" t="s">
        <v>1664</v>
      </c>
      <c r="N254" t="s">
        <v>1664</v>
      </c>
      <c r="O254" t="s">
        <v>1664</v>
      </c>
      <c r="P254" t="s">
        <v>3646</v>
      </c>
      <c r="Q254" t="s">
        <v>3477</v>
      </c>
      <c r="R254" t="s">
        <v>1664</v>
      </c>
      <c r="S254" t="s">
        <v>1664</v>
      </c>
      <c r="T254" t="s">
        <v>1664</v>
      </c>
      <c r="U254" t="s">
        <v>1664</v>
      </c>
      <c r="V254" t="s">
        <v>1664</v>
      </c>
      <c r="W254">
        <v>0</v>
      </c>
      <c r="Y254">
        <v>0</v>
      </c>
      <c r="AA254">
        <v>2901827000</v>
      </c>
      <c r="AB254" t="s">
        <v>4106</v>
      </c>
    </row>
    <row r="255" spans="1:28">
      <c r="B255" t="s">
        <v>4107</v>
      </c>
      <c r="C255" t="s">
        <v>2817</v>
      </c>
      <c r="D255" t="s">
        <v>1664</v>
      </c>
      <c r="E255" t="s">
        <v>1664</v>
      </c>
      <c r="F255">
        <v>0</v>
      </c>
      <c r="H255">
        <v>600000000</v>
      </c>
      <c r="J255">
        <v>505000000</v>
      </c>
      <c r="K255">
        <v>702000000</v>
      </c>
      <c r="L255">
        <v>667000000</v>
      </c>
      <c r="M255" t="s">
        <v>1664</v>
      </c>
      <c r="N255" t="s">
        <v>1664</v>
      </c>
      <c r="O255" t="s">
        <v>1664</v>
      </c>
      <c r="P255" t="s">
        <v>3623</v>
      </c>
      <c r="R255" t="s">
        <v>1664</v>
      </c>
      <c r="S255" t="s">
        <v>1664</v>
      </c>
      <c r="T255">
        <v>16794210400</v>
      </c>
      <c r="U255">
        <v>19981098212</v>
      </c>
      <c r="V255">
        <v>20200504440</v>
      </c>
      <c r="W255">
        <v>23052785404</v>
      </c>
      <c r="Y255">
        <v>0</v>
      </c>
      <c r="AA255">
        <v>14990060000</v>
      </c>
      <c r="AB255" t="s">
        <v>4108</v>
      </c>
    </row>
    <row r="256" spans="1:28">
      <c r="B256" t="s">
        <v>4109</v>
      </c>
      <c r="C256" t="s">
        <v>4110</v>
      </c>
      <c r="D256" t="s">
        <v>1664</v>
      </c>
      <c r="E256" t="s">
        <v>1664</v>
      </c>
      <c r="F256">
        <v>0</v>
      </c>
      <c r="H256">
        <v>0</v>
      </c>
      <c r="J256" t="s">
        <v>1664</v>
      </c>
      <c r="K256" t="s">
        <v>1664</v>
      </c>
      <c r="L256" t="s">
        <v>1664</v>
      </c>
      <c r="M256" t="s">
        <v>1664</v>
      </c>
      <c r="N256" t="s">
        <v>1664</v>
      </c>
      <c r="O256" t="s">
        <v>1664</v>
      </c>
      <c r="P256" t="s">
        <v>371</v>
      </c>
      <c r="Q256" t="s">
        <v>3496</v>
      </c>
      <c r="R256" t="s">
        <v>1664</v>
      </c>
      <c r="S256" t="s">
        <v>1664</v>
      </c>
      <c r="T256" t="s">
        <v>1664</v>
      </c>
      <c r="U256" t="s">
        <v>1664</v>
      </c>
      <c r="V256" t="s">
        <v>1664</v>
      </c>
      <c r="W256">
        <v>0</v>
      </c>
      <c r="Y256">
        <v>0</v>
      </c>
      <c r="AA256">
        <v>173296300000</v>
      </c>
      <c r="AB256" t="s">
        <v>4111</v>
      </c>
    </row>
    <row r="257" spans="1:28">
      <c r="B257" t="s">
        <v>4112</v>
      </c>
      <c r="C257" t="s">
        <v>4113</v>
      </c>
      <c r="D257" t="s">
        <v>1664</v>
      </c>
      <c r="E257" t="s">
        <v>1664</v>
      </c>
      <c r="F257">
        <v>0</v>
      </c>
      <c r="H257">
        <v>0</v>
      </c>
      <c r="J257" t="s">
        <v>1664</v>
      </c>
      <c r="K257" t="s">
        <v>1664</v>
      </c>
      <c r="L257" t="s">
        <v>1664</v>
      </c>
      <c r="M257" t="s">
        <v>1664</v>
      </c>
      <c r="N257" t="s">
        <v>1664</v>
      </c>
      <c r="O257" t="s">
        <v>1664</v>
      </c>
      <c r="P257" t="s">
        <v>3490</v>
      </c>
      <c r="Q257" t="s">
        <v>3487</v>
      </c>
      <c r="R257" t="s">
        <v>1664</v>
      </c>
      <c r="S257" t="s">
        <v>1664</v>
      </c>
      <c r="T257" t="s">
        <v>1664</v>
      </c>
      <c r="U257" t="s">
        <v>1664</v>
      </c>
      <c r="V257" t="s">
        <v>1664</v>
      </c>
      <c r="W257">
        <v>0</v>
      </c>
      <c r="Y257">
        <v>0</v>
      </c>
      <c r="AA257">
        <v>108960000000</v>
      </c>
      <c r="AB257" t="s">
        <v>4114</v>
      </c>
    </row>
    <row r="258" spans="1:28">
      <c r="B258" t="s">
        <v>4115</v>
      </c>
      <c r="C258" t="s">
        <v>1356</v>
      </c>
      <c r="D258" t="s">
        <v>1664</v>
      </c>
      <c r="E258" t="s">
        <v>1664</v>
      </c>
      <c r="F258">
        <v>0</v>
      </c>
      <c r="H258">
        <v>0</v>
      </c>
      <c r="J258" t="s">
        <v>1664</v>
      </c>
      <c r="K258" t="s">
        <v>1664</v>
      </c>
      <c r="L258">
        <v>0</v>
      </c>
      <c r="M258">
        <v>0</v>
      </c>
      <c r="N258" t="s">
        <v>1664</v>
      </c>
      <c r="O258" t="s">
        <v>1664</v>
      </c>
      <c r="P258" t="s">
        <v>3527</v>
      </c>
      <c r="R258" t="s">
        <v>1664</v>
      </c>
      <c r="S258">
        <v>7957062100.000001</v>
      </c>
      <c r="T258">
        <v>22484985900.000004</v>
      </c>
      <c r="U258" t="s">
        <v>1664</v>
      </c>
      <c r="V258" t="s">
        <v>1664</v>
      </c>
      <c r="W258">
        <v>14317275700</v>
      </c>
      <c r="Y258">
        <v>0</v>
      </c>
      <c r="AA258">
        <v>12315070000</v>
      </c>
      <c r="AB258" t="s">
        <v>4116</v>
      </c>
    </row>
    <row r="259" spans="1:28">
      <c r="B259" t="s">
        <v>4117</v>
      </c>
      <c r="C259" t="s">
        <v>1540</v>
      </c>
      <c r="D259">
        <v>3973200000.0000005</v>
      </c>
      <c r="E259">
        <v>2200000000</v>
      </c>
      <c r="F259">
        <v>2480000000</v>
      </c>
      <c r="H259">
        <v>1746000000</v>
      </c>
      <c r="J259">
        <v>1411000000</v>
      </c>
      <c r="K259">
        <v>1567000000</v>
      </c>
      <c r="L259">
        <v>1284000000</v>
      </c>
      <c r="M259">
        <v>1427000000</v>
      </c>
      <c r="N259">
        <v>1311000000</v>
      </c>
      <c r="O259">
        <v>23.498290909090908</v>
      </c>
      <c r="P259" t="s">
        <v>3531</v>
      </c>
      <c r="Q259" t="s">
        <v>3487</v>
      </c>
      <c r="R259">
        <v>0</v>
      </c>
      <c r="S259">
        <v>0</v>
      </c>
      <c r="T259">
        <v>35000000000</v>
      </c>
      <c r="U259">
        <v>44000000000</v>
      </c>
      <c r="V259">
        <v>44075000000</v>
      </c>
      <c r="W259">
        <v>74493120000</v>
      </c>
      <c r="Y259">
        <v>52677600000</v>
      </c>
      <c r="AA259">
        <v>51696240000</v>
      </c>
      <c r="AB259" t="s">
        <v>4118</v>
      </c>
    </row>
    <row r="260" spans="1:28">
      <c r="B260" t="s">
        <v>4119</v>
      </c>
      <c r="C260" t="s">
        <v>1029</v>
      </c>
      <c r="D260" t="s">
        <v>1664</v>
      </c>
      <c r="E260" t="s">
        <v>1664</v>
      </c>
      <c r="F260">
        <v>0</v>
      </c>
      <c r="H260">
        <v>0</v>
      </c>
      <c r="J260">
        <v>0</v>
      </c>
      <c r="K260">
        <v>0</v>
      </c>
      <c r="L260">
        <v>0</v>
      </c>
      <c r="M260">
        <v>281000000</v>
      </c>
      <c r="N260">
        <v>185000000</v>
      </c>
      <c r="O260" t="s">
        <v>1664</v>
      </c>
      <c r="P260" t="s">
        <v>3665</v>
      </c>
      <c r="Q260" t="s">
        <v>3496</v>
      </c>
      <c r="R260">
        <v>5179500000</v>
      </c>
      <c r="S260">
        <v>5179500000</v>
      </c>
      <c r="T260">
        <v>0</v>
      </c>
      <c r="U260">
        <v>0</v>
      </c>
      <c r="V260">
        <v>0</v>
      </c>
      <c r="W260">
        <v>6117000000</v>
      </c>
      <c r="Y260">
        <v>0</v>
      </c>
      <c r="AA260">
        <v>3265077000</v>
      </c>
      <c r="AB260" t="s">
        <v>4120</v>
      </c>
    </row>
    <row r="261" spans="1:28">
      <c r="B261" t="s">
        <v>4121</v>
      </c>
      <c r="C261" t="s">
        <v>4122</v>
      </c>
      <c r="D261" t="s">
        <v>1664</v>
      </c>
      <c r="E261" t="s">
        <v>1664</v>
      </c>
      <c r="F261">
        <v>0</v>
      </c>
      <c r="H261">
        <v>0</v>
      </c>
      <c r="J261" t="s">
        <v>1664</v>
      </c>
      <c r="K261" t="s">
        <v>1664</v>
      </c>
      <c r="L261" t="s">
        <v>1664</v>
      </c>
      <c r="M261" t="s">
        <v>1664</v>
      </c>
      <c r="N261" t="s">
        <v>1664</v>
      </c>
      <c r="O261" t="s">
        <v>1664</v>
      </c>
      <c r="P261" t="s">
        <v>3517</v>
      </c>
      <c r="Q261" t="s">
        <v>3469</v>
      </c>
      <c r="R261" t="s">
        <v>1664</v>
      </c>
      <c r="S261" t="s">
        <v>1664</v>
      </c>
      <c r="T261" t="s">
        <v>1664</v>
      </c>
      <c r="U261" t="s">
        <v>1664</v>
      </c>
      <c r="V261" t="s">
        <v>1664</v>
      </c>
      <c r="W261">
        <v>0</v>
      </c>
      <c r="Y261">
        <v>0</v>
      </c>
      <c r="AA261">
        <v>37406210000</v>
      </c>
      <c r="AB261" t="s">
        <v>4123</v>
      </c>
    </row>
    <row r="262" spans="1:28">
      <c r="B262" t="s">
        <v>4124</v>
      </c>
      <c r="C262" t="s">
        <v>3396</v>
      </c>
      <c r="D262" t="s">
        <v>1664</v>
      </c>
      <c r="E262" t="s">
        <v>1664</v>
      </c>
      <c r="F262">
        <v>2000000000</v>
      </c>
      <c r="G262">
        <v>2000000000</v>
      </c>
      <c r="H262">
        <v>5641000000</v>
      </c>
      <c r="I262">
        <v>5641000000</v>
      </c>
      <c r="J262" t="s">
        <v>1664</v>
      </c>
      <c r="K262" t="s">
        <v>1664</v>
      </c>
      <c r="L262" t="s">
        <v>1664</v>
      </c>
      <c r="M262" t="s">
        <v>1664</v>
      </c>
      <c r="N262" t="s">
        <v>1664</v>
      </c>
      <c r="O262" t="s">
        <v>1664</v>
      </c>
      <c r="P262" t="s">
        <v>3563</v>
      </c>
      <c r="Q262" t="s">
        <v>3518</v>
      </c>
      <c r="R262" t="s">
        <v>1664</v>
      </c>
      <c r="S262" t="s">
        <v>1664</v>
      </c>
      <c r="T262" t="s">
        <v>1664</v>
      </c>
      <c r="U262" t="s">
        <v>1664</v>
      </c>
      <c r="V262" t="s">
        <v>1664</v>
      </c>
      <c r="W262">
        <v>29970943000</v>
      </c>
      <c r="X262">
        <v>29970943000</v>
      </c>
      <c r="Y262">
        <v>21286714000</v>
      </c>
      <c r="Z262">
        <v>21286714000</v>
      </c>
      <c r="AA262">
        <v>19558650000</v>
      </c>
      <c r="AB262" t="s">
        <v>4125</v>
      </c>
    </row>
    <row r="263" spans="1:28">
      <c r="B263" t="s">
        <v>157</v>
      </c>
      <c r="C263" t="s">
        <v>159</v>
      </c>
      <c r="D263" t="s">
        <v>1664</v>
      </c>
      <c r="E263" t="s">
        <v>1664</v>
      </c>
      <c r="F263">
        <v>0</v>
      </c>
      <c r="H263">
        <v>0</v>
      </c>
      <c r="J263" t="s">
        <v>1664</v>
      </c>
      <c r="K263" t="s">
        <v>1664</v>
      </c>
      <c r="L263" t="s">
        <v>1664</v>
      </c>
      <c r="M263">
        <v>723000000</v>
      </c>
      <c r="N263">
        <v>637000000</v>
      </c>
      <c r="O263" t="s">
        <v>1664</v>
      </c>
      <c r="P263" t="s">
        <v>3476</v>
      </c>
      <c r="Q263" t="s">
        <v>3477</v>
      </c>
      <c r="R263">
        <v>16121295835.539999</v>
      </c>
      <c r="S263">
        <v>10876678770.5</v>
      </c>
      <c r="T263" t="s">
        <v>1664</v>
      </c>
      <c r="U263" t="s">
        <v>1664</v>
      </c>
      <c r="V263" t="s">
        <v>1664</v>
      </c>
      <c r="W263">
        <v>0</v>
      </c>
      <c r="Y263">
        <v>0</v>
      </c>
      <c r="AA263">
        <v>14951930000</v>
      </c>
      <c r="AB263" t="s">
        <v>4126</v>
      </c>
    </row>
    <row r="264" spans="1:28">
      <c r="B264" t="s">
        <v>4127</v>
      </c>
      <c r="C264" t="s">
        <v>4128</v>
      </c>
      <c r="D264" t="s">
        <v>1664</v>
      </c>
      <c r="E264" t="s">
        <v>1664</v>
      </c>
      <c r="F264">
        <v>0</v>
      </c>
      <c r="H264">
        <v>0</v>
      </c>
      <c r="J264" t="s">
        <v>1664</v>
      </c>
      <c r="K264" t="s">
        <v>1664</v>
      </c>
      <c r="L264" t="s">
        <v>1664</v>
      </c>
      <c r="M264" t="s">
        <v>1664</v>
      </c>
      <c r="N264" t="s">
        <v>1664</v>
      </c>
      <c r="O264" t="s">
        <v>1664</v>
      </c>
      <c r="P264" t="s">
        <v>3840</v>
      </c>
      <c r="Q264" t="s">
        <v>3482</v>
      </c>
      <c r="R264" t="s">
        <v>1664</v>
      </c>
      <c r="S264" t="s">
        <v>1664</v>
      </c>
      <c r="T264" t="s">
        <v>1664</v>
      </c>
      <c r="U264" t="s">
        <v>1664</v>
      </c>
      <c r="V264" t="s">
        <v>1664</v>
      </c>
      <c r="W264">
        <v>0</v>
      </c>
      <c r="Y264">
        <v>0</v>
      </c>
      <c r="AA264">
        <v>6877400000</v>
      </c>
      <c r="AB264" t="s">
        <v>4129</v>
      </c>
    </row>
    <row r="265" spans="1:28">
      <c r="B265" t="s">
        <v>4130</v>
      </c>
      <c r="C265" t="s">
        <v>2662</v>
      </c>
      <c r="D265">
        <v>391000000</v>
      </c>
      <c r="E265" t="s">
        <v>1664</v>
      </c>
      <c r="F265">
        <v>233035000</v>
      </c>
      <c r="H265">
        <v>201962000</v>
      </c>
      <c r="J265">
        <v>72671000</v>
      </c>
      <c r="K265">
        <v>109681000</v>
      </c>
      <c r="L265">
        <v>90187000</v>
      </c>
      <c r="M265" t="s">
        <v>1664</v>
      </c>
      <c r="N265" t="s">
        <v>1664</v>
      </c>
      <c r="O265" t="s">
        <v>1664</v>
      </c>
      <c r="P265" t="s">
        <v>3594</v>
      </c>
      <c r="Q265" t="s">
        <v>3477</v>
      </c>
      <c r="R265" t="s">
        <v>1664</v>
      </c>
      <c r="S265" t="s">
        <v>1664</v>
      </c>
      <c r="T265">
        <v>1600828759.2</v>
      </c>
      <c r="U265">
        <v>3109052297.7000003</v>
      </c>
      <c r="V265">
        <v>5305629267.9000006</v>
      </c>
      <c r="W265">
        <v>7509837197.5999994</v>
      </c>
      <c r="Y265">
        <v>5439842388.4499998</v>
      </c>
      <c r="AA265">
        <v>5549692000</v>
      </c>
      <c r="AB265" t="s">
        <v>4131</v>
      </c>
    </row>
    <row r="266" spans="1:28">
      <c r="B266" t="s">
        <v>2430</v>
      </c>
      <c r="C266" t="s">
        <v>2433</v>
      </c>
      <c r="D266">
        <v>0</v>
      </c>
      <c r="E266">
        <v>0</v>
      </c>
      <c r="F266">
        <v>0</v>
      </c>
      <c r="H266">
        <v>0</v>
      </c>
      <c r="J266">
        <v>700000000</v>
      </c>
      <c r="K266">
        <v>1075000000</v>
      </c>
      <c r="L266">
        <v>1085000000</v>
      </c>
      <c r="M266">
        <v>1061000000</v>
      </c>
      <c r="N266">
        <v>621000000</v>
      </c>
      <c r="O266" t="s">
        <v>1664</v>
      </c>
      <c r="P266" t="s">
        <v>3517</v>
      </c>
      <c r="Q266" t="s">
        <v>3477</v>
      </c>
      <c r="R266">
        <v>11699343968</v>
      </c>
      <c r="S266">
        <v>12387540672</v>
      </c>
      <c r="T266">
        <v>9740630272</v>
      </c>
      <c r="U266">
        <v>11011147264</v>
      </c>
      <c r="V266">
        <v>10820569715.200001</v>
      </c>
      <c r="W266">
        <v>10820569715.200001</v>
      </c>
      <c r="Y266">
        <v>0</v>
      </c>
      <c r="AA266">
        <v>11572290000</v>
      </c>
      <c r="AB266" t="s">
        <v>4132</v>
      </c>
    </row>
    <row r="267" spans="1:28">
      <c r="B267" t="s">
        <v>2888</v>
      </c>
      <c r="C267" t="s">
        <v>2887</v>
      </c>
      <c r="D267">
        <v>366725000</v>
      </c>
      <c r="E267">
        <v>0</v>
      </c>
      <c r="F267">
        <v>272597000</v>
      </c>
      <c r="H267">
        <v>272597000</v>
      </c>
      <c r="J267">
        <v>198983000</v>
      </c>
      <c r="K267">
        <v>163414000</v>
      </c>
      <c r="L267">
        <v>126146000</v>
      </c>
      <c r="M267">
        <v>157770000</v>
      </c>
      <c r="N267">
        <v>134171000</v>
      </c>
      <c r="O267" t="s">
        <v>1664</v>
      </c>
      <c r="P267" t="s">
        <v>3665</v>
      </c>
      <c r="R267">
        <v>2849000000</v>
      </c>
      <c r="S267">
        <v>3145000000</v>
      </c>
      <c r="T267">
        <v>2294000000</v>
      </c>
      <c r="U267">
        <v>3367000000</v>
      </c>
      <c r="V267">
        <v>5128200000</v>
      </c>
      <c r="W267">
        <v>6341800000</v>
      </c>
      <c r="Y267">
        <v>3700000000</v>
      </c>
      <c r="AA267">
        <v>5291000000</v>
      </c>
      <c r="AB267" t="s">
        <v>4133</v>
      </c>
    </row>
    <row r="268" spans="1:28">
      <c r="B268" t="s">
        <v>4134</v>
      </c>
      <c r="C268" t="s">
        <v>922</v>
      </c>
      <c r="D268">
        <v>549080000</v>
      </c>
      <c r="E268" t="s">
        <v>1664</v>
      </c>
      <c r="F268">
        <v>247800000</v>
      </c>
      <c r="H268">
        <v>200000000</v>
      </c>
      <c r="J268">
        <v>106800000</v>
      </c>
      <c r="K268">
        <v>160300000</v>
      </c>
      <c r="L268">
        <v>125100000</v>
      </c>
      <c r="M268">
        <v>171400000</v>
      </c>
      <c r="N268">
        <v>150400000</v>
      </c>
      <c r="O268" t="s">
        <v>1664</v>
      </c>
      <c r="P268" t="s">
        <v>3490</v>
      </c>
      <c r="Q268" t="s">
        <v>3477</v>
      </c>
      <c r="R268">
        <v>2214354090.75</v>
      </c>
      <c r="S268">
        <v>3359968865.1999998</v>
      </c>
      <c r="T268">
        <v>1849293090</v>
      </c>
      <c r="U268">
        <v>2054770100</v>
      </c>
      <c r="V268">
        <v>2749282393.8000002</v>
      </c>
      <c r="W268">
        <v>3236262907.5</v>
      </c>
      <c r="Y268">
        <v>2901335381.1999998</v>
      </c>
      <c r="AA268">
        <v>3936939000</v>
      </c>
      <c r="AB268" t="s">
        <v>4135</v>
      </c>
    </row>
    <row r="269" spans="1:28">
      <c r="A269" t="s">
        <v>4136</v>
      </c>
      <c r="B269" t="s">
        <v>3284</v>
      </c>
      <c r="C269" t="s">
        <v>944</v>
      </c>
      <c r="D269">
        <v>712800000</v>
      </c>
      <c r="E269">
        <v>230000000</v>
      </c>
      <c r="F269">
        <v>151632000</v>
      </c>
      <c r="H269">
        <v>169099000</v>
      </c>
      <c r="J269">
        <v>53209000</v>
      </c>
      <c r="K269">
        <v>150548000</v>
      </c>
      <c r="L269">
        <v>91410000</v>
      </c>
      <c r="M269">
        <v>111472000</v>
      </c>
      <c r="N269">
        <v>184032000</v>
      </c>
      <c r="O269">
        <v>20.122</v>
      </c>
      <c r="P269" t="s">
        <v>3481</v>
      </c>
      <c r="Q269" t="s">
        <v>3477</v>
      </c>
      <c r="R269">
        <v>3083063881.5600004</v>
      </c>
      <c r="S269">
        <v>3343452585.1999998</v>
      </c>
      <c r="T269">
        <v>1711027439</v>
      </c>
      <c r="U269">
        <v>2917415294</v>
      </c>
      <c r="V269">
        <v>2852089410.5599999</v>
      </c>
      <c r="W269">
        <v>3695535731.8399997</v>
      </c>
      <c r="Y269">
        <v>3998711198.1599998</v>
      </c>
      <c r="AA269">
        <v>4628060000</v>
      </c>
      <c r="AB269" t="s">
        <v>4137</v>
      </c>
    </row>
    <row r="270" spans="1:28">
      <c r="B270" t="s">
        <v>2942</v>
      </c>
      <c r="C270" t="s">
        <v>2945</v>
      </c>
      <c r="D270">
        <v>0</v>
      </c>
      <c r="E270" t="s">
        <v>1664</v>
      </c>
      <c r="F270">
        <v>0</v>
      </c>
      <c r="H270">
        <v>0</v>
      </c>
      <c r="J270">
        <v>-581000000</v>
      </c>
      <c r="K270">
        <v>-186000000</v>
      </c>
      <c r="L270">
        <v>-78000000</v>
      </c>
      <c r="M270">
        <v>-1235000000</v>
      </c>
      <c r="N270">
        <v>-539000000</v>
      </c>
      <c r="O270" t="s">
        <v>1664</v>
      </c>
      <c r="P270" t="s">
        <v>3490</v>
      </c>
      <c r="R270">
        <v>0</v>
      </c>
      <c r="S270">
        <v>0</v>
      </c>
      <c r="T270">
        <v>20292052288.200001</v>
      </c>
      <c r="U270">
        <v>28238736612.399998</v>
      </c>
      <c r="V270">
        <v>59859982950.900002</v>
      </c>
      <c r="W270">
        <v>0</v>
      </c>
      <c r="Y270">
        <v>0</v>
      </c>
      <c r="AA270">
        <v>31298070000</v>
      </c>
      <c r="AB270" t="s">
        <v>4138</v>
      </c>
    </row>
    <row r="271" spans="1:28">
      <c r="A271" t="s">
        <v>49</v>
      </c>
      <c r="B271" t="s">
        <v>4139</v>
      </c>
      <c r="C271" t="s">
        <v>2636</v>
      </c>
      <c r="D271">
        <v>0</v>
      </c>
      <c r="E271" t="s">
        <v>1664</v>
      </c>
      <c r="F271">
        <v>3735849056.6037736</v>
      </c>
      <c r="H271">
        <v>1769911504.4247789</v>
      </c>
      <c r="J271">
        <v>1106000000</v>
      </c>
      <c r="K271">
        <v>1032000000</v>
      </c>
      <c r="L271">
        <v>1287000000</v>
      </c>
      <c r="M271">
        <v>802000000</v>
      </c>
      <c r="N271">
        <v>165000000</v>
      </c>
      <c r="O271" t="s">
        <v>1664</v>
      </c>
      <c r="P271" t="s">
        <v>3594</v>
      </c>
      <c r="Q271" t="s">
        <v>3518</v>
      </c>
      <c r="R271">
        <v>9578212473.0599995</v>
      </c>
      <c r="S271">
        <v>16468049215.799999</v>
      </c>
      <c r="T271">
        <v>11099029574.880001</v>
      </c>
      <c r="U271">
        <v>21953712046.880001</v>
      </c>
      <c r="V271">
        <v>27592329940.400002</v>
      </c>
      <c r="W271">
        <v>39456667319</v>
      </c>
      <c r="Y271">
        <v>30070901190</v>
      </c>
      <c r="AA271">
        <v>37156300000</v>
      </c>
      <c r="AB271" t="s">
        <v>4140</v>
      </c>
    </row>
    <row r="272" spans="1:28">
      <c r="B272" t="s">
        <v>4141</v>
      </c>
      <c r="C272" t="s">
        <v>4142</v>
      </c>
      <c r="D272" t="s">
        <v>1664</v>
      </c>
      <c r="E272" t="s">
        <v>1664</v>
      </c>
      <c r="F272">
        <v>0</v>
      </c>
      <c r="H272">
        <v>0</v>
      </c>
      <c r="J272" t="s">
        <v>1664</v>
      </c>
      <c r="K272" t="s">
        <v>1664</v>
      </c>
      <c r="L272" t="s">
        <v>1664</v>
      </c>
      <c r="M272" t="s">
        <v>1664</v>
      </c>
      <c r="N272" t="s">
        <v>1664</v>
      </c>
      <c r="O272" t="s">
        <v>1664</v>
      </c>
      <c r="P272" t="s">
        <v>3476</v>
      </c>
      <c r="Q272" t="s">
        <v>3491</v>
      </c>
      <c r="R272" t="s">
        <v>1664</v>
      </c>
      <c r="S272" t="s">
        <v>1664</v>
      </c>
      <c r="T272" t="s">
        <v>1664</v>
      </c>
      <c r="U272" t="s">
        <v>1664</v>
      </c>
      <c r="V272" t="s">
        <v>1664</v>
      </c>
      <c r="W272">
        <v>0</v>
      </c>
      <c r="Y272">
        <v>0</v>
      </c>
      <c r="AA272">
        <v>108801546000</v>
      </c>
      <c r="AB272" t="s">
        <v>4143</v>
      </c>
    </row>
    <row r="273" spans="1:28">
      <c r="A273" t="s">
        <v>165</v>
      </c>
      <c r="B273" t="s">
        <v>4144</v>
      </c>
      <c r="C273" t="s">
        <v>2212</v>
      </c>
      <c r="D273">
        <v>19000000000</v>
      </c>
      <c r="E273">
        <v>0</v>
      </c>
      <c r="F273">
        <v>14000000000</v>
      </c>
      <c r="H273">
        <v>14344000000</v>
      </c>
      <c r="J273">
        <v>0</v>
      </c>
      <c r="K273" t="s">
        <v>1664</v>
      </c>
      <c r="L273" t="s">
        <v>1664</v>
      </c>
      <c r="M273" t="s">
        <v>1664</v>
      </c>
      <c r="N273" t="s">
        <v>1664</v>
      </c>
      <c r="O273" t="s">
        <v>1664</v>
      </c>
      <c r="P273" t="s">
        <v>3615</v>
      </c>
      <c r="Q273" t="s">
        <v>3518</v>
      </c>
      <c r="R273" t="s">
        <v>1664</v>
      </c>
      <c r="S273" t="s">
        <v>1664</v>
      </c>
      <c r="T273" t="s">
        <v>1664</v>
      </c>
      <c r="U273" t="s">
        <v>1664</v>
      </c>
      <c r="V273">
        <v>0</v>
      </c>
      <c r="W273">
        <v>50784114400.000008</v>
      </c>
      <c r="Y273">
        <v>40596698680</v>
      </c>
      <c r="AA273">
        <v>58837410000</v>
      </c>
      <c r="AB273" t="s">
        <v>4145</v>
      </c>
    </row>
    <row r="274" spans="1:28">
      <c r="B274" t="s">
        <v>363</v>
      </c>
      <c r="C274" t="s">
        <v>366</v>
      </c>
      <c r="D274" t="s">
        <v>1664</v>
      </c>
      <c r="E274" t="s">
        <v>1664</v>
      </c>
      <c r="F274">
        <v>0</v>
      </c>
      <c r="H274">
        <v>0</v>
      </c>
      <c r="J274">
        <v>0</v>
      </c>
      <c r="K274">
        <v>350000000</v>
      </c>
      <c r="L274">
        <v>300000000</v>
      </c>
      <c r="M274">
        <v>300000000</v>
      </c>
      <c r="N274">
        <v>420000000</v>
      </c>
      <c r="O274" t="s">
        <v>1664</v>
      </c>
      <c r="P274" t="s">
        <v>3623</v>
      </c>
      <c r="R274">
        <v>7861528278.6000004</v>
      </c>
      <c r="S274">
        <v>8008578447.8400002</v>
      </c>
      <c r="T274">
        <v>6504142101</v>
      </c>
      <c r="U274">
        <v>9173668250.2799988</v>
      </c>
      <c r="V274">
        <v>11594340267</v>
      </c>
      <c r="W274">
        <v>0</v>
      </c>
      <c r="Y274">
        <v>0</v>
      </c>
      <c r="AA274">
        <v>12715240000</v>
      </c>
      <c r="AB274" t="s">
        <v>4146</v>
      </c>
    </row>
    <row r="275" spans="1:28">
      <c r="A275" t="s">
        <v>3493</v>
      </c>
      <c r="B275" t="s">
        <v>4147</v>
      </c>
      <c r="C275" t="s">
        <v>103</v>
      </c>
      <c r="D275">
        <v>1680000000</v>
      </c>
      <c r="E275">
        <v>1100000000</v>
      </c>
      <c r="F275">
        <v>807000000</v>
      </c>
      <c r="H275">
        <v>765000000</v>
      </c>
      <c r="J275">
        <v>-51000000</v>
      </c>
      <c r="K275">
        <v>748000000</v>
      </c>
      <c r="L275">
        <v>867000000</v>
      </c>
      <c r="M275">
        <v>755000000</v>
      </c>
      <c r="N275">
        <v>593000000</v>
      </c>
      <c r="O275">
        <v>11.173463636363635</v>
      </c>
      <c r="P275" t="s">
        <v>3486</v>
      </c>
      <c r="Q275" t="s">
        <v>3469</v>
      </c>
      <c r="R275">
        <v>18504994490.5</v>
      </c>
      <c r="S275">
        <v>24642084394.200001</v>
      </c>
      <c r="T275">
        <v>15715627845</v>
      </c>
      <c r="U275">
        <v>14027571630</v>
      </c>
      <c r="V275">
        <v>12452933560.5</v>
      </c>
      <c r="W275">
        <v>14177012480.700001</v>
      </c>
      <c r="Y275">
        <v>14464668466</v>
      </c>
      <c r="AA275">
        <v>12290810000</v>
      </c>
      <c r="AB275" t="s">
        <v>4148</v>
      </c>
    </row>
    <row r="276" spans="1:28">
      <c r="B276" t="s">
        <v>4149</v>
      </c>
      <c r="C276" t="s">
        <v>4150</v>
      </c>
      <c r="D276" t="s">
        <v>1664</v>
      </c>
      <c r="E276" t="s">
        <v>1664</v>
      </c>
      <c r="F276">
        <v>0</v>
      </c>
      <c r="H276">
        <v>0</v>
      </c>
      <c r="J276" t="s">
        <v>1664</v>
      </c>
      <c r="K276" t="s">
        <v>1664</v>
      </c>
      <c r="L276" t="s">
        <v>1664</v>
      </c>
      <c r="M276" t="s">
        <v>1664</v>
      </c>
      <c r="N276" t="s">
        <v>1664</v>
      </c>
      <c r="O276" t="s">
        <v>1664</v>
      </c>
      <c r="P276" t="s">
        <v>3504</v>
      </c>
      <c r="Q276" t="s">
        <v>3469</v>
      </c>
      <c r="R276" t="s">
        <v>1664</v>
      </c>
      <c r="S276" t="s">
        <v>1664</v>
      </c>
      <c r="T276" t="s">
        <v>1664</v>
      </c>
      <c r="U276" t="s">
        <v>1664</v>
      </c>
      <c r="V276" t="s">
        <v>1664</v>
      </c>
      <c r="W276">
        <v>0</v>
      </c>
      <c r="Y276">
        <v>0</v>
      </c>
      <c r="AA276">
        <v>30162240000</v>
      </c>
      <c r="AB276" t="s">
        <v>4151</v>
      </c>
    </row>
    <row r="277" spans="1:28">
      <c r="B277" t="s">
        <v>4152</v>
      </c>
      <c r="C277" t="s">
        <v>4153</v>
      </c>
      <c r="D277" t="s">
        <v>1664</v>
      </c>
      <c r="E277" t="s">
        <v>1664</v>
      </c>
      <c r="F277">
        <v>0</v>
      </c>
      <c r="H277">
        <v>0</v>
      </c>
      <c r="J277" t="s">
        <v>1664</v>
      </c>
      <c r="K277" t="s">
        <v>1664</v>
      </c>
      <c r="L277" t="s">
        <v>1664</v>
      </c>
      <c r="M277" t="s">
        <v>1664</v>
      </c>
      <c r="N277" t="s">
        <v>1664</v>
      </c>
      <c r="O277" t="s">
        <v>1664</v>
      </c>
      <c r="P277" t="s">
        <v>3646</v>
      </c>
      <c r="Q277" t="s">
        <v>3469</v>
      </c>
      <c r="R277" t="s">
        <v>1664</v>
      </c>
      <c r="S277" t="s">
        <v>1664</v>
      </c>
      <c r="T277" t="s">
        <v>1664</v>
      </c>
      <c r="U277" t="s">
        <v>1664</v>
      </c>
      <c r="V277" t="s">
        <v>1664</v>
      </c>
      <c r="W277">
        <v>0</v>
      </c>
      <c r="Y277">
        <v>0</v>
      </c>
      <c r="AA277">
        <v>28542870000</v>
      </c>
      <c r="AB277" t="s">
        <v>4154</v>
      </c>
    </row>
    <row r="278" spans="1:28">
      <c r="B278" t="s">
        <v>4155</v>
      </c>
      <c r="C278" t="s">
        <v>4156</v>
      </c>
      <c r="D278" t="s">
        <v>1664</v>
      </c>
      <c r="E278" t="s">
        <v>1664</v>
      </c>
      <c r="F278">
        <v>0</v>
      </c>
      <c r="H278">
        <v>0</v>
      </c>
      <c r="J278" t="s">
        <v>1664</v>
      </c>
      <c r="K278" t="s">
        <v>1664</v>
      </c>
      <c r="L278" t="s">
        <v>1664</v>
      </c>
      <c r="M278" t="s">
        <v>1664</v>
      </c>
      <c r="N278" t="s">
        <v>1664</v>
      </c>
      <c r="O278" t="s">
        <v>1664</v>
      </c>
      <c r="P278" t="s">
        <v>3517</v>
      </c>
      <c r="Q278" t="s">
        <v>3487</v>
      </c>
      <c r="R278" t="s">
        <v>1664</v>
      </c>
      <c r="S278" t="s">
        <v>1664</v>
      </c>
      <c r="T278" t="s">
        <v>1664</v>
      </c>
      <c r="U278" t="s">
        <v>1664</v>
      </c>
      <c r="V278" t="s">
        <v>1664</v>
      </c>
      <c r="W278">
        <v>0</v>
      </c>
      <c r="Y278">
        <v>0</v>
      </c>
      <c r="AA278">
        <v>12909350000</v>
      </c>
      <c r="AB278" t="s">
        <v>4157</v>
      </c>
    </row>
    <row r="279" spans="1:28">
      <c r="B279" t="s">
        <v>1796</v>
      </c>
      <c r="C279" t="s">
        <v>1799</v>
      </c>
      <c r="D279" t="s">
        <v>1664</v>
      </c>
      <c r="E279" t="s">
        <v>1664</v>
      </c>
      <c r="F279">
        <v>0</v>
      </c>
      <c r="H279">
        <v>0</v>
      </c>
      <c r="J279">
        <v>40000000</v>
      </c>
      <c r="K279">
        <v>40000000</v>
      </c>
      <c r="L279">
        <v>100000000</v>
      </c>
      <c r="M279">
        <v>0</v>
      </c>
      <c r="N279">
        <v>119300000</v>
      </c>
      <c r="O279" t="s">
        <v>1664</v>
      </c>
      <c r="P279" t="s">
        <v>3665</v>
      </c>
      <c r="R279">
        <v>2172306706.6400003</v>
      </c>
      <c r="S279">
        <v>2229019906.0799999</v>
      </c>
      <c r="T279">
        <v>1274453920</v>
      </c>
      <c r="U279">
        <v>1210731224</v>
      </c>
      <c r="V279">
        <v>917606822.39999998</v>
      </c>
      <c r="W279">
        <v>0</v>
      </c>
      <c r="Y279">
        <v>0</v>
      </c>
      <c r="AA279">
        <v>671890400</v>
      </c>
      <c r="AB279" t="s">
        <v>4158</v>
      </c>
    </row>
    <row r="280" spans="1:28">
      <c r="B280" t="s">
        <v>4159</v>
      </c>
      <c r="C280" t="s">
        <v>4160</v>
      </c>
      <c r="D280" t="s">
        <v>1664</v>
      </c>
      <c r="E280" t="s">
        <v>1664</v>
      </c>
      <c r="F280">
        <v>0</v>
      </c>
      <c r="H280">
        <v>0</v>
      </c>
      <c r="J280" t="s">
        <v>1664</v>
      </c>
      <c r="K280" t="s">
        <v>1664</v>
      </c>
      <c r="L280" t="s">
        <v>1664</v>
      </c>
      <c r="M280" t="s">
        <v>1664</v>
      </c>
      <c r="N280" t="s">
        <v>1664</v>
      </c>
      <c r="O280" t="s">
        <v>1664</v>
      </c>
      <c r="P280" t="s">
        <v>371</v>
      </c>
      <c r="Q280" t="s">
        <v>3477</v>
      </c>
      <c r="R280" t="s">
        <v>1664</v>
      </c>
      <c r="S280" t="s">
        <v>1664</v>
      </c>
      <c r="T280" t="s">
        <v>1664</v>
      </c>
      <c r="U280" t="s">
        <v>1664</v>
      </c>
      <c r="V280" t="s">
        <v>1664</v>
      </c>
      <c r="W280">
        <v>0</v>
      </c>
      <c r="Y280">
        <v>0</v>
      </c>
      <c r="AA280">
        <v>4249323000</v>
      </c>
      <c r="AB280" t="s">
        <v>4161</v>
      </c>
    </row>
    <row r="281" spans="1:28">
      <c r="B281" t="s">
        <v>4162</v>
      </c>
      <c r="C281" t="s">
        <v>4163</v>
      </c>
      <c r="D281" t="s">
        <v>1664</v>
      </c>
      <c r="E281" t="s">
        <v>1664</v>
      </c>
      <c r="F281">
        <v>0</v>
      </c>
      <c r="H281">
        <v>0</v>
      </c>
      <c r="J281" t="s">
        <v>1664</v>
      </c>
      <c r="K281" t="s">
        <v>1664</v>
      </c>
      <c r="L281" t="s">
        <v>1664</v>
      </c>
      <c r="M281" t="s">
        <v>1664</v>
      </c>
      <c r="N281" t="s">
        <v>1664</v>
      </c>
      <c r="O281" t="s">
        <v>1664</v>
      </c>
      <c r="P281" t="s">
        <v>3646</v>
      </c>
      <c r="Q281" t="s">
        <v>3482</v>
      </c>
      <c r="R281" t="s">
        <v>1664</v>
      </c>
      <c r="S281" t="s">
        <v>1664</v>
      </c>
      <c r="T281" t="s">
        <v>1664</v>
      </c>
      <c r="U281" t="s">
        <v>1664</v>
      </c>
      <c r="V281" t="s">
        <v>1664</v>
      </c>
      <c r="W281">
        <v>0</v>
      </c>
      <c r="Y281">
        <v>0</v>
      </c>
      <c r="AA281">
        <v>2372480000</v>
      </c>
      <c r="AB281" t="s">
        <v>4164</v>
      </c>
    </row>
    <row r="282" spans="1:28">
      <c r="B282" t="s">
        <v>4165</v>
      </c>
      <c r="C282" t="s">
        <v>4166</v>
      </c>
      <c r="D282" t="s">
        <v>1664</v>
      </c>
      <c r="E282" t="s">
        <v>1664</v>
      </c>
      <c r="F282">
        <v>645000000</v>
      </c>
      <c r="G282">
        <v>645000000</v>
      </c>
      <c r="H282">
        <v>557000000</v>
      </c>
      <c r="I282">
        <v>557000000</v>
      </c>
      <c r="J282" t="s">
        <v>1664</v>
      </c>
      <c r="K282" t="s">
        <v>1664</v>
      </c>
      <c r="L282" t="s">
        <v>1664</v>
      </c>
      <c r="M282" t="s">
        <v>1664</v>
      </c>
      <c r="N282" t="s">
        <v>1664</v>
      </c>
      <c r="O282" t="s">
        <v>1664</v>
      </c>
      <c r="P282" t="s">
        <v>3623</v>
      </c>
      <c r="Q282" t="s">
        <v>3518</v>
      </c>
      <c r="R282" t="s">
        <v>1664</v>
      </c>
      <c r="S282" t="s">
        <v>1664</v>
      </c>
      <c r="T282" t="s">
        <v>1664</v>
      </c>
      <c r="U282" t="s">
        <v>1664</v>
      </c>
      <c r="V282" t="s">
        <v>1664</v>
      </c>
      <c r="W282">
        <v>18502251000</v>
      </c>
      <c r="X282">
        <v>18502251000</v>
      </c>
      <c r="Y282">
        <v>15512438000</v>
      </c>
      <c r="Z282">
        <v>15512438000</v>
      </c>
      <c r="AA282">
        <v>7289542000</v>
      </c>
      <c r="AB282" t="s">
        <v>4167</v>
      </c>
    </row>
    <row r="283" spans="1:28">
      <c r="A283" t="s">
        <v>4168</v>
      </c>
      <c r="B283" t="s">
        <v>2768</v>
      </c>
      <c r="C283" t="s">
        <v>2773</v>
      </c>
      <c r="D283">
        <v>181540000000</v>
      </c>
      <c r="E283">
        <v>0</v>
      </c>
      <c r="F283">
        <v>107368000000</v>
      </c>
      <c r="H283">
        <v>123788000000</v>
      </c>
      <c r="J283">
        <v>122742000000</v>
      </c>
      <c r="K283">
        <v>94351000000</v>
      </c>
      <c r="L283">
        <v>77479000000</v>
      </c>
      <c r="M283">
        <v>65126000000</v>
      </c>
      <c r="N283">
        <v>45420000000</v>
      </c>
      <c r="O283" t="s">
        <v>1664</v>
      </c>
      <c r="P283" t="s">
        <v>3490</v>
      </c>
      <c r="R283">
        <v>1795883516974.3999</v>
      </c>
      <c r="S283">
        <v>3856545558516</v>
      </c>
      <c r="T283">
        <v>3001260664003.1997</v>
      </c>
      <c r="U283">
        <v>3668628873216</v>
      </c>
      <c r="V283">
        <v>5411311722684</v>
      </c>
      <c r="W283">
        <v>4389107284639.2002</v>
      </c>
      <c r="Y283">
        <v>3213864558652</v>
      </c>
      <c r="AA283">
        <v>2985396000000</v>
      </c>
      <c r="AB283" t="s">
        <v>4169</v>
      </c>
    </row>
    <row r="284" spans="1:28">
      <c r="B284" t="s">
        <v>4170</v>
      </c>
      <c r="C284" t="s">
        <v>4171</v>
      </c>
      <c r="D284" t="s">
        <v>1664</v>
      </c>
      <c r="E284" t="s">
        <v>1664</v>
      </c>
      <c r="F284">
        <v>0</v>
      </c>
      <c r="H284">
        <v>0</v>
      </c>
      <c r="J284" t="s">
        <v>1664</v>
      </c>
      <c r="K284" t="s">
        <v>1664</v>
      </c>
      <c r="L284" t="s">
        <v>1664</v>
      </c>
      <c r="M284" t="s">
        <v>1664</v>
      </c>
      <c r="N284" t="s">
        <v>1664</v>
      </c>
      <c r="O284" t="s">
        <v>1664</v>
      </c>
      <c r="P284" t="s">
        <v>3615</v>
      </c>
      <c r="Q284" t="s">
        <v>3491</v>
      </c>
      <c r="R284" t="s">
        <v>1664</v>
      </c>
      <c r="S284" t="s">
        <v>1664</v>
      </c>
      <c r="T284" t="s">
        <v>1664</v>
      </c>
      <c r="U284" t="s">
        <v>1664</v>
      </c>
      <c r="V284" t="s">
        <v>1664</v>
      </c>
      <c r="W284">
        <v>0</v>
      </c>
      <c r="Y284">
        <v>0</v>
      </c>
      <c r="AA284">
        <v>820445391660</v>
      </c>
      <c r="AB284" t="s">
        <v>4172</v>
      </c>
    </row>
    <row r="285" spans="1:28">
      <c r="B285" t="s">
        <v>4173</v>
      </c>
      <c r="C285" t="s">
        <v>1730</v>
      </c>
      <c r="D285" t="s">
        <v>1664</v>
      </c>
      <c r="E285" t="s">
        <v>1664</v>
      </c>
      <c r="F285">
        <v>0</v>
      </c>
      <c r="H285">
        <v>0</v>
      </c>
      <c r="J285">
        <v>55300000</v>
      </c>
      <c r="K285">
        <v>154800000</v>
      </c>
      <c r="L285" t="s">
        <v>1664</v>
      </c>
      <c r="M285">
        <v>110000000</v>
      </c>
      <c r="N285">
        <v>98605000</v>
      </c>
      <c r="O285" t="s">
        <v>1664</v>
      </c>
      <c r="P285" t="s">
        <v>3620</v>
      </c>
      <c r="Q285" t="s">
        <v>3477</v>
      </c>
      <c r="R285">
        <v>1982571651.8999999</v>
      </c>
      <c r="S285">
        <v>1382555257.78</v>
      </c>
      <c r="T285" t="s">
        <v>1664</v>
      </c>
      <c r="U285">
        <v>1556685889.6399999</v>
      </c>
      <c r="V285">
        <v>1472750937</v>
      </c>
      <c r="W285">
        <v>0</v>
      </c>
      <c r="Y285">
        <v>0</v>
      </c>
      <c r="AA285">
        <v>1551153000</v>
      </c>
      <c r="AB285" t="s">
        <v>4174</v>
      </c>
    </row>
    <row r="286" spans="1:28">
      <c r="B286" t="s">
        <v>4175</v>
      </c>
      <c r="C286" t="s">
        <v>4176</v>
      </c>
      <c r="D286" t="s">
        <v>1664</v>
      </c>
      <c r="E286" t="s">
        <v>1664</v>
      </c>
      <c r="F286">
        <v>1120000000</v>
      </c>
      <c r="G286">
        <v>1120000000</v>
      </c>
      <c r="H286">
        <v>1088800000</v>
      </c>
      <c r="I286">
        <v>1088800000</v>
      </c>
      <c r="J286" t="s">
        <v>1664</v>
      </c>
      <c r="K286" t="s">
        <v>1664</v>
      </c>
      <c r="L286" t="s">
        <v>1664</v>
      </c>
      <c r="M286" t="s">
        <v>1664</v>
      </c>
      <c r="N286" t="s">
        <v>1664</v>
      </c>
      <c r="O286" t="s">
        <v>1664</v>
      </c>
      <c r="P286" t="s">
        <v>3520</v>
      </c>
      <c r="Q286" t="s">
        <v>3518</v>
      </c>
      <c r="R286" t="s">
        <v>1664</v>
      </c>
      <c r="S286" t="s">
        <v>1664</v>
      </c>
      <c r="T286" t="s">
        <v>1664</v>
      </c>
      <c r="U286" t="s">
        <v>1664</v>
      </c>
      <c r="V286" t="s">
        <v>1664</v>
      </c>
      <c r="W286">
        <v>22739657000</v>
      </c>
      <c r="X286">
        <v>22739657000</v>
      </c>
      <c r="Y286">
        <v>27632622000</v>
      </c>
      <c r="Z286">
        <v>27632622000</v>
      </c>
      <c r="AA286">
        <v>28861850000</v>
      </c>
      <c r="AB286" t="s">
        <v>4177</v>
      </c>
    </row>
    <row r="287" spans="1:28">
      <c r="B287" t="s">
        <v>4178</v>
      </c>
      <c r="C287" t="s">
        <v>4179</v>
      </c>
      <c r="D287" t="s">
        <v>1664</v>
      </c>
      <c r="E287" t="s">
        <v>1664</v>
      </c>
      <c r="F287">
        <v>0</v>
      </c>
      <c r="H287">
        <v>0</v>
      </c>
      <c r="J287" t="s">
        <v>1664</v>
      </c>
      <c r="K287" t="s">
        <v>1664</v>
      </c>
      <c r="L287" t="s">
        <v>1664</v>
      </c>
      <c r="M287" t="s">
        <v>1664</v>
      </c>
      <c r="N287" t="s">
        <v>1664</v>
      </c>
      <c r="O287" t="s">
        <v>1664</v>
      </c>
      <c r="P287" t="s">
        <v>3571</v>
      </c>
      <c r="Q287" t="s">
        <v>3474</v>
      </c>
      <c r="R287" t="s">
        <v>1664</v>
      </c>
      <c r="S287" t="s">
        <v>1664</v>
      </c>
      <c r="T287" t="s">
        <v>1664</v>
      </c>
      <c r="U287" t="s">
        <v>1664</v>
      </c>
      <c r="V287" t="s">
        <v>1664</v>
      </c>
      <c r="W287">
        <v>0</v>
      </c>
      <c r="Y287">
        <v>0</v>
      </c>
      <c r="AA287">
        <v>251179579325</v>
      </c>
      <c r="AB287" t="s">
        <v>4180</v>
      </c>
    </row>
    <row r="288" spans="1:28">
      <c r="B288" t="s">
        <v>4181</v>
      </c>
      <c r="C288" t="s">
        <v>4182</v>
      </c>
      <c r="D288" t="s">
        <v>1664</v>
      </c>
      <c r="E288" t="s">
        <v>1664</v>
      </c>
      <c r="F288">
        <v>0</v>
      </c>
      <c r="H288">
        <v>0</v>
      </c>
      <c r="J288" t="s">
        <v>1664</v>
      </c>
      <c r="K288" t="s">
        <v>1664</v>
      </c>
      <c r="L288" t="s">
        <v>1664</v>
      </c>
      <c r="M288" t="s">
        <v>1664</v>
      </c>
      <c r="N288" t="s">
        <v>1664</v>
      </c>
      <c r="O288" t="s">
        <v>1664</v>
      </c>
      <c r="P288" t="s">
        <v>3804</v>
      </c>
      <c r="Q288" t="s">
        <v>3464</v>
      </c>
      <c r="R288" t="s">
        <v>1664</v>
      </c>
      <c r="S288" t="s">
        <v>1664</v>
      </c>
      <c r="T288" t="s">
        <v>1664</v>
      </c>
      <c r="U288" t="s">
        <v>1664</v>
      </c>
      <c r="V288" t="s">
        <v>1664</v>
      </c>
      <c r="W288">
        <v>0</v>
      </c>
      <c r="Y288">
        <v>0</v>
      </c>
      <c r="AA288">
        <v>310131267312</v>
      </c>
      <c r="AB288" t="s">
        <v>4183</v>
      </c>
    </row>
    <row r="289" spans="1:28">
      <c r="B289" t="s">
        <v>4184</v>
      </c>
      <c r="C289" t="s">
        <v>4185</v>
      </c>
      <c r="D289" t="s">
        <v>1664</v>
      </c>
      <c r="E289" t="s">
        <v>1664</v>
      </c>
      <c r="F289">
        <v>0</v>
      </c>
      <c r="H289">
        <v>0</v>
      </c>
      <c r="J289" t="s">
        <v>1664</v>
      </c>
      <c r="K289" t="s">
        <v>1664</v>
      </c>
      <c r="L289" t="s">
        <v>1664</v>
      </c>
      <c r="M289" t="s">
        <v>1664</v>
      </c>
      <c r="N289" t="s">
        <v>1664</v>
      </c>
      <c r="O289" t="s">
        <v>1664</v>
      </c>
      <c r="P289" t="s">
        <v>3892</v>
      </c>
      <c r="Q289" t="s">
        <v>3464</v>
      </c>
      <c r="R289" t="s">
        <v>1664</v>
      </c>
      <c r="S289" t="s">
        <v>1664</v>
      </c>
      <c r="T289" t="s">
        <v>1664</v>
      </c>
      <c r="U289" t="s">
        <v>1664</v>
      </c>
      <c r="V289" t="s">
        <v>1664</v>
      </c>
      <c r="W289">
        <v>0</v>
      </c>
      <c r="Y289">
        <v>0</v>
      </c>
      <c r="AA289">
        <v>360439799420</v>
      </c>
      <c r="AB289" t="s">
        <v>4186</v>
      </c>
    </row>
    <row r="290" spans="1:28">
      <c r="B290" t="s">
        <v>4187</v>
      </c>
      <c r="C290" t="s">
        <v>4188</v>
      </c>
      <c r="D290" t="s">
        <v>1664</v>
      </c>
      <c r="E290" t="s">
        <v>1664</v>
      </c>
      <c r="F290">
        <v>0</v>
      </c>
      <c r="H290">
        <v>0</v>
      </c>
      <c r="J290" t="s">
        <v>1664</v>
      </c>
      <c r="K290" t="s">
        <v>1664</v>
      </c>
      <c r="L290" t="s">
        <v>1664</v>
      </c>
      <c r="M290" t="s">
        <v>1664</v>
      </c>
      <c r="N290" t="s">
        <v>1664</v>
      </c>
      <c r="O290" t="s">
        <v>1664</v>
      </c>
      <c r="P290" t="s">
        <v>3504</v>
      </c>
      <c r="Q290" t="s">
        <v>3464</v>
      </c>
      <c r="R290" t="s">
        <v>1664</v>
      </c>
      <c r="S290" t="s">
        <v>1664</v>
      </c>
      <c r="T290" t="s">
        <v>1664</v>
      </c>
      <c r="U290" t="s">
        <v>1664</v>
      </c>
      <c r="V290" t="s">
        <v>1664</v>
      </c>
      <c r="W290">
        <v>0</v>
      </c>
      <c r="Y290">
        <v>0</v>
      </c>
      <c r="AA290">
        <v>38668354470</v>
      </c>
      <c r="AB290" t="s">
        <v>4189</v>
      </c>
    </row>
    <row r="291" spans="1:28">
      <c r="B291" t="s">
        <v>4190</v>
      </c>
      <c r="C291" t="s">
        <v>4191</v>
      </c>
      <c r="D291" t="s">
        <v>1664</v>
      </c>
      <c r="E291" t="s">
        <v>1664</v>
      </c>
      <c r="F291">
        <v>0</v>
      </c>
      <c r="H291">
        <v>0</v>
      </c>
      <c r="J291" t="s">
        <v>1664</v>
      </c>
      <c r="K291" t="s">
        <v>1664</v>
      </c>
      <c r="L291" t="s">
        <v>1664</v>
      </c>
      <c r="M291" t="s">
        <v>1664</v>
      </c>
      <c r="N291" t="s">
        <v>1664</v>
      </c>
      <c r="O291" t="s">
        <v>1664</v>
      </c>
      <c r="P291" t="s">
        <v>3620</v>
      </c>
      <c r="Q291" t="s">
        <v>3474</v>
      </c>
      <c r="R291" t="s">
        <v>1664</v>
      </c>
      <c r="S291" t="s">
        <v>1664</v>
      </c>
      <c r="T291" t="s">
        <v>1664</v>
      </c>
      <c r="U291" t="s">
        <v>1664</v>
      </c>
      <c r="V291" t="s">
        <v>1664</v>
      </c>
      <c r="W291">
        <v>0</v>
      </c>
      <c r="Y291">
        <v>0</v>
      </c>
      <c r="AA291">
        <v>151066500000</v>
      </c>
      <c r="AB291" t="s">
        <v>4192</v>
      </c>
    </row>
    <row r="292" spans="1:28">
      <c r="B292" t="s">
        <v>4193</v>
      </c>
      <c r="C292" t="s">
        <v>4194</v>
      </c>
      <c r="D292" t="s">
        <v>1664</v>
      </c>
      <c r="E292" t="s">
        <v>1664</v>
      </c>
      <c r="F292">
        <v>0</v>
      </c>
      <c r="H292">
        <v>0</v>
      </c>
      <c r="N292" t="s">
        <v>1664</v>
      </c>
      <c r="O292" t="s">
        <v>1664</v>
      </c>
      <c r="P292" t="s">
        <v>3567</v>
      </c>
      <c r="R292" t="s">
        <v>1664</v>
      </c>
      <c r="S292" t="s">
        <v>1664</v>
      </c>
      <c r="T292" t="s">
        <v>1664</v>
      </c>
      <c r="U292" t="s">
        <v>1664</v>
      </c>
      <c r="V292" t="s">
        <v>1664</v>
      </c>
      <c r="W292">
        <v>0</v>
      </c>
      <c r="Y292">
        <v>0</v>
      </c>
      <c r="AA292">
        <v>3871766000</v>
      </c>
      <c r="AB292" t="s">
        <v>4195</v>
      </c>
    </row>
    <row r="293" spans="1:28">
      <c r="B293" t="s">
        <v>618</v>
      </c>
      <c r="C293" t="s">
        <v>621</v>
      </c>
      <c r="D293" t="s">
        <v>1664</v>
      </c>
      <c r="E293" t="s">
        <v>1664</v>
      </c>
      <c r="F293">
        <v>0</v>
      </c>
      <c r="H293">
        <v>0</v>
      </c>
      <c r="J293" t="s">
        <v>1664</v>
      </c>
      <c r="K293">
        <v>47100000</v>
      </c>
      <c r="L293">
        <v>47146000</v>
      </c>
      <c r="M293">
        <v>71007000</v>
      </c>
      <c r="N293">
        <v>86292000</v>
      </c>
      <c r="O293" t="s">
        <v>1664</v>
      </c>
      <c r="P293" t="s">
        <v>3486</v>
      </c>
      <c r="R293">
        <v>2039400000</v>
      </c>
      <c r="S293">
        <v>2004750000</v>
      </c>
      <c r="T293">
        <v>1404480000</v>
      </c>
      <c r="U293">
        <v>939180000</v>
      </c>
      <c r="V293" t="s">
        <v>1664</v>
      </c>
      <c r="W293">
        <v>1626240000</v>
      </c>
      <c r="Y293">
        <v>0</v>
      </c>
      <c r="AA293">
        <v>1235051000</v>
      </c>
      <c r="AB293" t="s">
        <v>4196</v>
      </c>
    </row>
    <row r="294" spans="1:28">
      <c r="B294" t="s">
        <v>4197</v>
      </c>
      <c r="C294" t="s">
        <v>1093</v>
      </c>
      <c r="D294" t="s">
        <v>1664</v>
      </c>
      <c r="E294" t="s">
        <v>1664</v>
      </c>
      <c r="F294">
        <v>19470000000</v>
      </c>
      <c r="G294">
        <v>19470000000</v>
      </c>
      <c r="H294">
        <v>16032000000</v>
      </c>
      <c r="I294">
        <v>16032000000</v>
      </c>
      <c r="J294" t="s">
        <v>1664</v>
      </c>
      <c r="K294" t="s">
        <v>1664</v>
      </c>
      <c r="L294" t="s">
        <v>1664</v>
      </c>
      <c r="M294">
        <v>10000000000</v>
      </c>
      <c r="N294">
        <v>6196000000</v>
      </c>
      <c r="O294" t="s">
        <v>1664</v>
      </c>
      <c r="P294" t="s">
        <v>371</v>
      </c>
      <c r="Q294" t="s">
        <v>3518</v>
      </c>
      <c r="R294">
        <v>107761505201.88678</v>
      </c>
      <c r="S294">
        <v>85791914928.599991</v>
      </c>
      <c r="T294" t="s">
        <v>1664</v>
      </c>
      <c r="U294" t="s">
        <v>1664</v>
      </c>
      <c r="V294" t="s">
        <v>1664</v>
      </c>
      <c r="W294">
        <v>108467228421.06001</v>
      </c>
      <c r="X294">
        <v>154578165000</v>
      </c>
      <c r="Y294">
        <v>160540489000</v>
      </c>
      <c r="Z294">
        <v>160540489000</v>
      </c>
      <c r="AA294">
        <v>155879400000</v>
      </c>
      <c r="AB294" t="s">
        <v>4198</v>
      </c>
    </row>
    <row r="295" spans="1:28">
      <c r="B295" t="s">
        <v>2277</v>
      </c>
      <c r="C295" t="s">
        <v>2280</v>
      </c>
      <c r="D295">
        <v>0</v>
      </c>
      <c r="E295">
        <v>0</v>
      </c>
      <c r="F295">
        <v>0</v>
      </c>
      <c r="H295">
        <v>160000000</v>
      </c>
      <c r="J295">
        <v>139600000</v>
      </c>
      <c r="K295">
        <v>167500000</v>
      </c>
      <c r="L295">
        <v>182700000</v>
      </c>
      <c r="M295">
        <v>126900000</v>
      </c>
      <c r="N295">
        <v>89700000</v>
      </c>
      <c r="O295" t="s">
        <v>1664</v>
      </c>
      <c r="P295" t="s">
        <v>4020</v>
      </c>
      <c r="Q295" t="s">
        <v>3477</v>
      </c>
      <c r="R295">
        <v>1437264874.77</v>
      </c>
      <c r="S295">
        <v>2840497916.0999999</v>
      </c>
      <c r="T295">
        <v>1559470094.8500001</v>
      </c>
      <c r="U295">
        <v>1821476539.8</v>
      </c>
      <c r="V295">
        <v>2799891751.2000003</v>
      </c>
      <c r="W295">
        <v>3335506402.5</v>
      </c>
      <c r="Y295">
        <v>0</v>
      </c>
      <c r="AA295">
        <v>2447972000</v>
      </c>
      <c r="AB295" t="s">
        <v>4199</v>
      </c>
    </row>
    <row r="296" spans="1:28">
      <c r="B296" t="s">
        <v>4200</v>
      </c>
      <c r="C296" t="s">
        <v>4201</v>
      </c>
      <c r="D296" t="s">
        <v>1664</v>
      </c>
      <c r="E296" t="s">
        <v>1664</v>
      </c>
      <c r="F296">
        <v>0</v>
      </c>
      <c r="H296">
        <v>0</v>
      </c>
      <c r="J296" t="s">
        <v>1664</v>
      </c>
      <c r="K296" t="s">
        <v>1664</v>
      </c>
      <c r="L296" t="s">
        <v>1664</v>
      </c>
      <c r="M296" t="s">
        <v>1664</v>
      </c>
      <c r="N296" t="s">
        <v>1664</v>
      </c>
      <c r="O296" t="s">
        <v>1664</v>
      </c>
      <c r="P296" t="s">
        <v>3490</v>
      </c>
      <c r="Q296" t="s">
        <v>3477</v>
      </c>
      <c r="R296" t="s">
        <v>1664</v>
      </c>
      <c r="S296" t="s">
        <v>1664</v>
      </c>
      <c r="T296" t="s">
        <v>1664</v>
      </c>
      <c r="U296" t="s">
        <v>1664</v>
      </c>
      <c r="V296" t="s">
        <v>1664</v>
      </c>
      <c r="W296">
        <v>0</v>
      </c>
      <c r="Y296">
        <v>0</v>
      </c>
      <c r="AA296">
        <v>3680680000</v>
      </c>
      <c r="AB296" t="s">
        <v>4202</v>
      </c>
    </row>
    <row r="297" spans="1:28">
      <c r="B297" t="s">
        <v>4203</v>
      </c>
      <c r="C297" t="s">
        <v>4204</v>
      </c>
      <c r="D297" t="s">
        <v>1664</v>
      </c>
      <c r="E297" t="s">
        <v>1664</v>
      </c>
      <c r="F297">
        <v>0</v>
      </c>
      <c r="H297">
        <v>0</v>
      </c>
      <c r="J297" t="s">
        <v>1664</v>
      </c>
      <c r="K297" t="s">
        <v>1664</v>
      </c>
      <c r="L297" t="s">
        <v>1664</v>
      </c>
      <c r="M297" t="s">
        <v>1664</v>
      </c>
      <c r="N297" t="s">
        <v>1664</v>
      </c>
      <c r="O297" t="s">
        <v>1664</v>
      </c>
      <c r="P297" t="s">
        <v>3567</v>
      </c>
      <c r="Q297" t="s">
        <v>3469</v>
      </c>
      <c r="R297" t="s">
        <v>1664</v>
      </c>
      <c r="S297" t="s">
        <v>1664</v>
      </c>
      <c r="T297" t="s">
        <v>1664</v>
      </c>
      <c r="U297" t="s">
        <v>1664</v>
      </c>
      <c r="V297" t="s">
        <v>1664</v>
      </c>
      <c r="W297">
        <v>0</v>
      </c>
      <c r="Y297">
        <v>0</v>
      </c>
      <c r="AA297">
        <v>82189960000</v>
      </c>
      <c r="AB297" t="s">
        <v>4205</v>
      </c>
    </row>
    <row r="298" spans="1:28">
      <c r="B298" t="s">
        <v>4206</v>
      </c>
      <c r="C298" t="s">
        <v>4207</v>
      </c>
      <c r="D298" t="s">
        <v>1664</v>
      </c>
      <c r="E298" t="s">
        <v>1664</v>
      </c>
      <c r="F298">
        <v>0</v>
      </c>
      <c r="H298">
        <v>0</v>
      </c>
      <c r="J298" t="s">
        <v>1664</v>
      </c>
      <c r="K298" t="s">
        <v>1664</v>
      </c>
      <c r="L298" t="s">
        <v>1664</v>
      </c>
      <c r="M298" t="s">
        <v>1664</v>
      </c>
      <c r="N298" t="s">
        <v>1664</v>
      </c>
      <c r="O298" t="s">
        <v>1664</v>
      </c>
      <c r="P298" t="s">
        <v>3473</v>
      </c>
      <c r="Q298" t="s">
        <v>3482</v>
      </c>
      <c r="R298" t="s">
        <v>1664</v>
      </c>
      <c r="S298" t="s">
        <v>1664</v>
      </c>
      <c r="T298" t="s">
        <v>1664</v>
      </c>
      <c r="U298" t="s">
        <v>1664</v>
      </c>
      <c r="V298" t="s">
        <v>1664</v>
      </c>
      <c r="W298">
        <v>0</v>
      </c>
      <c r="Y298">
        <v>0</v>
      </c>
      <c r="AA298">
        <v>16490190000</v>
      </c>
      <c r="AB298" t="s">
        <v>4208</v>
      </c>
    </row>
    <row r="299" spans="1:28">
      <c r="A299" t="s">
        <v>106</v>
      </c>
      <c r="B299" t="s">
        <v>513</v>
      </c>
      <c r="C299" t="s">
        <v>516</v>
      </c>
      <c r="D299">
        <v>1100000000</v>
      </c>
      <c r="E299" t="s">
        <v>1664</v>
      </c>
      <c r="F299">
        <v>530000000</v>
      </c>
      <c r="H299">
        <v>619000000</v>
      </c>
      <c r="J299">
        <v>130500000</v>
      </c>
      <c r="K299">
        <v>287791000</v>
      </c>
      <c r="L299">
        <v>316984000</v>
      </c>
      <c r="M299">
        <v>211943000</v>
      </c>
      <c r="N299">
        <v>130724000</v>
      </c>
      <c r="O299" t="s">
        <v>1664</v>
      </c>
      <c r="P299" t="s">
        <v>3517</v>
      </c>
      <c r="Q299" t="s">
        <v>3482</v>
      </c>
      <c r="R299">
        <v>6092800000</v>
      </c>
      <c r="S299">
        <v>10102400000</v>
      </c>
      <c r="T299">
        <v>8959104000</v>
      </c>
      <c r="U299">
        <v>10681440000</v>
      </c>
      <c r="V299">
        <v>10856384000</v>
      </c>
      <c r="W299">
        <v>8808800000</v>
      </c>
      <c r="Y299">
        <v>8456448000</v>
      </c>
      <c r="AA299">
        <v>5711552000</v>
      </c>
      <c r="AB299" t="s">
        <v>4209</v>
      </c>
    </row>
    <row r="300" spans="1:28">
      <c r="A300" t="s">
        <v>943</v>
      </c>
      <c r="B300" t="s">
        <v>4210</v>
      </c>
      <c r="C300" t="s">
        <v>2084</v>
      </c>
      <c r="D300">
        <v>0</v>
      </c>
      <c r="E300">
        <v>300000000</v>
      </c>
      <c r="F300">
        <v>178200000</v>
      </c>
      <c r="H300">
        <v>-972100000</v>
      </c>
      <c r="J300">
        <v>-7212600000</v>
      </c>
      <c r="K300">
        <v>1103300000</v>
      </c>
      <c r="L300">
        <v>1242800000</v>
      </c>
      <c r="M300">
        <v>2439500000</v>
      </c>
      <c r="N300">
        <v>2722500000</v>
      </c>
      <c r="O300">
        <v>21.852673333333332</v>
      </c>
      <c r="P300" t="s">
        <v>3500</v>
      </c>
      <c r="Q300" t="s">
        <v>3518</v>
      </c>
      <c r="R300">
        <v>21966026485</v>
      </c>
      <c r="S300">
        <v>20470618580</v>
      </c>
      <c r="T300">
        <v>17503937308</v>
      </c>
      <c r="U300">
        <v>18262296492</v>
      </c>
      <c r="V300">
        <v>8940279154.9200001</v>
      </c>
      <c r="W300">
        <v>8537416025.6000004</v>
      </c>
      <c r="Y300">
        <v>6748243489.4400005</v>
      </c>
      <c r="AA300">
        <v>6555802000</v>
      </c>
      <c r="AB300" t="s">
        <v>4211</v>
      </c>
    </row>
    <row r="301" spans="1:28">
      <c r="B301" t="s">
        <v>4212</v>
      </c>
      <c r="C301" t="s">
        <v>4213</v>
      </c>
      <c r="D301" t="s">
        <v>1664</v>
      </c>
      <c r="E301" t="s">
        <v>1664</v>
      </c>
      <c r="F301">
        <v>0</v>
      </c>
      <c r="H301">
        <v>0</v>
      </c>
      <c r="J301" t="s">
        <v>1664</v>
      </c>
      <c r="K301" t="s">
        <v>1664</v>
      </c>
      <c r="L301" t="s">
        <v>1664</v>
      </c>
      <c r="M301" t="s">
        <v>1664</v>
      </c>
      <c r="N301" t="s">
        <v>1664</v>
      </c>
      <c r="O301" t="s">
        <v>1664</v>
      </c>
      <c r="P301" t="s">
        <v>3892</v>
      </c>
      <c r="Q301" t="s">
        <v>3496</v>
      </c>
      <c r="R301" t="s">
        <v>1664</v>
      </c>
      <c r="S301" t="s">
        <v>1664</v>
      </c>
      <c r="T301" t="s">
        <v>1664</v>
      </c>
      <c r="U301" t="s">
        <v>1664</v>
      </c>
      <c r="V301" t="s">
        <v>1664</v>
      </c>
      <c r="W301">
        <v>0</v>
      </c>
      <c r="Y301">
        <v>0</v>
      </c>
      <c r="AA301">
        <v>103463100000</v>
      </c>
      <c r="AB301" t="s">
        <v>4214</v>
      </c>
    </row>
    <row r="302" spans="1:28">
      <c r="B302" t="s">
        <v>4215</v>
      </c>
      <c r="C302" t="s">
        <v>4216</v>
      </c>
      <c r="D302" t="s">
        <v>1664</v>
      </c>
      <c r="E302" t="s">
        <v>1664</v>
      </c>
      <c r="F302">
        <v>0</v>
      </c>
      <c r="H302">
        <v>0</v>
      </c>
      <c r="J302" t="s">
        <v>1664</v>
      </c>
      <c r="K302" t="s">
        <v>1664</v>
      </c>
      <c r="L302" t="s">
        <v>1664</v>
      </c>
      <c r="M302" t="s">
        <v>1664</v>
      </c>
      <c r="N302" t="s">
        <v>1664</v>
      </c>
      <c r="O302" t="s">
        <v>1664</v>
      </c>
      <c r="P302" t="s">
        <v>3810</v>
      </c>
      <c r="Q302" t="s">
        <v>3464</v>
      </c>
      <c r="R302" t="s">
        <v>1664</v>
      </c>
      <c r="S302" t="s">
        <v>1664</v>
      </c>
      <c r="T302" t="s">
        <v>1664</v>
      </c>
      <c r="U302" t="s">
        <v>1664</v>
      </c>
      <c r="V302" t="s">
        <v>1664</v>
      </c>
      <c r="W302">
        <v>0</v>
      </c>
      <c r="Y302">
        <v>0</v>
      </c>
      <c r="AA302">
        <v>457488194313</v>
      </c>
      <c r="AB302" t="s">
        <v>4217</v>
      </c>
    </row>
    <row r="303" spans="1:28">
      <c r="B303" t="s">
        <v>4218</v>
      </c>
      <c r="C303" t="s">
        <v>4219</v>
      </c>
      <c r="D303" t="s">
        <v>1664</v>
      </c>
      <c r="E303" t="s">
        <v>1664</v>
      </c>
      <c r="F303">
        <v>0</v>
      </c>
      <c r="H303">
        <v>0</v>
      </c>
      <c r="J303" t="s">
        <v>1664</v>
      </c>
      <c r="K303" t="s">
        <v>1664</v>
      </c>
      <c r="L303" t="s">
        <v>1664</v>
      </c>
      <c r="M303" t="s">
        <v>1664</v>
      </c>
      <c r="N303" t="s">
        <v>1664</v>
      </c>
      <c r="O303" t="s">
        <v>1664</v>
      </c>
      <c r="P303" t="s">
        <v>3620</v>
      </c>
      <c r="Q303" t="s">
        <v>3496</v>
      </c>
      <c r="R303" t="s">
        <v>1664</v>
      </c>
      <c r="S303" t="s">
        <v>1664</v>
      </c>
      <c r="T303" t="s">
        <v>1664</v>
      </c>
      <c r="U303" t="s">
        <v>1664</v>
      </c>
      <c r="V303" t="s">
        <v>1664</v>
      </c>
      <c r="W303">
        <v>0</v>
      </c>
      <c r="Y303">
        <v>0</v>
      </c>
      <c r="AA303">
        <v>44444550000</v>
      </c>
      <c r="AB303" t="s">
        <v>4220</v>
      </c>
    </row>
    <row r="304" spans="1:28">
      <c r="A304" t="s">
        <v>4221</v>
      </c>
      <c r="B304" t="s">
        <v>1223</v>
      </c>
      <c r="C304" t="s">
        <v>1225</v>
      </c>
      <c r="D304">
        <v>2401000000</v>
      </c>
      <c r="E304">
        <v>500000000</v>
      </c>
      <c r="F304">
        <v>230000000</v>
      </c>
      <c r="H304">
        <v>175000000</v>
      </c>
      <c r="J304">
        <v>-1089000000</v>
      </c>
      <c r="K304">
        <v>313000000</v>
      </c>
      <c r="L304">
        <v>546000000</v>
      </c>
      <c r="M304">
        <v>877000000</v>
      </c>
      <c r="N304">
        <v>983000000</v>
      </c>
      <c r="O304">
        <v>8.595618</v>
      </c>
      <c r="P304" t="s">
        <v>3615</v>
      </c>
      <c r="Q304" t="s">
        <v>3477</v>
      </c>
      <c r="R304">
        <v>12991842746.26</v>
      </c>
      <c r="S304">
        <v>14815527480</v>
      </c>
      <c r="T304">
        <v>5872865303.25</v>
      </c>
      <c r="U304">
        <v>7409902441</v>
      </c>
      <c r="V304">
        <v>6967270822</v>
      </c>
      <c r="W304">
        <v>6385864084.4399996</v>
      </c>
      <c r="Y304">
        <v>4036826955.5</v>
      </c>
      <c r="AA304">
        <v>4297809000</v>
      </c>
      <c r="AB304" t="s">
        <v>4222</v>
      </c>
    </row>
    <row r="305" spans="1:28">
      <c r="B305" t="s">
        <v>4223</v>
      </c>
      <c r="C305" t="s">
        <v>4224</v>
      </c>
      <c r="D305" t="s">
        <v>1664</v>
      </c>
      <c r="E305" t="s">
        <v>1664</v>
      </c>
      <c r="F305">
        <v>0</v>
      </c>
      <c r="H305">
        <v>0</v>
      </c>
      <c r="J305" t="s">
        <v>1664</v>
      </c>
      <c r="K305" t="s">
        <v>1664</v>
      </c>
      <c r="L305" t="s">
        <v>1664</v>
      </c>
      <c r="M305" t="s">
        <v>1664</v>
      </c>
      <c r="N305" t="s">
        <v>1664</v>
      </c>
      <c r="O305" t="s">
        <v>1664</v>
      </c>
      <c r="P305" t="s">
        <v>371</v>
      </c>
      <c r="Q305" t="s">
        <v>3477</v>
      </c>
      <c r="R305" t="s">
        <v>1664</v>
      </c>
      <c r="S305" t="s">
        <v>1664</v>
      </c>
      <c r="T305" t="s">
        <v>1664</v>
      </c>
      <c r="U305" t="s">
        <v>1664</v>
      </c>
      <c r="V305" t="s">
        <v>1664</v>
      </c>
      <c r="W305">
        <v>0</v>
      </c>
      <c r="Y305">
        <v>0</v>
      </c>
      <c r="AA305">
        <v>2809342000</v>
      </c>
      <c r="AB305" t="s">
        <v>4225</v>
      </c>
    </row>
    <row r="306" spans="1:28">
      <c r="B306" t="s">
        <v>4226</v>
      </c>
      <c r="C306" t="s">
        <v>4227</v>
      </c>
      <c r="D306" t="s">
        <v>1664</v>
      </c>
      <c r="E306" t="s">
        <v>1664</v>
      </c>
      <c r="F306">
        <v>0</v>
      </c>
      <c r="H306">
        <v>0</v>
      </c>
      <c r="J306" t="s">
        <v>1664</v>
      </c>
      <c r="K306" t="s">
        <v>1664</v>
      </c>
      <c r="L306" t="s">
        <v>1664</v>
      </c>
      <c r="M306" t="s">
        <v>1664</v>
      </c>
      <c r="N306" t="s">
        <v>1664</v>
      </c>
      <c r="O306" t="s">
        <v>1664</v>
      </c>
      <c r="P306" t="s">
        <v>3589</v>
      </c>
      <c r="Q306" t="s">
        <v>3477</v>
      </c>
      <c r="R306" t="s">
        <v>1664</v>
      </c>
      <c r="S306" t="s">
        <v>1664</v>
      </c>
      <c r="T306" t="s">
        <v>1664</v>
      </c>
      <c r="U306" t="s">
        <v>1664</v>
      </c>
      <c r="V306" t="s">
        <v>1664</v>
      </c>
      <c r="W306">
        <v>0</v>
      </c>
      <c r="Y306">
        <v>0</v>
      </c>
      <c r="AA306">
        <v>860047700</v>
      </c>
      <c r="AB306" t="s">
        <v>4228</v>
      </c>
    </row>
    <row r="307" spans="1:28">
      <c r="A307" t="s">
        <v>3821</v>
      </c>
      <c r="B307" t="s">
        <v>3424</v>
      </c>
      <c r="C307" t="s">
        <v>343</v>
      </c>
      <c r="D307">
        <v>6196000000</v>
      </c>
      <c r="E307">
        <v>0</v>
      </c>
      <c r="F307">
        <v>1162000000</v>
      </c>
      <c r="H307">
        <v>404300000</v>
      </c>
      <c r="J307">
        <v>88800000</v>
      </c>
      <c r="K307">
        <v>624900000</v>
      </c>
      <c r="L307">
        <v>440600000</v>
      </c>
      <c r="M307">
        <v>616100000</v>
      </c>
      <c r="N307">
        <v>597000000</v>
      </c>
      <c r="O307" t="s">
        <v>1664</v>
      </c>
      <c r="P307" t="s">
        <v>4229</v>
      </c>
      <c r="Q307" t="s">
        <v>3518</v>
      </c>
      <c r="R307">
        <v>8788491238.7999992</v>
      </c>
      <c r="S307">
        <v>12112343694.5</v>
      </c>
      <c r="T307">
        <v>12957390929</v>
      </c>
      <c r="U307">
        <v>13047130397</v>
      </c>
      <c r="V307">
        <v>11578013353.620001</v>
      </c>
      <c r="W307">
        <v>22573137081.16</v>
      </c>
      <c r="Y307">
        <v>16793406384</v>
      </c>
      <c r="AA307">
        <v>21182520000</v>
      </c>
      <c r="AB307" t="s">
        <v>4230</v>
      </c>
    </row>
    <row r="308" spans="1:28">
      <c r="A308" t="s">
        <v>4231</v>
      </c>
      <c r="B308" t="s">
        <v>194</v>
      </c>
      <c r="C308" t="s">
        <v>199</v>
      </c>
      <c r="D308">
        <v>850000000</v>
      </c>
      <c r="E308" t="s">
        <v>1664</v>
      </c>
      <c r="F308">
        <v>342000000</v>
      </c>
      <c r="H308">
        <v>243000000</v>
      </c>
      <c r="J308">
        <v>202000000</v>
      </c>
      <c r="K308">
        <v>150000000</v>
      </c>
      <c r="L308">
        <v>48500000</v>
      </c>
      <c r="M308">
        <v>12900000</v>
      </c>
      <c r="N308">
        <v>-27000000</v>
      </c>
      <c r="O308" t="s">
        <v>1664</v>
      </c>
      <c r="P308" t="s">
        <v>4232</v>
      </c>
      <c r="Q308" t="s">
        <v>3477</v>
      </c>
      <c r="R308">
        <v>0</v>
      </c>
      <c r="S308">
        <v>0</v>
      </c>
      <c r="T308">
        <v>0</v>
      </c>
      <c r="U308">
        <v>3439344015.0999999</v>
      </c>
      <c r="V308">
        <v>3460174498.3499999</v>
      </c>
      <c r="W308">
        <v>3786073105.6800003</v>
      </c>
      <c r="Y308">
        <v>3905916505.02</v>
      </c>
      <c r="AA308">
        <v>4791290000</v>
      </c>
      <c r="AB308" t="s">
        <v>4233</v>
      </c>
    </row>
    <row r="309" spans="1:28">
      <c r="B309" t="s">
        <v>4234</v>
      </c>
      <c r="C309" t="s">
        <v>4235</v>
      </c>
      <c r="D309" t="s">
        <v>1664</v>
      </c>
      <c r="E309" t="s">
        <v>1664</v>
      </c>
      <c r="F309">
        <v>0</v>
      </c>
      <c r="H309">
        <v>0</v>
      </c>
      <c r="J309" t="s">
        <v>1664</v>
      </c>
      <c r="K309" t="s">
        <v>1664</v>
      </c>
      <c r="L309" t="s">
        <v>1664</v>
      </c>
      <c r="M309" t="s">
        <v>1664</v>
      </c>
      <c r="N309" t="s">
        <v>1664</v>
      </c>
      <c r="O309" t="s">
        <v>1664</v>
      </c>
      <c r="P309" t="s">
        <v>3646</v>
      </c>
      <c r="Q309" t="s">
        <v>3464</v>
      </c>
      <c r="R309" t="s">
        <v>1664</v>
      </c>
      <c r="S309" t="s">
        <v>1664</v>
      </c>
      <c r="T309" t="s">
        <v>1664</v>
      </c>
      <c r="U309" t="s">
        <v>1664</v>
      </c>
      <c r="V309" t="s">
        <v>1664</v>
      </c>
      <c r="W309">
        <v>0</v>
      </c>
      <c r="Y309">
        <v>0</v>
      </c>
      <c r="AA309">
        <v>141255800000</v>
      </c>
      <c r="AB309" t="s">
        <v>4236</v>
      </c>
    </row>
    <row r="310" spans="1:28">
      <c r="B310" t="s">
        <v>1363</v>
      </c>
      <c r="C310" t="s">
        <v>1367</v>
      </c>
      <c r="D310" t="s">
        <v>1664</v>
      </c>
      <c r="E310" t="s">
        <v>1664</v>
      </c>
      <c r="F310">
        <v>0</v>
      </c>
      <c r="H310">
        <v>0</v>
      </c>
      <c r="J310" t="s">
        <v>1664</v>
      </c>
      <c r="K310" t="s">
        <v>1664</v>
      </c>
      <c r="L310" t="s">
        <v>1664</v>
      </c>
      <c r="M310">
        <v>850000000</v>
      </c>
      <c r="N310">
        <v>965000000</v>
      </c>
      <c r="O310" t="s">
        <v>1664</v>
      </c>
      <c r="P310" t="s">
        <v>3527</v>
      </c>
      <c r="R310">
        <v>13340407258.064514</v>
      </c>
      <c r="S310">
        <v>317387854600</v>
      </c>
      <c r="T310" t="s">
        <v>1664</v>
      </c>
      <c r="U310" t="s">
        <v>1664</v>
      </c>
      <c r="V310" t="s">
        <v>1664</v>
      </c>
      <c r="W310">
        <v>0</v>
      </c>
      <c r="Y310">
        <v>0</v>
      </c>
      <c r="AA310">
        <v>159842400000</v>
      </c>
      <c r="AB310" t="s">
        <v>4237</v>
      </c>
    </row>
    <row r="311" spans="1:28">
      <c r="B311" t="s">
        <v>1163</v>
      </c>
      <c r="C311" t="s">
        <v>1164</v>
      </c>
      <c r="D311">
        <v>115000000</v>
      </c>
      <c r="E311" t="s">
        <v>1664</v>
      </c>
      <c r="F311">
        <v>55000000</v>
      </c>
      <c r="H311">
        <v>62868000</v>
      </c>
      <c r="J311">
        <v>19229000</v>
      </c>
      <c r="K311">
        <v>28589000</v>
      </c>
      <c r="L311">
        <v>36259000</v>
      </c>
      <c r="M311">
        <v>34800000</v>
      </c>
      <c r="N311">
        <v>27870000</v>
      </c>
      <c r="O311" t="s">
        <v>1664</v>
      </c>
      <c r="P311" t="s">
        <v>3473</v>
      </c>
      <c r="R311">
        <v>540982998.06000006</v>
      </c>
      <c r="S311">
        <v>993327007.19999993</v>
      </c>
      <c r="T311">
        <v>582213198</v>
      </c>
      <c r="U311">
        <v>765194488.80000007</v>
      </c>
      <c r="V311">
        <v>1052736517.1999999</v>
      </c>
      <c r="W311">
        <v>1568411064</v>
      </c>
      <c r="Y311">
        <v>1040854615.1999999</v>
      </c>
      <c r="AA311">
        <v>950552200</v>
      </c>
      <c r="AB311" t="s">
        <v>4238</v>
      </c>
    </row>
    <row r="312" spans="1:28">
      <c r="A312" t="s">
        <v>106</v>
      </c>
      <c r="B312" t="s">
        <v>262</v>
      </c>
      <c r="C312" t="s">
        <v>264</v>
      </c>
      <c r="D312">
        <v>570120000</v>
      </c>
      <c r="E312">
        <v>180000000</v>
      </c>
      <c r="F312">
        <v>156086000</v>
      </c>
      <c r="H312">
        <v>204179000</v>
      </c>
      <c r="J312">
        <v>155995000</v>
      </c>
      <c r="K312">
        <v>148821000</v>
      </c>
      <c r="L312">
        <v>148882000</v>
      </c>
      <c r="M312">
        <v>142181000</v>
      </c>
      <c r="N312">
        <v>139000000</v>
      </c>
      <c r="O312">
        <v>7.5706388888888885</v>
      </c>
      <c r="P312" t="s">
        <v>3854</v>
      </c>
      <c r="Q312" t="s">
        <v>3845</v>
      </c>
      <c r="R312">
        <v>2588934000</v>
      </c>
      <c r="S312">
        <v>3143000000</v>
      </c>
      <c r="T312">
        <v>1930700000</v>
      </c>
      <c r="U312">
        <v>1701710000</v>
      </c>
      <c r="V312">
        <v>1542315000</v>
      </c>
      <c r="W312">
        <v>1616400000</v>
      </c>
      <c r="Y312">
        <v>1032700000</v>
      </c>
      <c r="AA312">
        <v>1362715000</v>
      </c>
      <c r="AB312" t="s">
        <v>4239</v>
      </c>
    </row>
    <row r="313" spans="1:28">
      <c r="B313" t="s">
        <v>4240</v>
      </c>
      <c r="C313" t="s">
        <v>1695</v>
      </c>
      <c r="D313">
        <v>390000000</v>
      </c>
      <c r="E313" t="s">
        <v>1664</v>
      </c>
      <c r="F313">
        <v>110000000</v>
      </c>
      <c r="H313">
        <v>92300000</v>
      </c>
      <c r="J313">
        <v>66200000</v>
      </c>
      <c r="K313">
        <v>73900000</v>
      </c>
      <c r="L313">
        <v>74100000</v>
      </c>
      <c r="M313">
        <v>86900000</v>
      </c>
      <c r="N313">
        <v>59300000</v>
      </c>
      <c r="O313" t="s">
        <v>1664</v>
      </c>
      <c r="P313" t="s">
        <v>3651</v>
      </c>
      <c r="R313">
        <v>1262431875.9000001</v>
      </c>
      <c r="S313">
        <v>1691596062</v>
      </c>
      <c r="T313">
        <v>1253034120</v>
      </c>
      <c r="U313">
        <v>1029576368.5999999</v>
      </c>
      <c r="V313">
        <v>1129822495.5999999</v>
      </c>
      <c r="W313">
        <v>1228366851.2</v>
      </c>
      <c r="Y313">
        <v>1046174379.8</v>
      </c>
      <c r="AA313">
        <v>1462123000</v>
      </c>
      <c r="AB313" t="s">
        <v>4241</v>
      </c>
    </row>
    <row r="314" spans="1:28">
      <c r="A314" t="s">
        <v>1181</v>
      </c>
      <c r="B314" t="s">
        <v>1925</v>
      </c>
      <c r="C314" t="s">
        <v>1928</v>
      </c>
      <c r="D314">
        <v>10215000000</v>
      </c>
      <c r="E314">
        <v>0</v>
      </c>
      <c r="F314">
        <v>4259000000</v>
      </c>
      <c r="H314">
        <v>2597000000</v>
      </c>
      <c r="J314">
        <v>1242000000</v>
      </c>
      <c r="K314">
        <v>3260000000</v>
      </c>
      <c r="L314">
        <v>2983000000</v>
      </c>
      <c r="M314">
        <v>2837000000</v>
      </c>
      <c r="N314">
        <v>2545000000</v>
      </c>
      <c r="O314" t="s">
        <v>1664</v>
      </c>
      <c r="P314" t="s">
        <v>3481</v>
      </c>
      <c r="Q314" t="s">
        <v>3518</v>
      </c>
      <c r="R314">
        <v>38128067144</v>
      </c>
      <c r="S314">
        <v>52168983491.519997</v>
      </c>
      <c r="T314">
        <v>48613900458.239998</v>
      </c>
      <c r="U314">
        <v>58163341912.899994</v>
      </c>
      <c r="V314">
        <v>49242138377.040001</v>
      </c>
      <c r="W314">
        <v>56226581308.100006</v>
      </c>
      <c r="X314">
        <v>55642451000</v>
      </c>
      <c r="Y314">
        <v>59535005000</v>
      </c>
      <c r="Z314">
        <v>59535005000</v>
      </c>
      <c r="AA314">
        <v>64314860000</v>
      </c>
      <c r="AB314" t="s">
        <v>4242</v>
      </c>
    </row>
    <row r="315" spans="1:28">
      <c r="A315" t="s">
        <v>3493</v>
      </c>
      <c r="B315" t="s">
        <v>1141</v>
      </c>
      <c r="C315" t="s">
        <v>1144</v>
      </c>
      <c r="D315">
        <v>229000000</v>
      </c>
      <c r="E315">
        <v>105000000</v>
      </c>
      <c r="F315">
        <v>122000000</v>
      </c>
      <c r="H315">
        <v>113200000</v>
      </c>
      <c r="J315">
        <v>137500000</v>
      </c>
      <c r="K315">
        <v>51600000</v>
      </c>
      <c r="L315">
        <v>20100000</v>
      </c>
      <c r="M315">
        <v>-2600000</v>
      </c>
      <c r="N315">
        <v>34646000</v>
      </c>
      <c r="O315">
        <v>20.420028571428571</v>
      </c>
      <c r="P315" t="s">
        <v>3473</v>
      </c>
      <c r="Q315" t="s">
        <v>3477</v>
      </c>
      <c r="R315">
        <v>1414177600</v>
      </c>
      <c r="S315">
        <v>1040334000</v>
      </c>
      <c r="T315">
        <v>1040334000</v>
      </c>
      <c r="U315">
        <v>1945340000</v>
      </c>
      <c r="V315">
        <v>2013004000</v>
      </c>
      <c r="W315">
        <v>3590421000</v>
      </c>
      <c r="Y315">
        <v>1928424000</v>
      </c>
      <c r="AA315">
        <v>2144103000</v>
      </c>
      <c r="AB315" t="s">
        <v>4243</v>
      </c>
    </row>
    <row r="316" spans="1:28">
      <c r="B316" t="s">
        <v>659</v>
      </c>
      <c r="C316" t="s">
        <v>662</v>
      </c>
      <c r="D316" t="s">
        <v>1664</v>
      </c>
      <c r="E316" t="s">
        <v>1664</v>
      </c>
      <c r="F316">
        <v>0</v>
      </c>
      <c r="H316">
        <v>0</v>
      </c>
      <c r="J316">
        <v>0</v>
      </c>
      <c r="K316">
        <v>12080000000</v>
      </c>
      <c r="L316">
        <v>10301000000</v>
      </c>
      <c r="M316">
        <v>6699000000</v>
      </c>
      <c r="N316">
        <v>5991000000</v>
      </c>
      <c r="O316" t="s">
        <v>1664</v>
      </c>
      <c r="P316" t="s">
        <v>3490</v>
      </c>
      <c r="Q316" t="s">
        <v>3464</v>
      </c>
      <c r="R316">
        <v>189400400000</v>
      </c>
      <c r="S316">
        <v>269310000000</v>
      </c>
      <c r="T316">
        <v>304473900000</v>
      </c>
      <c r="U316">
        <v>427490700000</v>
      </c>
      <c r="V316">
        <v>0</v>
      </c>
      <c r="W316">
        <v>0</v>
      </c>
      <c r="Y316">
        <v>0</v>
      </c>
      <c r="AA316">
        <v>487334829210</v>
      </c>
      <c r="AB316" t="s">
        <v>4244</v>
      </c>
    </row>
    <row r="317" spans="1:28">
      <c r="B317" t="s">
        <v>4245</v>
      </c>
      <c r="C317" t="s">
        <v>4246</v>
      </c>
      <c r="D317" t="s">
        <v>1664</v>
      </c>
      <c r="E317" t="s">
        <v>1664</v>
      </c>
      <c r="F317">
        <v>-1000000000</v>
      </c>
      <c r="G317">
        <v>-1000000000</v>
      </c>
      <c r="H317">
        <v>24692000000</v>
      </c>
      <c r="I317">
        <v>24692000000</v>
      </c>
      <c r="J317" t="s">
        <v>1664</v>
      </c>
      <c r="K317" t="s">
        <v>1664</v>
      </c>
      <c r="L317" t="s">
        <v>1664</v>
      </c>
      <c r="M317" t="s">
        <v>1664</v>
      </c>
      <c r="N317" t="s">
        <v>1664</v>
      </c>
      <c r="O317" t="s">
        <v>1664</v>
      </c>
      <c r="P317" t="s">
        <v>3620</v>
      </c>
      <c r="Q317" t="s">
        <v>3518</v>
      </c>
      <c r="R317" t="s">
        <v>1664</v>
      </c>
      <c r="S317" t="s">
        <v>1664</v>
      </c>
      <c r="T317" t="s">
        <v>1664</v>
      </c>
      <c r="U317" t="s">
        <v>1664</v>
      </c>
      <c r="V317" t="s">
        <v>1664</v>
      </c>
      <c r="W317">
        <v>11766022000</v>
      </c>
      <c r="X317">
        <v>11766022000</v>
      </c>
      <c r="Y317">
        <v>10099266000</v>
      </c>
      <c r="Z317">
        <v>10099266000</v>
      </c>
      <c r="AA317">
        <v>8575099000</v>
      </c>
      <c r="AB317" t="s">
        <v>4247</v>
      </c>
    </row>
    <row r="318" spans="1:28">
      <c r="B318" t="s">
        <v>4248</v>
      </c>
      <c r="C318" t="s">
        <v>4249</v>
      </c>
      <c r="D318" t="s">
        <v>1664</v>
      </c>
      <c r="E318" t="s">
        <v>1664</v>
      </c>
      <c r="F318">
        <v>0</v>
      </c>
      <c r="H318">
        <v>0</v>
      </c>
      <c r="J318" t="s">
        <v>1664</v>
      </c>
      <c r="K318" t="s">
        <v>1664</v>
      </c>
      <c r="L318" t="s">
        <v>1664</v>
      </c>
      <c r="M318" t="s">
        <v>1664</v>
      </c>
      <c r="N318" t="s">
        <v>1664</v>
      </c>
      <c r="O318" t="s">
        <v>1664</v>
      </c>
      <c r="P318" t="s">
        <v>3615</v>
      </c>
      <c r="Q318" t="s">
        <v>3487</v>
      </c>
      <c r="R318" t="s">
        <v>1664</v>
      </c>
      <c r="S318" t="s">
        <v>1664</v>
      </c>
      <c r="T318" t="s">
        <v>1664</v>
      </c>
      <c r="U318" t="s">
        <v>1664</v>
      </c>
      <c r="V318" t="s">
        <v>1664</v>
      </c>
      <c r="W318">
        <v>0</v>
      </c>
      <c r="Y318">
        <v>0</v>
      </c>
      <c r="AA318">
        <v>61316290000</v>
      </c>
      <c r="AB318" t="s">
        <v>4250</v>
      </c>
    </row>
    <row r="319" spans="1:28">
      <c r="B319" t="s">
        <v>2540</v>
      </c>
      <c r="C319" t="s">
        <v>4251</v>
      </c>
      <c r="D319" t="s">
        <v>1664</v>
      </c>
      <c r="E319" t="s">
        <v>1664</v>
      </c>
      <c r="F319">
        <v>0</v>
      </c>
      <c r="H319">
        <v>0</v>
      </c>
      <c r="J319" t="s">
        <v>1664</v>
      </c>
      <c r="K319" t="s">
        <v>1664</v>
      </c>
      <c r="L319" t="s">
        <v>1664</v>
      </c>
      <c r="M319" t="s">
        <v>1664</v>
      </c>
      <c r="N319" t="s">
        <v>1664</v>
      </c>
      <c r="O319" t="s">
        <v>1664</v>
      </c>
      <c r="P319" t="s">
        <v>3527</v>
      </c>
      <c r="R319" t="s">
        <v>1664</v>
      </c>
      <c r="S319" t="s">
        <v>1664</v>
      </c>
      <c r="T319" t="s">
        <v>1664</v>
      </c>
      <c r="U319" t="s">
        <v>1664</v>
      </c>
      <c r="V319" t="s">
        <v>1664</v>
      </c>
      <c r="W319">
        <v>0</v>
      </c>
      <c r="Y319">
        <v>0</v>
      </c>
      <c r="AA319">
        <v>1904121000</v>
      </c>
      <c r="AB319" t="s">
        <v>4252</v>
      </c>
    </row>
    <row r="320" spans="1:28">
      <c r="B320" t="s">
        <v>4253</v>
      </c>
      <c r="C320" t="s">
        <v>4254</v>
      </c>
      <c r="D320" t="s">
        <v>1664</v>
      </c>
      <c r="E320" t="s">
        <v>1664</v>
      </c>
      <c r="F320">
        <v>0</v>
      </c>
      <c r="H320">
        <v>0</v>
      </c>
      <c r="J320" t="s">
        <v>1664</v>
      </c>
      <c r="K320" t="s">
        <v>1664</v>
      </c>
      <c r="L320" t="s">
        <v>1664</v>
      </c>
      <c r="M320" t="s">
        <v>1664</v>
      </c>
      <c r="N320" t="s">
        <v>1664</v>
      </c>
      <c r="O320" t="s">
        <v>1664</v>
      </c>
      <c r="P320" t="s">
        <v>3552</v>
      </c>
      <c r="Q320" t="s">
        <v>3487</v>
      </c>
      <c r="R320" t="s">
        <v>1664</v>
      </c>
      <c r="S320" t="s">
        <v>1664</v>
      </c>
      <c r="T320" t="s">
        <v>1664</v>
      </c>
      <c r="U320" t="s">
        <v>1664</v>
      </c>
      <c r="V320" t="s">
        <v>1664</v>
      </c>
      <c r="W320">
        <v>0</v>
      </c>
      <c r="Y320">
        <v>0</v>
      </c>
      <c r="AA320">
        <v>19657380000</v>
      </c>
      <c r="AB320" t="s">
        <v>4255</v>
      </c>
    </row>
    <row r="321" spans="1:28">
      <c r="B321" t="s">
        <v>4256</v>
      </c>
      <c r="C321" t="s">
        <v>4257</v>
      </c>
      <c r="D321" t="s">
        <v>1664</v>
      </c>
      <c r="E321" t="s">
        <v>1664</v>
      </c>
      <c r="F321">
        <v>0</v>
      </c>
      <c r="H321">
        <v>0</v>
      </c>
      <c r="J321" t="s">
        <v>1664</v>
      </c>
      <c r="K321" t="s">
        <v>1664</v>
      </c>
      <c r="L321" t="s">
        <v>1664</v>
      </c>
      <c r="M321" t="s">
        <v>1664</v>
      </c>
      <c r="N321" t="s">
        <v>1664</v>
      </c>
      <c r="O321" t="s">
        <v>1664</v>
      </c>
      <c r="P321" t="s">
        <v>3655</v>
      </c>
      <c r="Q321" t="s">
        <v>3464</v>
      </c>
      <c r="R321" t="s">
        <v>1664</v>
      </c>
      <c r="S321" t="s">
        <v>1664</v>
      </c>
      <c r="T321" t="s">
        <v>1664</v>
      </c>
      <c r="U321" t="s">
        <v>1664</v>
      </c>
      <c r="V321" t="s">
        <v>1664</v>
      </c>
      <c r="W321">
        <v>0</v>
      </c>
      <c r="Y321">
        <v>0</v>
      </c>
      <c r="AA321">
        <v>441793314959</v>
      </c>
      <c r="AB321" t="s">
        <v>4258</v>
      </c>
    </row>
    <row r="322" spans="1:28">
      <c r="B322" t="s">
        <v>4259</v>
      </c>
      <c r="C322" t="s">
        <v>4260</v>
      </c>
      <c r="D322" t="s">
        <v>1664</v>
      </c>
      <c r="E322" t="s">
        <v>1664</v>
      </c>
      <c r="F322">
        <v>0</v>
      </c>
      <c r="H322">
        <v>0</v>
      </c>
      <c r="J322" t="s">
        <v>1664</v>
      </c>
      <c r="K322" t="s">
        <v>1664</v>
      </c>
      <c r="L322" t="s">
        <v>1664</v>
      </c>
      <c r="M322" t="s">
        <v>1664</v>
      </c>
      <c r="N322" t="s">
        <v>1664</v>
      </c>
      <c r="O322" t="s">
        <v>1664</v>
      </c>
      <c r="P322" t="s">
        <v>3500</v>
      </c>
      <c r="Q322" t="s">
        <v>3482</v>
      </c>
      <c r="R322" t="s">
        <v>1664</v>
      </c>
      <c r="S322" t="s">
        <v>1664</v>
      </c>
      <c r="T322" t="s">
        <v>1664</v>
      </c>
      <c r="U322" t="s">
        <v>1664</v>
      </c>
      <c r="V322" t="s">
        <v>1664</v>
      </c>
      <c r="W322">
        <v>0</v>
      </c>
      <c r="Y322">
        <v>0</v>
      </c>
      <c r="AA322">
        <v>5053681000</v>
      </c>
      <c r="AB322" t="s">
        <v>4261</v>
      </c>
    </row>
    <row r="323" spans="1:28">
      <c r="B323" t="s">
        <v>4262</v>
      </c>
      <c r="C323" t="s">
        <v>4263</v>
      </c>
      <c r="D323" t="s">
        <v>1664</v>
      </c>
      <c r="E323" t="s">
        <v>1664</v>
      </c>
      <c r="F323">
        <v>0</v>
      </c>
      <c r="H323">
        <v>0</v>
      </c>
      <c r="J323" t="s">
        <v>1664</v>
      </c>
      <c r="K323" t="s">
        <v>1664</v>
      </c>
      <c r="L323" t="s">
        <v>1664</v>
      </c>
      <c r="M323" t="s">
        <v>1664</v>
      </c>
      <c r="N323" t="s">
        <v>1664</v>
      </c>
      <c r="O323" t="s">
        <v>1664</v>
      </c>
      <c r="P323" t="s">
        <v>3563</v>
      </c>
      <c r="Q323" t="s">
        <v>3474</v>
      </c>
      <c r="R323" t="s">
        <v>1664</v>
      </c>
      <c r="S323" t="s">
        <v>1664</v>
      </c>
      <c r="T323" t="s">
        <v>1664</v>
      </c>
      <c r="U323" t="s">
        <v>1664</v>
      </c>
      <c r="V323" t="s">
        <v>1664</v>
      </c>
      <c r="W323">
        <v>0</v>
      </c>
      <c r="Y323">
        <v>0</v>
      </c>
      <c r="AA323">
        <v>155498277500</v>
      </c>
      <c r="AB323" t="s">
        <v>4264</v>
      </c>
    </row>
    <row r="324" spans="1:28">
      <c r="B324" t="s">
        <v>4265</v>
      </c>
      <c r="C324" t="s">
        <v>4266</v>
      </c>
      <c r="D324" t="s">
        <v>1664</v>
      </c>
      <c r="E324" t="s">
        <v>1664</v>
      </c>
      <c r="F324">
        <v>0</v>
      </c>
      <c r="H324">
        <v>0</v>
      </c>
      <c r="J324" t="s">
        <v>1664</v>
      </c>
      <c r="K324" t="s">
        <v>1664</v>
      </c>
      <c r="L324" t="s">
        <v>1664</v>
      </c>
      <c r="M324" t="s">
        <v>1664</v>
      </c>
      <c r="N324" t="s">
        <v>1664</v>
      </c>
      <c r="O324" t="s">
        <v>1664</v>
      </c>
      <c r="P324" t="s">
        <v>3840</v>
      </c>
      <c r="Q324" t="s">
        <v>3477</v>
      </c>
      <c r="R324" t="s">
        <v>1664</v>
      </c>
      <c r="S324" t="s">
        <v>1664</v>
      </c>
      <c r="T324" t="s">
        <v>1664</v>
      </c>
      <c r="U324" t="s">
        <v>1664</v>
      </c>
      <c r="V324" t="s">
        <v>1664</v>
      </c>
      <c r="W324">
        <v>0</v>
      </c>
      <c r="Y324">
        <v>0</v>
      </c>
      <c r="AA324">
        <v>3501545000</v>
      </c>
      <c r="AB324" t="s">
        <v>4267</v>
      </c>
    </row>
    <row r="325" spans="1:28">
      <c r="B325" t="s">
        <v>4268</v>
      </c>
      <c r="C325" t="s">
        <v>4269</v>
      </c>
      <c r="D325" t="s">
        <v>1664</v>
      </c>
      <c r="E325" t="s">
        <v>1664</v>
      </c>
      <c r="F325">
        <v>0</v>
      </c>
      <c r="H325">
        <v>0</v>
      </c>
      <c r="J325" t="s">
        <v>1664</v>
      </c>
      <c r="K325" t="s">
        <v>1664</v>
      </c>
      <c r="L325" t="s">
        <v>1664</v>
      </c>
      <c r="M325" t="s">
        <v>1664</v>
      </c>
      <c r="N325" t="s">
        <v>1664</v>
      </c>
      <c r="O325" t="s">
        <v>1664</v>
      </c>
      <c r="P325" t="s">
        <v>3623</v>
      </c>
      <c r="Q325" t="s">
        <v>3496</v>
      </c>
      <c r="R325" t="s">
        <v>1664</v>
      </c>
      <c r="S325" t="s">
        <v>1664</v>
      </c>
      <c r="T325" t="s">
        <v>1664</v>
      </c>
      <c r="U325" t="s">
        <v>1664</v>
      </c>
      <c r="V325" t="s">
        <v>1664</v>
      </c>
      <c r="W325">
        <v>0</v>
      </c>
      <c r="Y325">
        <v>0</v>
      </c>
      <c r="AA325">
        <v>28976980000</v>
      </c>
      <c r="AB325" t="s">
        <v>4270</v>
      </c>
    </row>
    <row r="326" spans="1:28">
      <c r="A326" t="s">
        <v>4271</v>
      </c>
      <c r="B326" t="s">
        <v>4272</v>
      </c>
      <c r="C326" t="s">
        <v>672</v>
      </c>
      <c r="D326">
        <v>920000000</v>
      </c>
      <c r="E326">
        <v>0</v>
      </c>
      <c r="F326">
        <v>211000000</v>
      </c>
      <c r="G326">
        <v>211000000</v>
      </c>
      <c r="H326">
        <v>-751400000</v>
      </c>
      <c r="J326">
        <v>163700000</v>
      </c>
      <c r="K326">
        <v>300500000</v>
      </c>
      <c r="L326">
        <v>154200000</v>
      </c>
      <c r="M326">
        <v>133400000</v>
      </c>
      <c r="N326">
        <v>0</v>
      </c>
      <c r="O326" t="s">
        <v>1664</v>
      </c>
      <c r="P326" t="s">
        <v>3495</v>
      </c>
      <c r="Q326" t="s">
        <v>3518</v>
      </c>
      <c r="R326">
        <v>3414552600</v>
      </c>
      <c r="S326">
        <v>5634917600</v>
      </c>
      <c r="T326">
        <v>7667310000</v>
      </c>
      <c r="U326">
        <v>11694813248</v>
      </c>
      <c r="V326">
        <v>22079618050</v>
      </c>
      <c r="W326">
        <v>13743755200</v>
      </c>
      <c r="Y326">
        <v>10246109744</v>
      </c>
      <c r="AA326">
        <v>7950198000</v>
      </c>
      <c r="AB326" t="s">
        <v>4273</v>
      </c>
    </row>
    <row r="327" spans="1:28">
      <c r="B327" t="s">
        <v>4274</v>
      </c>
      <c r="C327" t="s">
        <v>4275</v>
      </c>
      <c r="D327" t="s">
        <v>1664</v>
      </c>
      <c r="E327" t="s">
        <v>1664</v>
      </c>
      <c r="F327">
        <v>0</v>
      </c>
      <c r="H327">
        <v>0</v>
      </c>
      <c r="J327" t="s">
        <v>1664</v>
      </c>
      <c r="K327" t="s">
        <v>1664</v>
      </c>
      <c r="L327" t="s">
        <v>1664</v>
      </c>
      <c r="M327" t="s">
        <v>1664</v>
      </c>
      <c r="N327" t="s">
        <v>1664</v>
      </c>
      <c r="O327" t="s">
        <v>1664</v>
      </c>
      <c r="P327" t="s">
        <v>3490</v>
      </c>
      <c r="Q327" t="s">
        <v>3487</v>
      </c>
      <c r="R327" t="s">
        <v>1664</v>
      </c>
      <c r="S327" t="s">
        <v>1664</v>
      </c>
      <c r="T327" t="s">
        <v>1664</v>
      </c>
      <c r="U327" t="s">
        <v>1664</v>
      </c>
      <c r="V327" t="s">
        <v>1664</v>
      </c>
      <c r="W327">
        <v>0</v>
      </c>
      <c r="Y327">
        <v>0</v>
      </c>
      <c r="AA327">
        <v>6364481000</v>
      </c>
      <c r="AB327" t="s">
        <v>4276</v>
      </c>
    </row>
    <row r="328" spans="1:28">
      <c r="B328" t="s">
        <v>1173</v>
      </c>
      <c r="C328" t="s">
        <v>1174</v>
      </c>
      <c r="D328" t="s">
        <v>1664</v>
      </c>
      <c r="E328" t="s">
        <v>1664</v>
      </c>
      <c r="F328">
        <v>0</v>
      </c>
      <c r="H328">
        <v>2037000000</v>
      </c>
      <c r="J328">
        <v>1638000000</v>
      </c>
      <c r="K328">
        <v>1500000000</v>
      </c>
      <c r="L328">
        <v>1525000000</v>
      </c>
      <c r="M328">
        <v>1185000000</v>
      </c>
      <c r="N328">
        <v>975000000</v>
      </c>
      <c r="O328" t="s">
        <v>1664</v>
      </c>
      <c r="P328" t="s">
        <v>3473</v>
      </c>
      <c r="Q328" t="s">
        <v>3474</v>
      </c>
      <c r="R328">
        <v>26625144000</v>
      </c>
      <c r="S328">
        <v>81618145500</v>
      </c>
      <c r="T328">
        <v>41269474480</v>
      </c>
      <c r="U328">
        <v>63112896000</v>
      </c>
      <c r="V328">
        <v>79884336000</v>
      </c>
      <c r="W328">
        <v>115755142440</v>
      </c>
      <c r="Y328">
        <v>0</v>
      </c>
      <c r="AA328">
        <v>82428947283</v>
      </c>
      <c r="AB328" t="s">
        <v>4277</v>
      </c>
    </row>
    <row r="329" spans="1:28">
      <c r="B329" t="s">
        <v>4278</v>
      </c>
      <c r="C329" t="s">
        <v>4279</v>
      </c>
      <c r="D329" t="s">
        <v>1664</v>
      </c>
      <c r="E329" t="s">
        <v>1664</v>
      </c>
      <c r="F329">
        <v>0</v>
      </c>
      <c r="H329">
        <v>0</v>
      </c>
      <c r="J329" t="s">
        <v>1664</v>
      </c>
      <c r="K329" t="s">
        <v>1664</v>
      </c>
      <c r="L329" t="s">
        <v>1664</v>
      </c>
      <c r="M329" t="s">
        <v>1664</v>
      </c>
      <c r="N329" t="s">
        <v>1664</v>
      </c>
      <c r="O329" t="s">
        <v>1664</v>
      </c>
      <c r="P329" t="s">
        <v>3504</v>
      </c>
      <c r="Q329" t="s">
        <v>3469</v>
      </c>
      <c r="R329" t="s">
        <v>1664</v>
      </c>
      <c r="S329" t="s">
        <v>1664</v>
      </c>
      <c r="T329" t="s">
        <v>1664</v>
      </c>
      <c r="U329" t="s">
        <v>1664</v>
      </c>
      <c r="V329" t="s">
        <v>1664</v>
      </c>
      <c r="W329">
        <v>0</v>
      </c>
      <c r="Y329">
        <v>0</v>
      </c>
      <c r="AA329">
        <v>62903700000</v>
      </c>
      <c r="AB329" t="s">
        <v>4280</v>
      </c>
    </row>
  </sheetData>
  <phoneticPr fontId="8"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3"/>
  <dimension ref="C1:CI1589"/>
  <sheetViews>
    <sheetView topLeftCell="AA1" zoomScale="120" zoomScaleNormal="120" workbookViewId="0">
      <selection activeCell="AF13" sqref="AF13"/>
    </sheetView>
  </sheetViews>
  <sheetFormatPr baseColWidth="10" defaultColWidth="11" defaultRowHeight="16"/>
  <cols>
    <col min="1" max="2" width="3" style="6" customWidth="1"/>
    <col min="3" max="4" width="17" style="21" customWidth="1"/>
    <col min="5" max="5" width="12" style="21" customWidth="1"/>
    <col min="6" max="6" width="8" style="21" hidden="1" customWidth="1"/>
    <col min="7" max="7" width="8.1640625" style="21" hidden="1" customWidth="1"/>
    <col min="8" max="8" width="20" style="13" customWidth="1"/>
    <col min="9" max="9" width="9.83203125" style="13" customWidth="1"/>
    <col min="10" max="11" width="13" style="13" customWidth="1"/>
    <col min="12" max="12" width="12" style="13" customWidth="1"/>
    <col min="13" max="13" width="29.83203125" style="13" customWidth="1"/>
    <col min="14" max="14" width="28" style="13" customWidth="1"/>
    <col min="15" max="15" width="21" style="13" hidden="1" customWidth="1"/>
    <col min="16" max="16" width="42" style="13" hidden="1" customWidth="1"/>
    <col min="17" max="17" width="12" style="13" hidden="1" customWidth="1"/>
    <col min="18" max="18" width="36" style="13" hidden="1" customWidth="1"/>
    <col min="19" max="19" width="15" style="13" bestFit="1" customWidth="1"/>
    <col min="20" max="20" width="31" style="13" customWidth="1"/>
    <col min="21" max="21" width="61" style="13" customWidth="1"/>
    <col min="22" max="22" width="31" style="13" customWidth="1"/>
    <col min="23" max="23" width="25" style="13" customWidth="1"/>
    <col min="24" max="24" width="48" style="13" customWidth="1"/>
    <col min="25" max="25" width="18" style="13" customWidth="1"/>
    <col min="26" max="26" width="42" style="13" customWidth="1"/>
    <col min="27" max="28" width="26" style="13" customWidth="1"/>
    <col min="29" max="31" width="42" style="13" customWidth="1"/>
    <col min="32" max="33" width="28" style="13" customWidth="1"/>
    <col min="34" max="34" width="42" style="13" customWidth="1"/>
    <col min="35" max="35" width="29" style="13" customWidth="1"/>
    <col min="36" max="36" width="17" style="13" customWidth="1"/>
    <col min="37" max="38" width="13" style="13" customWidth="1"/>
    <col min="39" max="39" width="42" style="13" customWidth="1"/>
    <col min="40" max="40" width="12" style="13" customWidth="1"/>
    <col min="41" max="41" width="23" style="21" customWidth="1"/>
    <col min="42" max="50" width="15" style="13" customWidth="1"/>
    <col min="51" max="51" width="31" style="13" customWidth="1"/>
    <col min="52" max="52" width="32" style="13" customWidth="1"/>
    <col min="53" max="54" width="26" style="13" customWidth="1"/>
    <col min="55" max="57" width="26" style="13" hidden="1" customWidth="1"/>
    <col min="58" max="59" width="17" style="13" bestFit="1" customWidth="1"/>
    <col min="60" max="62" width="17" style="4" bestFit="1" customWidth="1"/>
    <col min="63" max="63" width="22" style="4" customWidth="1"/>
    <col min="64" max="64" width="23" style="6" customWidth="1"/>
    <col min="65" max="65" width="14" style="6" customWidth="1"/>
    <col min="66" max="66" width="17" style="6" customWidth="1"/>
    <col min="67" max="67" width="11" style="6"/>
    <col min="68" max="69" width="11" style="6" bestFit="1" customWidth="1"/>
    <col min="70" max="70" width="11" style="6"/>
    <col min="71" max="71" width="12" style="6" bestFit="1" customWidth="1"/>
    <col min="72" max="72" width="14" style="6" bestFit="1" customWidth="1"/>
    <col min="73" max="73" width="11" style="6" bestFit="1" customWidth="1"/>
    <col min="74" max="16384" width="11" style="6"/>
  </cols>
  <sheetData>
    <row r="1" spans="3:83" ht="88" customHeight="1">
      <c r="C1" s="40" t="s">
        <v>4284</v>
      </c>
      <c r="D1" s="40" t="s">
        <v>4285</v>
      </c>
      <c r="E1" s="40" t="s">
        <v>3180</v>
      </c>
      <c r="F1" s="40" t="s">
        <v>4286</v>
      </c>
      <c r="G1" s="40" t="s">
        <v>4287</v>
      </c>
      <c r="H1" s="40" t="s">
        <v>4288</v>
      </c>
      <c r="I1" s="40" t="s">
        <v>4289</v>
      </c>
      <c r="J1" s="40" t="s">
        <v>4290</v>
      </c>
      <c r="K1" s="40" t="s">
        <v>42</v>
      </c>
      <c r="L1" s="40" t="s">
        <v>4291</v>
      </c>
      <c r="M1" s="40" t="s">
        <v>3434</v>
      </c>
      <c r="N1" s="41" t="s">
        <v>3435</v>
      </c>
      <c r="O1" s="41" t="s">
        <v>4283</v>
      </c>
      <c r="P1" s="41" t="s">
        <v>15</v>
      </c>
      <c r="Q1" s="41" t="s">
        <v>16</v>
      </c>
      <c r="R1" s="41" t="s">
        <v>4292</v>
      </c>
      <c r="S1" s="41" t="s">
        <v>43</v>
      </c>
      <c r="T1" s="41" t="s">
        <v>4293</v>
      </c>
      <c r="U1" s="41" t="s">
        <v>4281</v>
      </c>
      <c r="V1" s="41" t="s">
        <v>4294</v>
      </c>
      <c r="W1" s="41" t="s">
        <v>4295</v>
      </c>
      <c r="X1" s="41" t="s">
        <v>4296</v>
      </c>
      <c r="Y1" s="41" t="s">
        <v>4297</v>
      </c>
      <c r="Z1" s="41" t="s">
        <v>4298</v>
      </c>
      <c r="AA1" s="41" t="s">
        <v>4299</v>
      </c>
      <c r="AB1" s="41" t="s">
        <v>4300</v>
      </c>
      <c r="AC1" s="41" t="s">
        <v>4301</v>
      </c>
      <c r="AD1" s="41" t="s">
        <v>5244</v>
      </c>
      <c r="AE1" s="41" t="s">
        <v>5245</v>
      </c>
      <c r="AF1" s="296" t="s">
        <v>5243</v>
      </c>
      <c r="AG1" s="41" t="s">
        <v>4302</v>
      </c>
      <c r="AH1" s="41" t="s">
        <v>3436</v>
      </c>
      <c r="AI1" s="41" t="s">
        <v>4303</v>
      </c>
      <c r="AJ1" s="41" t="s">
        <v>4304</v>
      </c>
      <c r="AK1" s="41" t="s">
        <v>3152</v>
      </c>
      <c r="AL1" s="41" t="s">
        <v>4305</v>
      </c>
      <c r="AM1" s="41" t="s">
        <v>39</v>
      </c>
      <c r="AN1" s="41" t="s">
        <v>4306</v>
      </c>
      <c r="AO1" s="41" t="s">
        <v>4307</v>
      </c>
      <c r="AP1" s="41" t="s">
        <v>3437</v>
      </c>
      <c r="AQ1" s="41" t="s">
        <v>3438</v>
      </c>
      <c r="AR1" s="40" t="s">
        <v>3439</v>
      </c>
      <c r="AS1" s="41" t="s">
        <v>3440</v>
      </c>
      <c r="AT1" s="40" t="s">
        <v>3441</v>
      </c>
      <c r="AU1" s="41" t="s">
        <v>3442</v>
      </c>
      <c r="AV1" s="41" t="s">
        <v>3443</v>
      </c>
      <c r="AW1" s="41" t="s">
        <v>3444</v>
      </c>
      <c r="AX1" s="41" t="s">
        <v>3445</v>
      </c>
      <c r="AY1" s="41" t="s">
        <v>3446</v>
      </c>
      <c r="AZ1" s="41" t="s">
        <v>3447</v>
      </c>
      <c r="BA1" s="41" t="s">
        <v>3448</v>
      </c>
      <c r="BB1" s="41" t="s">
        <v>3449</v>
      </c>
      <c r="BC1" s="41" t="s">
        <v>3450</v>
      </c>
      <c r="BD1" s="41" t="s">
        <v>3451</v>
      </c>
      <c r="BE1" s="41" t="s">
        <v>3452</v>
      </c>
      <c r="BF1" s="41" t="s">
        <v>3453</v>
      </c>
      <c r="BG1" s="41" t="s">
        <v>3454</v>
      </c>
      <c r="BH1" s="41" t="s">
        <v>3455</v>
      </c>
      <c r="BI1" s="40" t="s">
        <v>3456</v>
      </c>
      <c r="BJ1" s="41" t="s">
        <v>3457</v>
      </c>
      <c r="BK1" s="40" t="s">
        <v>3458</v>
      </c>
      <c r="BL1" s="41" t="s">
        <v>3459</v>
      </c>
      <c r="BM1" s="41" t="s">
        <v>3460</v>
      </c>
      <c r="BN1" s="41"/>
      <c r="BO1" s="41"/>
      <c r="BP1" s="41"/>
      <c r="BQ1" s="41"/>
      <c r="BR1" s="29"/>
      <c r="BS1" s="21"/>
      <c r="BT1" s="29" t="s">
        <v>4308</v>
      </c>
      <c r="BU1" s="13"/>
      <c r="BV1" s="13"/>
      <c r="BW1" s="29" t="s">
        <v>4309</v>
      </c>
      <c r="BX1" s="29"/>
      <c r="BY1" s="29" t="s">
        <v>4310</v>
      </c>
      <c r="BZ1" s="29" t="s">
        <v>4311</v>
      </c>
      <c r="CA1" s="29" t="s">
        <v>4312</v>
      </c>
      <c r="CB1" s="29" t="s">
        <v>4313</v>
      </c>
      <c r="CC1" s="29" t="s">
        <v>4314</v>
      </c>
      <c r="CD1" s="29" t="s">
        <v>29</v>
      </c>
      <c r="CE1" s="29" t="s">
        <v>4315</v>
      </c>
    </row>
    <row r="2" spans="3:83">
      <c r="C2" s="43" t="s">
        <v>42</v>
      </c>
      <c r="D2" s="42">
        <f>IF(Tableau1[[#This Row],[Isin]]="",99,Tableau1[[#This Row],[Intérêt]]+Tableau1[[#This Row],[Valeur d''intérêt]]+Tableau1[[#This Row],[N° Portefeuille]])</f>
        <v>1</v>
      </c>
      <c r="E2" s="43">
        <v>1</v>
      </c>
      <c r="F2" s="42">
        <f>IF(Tableau1[[#This Row],[Portefeuille]]="p",0,Tableau1[[#This Row],[F. Investissement
Niveau d''intérêt]]*10)</f>
        <v>0</v>
      </c>
      <c r="G2" s="43">
        <f>IF(Tableau1[[#This Row],[Portefeuille]]="p",3,0)</f>
        <v>0</v>
      </c>
      <c r="H2" s="42"/>
      <c r="I2" s="43"/>
      <c r="J2" s="43"/>
      <c r="K2" s="43"/>
      <c r="L2" s="16">
        <v>0</v>
      </c>
      <c r="M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 s="44"/>
      <c r="O2" s="63"/>
      <c r="P2" s="4"/>
      <c r="Q2" s="4"/>
      <c r="R2" s="14"/>
      <c r="S2" s="10" t="s">
        <v>42</v>
      </c>
      <c r="T2" s="4"/>
      <c r="U2" s="46" t="str" cm="1">
        <f t="array" ref="U2">IFERROR(_FV(Tableau1[[#This Row],[Code Excel]],"Capitalisation boursière",TRUE),"")</f>
        <v/>
      </c>
      <c r="V2" s="4" t="str" cm="1">
        <f t="array" ref="V2">IFERROR(_FV(Tableau1[[#This Row],[Code Excel]],"Industrie"),"")</f>
        <v/>
      </c>
      <c r="X2" s="4" t="str">
        <f>Tableau1[[#This Row],[Grand Secteur]]&amp;Tableau1[[#This Row],[Industrie]]</f>
        <v/>
      </c>
      <c r="Y2" s="23" t="str" cm="1">
        <f t="array" ref="Y2">IFERROR(_FV(Tableau1[[#This Row],[Code Excel]],"P/E",TRUE),"")</f>
        <v/>
      </c>
      <c r="Z2" s="43" t="str" cm="1">
        <f t="array" ref="Z2">IFERROR(_FV(Tableau1[[#This Row],[Code Excel]],"Employés"),"")</f>
        <v/>
      </c>
      <c r="AA2" s="49" t="str">
        <f>IFERROR(Tableau1[[#This Row],[Capitalisation boursière]]/Tableau1[[#This Row],[Employés]],"")</f>
        <v/>
      </c>
      <c r="AB2" s="5" t="str">
        <f>IFERROR(Tableau1[[#This Row],[REX (2021)]]/Tableau1[[#This Row],[CA 2024]],"")</f>
        <v/>
      </c>
      <c r="AC2" s="9" t="str">
        <f>IFERROR(_xlfn.XLOOKUP(Tableau1[[#This Row],[Isin]]&amp;1&amp;2021,#REF!,Tableau3[Résultat d''exploitation]),"")</f>
        <v/>
      </c>
      <c r="AD2" s="9" t="str">
        <f>IFERROR(_xlfn.XLOOKUP(Tableau1[[#This Row],[Isin]]&amp;1&amp;2019,#REF!,Tableau3[Chiffre d''affaires]),"")</f>
        <v/>
      </c>
      <c r="AE2" s="9" t="str">
        <f>IFERROR(_xlfn.XLOOKUP(Tableau1[[#This Row],[Isin]]&amp;1&amp;2024,#REF!,Tableau3[Chiffre d''affaires]),"")</f>
        <v/>
      </c>
      <c r="AF2" s="8" t="str">
        <f>IFERROR(IF((Tableau1[[#This Row],[CA 2024]]-Tableau1[[#This Row],[CA 2019]])/Tableau1[[#This Row],[CA 2019]]=-1,"",(Tableau1[[#This Row],[CA 2024]]-Tableau1[[#This Row],[CA 2019]])/Tableau1[[#This Row],[CA 2019]]),"")</f>
        <v/>
      </c>
      <c r="AG2" s="9" t="str">
        <f>IFERROR(_xlfn.XLOOKUP(Tableau1[[#This Row],[Isin]]&amp;1&amp;2021,#REF!,Tableau3[EBE]),"")</f>
        <v/>
      </c>
      <c r="AH2" s="9" t="str">
        <f>IFERROR(_xlfn.XLOOKUP(Tableau1[[#This Row],[Isin]]&amp;1&amp;2022,#REF!,Tableau3[EBE]),"")</f>
        <v/>
      </c>
      <c r="AI2" s="43"/>
      <c r="AJ2" s="43"/>
      <c r="AK2" s="43"/>
      <c r="AL2" s="43"/>
      <c r="AM2" s="43"/>
      <c r="AN2" s="9" t="str">
        <f>IFERROR(_xlfn.XLOOKUP(Tableau1[[#This Row],[Isin]]&amp;1&amp;2021,#REF!,Tableau3[Chiffre d''affaires]),"")</f>
        <v/>
      </c>
      <c r="AO2" s="43" t="e" cm="1" vm="1">
        <f t="array" ref="AO2">_FV(Tableau1[[#This Row],[Code Excel]],"P/E",TRUE)</f>
        <v>#VALUE!</v>
      </c>
      <c r="AP2" s="43" t="str">
        <f>IFERROR(_xlfn.XLOOKUP(Tableau1[[#This Row],[Isin]]&amp;1&amp;2023,#REF!,Tableau3[Résultat Net (PdG)]),"")</f>
        <v/>
      </c>
      <c r="AQ2" s="43">
        <f>IF(IFERROR(_xlfn.XLOOKUP(Tableau1[[#This Row],[Isin]]&amp;1&amp;2022,#REF!,Tableau3[Résultat Net (PdG)]),"")="",Tableau1[[#This Row],[RN Groupe 2022
Manuel]],IFERROR(_xlfn.XLOOKUP(Tableau1[[#This Row],[Isin]]&amp;1&amp;2022,#REF!,Tableau3[Résultat Net (PdG)]),""))</f>
        <v>0</v>
      </c>
      <c r="AR2" s="43"/>
      <c r="AS2" s="43">
        <f>IF(IFERROR(_xlfn.XLOOKUP(Tableau1[[#This Row],[Isin]]&amp;1&amp;2021,#REF!,Tableau3[Résultat Net (PdG)]),"")="",Tableau1[[#This Row],[RN Groupe 2021
Manuel]],IFERROR(_xlfn.XLOOKUP(Tableau1[[#This Row],[Isin]]&amp;1&amp;2021,#REF!,Tableau3[Résultat Net (PdG)]),""))</f>
        <v>0</v>
      </c>
      <c r="AT2" s="43"/>
      <c r="AU2" s="43" t="str">
        <f>IFERROR(_xlfn.XLOOKUP(Tableau1[[#This Row],[Isin]]&amp;1&amp;2020,#REF!,Tableau3[Résultat Net (PdG)]),"")</f>
        <v/>
      </c>
      <c r="AV2" s="43" t="str">
        <f>IFERROR(_xlfn.XLOOKUP(Tableau1[[#This Row],[Isin]]&amp;1&amp;2019,#REF!,Tableau3[Résultat Net (PdG)]),"")</f>
        <v/>
      </c>
      <c r="AW2" s="43" t="str">
        <f>IFERROR(_xlfn.XLOOKUP(Tableau1[[#This Row],[Isin]]&amp;1&amp;2018,#REF!,Tableau3[Résultat Net (PdG)]),"")</f>
        <v/>
      </c>
      <c r="AX2" s="43" t="str">
        <f>IFERROR(_xlfn.XLOOKUP(Tableau1[[#This Row],[Isin]]&amp;1&amp;2017,#REF!,Tableau3[Résultat Net (PdG)]),"")</f>
        <v/>
      </c>
      <c r="AY2" s="43" t="str">
        <f>IFERROR(_xlfn.XLOOKUP(Tableau1[[#This Row],[Isin]]&amp;1&amp;2016,#REF!,Tableau3[Résultat Net (PdG)]),"")</f>
        <v/>
      </c>
      <c r="AZ2" s="137" t="str">
        <f>IFERROR(Tableau1[[#This Row],[Capitalisation boursière]]/Tableau1[[#This Row],[RN Groupe 2023]],"")</f>
        <v/>
      </c>
      <c r="BA2" s="4" t="str" cm="1">
        <f t="array" ref="BA2">IFERROR(_FV(Tableau1[[#This Row],[Code Excel]],"Industrie"),"")</f>
        <v/>
      </c>
      <c r="BB2" s="43" t="e">
        <v>#N/A</v>
      </c>
      <c r="BC2" s="43" t="str">
        <f>IFERROR(_xlfn.XLOOKUP(Tableau1[[#This Row],[Isin]]&amp;1&amp;2016,#REF!,Tableau3[Capi]),"")</f>
        <v/>
      </c>
      <c r="BD2" s="43" t="str">
        <f>IFERROR(_xlfn.XLOOKUP(Tableau1[[#This Row],[Isin]]&amp;1&amp;2017,#REF!,Tableau3[Capi]),"")</f>
        <v/>
      </c>
      <c r="BE2" s="43" t="str">
        <f>IFERROR(_xlfn.XLOOKUP(Tableau1[[#This Row],[Isin]]&amp;1&amp;2018,#REF!,Tableau3[Capi]),"")</f>
        <v/>
      </c>
      <c r="BF2" s="43" t="str">
        <f>IFERROR(_xlfn.XLOOKUP(Tableau1[[#This Row],[Isin]]&amp;1&amp;2019,#REF!,Tableau3[Capi]),"")</f>
        <v/>
      </c>
      <c r="BG2" s="43" t="str">
        <f>IFERROR(_xlfn.XLOOKUP(Tableau1[[#This Row],[Isin]]&amp;1&amp;2020,#REF!,Tableau3[Capi]),"")</f>
        <v/>
      </c>
      <c r="BH2" s="43">
        <f>IF(IFERROR(_xlfn.XLOOKUP(Tableau1[[#This Row],[Isin]]&amp;1&amp;2021,#REF!,Tableau3[Capi]),"")="",Tableau1[[#This Row],[Capitalisation 2021
Manuel]],IFERROR(_xlfn.XLOOKUP(Tableau1[[#This Row],[Isin]]&amp;1&amp;2021,#REF!,Tableau3[Capi]),""))</f>
        <v>0</v>
      </c>
      <c r="BI2" s="43"/>
      <c r="BJ2" s="43">
        <f>IF(IFERROR(_xlfn.XLOOKUP(Tableau1[[#This Row],[Isin]]&amp;1&amp;2022,#REF!,Tableau3[Capi]),"")="",Tableau1[[#This Row],[Capitalisation 2022
Manuel]],IFERROR(_xlfn.XLOOKUP(Tableau1[[#This Row],[Isin]]&amp;1&amp;2022,#REF!,Tableau3[Capi]),""))</f>
        <v>0</v>
      </c>
      <c r="BK2" s="43"/>
      <c r="BL2" s="43" t="str">
        <f>Tableau1[[#This Row],[Capitalisation boursière]]</f>
        <v/>
      </c>
      <c r="BM2" s="162" t="e" cm="1" vm="2">
        <f t="array" ref="BM2">_FV(Tableau1[[#This Row],[Code Excel]],"Description")</f>
        <v>#VALUE!</v>
      </c>
      <c r="BN2" s="43"/>
      <c r="BO2" s="43"/>
      <c r="BP2" s="43"/>
      <c r="BQ2" s="43"/>
      <c r="BR2" s="4"/>
      <c r="BS2" s="21"/>
      <c r="BT2" s="13"/>
      <c r="BU2" s="13"/>
      <c r="BV2" s="13"/>
      <c r="BW2" s="3"/>
      <c r="BX2" s="3"/>
      <c r="BZ2" s="4"/>
      <c r="CA2" s="4"/>
    </row>
    <row r="3" spans="3:83">
      <c r="C3" s="66" t="s">
        <v>3218</v>
      </c>
      <c r="D3" s="42">
        <f>IF(Tableau1[[#This Row],[Isin]]="",99,Tableau1[[#This Row],[Intérêt]]+Tableau1[[#This Row],[Valeur d''intérêt]]+Tableau1[[#This Row],[N° Portefeuille]])</f>
        <v>5</v>
      </c>
      <c r="E3" s="43">
        <v>5</v>
      </c>
      <c r="F3" s="42">
        <f>IF(Tableau1[[#This Row],[Portefeuille]]="p",0,Tableau1[[#This Row],[F. Investissement
Niveau d''intérêt]]*10)</f>
        <v>0</v>
      </c>
      <c r="G3" s="43">
        <f>IF(Tableau1[[#This Row],[Portefeuille]]="p",3,0)</f>
        <v>0</v>
      </c>
      <c r="H3" s="43"/>
      <c r="I3" s="43"/>
      <c r="J3" s="43"/>
      <c r="K3" s="43"/>
      <c r="L3" s="16"/>
      <c r="M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 s="64"/>
      <c r="O3" s="45"/>
      <c r="P3" s="4"/>
      <c r="Q3" s="4"/>
      <c r="R3" s="14"/>
      <c r="S3" s="10" t="s">
        <v>3218</v>
      </c>
      <c r="T3" s="4"/>
      <c r="U3" s="46" t="str" cm="1">
        <f t="array" ref="U3">IFERROR(_FV(Tableau1[[#This Row],[Code Excel]],"Capitalisation boursière",TRUE),"")</f>
        <v/>
      </c>
      <c r="V3" s="4" t="str" cm="1">
        <f t="array" ref="V3">IFERROR(_FV(Tableau1[[#This Row],[Code Excel]],"Industrie"),"")</f>
        <v/>
      </c>
      <c r="X3" s="4" t="str">
        <f>Tableau1[[#This Row],[Grand Secteur]]&amp;Tableau1[[#This Row],[Industrie]]</f>
        <v/>
      </c>
      <c r="Y3" s="65" t="str" cm="1">
        <f t="array" ref="Y3">IFERROR(_FV(Tableau1[[#This Row],[Code Excel]],"P/E",TRUE),"")</f>
        <v/>
      </c>
      <c r="Z3" s="43" t="str" cm="1">
        <f t="array" ref="Z3">IFERROR(_FV(Tableau1[[#This Row],[Code Excel]],"Employés"),"")</f>
        <v/>
      </c>
      <c r="AA3" s="49" t="str">
        <f>IFERROR(Tableau1[[#This Row],[Capitalisation boursière]]/Tableau1[[#This Row],[Employés]],"")</f>
        <v/>
      </c>
      <c r="AB3" s="5" t="str">
        <f>IFERROR(Tableau1[[#This Row],[REX (2021)]]/Tableau1[[#This Row],[CA 2024]],"")</f>
        <v/>
      </c>
      <c r="AC3" s="43" t="str">
        <f>IFERROR(_xlfn.XLOOKUP(Tableau1[[#This Row],[Isin]]&amp;1&amp;2021,#REF!,Tableau3[Résultat d''exploitation]),"")</f>
        <v/>
      </c>
      <c r="AD3" s="43" t="str">
        <f>IFERROR(_xlfn.XLOOKUP(Tableau1[[#This Row],[Isin]]&amp;1&amp;2019,#REF!,Tableau3[Chiffre d''affaires]),"")</f>
        <v/>
      </c>
      <c r="AE3" s="43" t="str">
        <f>IFERROR(_xlfn.XLOOKUP(Tableau1[[#This Row],[Isin]]&amp;1&amp;2024,#REF!,Tableau3[Chiffre d''affaires]),"")</f>
        <v/>
      </c>
      <c r="AF3" s="8" t="str">
        <f>IFERROR(IF((Tableau1[[#This Row],[CA 2024]]-Tableau1[[#This Row],[CA 2019]])/Tableau1[[#This Row],[CA 2019]]=-1,"",(Tableau1[[#This Row],[CA 2024]]-Tableau1[[#This Row],[CA 2019]])/Tableau1[[#This Row],[CA 2019]]),"")</f>
        <v/>
      </c>
      <c r="AG3" s="9" t="str">
        <f>IFERROR(_xlfn.XLOOKUP(Tableau1[[#This Row],[Isin]]&amp;1&amp;2021,#REF!,Tableau3[EBE]),"")</f>
        <v/>
      </c>
      <c r="AH3" s="9" t="str">
        <f>IFERROR(_xlfn.XLOOKUP(Tableau1[[#This Row],[Isin]]&amp;1&amp;2022,#REF!,Tableau3[EBE]),"")</f>
        <v/>
      </c>
      <c r="AI3" s="43"/>
      <c r="AJ3" s="43"/>
      <c r="AK3" s="43"/>
      <c r="AL3" s="43"/>
      <c r="AM3" s="43"/>
      <c r="AN3" s="43" t="str">
        <f>IFERROR(_xlfn.XLOOKUP(Tableau1[[#This Row],[Isin]]&amp;1&amp;2021,#REF!,Tableau3[Chiffre d''affaires]),"")</f>
        <v/>
      </c>
      <c r="AO3" s="43" t="e" cm="1" vm="1">
        <f t="array" ref="AO3">_FV(Tableau1[[#This Row],[Code Excel]],"P/E",TRUE)</f>
        <v>#VALUE!</v>
      </c>
      <c r="AP3" s="43" t="str">
        <f>IFERROR(_xlfn.XLOOKUP(Tableau1[[#This Row],[Isin]]&amp;1&amp;2023,#REF!,Tableau3[Résultat Net (PdG)]),"")</f>
        <v/>
      </c>
      <c r="AQ3" s="43">
        <f>IF(IFERROR(_xlfn.XLOOKUP(Tableau1[[#This Row],[Isin]]&amp;1&amp;2022,#REF!,Tableau3[Résultat Net (PdG)]),"")="",Tableau1[[#This Row],[RN Groupe 2022
Manuel]],IFERROR(_xlfn.XLOOKUP(Tableau1[[#This Row],[Isin]]&amp;1&amp;2022,#REF!,Tableau3[Résultat Net (PdG)]),""))</f>
        <v>0</v>
      </c>
      <c r="AR3" s="43"/>
      <c r="AS3" s="43">
        <f>IF(IFERROR(_xlfn.XLOOKUP(Tableau1[[#This Row],[Isin]]&amp;1&amp;2021,#REF!,Tableau3[Résultat Net (PdG)]),"")="",Tableau1[[#This Row],[RN Groupe 2021
Manuel]],IFERROR(_xlfn.XLOOKUP(Tableau1[[#This Row],[Isin]]&amp;1&amp;2021,#REF!,Tableau3[Résultat Net (PdG)]),""))</f>
        <v>0</v>
      </c>
      <c r="AT3" s="43"/>
      <c r="AU3" s="43" t="str">
        <f>IFERROR(_xlfn.XLOOKUP(Tableau1[[#This Row],[Isin]]&amp;1&amp;2020,#REF!,Tableau3[Résultat Net (PdG)]),"")</f>
        <v/>
      </c>
      <c r="AV3" s="43" t="str">
        <f>IFERROR(_xlfn.XLOOKUP(Tableau1[[#This Row],[Isin]]&amp;1&amp;2019,#REF!,Tableau3[Résultat Net (PdG)]),"")</f>
        <v/>
      </c>
      <c r="AW3" s="43" t="str">
        <f>IFERROR(_xlfn.XLOOKUP(Tableau1[[#This Row],[Isin]]&amp;1&amp;2018,#REF!,Tableau3[Résultat Net (PdG)]),"")</f>
        <v/>
      </c>
      <c r="AX3" s="43" t="str">
        <f>IFERROR(_xlfn.XLOOKUP(Tableau1[[#This Row],[Isin]]&amp;1&amp;2017,#REF!,Tableau3[Résultat Net (PdG)]),"")</f>
        <v/>
      </c>
      <c r="AY3" s="43" t="str">
        <f>IFERROR(_xlfn.XLOOKUP(Tableau1[[#This Row],[Isin]]&amp;1&amp;2016,#REF!,Tableau3[Résultat Net (PdG)]),"")</f>
        <v/>
      </c>
      <c r="AZ3" s="137" t="str">
        <f>IFERROR(Tableau1[[#This Row],[Capitalisation boursière]]/Tableau1[[#This Row],[RN Groupe 2023]],"")</f>
        <v/>
      </c>
      <c r="BA3" s="4" t="str" cm="1">
        <f t="array" ref="BA3">IFERROR(_FV(Tableau1[[#This Row],[Code Excel]],"Industrie"),"")</f>
        <v/>
      </c>
      <c r="BB3" s="43" t="e">
        <v>#N/A</v>
      </c>
      <c r="BC3" s="43" t="str">
        <f>IFERROR(_xlfn.XLOOKUP(Tableau1[[#This Row],[Isin]]&amp;1&amp;2016,#REF!,Tableau3[Capi]),"")</f>
        <v/>
      </c>
      <c r="BD3" s="43" t="str">
        <f>IFERROR(_xlfn.XLOOKUP(Tableau1[[#This Row],[Isin]]&amp;1&amp;2017,#REF!,Tableau3[Capi]),"")</f>
        <v/>
      </c>
      <c r="BE3" s="43" t="str">
        <f>IFERROR(_xlfn.XLOOKUP(Tableau1[[#This Row],[Isin]]&amp;1&amp;2018,#REF!,Tableau3[Capi]),"")</f>
        <v/>
      </c>
      <c r="BF3" s="43" t="str">
        <f>IFERROR(_xlfn.XLOOKUP(Tableau1[[#This Row],[Isin]]&amp;1&amp;2019,#REF!,Tableau3[Capi]),"")</f>
        <v/>
      </c>
      <c r="BG3" s="43" t="str">
        <f>IFERROR(_xlfn.XLOOKUP(Tableau1[[#This Row],[Isin]]&amp;1&amp;2020,#REF!,Tableau3[Capi]),"")</f>
        <v/>
      </c>
      <c r="BH3" s="43">
        <f>IF(IFERROR(_xlfn.XLOOKUP(Tableau1[[#This Row],[Isin]]&amp;1&amp;2021,#REF!,Tableau3[Capi]),"")="",Tableau1[[#This Row],[Capitalisation 2021
Manuel]],IFERROR(_xlfn.XLOOKUP(Tableau1[[#This Row],[Isin]]&amp;1&amp;2021,#REF!,Tableau3[Capi]),""))</f>
        <v>0</v>
      </c>
      <c r="BI3" s="43"/>
      <c r="BJ3" s="43">
        <f>IF(IFERROR(_xlfn.XLOOKUP(Tableau1[[#This Row],[Isin]]&amp;1&amp;2022,#REF!,Tableau3[Capi]),"")="",Tableau1[[#This Row],[Capitalisation 2022
Manuel]],IFERROR(_xlfn.XLOOKUP(Tableau1[[#This Row],[Isin]]&amp;1&amp;2022,#REF!,Tableau3[Capi]),""))</f>
        <v>0</v>
      </c>
      <c r="BK3" s="43"/>
      <c r="BL3" s="43" t="str">
        <f>Tableau1[[#This Row],[Capitalisation boursière]]</f>
        <v/>
      </c>
      <c r="BM3" s="162" t="e" cm="1" vm="2">
        <f t="array" ref="BM3">_FV(Tableau1[[#This Row],[Code Excel]],"Description")</f>
        <v>#VALUE!</v>
      </c>
      <c r="BN3" s="43"/>
      <c r="BO3" s="43"/>
      <c r="BP3" s="43"/>
      <c r="BQ3" s="43"/>
      <c r="BR3" s="4"/>
      <c r="BS3" s="21"/>
      <c r="BT3" s="13" t="s">
        <v>84</v>
      </c>
      <c r="BU3" s="13">
        <v>95</v>
      </c>
      <c r="BV3" s="13"/>
      <c r="BW3" s="3" t="s">
        <v>163</v>
      </c>
      <c r="BX3" s="3"/>
      <c r="BY3" s="13" t="s">
        <v>2035</v>
      </c>
      <c r="BZ3" s="47">
        <v>0.1537</v>
      </c>
      <c r="CA3" s="47" t="s">
        <v>4316</v>
      </c>
      <c r="CB3" s="6" t="s">
        <v>4317</v>
      </c>
      <c r="CC3" s="25">
        <v>255000000</v>
      </c>
      <c r="CD3" s="25">
        <f>'Base de données'!Q2919</f>
        <v>3103742495.6999998</v>
      </c>
      <c r="CE3" s="35">
        <f t="shared" ref="CE3:CE16" si="0">CC3/CD3</f>
        <v>8.2158877662461757E-2</v>
      </c>
    </row>
    <row r="4" spans="3:83">
      <c r="C4" s="66" t="s">
        <v>4318</v>
      </c>
      <c r="D4" s="42">
        <f>IF(Tableau1[[#This Row],[Isin]]="",99,Tableau1[[#This Row],[Intérêt]]+Tableau1[[#This Row],[Valeur d''intérêt]]+Tableau1[[#This Row],[N° Portefeuille]])</f>
        <v>34</v>
      </c>
      <c r="E4" s="43">
        <v>34</v>
      </c>
      <c r="F4" s="42">
        <f>IF(Tableau1[[#This Row],[Portefeuille]]="p",0,Tableau1[[#This Row],[F. Investissement
Niveau d''intérêt]]*10)</f>
        <v>0</v>
      </c>
      <c r="G4" s="43">
        <f>IF(Tableau1[[#This Row],[Portefeuille]]="p",3,0)</f>
        <v>0</v>
      </c>
      <c r="H4" s="42"/>
      <c r="I4" s="43"/>
      <c r="J4" s="43"/>
      <c r="K4" s="43"/>
      <c r="L4" s="16"/>
      <c r="M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 s="64"/>
      <c r="O4" s="68"/>
      <c r="P4" s="4"/>
      <c r="Q4" s="4"/>
      <c r="R4" s="14"/>
      <c r="S4" s="10" t="s">
        <v>4318</v>
      </c>
      <c r="T4" s="67"/>
      <c r="U4" s="46" t="str" cm="1">
        <f t="array" ref="U4">IFERROR(_FV(Tableau1[[#This Row],[Code Excel]],"Capitalisation boursière",TRUE),"")</f>
        <v/>
      </c>
      <c r="V4" s="4" t="str" cm="1">
        <f t="array" ref="V4">IFERROR(_FV(Tableau1[[#This Row],[Code Excel]],"Industrie"),"")</f>
        <v/>
      </c>
      <c r="X4" s="4" t="str">
        <f>Tableau1[[#This Row],[Grand Secteur]]&amp;Tableau1[[#This Row],[Industrie]]</f>
        <v/>
      </c>
      <c r="Y4" s="65" t="str" cm="1">
        <f t="array" ref="Y4">IFERROR(_FV(Tableau1[[#This Row],[Code Excel]],"P/E",TRUE),"")</f>
        <v/>
      </c>
      <c r="Z4" s="43" t="str" cm="1">
        <f t="array" ref="Z4">IFERROR(_FV(Tableau1[[#This Row],[Code Excel]],"Employés"),"")</f>
        <v/>
      </c>
      <c r="AA4" s="49" t="str">
        <f>IFERROR(Tableau1[[#This Row],[Capitalisation boursière]]/Tableau1[[#This Row],[Employés]],"")</f>
        <v/>
      </c>
      <c r="AB4" s="5" t="str">
        <f>IFERROR(Tableau1[[#This Row],[REX (2021)]]/Tableau1[[#This Row],[CA 2024]],"")</f>
        <v/>
      </c>
      <c r="AC4" s="43" t="str">
        <f>IFERROR(_xlfn.XLOOKUP(Tableau1[[#This Row],[Isin]]&amp;1&amp;2021,#REF!,Tableau3[Résultat d''exploitation]),"")</f>
        <v/>
      </c>
      <c r="AD4" s="43" t="str">
        <f>IFERROR(_xlfn.XLOOKUP(Tableau1[[#This Row],[Isin]]&amp;1&amp;2019,#REF!,Tableau3[Chiffre d''affaires]),"")</f>
        <v/>
      </c>
      <c r="AE4" s="43" t="str">
        <f>IFERROR(_xlfn.XLOOKUP(Tableau1[[#This Row],[Isin]]&amp;1&amp;2024,#REF!,Tableau3[Chiffre d''affaires]),"")</f>
        <v/>
      </c>
      <c r="AF4" s="8" t="str">
        <f>IFERROR(IF((Tableau1[[#This Row],[CA 2024]]-Tableau1[[#This Row],[CA 2019]])/Tableau1[[#This Row],[CA 2019]]=-1,"",(Tableau1[[#This Row],[CA 2024]]-Tableau1[[#This Row],[CA 2019]])/Tableau1[[#This Row],[CA 2019]]),"")</f>
        <v/>
      </c>
      <c r="AG4" s="9" t="str">
        <f>IFERROR(_xlfn.XLOOKUP(Tableau1[[#This Row],[Isin]]&amp;1&amp;2021,#REF!,Tableau3[EBE]),"")</f>
        <v/>
      </c>
      <c r="AH4" s="9" t="str">
        <f>IFERROR(_xlfn.XLOOKUP(Tableau1[[#This Row],[Isin]]&amp;1&amp;2022,#REF!,Tableau3[EBE]),"")</f>
        <v/>
      </c>
      <c r="AI4" s="43"/>
      <c r="AJ4" s="43"/>
      <c r="AK4" s="43"/>
      <c r="AL4" s="43"/>
      <c r="AM4" s="43"/>
      <c r="AN4" s="43" t="str">
        <f>IFERROR(_xlfn.XLOOKUP(Tableau1[[#This Row],[Isin]]&amp;1&amp;2021,#REF!,Tableau3[Chiffre d''affaires]),"")</f>
        <v/>
      </c>
      <c r="AO4" s="43" t="e" cm="1" vm="1">
        <f t="array" ref="AO4">_FV(Tableau1[[#This Row],[Code Excel]],"P/E",TRUE)</f>
        <v>#VALUE!</v>
      </c>
      <c r="AP4" s="43" t="str">
        <f>IFERROR(_xlfn.XLOOKUP(Tableau1[[#This Row],[Isin]]&amp;1&amp;2023,#REF!,Tableau3[Résultat Net (PdG)]),"")</f>
        <v/>
      </c>
      <c r="AQ4" s="43">
        <f>IF(IFERROR(_xlfn.XLOOKUP(Tableau1[[#This Row],[Isin]]&amp;1&amp;2022,#REF!,Tableau3[Résultat Net (PdG)]),"")="",Tableau1[[#This Row],[RN Groupe 2022
Manuel]],IFERROR(_xlfn.XLOOKUP(Tableau1[[#This Row],[Isin]]&amp;1&amp;2022,#REF!,Tableau3[Résultat Net (PdG)]),""))</f>
        <v>0</v>
      </c>
      <c r="AR4" s="43"/>
      <c r="AS4" s="43">
        <f>IF(IFERROR(_xlfn.XLOOKUP(Tableau1[[#This Row],[Isin]]&amp;1&amp;2021,#REF!,Tableau3[Résultat Net (PdG)]),"")="",Tableau1[[#This Row],[RN Groupe 2021
Manuel]],IFERROR(_xlfn.XLOOKUP(Tableau1[[#This Row],[Isin]]&amp;1&amp;2021,#REF!,Tableau3[Résultat Net (PdG)]),""))</f>
        <v>0</v>
      </c>
      <c r="AT4" s="43"/>
      <c r="AU4" s="43" t="str">
        <f>IFERROR(_xlfn.XLOOKUP(Tableau1[[#This Row],[Isin]]&amp;1&amp;2020,#REF!,Tableau3[Résultat Net (PdG)]),"")</f>
        <v/>
      </c>
      <c r="AV4" s="43" t="str">
        <f>IFERROR(_xlfn.XLOOKUP(Tableau1[[#This Row],[Isin]]&amp;1&amp;2019,#REF!,Tableau3[Résultat Net (PdG)]),"")</f>
        <v/>
      </c>
      <c r="AW4" s="43" t="str">
        <f>IFERROR(_xlfn.XLOOKUP(Tableau1[[#This Row],[Isin]]&amp;1&amp;2018,#REF!,Tableau3[Résultat Net (PdG)]),"")</f>
        <v/>
      </c>
      <c r="AX4" s="43" t="str">
        <f>IFERROR(_xlfn.XLOOKUP(Tableau1[[#This Row],[Isin]]&amp;1&amp;2017,#REF!,Tableau3[Résultat Net (PdG)]),"")</f>
        <v/>
      </c>
      <c r="AY4" s="43" t="str">
        <f>IFERROR(_xlfn.XLOOKUP(Tableau1[[#This Row],[Isin]]&amp;1&amp;2016,#REF!,Tableau3[Résultat Net (PdG)]),"")</f>
        <v/>
      </c>
      <c r="AZ4" s="137" t="str">
        <f>IFERROR(Tableau1[[#This Row],[Capitalisation boursière]]/Tableau1[[#This Row],[RN Groupe 2023]],"")</f>
        <v/>
      </c>
      <c r="BA4" s="4" t="str" cm="1">
        <f t="array" ref="BA4">IFERROR(_FV(Tableau1[[#This Row],[Code Excel]],"Industrie"),"")</f>
        <v/>
      </c>
      <c r="BB4" s="43" t="e">
        <v>#N/A</v>
      </c>
      <c r="BC4" s="43" t="str">
        <f>IFERROR(_xlfn.XLOOKUP(Tableau1[[#This Row],[Isin]]&amp;1&amp;2016,#REF!,Tableau3[Capi]),"")</f>
        <v/>
      </c>
      <c r="BD4" s="43" t="str">
        <f>IFERROR(_xlfn.XLOOKUP(Tableau1[[#This Row],[Isin]]&amp;1&amp;2017,#REF!,Tableau3[Capi]),"")</f>
        <v/>
      </c>
      <c r="BE4" s="43" t="str">
        <f>IFERROR(_xlfn.XLOOKUP(Tableau1[[#This Row],[Isin]]&amp;1&amp;2018,#REF!,Tableau3[Capi]),"")</f>
        <v/>
      </c>
      <c r="BF4" s="43" t="str">
        <f>IFERROR(_xlfn.XLOOKUP(Tableau1[[#This Row],[Isin]]&amp;1&amp;2019,#REF!,Tableau3[Capi]),"")</f>
        <v/>
      </c>
      <c r="BG4" s="43" t="str">
        <f>IFERROR(_xlfn.XLOOKUP(Tableau1[[#This Row],[Isin]]&amp;1&amp;2020,#REF!,Tableau3[Capi]),"")</f>
        <v/>
      </c>
      <c r="BH4" s="43">
        <f>IF(IFERROR(_xlfn.XLOOKUP(Tableau1[[#This Row],[Isin]]&amp;1&amp;2021,#REF!,Tableau3[Capi]),"")="",Tableau1[[#This Row],[Capitalisation 2021
Manuel]],IFERROR(_xlfn.XLOOKUP(Tableau1[[#This Row],[Isin]]&amp;1&amp;2021,#REF!,Tableau3[Capi]),""))</f>
        <v>0</v>
      </c>
      <c r="BI4" s="43"/>
      <c r="BJ4" s="43">
        <f>IF(IFERROR(_xlfn.XLOOKUP(Tableau1[[#This Row],[Isin]]&amp;1&amp;2022,#REF!,Tableau3[Capi]),"")="",Tableau1[[#This Row],[Capitalisation 2022
Manuel]],IFERROR(_xlfn.XLOOKUP(Tableau1[[#This Row],[Isin]]&amp;1&amp;2022,#REF!,Tableau3[Capi]),""))</f>
        <v>0</v>
      </c>
      <c r="BK4" s="43"/>
      <c r="BL4" s="43" t="str">
        <f>Tableau1[[#This Row],[Capitalisation boursière]]</f>
        <v/>
      </c>
      <c r="BM4" s="162" t="e" cm="1" vm="2">
        <f t="array" ref="BM4">_FV(Tableau1[[#This Row],[Code Excel]],"Description")</f>
        <v>#VALUE!</v>
      </c>
      <c r="BN4" s="43"/>
      <c r="BO4" s="43"/>
      <c r="BP4" s="43"/>
      <c r="BQ4" s="43"/>
      <c r="BR4" s="4"/>
      <c r="BS4" s="21"/>
      <c r="BT4" s="13" t="s">
        <v>382</v>
      </c>
      <c r="BU4" s="13">
        <v>16</v>
      </c>
      <c r="BV4" s="13"/>
      <c r="BW4" s="3" t="s">
        <v>1974</v>
      </c>
      <c r="BX4" s="3"/>
      <c r="BY4" s="3" t="s">
        <v>1459</v>
      </c>
      <c r="BZ4" s="47">
        <v>2.7699999999999999E-2</v>
      </c>
      <c r="CA4" s="47">
        <v>0.04</v>
      </c>
      <c r="CB4" s="6" t="s">
        <v>4317</v>
      </c>
      <c r="CC4" s="25">
        <f>'Base de données'!T2101</f>
        <v>38800000</v>
      </c>
      <c r="CD4" s="25">
        <f>'Base de données'!Q2099</f>
        <v>214393310.40000001</v>
      </c>
      <c r="CE4" s="35">
        <f t="shared" si="0"/>
        <v>0.18097579596867869</v>
      </c>
    </row>
    <row r="5" spans="3:83">
      <c r="C5" s="43" t="s">
        <v>3181</v>
      </c>
      <c r="D5" s="42">
        <f>IF(Tableau1[[#This Row],[Isin]]="",99,Tableau1[[#This Row],[Intérêt]]+Tableau1[[#This Row],[Valeur d''intérêt]]+Tableau1[[#This Row],[N° Portefeuille]])</f>
        <v>2</v>
      </c>
      <c r="E5" s="43">
        <v>2</v>
      </c>
      <c r="F5" s="42">
        <f>IF(Tableau1[[#This Row],[Portefeuille]]="p",0,Tableau1[[#This Row],[F. Investissement
Niveau d''intérêt]]*10)</f>
        <v>0</v>
      </c>
      <c r="G5" s="43">
        <f>IF(Tableau1[[#This Row],[Portefeuille]]="p",3,0)</f>
        <v>0</v>
      </c>
      <c r="H5" s="43"/>
      <c r="I5" s="43"/>
      <c r="J5" s="43"/>
      <c r="K5" s="43"/>
      <c r="L5" s="16"/>
      <c r="M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 s="64"/>
      <c r="O5" s="44"/>
      <c r="P5" s="4"/>
      <c r="Q5" s="4"/>
      <c r="R5" s="14"/>
      <c r="S5" s="10" t="s">
        <v>3181</v>
      </c>
      <c r="T5" s="67"/>
      <c r="U5" s="46" t="str" cm="1">
        <f t="array" ref="U5">IFERROR(_FV(Tableau1[[#This Row],[Code Excel]],"Capitalisation boursière",TRUE),"")</f>
        <v/>
      </c>
      <c r="V5" s="4" t="str" cm="1">
        <f t="array" ref="V5">IFERROR(_FV(Tableau1[[#This Row],[Code Excel]],"Industrie"),"")</f>
        <v/>
      </c>
      <c r="X5" s="4" t="str">
        <f>Tableau1[[#This Row],[Grand Secteur]]&amp;Tableau1[[#This Row],[Industrie]]</f>
        <v/>
      </c>
      <c r="Y5" s="65" t="str" cm="1">
        <f t="array" ref="Y5">IFERROR(_FV(Tableau1[[#This Row],[Code Excel]],"P/E",TRUE),"")</f>
        <v/>
      </c>
      <c r="Z5" s="43" t="str" cm="1">
        <f t="array" ref="Z5">IFERROR(_FV(Tableau1[[#This Row],[Code Excel]],"Employés"),"")</f>
        <v/>
      </c>
      <c r="AA5" s="49" t="str">
        <f>IFERROR(Tableau1[[#This Row],[Capitalisation boursière]]/Tableau1[[#This Row],[Employés]],"")</f>
        <v/>
      </c>
      <c r="AB5" s="5" t="str">
        <f>IFERROR(Tableau1[[#This Row],[REX (2021)]]/Tableau1[[#This Row],[CA 2024]],"")</f>
        <v/>
      </c>
      <c r="AC5" s="43" t="str">
        <f>IFERROR(_xlfn.XLOOKUP(Tableau1[[#This Row],[Isin]]&amp;1&amp;2021,#REF!,Tableau3[Résultat d''exploitation]),"")</f>
        <v/>
      </c>
      <c r="AD5" s="43" t="str">
        <f>IFERROR(_xlfn.XLOOKUP(Tableau1[[#This Row],[Isin]]&amp;1&amp;2019,#REF!,Tableau3[Chiffre d''affaires]),"")</f>
        <v/>
      </c>
      <c r="AE5" s="43" t="str">
        <f>IFERROR(_xlfn.XLOOKUP(Tableau1[[#This Row],[Isin]]&amp;1&amp;2024,#REF!,Tableau3[Chiffre d''affaires]),"")</f>
        <v/>
      </c>
      <c r="AF5" s="8" t="str">
        <f>IFERROR(IF((Tableau1[[#This Row],[CA 2024]]-Tableau1[[#This Row],[CA 2019]])/Tableau1[[#This Row],[CA 2019]]=-1,"",(Tableau1[[#This Row],[CA 2024]]-Tableau1[[#This Row],[CA 2019]])/Tableau1[[#This Row],[CA 2019]]),"")</f>
        <v/>
      </c>
      <c r="AG5" s="9" t="str">
        <f>IFERROR(_xlfn.XLOOKUP(Tableau1[[#This Row],[Isin]]&amp;1&amp;2021,#REF!,Tableau3[EBE]),"")</f>
        <v/>
      </c>
      <c r="AH5" s="9" t="str">
        <f>IFERROR(_xlfn.XLOOKUP(Tableau1[[#This Row],[Isin]]&amp;1&amp;2022,#REF!,Tableau3[EBE]),"")</f>
        <v/>
      </c>
      <c r="AI5" s="43"/>
      <c r="AJ5" s="43"/>
      <c r="AK5" s="43"/>
      <c r="AL5" s="43"/>
      <c r="AM5" s="43"/>
      <c r="AN5" s="43" t="str">
        <f>IFERROR(_xlfn.XLOOKUP(Tableau1[[#This Row],[Isin]]&amp;1&amp;2021,#REF!,Tableau3[Chiffre d''affaires]),"")</f>
        <v/>
      </c>
      <c r="AO5" s="43" t="e" cm="1" vm="1">
        <f t="array" ref="AO5">_FV(Tableau1[[#This Row],[Code Excel]],"P/E",TRUE)</f>
        <v>#VALUE!</v>
      </c>
      <c r="AP5" s="43" t="str">
        <f>IFERROR(_xlfn.XLOOKUP(Tableau1[[#This Row],[Isin]]&amp;1&amp;2023,#REF!,Tableau3[Résultat Net (PdG)]),"")</f>
        <v/>
      </c>
      <c r="AQ5" s="43">
        <f>IF(IFERROR(_xlfn.XLOOKUP(Tableau1[[#This Row],[Isin]]&amp;1&amp;2022,#REF!,Tableau3[Résultat Net (PdG)]),"")="",Tableau1[[#This Row],[RN Groupe 2022
Manuel]],IFERROR(_xlfn.XLOOKUP(Tableau1[[#This Row],[Isin]]&amp;1&amp;2022,#REF!,Tableau3[Résultat Net (PdG)]),""))</f>
        <v>0</v>
      </c>
      <c r="AR5" s="43"/>
      <c r="AS5" s="43">
        <f>IF(IFERROR(_xlfn.XLOOKUP(Tableau1[[#This Row],[Isin]]&amp;1&amp;2021,#REF!,Tableau3[Résultat Net (PdG)]),"")="",Tableau1[[#This Row],[RN Groupe 2021
Manuel]],IFERROR(_xlfn.XLOOKUP(Tableau1[[#This Row],[Isin]]&amp;1&amp;2021,#REF!,Tableau3[Résultat Net (PdG)]),""))</f>
        <v>0</v>
      </c>
      <c r="AT5" s="43"/>
      <c r="AU5" s="43" t="str">
        <f>IFERROR(_xlfn.XLOOKUP(Tableau1[[#This Row],[Isin]]&amp;1&amp;2020,#REF!,Tableau3[Résultat Net (PdG)]),"")</f>
        <v/>
      </c>
      <c r="AV5" s="43" t="str">
        <f>IFERROR(_xlfn.XLOOKUP(Tableau1[[#This Row],[Isin]]&amp;1&amp;2019,#REF!,Tableau3[Résultat Net (PdG)]),"")</f>
        <v/>
      </c>
      <c r="AW5" s="43" t="str">
        <f>IFERROR(_xlfn.XLOOKUP(Tableau1[[#This Row],[Isin]]&amp;1&amp;2018,#REF!,Tableau3[Résultat Net (PdG)]),"")</f>
        <v/>
      </c>
      <c r="AX5" s="43" t="str">
        <f>IFERROR(_xlfn.XLOOKUP(Tableau1[[#This Row],[Isin]]&amp;1&amp;2017,#REF!,Tableau3[Résultat Net (PdG)]),"")</f>
        <v/>
      </c>
      <c r="AY5" s="43" t="str">
        <f>IFERROR(_xlfn.XLOOKUP(Tableau1[[#This Row],[Isin]]&amp;1&amp;2016,#REF!,Tableau3[Résultat Net (PdG)]),"")</f>
        <v/>
      </c>
      <c r="AZ5" s="137" t="str">
        <f>IFERROR(Tableau1[[#This Row],[Capitalisation boursière]]/Tableau1[[#This Row],[RN Groupe 2023]],"")</f>
        <v/>
      </c>
      <c r="BA5" s="4" t="str" cm="1">
        <f t="array" ref="BA5">IFERROR(_FV(Tableau1[[#This Row],[Code Excel]],"Industrie"),"")</f>
        <v/>
      </c>
      <c r="BB5" s="43" t="e">
        <v>#N/A</v>
      </c>
      <c r="BC5" s="43" t="str">
        <f>IFERROR(_xlfn.XLOOKUP(Tableau1[[#This Row],[Isin]]&amp;1&amp;2016,#REF!,Tableau3[Capi]),"")</f>
        <v/>
      </c>
      <c r="BD5" s="43" t="str">
        <f>IFERROR(_xlfn.XLOOKUP(Tableau1[[#This Row],[Isin]]&amp;1&amp;2017,#REF!,Tableau3[Capi]),"")</f>
        <v/>
      </c>
      <c r="BE5" s="43" t="str">
        <f>IFERROR(_xlfn.XLOOKUP(Tableau1[[#This Row],[Isin]]&amp;1&amp;2018,#REF!,Tableau3[Capi]),"")</f>
        <v/>
      </c>
      <c r="BF5" s="43" t="str">
        <f>IFERROR(_xlfn.XLOOKUP(Tableau1[[#This Row],[Isin]]&amp;1&amp;2019,#REF!,Tableau3[Capi]),"")</f>
        <v/>
      </c>
      <c r="BG5" s="43" t="str">
        <f>IFERROR(_xlfn.XLOOKUP(Tableau1[[#This Row],[Isin]]&amp;1&amp;2020,#REF!,Tableau3[Capi]),"")</f>
        <v/>
      </c>
      <c r="BH5" s="43">
        <f>IF(IFERROR(_xlfn.XLOOKUP(Tableau1[[#This Row],[Isin]]&amp;1&amp;2021,#REF!,Tableau3[Capi]),"")="",Tableau1[[#This Row],[Capitalisation 2021
Manuel]],IFERROR(_xlfn.XLOOKUP(Tableau1[[#This Row],[Isin]]&amp;1&amp;2021,#REF!,Tableau3[Capi]),""))</f>
        <v>0</v>
      </c>
      <c r="BI5" s="43"/>
      <c r="BJ5" s="43">
        <f>IF(IFERROR(_xlfn.XLOOKUP(Tableau1[[#This Row],[Isin]]&amp;1&amp;2022,#REF!,Tableau3[Capi]),"")="",Tableau1[[#This Row],[Capitalisation 2022
Manuel]],IFERROR(_xlfn.XLOOKUP(Tableau1[[#This Row],[Isin]]&amp;1&amp;2022,#REF!,Tableau3[Capi]),""))</f>
        <v>0</v>
      </c>
      <c r="BK5" s="43"/>
      <c r="BL5" s="43" t="str">
        <f>Tableau1[[#This Row],[Capitalisation boursière]]</f>
        <v/>
      </c>
      <c r="BM5" s="162" t="e" cm="1" vm="2">
        <f t="array" ref="BM5">_FV(Tableau1[[#This Row],[Code Excel]],"Description")</f>
        <v>#VALUE!</v>
      </c>
      <c r="BN5" s="43"/>
      <c r="BO5" s="43"/>
      <c r="BP5" s="43"/>
      <c r="BQ5" s="43"/>
      <c r="BR5" s="4"/>
      <c r="BS5" s="21"/>
      <c r="BT5" s="13" t="s">
        <v>564</v>
      </c>
      <c r="BU5" s="13">
        <v>10</v>
      </c>
      <c r="BV5" s="13"/>
      <c r="BW5" s="3" t="s">
        <v>2208</v>
      </c>
      <c r="BX5" s="3"/>
      <c r="BY5" s="3" t="s">
        <v>893</v>
      </c>
      <c r="BZ5" s="47">
        <v>-3.0599999999999999E-2</v>
      </c>
      <c r="CA5" s="47">
        <v>0</v>
      </c>
      <c r="CB5" s="50" t="s">
        <v>4319</v>
      </c>
      <c r="CC5" s="25">
        <f>'Base de données'!T1275</f>
        <v>-187000000</v>
      </c>
      <c r="CD5" s="25">
        <f>'Base de données'!Q1275</f>
        <v>987331612.54999995</v>
      </c>
      <c r="CE5" s="35">
        <f t="shared" si="0"/>
        <v>-0.18939938478930254</v>
      </c>
    </row>
    <row r="6" spans="3:83">
      <c r="C6" s="43" t="s">
        <v>3217</v>
      </c>
      <c r="D6" s="42">
        <f>IF(Tableau1[[#This Row],[Isin]]="",99,Tableau1[[#This Row],[Intérêt]]+Tableau1[[#This Row],[Valeur d''intérêt]]+Tableau1[[#This Row],[N° Portefeuille]])</f>
        <v>4</v>
      </c>
      <c r="E6" s="43">
        <v>4</v>
      </c>
      <c r="F6" s="42">
        <f>IF(Tableau1[[#This Row],[Portefeuille]]="p",0,Tableau1[[#This Row],[F. Investissement
Niveau d''intérêt]]*10)</f>
        <v>0</v>
      </c>
      <c r="G6" s="43">
        <f>IF(Tableau1[[#This Row],[Portefeuille]]="p",3,0)</f>
        <v>0</v>
      </c>
      <c r="H6" s="42"/>
      <c r="I6" s="43"/>
      <c r="J6" s="43"/>
      <c r="K6" s="43"/>
      <c r="L6" s="16"/>
      <c r="M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 s="64"/>
      <c r="O6" s="45"/>
      <c r="P6" s="4"/>
      <c r="Q6" s="4"/>
      <c r="R6" s="14"/>
      <c r="S6" s="10" t="s">
        <v>3217</v>
      </c>
      <c r="T6" s="67"/>
      <c r="U6" s="46" t="str" cm="1">
        <f t="array" ref="U6">IFERROR(_FV(Tableau1[[#This Row],[Code Excel]],"Capitalisation boursière",TRUE),"")</f>
        <v/>
      </c>
      <c r="V6" s="4" t="str" cm="1">
        <f t="array" ref="V6">IFERROR(_FV(Tableau1[[#This Row],[Code Excel]],"Industrie"),"")</f>
        <v/>
      </c>
      <c r="X6" s="4" t="str">
        <f>Tableau1[[#This Row],[Grand Secteur]]&amp;Tableau1[[#This Row],[Industrie]]</f>
        <v/>
      </c>
      <c r="Y6" s="65" t="str" cm="1">
        <f t="array" ref="Y6">IFERROR(_FV(Tableau1[[#This Row],[Code Excel]],"P/E",TRUE),"")</f>
        <v/>
      </c>
      <c r="Z6" s="43" t="str" cm="1">
        <f t="array" ref="Z6">IFERROR(_FV(Tableau1[[#This Row],[Code Excel]],"Employés"),"")</f>
        <v/>
      </c>
      <c r="AA6" s="49" t="str">
        <f>IFERROR(Tableau1[[#This Row],[Capitalisation boursière]]/Tableau1[[#This Row],[Employés]],"")</f>
        <v/>
      </c>
      <c r="AB6" s="5" t="str">
        <f>IFERROR(Tableau1[[#This Row],[REX (2021)]]/Tableau1[[#This Row],[CA 2024]],"")</f>
        <v/>
      </c>
      <c r="AC6" s="43" t="str">
        <f>IFERROR(_xlfn.XLOOKUP(Tableau1[[#This Row],[Isin]]&amp;1&amp;2021,#REF!,Tableau3[Résultat d''exploitation]),"")</f>
        <v/>
      </c>
      <c r="AD6" s="43" t="str">
        <f>IFERROR(_xlfn.XLOOKUP(Tableau1[[#This Row],[Isin]]&amp;1&amp;2019,#REF!,Tableau3[Chiffre d''affaires]),"")</f>
        <v/>
      </c>
      <c r="AE6" s="43" t="str">
        <f>IFERROR(_xlfn.XLOOKUP(Tableau1[[#This Row],[Isin]]&amp;1&amp;2024,#REF!,Tableau3[Chiffre d''affaires]),"")</f>
        <v/>
      </c>
      <c r="AF6" s="8" t="str">
        <f>IFERROR(IF((Tableau1[[#This Row],[CA 2024]]-Tableau1[[#This Row],[CA 2019]])/Tableau1[[#This Row],[CA 2019]]=-1,"",(Tableau1[[#This Row],[CA 2024]]-Tableau1[[#This Row],[CA 2019]])/Tableau1[[#This Row],[CA 2019]]),"")</f>
        <v/>
      </c>
      <c r="AG6" s="9" t="str">
        <f>IFERROR(_xlfn.XLOOKUP(Tableau1[[#This Row],[Isin]]&amp;1&amp;2021,#REF!,Tableau3[EBE]),"")</f>
        <v/>
      </c>
      <c r="AH6" s="9" t="str">
        <f>IFERROR(_xlfn.XLOOKUP(Tableau1[[#This Row],[Isin]]&amp;1&amp;2022,#REF!,Tableau3[EBE]),"")</f>
        <v/>
      </c>
      <c r="AI6" s="43"/>
      <c r="AJ6" s="43"/>
      <c r="AK6" s="43"/>
      <c r="AL6" s="43"/>
      <c r="AM6" s="43"/>
      <c r="AN6" s="43" t="str">
        <f>IFERROR(_xlfn.XLOOKUP(Tableau1[[#This Row],[Isin]]&amp;1&amp;2021,#REF!,Tableau3[Chiffre d''affaires]),"")</f>
        <v/>
      </c>
      <c r="AO6" s="43" t="e" cm="1" vm="1">
        <f t="array" ref="AO6">_FV(Tableau1[[#This Row],[Code Excel]],"P/E",TRUE)</f>
        <v>#VALUE!</v>
      </c>
      <c r="AP6" s="43" t="str">
        <f>IFERROR(_xlfn.XLOOKUP(Tableau1[[#This Row],[Isin]]&amp;1&amp;2023,#REF!,Tableau3[Résultat Net (PdG)]),"")</f>
        <v/>
      </c>
      <c r="AQ6" s="43">
        <f>IF(IFERROR(_xlfn.XLOOKUP(Tableau1[[#This Row],[Isin]]&amp;1&amp;2022,#REF!,Tableau3[Résultat Net (PdG)]),"")="",Tableau1[[#This Row],[RN Groupe 2022
Manuel]],IFERROR(_xlfn.XLOOKUP(Tableau1[[#This Row],[Isin]]&amp;1&amp;2022,#REF!,Tableau3[Résultat Net (PdG)]),""))</f>
        <v>0</v>
      </c>
      <c r="AR6" s="43"/>
      <c r="AS6" s="43">
        <f>IF(IFERROR(_xlfn.XLOOKUP(Tableau1[[#This Row],[Isin]]&amp;1&amp;2021,#REF!,Tableau3[Résultat Net (PdG)]),"")="",Tableau1[[#This Row],[RN Groupe 2021
Manuel]],IFERROR(_xlfn.XLOOKUP(Tableau1[[#This Row],[Isin]]&amp;1&amp;2021,#REF!,Tableau3[Résultat Net (PdG)]),""))</f>
        <v>0</v>
      </c>
      <c r="AT6" s="43"/>
      <c r="AU6" s="43" t="str">
        <f>IFERROR(_xlfn.XLOOKUP(Tableau1[[#This Row],[Isin]]&amp;1&amp;2020,#REF!,Tableau3[Résultat Net (PdG)]),"")</f>
        <v/>
      </c>
      <c r="AV6" s="43" t="str">
        <f>IFERROR(_xlfn.XLOOKUP(Tableau1[[#This Row],[Isin]]&amp;1&amp;2019,#REF!,Tableau3[Résultat Net (PdG)]),"")</f>
        <v/>
      </c>
      <c r="AW6" s="43" t="str">
        <f>IFERROR(_xlfn.XLOOKUP(Tableau1[[#This Row],[Isin]]&amp;1&amp;2018,#REF!,Tableau3[Résultat Net (PdG)]),"")</f>
        <v/>
      </c>
      <c r="AX6" s="43" t="str">
        <f>IFERROR(_xlfn.XLOOKUP(Tableau1[[#This Row],[Isin]]&amp;1&amp;2017,#REF!,Tableau3[Résultat Net (PdG)]),"")</f>
        <v/>
      </c>
      <c r="AY6" s="43" t="str">
        <f>IFERROR(_xlfn.XLOOKUP(Tableau1[[#This Row],[Isin]]&amp;1&amp;2016,#REF!,Tableau3[Résultat Net (PdG)]),"")</f>
        <v/>
      </c>
      <c r="AZ6" s="137" t="str">
        <f>IFERROR(Tableau1[[#This Row],[Capitalisation boursière]]/Tableau1[[#This Row],[RN Groupe 2023]],"")</f>
        <v/>
      </c>
      <c r="BA6" s="4" t="str" cm="1">
        <f t="array" ref="BA6">IFERROR(_FV(Tableau1[[#This Row],[Code Excel]],"Industrie"),"")</f>
        <v/>
      </c>
      <c r="BB6" s="43" t="e">
        <v>#N/A</v>
      </c>
      <c r="BC6" s="43" t="str">
        <f>IFERROR(_xlfn.XLOOKUP(Tableau1[[#This Row],[Isin]]&amp;1&amp;2016,#REF!,Tableau3[Capi]),"")</f>
        <v/>
      </c>
      <c r="BD6" s="43" t="str">
        <f>IFERROR(_xlfn.XLOOKUP(Tableau1[[#This Row],[Isin]]&amp;1&amp;2017,#REF!,Tableau3[Capi]),"")</f>
        <v/>
      </c>
      <c r="BE6" s="43" t="str">
        <f>IFERROR(_xlfn.XLOOKUP(Tableau1[[#This Row],[Isin]]&amp;1&amp;2018,#REF!,Tableau3[Capi]),"")</f>
        <v/>
      </c>
      <c r="BF6" s="43" t="str">
        <f>IFERROR(_xlfn.XLOOKUP(Tableau1[[#This Row],[Isin]]&amp;1&amp;2019,#REF!,Tableau3[Capi]),"")</f>
        <v/>
      </c>
      <c r="BG6" s="43" t="str">
        <f>IFERROR(_xlfn.XLOOKUP(Tableau1[[#This Row],[Isin]]&amp;1&amp;2020,#REF!,Tableau3[Capi]),"")</f>
        <v/>
      </c>
      <c r="BH6" s="43">
        <f>IF(IFERROR(_xlfn.XLOOKUP(Tableau1[[#This Row],[Isin]]&amp;1&amp;2021,#REF!,Tableau3[Capi]),"")="",Tableau1[[#This Row],[Capitalisation 2021
Manuel]],IFERROR(_xlfn.XLOOKUP(Tableau1[[#This Row],[Isin]]&amp;1&amp;2021,#REF!,Tableau3[Capi]),""))</f>
        <v>0</v>
      </c>
      <c r="BI6" s="43"/>
      <c r="BJ6" s="43">
        <f>IF(IFERROR(_xlfn.XLOOKUP(Tableau1[[#This Row],[Isin]]&amp;1&amp;2022,#REF!,Tableau3[Capi]),"")="",Tableau1[[#This Row],[Capitalisation 2022
Manuel]],IFERROR(_xlfn.XLOOKUP(Tableau1[[#This Row],[Isin]]&amp;1&amp;2022,#REF!,Tableau3[Capi]),""))</f>
        <v>0</v>
      </c>
      <c r="BK6" s="43"/>
      <c r="BL6" s="43" t="str">
        <f>Tableau1[[#This Row],[Capitalisation boursière]]</f>
        <v/>
      </c>
      <c r="BM6" s="162" t="e" cm="1" vm="2">
        <f t="array" ref="BM6">_FV(Tableau1[[#This Row],[Code Excel]],"Description")</f>
        <v>#VALUE!</v>
      </c>
      <c r="BN6" s="43"/>
      <c r="BO6" s="43"/>
      <c r="BP6" s="43"/>
      <c r="BQ6" s="43"/>
      <c r="BR6" s="4"/>
      <c r="BS6" s="21"/>
      <c r="BT6" s="13" t="s">
        <v>427</v>
      </c>
      <c r="BU6" s="13">
        <v>5</v>
      </c>
      <c r="BV6" s="13"/>
      <c r="BW6" s="13" t="s">
        <v>2187</v>
      </c>
      <c r="BX6" s="13"/>
      <c r="BY6" s="13" t="s">
        <v>1857</v>
      </c>
      <c r="BZ6" s="47">
        <v>-2.9000000000000001E-2</v>
      </c>
      <c r="CA6" s="47">
        <v>0.06</v>
      </c>
      <c r="CB6" s="50" t="s">
        <v>4319</v>
      </c>
      <c r="CC6" s="25">
        <v>53000000</v>
      </c>
      <c r="CD6" s="25">
        <f>'Base de données'!Q2644</f>
        <v>575607053.82000005</v>
      </c>
      <c r="CE6" s="35">
        <f t="shared" si="0"/>
        <v>9.2076703452931979E-2</v>
      </c>
    </row>
    <row r="7" spans="3:83">
      <c r="C7" s="43" t="s">
        <v>3409</v>
      </c>
      <c r="D7" s="42">
        <f>IF(Tableau1[[#This Row],[Isin]]="",99,Tableau1[[#This Row],[Intérêt]]+Tableau1[[#This Row],[Valeur d''intérêt]]+Tableau1[[#This Row],[N° Portefeuille]])</f>
        <v>33</v>
      </c>
      <c r="E7" s="43">
        <v>33</v>
      </c>
      <c r="F7" s="42">
        <f>IF(Tableau1[[#This Row],[Portefeuille]]="p",0,Tableau1[[#This Row],[F. Investissement
Niveau d''intérêt]]*10)</f>
        <v>0</v>
      </c>
      <c r="G7" s="43">
        <f>IF(Tableau1[[#This Row],[Portefeuille]]="p",3,0)</f>
        <v>0</v>
      </c>
      <c r="H7" s="43"/>
      <c r="I7" s="43"/>
      <c r="J7" s="43"/>
      <c r="K7" s="43"/>
      <c r="L7" s="16"/>
      <c r="M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 s="64"/>
      <c r="O7" s="68"/>
      <c r="P7" s="4"/>
      <c r="Q7" s="4"/>
      <c r="R7" s="14"/>
      <c r="S7" s="10" t="s">
        <v>3409</v>
      </c>
      <c r="T7" s="4"/>
      <c r="U7" s="46" t="str" cm="1">
        <f t="array" ref="U7">IFERROR(_FV(Tableau1[[#This Row],[Code Excel]],"Capitalisation boursière",TRUE),"")</f>
        <v/>
      </c>
      <c r="V7" s="4" t="str" cm="1">
        <f t="array" ref="V7">IFERROR(_FV(Tableau1[[#This Row],[Code Excel]],"Industrie"),"")</f>
        <v/>
      </c>
      <c r="X7" s="4" t="str">
        <f>Tableau1[[#This Row],[Grand Secteur]]&amp;Tableau1[[#This Row],[Industrie]]</f>
        <v/>
      </c>
      <c r="Y7" s="65" t="str" cm="1">
        <f t="array" ref="Y7">IFERROR(_FV(Tableau1[[#This Row],[Code Excel]],"P/E",TRUE),"")</f>
        <v/>
      </c>
      <c r="Z7" s="43" t="str" cm="1">
        <f t="array" ref="Z7">IFERROR(_FV(Tableau1[[#This Row],[Code Excel]],"Employés"),"")</f>
        <v/>
      </c>
      <c r="AA7" s="49" t="str">
        <f>IFERROR(Tableau1[[#This Row],[Capitalisation boursière]]/Tableau1[[#This Row],[Employés]],"")</f>
        <v/>
      </c>
      <c r="AB7" s="5" t="str">
        <f>IFERROR(Tableau1[[#This Row],[REX (2021)]]/Tableau1[[#This Row],[CA 2024]],"")</f>
        <v/>
      </c>
      <c r="AC7" s="43" t="str">
        <f>IFERROR(_xlfn.XLOOKUP(Tableau1[[#This Row],[Isin]]&amp;1&amp;2021,#REF!,Tableau3[Résultat d''exploitation]),"")</f>
        <v/>
      </c>
      <c r="AD7" s="43" t="str">
        <f>IFERROR(_xlfn.XLOOKUP(Tableau1[[#This Row],[Isin]]&amp;1&amp;2019,#REF!,Tableau3[Chiffre d''affaires]),"")</f>
        <v/>
      </c>
      <c r="AE7" s="43" t="str">
        <f>IFERROR(_xlfn.XLOOKUP(Tableau1[[#This Row],[Isin]]&amp;1&amp;2024,#REF!,Tableau3[Chiffre d''affaires]),"")</f>
        <v/>
      </c>
      <c r="AF7" s="8" t="str">
        <f>IFERROR(IF((Tableau1[[#This Row],[CA 2024]]-Tableau1[[#This Row],[CA 2019]])/Tableau1[[#This Row],[CA 2019]]=-1,"",(Tableau1[[#This Row],[CA 2024]]-Tableau1[[#This Row],[CA 2019]])/Tableau1[[#This Row],[CA 2019]]),"")</f>
        <v/>
      </c>
      <c r="AG7" s="9" t="str">
        <f>IFERROR(_xlfn.XLOOKUP(Tableau1[[#This Row],[Isin]]&amp;1&amp;2021,#REF!,Tableau3[EBE]),"")</f>
        <v/>
      </c>
      <c r="AH7" s="9" t="str">
        <f>IFERROR(_xlfn.XLOOKUP(Tableau1[[#This Row],[Isin]]&amp;1&amp;2022,#REF!,Tableau3[EBE]),"")</f>
        <v/>
      </c>
      <c r="AI7" s="43"/>
      <c r="AJ7" s="43"/>
      <c r="AK7" s="43"/>
      <c r="AL7" s="43"/>
      <c r="AM7" s="43"/>
      <c r="AN7" s="43" t="str">
        <f>IFERROR(_xlfn.XLOOKUP(Tableau1[[#This Row],[Isin]]&amp;1&amp;2021,#REF!,Tableau3[Chiffre d''affaires]),"")</f>
        <v/>
      </c>
      <c r="AO7" s="43" t="e" cm="1" vm="1">
        <f t="array" ref="AO7">_FV(Tableau1[[#This Row],[Code Excel]],"P/E",TRUE)</f>
        <v>#VALUE!</v>
      </c>
      <c r="AP7" s="43" t="str">
        <f>IFERROR(_xlfn.XLOOKUP(Tableau1[[#This Row],[Isin]]&amp;1&amp;2023,#REF!,Tableau3[Résultat Net (PdG)]),"")</f>
        <v/>
      </c>
      <c r="AQ7" s="43">
        <f>IF(IFERROR(_xlfn.XLOOKUP(Tableau1[[#This Row],[Isin]]&amp;1&amp;2022,#REF!,Tableau3[Résultat Net (PdG)]),"")="",Tableau1[[#This Row],[RN Groupe 2022
Manuel]],IFERROR(_xlfn.XLOOKUP(Tableau1[[#This Row],[Isin]]&amp;1&amp;2022,#REF!,Tableau3[Résultat Net (PdG)]),""))</f>
        <v>0</v>
      </c>
      <c r="AR7" s="43"/>
      <c r="AS7" s="43">
        <f>IF(IFERROR(_xlfn.XLOOKUP(Tableau1[[#This Row],[Isin]]&amp;1&amp;2021,#REF!,Tableau3[Résultat Net (PdG)]),"")="",Tableau1[[#This Row],[RN Groupe 2021
Manuel]],IFERROR(_xlfn.XLOOKUP(Tableau1[[#This Row],[Isin]]&amp;1&amp;2021,#REF!,Tableau3[Résultat Net (PdG)]),""))</f>
        <v>0</v>
      </c>
      <c r="AT7" s="43"/>
      <c r="AU7" s="43" t="str">
        <f>IFERROR(_xlfn.XLOOKUP(Tableau1[[#This Row],[Isin]]&amp;1&amp;2020,#REF!,Tableau3[Résultat Net (PdG)]),"")</f>
        <v/>
      </c>
      <c r="AV7" s="43" t="str">
        <f>IFERROR(_xlfn.XLOOKUP(Tableau1[[#This Row],[Isin]]&amp;1&amp;2019,#REF!,Tableau3[Résultat Net (PdG)]),"")</f>
        <v/>
      </c>
      <c r="AW7" s="43" t="str">
        <f>IFERROR(_xlfn.XLOOKUP(Tableau1[[#This Row],[Isin]]&amp;1&amp;2018,#REF!,Tableau3[Résultat Net (PdG)]),"")</f>
        <v/>
      </c>
      <c r="AX7" s="43" t="str">
        <f>IFERROR(_xlfn.XLOOKUP(Tableau1[[#This Row],[Isin]]&amp;1&amp;2017,#REF!,Tableau3[Résultat Net (PdG)]),"")</f>
        <v/>
      </c>
      <c r="AY7" s="43" t="str">
        <f>IFERROR(_xlfn.XLOOKUP(Tableau1[[#This Row],[Isin]]&amp;1&amp;2016,#REF!,Tableau3[Résultat Net (PdG)]),"")</f>
        <v/>
      </c>
      <c r="AZ7" s="137" t="str">
        <f>IFERROR(Tableau1[[#This Row],[Capitalisation boursière]]/Tableau1[[#This Row],[RN Groupe 2023]],"")</f>
        <v/>
      </c>
      <c r="BA7" s="4" t="str" cm="1">
        <f t="array" ref="BA7">IFERROR(_FV(Tableau1[[#This Row],[Code Excel]],"Industrie"),"")</f>
        <v/>
      </c>
      <c r="BB7" s="43" t="e">
        <v>#N/A</v>
      </c>
      <c r="BC7" s="43" t="str">
        <f>IFERROR(_xlfn.XLOOKUP(Tableau1[[#This Row],[Isin]]&amp;1&amp;2016,#REF!,Tableau3[Capi]),"")</f>
        <v/>
      </c>
      <c r="BD7" s="43" t="str">
        <f>IFERROR(_xlfn.XLOOKUP(Tableau1[[#This Row],[Isin]]&amp;1&amp;2017,#REF!,Tableau3[Capi]),"")</f>
        <v/>
      </c>
      <c r="BE7" s="43" t="str">
        <f>IFERROR(_xlfn.XLOOKUP(Tableau1[[#This Row],[Isin]]&amp;1&amp;2018,#REF!,Tableau3[Capi]),"")</f>
        <v/>
      </c>
      <c r="BF7" s="43" t="str">
        <f>IFERROR(_xlfn.XLOOKUP(Tableau1[[#This Row],[Isin]]&amp;1&amp;2019,#REF!,Tableau3[Capi]),"")</f>
        <v/>
      </c>
      <c r="BG7" s="43" t="str">
        <f>IFERROR(_xlfn.XLOOKUP(Tableau1[[#This Row],[Isin]]&amp;1&amp;2020,#REF!,Tableau3[Capi]),"")</f>
        <v/>
      </c>
      <c r="BH7" s="43">
        <f>IF(IFERROR(_xlfn.XLOOKUP(Tableau1[[#This Row],[Isin]]&amp;1&amp;2021,#REF!,Tableau3[Capi]),"")="",Tableau1[[#This Row],[Capitalisation 2021
Manuel]],IFERROR(_xlfn.XLOOKUP(Tableau1[[#This Row],[Isin]]&amp;1&amp;2021,#REF!,Tableau3[Capi]),""))</f>
        <v>0</v>
      </c>
      <c r="BI7" s="43"/>
      <c r="BJ7" s="43">
        <f>IF(IFERROR(_xlfn.XLOOKUP(Tableau1[[#This Row],[Isin]]&amp;1&amp;2022,#REF!,Tableau3[Capi]),"")="",Tableau1[[#This Row],[Capitalisation 2022
Manuel]],IFERROR(_xlfn.XLOOKUP(Tableau1[[#This Row],[Isin]]&amp;1&amp;2022,#REF!,Tableau3[Capi]),""))</f>
        <v>0</v>
      </c>
      <c r="BK7" s="43"/>
      <c r="BL7" s="43" t="str">
        <f>Tableau1[[#This Row],[Capitalisation boursière]]</f>
        <v/>
      </c>
      <c r="BM7" s="162" t="e" cm="1" vm="2">
        <f t="array" ref="BM7">_FV(Tableau1[[#This Row],[Code Excel]],"Description")</f>
        <v>#VALUE!</v>
      </c>
      <c r="BN7" s="43"/>
      <c r="BO7" s="43"/>
      <c r="BP7" s="43"/>
      <c r="BQ7" s="43"/>
      <c r="BR7" s="4"/>
      <c r="BS7" s="21"/>
      <c r="BT7" s="13" t="s">
        <v>452</v>
      </c>
      <c r="BU7" s="13">
        <v>5</v>
      </c>
      <c r="BV7" s="13"/>
      <c r="BW7" s="3" t="s">
        <v>1459</v>
      </c>
      <c r="BX7" s="3"/>
      <c r="BY7" s="3" t="s">
        <v>1223</v>
      </c>
      <c r="BZ7" s="47">
        <v>5.0299999999999997E-2</v>
      </c>
      <c r="CA7" s="47">
        <v>0.11</v>
      </c>
      <c r="CB7" s="6" t="s">
        <v>4317</v>
      </c>
      <c r="CC7" s="25">
        <v>292000000</v>
      </c>
      <c r="CD7" s="25">
        <f>'Base de données'!Q1790</f>
        <v>4026643328.8999996</v>
      </c>
      <c r="CE7" s="35">
        <f t="shared" si="0"/>
        <v>7.2516976585499743E-2</v>
      </c>
    </row>
    <row r="8" spans="3:83">
      <c r="C8" s="43" t="s">
        <v>3219</v>
      </c>
      <c r="D8" s="42">
        <f>IF(Tableau1[[#This Row],[Isin]]="",99,Tableau1[[#This Row],[Intérêt]]+Tableau1[[#This Row],[Valeur d''intérêt]]+Tableau1[[#This Row],[N° Portefeuille]])</f>
        <v>6</v>
      </c>
      <c r="E8" s="43">
        <v>6</v>
      </c>
      <c r="F8" s="42">
        <f>IF(Tableau1[[#This Row],[Portefeuille]]="p",0,Tableau1[[#This Row],[F. Investissement
Niveau d''intérêt]]*10)</f>
        <v>0</v>
      </c>
      <c r="G8" s="43">
        <f>IF(Tableau1[[#This Row],[Portefeuille]]="p",3,0)</f>
        <v>0</v>
      </c>
      <c r="H8" s="42"/>
      <c r="I8" s="43"/>
      <c r="J8" s="43"/>
      <c r="K8" s="43"/>
      <c r="L8" s="16"/>
      <c r="M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 s="64"/>
      <c r="O8" s="45"/>
      <c r="P8" s="4"/>
      <c r="Q8" s="4"/>
      <c r="R8" s="14"/>
      <c r="S8" s="10" t="s">
        <v>3219</v>
      </c>
      <c r="T8" s="4"/>
      <c r="U8" s="46" t="str" cm="1">
        <f t="array" ref="U8">IFERROR(_FV(Tableau1[[#This Row],[Code Excel]],"Capitalisation boursière",TRUE),"")</f>
        <v/>
      </c>
      <c r="V8" s="4" t="str" cm="1">
        <f t="array" ref="V8">IFERROR(_FV(Tableau1[[#This Row],[Code Excel]],"Industrie"),"")</f>
        <v/>
      </c>
      <c r="X8" s="4" t="str">
        <f>Tableau1[[#This Row],[Grand Secteur]]&amp;Tableau1[[#This Row],[Industrie]]</f>
        <v/>
      </c>
      <c r="Y8" s="65" t="str" cm="1">
        <f t="array" ref="Y8">IFERROR(_FV(Tableau1[[#This Row],[Code Excel]],"P/E",TRUE),"")</f>
        <v/>
      </c>
      <c r="Z8" s="43" t="str" cm="1">
        <f t="array" ref="Z8">IFERROR(_FV(Tableau1[[#This Row],[Code Excel]],"Employés"),"")</f>
        <v/>
      </c>
      <c r="AA8" s="49" t="str">
        <f>IFERROR(Tableau1[[#This Row],[Capitalisation boursière]]/Tableau1[[#This Row],[Employés]],"")</f>
        <v/>
      </c>
      <c r="AB8" s="5" t="str">
        <f>IFERROR(Tableau1[[#This Row],[REX (2021)]]/Tableau1[[#This Row],[CA 2024]],"")</f>
        <v/>
      </c>
      <c r="AC8" s="43" t="str">
        <f>IFERROR(_xlfn.XLOOKUP(Tableau1[[#This Row],[Isin]]&amp;1&amp;2021,#REF!,Tableau3[Résultat d''exploitation]),"")</f>
        <v/>
      </c>
      <c r="AD8" s="43" t="str">
        <f>IFERROR(_xlfn.XLOOKUP(Tableau1[[#This Row],[Isin]]&amp;1&amp;2019,#REF!,Tableau3[Chiffre d''affaires]),"")</f>
        <v/>
      </c>
      <c r="AE8" s="43" t="str">
        <f>IFERROR(_xlfn.XLOOKUP(Tableau1[[#This Row],[Isin]]&amp;1&amp;2024,#REF!,Tableau3[Chiffre d''affaires]),"")</f>
        <v/>
      </c>
      <c r="AF8" s="8" t="str">
        <f>IFERROR(IF((Tableau1[[#This Row],[CA 2024]]-Tableau1[[#This Row],[CA 2019]])/Tableau1[[#This Row],[CA 2019]]=-1,"",(Tableau1[[#This Row],[CA 2024]]-Tableau1[[#This Row],[CA 2019]])/Tableau1[[#This Row],[CA 2019]]),"")</f>
        <v/>
      </c>
      <c r="AG8" s="9" t="str">
        <f>IFERROR(_xlfn.XLOOKUP(Tableau1[[#This Row],[Isin]]&amp;1&amp;2021,#REF!,Tableau3[EBE]),"")</f>
        <v/>
      </c>
      <c r="AH8" s="9" t="str">
        <f>IFERROR(_xlfn.XLOOKUP(Tableau1[[#This Row],[Isin]]&amp;1&amp;2022,#REF!,Tableau3[EBE]),"")</f>
        <v/>
      </c>
      <c r="AI8" s="43"/>
      <c r="AJ8" s="43"/>
      <c r="AK8" s="43"/>
      <c r="AL8" s="43"/>
      <c r="AM8" s="43"/>
      <c r="AN8" s="43" t="str">
        <f>IFERROR(_xlfn.XLOOKUP(Tableau1[[#This Row],[Isin]]&amp;1&amp;2021,#REF!,Tableau3[Chiffre d''affaires]),"")</f>
        <v/>
      </c>
      <c r="AO8" s="43" t="e" cm="1" vm="1">
        <f t="array" ref="AO8">_FV(Tableau1[[#This Row],[Code Excel]],"P/E",TRUE)</f>
        <v>#VALUE!</v>
      </c>
      <c r="AP8" s="43" t="str">
        <f>IFERROR(_xlfn.XLOOKUP(Tableau1[[#This Row],[Isin]]&amp;1&amp;2023,#REF!,Tableau3[Résultat Net (PdG)]),"")</f>
        <v/>
      </c>
      <c r="AQ8" s="43">
        <f>IF(IFERROR(_xlfn.XLOOKUP(Tableau1[[#This Row],[Isin]]&amp;1&amp;2022,#REF!,Tableau3[Résultat Net (PdG)]),"")="",Tableau1[[#This Row],[RN Groupe 2022
Manuel]],IFERROR(_xlfn.XLOOKUP(Tableau1[[#This Row],[Isin]]&amp;1&amp;2022,#REF!,Tableau3[Résultat Net (PdG)]),""))</f>
        <v>0</v>
      </c>
      <c r="AR8" s="43"/>
      <c r="AS8" s="43">
        <f>IF(IFERROR(_xlfn.XLOOKUP(Tableau1[[#This Row],[Isin]]&amp;1&amp;2021,#REF!,Tableau3[Résultat Net (PdG)]),"")="",Tableau1[[#This Row],[RN Groupe 2021
Manuel]],IFERROR(_xlfn.XLOOKUP(Tableau1[[#This Row],[Isin]]&amp;1&amp;2021,#REF!,Tableau3[Résultat Net (PdG)]),""))</f>
        <v>0</v>
      </c>
      <c r="AT8" s="43"/>
      <c r="AU8" s="43" t="str">
        <f>IFERROR(_xlfn.XLOOKUP(Tableau1[[#This Row],[Isin]]&amp;1&amp;2020,#REF!,Tableau3[Résultat Net (PdG)]),"")</f>
        <v/>
      </c>
      <c r="AV8" s="43" t="str">
        <f>IFERROR(_xlfn.XLOOKUP(Tableau1[[#This Row],[Isin]]&amp;1&amp;2019,#REF!,Tableau3[Résultat Net (PdG)]),"")</f>
        <v/>
      </c>
      <c r="AW8" s="43" t="str">
        <f>IFERROR(_xlfn.XLOOKUP(Tableau1[[#This Row],[Isin]]&amp;1&amp;2018,#REF!,Tableau3[Résultat Net (PdG)]),"")</f>
        <v/>
      </c>
      <c r="AX8" s="43" t="str">
        <f>IFERROR(_xlfn.XLOOKUP(Tableau1[[#This Row],[Isin]]&amp;1&amp;2017,#REF!,Tableau3[Résultat Net (PdG)]),"")</f>
        <v/>
      </c>
      <c r="AY8" s="43" t="str">
        <f>IFERROR(_xlfn.XLOOKUP(Tableau1[[#This Row],[Isin]]&amp;1&amp;2016,#REF!,Tableau3[Résultat Net (PdG)]),"")</f>
        <v/>
      </c>
      <c r="AZ8" s="137" t="str">
        <f>IFERROR(Tableau1[[#This Row],[Capitalisation boursière]]/Tableau1[[#This Row],[RN Groupe 2023]],"")</f>
        <v/>
      </c>
      <c r="BA8" s="4" t="str" cm="1">
        <f t="array" ref="BA8">IFERROR(_FV(Tableau1[[#This Row],[Code Excel]],"Industrie"),"")</f>
        <v/>
      </c>
      <c r="BB8" s="43" t="e">
        <v>#N/A</v>
      </c>
      <c r="BC8" s="43" t="str">
        <f>IFERROR(_xlfn.XLOOKUP(Tableau1[[#This Row],[Isin]]&amp;1&amp;2016,#REF!,Tableau3[Capi]),"")</f>
        <v/>
      </c>
      <c r="BD8" s="43" t="str">
        <f>IFERROR(_xlfn.XLOOKUP(Tableau1[[#This Row],[Isin]]&amp;1&amp;2017,#REF!,Tableau3[Capi]),"")</f>
        <v/>
      </c>
      <c r="BE8" s="43" t="str">
        <f>IFERROR(_xlfn.XLOOKUP(Tableau1[[#This Row],[Isin]]&amp;1&amp;2018,#REF!,Tableau3[Capi]),"")</f>
        <v/>
      </c>
      <c r="BF8" s="43" t="str">
        <f>IFERROR(_xlfn.XLOOKUP(Tableau1[[#This Row],[Isin]]&amp;1&amp;2019,#REF!,Tableau3[Capi]),"")</f>
        <v/>
      </c>
      <c r="BG8" s="43" t="str">
        <f>IFERROR(_xlfn.XLOOKUP(Tableau1[[#This Row],[Isin]]&amp;1&amp;2020,#REF!,Tableau3[Capi]),"")</f>
        <v/>
      </c>
      <c r="BH8" s="43">
        <f>IF(IFERROR(_xlfn.XLOOKUP(Tableau1[[#This Row],[Isin]]&amp;1&amp;2021,#REF!,Tableau3[Capi]),"")="",Tableau1[[#This Row],[Capitalisation 2021
Manuel]],IFERROR(_xlfn.XLOOKUP(Tableau1[[#This Row],[Isin]]&amp;1&amp;2021,#REF!,Tableau3[Capi]),""))</f>
        <v>0</v>
      </c>
      <c r="BI8" s="43"/>
      <c r="BJ8" s="43">
        <f>IF(IFERROR(_xlfn.XLOOKUP(Tableau1[[#This Row],[Isin]]&amp;1&amp;2022,#REF!,Tableau3[Capi]),"")="",Tableau1[[#This Row],[Capitalisation 2022
Manuel]],IFERROR(_xlfn.XLOOKUP(Tableau1[[#This Row],[Isin]]&amp;1&amp;2022,#REF!,Tableau3[Capi]),""))</f>
        <v>0</v>
      </c>
      <c r="BK8" s="43"/>
      <c r="BL8" s="43" t="str">
        <f>Tableau1[[#This Row],[Capitalisation boursière]]</f>
        <v/>
      </c>
      <c r="BM8" s="162" t="e" cm="1" vm="2">
        <f t="array" ref="BM8">_FV(Tableau1[[#This Row],[Code Excel]],"Description")</f>
        <v>#VALUE!</v>
      </c>
      <c r="BN8" s="43"/>
      <c r="BO8" s="43"/>
      <c r="BP8" s="43"/>
      <c r="BQ8" s="43"/>
      <c r="BR8" s="4"/>
      <c r="BS8" s="21"/>
      <c r="BT8" s="13" t="s">
        <v>47</v>
      </c>
      <c r="BU8" s="13">
        <v>4</v>
      </c>
      <c r="BV8" s="13"/>
      <c r="BW8" s="3" t="s">
        <v>2035</v>
      </c>
      <c r="BX8" s="3"/>
      <c r="BY8" s="3" t="s">
        <v>2338</v>
      </c>
      <c r="BZ8" s="47">
        <v>0.05</v>
      </c>
      <c r="CA8" s="47">
        <v>0.05</v>
      </c>
      <c r="CB8" s="6" t="s">
        <v>4317</v>
      </c>
      <c r="CC8" s="25">
        <v>543000000</v>
      </c>
      <c r="CD8" s="25">
        <f>'Base de données'!Q3330</f>
        <v>9773449327.5</v>
      </c>
      <c r="CE8" s="35">
        <f t="shared" si="0"/>
        <v>5.5558685762265747E-2</v>
      </c>
    </row>
    <row r="9" spans="3:83">
      <c r="C9" s="43" t="s">
        <v>3294</v>
      </c>
      <c r="D9" s="42">
        <f>IF(Tableau1[[#This Row],[Isin]]="",99,Tableau1[[#This Row],[Intérêt]]+Tableau1[[#This Row],[Valeur d''intérêt]]+Tableau1[[#This Row],[N° Portefeuille]])</f>
        <v>21</v>
      </c>
      <c r="E9" s="43">
        <v>21</v>
      </c>
      <c r="F9" s="42">
        <f>IF(Tableau1[[#This Row],[Portefeuille]]="p",0,Tableau1[[#This Row],[F. Investissement
Niveau d''intérêt]]*10)</f>
        <v>0</v>
      </c>
      <c r="G9" s="43">
        <f>IF(Tableau1[[#This Row],[Portefeuille]]="p",3,0)</f>
        <v>0</v>
      </c>
      <c r="H9" s="43"/>
      <c r="I9" s="43"/>
      <c r="J9" s="43"/>
      <c r="K9" s="43"/>
      <c r="L9" s="16"/>
      <c r="M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 s="64"/>
      <c r="O9" s="68"/>
      <c r="P9" s="4"/>
      <c r="Q9" s="4"/>
      <c r="R9" s="14"/>
      <c r="S9" s="10" t="s">
        <v>3294</v>
      </c>
      <c r="T9" s="4"/>
      <c r="U9" s="46" t="str" cm="1">
        <f t="array" ref="U9">IFERROR(_FV(Tableau1[[#This Row],[Code Excel]],"Capitalisation boursière",TRUE),"")</f>
        <v/>
      </c>
      <c r="V9" s="4" t="str" cm="1">
        <f t="array" ref="V9">IFERROR(_FV(Tableau1[[#This Row],[Code Excel]],"Industrie"),"")</f>
        <v/>
      </c>
      <c r="X9" s="4" t="str">
        <f>Tableau1[[#This Row],[Grand Secteur]]&amp;Tableau1[[#This Row],[Industrie]]</f>
        <v/>
      </c>
      <c r="Y9" s="65" t="str" cm="1">
        <f t="array" ref="Y9">IFERROR(_FV(Tableau1[[#This Row],[Code Excel]],"P/E",TRUE),"")</f>
        <v/>
      </c>
      <c r="Z9" s="43" t="str" cm="1">
        <f t="array" ref="Z9">IFERROR(_FV(Tableau1[[#This Row],[Code Excel]],"Employés"),"")</f>
        <v/>
      </c>
      <c r="AA9" s="49" t="str">
        <f>IFERROR(Tableau1[[#This Row],[Capitalisation boursière]]/Tableau1[[#This Row],[Employés]],"")</f>
        <v/>
      </c>
      <c r="AB9" s="5" t="str">
        <f>IFERROR(Tableau1[[#This Row],[REX (2021)]]/Tableau1[[#This Row],[CA 2024]],"")</f>
        <v/>
      </c>
      <c r="AC9" s="43" t="str">
        <f>IFERROR(_xlfn.XLOOKUP(Tableau1[[#This Row],[Isin]]&amp;1&amp;2021,#REF!,Tableau3[Résultat d''exploitation]),"")</f>
        <v/>
      </c>
      <c r="AD9" s="43" t="str">
        <f>IFERROR(_xlfn.XLOOKUP(Tableau1[[#This Row],[Isin]]&amp;1&amp;2019,#REF!,Tableau3[Chiffre d''affaires]),"")</f>
        <v/>
      </c>
      <c r="AE9" s="43" t="str">
        <f>IFERROR(_xlfn.XLOOKUP(Tableau1[[#This Row],[Isin]]&amp;1&amp;2024,#REF!,Tableau3[Chiffre d''affaires]),"")</f>
        <v/>
      </c>
      <c r="AF9" s="8" t="str">
        <f>IFERROR(IF((Tableau1[[#This Row],[CA 2024]]-Tableau1[[#This Row],[CA 2019]])/Tableau1[[#This Row],[CA 2019]]=-1,"",(Tableau1[[#This Row],[CA 2024]]-Tableau1[[#This Row],[CA 2019]])/Tableau1[[#This Row],[CA 2019]]),"")</f>
        <v/>
      </c>
      <c r="AG9" s="9" t="str">
        <f>IFERROR(_xlfn.XLOOKUP(Tableau1[[#This Row],[Isin]]&amp;1&amp;2021,#REF!,Tableau3[EBE]),"")</f>
        <v/>
      </c>
      <c r="AH9" s="9" t="str">
        <f>IFERROR(_xlfn.XLOOKUP(Tableau1[[#This Row],[Isin]]&amp;1&amp;2022,#REF!,Tableau3[EBE]),"")</f>
        <v/>
      </c>
      <c r="AI9" s="43"/>
      <c r="AJ9" s="43"/>
      <c r="AK9" s="43"/>
      <c r="AL9" s="43"/>
      <c r="AM9" s="43"/>
      <c r="AN9" s="43" t="str">
        <f>IFERROR(_xlfn.XLOOKUP(Tableau1[[#This Row],[Isin]]&amp;1&amp;2021,#REF!,Tableau3[Chiffre d''affaires]),"")</f>
        <v/>
      </c>
      <c r="AO9" s="43" t="e" cm="1" vm="1">
        <f t="array" ref="AO9">_FV(Tableau1[[#This Row],[Code Excel]],"P/E",TRUE)</f>
        <v>#VALUE!</v>
      </c>
      <c r="AP9" s="43" t="str">
        <f>IFERROR(_xlfn.XLOOKUP(Tableau1[[#This Row],[Isin]]&amp;1&amp;2023,#REF!,Tableau3[Résultat Net (PdG)]),"")</f>
        <v/>
      </c>
      <c r="AQ9" s="43">
        <f>IF(IFERROR(_xlfn.XLOOKUP(Tableau1[[#This Row],[Isin]]&amp;1&amp;2022,#REF!,Tableau3[Résultat Net (PdG)]),"")="",Tableau1[[#This Row],[RN Groupe 2022
Manuel]],IFERROR(_xlfn.XLOOKUP(Tableau1[[#This Row],[Isin]]&amp;1&amp;2022,#REF!,Tableau3[Résultat Net (PdG)]),""))</f>
        <v>0</v>
      </c>
      <c r="AR9" s="43"/>
      <c r="AS9" s="43">
        <f>IF(IFERROR(_xlfn.XLOOKUP(Tableau1[[#This Row],[Isin]]&amp;1&amp;2021,#REF!,Tableau3[Résultat Net (PdG)]),"")="",Tableau1[[#This Row],[RN Groupe 2021
Manuel]],IFERROR(_xlfn.XLOOKUP(Tableau1[[#This Row],[Isin]]&amp;1&amp;2021,#REF!,Tableau3[Résultat Net (PdG)]),""))</f>
        <v>0</v>
      </c>
      <c r="AT9" s="43"/>
      <c r="AU9" s="43" t="str">
        <f>IFERROR(_xlfn.XLOOKUP(Tableau1[[#This Row],[Isin]]&amp;1&amp;2020,#REF!,Tableau3[Résultat Net (PdG)]),"")</f>
        <v/>
      </c>
      <c r="AV9" s="43" t="str">
        <f>IFERROR(_xlfn.XLOOKUP(Tableau1[[#This Row],[Isin]]&amp;1&amp;2019,#REF!,Tableau3[Résultat Net (PdG)]),"")</f>
        <v/>
      </c>
      <c r="AW9" s="43" t="str">
        <f>IFERROR(_xlfn.XLOOKUP(Tableau1[[#This Row],[Isin]]&amp;1&amp;2018,#REF!,Tableau3[Résultat Net (PdG)]),"")</f>
        <v/>
      </c>
      <c r="AX9" s="43" t="str">
        <f>IFERROR(_xlfn.XLOOKUP(Tableau1[[#This Row],[Isin]]&amp;1&amp;2017,#REF!,Tableau3[Résultat Net (PdG)]),"")</f>
        <v/>
      </c>
      <c r="AY9" s="43" t="str">
        <f>IFERROR(_xlfn.XLOOKUP(Tableau1[[#This Row],[Isin]]&amp;1&amp;2016,#REF!,Tableau3[Résultat Net (PdG)]),"")</f>
        <v/>
      </c>
      <c r="AZ9" s="137" t="str">
        <f>IFERROR(Tableau1[[#This Row],[Capitalisation boursière]]/Tableau1[[#This Row],[RN Groupe 2023]],"")</f>
        <v/>
      </c>
      <c r="BA9" s="4" t="str" cm="1">
        <f t="array" ref="BA9">IFERROR(_FV(Tableau1[[#This Row],[Code Excel]],"Industrie"),"")</f>
        <v/>
      </c>
      <c r="BB9" s="43" t="e">
        <v>#N/A</v>
      </c>
      <c r="BC9" s="43" t="str">
        <f>IFERROR(_xlfn.XLOOKUP(Tableau1[[#This Row],[Isin]]&amp;1&amp;2016,#REF!,Tableau3[Capi]),"")</f>
        <v/>
      </c>
      <c r="BD9" s="43" t="str">
        <f>IFERROR(_xlfn.XLOOKUP(Tableau1[[#This Row],[Isin]]&amp;1&amp;2017,#REF!,Tableau3[Capi]),"")</f>
        <v/>
      </c>
      <c r="BE9" s="43" t="str">
        <f>IFERROR(_xlfn.XLOOKUP(Tableau1[[#This Row],[Isin]]&amp;1&amp;2018,#REF!,Tableau3[Capi]),"")</f>
        <v/>
      </c>
      <c r="BF9" s="43" t="str">
        <f>IFERROR(_xlfn.XLOOKUP(Tableau1[[#This Row],[Isin]]&amp;1&amp;2019,#REF!,Tableau3[Capi]),"")</f>
        <v/>
      </c>
      <c r="BG9" s="43" t="str">
        <f>IFERROR(_xlfn.XLOOKUP(Tableau1[[#This Row],[Isin]]&amp;1&amp;2020,#REF!,Tableau3[Capi]),"")</f>
        <v/>
      </c>
      <c r="BH9" s="43">
        <f>IF(IFERROR(_xlfn.XLOOKUP(Tableau1[[#This Row],[Isin]]&amp;1&amp;2021,#REF!,Tableau3[Capi]),"")="",Tableau1[[#This Row],[Capitalisation 2021
Manuel]],IFERROR(_xlfn.XLOOKUP(Tableau1[[#This Row],[Isin]]&amp;1&amp;2021,#REF!,Tableau3[Capi]),""))</f>
        <v>0</v>
      </c>
      <c r="BI9" s="43"/>
      <c r="BJ9" s="43">
        <f>IF(IFERROR(_xlfn.XLOOKUP(Tableau1[[#This Row],[Isin]]&amp;1&amp;2022,#REF!,Tableau3[Capi]),"")="",Tableau1[[#This Row],[Capitalisation 2022
Manuel]],IFERROR(_xlfn.XLOOKUP(Tableau1[[#This Row],[Isin]]&amp;1&amp;2022,#REF!,Tableau3[Capi]),""))</f>
        <v>0</v>
      </c>
      <c r="BK9" s="43"/>
      <c r="BL9" s="43" t="str">
        <f>Tableau1[[#This Row],[Capitalisation boursière]]</f>
        <v/>
      </c>
      <c r="BM9" s="162" t="e" cm="1" vm="2">
        <f t="array" ref="BM9">_FV(Tableau1[[#This Row],[Code Excel]],"Description")</f>
        <v>#VALUE!</v>
      </c>
      <c r="BN9" s="43"/>
      <c r="BO9" s="43"/>
      <c r="BP9" s="43"/>
      <c r="BQ9" s="43"/>
      <c r="BR9" s="4"/>
      <c r="BS9" s="21"/>
      <c r="BT9" s="13" t="s">
        <v>619</v>
      </c>
      <c r="BU9" s="13">
        <v>3</v>
      </c>
      <c r="BV9" s="13"/>
      <c r="BW9" s="3" t="s">
        <v>2338</v>
      </c>
      <c r="BX9" s="3"/>
      <c r="BY9" s="13" t="s">
        <v>3344</v>
      </c>
      <c r="BZ9" s="47">
        <v>6.5799999999999997E-2</v>
      </c>
      <c r="CA9" s="47">
        <v>0.12</v>
      </c>
      <c r="CB9" s="50" t="s">
        <v>4320</v>
      </c>
      <c r="CC9" s="25">
        <v>317000000</v>
      </c>
      <c r="CD9" s="25">
        <f>'Base de données'!Q1828</f>
        <v>2784872374.2000003</v>
      </c>
      <c r="CE9" s="35">
        <f t="shared" si="0"/>
        <v>0.11382927380687001</v>
      </c>
    </row>
    <row r="10" spans="3:83">
      <c r="C10" s="43" t="s">
        <v>3231</v>
      </c>
      <c r="D10" s="42">
        <f>IF(Tableau1[[#This Row],[Isin]]="",99,Tableau1[[#This Row],[Intérêt]]+Tableau1[[#This Row],[Valeur d''intérêt]]+Tableau1[[#This Row],[N° Portefeuille]])</f>
        <v>11</v>
      </c>
      <c r="E10" s="43">
        <v>11</v>
      </c>
      <c r="F10" s="42">
        <f>IF(Tableau1[[#This Row],[Portefeuille]]="p",0,Tableau1[[#This Row],[F. Investissement
Niveau d''intérêt]]*10)</f>
        <v>0</v>
      </c>
      <c r="G10" s="43">
        <f>IF(Tableau1[[#This Row],[Portefeuille]]="p",3,0)</f>
        <v>0</v>
      </c>
      <c r="H10" s="42"/>
      <c r="I10" s="43"/>
      <c r="J10" s="43"/>
      <c r="K10" s="43"/>
      <c r="L10" s="16"/>
      <c r="M1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 s="64"/>
      <c r="O10" s="68"/>
      <c r="P10" s="4"/>
      <c r="Q10" s="4"/>
      <c r="R10" s="14"/>
      <c r="S10" s="10" t="s">
        <v>3231</v>
      </c>
      <c r="T10" s="4"/>
      <c r="U10" s="46" t="str" cm="1">
        <f t="array" ref="U10">IFERROR(_FV(Tableau1[[#This Row],[Code Excel]],"Capitalisation boursière",TRUE),"")</f>
        <v/>
      </c>
      <c r="V10" s="4" t="str" cm="1">
        <f t="array" ref="V10">IFERROR(_FV(Tableau1[[#This Row],[Code Excel]],"Industrie"),"")</f>
        <v/>
      </c>
      <c r="X10" s="4" t="str">
        <f>Tableau1[[#This Row],[Grand Secteur]]&amp;Tableau1[[#This Row],[Industrie]]</f>
        <v/>
      </c>
      <c r="Y10" s="65" t="str" cm="1">
        <f t="array" ref="Y10">IFERROR(_FV(Tableau1[[#This Row],[Code Excel]],"P/E",TRUE),"")</f>
        <v/>
      </c>
      <c r="Z10" s="43" t="str" cm="1">
        <f t="array" ref="Z10">IFERROR(_FV(Tableau1[[#This Row],[Code Excel]],"Employés"),"")</f>
        <v/>
      </c>
      <c r="AA10" s="49" t="str">
        <f>IFERROR(Tableau1[[#This Row],[Capitalisation boursière]]/Tableau1[[#This Row],[Employés]],"")</f>
        <v/>
      </c>
      <c r="AB10" s="5" t="str">
        <f>IFERROR(Tableau1[[#This Row],[REX (2021)]]/Tableau1[[#This Row],[CA 2024]],"")</f>
        <v/>
      </c>
      <c r="AC10" s="43" t="str">
        <f>IFERROR(_xlfn.XLOOKUP(Tableau1[[#This Row],[Isin]]&amp;1&amp;2021,#REF!,Tableau3[Résultat d''exploitation]),"")</f>
        <v/>
      </c>
      <c r="AD10" s="43" t="str">
        <f>IFERROR(_xlfn.XLOOKUP(Tableau1[[#This Row],[Isin]]&amp;1&amp;2019,#REF!,Tableau3[Chiffre d''affaires]),"")</f>
        <v/>
      </c>
      <c r="AE10" s="43" t="str">
        <f>IFERROR(_xlfn.XLOOKUP(Tableau1[[#This Row],[Isin]]&amp;1&amp;2024,#REF!,Tableau3[Chiffre d''affaires]),"")</f>
        <v/>
      </c>
      <c r="AF10" s="8" t="str">
        <f>IFERROR(IF((Tableau1[[#This Row],[CA 2024]]-Tableau1[[#This Row],[CA 2019]])/Tableau1[[#This Row],[CA 2019]]=-1,"",(Tableau1[[#This Row],[CA 2024]]-Tableau1[[#This Row],[CA 2019]])/Tableau1[[#This Row],[CA 2019]]),"")</f>
        <v/>
      </c>
      <c r="AG10" s="9" t="str">
        <f>IFERROR(_xlfn.XLOOKUP(Tableau1[[#This Row],[Isin]]&amp;1&amp;2021,#REF!,Tableau3[EBE]),"")</f>
        <v/>
      </c>
      <c r="AH10" s="9" t="str">
        <f>IFERROR(_xlfn.XLOOKUP(Tableau1[[#This Row],[Isin]]&amp;1&amp;2022,#REF!,Tableau3[EBE]),"")</f>
        <v/>
      </c>
      <c r="AI10" s="43"/>
      <c r="AJ10" s="43"/>
      <c r="AK10" s="43"/>
      <c r="AL10" s="43"/>
      <c r="AM10" s="43"/>
      <c r="AN10" s="43" t="str">
        <f>IFERROR(_xlfn.XLOOKUP(Tableau1[[#This Row],[Isin]]&amp;1&amp;2021,#REF!,Tableau3[Chiffre d''affaires]),"")</f>
        <v/>
      </c>
      <c r="AO10" s="43" t="e" cm="1" vm="1">
        <f t="array" ref="AO10">_FV(Tableau1[[#This Row],[Code Excel]],"P/E",TRUE)</f>
        <v>#VALUE!</v>
      </c>
      <c r="AP10" s="43" t="str">
        <f>IFERROR(_xlfn.XLOOKUP(Tableau1[[#This Row],[Isin]]&amp;1&amp;2023,#REF!,Tableau3[Résultat Net (PdG)]),"")</f>
        <v/>
      </c>
      <c r="AQ10" s="43">
        <f>IF(IFERROR(_xlfn.XLOOKUP(Tableau1[[#This Row],[Isin]]&amp;1&amp;2022,#REF!,Tableau3[Résultat Net (PdG)]),"")="",Tableau1[[#This Row],[RN Groupe 2022
Manuel]],IFERROR(_xlfn.XLOOKUP(Tableau1[[#This Row],[Isin]]&amp;1&amp;2022,#REF!,Tableau3[Résultat Net (PdG)]),""))</f>
        <v>0</v>
      </c>
      <c r="AR10" s="43"/>
      <c r="AS10" s="43">
        <f>IF(IFERROR(_xlfn.XLOOKUP(Tableau1[[#This Row],[Isin]]&amp;1&amp;2021,#REF!,Tableau3[Résultat Net (PdG)]),"")="",Tableau1[[#This Row],[RN Groupe 2021
Manuel]],IFERROR(_xlfn.XLOOKUP(Tableau1[[#This Row],[Isin]]&amp;1&amp;2021,#REF!,Tableau3[Résultat Net (PdG)]),""))</f>
        <v>0</v>
      </c>
      <c r="AT10" s="43"/>
      <c r="AU10" s="43" t="str">
        <f>IFERROR(_xlfn.XLOOKUP(Tableau1[[#This Row],[Isin]]&amp;1&amp;2020,#REF!,Tableau3[Résultat Net (PdG)]),"")</f>
        <v/>
      </c>
      <c r="AV10" s="43" t="str">
        <f>IFERROR(_xlfn.XLOOKUP(Tableau1[[#This Row],[Isin]]&amp;1&amp;2019,#REF!,Tableau3[Résultat Net (PdG)]),"")</f>
        <v/>
      </c>
      <c r="AW10" s="43" t="str">
        <f>IFERROR(_xlfn.XLOOKUP(Tableau1[[#This Row],[Isin]]&amp;1&amp;2018,#REF!,Tableau3[Résultat Net (PdG)]),"")</f>
        <v/>
      </c>
      <c r="AX10" s="43" t="str">
        <f>IFERROR(_xlfn.XLOOKUP(Tableau1[[#This Row],[Isin]]&amp;1&amp;2017,#REF!,Tableau3[Résultat Net (PdG)]),"")</f>
        <v/>
      </c>
      <c r="AY10" s="43" t="str">
        <f>IFERROR(_xlfn.XLOOKUP(Tableau1[[#This Row],[Isin]]&amp;1&amp;2016,#REF!,Tableau3[Résultat Net (PdG)]),"")</f>
        <v/>
      </c>
      <c r="AZ10" s="137" t="str">
        <f>IFERROR(Tableau1[[#This Row],[Capitalisation boursière]]/Tableau1[[#This Row],[RN Groupe 2023]],"")</f>
        <v/>
      </c>
      <c r="BA10" s="4" t="str" cm="1">
        <f t="array" ref="BA10">IFERROR(_FV(Tableau1[[#This Row],[Code Excel]],"Industrie"),"")</f>
        <v/>
      </c>
      <c r="BB10" s="43" t="e">
        <v>#N/A</v>
      </c>
      <c r="BC10" s="43" t="str">
        <f>IFERROR(_xlfn.XLOOKUP(Tableau1[[#This Row],[Isin]]&amp;1&amp;2016,#REF!,Tableau3[Capi]),"")</f>
        <v/>
      </c>
      <c r="BD10" s="43" t="str">
        <f>IFERROR(_xlfn.XLOOKUP(Tableau1[[#This Row],[Isin]]&amp;1&amp;2017,#REF!,Tableau3[Capi]),"")</f>
        <v/>
      </c>
      <c r="BE10" s="43" t="str">
        <f>IFERROR(_xlfn.XLOOKUP(Tableau1[[#This Row],[Isin]]&amp;1&amp;2018,#REF!,Tableau3[Capi]),"")</f>
        <v/>
      </c>
      <c r="BF10" s="43" t="str">
        <f>IFERROR(_xlfn.XLOOKUP(Tableau1[[#This Row],[Isin]]&amp;1&amp;2019,#REF!,Tableau3[Capi]),"")</f>
        <v/>
      </c>
      <c r="BG10" s="43" t="str">
        <f>IFERROR(_xlfn.XLOOKUP(Tableau1[[#This Row],[Isin]]&amp;1&amp;2020,#REF!,Tableau3[Capi]),"")</f>
        <v/>
      </c>
      <c r="BH10" s="43">
        <f>IF(IFERROR(_xlfn.XLOOKUP(Tableau1[[#This Row],[Isin]]&amp;1&amp;2021,#REF!,Tableau3[Capi]),"")="",Tableau1[[#This Row],[Capitalisation 2021
Manuel]],IFERROR(_xlfn.XLOOKUP(Tableau1[[#This Row],[Isin]]&amp;1&amp;2021,#REF!,Tableau3[Capi]),""))</f>
        <v>0</v>
      </c>
      <c r="BI10" s="43"/>
      <c r="BJ10" s="43">
        <f>IF(IFERROR(_xlfn.XLOOKUP(Tableau1[[#This Row],[Isin]]&amp;1&amp;2022,#REF!,Tableau3[Capi]),"")="",Tableau1[[#This Row],[Capitalisation 2022
Manuel]],IFERROR(_xlfn.XLOOKUP(Tableau1[[#This Row],[Isin]]&amp;1&amp;2022,#REF!,Tableau3[Capi]),""))</f>
        <v>0</v>
      </c>
      <c r="BK10" s="43"/>
      <c r="BL10" s="43" t="str">
        <f>Tableau1[[#This Row],[Capitalisation boursière]]</f>
        <v/>
      </c>
      <c r="BM10" s="162" t="e" cm="1" vm="2">
        <f t="array" ref="BM10">_FV(Tableau1[[#This Row],[Code Excel]],"Description")</f>
        <v>#VALUE!</v>
      </c>
      <c r="BN10" s="43"/>
      <c r="BO10" s="43"/>
      <c r="BP10" s="43"/>
      <c r="BQ10" s="43"/>
      <c r="BR10" s="4"/>
      <c r="BS10" s="21"/>
      <c r="BT10" s="13" t="s">
        <v>99</v>
      </c>
      <c r="BU10" s="13">
        <v>3</v>
      </c>
      <c r="BV10" s="13"/>
      <c r="BW10" s="3" t="s">
        <v>2307</v>
      </c>
      <c r="BX10" s="3"/>
      <c r="BY10" s="13" t="s">
        <v>3850</v>
      </c>
      <c r="BZ10" s="47">
        <f>13%</f>
        <v>0.13</v>
      </c>
      <c r="CA10" s="47">
        <v>0.2</v>
      </c>
      <c r="CB10" s="50" t="s">
        <v>4320</v>
      </c>
      <c r="CC10" s="25">
        <f>'Base de données'!T2581</f>
        <v>4958000</v>
      </c>
      <c r="CD10" s="25">
        <f>'Base de données'!Q2579</f>
        <v>150582115.19999999</v>
      </c>
      <c r="CE10" s="35">
        <f t="shared" si="0"/>
        <v>3.2925556885788784E-2</v>
      </c>
    </row>
    <row r="11" spans="3:83">
      <c r="C11" s="43" t="s">
        <v>3410</v>
      </c>
      <c r="D11" s="42">
        <f>IF(Tableau1[[#This Row],[Isin]]="",99,Tableau1[[#This Row],[Intérêt]]+Tableau1[[#This Row],[Valeur d''intérêt]]+Tableau1[[#This Row],[N° Portefeuille]])</f>
        <v>35</v>
      </c>
      <c r="E11" s="43">
        <v>35</v>
      </c>
      <c r="F11" s="42">
        <f>IF(Tableau1[[#This Row],[Portefeuille]]="p",0,Tableau1[[#This Row],[F. Investissement
Niveau d''intérêt]]*10)</f>
        <v>0</v>
      </c>
      <c r="G11" s="43">
        <f>IF(Tableau1[[#This Row],[Portefeuille]]="p",3,0)</f>
        <v>0</v>
      </c>
      <c r="H11" s="43"/>
      <c r="I11" s="43"/>
      <c r="J11" s="43"/>
      <c r="K11" s="43"/>
      <c r="L11" s="16"/>
      <c r="M1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 s="64"/>
      <c r="O11" s="68"/>
      <c r="P11" s="4"/>
      <c r="Q11" s="4"/>
      <c r="R11" s="14"/>
      <c r="S11" s="10" t="s">
        <v>3410</v>
      </c>
      <c r="T11" s="4"/>
      <c r="U11" s="46" t="str" cm="1">
        <f t="array" ref="U11">IFERROR(_FV(Tableau1[[#This Row],[Code Excel]],"Capitalisation boursière",TRUE),"")</f>
        <v/>
      </c>
      <c r="V11" s="4" t="str" cm="1">
        <f t="array" ref="V11">IFERROR(_FV(Tableau1[[#This Row],[Code Excel]],"Industrie"),"")</f>
        <v/>
      </c>
      <c r="X11" s="4" t="str">
        <f>Tableau1[[#This Row],[Grand Secteur]]&amp;Tableau1[[#This Row],[Industrie]]</f>
        <v/>
      </c>
      <c r="Y11" s="65" t="str" cm="1">
        <f t="array" ref="Y11">IFERROR(_FV(Tableau1[[#This Row],[Code Excel]],"P/E",TRUE),"")</f>
        <v/>
      </c>
      <c r="Z11" s="43" t="str" cm="1">
        <f t="array" ref="Z11">IFERROR(_FV(Tableau1[[#This Row],[Code Excel]],"Employés"),"")</f>
        <v/>
      </c>
      <c r="AA11" s="49" t="str">
        <f>IFERROR(Tableau1[[#This Row],[Capitalisation boursière]]/Tableau1[[#This Row],[Employés]],"")</f>
        <v/>
      </c>
      <c r="AB11" s="5" t="str">
        <f>IFERROR(Tableau1[[#This Row],[REX (2021)]]/Tableau1[[#This Row],[CA 2024]],"")</f>
        <v/>
      </c>
      <c r="AC11" s="43" t="str">
        <f>IFERROR(_xlfn.XLOOKUP(Tableau1[[#This Row],[Isin]]&amp;1&amp;2021,#REF!,Tableau3[Résultat d''exploitation]),"")</f>
        <v/>
      </c>
      <c r="AD11" s="43" t="str">
        <f>IFERROR(_xlfn.XLOOKUP(Tableau1[[#This Row],[Isin]]&amp;1&amp;2019,#REF!,Tableau3[Chiffre d''affaires]),"")</f>
        <v/>
      </c>
      <c r="AE11" s="43" t="str">
        <f>IFERROR(_xlfn.XLOOKUP(Tableau1[[#This Row],[Isin]]&amp;1&amp;2024,#REF!,Tableau3[Chiffre d''affaires]),"")</f>
        <v/>
      </c>
      <c r="AF11" s="8" t="str">
        <f>IFERROR(IF((Tableau1[[#This Row],[CA 2024]]-Tableau1[[#This Row],[CA 2019]])/Tableau1[[#This Row],[CA 2019]]=-1,"",(Tableau1[[#This Row],[CA 2024]]-Tableau1[[#This Row],[CA 2019]])/Tableau1[[#This Row],[CA 2019]]),"")</f>
        <v/>
      </c>
      <c r="AG11" s="9" t="str">
        <f>IFERROR(_xlfn.XLOOKUP(Tableau1[[#This Row],[Isin]]&amp;1&amp;2021,#REF!,Tableau3[EBE]),"")</f>
        <v/>
      </c>
      <c r="AH11" s="9" t="str">
        <f>IFERROR(_xlfn.XLOOKUP(Tableau1[[#This Row],[Isin]]&amp;1&amp;2022,#REF!,Tableau3[EBE]),"")</f>
        <v/>
      </c>
      <c r="AI11" s="43"/>
      <c r="AJ11" s="43"/>
      <c r="AK11" s="43"/>
      <c r="AL11" s="43"/>
      <c r="AM11" s="43"/>
      <c r="AN11" s="43" t="str">
        <f>IFERROR(_xlfn.XLOOKUP(Tableau1[[#This Row],[Isin]]&amp;1&amp;2021,#REF!,Tableau3[Chiffre d''affaires]),"")</f>
        <v/>
      </c>
      <c r="AO11" s="43" t="e" cm="1" vm="1">
        <f t="array" ref="AO11">_FV(Tableau1[[#This Row],[Code Excel]],"P/E",TRUE)</f>
        <v>#VALUE!</v>
      </c>
      <c r="AP11" s="43" t="str">
        <f>IFERROR(_xlfn.XLOOKUP(Tableau1[[#This Row],[Isin]]&amp;1&amp;2023,#REF!,Tableau3[Résultat Net (PdG)]),"")</f>
        <v/>
      </c>
      <c r="AQ11" s="43">
        <f>IF(IFERROR(_xlfn.XLOOKUP(Tableau1[[#This Row],[Isin]]&amp;1&amp;2022,#REF!,Tableau3[Résultat Net (PdG)]),"")="",Tableau1[[#This Row],[RN Groupe 2022
Manuel]],IFERROR(_xlfn.XLOOKUP(Tableau1[[#This Row],[Isin]]&amp;1&amp;2022,#REF!,Tableau3[Résultat Net (PdG)]),""))</f>
        <v>0</v>
      </c>
      <c r="AR11" s="43"/>
      <c r="AS11" s="43">
        <f>IF(IFERROR(_xlfn.XLOOKUP(Tableau1[[#This Row],[Isin]]&amp;1&amp;2021,#REF!,Tableau3[Résultat Net (PdG)]),"")="",Tableau1[[#This Row],[RN Groupe 2021
Manuel]],IFERROR(_xlfn.XLOOKUP(Tableau1[[#This Row],[Isin]]&amp;1&amp;2021,#REF!,Tableau3[Résultat Net (PdG)]),""))</f>
        <v>0</v>
      </c>
      <c r="AT11" s="43"/>
      <c r="AU11" s="43" t="str">
        <f>IFERROR(_xlfn.XLOOKUP(Tableau1[[#This Row],[Isin]]&amp;1&amp;2020,#REF!,Tableau3[Résultat Net (PdG)]),"")</f>
        <v/>
      </c>
      <c r="AV11" s="43" t="str">
        <f>IFERROR(_xlfn.XLOOKUP(Tableau1[[#This Row],[Isin]]&amp;1&amp;2019,#REF!,Tableau3[Résultat Net (PdG)]),"")</f>
        <v/>
      </c>
      <c r="AW11" s="43" t="str">
        <f>IFERROR(_xlfn.XLOOKUP(Tableau1[[#This Row],[Isin]]&amp;1&amp;2018,#REF!,Tableau3[Résultat Net (PdG)]),"")</f>
        <v/>
      </c>
      <c r="AX11" s="43" t="str">
        <f>IFERROR(_xlfn.XLOOKUP(Tableau1[[#This Row],[Isin]]&amp;1&amp;2017,#REF!,Tableau3[Résultat Net (PdG)]),"")</f>
        <v/>
      </c>
      <c r="AY11" s="43" t="str">
        <f>IFERROR(_xlfn.XLOOKUP(Tableau1[[#This Row],[Isin]]&amp;1&amp;2016,#REF!,Tableau3[Résultat Net (PdG)]),"")</f>
        <v/>
      </c>
      <c r="AZ11" s="137" t="str">
        <f>IFERROR(Tableau1[[#This Row],[Capitalisation boursière]]/Tableau1[[#This Row],[RN Groupe 2023]],"")</f>
        <v/>
      </c>
      <c r="BA11" s="4" t="str" cm="1">
        <f t="array" ref="BA11">IFERROR(_FV(Tableau1[[#This Row],[Code Excel]],"Industrie"),"")</f>
        <v/>
      </c>
      <c r="BB11" s="43" t="e">
        <v>#N/A</v>
      </c>
      <c r="BC11" s="43" t="str">
        <f>IFERROR(_xlfn.XLOOKUP(Tableau1[[#This Row],[Isin]]&amp;1&amp;2016,#REF!,Tableau3[Capi]),"")</f>
        <v/>
      </c>
      <c r="BD11" s="43" t="str">
        <f>IFERROR(_xlfn.XLOOKUP(Tableau1[[#This Row],[Isin]]&amp;1&amp;2017,#REF!,Tableau3[Capi]),"")</f>
        <v/>
      </c>
      <c r="BE11" s="43" t="str">
        <f>IFERROR(_xlfn.XLOOKUP(Tableau1[[#This Row],[Isin]]&amp;1&amp;2018,#REF!,Tableau3[Capi]),"")</f>
        <v/>
      </c>
      <c r="BF11" s="43" t="str">
        <f>IFERROR(_xlfn.XLOOKUP(Tableau1[[#This Row],[Isin]]&amp;1&amp;2019,#REF!,Tableau3[Capi]),"")</f>
        <v/>
      </c>
      <c r="BG11" s="43" t="str">
        <f>IFERROR(_xlfn.XLOOKUP(Tableau1[[#This Row],[Isin]]&amp;1&amp;2020,#REF!,Tableau3[Capi]),"")</f>
        <v/>
      </c>
      <c r="BH11" s="43">
        <f>IF(IFERROR(_xlfn.XLOOKUP(Tableau1[[#This Row],[Isin]]&amp;1&amp;2021,#REF!,Tableau3[Capi]),"")="",Tableau1[[#This Row],[Capitalisation 2021
Manuel]],IFERROR(_xlfn.XLOOKUP(Tableau1[[#This Row],[Isin]]&amp;1&amp;2021,#REF!,Tableau3[Capi]),""))</f>
        <v>0</v>
      </c>
      <c r="BI11" s="43"/>
      <c r="BJ11" s="43">
        <f>IF(IFERROR(_xlfn.XLOOKUP(Tableau1[[#This Row],[Isin]]&amp;1&amp;2022,#REF!,Tableau3[Capi]),"")="",Tableau1[[#This Row],[Capitalisation 2022
Manuel]],IFERROR(_xlfn.XLOOKUP(Tableau1[[#This Row],[Isin]]&amp;1&amp;2022,#REF!,Tableau3[Capi]),""))</f>
        <v>0</v>
      </c>
      <c r="BK11" s="43"/>
      <c r="BL11" s="43" t="str">
        <f>Tableau1[[#This Row],[Capitalisation boursière]]</f>
        <v/>
      </c>
      <c r="BM11" s="162" t="e" cm="1" vm="2">
        <f t="array" ref="BM11">_FV(Tableau1[[#This Row],[Code Excel]],"Description")</f>
        <v>#VALUE!</v>
      </c>
      <c r="BN11" s="43"/>
      <c r="BO11" s="43"/>
      <c r="BP11" s="43"/>
      <c r="BQ11" s="43"/>
      <c r="BR11" s="4"/>
      <c r="BS11" s="21"/>
      <c r="BT11" s="13" t="s">
        <v>765</v>
      </c>
      <c r="BU11" s="13">
        <v>2</v>
      </c>
      <c r="BV11" s="13"/>
      <c r="BW11" s="3" t="s">
        <v>1536</v>
      </c>
      <c r="BX11" s="3"/>
      <c r="BY11" s="3" t="s">
        <v>262</v>
      </c>
      <c r="BZ11" s="47">
        <v>0.113</v>
      </c>
      <c r="CA11" s="47">
        <v>0.06</v>
      </c>
      <c r="CB11" s="50" t="s">
        <v>4320</v>
      </c>
      <c r="CC11" s="25">
        <v>80000000</v>
      </c>
      <c r="CD11" s="25">
        <f>'Base de données'!Q333</f>
        <v>1032700000</v>
      </c>
      <c r="CE11" s="35">
        <f t="shared" si="0"/>
        <v>7.7466834511474778E-2</v>
      </c>
    </row>
    <row r="12" spans="3:83">
      <c r="C12" s="42"/>
      <c r="D12" s="42">
        <f>IF(Tableau1[[#This Row],[Isin]]="",99,Tableau1[[#This Row],[Intérêt]]+Tableau1[[#This Row],[Valeur d''intérêt]]+Tableau1[[#This Row],[N° Portefeuille]])</f>
        <v>30</v>
      </c>
      <c r="E12" s="42"/>
      <c r="F12" s="42">
        <f>IF(Tableau1[[#This Row],[Portefeuille]]="p",0,Tableau1[[#This Row],[F. Investissement
Niveau d''intérêt]]*10)</f>
        <v>30</v>
      </c>
      <c r="G12" s="42">
        <f>IF(Tableau1[[#This Row],[Portefeuille]]="p",3,0)</f>
        <v>0</v>
      </c>
      <c r="H12" s="42">
        <v>3</v>
      </c>
      <c r="I12" s="42">
        <v>4</v>
      </c>
      <c r="J12" s="42"/>
      <c r="K12" s="43"/>
      <c r="L12" s="16">
        <v>0</v>
      </c>
      <c r="M1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 s="44" t="s">
        <v>3461</v>
      </c>
      <c r="O12" s="45"/>
      <c r="P12" s="4" t="s">
        <v>382</v>
      </c>
      <c r="Q12" s="4"/>
      <c r="R12" s="6"/>
      <c r="S12" s="6" t="s">
        <v>3462</v>
      </c>
      <c r="T12" s="6" t="e" vm="3">
        <v>#VALUE!</v>
      </c>
      <c r="U12" s="46" cm="1">
        <f t="array" aca="1" ref="U12" ca="1">IFERROR(_FV(Tableau1[[#This Row],[Code Excel]],"Capitalisation boursière",TRUE),"")</f>
        <v>77473088160</v>
      </c>
      <c r="V12" s="4" t="str" cm="1">
        <f t="array" aca="1" ref="V12" ca="1">IFERROR(_FV(Tableau1[[#This Row],[Code Excel]],"Industrie"),"")</f>
        <v>Consumer Goods Conglomerates</v>
      </c>
      <c r="W12" s="4" t="s">
        <v>4321</v>
      </c>
      <c r="X12" s="4" t="str">
        <f ca="1">Tableau1[[#This Row],[Grand Secteur]]&amp;Tableau1[[#This Row],[Industrie]]</f>
        <v>EquipementiersConsumer Goods Conglomerates</v>
      </c>
      <c r="Y12" s="23" cm="1">
        <f t="array" aca="1" ref="Y12" ca="1">IFERROR(_FV(Tableau1[[#This Row],[Code Excel]],"P/E",TRUE),"")</f>
        <v>19.9621</v>
      </c>
      <c r="Z12" s="43" cm="1">
        <f t="array" aca="1" ref="Z12" ca="1">IFERROR(_FV(Tableau1[[#This Row],[Code Excel]],"Employés"),"")</f>
        <v>61500</v>
      </c>
      <c r="AA12" s="46">
        <f ca="1">IFERROR(Tableau1[[#This Row],[Capitalisation boursière]]/Tableau1[[#This Row],[Employés]],"")</f>
        <v>1259725.0107317073</v>
      </c>
      <c r="AB12" s="5" t="str">
        <f>IFERROR(Tableau1[[#This Row],[REX (2021)]]/Tableau1[[#This Row],[CA 2024]],"")</f>
        <v/>
      </c>
      <c r="AC12" s="9" t="str">
        <f>IFERROR(_xlfn.XLOOKUP(Tableau1[[#This Row],[Isin]]&amp;1&amp;2021,#REF!,Tableau3[Résultat d''exploitation]),"")</f>
        <v/>
      </c>
      <c r="AD12" s="9" t="str">
        <f>IFERROR(_xlfn.XLOOKUP(Tableau1[[#This Row],[Isin]]&amp;1&amp;2019,#REF!,Tableau3[Chiffre d''affaires]),"")</f>
        <v/>
      </c>
      <c r="AE12" s="9" t="str">
        <f>IFERROR(_xlfn.XLOOKUP(Tableau1[[#This Row],[Isin]]&amp;1&amp;2024,#REF!,Tableau3[Chiffre d''affaires]),"")</f>
        <v/>
      </c>
      <c r="AF12" s="8" t="str">
        <f>IFERROR(IF((Tableau1[[#This Row],[CA 2024]]-Tableau1[[#This Row],[CA 2019]])/Tableau1[[#This Row],[CA 2019]]=-1,"",(Tableau1[[#This Row],[CA 2024]]-Tableau1[[#This Row],[CA 2019]])/Tableau1[[#This Row],[CA 2019]]),"")</f>
        <v/>
      </c>
      <c r="AG12" s="9" t="str">
        <f>IFERROR(_xlfn.XLOOKUP(Tableau1[[#This Row],[Isin]]&amp;1&amp;2021,#REF!,Tableau3[EBE]),"")</f>
        <v/>
      </c>
      <c r="AH12" s="9" t="str">
        <f>IFERROR(_xlfn.XLOOKUP(Tableau1[[#This Row],[Isin]]&amp;1&amp;2022,#REF!,Tableau3[EBE]),"")</f>
        <v/>
      </c>
      <c r="AI12" s="43" t="s">
        <v>3431</v>
      </c>
      <c r="AJ12" s="43" t="s">
        <v>4322</v>
      </c>
      <c r="AK12" s="43" t="s">
        <v>3431</v>
      </c>
      <c r="AL12" s="43"/>
      <c r="AM12" s="43"/>
      <c r="AN12" s="9" t="str">
        <f>IFERROR(_xlfn.XLOOKUP(Tableau1[[#This Row],[Isin]]&amp;1&amp;2021,#REF!,Tableau3[Chiffre d''affaires]),"")</f>
        <v/>
      </c>
      <c r="AO12" s="43" cm="1">
        <f t="array" aca="1" ref="AO12" ca="1">_FV(Tableau1[[#This Row],[Code Excel]],"P/E",TRUE)</f>
        <v>19.9621</v>
      </c>
      <c r="AP12" s="43" t="str">
        <f>IFERROR(_xlfn.XLOOKUP(Tableau1[[#This Row],[Isin]]&amp;1&amp;2023,#REF!,Tableau3[Résultat Net (PdG)]),"")</f>
        <v/>
      </c>
      <c r="AQ12" s="43">
        <f>IF(IFERROR(_xlfn.XLOOKUP(Tableau1[[#This Row],[Isin]]&amp;1&amp;2022,#REF!,Tableau3[Résultat Net (PdG)]),"")="",Tableau1[[#This Row],[RN Groupe 2022
Manuel]],IFERROR(_xlfn.XLOOKUP(Tableau1[[#This Row],[Isin]]&amp;1&amp;2022,#REF!,Tableau3[Résultat Net (PdG)]),""))</f>
        <v>0</v>
      </c>
      <c r="AR12" s="43"/>
      <c r="AS12" s="43">
        <f>IF(IFERROR(_xlfn.XLOOKUP(Tableau1[[#This Row],[Isin]]&amp;1&amp;2021,#REF!,Tableau3[Résultat Net (PdG)]),"")="",Tableau1[[#This Row],[RN Groupe 2021
Manuel]],IFERROR(_xlfn.XLOOKUP(Tableau1[[#This Row],[Isin]]&amp;1&amp;2021,#REF!,Tableau3[Résultat Net (PdG)]),""))</f>
        <v>0</v>
      </c>
      <c r="AT12" s="43"/>
      <c r="AU12" s="43" t="str">
        <f>IFERROR(_xlfn.XLOOKUP(Tableau1[[#This Row],[Isin]]&amp;1&amp;2020,#REF!,Tableau3[Résultat Net (PdG)]),"")</f>
        <v/>
      </c>
      <c r="AV12" s="43" t="str">
        <f>IFERROR(_xlfn.XLOOKUP(Tableau1[[#This Row],[Isin]]&amp;1&amp;2019,#REF!,Tableau3[Résultat Net (PdG)]),"")</f>
        <v/>
      </c>
      <c r="AW12" s="43" t="str">
        <f>IFERROR(_xlfn.XLOOKUP(Tableau1[[#This Row],[Isin]]&amp;1&amp;2018,#REF!,Tableau3[Résultat Net (PdG)]),"")</f>
        <v/>
      </c>
      <c r="AX12" s="43" t="str">
        <f>IFERROR(_xlfn.XLOOKUP(Tableau1[[#This Row],[Isin]]&amp;1&amp;2017,#REF!,Tableau3[Résultat Net (PdG)]),"")</f>
        <v/>
      </c>
      <c r="AY12" s="43" t="str">
        <f>IFERROR(_xlfn.XLOOKUP(Tableau1[[#This Row],[Isin]]&amp;1&amp;2016,#REF!,Tableau3[Résultat Net (PdG)]),"")</f>
        <v/>
      </c>
      <c r="AZ12" s="137" t="str">
        <f ca="1">IFERROR(Tableau1[[#This Row],[Capitalisation boursière]]/Tableau1[[#This Row],[RN Groupe 2023]],"")</f>
        <v/>
      </c>
      <c r="BA12" s="4" t="str" cm="1">
        <f t="array" aca="1" ref="BA12" ca="1">IFERROR(_FV(Tableau1[[#This Row],[Code Excel]],"Industrie"),"")</f>
        <v>Consumer Goods Conglomerates</v>
      </c>
      <c r="BB12" s="43" t="s">
        <v>3464</v>
      </c>
      <c r="BC12" s="43" t="str">
        <f>IFERROR(_xlfn.XLOOKUP(Tableau1[[#This Row],[Isin]]&amp;1&amp;2016,#REF!,Tableau3[Capi]),"")</f>
        <v/>
      </c>
      <c r="BD12" s="43" t="str">
        <f>IFERROR(_xlfn.XLOOKUP(Tableau1[[#This Row],[Isin]]&amp;1&amp;2017,#REF!,Tableau3[Capi]),"")</f>
        <v/>
      </c>
      <c r="BE12" s="43" t="str">
        <f>IFERROR(_xlfn.XLOOKUP(Tableau1[[#This Row],[Isin]]&amp;1&amp;2018,#REF!,Tableau3[Capi]),"")</f>
        <v/>
      </c>
      <c r="BF12" s="43" t="str">
        <f>IFERROR(_xlfn.XLOOKUP(Tableau1[[#This Row],[Isin]]&amp;1&amp;2019,#REF!,Tableau3[Capi]),"")</f>
        <v/>
      </c>
      <c r="BG12" s="43" t="str">
        <f>IFERROR(_xlfn.XLOOKUP(Tableau1[[#This Row],[Isin]]&amp;1&amp;2020,#REF!,Tableau3[Capi]),"")</f>
        <v/>
      </c>
      <c r="BH12" s="43">
        <f>IF(IFERROR(_xlfn.XLOOKUP(Tableau1[[#This Row],[Isin]]&amp;1&amp;2021,#REF!,Tableau3[Capi]),"")="",Tableau1[[#This Row],[Capitalisation 2021
Manuel]],IFERROR(_xlfn.XLOOKUP(Tableau1[[#This Row],[Isin]]&amp;1&amp;2021,#REF!,Tableau3[Capi]),""))</f>
        <v>0</v>
      </c>
      <c r="BI12" s="43"/>
      <c r="BJ12" s="43">
        <f>IF(IFERROR(_xlfn.XLOOKUP(Tableau1[[#This Row],[Isin]]&amp;1&amp;2022,#REF!,Tableau3[Capi]),"")="",Tableau1[[#This Row],[Capitalisation 2022
Manuel]],IFERROR(_xlfn.XLOOKUP(Tableau1[[#This Row],[Isin]]&amp;1&amp;2022,#REF!,Tableau3[Capi]),""))</f>
        <v>0</v>
      </c>
      <c r="BK12" s="43"/>
      <c r="BL12" s="43">
        <f ca="1">Tableau1[[#This Row],[Capitalisation boursière]]</f>
        <v>77473088160</v>
      </c>
      <c r="BM12" s="162" t="str" cm="1">
        <f t="array" aca="1" ref="BM12" ca="1">_FV(Tableau1[[#This Row],[Code Excel]],"Description")</f>
        <v>La société 3M est une entreprise technologique diversifiée. La Société est un fabricant et un distributeur d'une variété de produits et de services. Les segments de la Société comprennent la sécurité et l'industrie, le transport et l'électronique, et la consommation. Son segment sécurité et industrie comprend les abrasifs, le marché secondaire automobile, les systèmes de fermeture et de masquage, les marchés de l'électricité, la sécurité personnelle, les granulés de toiture et les adhésifs et rubans industriels. Ce segment offre des produits de réparation de collision et de peinture en aérosol, ainsi que des fixations refermables, des rubans et des matériaux d'étiquetage pour les biens durables. Son secteur du transport et de l'électronique comprend les matériaux de pointe, l'automobile et l'aérospatiale, les solutions commerciales, les matériaux et systèmes d'affichage, les solutions de matériaux électroniques et la sécurité des transports. Son segment Grand public comprend les marchés de la consommation et de la rénovation domiciliaire, l'entretien de la maison et de l'automobile, ainsi que la papeterie et le bureau. Ses marques comprennent 3M Cubitron II abrasives, Scotch-Brite, Filtrete, Command, Scotchgard, post-it et autres.</v>
      </c>
      <c r="BN12" s="43"/>
      <c r="BO12" s="43"/>
      <c r="BP12" s="43"/>
      <c r="BQ12" s="43"/>
      <c r="BR12" s="4"/>
      <c r="BS12" s="21"/>
      <c r="BT12" s="13" t="s">
        <v>290</v>
      </c>
      <c r="BU12" s="13">
        <v>2</v>
      </c>
      <c r="BV12" s="13"/>
      <c r="BW12" s="3" t="s">
        <v>3850</v>
      </c>
      <c r="BX12" s="3"/>
      <c r="BY12" s="3" t="s">
        <v>2307</v>
      </c>
      <c r="BZ12" s="47">
        <v>-0.20599999999999999</v>
      </c>
      <c r="CA12" s="47">
        <v>0</v>
      </c>
      <c r="CB12" s="50" t="s">
        <v>4323</v>
      </c>
      <c r="CC12" s="25">
        <v>179000000</v>
      </c>
      <c r="CD12" s="25">
        <f>'Base de données'!Q3297</f>
        <v>3049694863.25</v>
      </c>
      <c r="CE12" s="35">
        <f t="shared" si="0"/>
        <v>5.86943966614559E-2</v>
      </c>
    </row>
    <row r="13" spans="3:83">
      <c r="C13" s="43"/>
      <c r="D13" s="42">
        <f>IF(Tableau1[[#This Row],[Isin]]="",99,Tableau1[[#This Row],[Intérêt]]+Tableau1[[#This Row],[Valeur d''intérêt]]+Tableau1[[#This Row],[N° Portefeuille]])</f>
        <v>30</v>
      </c>
      <c r="E13" s="43"/>
      <c r="F13" s="42">
        <f>IF(Tableau1[[#This Row],[Portefeuille]]="p",0,Tableau1[[#This Row],[F. Investissement
Niveau d''intérêt]]*10)</f>
        <v>30</v>
      </c>
      <c r="G13" s="43">
        <f>IF(Tableau1[[#This Row],[Portefeuille]]="p",3,0)</f>
        <v>0</v>
      </c>
      <c r="H13" s="42">
        <v>3</v>
      </c>
      <c r="I13" s="42">
        <v>4</v>
      </c>
      <c r="J13" s="43"/>
      <c r="K13" s="43"/>
      <c r="L13" s="16">
        <v>0</v>
      </c>
      <c r="M1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 s="44" t="s">
        <v>3466</v>
      </c>
      <c r="O13" s="45"/>
      <c r="P13" s="4" t="s">
        <v>99</v>
      </c>
      <c r="Q13" s="4"/>
      <c r="R13" s="6"/>
      <c r="S13" s="6" t="s">
        <v>3467</v>
      </c>
      <c r="T13" s="6" t="e" vm="4">
        <v>#VALUE!</v>
      </c>
      <c r="U13" s="46" cm="1">
        <f t="array" aca="1" ref="U13" ca="1">IFERROR(_FV(Tableau1[[#This Row],[Code Excel]],"Capitalisation boursière",TRUE),"")</f>
        <v>87275340000</v>
      </c>
      <c r="V13" s="4" t="str" cm="1">
        <f t="array" aca="1" ref="V13" ca="1">IFERROR(_FV(Tableau1[[#This Row],[Code Excel]],"Industrie"),"")</f>
        <v>Machinery, Equipment &amp; Components</v>
      </c>
      <c r="W13" s="4" t="s">
        <v>4321</v>
      </c>
      <c r="X13" s="4" t="str">
        <f ca="1">Tableau1[[#This Row],[Grand Secteur]]&amp;Tableau1[[#This Row],[Industrie]]</f>
        <v>EquipementiersMachinery, Equipment &amp; Components</v>
      </c>
      <c r="Y13" s="23" cm="1">
        <f t="array" aca="1" ref="Y13" ca="1">IFERROR(_FV(Tableau1[[#This Row],[Code Excel]],"P/E",TRUE),"")</f>
        <v>24.331600000000002</v>
      </c>
      <c r="Z13" s="43" cm="1">
        <f t="array" aca="1" ref="Z13" ca="1">IFERROR(_FV(Tableau1[[#This Row],[Code Excel]],"Employés"),"")</f>
        <v>109900</v>
      </c>
      <c r="AA13" s="46">
        <f ca="1">IFERROR(Tableau1[[#This Row],[Capitalisation boursière]]/Tableau1[[#This Row],[Employés]],"")</f>
        <v>794134.12192902644</v>
      </c>
      <c r="AB13" s="5" t="str">
        <f>IFERROR(Tableau1[[#This Row],[REX (2021)]]/Tableau1[[#This Row],[CA 2024]],"")</f>
        <v/>
      </c>
      <c r="AC13" s="9" t="str">
        <f>IFERROR(_xlfn.XLOOKUP(Tableau1[[#This Row],[Isin]]&amp;1&amp;2021,#REF!,Tableau3[Résultat d''exploitation]),"")</f>
        <v/>
      </c>
      <c r="AD13" s="9" t="str">
        <f>IFERROR(_xlfn.XLOOKUP(Tableau1[[#This Row],[Isin]]&amp;1&amp;2019,#REF!,Tableau3[Chiffre d''affaires]),"")</f>
        <v/>
      </c>
      <c r="AE13" s="9" t="str">
        <f>IFERROR(_xlfn.XLOOKUP(Tableau1[[#This Row],[Isin]]&amp;1&amp;2024,#REF!,Tableau3[Chiffre d''affaires]),"")</f>
        <v/>
      </c>
      <c r="AF13" s="8" t="str">
        <f>IFERROR(IF((Tableau1[[#This Row],[CA 2024]]-Tableau1[[#This Row],[CA 2019]])/Tableau1[[#This Row],[CA 2019]]=-1,"",(Tableau1[[#This Row],[CA 2024]]-Tableau1[[#This Row],[CA 2019]])/Tableau1[[#This Row],[CA 2019]]),"")</f>
        <v/>
      </c>
      <c r="AG13" s="9" t="str">
        <f>IFERROR(_xlfn.XLOOKUP(Tableau1[[#This Row],[Isin]]&amp;1&amp;2021,#REF!,Tableau3[EBE]),"")</f>
        <v/>
      </c>
      <c r="AH13" s="9" t="str">
        <f>IFERROR(_xlfn.XLOOKUP(Tableau1[[#This Row],[Isin]]&amp;1&amp;2022,#REF!,Tableau3[EBE]),"")</f>
        <v/>
      </c>
      <c r="AI13" s="43" t="s">
        <v>3431</v>
      </c>
      <c r="AJ13" s="43" t="s">
        <v>4322</v>
      </c>
      <c r="AK13" s="43" t="s">
        <v>3431</v>
      </c>
      <c r="AL13" s="43"/>
      <c r="AM13" s="43"/>
      <c r="AN13" s="9" t="str">
        <f>IFERROR(_xlfn.XLOOKUP(Tableau1[[#This Row],[Isin]]&amp;1&amp;2021,#REF!,Tableau3[Chiffre d''affaires]),"")</f>
        <v/>
      </c>
      <c r="AO13" s="43" cm="1">
        <f t="array" aca="1" ref="AO13" ca="1">_FV(Tableau1[[#This Row],[Code Excel]],"P/E",TRUE)</f>
        <v>24.331600000000002</v>
      </c>
      <c r="AP13" s="43" t="str">
        <f>IFERROR(_xlfn.XLOOKUP(Tableau1[[#This Row],[Isin]]&amp;1&amp;2023,#REF!,Tableau3[Résultat Net (PdG)]),"")</f>
        <v/>
      </c>
      <c r="AQ13" s="43">
        <f>IF(IFERROR(_xlfn.XLOOKUP(Tableau1[[#This Row],[Isin]]&amp;1&amp;2022,#REF!,Tableau3[Résultat Net (PdG)]),"")="",Tableau1[[#This Row],[RN Groupe 2022
Manuel]],IFERROR(_xlfn.XLOOKUP(Tableau1[[#This Row],[Isin]]&amp;1&amp;2022,#REF!,Tableau3[Résultat Net (PdG)]),""))</f>
        <v>0</v>
      </c>
      <c r="AR13" s="43"/>
      <c r="AS13" s="43">
        <f>IF(IFERROR(_xlfn.XLOOKUP(Tableau1[[#This Row],[Isin]]&amp;1&amp;2021,#REF!,Tableau3[Résultat Net (PdG)]),"")="",Tableau1[[#This Row],[RN Groupe 2021
Manuel]],IFERROR(_xlfn.XLOOKUP(Tableau1[[#This Row],[Isin]]&amp;1&amp;2021,#REF!,Tableau3[Résultat Net (PdG)]),""))</f>
        <v>0</v>
      </c>
      <c r="AT13" s="43"/>
      <c r="AU13" s="43" t="str">
        <f>IFERROR(_xlfn.XLOOKUP(Tableau1[[#This Row],[Isin]]&amp;1&amp;2020,#REF!,Tableau3[Résultat Net (PdG)]),"")</f>
        <v/>
      </c>
      <c r="AV13" s="43" t="str">
        <f>IFERROR(_xlfn.XLOOKUP(Tableau1[[#This Row],[Isin]]&amp;1&amp;2019,#REF!,Tableau3[Résultat Net (PdG)]),"")</f>
        <v/>
      </c>
      <c r="AW13" s="43" t="str">
        <f>IFERROR(_xlfn.XLOOKUP(Tableau1[[#This Row],[Isin]]&amp;1&amp;2018,#REF!,Tableau3[Résultat Net (PdG)]),"")</f>
        <v/>
      </c>
      <c r="AX13" s="43" t="str">
        <f>IFERROR(_xlfn.XLOOKUP(Tableau1[[#This Row],[Isin]]&amp;1&amp;2017,#REF!,Tableau3[Résultat Net (PdG)]),"")</f>
        <v/>
      </c>
      <c r="AY13" s="43" t="str">
        <f>IFERROR(_xlfn.XLOOKUP(Tableau1[[#This Row],[Isin]]&amp;1&amp;2016,#REF!,Tableau3[Résultat Net (PdG)]),"")</f>
        <v/>
      </c>
      <c r="AZ13" s="137" t="str">
        <f ca="1">IFERROR(Tableau1[[#This Row],[Capitalisation boursière]]/Tableau1[[#This Row],[RN Groupe 2023]],"")</f>
        <v/>
      </c>
      <c r="BA13" s="4" t="str" cm="1">
        <f t="array" aca="1" ref="BA13" ca="1">IFERROR(_FV(Tableau1[[#This Row],[Code Excel]],"Industrie"),"")</f>
        <v>Machinery, Equipment &amp; Components</v>
      </c>
      <c r="BB13" s="43" t="s">
        <v>3469</v>
      </c>
      <c r="BC13" s="43" t="str">
        <f>IFERROR(_xlfn.XLOOKUP(Tableau1[[#This Row],[Isin]]&amp;1&amp;2016,#REF!,Tableau3[Capi]),"")</f>
        <v/>
      </c>
      <c r="BD13" s="43" t="str">
        <f>IFERROR(_xlfn.XLOOKUP(Tableau1[[#This Row],[Isin]]&amp;1&amp;2017,#REF!,Tableau3[Capi]),"")</f>
        <v/>
      </c>
      <c r="BE13" s="43" t="str">
        <f>IFERROR(_xlfn.XLOOKUP(Tableau1[[#This Row],[Isin]]&amp;1&amp;2018,#REF!,Tableau3[Capi]),"")</f>
        <v/>
      </c>
      <c r="BF13" s="43" t="str">
        <f>IFERROR(_xlfn.XLOOKUP(Tableau1[[#This Row],[Isin]]&amp;1&amp;2019,#REF!,Tableau3[Capi]),"")</f>
        <v/>
      </c>
      <c r="BG13" s="43" t="str">
        <f>IFERROR(_xlfn.XLOOKUP(Tableau1[[#This Row],[Isin]]&amp;1&amp;2020,#REF!,Tableau3[Capi]),"")</f>
        <v/>
      </c>
      <c r="BH13" s="43">
        <f>IF(IFERROR(_xlfn.XLOOKUP(Tableau1[[#This Row],[Isin]]&amp;1&amp;2021,#REF!,Tableau3[Capi]),"")="",Tableau1[[#This Row],[Capitalisation 2021
Manuel]],IFERROR(_xlfn.XLOOKUP(Tableau1[[#This Row],[Isin]]&amp;1&amp;2021,#REF!,Tableau3[Capi]),""))</f>
        <v>0</v>
      </c>
      <c r="BI13" s="43"/>
      <c r="BJ13" s="43">
        <f>IF(IFERROR(_xlfn.XLOOKUP(Tableau1[[#This Row],[Isin]]&amp;1&amp;2022,#REF!,Tableau3[Capi]),"")="",Tableau1[[#This Row],[Capitalisation 2022
Manuel]],IFERROR(_xlfn.XLOOKUP(Tableau1[[#This Row],[Isin]]&amp;1&amp;2022,#REF!,Tableau3[Capi]),""))</f>
        <v>0</v>
      </c>
      <c r="BK13" s="43"/>
      <c r="BL13" s="43">
        <f ca="1">Tableau1[[#This Row],[Capitalisation boursière]]</f>
        <v>87275340000</v>
      </c>
      <c r="BM13" s="162" t="str" cm="1">
        <f t="array" aca="1" ref="BM13" ca="1">_FV(Tableau1[[#This Row],[Code Excel]],"Description")</f>
        <v>Abb Ltd est une société de portefeuille. Les secteurs de la Société comprennent Produits d’Électrification, Robotique et Mouvement, Automatisation Industrielle, Réseaux Électriques et Entreprises et Autres. Elle opère dans quatre divisions: Produits d'Électrification, Robotique et Mouvement, Automatisation Industrielle et Réseaux Électriques. Elle est engagée dans le service aux clients des services publics, de l'industrie, des transports et des infrastructures. Le secteur Produits d’Électrification fabrique et vend des produits et services, notamment des appareillages de commutation à basse et moyenne tension, des disjoncteurs, des commutateurs et des produits de contrôle. Le secteur Robotique et Motion fabrique et vend des moteurs, des générateurs, des entraînements à vitesse variable ainsi que des robots et de la robotique. Le secteur Automation Industrielle développe et vend des systèmes d’optimisation des contrôles et des installations, ainsi que des produits et solutions d’automatisation. Le secteur Réseaux Électriques fournit des produits, des systèmes, des solutions de services et des logiciels d’automatisation et d’automatisation.</v>
      </c>
      <c r="BN13" s="43"/>
      <c r="BO13" s="43"/>
      <c r="BP13" s="43"/>
      <c r="BQ13" s="43"/>
      <c r="BR13" s="4"/>
      <c r="BS13" s="21"/>
      <c r="BT13" s="13" t="s">
        <v>1364</v>
      </c>
      <c r="BU13" s="13">
        <v>1</v>
      </c>
      <c r="BV13" s="13"/>
      <c r="BW13" s="3" t="s">
        <v>893</v>
      </c>
      <c r="BX13" s="3"/>
      <c r="BY13" s="3" t="s">
        <v>2208</v>
      </c>
      <c r="BZ13" s="47">
        <v>0.13200000000000001</v>
      </c>
      <c r="CA13" s="47">
        <v>0.04</v>
      </c>
      <c r="CB13" s="50" t="s">
        <v>4320</v>
      </c>
      <c r="CC13" s="25">
        <v>6072000000</v>
      </c>
      <c r="CD13" s="25">
        <f>'Base de données'!Q3118</f>
        <v>50784114400.000008</v>
      </c>
      <c r="CE13" s="35">
        <f t="shared" si="0"/>
        <v>0.11956494804997524</v>
      </c>
    </row>
    <row r="14" spans="3:83">
      <c r="C14" s="42"/>
      <c r="D14" s="42">
        <f>IF(Tableau1[[#This Row],[Isin]]="",99,Tableau1[[#This Row],[Intérêt]]+Tableau1[[#This Row],[Valeur d''intérêt]]+Tableau1[[#This Row],[N° Portefeuille]])</f>
        <v>30</v>
      </c>
      <c r="E14" s="42"/>
      <c r="F14" s="42">
        <f>IF(Tableau1[[#This Row],[Portefeuille]]="p",0,Tableau1[[#This Row],[F. Investissement
Niveau d''intérêt]]*10)</f>
        <v>30</v>
      </c>
      <c r="G14" s="42">
        <f>IF(Tableau1[[#This Row],[Portefeuille]]="p",3,0)</f>
        <v>0</v>
      </c>
      <c r="H14" s="42">
        <v>3</v>
      </c>
      <c r="I14" s="42">
        <v>4</v>
      </c>
      <c r="J14" s="42"/>
      <c r="K14" s="43"/>
      <c r="L14" s="16">
        <v>0</v>
      </c>
      <c r="M1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 s="44" t="s">
        <v>3471</v>
      </c>
      <c r="O14" s="45"/>
      <c r="P14" s="4" t="s">
        <v>382</v>
      </c>
      <c r="Q14" s="4"/>
      <c r="R14" s="6"/>
      <c r="S14" s="6" t="s">
        <v>3472</v>
      </c>
      <c r="T14" s="6" t="e" vm="5">
        <v>#VALUE!</v>
      </c>
      <c r="U14" s="46" cm="1">
        <f t="array" aca="1" ref="U14" ca="1">IFERROR(_FV(Tableau1[[#This Row],[Code Excel]],"Capitalisation boursière",TRUE),"")</f>
        <v>368672704980</v>
      </c>
      <c r="V14" s="4" t="str" cm="1">
        <f t="array" aca="1" ref="V14" ca="1">IFERROR(_FV(Tableau1[[#This Row],[Code Excel]],"Industrie"),"")</f>
        <v>Pharmaceuticals</v>
      </c>
      <c r="W14" s="4" t="s">
        <v>1586</v>
      </c>
      <c r="X14" s="4" t="str">
        <f ca="1">Tableau1[[#This Row],[Grand Secteur]]&amp;Tableau1[[#This Row],[Industrie]]</f>
        <v>SantéPharmaceuticals</v>
      </c>
      <c r="Y14" s="23" cm="1">
        <f t="array" aca="1" ref="Y14" ca="1">IFERROR(_FV(Tableau1[[#This Row],[Code Excel]],"P/E",TRUE),"")</f>
        <v>85.771000000000001</v>
      </c>
      <c r="Z14" s="43" cm="1">
        <f t="array" aca="1" ref="Z14" ca="1">IFERROR(_FV(Tableau1[[#This Row],[Code Excel]],"Employés"),"")</f>
        <v>55000</v>
      </c>
      <c r="AA14" s="49">
        <f ca="1">IFERROR(Tableau1[[#This Row],[Capitalisation boursière]]/Tableau1[[#This Row],[Employés]],"")</f>
        <v>6703140.090545455</v>
      </c>
      <c r="AB14" s="5" t="str">
        <f>IFERROR(Tableau1[[#This Row],[REX (2021)]]/Tableau1[[#This Row],[CA 2024]],"")</f>
        <v/>
      </c>
      <c r="AC14" s="9" t="str">
        <f>IFERROR(_xlfn.XLOOKUP(Tableau1[[#This Row],[Isin]]&amp;1&amp;2021,#REF!,Tableau3[Résultat d''exploitation]),"")</f>
        <v/>
      </c>
      <c r="AD14" s="9" t="str">
        <f>IFERROR(_xlfn.XLOOKUP(Tableau1[[#This Row],[Isin]]&amp;1&amp;2019,#REF!,Tableau3[Chiffre d''affaires]),"")</f>
        <v/>
      </c>
      <c r="AE14" s="9" t="str">
        <f>IFERROR(_xlfn.XLOOKUP(Tableau1[[#This Row],[Isin]]&amp;1&amp;2024,#REF!,Tableau3[Chiffre d''affaires]),"")</f>
        <v/>
      </c>
      <c r="AF14" s="8" t="str">
        <f>IFERROR(IF((Tableau1[[#This Row],[CA 2024]]-Tableau1[[#This Row],[CA 2019]])/Tableau1[[#This Row],[CA 2019]]=-1,"",(Tableau1[[#This Row],[CA 2024]]-Tableau1[[#This Row],[CA 2019]])/Tableau1[[#This Row],[CA 2019]]),"")</f>
        <v/>
      </c>
      <c r="AG14" s="9" t="str">
        <f>IFERROR(_xlfn.XLOOKUP(Tableau1[[#This Row],[Isin]]&amp;1&amp;2021,#REF!,Tableau3[EBE]),"")</f>
        <v/>
      </c>
      <c r="AH14" s="9" t="str">
        <f>IFERROR(_xlfn.XLOOKUP(Tableau1[[#This Row],[Isin]]&amp;1&amp;2022,#REF!,Tableau3[EBE]),"")</f>
        <v/>
      </c>
      <c r="AI14" s="13" t="s">
        <v>4324</v>
      </c>
      <c r="AJ14" s="13" t="s">
        <v>4325</v>
      </c>
      <c r="AK14" s="13" t="s">
        <v>3148</v>
      </c>
      <c r="AL14" s="43"/>
      <c r="AM14" s="43"/>
      <c r="AN14" s="9" t="str">
        <f>IFERROR(_xlfn.XLOOKUP(Tableau1[[#This Row],[Isin]]&amp;1&amp;2021,#REF!,Tableau3[Chiffre d''affaires]),"")</f>
        <v/>
      </c>
      <c r="AO14" s="43" cm="1">
        <f t="array" aca="1" ref="AO14" ca="1">_FV(Tableau1[[#This Row],[Code Excel]],"P/E",TRUE)</f>
        <v>85.771000000000001</v>
      </c>
      <c r="AP14" s="43" t="str">
        <f>IFERROR(_xlfn.XLOOKUP(Tableau1[[#This Row],[Isin]]&amp;1&amp;2023,#REF!,Tableau3[Résultat Net (PdG)]),"")</f>
        <v/>
      </c>
      <c r="AQ14" s="43">
        <f>IF(IFERROR(_xlfn.XLOOKUP(Tableau1[[#This Row],[Isin]]&amp;1&amp;2022,#REF!,Tableau3[Résultat Net (PdG)]),"")="",Tableau1[[#This Row],[RN Groupe 2022
Manuel]],IFERROR(_xlfn.XLOOKUP(Tableau1[[#This Row],[Isin]]&amp;1&amp;2022,#REF!,Tableau3[Résultat Net (PdG)]),""))</f>
        <v>0</v>
      </c>
      <c r="AR14" s="43"/>
      <c r="AS14" s="43">
        <f>IF(IFERROR(_xlfn.XLOOKUP(Tableau1[[#This Row],[Isin]]&amp;1&amp;2021,#REF!,Tableau3[Résultat Net (PdG)]),"")="",Tableau1[[#This Row],[RN Groupe 2021
Manuel]],IFERROR(_xlfn.XLOOKUP(Tableau1[[#This Row],[Isin]]&amp;1&amp;2021,#REF!,Tableau3[Résultat Net (PdG)]),""))</f>
        <v>0</v>
      </c>
      <c r="AT14" s="43"/>
      <c r="AU14" s="43" t="str">
        <f>IFERROR(_xlfn.XLOOKUP(Tableau1[[#This Row],[Isin]]&amp;1&amp;2020,#REF!,Tableau3[Résultat Net (PdG)]),"")</f>
        <v/>
      </c>
      <c r="AV14" s="43" t="str">
        <f>IFERROR(_xlfn.XLOOKUP(Tableau1[[#This Row],[Isin]]&amp;1&amp;2019,#REF!,Tableau3[Résultat Net (PdG)]),"")</f>
        <v/>
      </c>
      <c r="AW14" s="43" t="str">
        <f>IFERROR(_xlfn.XLOOKUP(Tableau1[[#This Row],[Isin]]&amp;1&amp;2018,#REF!,Tableau3[Résultat Net (PdG)]),"")</f>
        <v/>
      </c>
      <c r="AX14" s="43" t="str">
        <f>IFERROR(_xlfn.XLOOKUP(Tableau1[[#This Row],[Isin]]&amp;1&amp;2017,#REF!,Tableau3[Résultat Net (PdG)]),"")</f>
        <v/>
      </c>
      <c r="AY14" s="43" t="str">
        <f>IFERROR(_xlfn.XLOOKUP(Tableau1[[#This Row],[Isin]]&amp;1&amp;2016,#REF!,Tableau3[Résultat Net (PdG)]),"")</f>
        <v/>
      </c>
      <c r="AZ14" s="137" t="str">
        <f ca="1">IFERROR(Tableau1[[#This Row],[Capitalisation boursière]]/Tableau1[[#This Row],[RN Groupe 2023]],"")</f>
        <v/>
      </c>
      <c r="BA14" s="4" t="str" cm="1">
        <f t="array" aca="1" ref="BA14" ca="1">IFERROR(_FV(Tableau1[[#This Row],[Code Excel]],"Industrie"),"")</f>
        <v>Pharmaceuticals</v>
      </c>
      <c r="BB14" s="43" t="s">
        <v>3474</v>
      </c>
      <c r="BC14" s="43" t="str">
        <f>IFERROR(_xlfn.XLOOKUP(Tableau1[[#This Row],[Isin]]&amp;1&amp;2016,#REF!,Tableau3[Capi]),"")</f>
        <v/>
      </c>
      <c r="BD14" s="43" t="str">
        <f>IFERROR(_xlfn.XLOOKUP(Tableau1[[#This Row],[Isin]]&amp;1&amp;2017,#REF!,Tableau3[Capi]),"")</f>
        <v/>
      </c>
      <c r="BE14" s="43" t="str">
        <f>IFERROR(_xlfn.XLOOKUP(Tableau1[[#This Row],[Isin]]&amp;1&amp;2018,#REF!,Tableau3[Capi]),"")</f>
        <v/>
      </c>
      <c r="BF14" s="43" t="str">
        <f>IFERROR(_xlfn.XLOOKUP(Tableau1[[#This Row],[Isin]]&amp;1&amp;2019,#REF!,Tableau3[Capi]),"")</f>
        <v/>
      </c>
      <c r="BG14" s="43" t="str">
        <f>IFERROR(_xlfn.XLOOKUP(Tableau1[[#This Row],[Isin]]&amp;1&amp;2020,#REF!,Tableau3[Capi]),"")</f>
        <v/>
      </c>
      <c r="BH14" s="43">
        <f>IF(IFERROR(_xlfn.XLOOKUP(Tableau1[[#This Row],[Isin]]&amp;1&amp;2021,#REF!,Tableau3[Capi]),"")="",Tableau1[[#This Row],[Capitalisation 2021
Manuel]],IFERROR(_xlfn.XLOOKUP(Tableau1[[#This Row],[Isin]]&amp;1&amp;2021,#REF!,Tableau3[Capi]),""))</f>
        <v>0</v>
      </c>
      <c r="BI14" s="43"/>
      <c r="BJ14" s="43">
        <f>IF(IFERROR(_xlfn.XLOOKUP(Tableau1[[#This Row],[Isin]]&amp;1&amp;2022,#REF!,Tableau3[Capi]),"")="",Tableau1[[#This Row],[Capitalisation 2022
Manuel]],IFERROR(_xlfn.XLOOKUP(Tableau1[[#This Row],[Isin]]&amp;1&amp;2022,#REF!,Tableau3[Capi]),""))</f>
        <v>0</v>
      </c>
      <c r="BK14" s="43"/>
      <c r="BL14" s="43">
        <f ca="1">Tableau1[[#This Row],[Capitalisation boursière]]</f>
        <v>368672704980</v>
      </c>
      <c r="BM14" s="162" t="str" cm="1">
        <f t="array" aca="1" ref="BM14" ca="1">_FV(Tableau1[[#This Row],[Code Excel]],"Description")</f>
        <v>AbbVie Inc. est une société biopharmaceutique diversifiée axée sur la recherche. La Société est engagée dans la recherche et le développement, la fabrication, la commercialisation et la vente de médicaments et de thérapies. Elle propose des produits dans les catégories thérapeutiques, y compris les produits immunologiques, qui comprennent Humira, Skyrizi et Rinvoq ; produits oncologiques, qui comprennent Imbruvica, Venclexta/Venclyxto, Epkinly et Elahere ; produits esthétiques, qui comprennent Botox Cosmetic, la Collection Juvederm de remplisseurs et autres ; produits neuroscientifiques, qui comprennent Botox Therapeutic, Vraylar, Duopa et Duodopa, Ubrelvy et Qulipta ; produits de soins oculaires, qui se compose d'Ozurdex, Lumigan/Ganfort, Alphagan/Combigan, Restasis et d'autres soins oculaires, et d'autres produits clés, qui comprennent Mavyret/Maviret, Creon, Lupron, Linzess/Constella et Synthroid. Ses produits sont vendus à des grossistes, des distributeurs, des organismes gouvernementaux, des établissements de soins de santé, des pharmacies spécialisées et des détaillants indépendants.</v>
      </c>
      <c r="BN14" s="43"/>
      <c r="BO14" s="43"/>
      <c r="BP14" s="43"/>
      <c r="BQ14" s="43"/>
      <c r="BR14" s="4"/>
      <c r="BS14" s="21"/>
      <c r="BT14" s="13" t="s">
        <v>2943</v>
      </c>
      <c r="BU14" s="13">
        <v>1</v>
      </c>
      <c r="BV14" s="13"/>
      <c r="BW14" s="3" t="s">
        <v>1591</v>
      </c>
      <c r="BX14" s="3"/>
      <c r="BY14" s="13" t="s">
        <v>1591</v>
      </c>
      <c r="BZ14" s="47">
        <v>0.04</v>
      </c>
      <c r="CA14" s="47">
        <v>0.04</v>
      </c>
      <c r="CB14" s="6" t="s">
        <v>4317</v>
      </c>
      <c r="CC14" s="25">
        <v>8096000000</v>
      </c>
      <c r="CD14" s="25">
        <f>'Base de données'!Q2259</f>
        <v>112856295928.16</v>
      </c>
      <c r="CE14" s="35">
        <f t="shared" si="0"/>
        <v>7.1737247208198324E-2</v>
      </c>
    </row>
    <row r="15" spans="3:83">
      <c r="C15" s="43"/>
      <c r="D15" s="42">
        <f>IF(Tableau1[[#This Row],[Isin]]="",99,Tableau1[[#This Row],[Intérêt]]+Tableau1[[#This Row],[Valeur d''intérêt]]+Tableau1[[#This Row],[N° Portefeuille]])</f>
        <v>30</v>
      </c>
      <c r="E15" s="43"/>
      <c r="F15" s="42">
        <f>IF(Tableau1[[#This Row],[Portefeuille]]="p",0,Tableau1[[#This Row],[F. Investissement
Niveau d''intérêt]]*10)</f>
        <v>30</v>
      </c>
      <c r="G15" s="43">
        <f>IF(Tableau1[[#This Row],[Portefeuille]]="p",3,0)</f>
        <v>0</v>
      </c>
      <c r="H15" s="42">
        <v>3</v>
      </c>
      <c r="I15" s="42">
        <v>4</v>
      </c>
      <c r="J15" s="43"/>
      <c r="K15" s="43"/>
      <c r="L15" s="16">
        <v>1</v>
      </c>
      <c r="M1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 s="44" t="s">
        <v>2007</v>
      </c>
      <c r="O15" s="44" t="s">
        <v>2008</v>
      </c>
      <c r="P15" s="4" t="s">
        <v>84</v>
      </c>
      <c r="Q15" s="6" t="s">
        <v>85</v>
      </c>
      <c r="R15" s="6"/>
      <c r="S15" s="6" t="s">
        <v>2010</v>
      </c>
      <c r="T15" s="6" t="e" vm="6">
        <v>#VALUE!</v>
      </c>
      <c r="U15" s="46" cm="1">
        <f t="array" aca="1" ref="U15" ca="1">IFERROR(_FV(Tableau1[[#This Row],[Code Excel]],"Capitalisation boursière",TRUE),"")</f>
        <v>10401540000</v>
      </c>
      <c r="V15" s="4" t="str" cm="1">
        <f t="array" aca="1" ref="V15" ca="1">IFERROR(_FV(Tableau1[[#This Row],[Code Excel]],"Industrie"),"")</f>
        <v>Hotels &amp; Entertainment Services</v>
      </c>
      <c r="W15" s="4" t="str" cm="1">
        <f t="array" aca="1" ref="W15" ca="1">IFERROR(_FV(Tableau1[[#This Row],[Code Excel]],"Industrie"),"")</f>
        <v>Hotels &amp; Entertainment Services</v>
      </c>
      <c r="X15" s="4" t="str">
        <f ca="1">Tableau1[[#This Row],[Grand Secteur]]&amp;Tableau1[[#This Row],[Industrie]]</f>
        <v>Hotels &amp; Entertainment ServicesHotels &amp; Entertainment Services</v>
      </c>
      <c r="Y15" s="23" cm="1">
        <f t="array" aca="1" ref="Y15" ca="1">IFERROR(_FV(Tableau1[[#This Row],[Code Excel]],"P/E",TRUE),"")</f>
        <v>18.312100000000001</v>
      </c>
      <c r="Z15" s="43" cm="1">
        <f t="array" aca="1" ref="Z15" ca="1">IFERROR(_FV(Tableau1[[#This Row],[Code Excel]],"Employés"),"")</f>
        <v>19423</v>
      </c>
      <c r="AA15" s="49">
        <f ca="1">IFERROR(Tableau1[[#This Row],[Capitalisation boursière]]/Tableau1[[#This Row],[Employés]],"")</f>
        <v>535526.95258199039</v>
      </c>
      <c r="AB15" s="5" t="str">
        <f>IFERROR(Tableau1[[#This Row],[REX (2021)]]/Tableau1[[#This Row],[CA 2024]],"")</f>
        <v/>
      </c>
      <c r="AC15" s="9" t="str">
        <f>IFERROR(_xlfn.XLOOKUP(Tableau1[[#This Row],[Isin]]&amp;1&amp;2021,#REF!,Tableau3[Résultat d''exploitation]),"")</f>
        <v/>
      </c>
      <c r="AD15" s="9" t="str">
        <f>IFERROR(_xlfn.XLOOKUP(Tableau1[[#This Row],[Isin]]&amp;1&amp;2019,#REF!,Tableau3[Chiffre d''affaires]),"")</f>
        <v/>
      </c>
      <c r="AE15" s="9" t="str">
        <f>IFERROR(_xlfn.XLOOKUP(Tableau1[[#This Row],[Isin]]&amp;1&amp;2024,#REF!,Tableau3[Chiffre d''affaires]),"")</f>
        <v/>
      </c>
      <c r="AF15" s="8" t="str">
        <f>IFERROR(IF((Tableau1[[#This Row],[CA 2024]]-Tableau1[[#This Row],[CA 2019]])/Tableau1[[#This Row],[CA 2019]]=-1,"",(Tableau1[[#This Row],[CA 2024]]-Tableau1[[#This Row],[CA 2019]])/Tableau1[[#This Row],[CA 2019]]),"")</f>
        <v/>
      </c>
      <c r="AG15" s="9" t="str">
        <f>IFERROR(_xlfn.XLOOKUP(Tableau1[[#This Row],[Isin]]&amp;1&amp;2021,#REF!,Tableau3[EBE]),"")</f>
        <v/>
      </c>
      <c r="AH15" s="9" t="str">
        <f>IFERROR(_xlfn.XLOOKUP(Tableau1[[#This Row],[Isin]]&amp;1&amp;2022,#REF!,Tableau3[EBE]),"")</f>
        <v/>
      </c>
      <c r="AI15" s="43" t="s">
        <v>3419</v>
      </c>
      <c r="AJ15" s="43" t="s">
        <v>4326</v>
      </c>
      <c r="AK15" s="43" t="s">
        <v>4327</v>
      </c>
      <c r="AL15" s="43" t="s">
        <v>3419</v>
      </c>
      <c r="AM15" s="43"/>
      <c r="AN15" s="9" t="str">
        <f>IFERROR(_xlfn.XLOOKUP(Tableau1[[#This Row],[Isin]]&amp;1&amp;2021,#REF!,Tableau3[Chiffre d''affaires]),"")</f>
        <v/>
      </c>
      <c r="AO15" s="43" cm="1">
        <f t="array" aca="1" ref="AO15" ca="1">_FV(Tableau1[[#This Row],[Code Excel]],"P/E",TRUE)</f>
        <v>18.312100000000001</v>
      </c>
      <c r="AP15" s="43" t="str">
        <f>IFERROR(_xlfn.XLOOKUP(Tableau1[[#This Row],[Isin]]&amp;1&amp;2023,#REF!,Tableau3[Résultat Net (PdG)]),"")</f>
        <v/>
      </c>
      <c r="AQ15" s="43">
        <f>IF(IFERROR(_xlfn.XLOOKUP(Tableau1[[#This Row],[Isin]]&amp;1&amp;2022,#REF!,Tableau3[Résultat Net (PdG)]),"")="",Tableau1[[#This Row],[RN Groupe 2022
Manuel]],IFERROR(_xlfn.XLOOKUP(Tableau1[[#This Row],[Isin]]&amp;1&amp;2022,#REF!,Tableau3[Résultat Net (PdG)]),""))</f>
        <v>0</v>
      </c>
      <c r="AR15" s="43"/>
      <c r="AS15" s="43">
        <f>IF(IFERROR(_xlfn.XLOOKUP(Tableau1[[#This Row],[Isin]]&amp;1&amp;2021,#REF!,Tableau3[Résultat Net (PdG)]),"")="",Tableau1[[#This Row],[RN Groupe 2021
Manuel]],IFERROR(_xlfn.XLOOKUP(Tableau1[[#This Row],[Isin]]&amp;1&amp;2021,#REF!,Tableau3[Résultat Net (PdG)]),""))</f>
        <v>0</v>
      </c>
      <c r="AT15" s="43"/>
      <c r="AU15" s="43" t="str">
        <f>IFERROR(_xlfn.XLOOKUP(Tableau1[[#This Row],[Isin]]&amp;1&amp;2020,#REF!,Tableau3[Résultat Net (PdG)]),"")</f>
        <v/>
      </c>
      <c r="AV15" s="43" t="str">
        <f>IFERROR(_xlfn.XLOOKUP(Tableau1[[#This Row],[Isin]]&amp;1&amp;2019,#REF!,Tableau3[Résultat Net (PdG)]),"")</f>
        <v/>
      </c>
      <c r="AW15" s="43" t="str">
        <f>IFERROR(_xlfn.XLOOKUP(Tableau1[[#This Row],[Isin]]&amp;1&amp;2018,#REF!,Tableau3[Résultat Net (PdG)]),"")</f>
        <v/>
      </c>
      <c r="AX15" s="43" t="str">
        <f>IFERROR(_xlfn.XLOOKUP(Tableau1[[#This Row],[Isin]]&amp;1&amp;2017,#REF!,Tableau3[Résultat Net (PdG)]),"")</f>
        <v/>
      </c>
      <c r="AY15" s="43" t="str">
        <f>IFERROR(_xlfn.XLOOKUP(Tableau1[[#This Row],[Isin]]&amp;1&amp;2016,#REF!,Tableau3[Résultat Net (PdG)]),"")</f>
        <v/>
      </c>
      <c r="AZ15" s="137" t="str">
        <f ca="1">IFERROR(Tableau1[[#This Row],[Capitalisation boursière]]/Tableau1[[#This Row],[RN Groupe 2023]],"")</f>
        <v/>
      </c>
      <c r="BA15" s="4" t="str" cm="1">
        <f t="array" aca="1" ref="BA15" ca="1">IFERROR(_FV(Tableau1[[#This Row],[Code Excel]],"Industrie"),"")</f>
        <v>Hotels &amp; Entertainment Services</v>
      </c>
      <c r="BB15" s="43" t="s">
        <v>3477</v>
      </c>
      <c r="BC15" s="43" t="str">
        <f>IFERROR(_xlfn.XLOOKUP(Tableau1[[#This Row],[Isin]]&amp;1&amp;2016,#REF!,Tableau3[Capi]),"")</f>
        <v/>
      </c>
      <c r="BD15" s="43" t="str">
        <f>IFERROR(_xlfn.XLOOKUP(Tableau1[[#This Row],[Isin]]&amp;1&amp;2017,#REF!,Tableau3[Capi]),"")</f>
        <v/>
      </c>
      <c r="BE15" s="43" t="str">
        <f>IFERROR(_xlfn.XLOOKUP(Tableau1[[#This Row],[Isin]]&amp;1&amp;2018,#REF!,Tableau3[Capi]),"")</f>
        <v/>
      </c>
      <c r="BF15" s="43" t="str">
        <f>IFERROR(_xlfn.XLOOKUP(Tableau1[[#This Row],[Isin]]&amp;1&amp;2019,#REF!,Tableau3[Capi]),"")</f>
        <v/>
      </c>
      <c r="BG15" s="43" t="str">
        <f>IFERROR(_xlfn.XLOOKUP(Tableau1[[#This Row],[Isin]]&amp;1&amp;2020,#REF!,Tableau3[Capi]),"")</f>
        <v/>
      </c>
      <c r="BH15" s="43">
        <f>IF(IFERROR(_xlfn.XLOOKUP(Tableau1[[#This Row],[Isin]]&amp;1&amp;2021,#REF!,Tableau3[Capi]),"")="",Tableau1[[#This Row],[Capitalisation 2021
Manuel]],IFERROR(_xlfn.XLOOKUP(Tableau1[[#This Row],[Isin]]&amp;1&amp;2021,#REF!,Tableau3[Capi]),""))</f>
        <v>0</v>
      </c>
      <c r="BI15" s="43"/>
      <c r="BJ15" s="43">
        <f>IF(IFERROR(_xlfn.XLOOKUP(Tableau1[[#This Row],[Isin]]&amp;1&amp;2022,#REF!,Tableau3[Capi]),"")="",Tableau1[[#This Row],[Capitalisation 2022
Manuel]],IFERROR(_xlfn.XLOOKUP(Tableau1[[#This Row],[Isin]]&amp;1&amp;2022,#REF!,Tableau3[Capi]),""))</f>
        <v>0</v>
      </c>
      <c r="BK15" s="43"/>
      <c r="BL15" s="43">
        <f ca="1">Tableau1[[#This Row],[Capitalisation boursière]]</f>
        <v>10401540000</v>
      </c>
      <c r="BM15" s="162" t="str" cm="1">
        <f t="array" aca="1" ref="BM15" ca="1">_FV(Tableau1[[#This Row],[Code Excel]],"Description")</f>
        <v>Accor sa est un groupe hôtelier basé en France. Elle opère à travers deux divisions : services hôteliers - exploitation d'hôtels sous contrats de gestion, services hôteliers couvre les activités de gestion hôtelière et franchisée fournissant divers services à ses franchisés et hôtels sous gestion, tels que l'utilisation de ses marques, accès au système centralisé de réservation et d'achat et à Accor Academie pour la formation des employés, entre autres. la gestion des hôtels détenus et loués comprend les activités de location d'hôtels, telles que la conception, la construction, la rénovation et l'entretien d'hôtels, entre autres. La Société offre également des solutions numériques aux hôtels indépendants et aux restaurateurs, des services de réservation d'hôtels pour les entreprises et les agences de voyages, des services de conciergerie, des ventes numériques de chambres et de séjours d'hôtel de luxe et haut de gamme et des locations de maisons de luxe possédant un portefeuille d'environ 5 000 adresses dans le monde entier. Elle opère dans le monde entier en détenant plus de 35 marques.</v>
      </c>
      <c r="BN15" s="43"/>
      <c r="BO15" s="43"/>
      <c r="BP15" s="43"/>
      <c r="BQ15" s="43"/>
      <c r="BR15" s="4"/>
      <c r="BS15" s="21"/>
      <c r="BT15" s="13" t="s">
        <v>2770</v>
      </c>
      <c r="BU15" s="13">
        <v>1</v>
      </c>
      <c r="BV15" s="13"/>
      <c r="BW15" s="3" t="s">
        <v>941</v>
      </c>
      <c r="BX15" s="3"/>
      <c r="BY15" s="13" t="s">
        <v>1931</v>
      </c>
      <c r="BZ15" s="47">
        <v>8.3400000000000002E-2</v>
      </c>
      <c r="CA15" s="47" t="s">
        <v>4328</v>
      </c>
      <c r="CB15" s="6" t="s">
        <v>4317</v>
      </c>
      <c r="CC15" s="25">
        <f>'Base de données'!T2757</f>
        <v>725000000</v>
      </c>
      <c r="CD15" s="25">
        <f>'Base de données'!Q2757</f>
        <v>12808699539</v>
      </c>
      <c r="CE15" s="35">
        <f t="shared" si="0"/>
        <v>5.660215526115793E-2</v>
      </c>
    </row>
    <row r="16" spans="3:83" ht="17" thickBot="1">
      <c r="C16" s="42"/>
      <c r="D16" s="42">
        <f>IF(Tableau1[[#This Row],[Isin]]="",99,Tableau1[[#This Row],[Intérêt]]+Tableau1[[#This Row],[Valeur d''intérêt]]+Tableau1[[#This Row],[N° Portefeuille]])</f>
        <v>30</v>
      </c>
      <c r="E16" s="42"/>
      <c r="F16" s="42">
        <f>IF(Tableau1[[#This Row],[Portefeuille]]="p",0,Tableau1[[#This Row],[F. Investissement
Niveau d''intérêt]]*10)</f>
        <v>30</v>
      </c>
      <c r="G16" s="42">
        <f>IF(Tableau1[[#This Row],[Portefeuille]]="p",3,0)</f>
        <v>0</v>
      </c>
      <c r="H16" s="42">
        <v>3</v>
      </c>
      <c r="I16" s="42">
        <v>4</v>
      </c>
      <c r="J16" s="42"/>
      <c r="K16" s="43"/>
      <c r="L16" s="16">
        <v>0</v>
      </c>
      <c r="M1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 s="44" t="s">
        <v>3479</v>
      </c>
      <c r="O16" s="45"/>
      <c r="P16" s="4" t="s">
        <v>452</v>
      </c>
      <c r="Q16" s="4"/>
      <c r="R16" s="6"/>
      <c r="S16" s="6" t="s">
        <v>3480</v>
      </c>
      <c r="T16" s="6" t="e" vm="7">
        <v>#VALUE!</v>
      </c>
      <c r="U16" s="46" cm="1">
        <f t="array" aca="1" ref="U16" ca="1">IFERROR(_FV(Tableau1[[#This Row],[Code Excel]],"Capitalisation boursière",TRUE),"")</f>
        <v>6764181000</v>
      </c>
      <c r="V16" s="4" t="str" cm="1">
        <f t="array" aca="1" ref="V16" ca="1">IFERROR(_FV(Tableau1[[#This Row],[Code Excel]],"Industrie"),"")</f>
        <v>Construction &amp; Engineering</v>
      </c>
      <c r="W16" s="4" t="s">
        <v>2188</v>
      </c>
      <c r="X16" s="4" t="str">
        <f ca="1">Tableau1[[#This Row],[Grand Secteur]]&amp;Tableau1[[#This Row],[Industrie]]</f>
        <v>HoldingConstruction &amp; Engineering</v>
      </c>
      <c r="Y16" s="23" cm="1">
        <f t="array" aca="1" ref="Y16" ca="1">IFERROR(_FV(Tableau1[[#This Row],[Code Excel]],"P/E",TRUE),"")</f>
        <v>14.498900000000001</v>
      </c>
      <c r="Z16" s="43" cm="1">
        <f t="array" aca="1" ref="Z16" ca="1">IFERROR(_FV(Tableau1[[#This Row],[Code Excel]],"Employés"),"")</f>
        <v>9615</v>
      </c>
      <c r="AA16" s="46">
        <f ca="1">IFERROR(Tableau1[[#This Row],[Capitalisation boursière]]/Tableau1[[#This Row],[Employés]],"")</f>
        <v>703502.96411856473</v>
      </c>
      <c r="AB16" s="5" t="str">
        <f>IFERROR(Tableau1[[#This Row],[REX (2021)]]/Tableau1[[#This Row],[CA 2024]],"")</f>
        <v/>
      </c>
      <c r="AC16" s="9" t="str">
        <f>IFERROR(_xlfn.XLOOKUP(Tableau1[[#This Row],[Isin]]&amp;1&amp;2021,#REF!,Tableau3[Résultat d''exploitation]),"")</f>
        <v/>
      </c>
      <c r="AD16" s="9" t="str">
        <f>IFERROR(_xlfn.XLOOKUP(Tableau1[[#This Row],[Isin]]&amp;1&amp;2019,#REF!,Tableau3[Chiffre d''affaires]),"")</f>
        <v/>
      </c>
      <c r="AE16" s="9" t="str">
        <f>IFERROR(_xlfn.XLOOKUP(Tableau1[[#This Row],[Isin]]&amp;1&amp;2024,#REF!,Tableau3[Chiffre d''affaires]),"")</f>
        <v/>
      </c>
      <c r="AF16" s="8" t="str">
        <f>IFERROR(IF((Tableau1[[#This Row],[CA 2024]]-Tableau1[[#This Row],[CA 2019]])/Tableau1[[#This Row],[CA 2019]]=-1,"",(Tableau1[[#This Row],[CA 2024]]-Tableau1[[#This Row],[CA 2019]])/Tableau1[[#This Row],[CA 2019]]),"")</f>
        <v/>
      </c>
      <c r="AG16" s="9" t="str">
        <f>IFERROR(_xlfn.XLOOKUP(Tableau1[[#This Row],[Isin]]&amp;1&amp;2021,#REF!,Tableau3[EBE]),"")</f>
        <v/>
      </c>
      <c r="AH16" s="9" t="str">
        <f>IFERROR(_xlfn.XLOOKUP(Tableau1[[#This Row],[Isin]]&amp;1&amp;2022,#REF!,Tableau3[EBE]),"")</f>
        <v/>
      </c>
      <c r="AI16" s="43" t="s">
        <v>4329</v>
      </c>
      <c r="AJ16" s="43" t="s">
        <v>4330</v>
      </c>
      <c r="AK16" s="43" t="s">
        <v>3419</v>
      </c>
      <c r="AL16" s="43"/>
      <c r="AM16" s="43"/>
      <c r="AN16" s="9" t="str">
        <f>IFERROR(_xlfn.XLOOKUP(Tableau1[[#This Row],[Isin]]&amp;1&amp;2021,#REF!,Tableau3[Chiffre d''affaires]),"")</f>
        <v/>
      </c>
      <c r="AO16" s="43" cm="1">
        <f t="array" aca="1" ref="AO16" ca="1">_FV(Tableau1[[#This Row],[Code Excel]],"P/E",TRUE)</f>
        <v>14.498900000000001</v>
      </c>
      <c r="AP16" s="43" t="str">
        <f>IFERROR(_xlfn.XLOOKUP(Tableau1[[#This Row],[Isin]]&amp;1&amp;2023,#REF!,Tableau3[Résultat Net (PdG)]),"")</f>
        <v/>
      </c>
      <c r="AQ16" s="43">
        <f>IF(IFERROR(_xlfn.XLOOKUP(Tableau1[[#This Row],[Isin]]&amp;1&amp;2022,#REF!,Tableau3[Résultat Net (PdG)]),"")="",Tableau1[[#This Row],[RN Groupe 2022
Manuel]],IFERROR(_xlfn.XLOOKUP(Tableau1[[#This Row],[Isin]]&amp;1&amp;2022,#REF!,Tableau3[Résultat Net (PdG)]),""))</f>
        <v>0</v>
      </c>
      <c r="AR16" s="43"/>
      <c r="AS16" s="43">
        <f>IF(IFERROR(_xlfn.XLOOKUP(Tableau1[[#This Row],[Isin]]&amp;1&amp;2021,#REF!,Tableau3[Résultat Net (PdG)]),"")="",Tableau1[[#This Row],[RN Groupe 2021
Manuel]],IFERROR(_xlfn.XLOOKUP(Tableau1[[#This Row],[Isin]]&amp;1&amp;2021,#REF!,Tableau3[Résultat Net (PdG)]),""))</f>
        <v>0</v>
      </c>
      <c r="AT16" s="43"/>
      <c r="AU16" s="43" t="str">
        <f>IFERROR(_xlfn.XLOOKUP(Tableau1[[#This Row],[Isin]]&amp;1&amp;2020,#REF!,Tableau3[Résultat Net (PdG)]),"")</f>
        <v/>
      </c>
      <c r="AV16" s="43" t="str">
        <f>IFERROR(_xlfn.XLOOKUP(Tableau1[[#This Row],[Isin]]&amp;1&amp;2019,#REF!,Tableau3[Résultat Net (PdG)]),"")</f>
        <v/>
      </c>
      <c r="AW16" s="43" t="str">
        <f>IFERROR(_xlfn.XLOOKUP(Tableau1[[#This Row],[Isin]]&amp;1&amp;2018,#REF!,Tableau3[Résultat Net (PdG)]),"")</f>
        <v/>
      </c>
      <c r="AX16" s="43" t="str">
        <f>IFERROR(_xlfn.XLOOKUP(Tableau1[[#This Row],[Isin]]&amp;1&amp;2017,#REF!,Tableau3[Résultat Net (PdG)]),"")</f>
        <v/>
      </c>
      <c r="AY16" s="43" t="str">
        <f>IFERROR(_xlfn.XLOOKUP(Tableau1[[#This Row],[Isin]]&amp;1&amp;2016,#REF!,Tableau3[Résultat Net (PdG)]),"")</f>
        <v/>
      </c>
      <c r="AZ16" s="137" t="str">
        <f ca="1">IFERROR(Tableau1[[#This Row],[Capitalisation boursière]]/Tableau1[[#This Row],[RN Groupe 2023]],"")</f>
        <v/>
      </c>
      <c r="BA16" s="4" t="str" cm="1">
        <f t="array" aca="1" ref="BA16" ca="1">IFERROR(_FV(Tableau1[[#This Row],[Code Excel]],"Industrie"),"")</f>
        <v>Construction &amp; Engineering</v>
      </c>
      <c r="BB16" s="43" t="s">
        <v>3482</v>
      </c>
      <c r="BC16" s="43" t="str">
        <f>IFERROR(_xlfn.XLOOKUP(Tableau1[[#This Row],[Isin]]&amp;1&amp;2016,#REF!,Tableau3[Capi]),"")</f>
        <v/>
      </c>
      <c r="BD16" s="43" t="str">
        <f>IFERROR(_xlfn.XLOOKUP(Tableau1[[#This Row],[Isin]]&amp;1&amp;2017,#REF!,Tableau3[Capi]),"")</f>
        <v/>
      </c>
      <c r="BE16" s="43" t="str">
        <f>IFERROR(_xlfn.XLOOKUP(Tableau1[[#This Row],[Isin]]&amp;1&amp;2018,#REF!,Tableau3[Capi]),"")</f>
        <v/>
      </c>
      <c r="BF16" s="43" t="str">
        <f>IFERROR(_xlfn.XLOOKUP(Tableau1[[#This Row],[Isin]]&amp;1&amp;2019,#REF!,Tableau3[Capi]),"")</f>
        <v/>
      </c>
      <c r="BG16" s="43" t="str">
        <f>IFERROR(_xlfn.XLOOKUP(Tableau1[[#This Row],[Isin]]&amp;1&amp;2020,#REF!,Tableau3[Capi]),"")</f>
        <v/>
      </c>
      <c r="BH16" s="43">
        <f>IF(IFERROR(_xlfn.XLOOKUP(Tableau1[[#This Row],[Isin]]&amp;1&amp;2021,#REF!,Tableau3[Capi]),"")="",Tableau1[[#This Row],[Capitalisation 2021
Manuel]],IFERROR(_xlfn.XLOOKUP(Tableau1[[#This Row],[Isin]]&amp;1&amp;2021,#REF!,Tableau3[Capi]),""))</f>
        <v>0</v>
      </c>
      <c r="BI16" s="43"/>
      <c r="BJ16" s="43">
        <f>IF(IFERROR(_xlfn.XLOOKUP(Tableau1[[#This Row],[Isin]]&amp;1&amp;2022,#REF!,Tableau3[Capi]),"")="",Tableau1[[#This Row],[Capitalisation 2022
Manuel]],IFERROR(_xlfn.XLOOKUP(Tableau1[[#This Row],[Isin]]&amp;1&amp;2022,#REF!,Tableau3[Capi]),""))</f>
        <v>0</v>
      </c>
      <c r="BK16" s="43"/>
      <c r="BL16" s="43">
        <f ca="1">Tableau1[[#This Row],[Capitalisation boursière]]</f>
        <v>6764181000</v>
      </c>
      <c r="BM16" s="162" t="str" cm="1">
        <f t="array" aca="1" ref="BM16" ca="1">_FV(Tableau1[[#This Row],[Code Excel]],"Description")</f>
        <v>Ackermans &amp; Van Haaren NV est un groupe indépendant et diversifié basé en Belgique, actif dans différents secteurs en investissant dans des sociétés basées sur des partenariats à long terme. Elle opère dans cinq secteurs Marine Engineering &amp; Contracting, Private Banking, Real Estate &amp; Senior Care, Energy &amp; Resources et Growth Capital. Les activités Marine Engineering &amp; Contracting vont du dragage à la construction (marine) en passant par les énergies renouvelables et les minéraux des grands fonds marins. Private Banking est principalement active dans la gestion discrétionnaire d'actifs, avec un accent particulier sur les entrepreneurs et les professions libérales. Ses activités Real Estate &amp; Senior Care vont du développement et de la gestion de biens immobiliers aux personnes âgées et aux soins de santé. Energy &amp; Resources met l'accent sur l'agriculture tropicale durable. Le segment Capital de croissance fournit du capital de développement à des entreprises contrôlées par des familles ayant une position concurrentielle et un fort potentiel de croissance.</v>
      </c>
      <c r="BN16" s="43"/>
      <c r="BO16" s="43"/>
      <c r="BP16" s="43"/>
      <c r="BQ16" s="43"/>
      <c r="BR16" s="4"/>
      <c r="BS16" s="21"/>
      <c r="BT16" s="13" t="s">
        <v>1644</v>
      </c>
      <c r="BU16" s="38">
        <v>1</v>
      </c>
      <c r="BV16" s="13"/>
      <c r="BW16" s="3" t="s">
        <v>2149</v>
      </c>
      <c r="BX16" s="3"/>
      <c r="BY16" s="3" t="s">
        <v>97</v>
      </c>
      <c r="BZ16" s="47">
        <v>0.3</v>
      </c>
      <c r="CA16" s="47">
        <v>0.12</v>
      </c>
      <c r="CB16" s="50" t="s">
        <v>4323</v>
      </c>
      <c r="CC16" s="25">
        <v>1000000000</v>
      </c>
      <c r="CD16" s="25">
        <f>'Base de données'!Q61</f>
        <v>14464668466</v>
      </c>
      <c r="CE16" s="35">
        <f t="shared" si="0"/>
        <v>6.9133973056524259E-2</v>
      </c>
    </row>
    <row r="17" spans="3:83" ht="17" thickTop="1">
      <c r="C17" s="43"/>
      <c r="D17" s="42">
        <f>IF(Tableau1[[#This Row],[Isin]]="",99,Tableau1[[#This Row],[Intérêt]]+Tableau1[[#This Row],[Valeur d''intérêt]]+Tableau1[[#This Row],[N° Portefeuille]])</f>
        <v>30</v>
      </c>
      <c r="E17" s="43"/>
      <c r="F17" s="42">
        <f>IF(Tableau1[[#This Row],[Portefeuille]]="p",0,Tableau1[[#This Row],[F. Investissement
Niveau d''intérêt]]*10)</f>
        <v>30</v>
      </c>
      <c r="G17" s="43">
        <f>IF(Tableau1[[#This Row],[Portefeuille]]="p",3,0)</f>
        <v>0</v>
      </c>
      <c r="H17" s="43">
        <v>3</v>
      </c>
      <c r="I17" s="43">
        <v>3</v>
      </c>
      <c r="J17" s="43"/>
      <c r="K17" s="43"/>
      <c r="L17" s="16">
        <v>0</v>
      </c>
      <c r="M1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 s="44" t="s">
        <v>3484</v>
      </c>
      <c r="O17" s="45"/>
      <c r="P17" s="4" t="s">
        <v>564</v>
      </c>
      <c r="Q17" s="4"/>
      <c r="R17" s="6"/>
      <c r="S17" s="6" t="s">
        <v>3485</v>
      </c>
      <c r="T17" s="6" t="e" vm="8">
        <v>#VALUE!</v>
      </c>
      <c r="U17" s="46" cm="1">
        <f t="array" aca="1" ref="U17" ca="1">IFERROR(_FV(Tableau1[[#This Row],[Code Excel]],"Capitalisation boursière",TRUE),"")</f>
        <v>39942000000</v>
      </c>
      <c r="V17" s="4" t="str" cm="1">
        <f t="array" aca="1" ref="V17" ca="1">IFERROR(_FV(Tableau1[[#This Row],[Code Excel]],"Industrie"),"")</f>
        <v>Textiles &amp; Apparel</v>
      </c>
      <c r="W17" s="4" t="s">
        <v>1315</v>
      </c>
      <c r="X17" s="4" t="str">
        <f ca="1">Tableau1[[#This Row],[Grand Secteur]]&amp;Tableau1[[#This Row],[Industrie]]</f>
        <v>Biens de consommationTextiles &amp; Apparel</v>
      </c>
      <c r="Y17" s="23" cm="1">
        <f t="array" aca="1" ref="Y17" ca="1">IFERROR(_FV(Tableau1[[#This Row],[Code Excel]],"P/E",TRUE),"")</f>
        <v>52.44</v>
      </c>
      <c r="Z17" s="43" cm="1">
        <f t="array" aca="1" ref="Z17" ca="1">IFERROR(_FV(Tableau1[[#This Row],[Code Excel]],"Employés"),"")</f>
        <v>62035</v>
      </c>
      <c r="AA17" s="46">
        <f ca="1">IFERROR(Tableau1[[#This Row],[Capitalisation boursière]]/Tableau1[[#This Row],[Employés]],"")</f>
        <v>643862.33577818971</v>
      </c>
      <c r="AB17" s="5" t="str">
        <f>IFERROR(Tableau1[[#This Row],[REX (2021)]]/Tableau1[[#This Row],[CA 2024]],"")</f>
        <v/>
      </c>
      <c r="AC17" s="9" t="str">
        <f>IFERROR(_xlfn.XLOOKUP(Tableau1[[#This Row],[Isin]]&amp;1&amp;2021,#REF!,Tableau3[Résultat d''exploitation]),"")</f>
        <v/>
      </c>
      <c r="AD17" s="9" t="str">
        <f>IFERROR(_xlfn.XLOOKUP(Tableau1[[#This Row],[Isin]]&amp;1&amp;2019,#REF!,Tableau3[Chiffre d''affaires]),"")</f>
        <v/>
      </c>
      <c r="AE17" s="9" t="str">
        <f>IFERROR(_xlfn.XLOOKUP(Tableau1[[#This Row],[Isin]]&amp;1&amp;2024,#REF!,Tableau3[Chiffre d''affaires]),"")</f>
        <v/>
      </c>
      <c r="AF17" s="8" t="str">
        <f>IFERROR(IF((Tableau1[[#This Row],[CA 2024]]-Tableau1[[#This Row],[CA 2019]])/Tableau1[[#This Row],[CA 2019]]=-1,"",(Tableau1[[#This Row],[CA 2024]]-Tableau1[[#This Row],[CA 2019]])/Tableau1[[#This Row],[CA 2019]]),"")</f>
        <v/>
      </c>
      <c r="AG17" s="9" t="str">
        <f>IFERROR(_xlfn.XLOOKUP(Tableau1[[#This Row],[Isin]]&amp;1&amp;2021,#REF!,Tableau3[EBE]),"")</f>
        <v/>
      </c>
      <c r="AH17" s="9" t="str">
        <f>IFERROR(_xlfn.XLOOKUP(Tableau1[[#This Row],[Isin]]&amp;1&amp;2022,#REF!,Tableau3[EBE]),"")</f>
        <v/>
      </c>
      <c r="AI17" s="43" t="s">
        <v>4329</v>
      </c>
      <c r="AJ17" s="43" t="s">
        <v>4331</v>
      </c>
      <c r="AK17" s="43" t="s">
        <v>3431</v>
      </c>
      <c r="AL17" s="43"/>
      <c r="AM17" s="43"/>
      <c r="AN17" s="9" t="str">
        <f>IFERROR(_xlfn.XLOOKUP(Tableau1[[#This Row],[Isin]]&amp;1&amp;2021,#REF!,Tableau3[Chiffre d''affaires]),"")</f>
        <v/>
      </c>
      <c r="AO17" s="43" cm="1">
        <f t="array" aca="1" ref="AO17" ca="1">_FV(Tableau1[[#This Row],[Code Excel]],"P/E",TRUE)</f>
        <v>52.44</v>
      </c>
      <c r="AP17" s="43" t="str">
        <f>IFERROR(_xlfn.XLOOKUP(Tableau1[[#This Row],[Isin]]&amp;1&amp;2023,#REF!,Tableau3[Résultat Net (PdG)]),"")</f>
        <v/>
      </c>
      <c r="AQ17" s="43">
        <f>IF(IFERROR(_xlfn.XLOOKUP(Tableau1[[#This Row],[Isin]]&amp;1&amp;2022,#REF!,Tableau3[Résultat Net (PdG)]),"")="",Tableau1[[#This Row],[RN Groupe 2022
Manuel]],IFERROR(_xlfn.XLOOKUP(Tableau1[[#This Row],[Isin]]&amp;1&amp;2022,#REF!,Tableau3[Résultat Net (PdG)]),""))</f>
        <v>0</v>
      </c>
      <c r="AR17" s="43"/>
      <c r="AS17" s="43">
        <f>IF(IFERROR(_xlfn.XLOOKUP(Tableau1[[#This Row],[Isin]]&amp;1&amp;2021,#REF!,Tableau3[Résultat Net (PdG)]),"")="",Tableau1[[#This Row],[RN Groupe 2021
Manuel]],IFERROR(_xlfn.XLOOKUP(Tableau1[[#This Row],[Isin]]&amp;1&amp;2021,#REF!,Tableau3[Résultat Net (PdG)]),""))</f>
        <v>0</v>
      </c>
      <c r="AT17" s="43"/>
      <c r="AU17" s="43" t="str">
        <f>IFERROR(_xlfn.XLOOKUP(Tableau1[[#This Row],[Isin]]&amp;1&amp;2020,#REF!,Tableau3[Résultat Net (PdG)]),"")</f>
        <v/>
      </c>
      <c r="AV17" s="43" t="str">
        <f>IFERROR(_xlfn.XLOOKUP(Tableau1[[#This Row],[Isin]]&amp;1&amp;2019,#REF!,Tableau3[Résultat Net (PdG)]),"")</f>
        <v/>
      </c>
      <c r="AW17" s="43" t="str">
        <f>IFERROR(_xlfn.XLOOKUP(Tableau1[[#This Row],[Isin]]&amp;1&amp;2018,#REF!,Tableau3[Résultat Net (PdG)]),"")</f>
        <v/>
      </c>
      <c r="AX17" s="43" t="str">
        <f>IFERROR(_xlfn.XLOOKUP(Tableau1[[#This Row],[Isin]]&amp;1&amp;2017,#REF!,Tableau3[Résultat Net (PdG)]),"")</f>
        <v/>
      </c>
      <c r="AY17" s="43" t="str">
        <f>IFERROR(_xlfn.XLOOKUP(Tableau1[[#This Row],[Isin]]&amp;1&amp;2016,#REF!,Tableau3[Résultat Net (PdG)]),"")</f>
        <v/>
      </c>
      <c r="AZ17" s="137" t="str">
        <f ca="1">IFERROR(Tableau1[[#This Row],[Capitalisation boursière]]/Tableau1[[#This Row],[RN Groupe 2023]],"")</f>
        <v/>
      </c>
      <c r="BA17" s="4" t="str" cm="1">
        <f t="array" aca="1" ref="BA17" ca="1">IFERROR(_FV(Tableau1[[#This Row],[Code Excel]],"Industrie"),"")</f>
        <v>Textiles &amp; Apparel</v>
      </c>
      <c r="BB17" s="43" t="s">
        <v>3487</v>
      </c>
      <c r="BC17" s="43" t="str">
        <f>IFERROR(_xlfn.XLOOKUP(Tableau1[[#This Row],[Isin]]&amp;1&amp;2016,#REF!,Tableau3[Capi]),"")</f>
        <v/>
      </c>
      <c r="BD17" s="43" t="str">
        <f>IFERROR(_xlfn.XLOOKUP(Tableau1[[#This Row],[Isin]]&amp;1&amp;2017,#REF!,Tableau3[Capi]),"")</f>
        <v/>
      </c>
      <c r="BE17" s="43" t="str">
        <f>IFERROR(_xlfn.XLOOKUP(Tableau1[[#This Row],[Isin]]&amp;1&amp;2018,#REF!,Tableau3[Capi]),"")</f>
        <v/>
      </c>
      <c r="BF17" s="43" t="str">
        <f>IFERROR(_xlfn.XLOOKUP(Tableau1[[#This Row],[Isin]]&amp;1&amp;2019,#REF!,Tableau3[Capi]),"")</f>
        <v/>
      </c>
      <c r="BG17" s="43" t="str">
        <f>IFERROR(_xlfn.XLOOKUP(Tableau1[[#This Row],[Isin]]&amp;1&amp;2020,#REF!,Tableau3[Capi]),"")</f>
        <v/>
      </c>
      <c r="BH17" s="43">
        <f>IF(IFERROR(_xlfn.XLOOKUP(Tableau1[[#This Row],[Isin]]&amp;1&amp;2021,#REF!,Tableau3[Capi]),"")="",Tableau1[[#This Row],[Capitalisation 2021
Manuel]],IFERROR(_xlfn.XLOOKUP(Tableau1[[#This Row],[Isin]]&amp;1&amp;2021,#REF!,Tableau3[Capi]),""))</f>
        <v>0</v>
      </c>
      <c r="BI17" s="43"/>
      <c r="BJ17" s="43">
        <f>IF(IFERROR(_xlfn.XLOOKUP(Tableau1[[#This Row],[Isin]]&amp;1&amp;2022,#REF!,Tableau3[Capi]),"")="",Tableau1[[#This Row],[Capitalisation 2022
Manuel]],IFERROR(_xlfn.XLOOKUP(Tableau1[[#This Row],[Isin]]&amp;1&amp;2022,#REF!,Tableau3[Capi]),""))</f>
        <v>0</v>
      </c>
      <c r="BK17" s="43"/>
      <c r="BL17" s="43">
        <f ca="1">Tableau1[[#This Row],[Capitalisation boursière]]</f>
        <v>39942000000</v>
      </c>
      <c r="BM17" s="162" t="str" cm="1">
        <f t="array" aca="1" ref="BM17" ca="1">_FV(Tableau1[[#This Row],[Code Excel]],"Description")</f>
        <v>Adidas AG est une entreprise allemande qui conçoit, développe, produit et commercialise une gamme de produits sportifs et sportifs. Les segments de la Société comprennent l'Europe, l'Amérique du Nord, l'Asie-Pacifique, la Russie/CEI et l'Amérique latine; marchés émergents, Adidas Golf, Runtastic et autres entreprises gérées de manière centralisée. Son secteur comprend les activités de gros, de détail et de commerce électronique liées à la distribution et à la vente de produits de la marque Adidas aux clients de détail et aux consommateurs finaux. La Société possède plus de 2 500 magasins de détail, magasins franchisés monomarques, boutiques-in-shops, coentreprises avec des partenaires de vente au détail et des magasins comarqués, et un canal de commerce électronique, qui est disponible pour les clients dans plus de 50 pays. Les produits de marque adidas comprennent les chaussures, les vêtements et la quincaillerie, tels que les sacs et les balles.</v>
      </c>
      <c r="BN17" s="43"/>
      <c r="BO17" s="43"/>
      <c r="BP17" s="43"/>
      <c r="BQ17" s="43"/>
      <c r="BR17" s="4"/>
      <c r="BS17" s="21"/>
      <c r="BT17" s="13"/>
      <c r="BU17" s="13"/>
      <c r="BV17" s="13"/>
      <c r="BW17" s="3" t="s">
        <v>262</v>
      </c>
      <c r="BX17" s="3"/>
      <c r="BY17" s="3" t="s">
        <v>4332</v>
      </c>
      <c r="BZ17" s="47">
        <v>-3.39E-2</v>
      </c>
      <c r="CA17" s="47"/>
      <c r="CC17" s="25"/>
      <c r="CD17" s="25">
        <f>'Base de données'!Q2983</f>
        <v>8537416025.6000004</v>
      </c>
      <c r="CE17" s="35"/>
    </row>
    <row r="18" spans="3:83">
      <c r="C18" s="43"/>
      <c r="D18" s="42">
        <f>IF(Tableau1[[#This Row],[Isin]]="",99,Tableau1[[#This Row],[Intérêt]]+Tableau1[[#This Row],[Valeur d''intérêt]]+Tableau1[[#This Row],[N° Portefeuille]])</f>
        <v>10</v>
      </c>
      <c r="E18" s="43"/>
      <c r="F18" s="42">
        <f>IF(Tableau1[[#This Row],[Portefeuille]]="p",0,Tableau1[[#This Row],[F. Investissement
Niveau d''intérêt]]*10)</f>
        <v>10</v>
      </c>
      <c r="G18" s="43">
        <f>IF(Tableau1[[#This Row],[Portefeuille]]="p",3,0)</f>
        <v>0</v>
      </c>
      <c r="H18" s="42">
        <v>1</v>
      </c>
      <c r="I18" s="43">
        <v>3</v>
      </c>
      <c r="J18" s="43"/>
      <c r="K18" s="43"/>
      <c r="L18" s="16">
        <v>1</v>
      </c>
      <c r="M1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 s="64" t="s">
        <v>3029</v>
      </c>
      <c r="O18" s="68"/>
      <c r="P18" s="4"/>
      <c r="Q18" s="4"/>
      <c r="R18" s="6"/>
      <c r="S18" s="4" t="s">
        <v>4535</v>
      </c>
      <c r="T18" s="6" t="e" vm="9">
        <v>#VALUE!</v>
      </c>
      <c r="U18" s="46" cm="1">
        <f t="array" aca="1" ref="U18" ca="1">IFERROR(_FV(Tableau1[[#This Row],[Code Excel]],"Capitalisation boursière",TRUE),"")</f>
        <v>1779851000</v>
      </c>
      <c r="V18" s="4" t="str" cm="1">
        <f t="array" aca="1" ref="V18" ca="1">IFERROR(_FV(Tableau1[[#This Row],[Code Excel]],"Industrie"),"")</f>
        <v>Chemicals</v>
      </c>
      <c r="X18" s="4" t="str">
        <f ca="1">Tableau1[[#This Row],[Grand Secteur]]&amp;Tableau1[[#This Row],[Industrie]]</f>
        <v>Chemicals</v>
      </c>
      <c r="Y18" s="65" cm="1">
        <f t="array" aca="1" ref="Y18" ca="1">IFERROR(_FV(Tableau1[[#This Row],[Code Excel]],"P/E",TRUE),"")</f>
        <v>19.6892</v>
      </c>
      <c r="Z18" s="43" cm="1">
        <f t="array" aca="1" ref="Z18" ca="1">IFERROR(_FV(Tableau1[[#This Row],[Code Excel]],"Employés"),"")</f>
        <v>2358</v>
      </c>
      <c r="AA18" s="49">
        <f ca="1">IFERROR(Tableau1[[#This Row],[Capitalisation boursière]]/Tableau1[[#This Row],[Employés]],"")</f>
        <v>754813.82527565735</v>
      </c>
      <c r="AB18" s="5" t="str">
        <f>IFERROR(Tableau1[[#This Row],[REX (2021)]]/Tableau1[[#This Row],[CA 2024]],"")</f>
        <v/>
      </c>
      <c r="AC18" s="43" t="str">
        <f>IFERROR(_xlfn.XLOOKUP(Tableau1[[#This Row],[Isin]]&amp;1&amp;2021,#REF!,Tableau3[Résultat d''exploitation]),"")</f>
        <v/>
      </c>
      <c r="AD18" s="43" t="str">
        <f>IFERROR(_xlfn.XLOOKUP(Tableau1[[#This Row],[Isin]]&amp;1&amp;2019,#REF!,Tableau3[Chiffre d''affaires]),"")</f>
        <v/>
      </c>
      <c r="AE18" s="43" t="str">
        <f>IFERROR(_xlfn.XLOOKUP(Tableau1[[#This Row],[Isin]]&amp;1&amp;2024,#REF!,Tableau3[Chiffre d''affaires]),"")</f>
        <v/>
      </c>
      <c r="AF18" s="297" t="str">
        <f>IFERROR(IF((Tableau1[[#This Row],[CA 2024]]-Tableau1[[#This Row],[CA 2019]])/Tableau1[[#This Row],[CA 2019]]=-1,"",(Tableau1[[#This Row],[CA 2024]]-Tableau1[[#This Row],[CA 2019]])/Tableau1[[#This Row],[CA 2019]]),"")</f>
        <v/>
      </c>
      <c r="AG18" s="9" t="str">
        <f>IFERROR(_xlfn.XLOOKUP(Tableau1[[#This Row],[Isin]]&amp;1&amp;2021,#REF!,Tableau3[EBE]),"")</f>
        <v/>
      </c>
      <c r="AH18" s="9" t="str">
        <f>IFERROR(_xlfn.XLOOKUP(Tableau1[[#This Row],[Isin]]&amp;1&amp;2022,#REF!,Tableau3[EBE]),"")</f>
        <v/>
      </c>
      <c r="AI18" s="43"/>
      <c r="AJ18" s="43"/>
      <c r="AK18" s="43"/>
      <c r="AL18" s="43"/>
      <c r="AM18" s="43"/>
      <c r="AN18" s="43" t="str">
        <f>IFERROR(_xlfn.XLOOKUP(Tableau1[[#This Row],[Isin]]&amp;1&amp;2021,#REF!,Tableau3[Chiffre d''affaires]),"")</f>
        <v/>
      </c>
      <c r="AO18" s="43" cm="1">
        <f t="array" aca="1" ref="AO18" ca="1">_FV(Tableau1[[#This Row],[Code Excel]],"P/E",TRUE)</f>
        <v>19.6892</v>
      </c>
      <c r="AP18" s="43" t="str">
        <f>IFERROR(_xlfn.XLOOKUP(Tableau1[[#This Row],[Isin]]&amp;1&amp;2023,#REF!,Tableau3[Résultat Net (PdG)]),"")</f>
        <v/>
      </c>
      <c r="AQ18" s="43">
        <f>IF(IFERROR(_xlfn.XLOOKUP(Tableau1[[#This Row],[Isin]]&amp;1&amp;2022,#REF!,Tableau3[Résultat Net (PdG)]),"")="",Tableau1[[#This Row],[RN Groupe 2022
Manuel]],IFERROR(_xlfn.XLOOKUP(Tableau1[[#This Row],[Isin]]&amp;1&amp;2022,#REF!,Tableau3[Résultat Net (PdG)]),""))</f>
        <v>0</v>
      </c>
      <c r="AR18" s="43"/>
      <c r="AS18" s="43">
        <f>IF(IFERROR(_xlfn.XLOOKUP(Tableau1[[#This Row],[Isin]]&amp;1&amp;2021,#REF!,Tableau3[Résultat Net (PdG)]),"")="",Tableau1[[#This Row],[RN Groupe 2021
Manuel]],IFERROR(_xlfn.XLOOKUP(Tableau1[[#This Row],[Isin]]&amp;1&amp;2021,#REF!,Tableau3[Résultat Net (PdG)]),""))</f>
        <v>0</v>
      </c>
      <c r="AT18" s="43"/>
      <c r="AU18" s="43"/>
      <c r="AV18" s="43"/>
      <c r="AW18" s="43"/>
      <c r="AX18" s="43"/>
      <c r="AY18" s="43" t="str">
        <f>IFERROR(_xlfn.XLOOKUP(Tableau1[[#This Row],[Isin]]&amp;1&amp;2016,#REF!,Tableau3[Résultat Net (PdG)]),"")</f>
        <v/>
      </c>
      <c r="AZ18" s="137" t="str">
        <f ca="1">IFERROR(Tableau1[[#This Row],[Capitalisation boursière]]/Tableau1[[#This Row],[RN Groupe 2023]],"")</f>
        <v/>
      </c>
      <c r="BA18" s="43" t="str" cm="1">
        <f t="array" aca="1" ref="BA18" ca="1">IFERROR(_FV(Tableau1[[#This Row],[Code Excel]],"Industrie"),"")</f>
        <v>Chemicals</v>
      </c>
      <c r="BB18" s="43"/>
      <c r="BC18" s="43" t="str">
        <f>IFERROR(_xlfn.XLOOKUP(Tableau1[[#This Row],[Isin]]&amp;1&amp;2016,#REF!,Tableau3[Capi]),"")</f>
        <v/>
      </c>
      <c r="BD18" s="43" t="str">
        <f>IFERROR(_xlfn.XLOOKUP(Tableau1[[#This Row],[Isin]]&amp;1&amp;2017,#REF!,Tableau3[Capi]),"")</f>
        <v/>
      </c>
      <c r="BE18" s="43" t="str">
        <f>IFERROR(_xlfn.XLOOKUP(Tableau1[[#This Row],[Isin]]&amp;1&amp;2018,#REF!,Tableau3[Capi]),"")</f>
        <v/>
      </c>
      <c r="BF18" s="43" t="str">
        <f>IFERROR(_xlfn.XLOOKUP(Tableau1[[#This Row],[Isin]]&amp;1&amp;2019,#REF!,Tableau3[Capi]),"")</f>
        <v/>
      </c>
      <c r="BG18" s="43" t="str">
        <f>IFERROR(_xlfn.XLOOKUP(Tableau1[[#This Row],[Isin]]&amp;1&amp;2020,#REF!,Tableau3[Capi]),"")</f>
        <v/>
      </c>
      <c r="BH18" s="43">
        <f>IF(IFERROR(_xlfn.XLOOKUP(Tableau1[[#This Row],[Isin]]&amp;1&amp;2021,#REF!,Tableau3[Capi]),"")="",Tableau1[[#This Row],[Capitalisation 2021
Manuel]],IFERROR(_xlfn.XLOOKUP(Tableau1[[#This Row],[Isin]]&amp;1&amp;2021,#REF!,Tableau3[Capi]),""))</f>
        <v>0</v>
      </c>
      <c r="BI18" s="43"/>
      <c r="BJ18" s="43">
        <f>IF(IFERROR(_xlfn.XLOOKUP(Tableau1[[#This Row],[Isin]]&amp;1&amp;2022,#REF!,Tableau3[Capi]),"")="",Tableau1[[#This Row],[Capitalisation 2022
Manuel]],IFERROR(_xlfn.XLOOKUP(Tableau1[[#This Row],[Isin]]&amp;1&amp;2022,#REF!,Tableau3[Capi]),""))</f>
        <v>0</v>
      </c>
      <c r="BK18" s="43"/>
      <c r="BL18" s="43">
        <f ca="1">Tableau1[[#This Row],[Capitalisation boursière]]</f>
        <v>1779851000</v>
      </c>
      <c r="BM18" s="162" t="str" cm="1">
        <f t="array" aca="1" ref="BM18" ca="1">_FV(Tableau1[[#This Row],[Code Excel]],"Description")</f>
        <v>Robertet sa est une holding française spécialisée dans la production et la distribution d'additifs et ingrédients d'arôme et de parfum. Les activités de la Société sont menées par l'intermédiaire de trois divisions : matières premières, qui fournit des ingrédients à l'industrie cosmétique pour des produits tels que des savons, des shampooings et d'autres produits de beauté, ainsi que des désodorisants; parfum, qui fournit des ingrédients qui entrent dans la création d'un certain nombre de parfums et de parfums, et de saveurs, y compris des produits pour les industries de l'alimentation et des boissons. La Société opère à l'échelle mondiale par l'intermédiaire d'un réseau de filiales, dont Bionov, Robertet GmbH, Robertet Argentina, Robertet do Brasil, Robertet Hiyoki, Robertet Turquie, Robertet de Mexico, Robertet USA, Robertet Italia, Robertet Savoury, et Aroma Esencial SL, entre autres.</v>
      </c>
      <c r="BN18" s="43"/>
      <c r="BO18" s="43"/>
      <c r="BP18" s="43"/>
      <c r="BQ18" s="43"/>
      <c r="BR18" s="4"/>
      <c r="BS18" s="21"/>
      <c r="BT18" s="13"/>
      <c r="BU18" s="13"/>
      <c r="BV18" s="13"/>
      <c r="BW18" s="3"/>
      <c r="BX18" s="3"/>
      <c r="BY18" s="3"/>
      <c r="BZ18" s="47"/>
      <c r="CA18" s="47"/>
      <c r="CC18" s="25"/>
      <c r="CD18" s="25"/>
      <c r="CE18" s="35"/>
    </row>
    <row r="19" spans="3:83">
      <c r="C19" s="42"/>
      <c r="D19" s="42">
        <f>IF(Tableau1[[#This Row],[Isin]]="",99,Tableau1[[#This Row],[Intérêt]]+Tableau1[[#This Row],[Valeur d''intérêt]]+Tableau1[[#This Row],[N° Portefeuille]])</f>
        <v>20</v>
      </c>
      <c r="E19" s="42"/>
      <c r="F19" s="42">
        <f>IF(Tableau1[[#This Row],[Portefeuille]]="p",0,Tableau1[[#This Row],[F. Investissement
Niveau d''intérêt]]*10)</f>
        <v>20</v>
      </c>
      <c r="G19" s="42">
        <f>IF(Tableau1[[#This Row],[Portefeuille]]="p",3,0)</f>
        <v>0</v>
      </c>
      <c r="H19" s="42">
        <v>2</v>
      </c>
      <c r="I19" s="42">
        <v>3</v>
      </c>
      <c r="J19" s="42"/>
      <c r="K19" s="43"/>
      <c r="L19" s="16">
        <v>1</v>
      </c>
      <c r="M1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 s="44" t="s">
        <v>3489</v>
      </c>
      <c r="O19" s="44" t="s">
        <v>751</v>
      </c>
      <c r="P19" s="4" t="s">
        <v>382</v>
      </c>
      <c r="Q19" s="6" t="s">
        <v>383</v>
      </c>
      <c r="R19" s="6"/>
      <c r="S19" s="6" t="s">
        <v>753</v>
      </c>
      <c r="T19" s="6" t="e" vm="10">
        <v>#VALUE!</v>
      </c>
      <c r="U19" s="51" cm="1">
        <f t="array" aca="1" ref="U19" ca="1">IFERROR(_FV(Tableau1[[#This Row],[Code Excel]],"Capitalisation boursière",TRUE),"")</f>
        <v>160238414000</v>
      </c>
      <c r="V19" s="4" t="str" cm="1">
        <f t="array" aca="1" ref="V19" ca="1">IFERROR(_FV(Tableau1[[#This Row],[Code Excel]],"Industrie"),"")</f>
        <v>Software &amp; IT Services</v>
      </c>
      <c r="W19" s="4" t="s">
        <v>4333</v>
      </c>
      <c r="X19" s="4" t="str">
        <f ca="1">Tableau1[[#This Row],[Grand Secteur]]&amp;Tableau1[[#This Row],[Industrie]]</f>
        <v>Logiciels et TechnologieSoftware &amp; IT Services</v>
      </c>
      <c r="Y19" s="23" cm="1">
        <f t="array" aca="1" ref="Y19" ca="1">IFERROR(_FV(Tableau1[[#This Row],[Code Excel]],"P/E",TRUE),"")</f>
        <v>24.7317</v>
      </c>
      <c r="Z19" s="43" cm="1">
        <f t="array" aca="1" ref="Z19" ca="1">IFERROR(_FV(Tableau1[[#This Row],[Code Excel]],"Employés"),"")</f>
        <v>30709</v>
      </c>
      <c r="AA19" s="49">
        <f ca="1">IFERROR(Tableau1[[#This Row],[Capitalisation boursière]]/Tableau1[[#This Row],[Employés]],"")</f>
        <v>5217962.6168224299</v>
      </c>
      <c r="AB19" s="5" t="str">
        <f>IFERROR(Tableau1[[#This Row],[REX (2021)]]/Tableau1[[#This Row],[CA 2024]],"")</f>
        <v/>
      </c>
      <c r="AC19" s="9" t="str">
        <f>IFERROR(_xlfn.XLOOKUP(Tableau1[[#This Row],[Isin]]&amp;1&amp;2021,#REF!,Tableau3[Résultat d''exploitation]),"")</f>
        <v/>
      </c>
      <c r="AD19" s="9" t="str">
        <f>IFERROR(_xlfn.XLOOKUP(Tableau1[[#This Row],[Isin]]&amp;1&amp;2019,#REF!,Tableau3[Chiffre d''affaires]),"")</f>
        <v/>
      </c>
      <c r="AE19" s="9" t="str">
        <f>IFERROR(_xlfn.XLOOKUP(Tableau1[[#This Row],[Isin]]&amp;1&amp;2024,#REF!,Tableau3[Chiffre d''affaires]),"")</f>
        <v/>
      </c>
      <c r="AF19" s="8" t="str">
        <f>IFERROR(IF((Tableau1[[#This Row],[CA 2024]]-Tableau1[[#This Row],[CA 2019]])/Tableau1[[#This Row],[CA 2019]]=-1,"",(Tableau1[[#This Row],[CA 2024]]-Tableau1[[#This Row],[CA 2019]])/Tableau1[[#This Row],[CA 2019]]),"")</f>
        <v/>
      </c>
      <c r="AG19" s="9" t="str">
        <f>IFERROR(_xlfn.XLOOKUP(Tableau1[[#This Row],[Isin]]&amp;1&amp;2021,#REF!,Tableau3[EBE]),"")</f>
        <v/>
      </c>
      <c r="AH19" s="9" t="str">
        <f>IFERROR(_xlfn.XLOOKUP(Tableau1[[#This Row],[Isin]]&amp;1&amp;2022,#REF!,Tableau3[EBE]),"")</f>
        <v/>
      </c>
      <c r="AI19" s="43" t="s">
        <v>4324</v>
      </c>
      <c r="AJ19" s="43" t="s">
        <v>4334</v>
      </c>
      <c r="AK19" s="43" t="s">
        <v>3148</v>
      </c>
      <c r="AL19" s="43" t="s">
        <v>3431</v>
      </c>
      <c r="AM19" s="43"/>
      <c r="AN19" s="9" t="str">
        <f>IFERROR(_xlfn.XLOOKUP(Tableau1[[#This Row],[Isin]]&amp;1&amp;2021,#REF!,Tableau3[Chiffre d''affaires]),"")</f>
        <v/>
      </c>
      <c r="AO19" s="43" cm="1">
        <f t="array" aca="1" ref="AO19" ca="1">_FV(Tableau1[[#This Row],[Code Excel]],"P/E",TRUE)</f>
        <v>24.7317</v>
      </c>
      <c r="AP19" s="43" t="str">
        <f>IFERROR(_xlfn.XLOOKUP(Tableau1[[#This Row],[Isin]]&amp;1&amp;2023,#REF!,Tableau3[Résultat Net (PdG)]),"")</f>
        <v/>
      </c>
      <c r="AQ19" s="43">
        <f>IF(IFERROR(_xlfn.XLOOKUP(Tableau1[[#This Row],[Isin]]&amp;1&amp;2022,#REF!,Tableau3[Résultat Net (PdG)]),"")="",Tableau1[[#This Row],[RN Groupe 2022
Manuel]],IFERROR(_xlfn.XLOOKUP(Tableau1[[#This Row],[Isin]]&amp;1&amp;2022,#REF!,Tableau3[Résultat Net (PdG)]),""))</f>
        <v>0</v>
      </c>
      <c r="AR19" s="43"/>
      <c r="AS19" s="43">
        <f>IF(IFERROR(_xlfn.XLOOKUP(Tableau1[[#This Row],[Isin]]&amp;1&amp;2021,#REF!,Tableau3[Résultat Net (PdG)]),"")="",Tableau1[[#This Row],[RN Groupe 2021
Manuel]],IFERROR(_xlfn.XLOOKUP(Tableau1[[#This Row],[Isin]]&amp;1&amp;2021,#REF!,Tableau3[Résultat Net (PdG)]),""))</f>
        <v>0</v>
      </c>
      <c r="AT19" s="43"/>
      <c r="AU19" s="43" t="str">
        <f>IFERROR(_xlfn.XLOOKUP(Tableau1[[#This Row],[Isin]]&amp;1&amp;2020,#REF!,Tableau3[Résultat Net (PdG)]),"")</f>
        <v/>
      </c>
      <c r="AV19" s="43" t="str">
        <f>IFERROR(_xlfn.XLOOKUP(Tableau1[[#This Row],[Isin]]&amp;1&amp;2019,#REF!,Tableau3[Résultat Net (PdG)]),"")</f>
        <v/>
      </c>
      <c r="AW19" s="43" t="str">
        <f>IFERROR(_xlfn.XLOOKUP(Tableau1[[#This Row],[Isin]]&amp;1&amp;2018,#REF!,Tableau3[Résultat Net (PdG)]),"")</f>
        <v/>
      </c>
      <c r="AX19" s="43" t="str">
        <f>IFERROR(_xlfn.XLOOKUP(Tableau1[[#This Row],[Isin]]&amp;1&amp;2017,#REF!,Tableau3[Résultat Net (PdG)]),"")</f>
        <v/>
      </c>
      <c r="AY19" s="43" t="str">
        <f>IFERROR(_xlfn.XLOOKUP(Tableau1[[#This Row],[Isin]]&amp;1&amp;2016,#REF!,Tableau3[Résultat Net (PdG)]),"")</f>
        <v/>
      </c>
      <c r="AZ19" s="137" t="str">
        <f ca="1">IFERROR(Tableau1[[#This Row],[Capitalisation boursière]]/Tableau1[[#This Row],[RN Groupe 2023]],"")</f>
        <v/>
      </c>
      <c r="BA19" s="4" t="str" cm="1">
        <f t="array" aca="1" ref="BA19" ca="1">IFERROR(_FV(Tableau1[[#This Row],[Code Excel]],"Industrie"),"")</f>
        <v>Software &amp; IT Services</v>
      </c>
      <c r="BB19" s="43" t="s">
        <v>3491</v>
      </c>
      <c r="BC19" s="43" t="str">
        <f>IFERROR(_xlfn.XLOOKUP(Tableau1[[#This Row],[Isin]]&amp;1&amp;2016,#REF!,Tableau3[Capi]),"")</f>
        <v/>
      </c>
      <c r="BD19" s="43" t="str">
        <f>IFERROR(_xlfn.XLOOKUP(Tableau1[[#This Row],[Isin]]&amp;1&amp;2017,#REF!,Tableau3[Capi]),"")</f>
        <v/>
      </c>
      <c r="BE19" s="43" t="str">
        <f>IFERROR(_xlfn.XLOOKUP(Tableau1[[#This Row],[Isin]]&amp;1&amp;2018,#REF!,Tableau3[Capi]),"")</f>
        <v/>
      </c>
      <c r="BF19" s="43" t="str">
        <f>IFERROR(_xlfn.XLOOKUP(Tableau1[[#This Row],[Isin]]&amp;1&amp;2019,#REF!,Tableau3[Capi]),"")</f>
        <v/>
      </c>
      <c r="BG19" s="43" t="str">
        <f>IFERROR(_xlfn.XLOOKUP(Tableau1[[#This Row],[Isin]]&amp;1&amp;2020,#REF!,Tableau3[Capi]),"")</f>
        <v/>
      </c>
      <c r="BH19" s="43">
        <f>IF(IFERROR(_xlfn.XLOOKUP(Tableau1[[#This Row],[Isin]]&amp;1&amp;2021,#REF!,Tableau3[Capi]),"")="",Tableau1[[#This Row],[Capitalisation 2021
Manuel]],IFERROR(_xlfn.XLOOKUP(Tableau1[[#This Row],[Isin]]&amp;1&amp;2021,#REF!,Tableau3[Capi]),""))</f>
        <v>0</v>
      </c>
      <c r="BI19" s="43"/>
      <c r="BJ19" s="43">
        <f>IF(IFERROR(_xlfn.XLOOKUP(Tableau1[[#This Row],[Isin]]&amp;1&amp;2022,#REF!,Tableau3[Capi]),"")="",Tableau1[[#This Row],[Capitalisation 2022
Manuel]],IFERROR(_xlfn.XLOOKUP(Tableau1[[#This Row],[Isin]]&amp;1&amp;2022,#REF!,Tableau3[Capi]),""))</f>
        <v>0</v>
      </c>
      <c r="BK19" s="43"/>
      <c r="BL19" s="43">
        <f ca="1">Tableau1[[#This Row],[Capitalisation boursière]]</f>
        <v>160238414000</v>
      </c>
      <c r="BM19" s="162" t="str" cm="1">
        <f t="array" aca="1" ref="BM19" ca="1">_FV(Tableau1[[#This Row],[Code Excel]],"Description")</f>
        <v>Adobe Inc est une entreprise technologique mondiale. Les produits, services et solutions de la Société sont utilisés dans le monde entier pour imaginer, créer, gérer, livrer, mesurer, optimisez et interagissez avec le contenu sur toutes les surfaces et alimentez les expériences numériques. Ses segments comprennent les médias numériques, l'expérience numérique, l'édition et la publicité. Le segment des médias numériques est centré sur Adobe Creative Cloud et Adobe document Cloud, qui comprennent Adobe Express, Adobe Firefly, Photoshop et d'autres produits, offrant une variété d'outils aux professionnels de la création, aux communicateurs et aux autres consommateurs. Le segment expérience numérique fournit une plateforme intégrée et un ensemble de produits, services et solutions via Adobe Experience Cloud. Le segment publication et publicité contient des produits et services hérités. En outre, sa solution Adobe GenStudio permet aux entreprises de simplifier leur processus de chaîne logistique de contenu grâce à des capacités d'intelligence artificielle générative (IA) et à une automatisation intelligente.</v>
      </c>
      <c r="BN19" s="43"/>
      <c r="BO19" s="43"/>
      <c r="BP19" s="43"/>
      <c r="BQ19" s="43"/>
      <c r="BR19" s="4"/>
      <c r="BS19" s="21"/>
      <c r="BT19" s="13"/>
      <c r="BU19" s="13">
        <f>SUM(BU3:BU16)</f>
        <v>149</v>
      </c>
      <c r="BV19" s="13"/>
      <c r="BW19" s="13" t="s">
        <v>97</v>
      </c>
      <c r="BX19" s="13"/>
      <c r="BY19" s="13" t="s">
        <v>2149</v>
      </c>
      <c r="BZ19" s="47">
        <v>7.5300000000000006E-2</v>
      </c>
      <c r="CA19" s="47">
        <v>0.06</v>
      </c>
      <c r="CB19" s="50" t="s">
        <v>4320</v>
      </c>
      <c r="CC19" s="9" t="s">
        <v>131</v>
      </c>
      <c r="CD19" s="25">
        <f>'Base de données'!Q3055</f>
        <v>4933408607.9200001</v>
      </c>
      <c r="CE19" s="5" t="s">
        <v>131</v>
      </c>
    </row>
    <row r="20" spans="3:83">
      <c r="C20" s="43"/>
      <c r="D20" s="42">
        <f>IF(Tableau1[[#This Row],[Isin]]="",99,Tableau1[[#This Row],[Intérêt]]+Tableau1[[#This Row],[Valeur d''intérêt]]+Tableau1[[#This Row],[N° Portefeuille]])</f>
        <v>20</v>
      </c>
      <c r="E20" s="43"/>
      <c r="F20" s="42">
        <f>IF(Tableau1[[#This Row],[Portefeuille]]="p",0,Tableau1[[#This Row],[F. Investissement
Niveau d''intérêt]]*10)</f>
        <v>20</v>
      </c>
      <c r="G20" s="43">
        <f>IF(Tableau1[[#This Row],[Portefeuille]]="p",3,0)</f>
        <v>0</v>
      </c>
      <c r="H20" s="43">
        <v>2</v>
      </c>
      <c r="I20" s="43">
        <v>1</v>
      </c>
      <c r="J20" s="43"/>
      <c r="K20" s="43"/>
      <c r="L20" s="16">
        <v>1</v>
      </c>
      <c r="M2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 s="44" t="s">
        <v>3494</v>
      </c>
      <c r="O20" s="45"/>
      <c r="P20" s="4" t="s">
        <v>427</v>
      </c>
      <c r="Q20" s="4"/>
      <c r="R20" s="6"/>
      <c r="S20" s="6" t="s">
        <v>698</v>
      </c>
      <c r="T20" s="6" t="e" vm="11">
        <v>#VALUE!</v>
      </c>
      <c r="U20" s="46" cm="1">
        <f t="array" aca="1" ref="U20" ca="1">IFERROR(_FV(Tableau1[[#This Row],[Code Excel]],"Capitalisation boursière",TRUE),"")</f>
        <v>45622040000</v>
      </c>
      <c r="V20" s="4" t="str" cm="1">
        <f t="array" aca="1" ref="V20" ca="1">IFERROR(_FV(Tableau1[[#This Row],[Code Excel]],"Industrie"),"")</f>
        <v>Financial Technology (Fintech) &amp; Infrastructure</v>
      </c>
      <c r="W20" s="4" t="s">
        <v>4335</v>
      </c>
      <c r="X20" s="4" t="str">
        <f ca="1">Tableau1[[#This Row],[Grand Secteur]]&amp;Tableau1[[#This Row],[Industrie]]</f>
        <v>FinanceFinancial Technology (Fintech) &amp; Infrastructure</v>
      </c>
      <c r="Y20" s="23" cm="1">
        <f t="array" aca="1" ref="Y20" ca="1">IFERROR(_FV(Tableau1[[#This Row],[Code Excel]],"P/E",TRUE),"")</f>
        <v>48.828000000000003</v>
      </c>
      <c r="Z20" s="43" cm="1">
        <f t="array" aca="1" ref="Z20" ca="1">IFERROR(_FV(Tableau1[[#This Row],[Code Excel]],"Employés"),"")</f>
        <v>4345</v>
      </c>
      <c r="AA20" s="46">
        <f ca="1">IFERROR(Tableau1[[#This Row],[Capitalisation boursière]]/Tableau1[[#This Row],[Employés]],"")</f>
        <v>10499894.131185271</v>
      </c>
      <c r="AB20" s="5" t="str">
        <f>IFERROR(Tableau1[[#This Row],[REX (2021)]]/Tableau1[[#This Row],[CA 2024]],"")</f>
        <v/>
      </c>
      <c r="AC20" s="9" t="str">
        <f>IFERROR(_xlfn.XLOOKUP(Tableau1[[#This Row],[Isin]]&amp;1&amp;2021,#REF!,Tableau3[Résultat d''exploitation]),"")</f>
        <v/>
      </c>
      <c r="AD20" s="9" t="str">
        <f>IFERROR(_xlfn.XLOOKUP(Tableau1[[#This Row],[Isin]]&amp;1&amp;2019,#REF!,Tableau3[Chiffre d''affaires]),"")</f>
        <v/>
      </c>
      <c r="AE20" s="9" t="str">
        <f>IFERROR(_xlfn.XLOOKUP(Tableau1[[#This Row],[Isin]]&amp;1&amp;2024,#REF!,Tableau3[Chiffre d''affaires]),"")</f>
        <v/>
      </c>
      <c r="AF20" s="8" t="str">
        <f>IFERROR(IF((Tableau1[[#This Row],[CA 2024]]-Tableau1[[#This Row],[CA 2019]])/Tableau1[[#This Row],[CA 2019]]=-1,"",(Tableau1[[#This Row],[CA 2024]]-Tableau1[[#This Row],[CA 2019]])/Tableau1[[#This Row],[CA 2019]]),"")</f>
        <v/>
      </c>
      <c r="AG20" s="9" t="str">
        <f>IFERROR(_xlfn.XLOOKUP(Tableau1[[#This Row],[Isin]]&amp;1&amp;2021,#REF!,Tableau3[EBE]),"")</f>
        <v/>
      </c>
      <c r="AH20" s="9" t="str">
        <f>IFERROR(_xlfn.XLOOKUP(Tableau1[[#This Row],[Isin]]&amp;1&amp;2022,#REF!,Tableau3[EBE]),"")</f>
        <v/>
      </c>
      <c r="AI20" s="43" t="s">
        <v>4324</v>
      </c>
      <c r="AJ20" s="43" t="s">
        <v>4330</v>
      </c>
      <c r="AK20" s="43" t="s">
        <v>4327</v>
      </c>
      <c r="AL20" s="43"/>
      <c r="AM20" s="43"/>
      <c r="AN20" s="9" t="str">
        <f>IFERROR(_xlfn.XLOOKUP(Tableau1[[#This Row],[Isin]]&amp;1&amp;2021,#REF!,Tableau3[Chiffre d''affaires]),"")</f>
        <v/>
      </c>
      <c r="AO20" s="43" cm="1">
        <f t="array" aca="1" ref="AO20" ca="1">_FV(Tableau1[[#This Row],[Code Excel]],"P/E",TRUE)</f>
        <v>48.828000000000003</v>
      </c>
      <c r="AP20" s="43" t="str">
        <f>IFERROR(_xlfn.XLOOKUP(Tableau1[[#This Row],[Isin]]&amp;1&amp;2023,#REF!,Tableau3[Résultat Net (PdG)]),"")</f>
        <v/>
      </c>
      <c r="AQ20" s="43">
        <f>IF(IFERROR(_xlfn.XLOOKUP(Tableau1[[#This Row],[Isin]]&amp;1&amp;2022,#REF!,Tableau3[Résultat Net (PdG)]),"")="",Tableau1[[#This Row],[RN Groupe 2022
Manuel]],IFERROR(_xlfn.XLOOKUP(Tableau1[[#This Row],[Isin]]&amp;1&amp;2022,#REF!,Tableau3[Résultat Net (PdG)]),""))</f>
        <v>0</v>
      </c>
      <c r="AR20" s="43"/>
      <c r="AS20" s="43">
        <f>IF(IFERROR(_xlfn.XLOOKUP(Tableau1[[#This Row],[Isin]]&amp;1&amp;2021,#REF!,Tableau3[Résultat Net (PdG)]),"")="",Tableau1[[#This Row],[RN Groupe 2021
Manuel]],IFERROR(_xlfn.XLOOKUP(Tableau1[[#This Row],[Isin]]&amp;1&amp;2021,#REF!,Tableau3[Résultat Net (PdG)]),""))</f>
        <v>0</v>
      </c>
      <c r="AT20" s="43"/>
      <c r="AU20" s="43" t="str">
        <f>IFERROR(_xlfn.XLOOKUP(Tableau1[[#This Row],[Isin]]&amp;1&amp;2020,#REF!,Tableau3[Résultat Net (PdG)]),"")</f>
        <v/>
      </c>
      <c r="AV20" s="43" t="str">
        <f>IFERROR(_xlfn.XLOOKUP(Tableau1[[#This Row],[Isin]]&amp;1&amp;2019,#REF!,Tableau3[Résultat Net (PdG)]),"")</f>
        <v/>
      </c>
      <c r="AW20" s="43" t="str">
        <f>IFERROR(_xlfn.XLOOKUP(Tableau1[[#This Row],[Isin]]&amp;1&amp;2018,#REF!,Tableau3[Résultat Net (PdG)]),"")</f>
        <v/>
      </c>
      <c r="AX20" s="43" t="str">
        <f>IFERROR(_xlfn.XLOOKUP(Tableau1[[#This Row],[Isin]]&amp;1&amp;2017,#REF!,Tableau3[Résultat Net (PdG)]),"")</f>
        <v/>
      </c>
      <c r="AY20" s="43" t="str">
        <f>IFERROR(_xlfn.XLOOKUP(Tableau1[[#This Row],[Isin]]&amp;1&amp;2016,#REF!,Tableau3[Résultat Net (PdG)]),"")</f>
        <v/>
      </c>
      <c r="AZ20" s="137" t="str">
        <f ca="1">IFERROR(Tableau1[[#This Row],[Capitalisation boursière]]/Tableau1[[#This Row],[RN Groupe 2023]],"")</f>
        <v/>
      </c>
      <c r="BA20" s="4" t="str" cm="1">
        <f t="array" aca="1" ref="BA20" ca="1">IFERROR(_FV(Tableau1[[#This Row],[Code Excel]],"Industrie"),"")</f>
        <v>Financial Technology (Fintech) &amp; Infrastructure</v>
      </c>
      <c r="BB20" s="43" t="s">
        <v>3496</v>
      </c>
      <c r="BC20" s="43" t="str">
        <f>IFERROR(_xlfn.XLOOKUP(Tableau1[[#This Row],[Isin]]&amp;1&amp;2016,#REF!,Tableau3[Capi]),"")</f>
        <v/>
      </c>
      <c r="BD20" s="43" t="str">
        <f>IFERROR(_xlfn.XLOOKUP(Tableau1[[#This Row],[Isin]]&amp;1&amp;2017,#REF!,Tableau3[Capi]),"")</f>
        <v/>
      </c>
      <c r="BE20" s="43" t="str">
        <f>IFERROR(_xlfn.XLOOKUP(Tableau1[[#This Row],[Isin]]&amp;1&amp;2018,#REF!,Tableau3[Capi]),"")</f>
        <v/>
      </c>
      <c r="BF20" s="43" t="str">
        <f>IFERROR(_xlfn.XLOOKUP(Tableau1[[#This Row],[Isin]]&amp;1&amp;2019,#REF!,Tableau3[Capi]),"")</f>
        <v/>
      </c>
      <c r="BG20" s="43" t="str">
        <f>IFERROR(_xlfn.XLOOKUP(Tableau1[[#This Row],[Isin]]&amp;1&amp;2020,#REF!,Tableau3[Capi]),"")</f>
        <v/>
      </c>
      <c r="BH20" s="43">
        <f>IF(IFERROR(_xlfn.XLOOKUP(Tableau1[[#This Row],[Isin]]&amp;1&amp;2021,#REF!,Tableau3[Capi]),"")="",Tableau1[[#This Row],[Capitalisation 2021
Manuel]],IFERROR(_xlfn.XLOOKUP(Tableau1[[#This Row],[Isin]]&amp;1&amp;2021,#REF!,Tableau3[Capi]),""))</f>
        <v>0</v>
      </c>
      <c r="BI20" s="43"/>
      <c r="BJ20" s="43">
        <f>IF(IFERROR(_xlfn.XLOOKUP(Tableau1[[#This Row],[Isin]]&amp;1&amp;2022,#REF!,Tableau3[Capi]),"")="",Tableau1[[#This Row],[Capitalisation 2022
Manuel]],IFERROR(_xlfn.XLOOKUP(Tableau1[[#This Row],[Isin]]&amp;1&amp;2022,#REF!,Tableau3[Capi]),""))</f>
        <v>0</v>
      </c>
      <c r="BK20" s="43"/>
      <c r="BL20" s="43">
        <f ca="1">Tableau1[[#This Row],[Capitalisation boursière]]</f>
        <v>45622040000</v>
      </c>
      <c r="BM20" s="162" t="str" cm="1">
        <f t="array" aca="1" ref="BM20" ca="1">_FV(Tableau1[[#This Row],[Code Excel]],"Description")</f>
        <v>Adyen NV, anciennement Adyen BV, est un fournisseur de solutions de paiement mobiles, en ligne et de points de vente (POS) basées aux Pays-Bas. Il exploite une plateforme en ligne permettant aux commerçants d'accepter les paiements à l'échelle internationale et de tous les canaux de vente, tels que les boutiques en ligne, les paiements mobiles à partir d'applications et de sites Web, et POS, tels que les comptoirs, les terminaux mobiles, les tablettes et les caisses enregistreuses, entre autres. La plateforme couvre l'ensemble de la chaîne de paiement, y compris les processus techniques, contractuels, de rapprochement et de règlement. La plate-forme est disponible sous forme de pages de paiement prêtes à l'emploi (HPP), d'interface de programmation d'application (API) et de solution de chiffrement côté client (EE). Les clients de la Société comprennent Mango, KLM, Netflix, Superdry, Uber, Groupon et Crocs, entre autres. Elle possède des bureaux aux Pays-Bas, au Royaume-Uni, en France, en Allemagne, en Belgique, au Brésil, en Chine, en Australie, au Mexique, à Singapour, en Espagne, en Suède et aux États-Unis.</v>
      </c>
      <c r="BN20" s="43"/>
      <c r="BO20" s="43"/>
      <c r="BP20" s="43"/>
      <c r="BQ20" s="43"/>
      <c r="BR20" s="4"/>
      <c r="BS20" s="21"/>
      <c r="BT20" s="13"/>
      <c r="BU20" s="13"/>
      <c r="BV20" s="13"/>
      <c r="BW20" s="13" t="s">
        <v>1223</v>
      </c>
      <c r="BX20" s="13"/>
      <c r="BY20" s="3" t="s">
        <v>1974</v>
      </c>
      <c r="BZ20" s="47">
        <v>0.04</v>
      </c>
      <c r="CA20" s="47">
        <v>0.04</v>
      </c>
      <c r="CB20" s="6" t="s">
        <v>4317</v>
      </c>
      <c r="CC20" s="9" t="s">
        <v>131</v>
      </c>
      <c r="CD20" s="25">
        <f>'Base de données'!Q2827</f>
        <v>53872566971.904999</v>
      </c>
      <c r="CE20" s="5" t="s">
        <v>131</v>
      </c>
    </row>
    <row r="21" spans="3:83">
      <c r="C21" s="42"/>
      <c r="D21" s="42">
        <f>IF(Tableau1[[#This Row],[Isin]]="",99,Tableau1[[#This Row],[Intérêt]]+Tableau1[[#This Row],[Valeur d''intérêt]]+Tableau1[[#This Row],[N° Portefeuille]])</f>
        <v>30</v>
      </c>
      <c r="E21" s="42"/>
      <c r="F21" s="42">
        <f>IF(Tableau1[[#This Row],[Portefeuille]]="p",0,Tableau1[[#This Row],[F. Investissement
Niveau d''intérêt]]*10)</f>
        <v>30</v>
      </c>
      <c r="G21" s="42">
        <f>IF(Tableau1[[#This Row],[Portefeuille]]="p",3,0)</f>
        <v>0</v>
      </c>
      <c r="H21" s="42">
        <v>3</v>
      </c>
      <c r="I21" s="42">
        <v>4</v>
      </c>
      <c r="J21" s="42"/>
      <c r="K21" s="43"/>
      <c r="L21" s="16">
        <v>0</v>
      </c>
      <c r="M2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 s="44" t="s">
        <v>3498</v>
      </c>
      <c r="O21" s="45"/>
      <c r="P21" s="4" t="s">
        <v>452</v>
      </c>
      <c r="Q21" s="4"/>
      <c r="R21" s="6"/>
      <c r="S21" s="6" t="s">
        <v>3499</v>
      </c>
      <c r="T21" s="6" t="e" vm="12">
        <v>#VALUE!</v>
      </c>
      <c r="U21" s="46" cm="1">
        <f t="array" aca="1" ref="U21" ca="1">IFERROR(_FV(Tableau1[[#This Row],[Code Excel]],"Capitalisation boursière",TRUE),"")</f>
        <v>2986147000</v>
      </c>
      <c r="V21" s="4" t="str" cm="1">
        <f t="array" aca="1" ref="V21" ca="1">IFERROR(_FV(Tableau1[[#This Row],[Code Excel]],"Industrie"),"")</f>
        <v>Residential &amp; Commercial REIT</v>
      </c>
      <c r="W21" s="4" t="s">
        <v>2083</v>
      </c>
      <c r="X21" s="4" t="str">
        <f ca="1">Tableau1[[#This Row],[Grand Secteur]]&amp;Tableau1[[#This Row],[Industrie]]</f>
        <v>ImmobilierResidential &amp; Commercial REIT</v>
      </c>
      <c r="Y21" s="23" cm="1">
        <f t="array" aca="1" ref="Y21" ca="1">IFERROR(_FV(Tableau1[[#This Row],[Code Excel]],"P/E",TRUE),"")</f>
        <v>14.5809</v>
      </c>
      <c r="Z21" s="43" cm="1">
        <f t="array" aca="1" ref="Z21" ca="1">IFERROR(_FV(Tableau1[[#This Row],[Code Excel]],"Employés"),"")</f>
        <v>126</v>
      </c>
      <c r="AA21" s="49">
        <f ca="1">IFERROR(Tableau1[[#This Row],[Capitalisation boursière]]/Tableau1[[#This Row],[Employés]],"")</f>
        <v>23699579.365079366</v>
      </c>
      <c r="AB21" s="5" t="str">
        <f>IFERROR(Tableau1[[#This Row],[REX (2021)]]/Tableau1[[#This Row],[CA 2024]],"")</f>
        <v/>
      </c>
      <c r="AC21" s="9" t="str">
        <f>IFERROR(_xlfn.XLOOKUP(Tableau1[[#This Row],[Isin]]&amp;1&amp;2021,#REF!,Tableau3[Résultat d''exploitation]),"")</f>
        <v/>
      </c>
      <c r="AD21" s="9" t="str">
        <f>IFERROR(_xlfn.XLOOKUP(Tableau1[[#This Row],[Isin]]&amp;1&amp;2019,#REF!,Tableau3[Chiffre d''affaires]),"")</f>
        <v/>
      </c>
      <c r="AE21" s="9" t="str">
        <f>IFERROR(_xlfn.XLOOKUP(Tableau1[[#This Row],[Isin]]&amp;1&amp;2024,#REF!,Tableau3[Chiffre d''affaires]),"")</f>
        <v/>
      </c>
      <c r="AF21" s="8" t="str">
        <f>IFERROR(IF((Tableau1[[#This Row],[CA 2024]]-Tableau1[[#This Row],[CA 2019]])/Tableau1[[#This Row],[CA 2019]]=-1,"",(Tableau1[[#This Row],[CA 2024]]-Tableau1[[#This Row],[CA 2019]])/Tableau1[[#This Row],[CA 2019]]),"")</f>
        <v/>
      </c>
      <c r="AG21" s="9" t="str">
        <f>IFERROR(_xlfn.XLOOKUP(Tableau1[[#This Row],[Isin]]&amp;1&amp;2021,#REF!,Tableau3[EBE]),"")</f>
        <v/>
      </c>
      <c r="AH21" s="9" t="str">
        <f>IFERROR(_xlfn.XLOOKUP(Tableau1[[#This Row],[Isin]]&amp;1&amp;2022,#REF!,Tableau3[EBE]),"")</f>
        <v/>
      </c>
      <c r="AI21" s="43" t="s">
        <v>3431</v>
      </c>
      <c r="AJ21" s="43" t="s">
        <v>4322</v>
      </c>
      <c r="AK21" s="43" t="s">
        <v>3148</v>
      </c>
      <c r="AL21" s="43"/>
      <c r="AM21" s="43"/>
      <c r="AN21" s="9" t="str">
        <f>IFERROR(_xlfn.XLOOKUP(Tableau1[[#This Row],[Isin]]&amp;1&amp;2021,#REF!,Tableau3[Chiffre d''affaires]),"")</f>
        <v/>
      </c>
      <c r="AO21" s="43" cm="1">
        <f t="array" aca="1" ref="AO21" ca="1">_FV(Tableau1[[#This Row],[Code Excel]],"P/E",TRUE)</f>
        <v>14.5809</v>
      </c>
      <c r="AP21" s="43" t="str">
        <f>IFERROR(_xlfn.XLOOKUP(Tableau1[[#This Row],[Isin]]&amp;1&amp;2023,#REF!,Tableau3[Résultat Net (PdG)]),"")</f>
        <v/>
      </c>
      <c r="AQ21" s="43">
        <f>IF(IFERROR(_xlfn.XLOOKUP(Tableau1[[#This Row],[Isin]]&amp;1&amp;2022,#REF!,Tableau3[Résultat Net (PdG)]),"")="",Tableau1[[#This Row],[RN Groupe 2022
Manuel]],IFERROR(_xlfn.XLOOKUP(Tableau1[[#This Row],[Isin]]&amp;1&amp;2022,#REF!,Tableau3[Résultat Net (PdG)]),""))</f>
        <v>0</v>
      </c>
      <c r="AR21" s="43"/>
      <c r="AS21" s="43">
        <f>IF(IFERROR(_xlfn.XLOOKUP(Tableau1[[#This Row],[Isin]]&amp;1&amp;2021,#REF!,Tableau3[Résultat Net (PdG)]),"")="",Tableau1[[#This Row],[RN Groupe 2021
Manuel]],IFERROR(_xlfn.XLOOKUP(Tableau1[[#This Row],[Isin]]&amp;1&amp;2021,#REF!,Tableau3[Résultat Net (PdG)]),""))</f>
        <v>0</v>
      </c>
      <c r="AT21" s="43"/>
      <c r="AU21" s="43" t="str">
        <f>IFERROR(_xlfn.XLOOKUP(Tableau1[[#This Row],[Isin]]&amp;1&amp;2020,#REF!,Tableau3[Résultat Net (PdG)]),"")</f>
        <v/>
      </c>
      <c r="AV21" s="43" t="str">
        <f>IFERROR(_xlfn.XLOOKUP(Tableau1[[#This Row],[Isin]]&amp;1&amp;2019,#REF!,Tableau3[Résultat Net (PdG)]),"")</f>
        <v/>
      </c>
      <c r="AW21" s="43" t="str">
        <f>IFERROR(_xlfn.XLOOKUP(Tableau1[[#This Row],[Isin]]&amp;1&amp;2018,#REF!,Tableau3[Résultat Net (PdG)]),"")</f>
        <v/>
      </c>
      <c r="AX21" s="43" t="str">
        <f>IFERROR(_xlfn.XLOOKUP(Tableau1[[#This Row],[Isin]]&amp;1&amp;2017,#REF!,Tableau3[Résultat Net (PdG)]),"")</f>
        <v/>
      </c>
      <c r="AY21" s="43" t="str">
        <f>IFERROR(_xlfn.XLOOKUP(Tableau1[[#This Row],[Isin]]&amp;1&amp;2016,#REF!,Tableau3[Résultat Net (PdG)]),"")</f>
        <v/>
      </c>
      <c r="AZ21" s="137" t="str">
        <f ca="1">IFERROR(Tableau1[[#This Row],[Capitalisation boursière]]/Tableau1[[#This Row],[RN Groupe 2023]],"")</f>
        <v/>
      </c>
      <c r="BA21" s="4" t="str" cm="1">
        <f t="array" aca="1" ref="BA21" ca="1">IFERROR(_FV(Tableau1[[#This Row],[Code Excel]],"Industrie"),"")</f>
        <v>Residential &amp; Commercial REIT</v>
      </c>
      <c r="BB21" s="43" t="s">
        <v>3482</v>
      </c>
      <c r="BC21" s="43" t="str">
        <f>IFERROR(_xlfn.XLOOKUP(Tableau1[[#This Row],[Isin]]&amp;1&amp;2016,#REF!,Tableau3[Capi]),"")</f>
        <v/>
      </c>
      <c r="BD21" s="43" t="str">
        <f>IFERROR(_xlfn.XLOOKUP(Tableau1[[#This Row],[Isin]]&amp;1&amp;2017,#REF!,Tableau3[Capi]),"")</f>
        <v/>
      </c>
      <c r="BE21" s="43" t="str">
        <f>IFERROR(_xlfn.XLOOKUP(Tableau1[[#This Row],[Isin]]&amp;1&amp;2018,#REF!,Tableau3[Capi]),"")</f>
        <v/>
      </c>
      <c r="BF21" s="43" t="str">
        <f>IFERROR(_xlfn.XLOOKUP(Tableau1[[#This Row],[Isin]]&amp;1&amp;2019,#REF!,Tableau3[Capi]),"")</f>
        <v/>
      </c>
      <c r="BG21" s="43" t="str">
        <f>IFERROR(_xlfn.XLOOKUP(Tableau1[[#This Row],[Isin]]&amp;1&amp;2020,#REF!,Tableau3[Capi]),"")</f>
        <v/>
      </c>
      <c r="BH21" s="43">
        <f>IF(IFERROR(_xlfn.XLOOKUP(Tableau1[[#This Row],[Isin]]&amp;1&amp;2021,#REF!,Tableau3[Capi]),"")="",Tableau1[[#This Row],[Capitalisation 2021
Manuel]],IFERROR(_xlfn.XLOOKUP(Tableau1[[#This Row],[Isin]]&amp;1&amp;2021,#REF!,Tableau3[Capi]),""))</f>
        <v>0</v>
      </c>
      <c r="BI21" s="43"/>
      <c r="BJ21" s="43">
        <f>IF(IFERROR(_xlfn.XLOOKUP(Tableau1[[#This Row],[Isin]]&amp;1&amp;2022,#REF!,Tableau3[Capi]),"")="",Tableau1[[#This Row],[Capitalisation 2022
Manuel]],IFERROR(_xlfn.XLOOKUP(Tableau1[[#This Row],[Isin]]&amp;1&amp;2022,#REF!,Tableau3[Capi]),""))</f>
        <v>0</v>
      </c>
      <c r="BK21" s="43"/>
      <c r="BL21" s="43">
        <f ca="1">Tableau1[[#This Row],[Capitalisation boursière]]</f>
        <v>2986147000</v>
      </c>
      <c r="BM21" s="162" t="str" cm="1">
        <f t="array" aca="1" ref="BM21" ca="1">_FV(Tableau1[[#This Row],[Code Excel]],"Description")</f>
        <v>Aedifica sa est une société belge engagée dans le secteur financier. La Société est une société immobilière réglementée (REIT belge) qui se veut l'entité active dans le secteur immobilier résidentiel. Sa stratégie repose sur deux tendances démographiques : le vieillissement de la population en Europe occidentale et la croissance démographique dans les principales villes belges. Aedifica sa opère à travers deux piliers dans lesquels elle concentre ses activités, tels que le logement pour personnes âgées en Europe de l'Ouest et les immeubles d'habitation dans les villes belges. Ses deux pôles sont concentrés dans deux segments principaux, y compris les logements pour personnes âgées et les immeubles d'habitation, avec un segment non stratégique résiduel comprenant les hôtels et d'autres types de bâtiments. Aedifica sa détient une filiale allemande Aedifica Asset Management GmbH, qui conseille et accompagne la Société dans le développement et la gestion de son portefeuille immobilier en Allemagne. Elle opère également par l'intermédiaire d'un certain nombre de sites de soins de santé et d'une résidence de soins aux pays-Bas.</v>
      </c>
      <c r="BN21" s="43"/>
      <c r="BO21" s="43"/>
      <c r="BP21" s="43"/>
      <c r="BQ21" s="43"/>
      <c r="BR21" s="4"/>
      <c r="BS21" s="21"/>
      <c r="BT21" s="13"/>
      <c r="BU21" s="13"/>
      <c r="BV21" s="13"/>
      <c r="BW21" s="3" t="s">
        <v>1931</v>
      </c>
      <c r="BX21" s="3"/>
      <c r="BY21" s="3" t="s">
        <v>3250</v>
      </c>
      <c r="BZ21" s="47">
        <v>8.5999999999999993E-2</v>
      </c>
      <c r="CA21" s="47">
        <v>0.13</v>
      </c>
      <c r="CB21" s="50" t="s">
        <v>4323</v>
      </c>
      <c r="CC21" s="25">
        <v>200000000</v>
      </c>
      <c r="CD21" s="25">
        <f>'Base de données'!Q660</f>
        <v>3172351660.1399999</v>
      </c>
      <c r="CE21" s="35">
        <f>CC21/CD21</f>
        <v>6.3044713016202542E-2</v>
      </c>
    </row>
    <row r="22" spans="3:83">
      <c r="C22" s="43"/>
      <c r="D22" s="42">
        <f>IF(Tableau1[[#This Row],[Isin]]="",99,Tableau1[[#This Row],[Intérêt]]+Tableau1[[#This Row],[Valeur d''intérêt]]+Tableau1[[#This Row],[N° Portefeuille]])</f>
        <v>30</v>
      </c>
      <c r="E22" s="43"/>
      <c r="F22" s="42">
        <f>IF(Tableau1[[#This Row],[Portefeuille]]="p",0,Tableau1[[#This Row],[F. Investissement
Niveau d''intérêt]]*10)</f>
        <v>30</v>
      </c>
      <c r="G22" s="43">
        <f>IF(Tableau1[[#This Row],[Portefeuille]]="p",3,0)</f>
        <v>0</v>
      </c>
      <c r="H22" s="43">
        <v>3</v>
      </c>
      <c r="I22" s="43">
        <v>4</v>
      </c>
      <c r="J22" s="43"/>
      <c r="K22" s="43"/>
      <c r="L22" s="16">
        <v>0</v>
      </c>
      <c r="M2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 s="44" t="s">
        <v>3502</v>
      </c>
      <c r="O22" s="45"/>
      <c r="P22" s="4" t="s">
        <v>427</v>
      </c>
      <c r="Q22" s="4"/>
      <c r="R22" s="6"/>
      <c r="S22" s="6" t="s">
        <v>3503</v>
      </c>
      <c r="T22" s="48" t="e" vm="13">
        <v>#VALUE!</v>
      </c>
      <c r="U22" s="46" cm="1">
        <f t="array" aca="1" ref="U22" ca="1">IFERROR(_FV(Tableau1[[#This Row],[Code Excel]],"Capitalisation boursière",TRUE),"")</f>
        <v>10072150000</v>
      </c>
      <c r="V22" s="4" t="str" cm="1">
        <f t="array" aca="1" ref="V22" ca="1">IFERROR(_FV(Tableau1[[#This Row],[Code Excel]],"Industrie"),"")</f>
        <v>Insurance</v>
      </c>
      <c r="W22" s="4" t="s">
        <v>4336</v>
      </c>
      <c r="X22" s="4" t="str">
        <f ca="1">Tableau1[[#This Row],[Grand Secteur]]&amp;Tableau1[[#This Row],[Industrie]]</f>
        <v>AssuranceInsurance</v>
      </c>
      <c r="Y22" s="23" cm="1">
        <f t="array" aca="1" ref="Y22" ca="1">IFERROR(_FV(Tableau1[[#This Row],[Code Excel]],"P/E",TRUE),"")</f>
        <v>16.470300000000002</v>
      </c>
      <c r="Z22" s="43" cm="1">
        <f t="array" aca="1" ref="Z22" ca="1">IFERROR(_FV(Tableau1[[#This Row],[Code Excel]],"Employés"),"")</f>
        <v>15582</v>
      </c>
      <c r="AA22" s="46">
        <f ca="1">IFERROR(Tableau1[[#This Row],[Capitalisation boursière]]/Tableau1[[#This Row],[Employés]],"")</f>
        <v>646396.48312155053</v>
      </c>
      <c r="AB22" s="5" t="str">
        <f>IFERROR(Tableau1[[#This Row],[REX (2021)]]/Tableau1[[#This Row],[CA 2024]],"")</f>
        <v/>
      </c>
      <c r="AC22" s="9" t="str">
        <f>IFERROR(_xlfn.XLOOKUP(Tableau1[[#This Row],[Isin]]&amp;1&amp;2021,#REF!,Tableau3[Résultat d''exploitation]),"")</f>
        <v/>
      </c>
      <c r="AD22" s="9" t="str">
        <f>IFERROR(_xlfn.XLOOKUP(Tableau1[[#This Row],[Isin]]&amp;1&amp;2019,#REF!,Tableau3[Chiffre d''affaires]),"")</f>
        <v/>
      </c>
      <c r="AE22" s="9" t="str">
        <f>IFERROR(_xlfn.XLOOKUP(Tableau1[[#This Row],[Isin]]&amp;1&amp;2024,#REF!,Tableau3[Chiffre d''affaires]),"")</f>
        <v/>
      </c>
      <c r="AF22" s="8" t="str">
        <f>IFERROR(IF((Tableau1[[#This Row],[CA 2024]]-Tableau1[[#This Row],[CA 2019]])/Tableau1[[#This Row],[CA 2019]]=-1,"",(Tableau1[[#This Row],[CA 2024]]-Tableau1[[#This Row],[CA 2019]])/Tableau1[[#This Row],[CA 2019]]),"")</f>
        <v/>
      </c>
      <c r="AG22" s="9" t="str">
        <f>IFERROR(_xlfn.XLOOKUP(Tableau1[[#This Row],[Isin]]&amp;1&amp;2021,#REF!,Tableau3[EBE]),"")</f>
        <v/>
      </c>
      <c r="AH22" s="9" t="str">
        <f>IFERROR(_xlfn.XLOOKUP(Tableau1[[#This Row],[Isin]]&amp;1&amp;2022,#REF!,Tableau3[EBE]),"")</f>
        <v/>
      </c>
      <c r="AI22" s="43" t="s">
        <v>4329</v>
      </c>
      <c r="AJ22" s="43" t="s">
        <v>4322</v>
      </c>
      <c r="AK22" s="43" t="s">
        <v>3431</v>
      </c>
      <c r="AL22" s="43"/>
      <c r="AM22" s="43"/>
      <c r="AN22" s="9" t="str">
        <f>IFERROR(_xlfn.XLOOKUP(Tableau1[[#This Row],[Isin]]&amp;1&amp;2021,#REF!,Tableau3[Chiffre d''affaires]),"")</f>
        <v/>
      </c>
      <c r="AO22" s="43" cm="1">
        <f t="array" aca="1" ref="AO22" ca="1">_FV(Tableau1[[#This Row],[Code Excel]],"P/E",TRUE)</f>
        <v>16.470300000000002</v>
      </c>
      <c r="AP22" s="43" t="str">
        <f>IFERROR(_xlfn.XLOOKUP(Tableau1[[#This Row],[Isin]]&amp;1&amp;2023,#REF!,Tableau3[Résultat Net (PdG)]),"")</f>
        <v/>
      </c>
      <c r="AQ22" s="43">
        <f>IF(IFERROR(_xlfn.XLOOKUP(Tableau1[[#This Row],[Isin]]&amp;1&amp;2022,#REF!,Tableau3[Résultat Net (PdG)]),"")="",Tableau1[[#This Row],[RN Groupe 2022
Manuel]],IFERROR(_xlfn.XLOOKUP(Tableau1[[#This Row],[Isin]]&amp;1&amp;2022,#REF!,Tableau3[Résultat Net (PdG)]),""))</f>
        <v>0</v>
      </c>
      <c r="AR22" s="43"/>
      <c r="AS22" s="43">
        <f>IF(IFERROR(_xlfn.XLOOKUP(Tableau1[[#This Row],[Isin]]&amp;1&amp;2021,#REF!,Tableau3[Résultat Net (PdG)]),"")="",Tableau1[[#This Row],[RN Groupe 2021
Manuel]],IFERROR(_xlfn.XLOOKUP(Tableau1[[#This Row],[Isin]]&amp;1&amp;2021,#REF!,Tableau3[Résultat Net (PdG)]),""))</f>
        <v>0</v>
      </c>
      <c r="AT22" s="43"/>
      <c r="AU22" s="43" t="str">
        <f>IFERROR(_xlfn.XLOOKUP(Tableau1[[#This Row],[Isin]]&amp;1&amp;2020,#REF!,Tableau3[Résultat Net (PdG)]),"")</f>
        <v/>
      </c>
      <c r="AV22" s="43" t="str">
        <f>IFERROR(_xlfn.XLOOKUP(Tableau1[[#This Row],[Isin]]&amp;1&amp;2019,#REF!,Tableau3[Résultat Net (PdG)]),"")</f>
        <v/>
      </c>
      <c r="AW22" s="43" t="str">
        <f>IFERROR(_xlfn.XLOOKUP(Tableau1[[#This Row],[Isin]]&amp;1&amp;2018,#REF!,Tableau3[Résultat Net (PdG)]),"")</f>
        <v/>
      </c>
      <c r="AX22" s="43" t="str">
        <f>IFERROR(_xlfn.XLOOKUP(Tableau1[[#This Row],[Isin]]&amp;1&amp;2017,#REF!,Tableau3[Résultat Net (PdG)]),"")</f>
        <v/>
      </c>
      <c r="AY22" s="43" t="str">
        <f>IFERROR(_xlfn.XLOOKUP(Tableau1[[#This Row],[Isin]]&amp;1&amp;2016,#REF!,Tableau3[Résultat Net (PdG)]),"")</f>
        <v/>
      </c>
      <c r="AZ22" s="137" t="str">
        <f ca="1">IFERROR(Tableau1[[#This Row],[Capitalisation boursière]]/Tableau1[[#This Row],[RN Groupe 2023]],"")</f>
        <v/>
      </c>
      <c r="BA22" s="4" t="str" cm="1">
        <f t="array" aca="1" ref="BA22" ca="1">IFERROR(_FV(Tableau1[[#This Row],[Code Excel]],"Industrie"),"")</f>
        <v>Insurance</v>
      </c>
      <c r="BB22" s="43" t="s">
        <v>3496</v>
      </c>
      <c r="BC22" s="43" t="str">
        <f>IFERROR(_xlfn.XLOOKUP(Tableau1[[#This Row],[Isin]]&amp;1&amp;2016,#REF!,Tableau3[Capi]),"")</f>
        <v/>
      </c>
      <c r="BD22" s="43" t="str">
        <f>IFERROR(_xlfn.XLOOKUP(Tableau1[[#This Row],[Isin]]&amp;1&amp;2017,#REF!,Tableau3[Capi]),"")</f>
        <v/>
      </c>
      <c r="BE22" s="43" t="str">
        <f>IFERROR(_xlfn.XLOOKUP(Tableau1[[#This Row],[Isin]]&amp;1&amp;2018,#REF!,Tableau3[Capi]),"")</f>
        <v/>
      </c>
      <c r="BF22" s="43" t="str">
        <f>IFERROR(_xlfn.XLOOKUP(Tableau1[[#This Row],[Isin]]&amp;1&amp;2019,#REF!,Tableau3[Capi]),"")</f>
        <v/>
      </c>
      <c r="BG22" s="43" t="str">
        <f>IFERROR(_xlfn.XLOOKUP(Tableau1[[#This Row],[Isin]]&amp;1&amp;2020,#REF!,Tableau3[Capi]),"")</f>
        <v/>
      </c>
      <c r="BH22" s="43">
        <f>IF(IFERROR(_xlfn.XLOOKUP(Tableau1[[#This Row],[Isin]]&amp;1&amp;2021,#REF!,Tableau3[Capi]),"")="",Tableau1[[#This Row],[Capitalisation 2021
Manuel]],IFERROR(_xlfn.XLOOKUP(Tableau1[[#This Row],[Isin]]&amp;1&amp;2021,#REF!,Tableau3[Capi]),""))</f>
        <v>0</v>
      </c>
      <c r="BI22" s="43"/>
      <c r="BJ22" s="43">
        <f>IF(IFERROR(_xlfn.XLOOKUP(Tableau1[[#This Row],[Isin]]&amp;1&amp;2022,#REF!,Tableau3[Capi]),"")="",Tableau1[[#This Row],[Capitalisation 2022
Manuel]],IFERROR(_xlfn.XLOOKUP(Tableau1[[#This Row],[Isin]]&amp;1&amp;2022,#REF!,Tableau3[Capi]),""))</f>
        <v>0</v>
      </c>
      <c r="BK22" s="43"/>
      <c r="BL22" s="43">
        <f ca="1">Tableau1[[#This Row],[Capitalisation boursière]]</f>
        <v>10072150000</v>
      </c>
      <c r="BM22" s="162" t="str" cm="1">
        <f t="array" aca="1" ref="BM22" ca="1">_FV(Tableau1[[#This Row],[Code Excel]],"Description")</f>
        <v>Aegon Ltd. (Aegon) est une société holding internationale de services financiers. La Société offre des produits et des services dans les domaines de l'assurance, de l'épargne à long terme, des services bancaires et de la gestion d'actifs. Aux États-Unis, la Société opère sous deux marques : Transamerica et World Financial Group Insurance Agency, qui offre des solutions d'assurance-vie, d'investissement et de retraite. Aux pays-Bas, Aegon se concentre sur l'assurance vie, l'épargne à long terme, les solutions de retraite et de rente, et les prêts hypothécaires. Au Royaume-Uni, Aegon est la plate-forme de placement, offrant une gamme de solutions de placement, de retraite et de produits de protection aux particuliers, aux conseillers et aux employeurs. En Chine, la Société détient une participation dans Aegon THTF Life Insurance Company, qui offre des solutions d'assurance vie par l'intermédiaire d'un réseau de succursales, principalement dans l'est de la Chine. Elle a également conclu un partenariat avec Banco Santander pour distribuer des produits d'assurance vie, santé et non-vie par l'intermédiaire de ses succursales en Espagne et au Portugal.</v>
      </c>
      <c r="BN22" s="43"/>
      <c r="BO22" s="43"/>
      <c r="BP22" s="43"/>
      <c r="BQ22" s="43"/>
      <c r="BR22" s="4"/>
      <c r="BS22" s="21"/>
      <c r="BT22" s="13"/>
      <c r="BU22" s="13"/>
      <c r="BV22" s="13"/>
      <c r="BW22" s="13" t="s">
        <v>1044</v>
      </c>
      <c r="BX22" s="13"/>
      <c r="BZ22" s="4"/>
      <c r="CA22" s="4"/>
    </row>
    <row r="23" spans="3:83">
      <c r="C23" s="42"/>
      <c r="D23" s="42">
        <f>IF(Tableau1[[#This Row],[Isin]]="",99,Tableau1[[#This Row],[Intérêt]]+Tableau1[[#This Row],[Valeur d''intérêt]]+Tableau1[[#This Row],[N° Portefeuille]])</f>
        <v>20</v>
      </c>
      <c r="E23" s="42"/>
      <c r="F23" s="42">
        <f>IF(Tableau1[[#This Row],[Portefeuille]]="p",0,Tableau1[[#This Row],[F. Investissement
Niveau d''intérêt]]*10)</f>
        <v>20</v>
      </c>
      <c r="G23" s="42">
        <f>IF(Tableau1[[#This Row],[Portefeuille]]="p",3,0)</f>
        <v>0</v>
      </c>
      <c r="H23" s="42">
        <v>2</v>
      </c>
      <c r="I23" s="42">
        <v>4</v>
      </c>
      <c r="J23" s="42"/>
      <c r="K23" s="43"/>
      <c r="L23" s="16">
        <v>0</v>
      </c>
      <c r="M2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 s="44" t="s">
        <v>3506</v>
      </c>
      <c r="O23" s="45"/>
      <c r="P23" s="4" t="s">
        <v>84</v>
      </c>
      <c r="Q23" s="4"/>
      <c r="R23" s="6"/>
      <c r="S23" s="6" t="s">
        <v>3507</v>
      </c>
      <c r="T23" s="6" t="e" vm="14">
        <v>#VALUE!</v>
      </c>
      <c r="U23" s="46" cm="1">
        <f t="array" aca="1" ref="U23" ca="1">IFERROR(_FV(Tableau1[[#This Row],[Code Excel]],"Capitalisation boursière",TRUE),"")</f>
        <v>9490321000</v>
      </c>
      <c r="V23" s="4" t="str" cm="1">
        <f t="array" aca="1" ref="V23" ca="1">IFERROR(_FV(Tableau1[[#This Row],[Code Excel]],"Industrie"),"")</f>
        <v>Transport Infrastructure</v>
      </c>
      <c r="W23" s="4" t="s">
        <v>4337</v>
      </c>
      <c r="X23" s="4" t="str">
        <f ca="1">Tableau1[[#This Row],[Grand Secteur]]&amp;Tableau1[[#This Row],[Industrie]]</f>
        <v>TransportTransport Infrastructure</v>
      </c>
      <c r="Y23" s="23" cm="1">
        <f t="array" aca="1" ref="Y23" ca="1">IFERROR(_FV(Tableau1[[#This Row],[Code Excel]],"P/E",TRUE),"")</f>
        <v>27.1328</v>
      </c>
      <c r="Z23" s="43" cm="1">
        <f t="array" aca="1" ref="Z23" ca="1">IFERROR(_FV(Tableau1[[#This Row],[Code Excel]],"Employés"),"")</f>
        <v>28174</v>
      </c>
      <c r="AA23" s="49">
        <f ca="1">IFERROR(Tableau1[[#This Row],[Capitalisation boursière]]/Tableau1[[#This Row],[Employés]],"")</f>
        <v>336846.77362106909</v>
      </c>
      <c r="AB23" s="5" t="str">
        <f>IFERROR(Tableau1[[#This Row],[REX (2021)]]/Tableau1[[#This Row],[CA 2024]],"")</f>
        <v/>
      </c>
      <c r="AC23" s="9" t="str">
        <f>IFERROR(_xlfn.XLOOKUP(Tableau1[[#This Row],[Isin]]&amp;1&amp;2021,#REF!,Tableau3[Résultat d''exploitation]),"")</f>
        <v/>
      </c>
      <c r="AD23" s="9" t="str">
        <f>IFERROR(_xlfn.XLOOKUP(Tableau1[[#This Row],[Isin]]&amp;1&amp;2019,#REF!,Tableau3[Chiffre d''affaires]),"")</f>
        <v/>
      </c>
      <c r="AE23" s="9" t="str">
        <f>IFERROR(_xlfn.XLOOKUP(Tableau1[[#This Row],[Isin]]&amp;1&amp;2024,#REF!,Tableau3[Chiffre d''affaires]),"")</f>
        <v/>
      </c>
      <c r="AF23" s="8" t="str">
        <f>IFERROR(IF((Tableau1[[#This Row],[CA 2024]]-Tableau1[[#This Row],[CA 2019]])/Tableau1[[#This Row],[CA 2019]]=-1,"",(Tableau1[[#This Row],[CA 2024]]-Tableau1[[#This Row],[CA 2019]])/Tableau1[[#This Row],[CA 2019]]),"")</f>
        <v/>
      </c>
      <c r="AG23" s="9" t="str">
        <f>IFERROR(_xlfn.XLOOKUP(Tableau1[[#This Row],[Isin]]&amp;1&amp;2021,#REF!,Tableau3[EBE]),"")</f>
        <v/>
      </c>
      <c r="AH23" s="9" t="str">
        <f>IFERROR(_xlfn.XLOOKUP(Tableau1[[#This Row],[Isin]]&amp;1&amp;2022,#REF!,Tableau3[EBE]),"")</f>
        <v/>
      </c>
      <c r="AI23" s="43" t="s">
        <v>3431</v>
      </c>
      <c r="AJ23" s="43" t="s">
        <v>4322</v>
      </c>
      <c r="AK23" s="43" t="s">
        <v>4338</v>
      </c>
      <c r="AL23" s="43"/>
      <c r="AM23" s="43"/>
      <c r="AN23" s="9" t="str">
        <f>IFERROR(_xlfn.XLOOKUP(Tableau1[[#This Row],[Isin]]&amp;1&amp;2021,#REF!,Tableau3[Chiffre d''affaires]),"")</f>
        <v/>
      </c>
      <c r="AO23" s="43" cm="1">
        <f t="array" aca="1" ref="AO23" ca="1">_FV(Tableau1[[#This Row],[Code Excel]],"P/E",TRUE)</f>
        <v>27.1328</v>
      </c>
      <c r="AP23" s="43" t="str">
        <f>IFERROR(_xlfn.XLOOKUP(Tableau1[[#This Row],[Isin]]&amp;1&amp;2023,#REF!,Tableau3[Résultat Net (PdG)]),"")</f>
        <v/>
      </c>
      <c r="AQ23" s="43">
        <f>IF(IFERROR(_xlfn.XLOOKUP(Tableau1[[#This Row],[Isin]]&amp;1&amp;2022,#REF!,Tableau3[Résultat Net (PdG)]),"")="",Tableau1[[#This Row],[RN Groupe 2022
Manuel]],IFERROR(_xlfn.XLOOKUP(Tableau1[[#This Row],[Isin]]&amp;1&amp;2022,#REF!,Tableau3[Résultat Net (PdG)]),""))</f>
        <v>0</v>
      </c>
      <c r="AR23" s="43"/>
      <c r="AS23" s="43">
        <f>IF(IFERROR(_xlfn.XLOOKUP(Tableau1[[#This Row],[Isin]]&amp;1&amp;2021,#REF!,Tableau3[Résultat Net (PdG)]),"")="",Tableau1[[#This Row],[RN Groupe 2021
Manuel]],IFERROR(_xlfn.XLOOKUP(Tableau1[[#This Row],[Isin]]&amp;1&amp;2021,#REF!,Tableau3[Résultat Net (PdG)]),""))</f>
        <v>0</v>
      </c>
      <c r="AT23" s="43"/>
      <c r="AU23" s="43" t="str">
        <f>IFERROR(_xlfn.XLOOKUP(Tableau1[[#This Row],[Isin]]&amp;1&amp;2020,#REF!,Tableau3[Résultat Net (PdG)]),"")</f>
        <v/>
      </c>
      <c r="AV23" s="43" t="str">
        <f>IFERROR(_xlfn.XLOOKUP(Tableau1[[#This Row],[Isin]]&amp;1&amp;2019,#REF!,Tableau3[Résultat Net (PdG)]),"")</f>
        <v/>
      </c>
      <c r="AW23" s="43" t="str">
        <f>IFERROR(_xlfn.XLOOKUP(Tableau1[[#This Row],[Isin]]&amp;1&amp;2018,#REF!,Tableau3[Résultat Net (PdG)]),"")</f>
        <v/>
      </c>
      <c r="AX23" s="43" t="str">
        <f>IFERROR(_xlfn.XLOOKUP(Tableau1[[#This Row],[Isin]]&amp;1&amp;2017,#REF!,Tableau3[Résultat Net (PdG)]),"")</f>
        <v/>
      </c>
      <c r="AY23" s="43" t="str">
        <f>IFERROR(_xlfn.XLOOKUP(Tableau1[[#This Row],[Isin]]&amp;1&amp;2016,#REF!,Tableau3[Résultat Net (PdG)]),"")</f>
        <v/>
      </c>
      <c r="AZ23" s="137" t="str">
        <f ca="1">IFERROR(Tableau1[[#This Row],[Capitalisation boursière]]/Tableau1[[#This Row],[RN Groupe 2023]],"")</f>
        <v/>
      </c>
      <c r="BA23" s="4" t="str" cm="1">
        <f t="array" aca="1" ref="BA23" ca="1">IFERROR(_FV(Tableau1[[#This Row],[Code Excel]],"Industrie"),"")</f>
        <v>Transport Infrastructure</v>
      </c>
      <c r="BB23" s="43" t="s">
        <v>3477</v>
      </c>
      <c r="BC23" s="43" t="str">
        <f>IFERROR(_xlfn.XLOOKUP(Tableau1[[#This Row],[Isin]]&amp;1&amp;2016,#REF!,Tableau3[Capi]),"")</f>
        <v/>
      </c>
      <c r="BD23" s="43" t="str">
        <f>IFERROR(_xlfn.XLOOKUP(Tableau1[[#This Row],[Isin]]&amp;1&amp;2017,#REF!,Tableau3[Capi]),"")</f>
        <v/>
      </c>
      <c r="BE23" s="43" t="str">
        <f>IFERROR(_xlfn.XLOOKUP(Tableau1[[#This Row],[Isin]]&amp;1&amp;2018,#REF!,Tableau3[Capi]),"")</f>
        <v/>
      </c>
      <c r="BF23" s="43" t="str">
        <f>IFERROR(_xlfn.XLOOKUP(Tableau1[[#This Row],[Isin]]&amp;1&amp;2019,#REF!,Tableau3[Capi]),"")</f>
        <v/>
      </c>
      <c r="BG23" s="43" t="str">
        <f>IFERROR(_xlfn.XLOOKUP(Tableau1[[#This Row],[Isin]]&amp;1&amp;2020,#REF!,Tableau3[Capi]),"")</f>
        <v/>
      </c>
      <c r="BH23" s="43">
        <f>IF(IFERROR(_xlfn.XLOOKUP(Tableau1[[#This Row],[Isin]]&amp;1&amp;2021,#REF!,Tableau3[Capi]),"")="",Tableau1[[#This Row],[Capitalisation 2021
Manuel]],IFERROR(_xlfn.XLOOKUP(Tableau1[[#This Row],[Isin]]&amp;1&amp;2021,#REF!,Tableau3[Capi]),""))</f>
        <v>0</v>
      </c>
      <c r="BI23" s="43"/>
      <c r="BJ23" s="43">
        <f>IF(IFERROR(_xlfn.XLOOKUP(Tableau1[[#This Row],[Isin]]&amp;1&amp;2022,#REF!,Tableau3[Capi]),"")="",Tableau1[[#This Row],[Capitalisation 2022
Manuel]],IFERROR(_xlfn.XLOOKUP(Tableau1[[#This Row],[Isin]]&amp;1&amp;2022,#REF!,Tableau3[Capi]),""))</f>
        <v>0</v>
      </c>
      <c r="BK23" s="43"/>
      <c r="BL23" s="43">
        <f ca="1">Tableau1[[#This Row],[Capitalisation boursière]]</f>
        <v>9490321000</v>
      </c>
      <c r="BM23" s="162" t="str" cm="1">
        <f t="array" aca="1" ref="BM23" ca="1">_FV(Tableau1[[#This Row],[Code Excel]],"Description")</f>
        <v>Aeroports de Paris SA est une société basée en France active dans le secteur de la gestion aéroportuaire. Par l'intermédiaire de ses filiales, elle exploite cinq secteurs: aviation, commerce de détail et services, immobilier, développements internationaux et aéroportuaires et autres activités. Le secteur Aviation fournit des biens et services liés aux opérations aéroportuaires, tels que des points de contrôle de sécurité, des systèmes de contrôle, des services de sauvetage et de lutte contre les incendies d'aéronefs, entre autres. Le secteur commerce de détail et services couvre les activités de vente au détail destinées au grand public, y compris la location de commerces de détail, bars et restaurants, banques et location de voitures, entre autres. Le secteur Immobilier comprend tous les services de location immobilière de la Société, à l'exception des contrats de location simple dans les terminaux d'aéroport. Le secteur développements internationaux et aéroportuaires conçoit et exploite des activités aéroportuaires. Le secteur Autres activités comprend, entre autres, les services de télécommunications et de sécurité.</v>
      </c>
      <c r="BN23" s="43"/>
      <c r="BO23" s="43"/>
      <c r="BP23" s="43"/>
      <c r="BQ23" s="43"/>
      <c r="BR23" s="4"/>
      <c r="BS23" s="21"/>
      <c r="BT23" s="13"/>
      <c r="BU23" s="13"/>
      <c r="BV23" s="13"/>
      <c r="BW23" s="3" t="s">
        <v>4339</v>
      </c>
      <c r="BX23" s="3"/>
      <c r="BZ23" s="4"/>
      <c r="CA23" s="4"/>
    </row>
    <row r="24" spans="3:83">
      <c r="C24" s="43"/>
      <c r="D24" s="42">
        <f>IF(Tableau1[[#This Row],[Isin]]="",99,Tableau1[[#This Row],[Intérêt]]+Tableau1[[#This Row],[Valeur d''intérêt]]+Tableau1[[#This Row],[N° Portefeuille]])</f>
        <v>30</v>
      </c>
      <c r="E24" s="43"/>
      <c r="F24" s="42">
        <f>IF(Tableau1[[#This Row],[Portefeuille]]="p",0,Tableau1[[#This Row],[F. Investissement
Niveau d''intérêt]]*10)</f>
        <v>30</v>
      </c>
      <c r="G24" s="43">
        <f>IF(Tableau1[[#This Row],[Portefeuille]]="p",3,0)</f>
        <v>0</v>
      </c>
      <c r="H24" s="43">
        <v>3</v>
      </c>
      <c r="I24" s="43">
        <v>4</v>
      </c>
      <c r="J24" s="43"/>
      <c r="K24" s="43"/>
      <c r="L24" s="16">
        <v>0</v>
      </c>
      <c r="M2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 s="44" t="s">
        <v>3510</v>
      </c>
      <c r="O24" s="45"/>
      <c r="P24" s="4" t="s">
        <v>452</v>
      </c>
      <c r="Q24" s="4"/>
      <c r="R24" s="6"/>
      <c r="S24" s="6" t="s">
        <v>3511</v>
      </c>
      <c r="T24" s="6" t="e" vm="15">
        <v>#VALUE!</v>
      </c>
      <c r="U24" s="46" cm="1">
        <f t="array" aca="1" ref="U24" ca="1">IFERROR(_FV(Tableau1[[#This Row],[Code Excel]],"Capitalisation boursière",TRUE),"")</f>
        <v>10479390000</v>
      </c>
      <c r="V24" s="4" t="str" cm="1">
        <f t="array" aca="1" ref="V24" ca="1">IFERROR(_FV(Tableau1[[#This Row],[Code Excel]],"Industrie"),"")</f>
        <v>Insurance</v>
      </c>
      <c r="W24" s="4" t="s">
        <v>4336</v>
      </c>
      <c r="X24" s="4" t="str">
        <f ca="1">Tableau1[[#This Row],[Grand Secteur]]&amp;Tableau1[[#This Row],[Industrie]]</f>
        <v>AssuranceInsurance</v>
      </c>
      <c r="Y24" s="23" cm="1">
        <f t="array" aca="1" ref="Y24" ca="1">IFERROR(_FV(Tableau1[[#This Row],[Code Excel]],"P/E",TRUE),"")</f>
        <v>8.0447000000000006</v>
      </c>
      <c r="Z24" s="43" cm="1">
        <f t="array" aca="1" ref="Z24" ca="1">IFERROR(_FV(Tableau1[[#This Row],[Code Excel]],"Employés"),"")</f>
        <v>14837</v>
      </c>
      <c r="AA24" s="46">
        <f ca="1">IFERROR(Tableau1[[#This Row],[Capitalisation boursière]]/Tableau1[[#This Row],[Employés]],"")</f>
        <v>706301.13904428121</v>
      </c>
      <c r="AB24" s="5" t="str">
        <f>IFERROR(Tableau1[[#This Row],[REX (2021)]]/Tableau1[[#This Row],[CA 2024]],"")</f>
        <v/>
      </c>
      <c r="AC24" s="9" t="str">
        <f>IFERROR(_xlfn.XLOOKUP(Tableau1[[#This Row],[Isin]]&amp;1&amp;2021,#REF!,Tableau3[Résultat d''exploitation]),"")</f>
        <v/>
      </c>
      <c r="AD24" s="9" t="str">
        <f>IFERROR(_xlfn.XLOOKUP(Tableau1[[#This Row],[Isin]]&amp;1&amp;2019,#REF!,Tableau3[Chiffre d''affaires]),"")</f>
        <v/>
      </c>
      <c r="AE24" s="9" t="str">
        <f>IFERROR(_xlfn.XLOOKUP(Tableau1[[#This Row],[Isin]]&amp;1&amp;2024,#REF!,Tableau3[Chiffre d''affaires]),"")</f>
        <v/>
      </c>
      <c r="AF24" s="8" t="str">
        <f>IFERROR(IF((Tableau1[[#This Row],[CA 2024]]-Tableau1[[#This Row],[CA 2019]])/Tableau1[[#This Row],[CA 2019]]=-1,"",(Tableau1[[#This Row],[CA 2024]]-Tableau1[[#This Row],[CA 2019]])/Tableau1[[#This Row],[CA 2019]]),"")</f>
        <v/>
      </c>
      <c r="AG24" s="9" t="str">
        <f>IFERROR(_xlfn.XLOOKUP(Tableau1[[#This Row],[Isin]]&amp;1&amp;2021,#REF!,Tableau3[EBE]),"")</f>
        <v/>
      </c>
      <c r="AH24" s="9" t="str">
        <f>IFERROR(_xlfn.XLOOKUP(Tableau1[[#This Row],[Isin]]&amp;1&amp;2022,#REF!,Tableau3[EBE]),"")</f>
        <v/>
      </c>
      <c r="AI24" s="43" t="s">
        <v>4329</v>
      </c>
      <c r="AJ24" s="43" t="s">
        <v>4322</v>
      </c>
      <c r="AK24" s="43" t="s">
        <v>3431</v>
      </c>
      <c r="AL24" s="43"/>
      <c r="AM24" s="43"/>
      <c r="AN24" s="9" t="str">
        <f>IFERROR(_xlfn.XLOOKUP(Tableau1[[#This Row],[Isin]]&amp;1&amp;2021,#REF!,Tableau3[Chiffre d''affaires]),"")</f>
        <v/>
      </c>
      <c r="AO24" s="43" cm="1">
        <f t="array" aca="1" ref="AO24" ca="1">_FV(Tableau1[[#This Row],[Code Excel]],"P/E",TRUE)</f>
        <v>8.0447000000000006</v>
      </c>
      <c r="AP24" s="43" t="str">
        <f>IFERROR(_xlfn.XLOOKUP(Tableau1[[#This Row],[Isin]]&amp;1&amp;2023,#REF!,Tableau3[Résultat Net (PdG)]),"")</f>
        <v/>
      </c>
      <c r="AQ24" s="43">
        <f>IF(IFERROR(_xlfn.XLOOKUP(Tableau1[[#This Row],[Isin]]&amp;1&amp;2022,#REF!,Tableau3[Résultat Net (PdG)]),"")="",Tableau1[[#This Row],[RN Groupe 2022
Manuel]],IFERROR(_xlfn.XLOOKUP(Tableau1[[#This Row],[Isin]]&amp;1&amp;2022,#REF!,Tableau3[Résultat Net (PdG)]),""))</f>
        <v>0</v>
      </c>
      <c r="AR24" s="43"/>
      <c r="AS24" s="43">
        <f>IF(IFERROR(_xlfn.XLOOKUP(Tableau1[[#This Row],[Isin]]&amp;1&amp;2021,#REF!,Tableau3[Résultat Net (PdG)]),"")="",Tableau1[[#This Row],[RN Groupe 2021
Manuel]],IFERROR(_xlfn.XLOOKUP(Tableau1[[#This Row],[Isin]]&amp;1&amp;2021,#REF!,Tableau3[Résultat Net (PdG)]),""))</f>
        <v>0</v>
      </c>
      <c r="AT24" s="43"/>
      <c r="AU24" s="43" t="str">
        <f>IFERROR(_xlfn.XLOOKUP(Tableau1[[#This Row],[Isin]]&amp;1&amp;2020,#REF!,Tableau3[Résultat Net (PdG)]),"")</f>
        <v/>
      </c>
      <c r="AV24" s="43" t="str">
        <f>IFERROR(_xlfn.XLOOKUP(Tableau1[[#This Row],[Isin]]&amp;1&amp;2019,#REF!,Tableau3[Résultat Net (PdG)]),"")</f>
        <v/>
      </c>
      <c r="AW24" s="43" t="str">
        <f>IFERROR(_xlfn.XLOOKUP(Tableau1[[#This Row],[Isin]]&amp;1&amp;2018,#REF!,Tableau3[Résultat Net (PdG)]),"")</f>
        <v/>
      </c>
      <c r="AX24" s="43" t="str">
        <f>IFERROR(_xlfn.XLOOKUP(Tableau1[[#This Row],[Isin]]&amp;1&amp;2017,#REF!,Tableau3[Résultat Net (PdG)]),"")</f>
        <v/>
      </c>
      <c r="AY24" s="43" t="str">
        <f>IFERROR(_xlfn.XLOOKUP(Tableau1[[#This Row],[Isin]]&amp;1&amp;2016,#REF!,Tableau3[Résultat Net (PdG)]),"")</f>
        <v/>
      </c>
      <c r="AZ24" s="137" t="str">
        <f ca="1">IFERROR(Tableau1[[#This Row],[Capitalisation boursière]]/Tableau1[[#This Row],[RN Groupe 2023]],"")</f>
        <v/>
      </c>
      <c r="BA24" s="4" t="str" cm="1">
        <f t="array" aca="1" ref="BA24" ca="1">IFERROR(_FV(Tableau1[[#This Row],[Code Excel]],"Industrie"),"")</f>
        <v>Insurance</v>
      </c>
      <c r="BB24" s="43" t="s">
        <v>3482</v>
      </c>
      <c r="BC24" s="43" t="str">
        <f>IFERROR(_xlfn.XLOOKUP(Tableau1[[#This Row],[Isin]]&amp;1&amp;2016,#REF!,Tableau3[Capi]),"")</f>
        <v/>
      </c>
      <c r="BD24" s="43" t="str">
        <f>IFERROR(_xlfn.XLOOKUP(Tableau1[[#This Row],[Isin]]&amp;1&amp;2017,#REF!,Tableau3[Capi]),"")</f>
        <v/>
      </c>
      <c r="BE24" s="43" t="str">
        <f>IFERROR(_xlfn.XLOOKUP(Tableau1[[#This Row],[Isin]]&amp;1&amp;2018,#REF!,Tableau3[Capi]),"")</f>
        <v/>
      </c>
      <c r="BF24" s="43" t="str">
        <f>IFERROR(_xlfn.XLOOKUP(Tableau1[[#This Row],[Isin]]&amp;1&amp;2019,#REF!,Tableau3[Capi]),"")</f>
        <v/>
      </c>
      <c r="BG24" s="43" t="str">
        <f>IFERROR(_xlfn.XLOOKUP(Tableau1[[#This Row],[Isin]]&amp;1&amp;2020,#REF!,Tableau3[Capi]),"")</f>
        <v/>
      </c>
      <c r="BH24" s="43">
        <f>IF(IFERROR(_xlfn.XLOOKUP(Tableau1[[#This Row],[Isin]]&amp;1&amp;2021,#REF!,Tableau3[Capi]),"")="",Tableau1[[#This Row],[Capitalisation 2021
Manuel]],IFERROR(_xlfn.XLOOKUP(Tableau1[[#This Row],[Isin]]&amp;1&amp;2021,#REF!,Tableau3[Capi]),""))</f>
        <v>0</v>
      </c>
      <c r="BI24" s="43"/>
      <c r="BJ24" s="43">
        <f>IF(IFERROR(_xlfn.XLOOKUP(Tableau1[[#This Row],[Isin]]&amp;1&amp;2022,#REF!,Tableau3[Capi]),"")="",Tableau1[[#This Row],[Capitalisation 2022
Manuel]],IFERROR(_xlfn.XLOOKUP(Tableau1[[#This Row],[Isin]]&amp;1&amp;2022,#REF!,Tableau3[Capi]),""))</f>
        <v>0</v>
      </c>
      <c r="BK24" s="43"/>
      <c r="BL24" s="43">
        <f ca="1">Tableau1[[#This Row],[Capitalisation boursière]]</f>
        <v>10479390000</v>
      </c>
      <c r="BM24" s="162" t="str" cm="1">
        <f t="array" aca="1" ref="BM24" ca="1">_FV(Tableau1[[#This Row],[Code Excel]],"Description")</f>
        <v>Ageas sa est une compagnie d'assurance internationale basée en Belgique. Les secteurs d'activité de la Société comprennent la Belgique, l'Europe (à l'exclusion de la Belgique), l'Asie, la réassurance et le compte général. Les activités d'assurance belges opèrent sous le nom d'AG Insurance. L'entreprise au Royaume-Uni est un fournisseur national de solutions d'assurance non-vie. Le secteur Europe de la Société comprend les activités d'assurance de la Société en Europe, à l'exclusion de la Belgique et du Royaume-Uni. La Société opère dans un certain nombre de pays en Asie avec son bureau régional et la filiale à part entière tous deux basés à Hong Kong. Le secteur de la réassurance opère par l'intermédiaire d'Intreas NV, une filiale de la Société, qui travaille comme réassurance interne. Le compte général comprend les activités non liées à l'activité assurance principale, telles que les activités financières du groupe et autres activités de détention.</v>
      </c>
      <c r="BN24" s="43"/>
      <c r="BO24" s="43"/>
      <c r="BP24" s="43"/>
      <c r="BQ24" s="43"/>
      <c r="BR24" s="4"/>
      <c r="BS24" s="21"/>
      <c r="BT24" s="13"/>
      <c r="BU24" s="13"/>
      <c r="BV24" s="13"/>
      <c r="BW24" s="3" t="s">
        <v>997</v>
      </c>
      <c r="BX24" s="3"/>
      <c r="BY24" s="3" t="s">
        <v>997</v>
      </c>
      <c r="BZ24" s="4"/>
      <c r="CA24" s="4"/>
      <c r="CC24" s="22" t="s">
        <v>131</v>
      </c>
      <c r="CD24" s="25">
        <f>'Base de données'!Q1459</f>
        <v>6088405053.6499996</v>
      </c>
      <c r="CE24" s="22" t="s">
        <v>131</v>
      </c>
    </row>
    <row r="25" spans="3:83">
      <c r="C25" s="42"/>
      <c r="D25" s="42">
        <f>IF(Tableau1[[#This Row],[Isin]]="",99,Tableau1[[#This Row],[Intérêt]]+Tableau1[[#This Row],[Valeur d''intérêt]]+Tableau1[[#This Row],[N° Portefeuille]])</f>
        <v>30</v>
      </c>
      <c r="E25" s="42"/>
      <c r="F25" s="42">
        <f>IF(Tableau1[[#This Row],[Portefeuille]]="p",0,Tableau1[[#This Row],[F. Investissement
Niveau d''intérêt]]*10)</f>
        <v>30</v>
      </c>
      <c r="G25" s="42">
        <f>IF(Tableau1[[#This Row],[Portefeuille]]="p",3,0)</f>
        <v>0</v>
      </c>
      <c r="H25" s="42">
        <v>3</v>
      </c>
      <c r="I25" s="42">
        <v>4</v>
      </c>
      <c r="J25" s="42"/>
      <c r="K25" s="43"/>
      <c r="L25" s="16">
        <v>1</v>
      </c>
      <c r="M2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 s="44" t="s">
        <v>3513</v>
      </c>
      <c r="O25" s="44" t="s">
        <v>4340</v>
      </c>
      <c r="P25" s="4" t="s">
        <v>84</v>
      </c>
      <c r="Q25" s="6" t="s">
        <v>85</v>
      </c>
      <c r="R25" s="6"/>
      <c r="S25" s="6" t="s">
        <v>87</v>
      </c>
      <c r="T25" s="6" t="e" vm="16">
        <v>#VALUE!</v>
      </c>
      <c r="U25" s="46" cm="1">
        <f t="array" aca="1" ref="U25" ca="1">IFERROR(_FV(Tableau1[[#This Row],[Code Excel]],"Capitalisation boursière",TRUE),"")</f>
        <v>2400666000</v>
      </c>
      <c r="V25" s="4" t="str" cm="1">
        <f t="array" aca="1" ref="V25" ca="1">IFERROR(_FV(Tableau1[[#This Row],[Code Excel]],"Industrie"),"")</f>
        <v>Passenger Transportation Services</v>
      </c>
      <c r="W25" s="4" t="s">
        <v>4337</v>
      </c>
      <c r="X25" s="4" t="str">
        <f ca="1">Tableau1[[#This Row],[Grand Secteur]]&amp;Tableau1[[#This Row],[Industrie]]</f>
        <v>TransportPassenger Transportation Services</v>
      </c>
      <c r="Y25" s="23" cm="1">
        <f t="array" aca="1" ref="Y25" ca="1">IFERROR(_FV(Tableau1[[#This Row],[Code Excel]],"P/E",TRUE),"")</f>
        <v>9.2355999999999998</v>
      </c>
      <c r="Z25" s="43" cm="1">
        <f t="array" aca="1" ref="Z25" ca="1">IFERROR(_FV(Tableau1[[#This Row],[Code Excel]],"Employés"),"")</f>
        <v>80730</v>
      </c>
      <c r="AA25" s="49">
        <f ca="1">IFERROR(Tableau1[[#This Row],[Capitalisation boursière]]/Tableau1[[#This Row],[Employés]],"")</f>
        <v>29736.975102192493</v>
      </c>
      <c r="AB25" s="5" t="str">
        <f>IFERROR(Tableau1[[#This Row],[REX (2021)]]/Tableau1[[#This Row],[CA 2024]],"")</f>
        <v/>
      </c>
      <c r="AC25" s="9" t="str">
        <f>IFERROR(_xlfn.XLOOKUP(Tableau1[[#This Row],[Isin]]&amp;1&amp;2021,#REF!,Tableau3[Résultat d''exploitation]),"")</f>
        <v/>
      </c>
      <c r="AD25" s="9" t="str">
        <f>IFERROR(_xlfn.XLOOKUP(Tableau1[[#This Row],[Isin]]&amp;1&amp;2019,#REF!,Tableau3[Chiffre d''affaires]),"")</f>
        <v/>
      </c>
      <c r="AE25" s="9" t="str">
        <f>IFERROR(_xlfn.XLOOKUP(Tableau1[[#This Row],[Isin]]&amp;1&amp;2024,#REF!,Tableau3[Chiffre d''affaires]),"")</f>
        <v/>
      </c>
      <c r="AF25" s="8" t="str">
        <f>IFERROR(IF((Tableau1[[#This Row],[CA 2024]]-Tableau1[[#This Row],[CA 2019]])/Tableau1[[#This Row],[CA 2019]]=-1,"",(Tableau1[[#This Row],[CA 2024]]-Tableau1[[#This Row],[CA 2019]])/Tableau1[[#This Row],[CA 2019]]),"")</f>
        <v/>
      </c>
      <c r="AG25" s="9" t="str">
        <f>IFERROR(_xlfn.XLOOKUP(Tableau1[[#This Row],[Isin]]&amp;1&amp;2021,#REF!,Tableau3[EBE]),"")</f>
        <v/>
      </c>
      <c r="AH25" s="9" t="str">
        <f>IFERROR(_xlfn.XLOOKUP(Tableau1[[#This Row],[Isin]]&amp;1&amp;2022,#REF!,Tableau3[EBE]),"")</f>
        <v/>
      </c>
      <c r="AI25" s="43" t="s">
        <v>3431</v>
      </c>
      <c r="AJ25" s="43" t="s">
        <v>4322</v>
      </c>
      <c r="AK25" s="43" t="s">
        <v>4338</v>
      </c>
      <c r="AL25" s="43" t="s">
        <v>3419</v>
      </c>
      <c r="AM25" s="43"/>
      <c r="AN25" s="9" t="str">
        <f>IFERROR(_xlfn.XLOOKUP(Tableau1[[#This Row],[Isin]]&amp;1&amp;2021,#REF!,Tableau3[Chiffre d''affaires]),"")</f>
        <v/>
      </c>
      <c r="AO25" s="43" cm="1">
        <f t="array" aca="1" ref="AO25" ca="1">_FV(Tableau1[[#This Row],[Code Excel]],"P/E",TRUE)</f>
        <v>9.2355999999999998</v>
      </c>
      <c r="AP25" s="43" t="str">
        <f>IFERROR(_xlfn.XLOOKUP(Tableau1[[#This Row],[Isin]]&amp;1&amp;2023,#REF!,Tableau3[Résultat Net (PdG)]),"")</f>
        <v/>
      </c>
      <c r="AQ25" s="43">
        <f>IF(IFERROR(_xlfn.XLOOKUP(Tableau1[[#This Row],[Isin]]&amp;1&amp;2022,#REF!,Tableau3[Résultat Net (PdG)]),"")="",Tableau1[[#This Row],[RN Groupe 2022
Manuel]],IFERROR(_xlfn.XLOOKUP(Tableau1[[#This Row],[Isin]]&amp;1&amp;2022,#REF!,Tableau3[Résultat Net (PdG)]),""))</f>
        <v>0</v>
      </c>
      <c r="AR25" s="43"/>
      <c r="AS25" s="43">
        <f>IF(IFERROR(_xlfn.XLOOKUP(Tableau1[[#This Row],[Isin]]&amp;1&amp;2021,#REF!,Tableau3[Résultat Net (PdG)]),"")="",Tableau1[[#This Row],[RN Groupe 2021
Manuel]],IFERROR(_xlfn.XLOOKUP(Tableau1[[#This Row],[Isin]]&amp;1&amp;2021,#REF!,Tableau3[Résultat Net (PdG)]),""))</f>
        <v>0</v>
      </c>
      <c r="AT25" s="43"/>
      <c r="AU25" s="43" t="str">
        <f>IFERROR(_xlfn.XLOOKUP(Tableau1[[#This Row],[Isin]]&amp;1&amp;2020,#REF!,Tableau3[Résultat Net (PdG)]),"")</f>
        <v/>
      </c>
      <c r="AV25" s="43" t="str">
        <f>IFERROR(_xlfn.XLOOKUP(Tableau1[[#This Row],[Isin]]&amp;1&amp;2019,#REF!,Tableau3[Résultat Net (PdG)]),"")</f>
        <v/>
      </c>
      <c r="AW25" s="43" t="str">
        <f>IFERROR(_xlfn.XLOOKUP(Tableau1[[#This Row],[Isin]]&amp;1&amp;2018,#REF!,Tableau3[Résultat Net (PdG)]),"")</f>
        <v/>
      </c>
      <c r="AX25" s="43" t="str">
        <f>IFERROR(_xlfn.XLOOKUP(Tableau1[[#This Row],[Isin]]&amp;1&amp;2017,#REF!,Tableau3[Résultat Net (PdG)]),"")</f>
        <v/>
      </c>
      <c r="AY25" s="43" t="str">
        <f>IFERROR(_xlfn.XLOOKUP(Tableau1[[#This Row],[Isin]]&amp;1&amp;2016,#REF!,Tableau3[Résultat Net (PdG)]),"")</f>
        <v/>
      </c>
      <c r="AZ25" s="137" t="str">
        <f ca="1">IFERROR(Tableau1[[#This Row],[Capitalisation boursière]]/Tableau1[[#This Row],[RN Groupe 2023]],"")</f>
        <v/>
      </c>
      <c r="BA25" s="4" t="str" cm="1">
        <f t="array" aca="1" ref="BA25" ca="1">IFERROR(_FV(Tableau1[[#This Row],[Code Excel]],"Industrie"),"")</f>
        <v>Passenger Transportation Services</v>
      </c>
      <c r="BB25" s="43" t="s">
        <v>3477</v>
      </c>
      <c r="BC25" s="43" t="str">
        <f>IFERROR(_xlfn.XLOOKUP(Tableau1[[#This Row],[Isin]]&amp;1&amp;2016,#REF!,Tableau3[Capi]),"")</f>
        <v/>
      </c>
      <c r="BD25" s="43" t="str">
        <f>IFERROR(_xlfn.XLOOKUP(Tableau1[[#This Row],[Isin]]&amp;1&amp;2017,#REF!,Tableau3[Capi]),"")</f>
        <v/>
      </c>
      <c r="BE25" s="43" t="str">
        <f>IFERROR(_xlfn.XLOOKUP(Tableau1[[#This Row],[Isin]]&amp;1&amp;2018,#REF!,Tableau3[Capi]),"")</f>
        <v/>
      </c>
      <c r="BF25" s="43" t="str">
        <f>IFERROR(_xlfn.XLOOKUP(Tableau1[[#This Row],[Isin]]&amp;1&amp;2019,#REF!,Tableau3[Capi]),"")</f>
        <v/>
      </c>
      <c r="BG25" s="43" t="str">
        <f>IFERROR(_xlfn.XLOOKUP(Tableau1[[#This Row],[Isin]]&amp;1&amp;2020,#REF!,Tableau3[Capi]),"")</f>
        <v/>
      </c>
      <c r="BH25" s="43">
        <f>IF(IFERROR(_xlfn.XLOOKUP(Tableau1[[#This Row],[Isin]]&amp;1&amp;2021,#REF!,Tableau3[Capi]),"")="",Tableau1[[#This Row],[Capitalisation 2021
Manuel]],IFERROR(_xlfn.XLOOKUP(Tableau1[[#This Row],[Isin]]&amp;1&amp;2021,#REF!,Tableau3[Capi]),""))</f>
        <v>0</v>
      </c>
      <c r="BI25" s="43"/>
      <c r="BJ25" s="43">
        <f>IF(IFERROR(_xlfn.XLOOKUP(Tableau1[[#This Row],[Isin]]&amp;1&amp;2022,#REF!,Tableau3[Capi]),"")="",Tableau1[[#This Row],[Capitalisation 2022
Manuel]],IFERROR(_xlfn.XLOOKUP(Tableau1[[#This Row],[Isin]]&amp;1&amp;2022,#REF!,Tableau3[Capi]),""))</f>
        <v>0</v>
      </c>
      <c r="BK25" s="43"/>
      <c r="BL25" s="43">
        <f ca="1">Tableau1[[#This Row],[Capitalisation boursière]]</f>
        <v>2400666000</v>
      </c>
      <c r="BM25" s="162" t="str" cm="1">
        <f t="array" aca="1" ref="BM25" ca="1">_FV(Tableau1[[#This Row],[Code Excel]],"Description")</f>
        <v>Air France KLM-sa est une compagnie aérienne basée en France. La Société est engagée dans le transport de passagers. Ses activités comprennent également le fret, la maintenance aéronautique et d'autres activités liées au transport aérien, y compris la restauration. Les deux sous-groupes Air France et KLM de la Société ont un programme de flyer, Flying Blue, qui permet aux membres d'acquérir des miles lorsqu'ils voyagent avec des partenaires aériens ou lors de transactions avec des partenaires non aériens. Ses activités comprennent le transport de passagers, le transport de marchandises, la maintenance et d'autres activités. Le réseau de la Société est organisé autour des hubs de Paris-Charles de Gaulle et Amsterdam-Schiphol. Grâce à ces deux hubs, la Société relie l'Europe au reste du monde, avec environ 320 destinations dans plus de 115 pays. Transavia, la filiale de la société, exerce des activités aux pays-Bas et en France destinées aux clients de loisirs moyen-courriers, ainsi qu'à ses vols charters et ses tour-opérateurs.</v>
      </c>
      <c r="BN25" s="43"/>
      <c r="BO25" s="43"/>
      <c r="BP25" s="43"/>
      <c r="BQ25" s="43"/>
      <c r="BR25" s="4"/>
      <c r="BS25" s="53">
        <f>Tableau1[[#Totals],[Secteurs]]</f>
        <v>0</v>
      </c>
      <c r="BT25" s="12" t="s">
        <v>4341</v>
      </c>
      <c r="BU25" s="13"/>
      <c r="BV25" s="14"/>
      <c r="BW25" s="13" t="s">
        <v>425</v>
      </c>
      <c r="BX25" s="3"/>
      <c r="BY25" s="13" t="s">
        <v>2555</v>
      </c>
      <c r="BZ25" s="47">
        <v>0.05</v>
      </c>
      <c r="CA25" s="47">
        <v>0.05</v>
      </c>
      <c r="CB25" s="6" t="s">
        <v>4317</v>
      </c>
      <c r="CC25" s="25">
        <f>'Base de données'!T3663</f>
        <v>-219000000</v>
      </c>
      <c r="CD25" s="25">
        <f>'Base de données'!Q3663</f>
        <v>2310299439.8399997</v>
      </c>
      <c r="CE25" s="35">
        <f>CC25/CD25</f>
        <v>-9.4792907024713172E-2</v>
      </c>
    </row>
    <row r="26" spans="3:83">
      <c r="C26" s="43"/>
      <c r="D26" s="42">
        <f>IF(Tableau1[[#This Row],[Isin]]="",99,Tableau1[[#This Row],[Intérêt]]+Tableau1[[#This Row],[Valeur d''intérêt]]+Tableau1[[#This Row],[N° Portefeuille]])</f>
        <v>30</v>
      </c>
      <c r="E26" s="43"/>
      <c r="F26" s="42">
        <f>IF(Tableau1[[#This Row],[Portefeuille]]="p",0,Tableau1[[#This Row],[F. Investissement
Niveau d''intérêt]]*10)</f>
        <v>30</v>
      </c>
      <c r="G26" s="43">
        <f>IF(Tableau1[[#This Row],[Portefeuille]]="p",3,0)</f>
        <v>0</v>
      </c>
      <c r="H26" s="43">
        <v>3</v>
      </c>
      <c r="I26" s="43">
        <v>3</v>
      </c>
      <c r="J26" s="43"/>
      <c r="K26" s="43"/>
      <c r="L26" s="16">
        <v>1</v>
      </c>
      <c r="M2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 s="44" t="s">
        <v>3516</v>
      </c>
      <c r="O26" s="44" t="s">
        <v>4342</v>
      </c>
      <c r="P26" s="4" t="s">
        <v>84</v>
      </c>
      <c r="Q26" s="6" t="s">
        <v>85</v>
      </c>
      <c r="R26" s="6"/>
      <c r="S26" s="6" t="s">
        <v>980</v>
      </c>
      <c r="T26" s="6" t="e" vm="17">
        <v>#VALUE!</v>
      </c>
      <c r="U26" s="46" cm="1">
        <f t="array" aca="1" ref="U26" ca="1">IFERROR(_FV(Tableau1[[#This Row],[Code Excel]],"Capitalisation boursière",TRUE),"")</f>
        <v>101965800000</v>
      </c>
      <c r="V26" s="4" t="str" cm="1">
        <f t="array" aca="1" ref="V26" ca="1">IFERROR(_FV(Tableau1[[#This Row],[Code Excel]],"Industrie"),"")</f>
        <v>Chemicals</v>
      </c>
      <c r="W26" s="4" t="s">
        <v>2431</v>
      </c>
      <c r="X26" s="4" t="str">
        <f ca="1">Tableau1[[#This Row],[Grand Secteur]]&amp;Tableau1[[#This Row],[Industrie]]</f>
        <v>ChimieChemicals</v>
      </c>
      <c r="Y26" s="23" cm="1">
        <f t="array" aca="1" ref="Y26" ca="1">IFERROR(_FV(Tableau1[[#This Row],[Code Excel]],"P/E",TRUE),"")</f>
        <v>30.743500000000001</v>
      </c>
      <c r="Z26" s="43" cm="1">
        <f t="array" aca="1" ref="Z26" ca="1">IFERROR(_FV(Tableau1[[#This Row],[Code Excel]],"Employés"),"")</f>
        <v>66657</v>
      </c>
      <c r="AA26" s="46">
        <f ca="1">IFERROR(Tableau1[[#This Row],[Capitalisation boursière]]/Tableau1[[#This Row],[Employés]],"")</f>
        <v>1529708.8077771277</v>
      </c>
      <c r="AB26" s="5" t="str">
        <f>IFERROR(Tableau1[[#This Row],[REX (2021)]]/Tableau1[[#This Row],[CA 2024]],"")</f>
        <v/>
      </c>
      <c r="AC26" s="9" t="str">
        <f>IFERROR(_xlfn.XLOOKUP(Tableau1[[#This Row],[Isin]]&amp;1&amp;2021,#REF!,Tableau3[Résultat d''exploitation]),"")</f>
        <v/>
      </c>
      <c r="AD26" s="9" t="str">
        <f>IFERROR(_xlfn.XLOOKUP(Tableau1[[#This Row],[Isin]]&amp;1&amp;2019,#REF!,Tableau3[Chiffre d''affaires]),"")</f>
        <v/>
      </c>
      <c r="AE26" s="9" t="str">
        <f>IFERROR(_xlfn.XLOOKUP(Tableau1[[#This Row],[Isin]]&amp;1&amp;2024,#REF!,Tableau3[Chiffre d''affaires]),"")</f>
        <v/>
      </c>
      <c r="AF26" s="8" t="str">
        <f>IFERROR(IF((Tableau1[[#This Row],[CA 2024]]-Tableau1[[#This Row],[CA 2019]])/Tableau1[[#This Row],[CA 2019]]=-1,"",(Tableau1[[#This Row],[CA 2024]]-Tableau1[[#This Row],[CA 2019]])/Tableau1[[#This Row],[CA 2019]]),"")</f>
        <v/>
      </c>
      <c r="AG26" s="9" t="str">
        <f>IFERROR(_xlfn.XLOOKUP(Tableau1[[#This Row],[Isin]]&amp;1&amp;2021,#REF!,Tableau3[EBE]),"")</f>
        <v/>
      </c>
      <c r="AH26" s="9" t="str">
        <f>IFERROR(_xlfn.XLOOKUP(Tableau1[[#This Row],[Isin]]&amp;1&amp;2022,#REF!,Tableau3[EBE]),"")</f>
        <v/>
      </c>
      <c r="AI26" s="43" t="s">
        <v>4343</v>
      </c>
      <c r="AJ26" s="43" t="s">
        <v>3150</v>
      </c>
      <c r="AK26" s="43" t="s">
        <v>3148</v>
      </c>
      <c r="AL26" s="43" t="s">
        <v>3149</v>
      </c>
      <c r="AM26" s="43"/>
      <c r="AN26" s="9" t="str">
        <f>IFERROR(_xlfn.XLOOKUP(Tableau1[[#This Row],[Isin]]&amp;1&amp;2021,#REF!,Tableau3[Chiffre d''affaires]),"")</f>
        <v/>
      </c>
      <c r="AO26" s="43" cm="1">
        <f t="array" aca="1" ref="AO26" ca="1">_FV(Tableau1[[#This Row],[Code Excel]],"P/E",TRUE)</f>
        <v>30.743500000000001</v>
      </c>
      <c r="AP26" s="43" t="str">
        <f>IFERROR(_xlfn.XLOOKUP(Tableau1[[#This Row],[Isin]]&amp;1&amp;2023,#REF!,Tableau3[Résultat Net (PdG)]),"")</f>
        <v/>
      </c>
      <c r="AQ26" s="43">
        <f>IF(IFERROR(_xlfn.XLOOKUP(Tableau1[[#This Row],[Isin]]&amp;1&amp;2022,#REF!,Tableau3[Résultat Net (PdG)]),"")="",Tableau1[[#This Row],[RN Groupe 2022
Manuel]],IFERROR(_xlfn.XLOOKUP(Tableau1[[#This Row],[Isin]]&amp;1&amp;2022,#REF!,Tableau3[Résultat Net (PdG)]),""))</f>
        <v>2760000000</v>
      </c>
      <c r="AR26" s="140">
        <v>2760000000</v>
      </c>
      <c r="AS26" s="43">
        <f>IF(IFERROR(_xlfn.XLOOKUP(Tableau1[[#This Row],[Isin]]&amp;1&amp;2021,#REF!,Tableau3[Résultat Net (PdG)]),"")="",Tableau1[[#This Row],[RN Groupe 2021
Manuel]],IFERROR(_xlfn.XLOOKUP(Tableau1[[#This Row],[Isin]]&amp;1&amp;2021,#REF!,Tableau3[Résultat Net (PdG)]),""))</f>
        <v>0</v>
      </c>
      <c r="AT26" s="140"/>
      <c r="AU26" s="43" t="str">
        <f>IFERROR(_xlfn.XLOOKUP(Tableau1[[#This Row],[Isin]]&amp;1&amp;2020,#REF!,Tableau3[Résultat Net (PdG)]),"")</f>
        <v/>
      </c>
      <c r="AV26" s="43" t="str">
        <f>IFERROR(_xlfn.XLOOKUP(Tableau1[[#This Row],[Isin]]&amp;1&amp;2019,#REF!,Tableau3[Résultat Net (PdG)]),"")</f>
        <v/>
      </c>
      <c r="AW26" s="43" t="str">
        <f>IFERROR(_xlfn.XLOOKUP(Tableau1[[#This Row],[Isin]]&amp;1&amp;2018,#REF!,Tableau3[Résultat Net (PdG)]),"")</f>
        <v/>
      </c>
      <c r="AX26" s="43" t="str">
        <f>IFERROR(_xlfn.XLOOKUP(Tableau1[[#This Row],[Isin]]&amp;1&amp;2017,#REF!,Tableau3[Résultat Net (PdG)]),"")</f>
        <v/>
      </c>
      <c r="AY26" s="43" t="str">
        <f>IFERROR(_xlfn.XLOOKUP(Tableau1[[#This Row],[Isin]]&amp;1&amp;2016,#REF!,Tableau3[Résultat Net (PdG)]),"")</f>
        <v/>
      </c>
      <c r="AZ26" s="137" t="str">
        <f ca="1">IFERROR(Tableau1[[#This Row],[Capitalisation boursière]]/Tableau1[[#This Row],[RN Groupe 2023]],"")</f>
        <v/>
      </c>
      <c r="BA26" s="4" t="str" cm="1">
        <f t="array" aca="1" ref="BA26" ca="1">IFERROR(_FV(Tableau1[[#This Row],[Code Excel]],"Industrie"),"")</f>
        <v>Chemicals</v>
      </c>
      <c r="BB26" s="43" t="s">
        <v>3518</v>
      </c>
      <c r="BC26" s="43" t="str">
        <f>IFERROR(_xlfn.XLOOKUP(Tableau1[[#This Row],[Isin]]&amp;1&amp;2016,#REF!,Tableau3[Capi]),"")</f>
        <v/>
      </c>
      <c r="BD26" s="43" t="str">
        <f>IFERROR(_xlfn.XLOOKUP(Tableau1[[#This Row],[Isin]]&amp;1&amp;2017,#REF!,Tableau3[Capi]),"")</f>
        <v/>
      </c>
      <c r="BE26" s="43" t="str">
        <f>IFERROR(_xlfn.XLOOKUP(Tableau1[[#This Row],[Isin]]&amp;1&amp;2018,#REF!,Tableau3[Capi]),"")</f>
        <v/>
      </c>
      <c r="BF26" s="43" t="str">
        <f>IFERROR(_xlfn.XLOOKUP(Tableau1[[#This Row],[Isin]]&amp;1&amp;2019,#REF!,Tableau3[Capi]),"")</f>
        <v/>
      </c>
      <c r="BG26" s="43" t="str">
        <f>IFERROR(_xlfn.XLOOKUP(Tableau1[[#This Row],[Isin]]&amp;1&amp;2020,#REF!,Tableau3[Capi]),"")</f>
        <v/>
      </c>
      <c r="BH26" s="43">
        <f>IF(IFERROR(_xlfn.XLOOKUP(Tableau1[[#This Row],[Isin]]&amp;1&amp;2021,#REF!,Tableau3[Capi]),"")="",Tableau1[[#This Row],[Capitalisation 2021
Manuel]],IFERROR(_xlfn.XLOOKUP(Tableau1[[#This Row],[Isin]]&amp;1&amp;2021,#REF!,Tableau3[Capi]),""))</f>
        <v>0</v>
      </c>
      <c r="BI26" s="142"/>
      <c r="BJ26" s="141">
        <f>IF(IFERROR(_xlfn.XLOOKUP(Tableau1[[#This Row],[Isin]]&amp;1&amp;2022,#REF!,Tableau3[Capi]),"")="",Tableau1[[#This Row],[Capitalisation 2022
Manuel]],IFERROR(_xlfn.XLOOKUP(Tableau1[[#This Row],[Isin]]&amp;1&amp;2022,#REF!,Tableau3[Capi]),""))</f>
        <v>0</v>
      </c>
      <c r="BK26" s="142"/>
      <c r="BL26" s="43">
        <f ca="1">Tableau1[[#This Row],[Capitalisation boursière]]</f>
        <v>101965800000</v>
      </c>
      <c r="BM26" s="162" t="str" cm="1">
        <f t="array" aca="1" ref="BM26" ca="1">_FV(Tableau1[[#This Row],[Code Excel]],"Description")</f>
        <v>L'Air Liquide Societe Anonyme Pour l'etude Et l'exploitation Des Procedes Georges Claude SA, anciennement Air Liquide SA, est une société gazière basée en France, qui fournit des technologies et des services liés aux gaz. Elle opère sur deux segments: La Production de gaz industriels et médicaux qui comprennent l'oxygène, l'azote, l'hydrogène, le gaz de synthèse. En outre, le groupe fournit des équipements et des services pour le contrôle des systèmes de fluides, la gestion des gaz chimiques et des liquides, les services de soins à domicile et d'hygiène hospitalière et l'équipement de salle d'opération. Le Chiffre d'affaires par marché est ventilé entre les industries, la santé et l'électronique; et D'autres qui comprennent les activités d'ingénierie et de construction des usines de production de gaz et la fabrication de produits de technologie de pointe. La Société assiste à travers le monde de nombreuses industries, telles que l'aéronautique, l'automobile, les boissons, les produits chimiques, construction, fabrication électronique, alimentation et verre, entre autres.</v>
      </c>
      <c r="BN26" s="43"/>
      <c r="BO26" s="43"/>
      <c r="BP26" s="43"/>
      <c r="BQ26" s="43"/>
      <c r="BR26" s="4"/>
      <c r="BS26" s="14">
        <v>58</v>
      </c>
      <c r="BT26" s="12" t="s">
        <v>4344</v>
      </c>
      <c r="BU26" s="14"/>
      <c r="BV26" s="14"/>
      <c r="BW26" s="3" t="s">
        <v>1857</v>
      </c>
      <c r="BX26" s="13"/>
      <c r="BY26" s="13" t="s">
        <v>486</v>
      </c>
      <c r="BZ26" s="47">
        <v>8.9200000000000002E-2</v>
      </c>
      <c r="CA26" s="47" t="s">
        <v>4345</v>
      </c>
      <c r="CB26" s="6" t="s">
        <v>4317</v>
      </c>
      <c r="CC26" s="25">
        <f>'Base de données'!T606</f>
        <v>76000000</v>
      </c>
      <c r="CD26" s="25">
        <f>'Base de données'!Q604</f>
        <v>768302538.29999995</v>
      </c>
      <c r="CE26" s="35">
        <f>CC26/CD26</f>
        <v>9.89193660197491E-2</v>
      </c>
    </row>
    <row r="27" spans="3:83">
      <c r="C27" s="42"/>
      <c r="D27" s="42">
        <f>IF(Tableau1[[#This Row],[Isin]]="",99,Tableau1[[#This Row],[Intérêt]]+Tableau1[[#This Row],[Valeur d''intérêt]]+Tableau1[[#This Row],[N° Portefeuille]])</f>
        <v>20</v>
      </c>
      <c r="E27" s="42"/>
      <c r="F27" s="42">
        <f>IF(Tableau1[[#This Row],[Portefeuille]]="p",0,Tableau1[[#This Row],[F. Investissement
Niveau d''intérêt]]*10)</f>
        <v>20</v>
      </c>
      <c r="G27" s="42">
        <f>IF(Tableau1[[#This Row],[Portefeuille]]="p",3,0)</f>
        <v>0</v>
      </c>
      <c r="H27" s="42">
        <v>2</v>
      </c>
      <c r="I27" s="42">
        <v>2</v>
      </c>
      <c r="J27" s="42"/>
      <c r="K27" s="43"/>
      <c r="L27" s="16">
        <v>1</v>
      </c>
      <c r="M2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 s="44" t="s">
        <v>1415</v>
      </c>
      <c r="O27" s="44" t="s">
        <v>1395</v>
      </c>
      <c r="P27" s="4" t="s">
        <v>84</v>
      </c>
      <c r="Q27" s="6" t="s">
        <v>85</v>
      </c>
      <c r="R27" s="6"/>
      <c r="S27" s="6" t="s">
        <v>1417</v>
      </c>
      <c r="T27" s="6" t="e" vm="18">
        <v>#VALUE!</v>
      </c>
      <c r="U27" s="46" cm="1">
        <f t="array" aca="1" ref="U27" ca="1">IFERROR(_FV(Tableau1[[#This Row],[Code Excel]],"Capitalisation boursière",TRUE),"")</f>
        <v>131725100000</v>
      </c>
      <c r="V27" s="4" t="str" cm="1">
        <f t="array" aca="1" ref="V27" ca="1">IFERROR(_FV(Tableau1[[#This Row],[Code Excel]],"Industrie"),"")</f>
        <v>Aerospace &amp; Defense</v>
      </c>
      <c r="W27" s="4" t="str" cm="1">
        <f t="array" aca="1" ref="W27" ca="1">IFERROR(_FV(Tableau1[[#This Row],[Code Excel]],"Industrie"),"")</f>
        <v>Aerospace &amp; Defense</v>
      </c>
      <c r="X27" s="4" t="str">
        <f ca="1">Tableau1[[#This Row],[Grand Secteur]]&amp;Tableau1[[#This Row],[Industrie]]</f>
        <v>Aerospace &amp; DefenseAerospace &amp; Defense</v>
      </c>
      <c r="Y27" s="23" cm="1">
        <f t="array" aca="1" ref="Y27" ca="1">IFERROR(_FV(Tableau1[[#This Row],[Code Excel]],"P/E",TRUE),"")</f>
        <v>30.674099999999999</v>
      </c>
      <c r="Z27" s="43" cm="1">
        <f t="array" aca="1" ref="Z27" ca="1">IFERROR(_FV(Tableau1[[#This Row],[Code Excel]],"Employés"),"")</f>
        <v>156921</v>
      </c>
      <c r="AA27" s="46">
        <f ca="1">IFERROR(Tableau1[[#This Row],[Capitalisation boursière]]/Tableau1[[#This Row],[Employés]],"")</f>
        <v>839435.76704201475</v>
      </c>
      <c r="AB27" s="5" t="str">
        <f>IFERROR(Tableau1[[#This Row],[REX (2021)]]/Tableau1[[#This Row],[CA 2024]],"")</f>
        <v/>
      </c>
      <c r="AC27" s="9" t="str">
        <f>IFERROR(_xlfn.XLOOKUP(Tableau1[[#This Row],[Isin]]&amp;1&amp;2021,#REF!,Tableau3[Résultat d''exploitation]),"")</f>
        <v/>
      </c>
      <c r="AD27" s="9" t="str">
        <f>IFERROR(_xlfn.XLOOKUP(Tableau1[[#This Row],[Isin]]&amp;1&amp;2019,#REF!,Tableau3[Chiffre d''affaires]),"")</f>
        <v/>
      </c>
      <c r="AE27" s="9" t="str">
        <f>IFERROR(_xlfn.XLOOKUP(Tableau1[[#This Row],[Isin]]&amp;1&amp;2024,#REF!,Tableau3[Chiffre d''affaires]),"")</f>
        <v/>
      </c>
      <c r="AF27" s="8" t="str">
        <f>IFERROR(IF((Tableau1[[#This Row],[CA 2024]]-Tableau1[[#This Row],[CA 2019]])/Tableau1[[#This Row],[CA 2019]]=-1,"",(Tableau1[[#This Row],[CA 2024]]-Tableau1[[#This Row],[CA 2019]])/Tableau1[[#This Row],[CA 2019]]),"")</f>
        <v/>
      </c>
      <c r="AG27" s="9" t="str">
        <f>IFERROR(_xlfn.XLOOKUP(Tableau1[[#This Row],[Isin]]&amp;1&amp;2021,#REF!,Tableau3[EBE]),"")</f>
        <v/>
      </c>
      <c r="AH27" s="9" t="str">
        <f>IFERROR(_xlfn.XLOOKUP(Tableau1[[#This Row],[Isin]]&amp;1&amp;2022,#REF!,Tableau3[EBE]),"")</f>
        <v/>
      </c>
      <c r="AI27" s="43" t="s">
        <v>4343</v>
      </c>
      <c r="AJ27" s="43" t="s">
        <v>4322</v>
      </c>
      <c r="AK27" s="43" t="s">
        <v>3431</v>
      </c>
      <c r="AL27" s="43" t="s">
        <v>4338</v>
      </c>
      <c r="AM27" s="43"/>
      <c r="AN27" s="9" t="str">
        <f>IFERROR(_xlfn.XLOOKUP(Tableau1[[#This Row],[Isin]]&amp;1&amp;2021,#REF!,Tableau3[Chiffre d''affaires]),"")</f>
        <v/>
      </c>
      <c r="AO27" s="43" cm="1">
        <f t="array" aca="1" ref="AO27" ca="1">_FV(Tableau1[[#This Row],[Code Excel]],"P/E",TRUE)</f>
        <v>30.674099999999999</v>
      </c>
      <c r="AP27" s="43" t="str">
        <f>IFERROR(_xlfn.XLOOKUP(Tableau1[[#This Row],[Isin]]&amp;1&amp;2023,#REF!,Tableau3[Résultat Net (PdG)]),"")</f>
        <v/>
      </c>
      <c r="AQ27" s="43">
        <f>IF(IFERROR(_xlfn.XLOOKUP(Tableau1[[#This Row],[Isin]]&amp;1&amp;2022,#REF!,Tableau3[Résultat Net (PdG)]),"")="",Tableau1[[#This Row],[RN Groupe 2022
Manuel]],IFERROR(_xlfn.XLOOKUP(Tableau1[[#This Row],[Isin]]&amp;1&amp;2022,#REF!,Tableau3[Résultat Net (PdG)]),""))</f>
        <v>0</v>
      </c>
      <c r="AR27" s="140"/>
      <c r="AS27" s="43">
        <f>IF(IFERROR(_xlfn.XLOOKUP(Tableau1[[#This Row],[Isin]]&amp;1&amp;2021,#REF!,Tableau3[Résultat Net (PdG)]),"")="",Tableau1[[#This Row],[RN Groupe 2021
Manuel]],IFERROR(_xlfn.XLOOKUP(Tableau1[[#This Row],[Isin]]&amp;1&amp;2021,#REF!,Tableau3[Résultat Net (PdG)]),""))</f>
        <v>0</v>
      </c>
      <c r="AT27" s="140"/>
      <c r="AU27" s="43" t="str">
        <f>IFERROR(_xlfn.XLOOKUP(Tableau1[[#This Row],[Isin]]&amp;1&amp;2020,#REF!,Tableau3[Résultat Net (PdG)]),"")</f>
        <v/>
      </c>
      <c r="AV27" s="43" t="str">
        <f>IFERROR(_xlfn.XLOOKUP(Tableau1[[#This Row],[Isin]]&amp;1&amp;2019,#REF!,Tableau3[Résultat Net (PdG)]),"")</f>
        <v/>
      </c>
      <c r="AW27" s="43" t="str">
        <f>IFERROR(_xlfn.XLOOKUP(Tableau1[[#This Row],[Isin]]&amp;1&amp;2018,#REF!,Tableau3[Résultat Net (PdG)]),"")</f>
        <v/>
      </c>
      <c r="AX27" s="43" t="str">
        <f>IFERROR(_xlfn.XLOOKUP(Tableau1[[#This Row],[Isin]]&amp;1&amp;2017,#REF!,Tableau3[Résultat Net (PdG)]),"")</f>
        <v/>
      </c>
      <c r="AY27" s="43" t="str">
        <f>IFERROR(_xlfn.XLOOKUP(Tableau1[[#This Row],[Isin]]&amp;1&amp;2016,#REF!,Tableau3[Résultat Net (PdG)]),"")</f>
        <v/>
      </c>
      <c r="AZ27" s="137" t="str">
        <f ca="1">IFERROR(Tableau1[[#This Row],[Capitalisation boursière]]/Tableau1[[#This Row],[RN Groupe 2023]],"")</f>
        <v/>
      </c>
      <c r="BA27" s="4" t="str" cm="1">
        <f t="array" aca="1" ref="BA27" ca="1">IFERROR(_FV(Tableau1[[#This Row],[Code Excel]],"Industrie"),"")</f>
        <v>Aerospace &amp; Defense</v>
      </c>
      <c r="BB27" s="43" t="s">
        <v>3518</v>
      </c>
      <c r="BC27" s="43" t="str">
        <f>IFERROR(_xlfn.XLOOKUP(Tableau1[[#This Row],[Isin]]&amp;1&amp;2016,#REF!,Tableau3[Capi]),"")</f>
        <v/>
      </c>
      <c r="BD27" s="43" t="str">
        <f>IFERROR(_xlfn.XLOOKUP(Tableau1[[#This Row],[Isin]]&amp;1&amp;2017,#REF!,Tableau3[Capi]),"")</f>
        <v/>
      </c>
      <c r="BE27" s="43" t="str">
        <f>IFERROR(_xlfn.XLOOKUP(Tableau1[[#This Row],[Isin]]&amp;1&amp;2018,#REF!,Tableau3[Capi]),"")</f>
        <v/>
      </c>
      <c r="BF27" s="43" t="str">
        <f>IFERROR(_xlfn.XLOOKUP(Tableau1[[#This Row],[Isin]]&amp;1&amp;2019,#REF!,Tableau3[Capi]),"")</f>
        <v/>
      </c>
      <c r="BG27" s="43" t="str">
        <f>IFERROR(_xlfn.XLOOKUP(Tableau1[[#This Row],[Isin]]&amp;1&amp;2020,#REF!,Tableau3[Capi]),"")</f>
        <v/>
      </c>
      <c r="BH27" s="43">
        <f>IF(IFERROR(_xlfn.XLOOKUP(Tableau1[[#This Row],[Isin]]&amp;1&amp;2021,#REF!,Tableau3[Capi]),"")="",Tableau1[[#This Row],[Capitalisation 2021
Manuel]],IFERROR(_xlfn.XLOOKUP(Tableau1[[#This Row],[Isin]]&amp;1&amp;2021,#REF!,Tableau3[Capi]),""))</f>
        <v>0</v>
      </c>
      <c r="BI27" s="142"/>
      <c r="BJ27" s="141">
        <f>IF(IFERROR(_xlfn.XLOOKUP(Tableau1[[#This Row],[Isin]]&amp;1&amp;2022,#REF!,Tableau3[Capi]),"")="",Tableau1[[#This Row],[Capitalisation 2022
Manuel]],IFERROR(_xlfn.XLOOKUP(Tableau1[[#This Row],[Isin]]&amp;1&amp;2022,#REF!,Tableau3[Capi]),""))</f>
        <v>98397435000</v>
      </c>
      <c r="BK27" s="142">
        <v>98397435000</v>
      </c>
      <c r="BL27" s="43">
        <f ca="1">Tableau1[[#This Row],[Capitalisation boursière]]</f>
        <v>131725100000</v>
      </c>
      <c r="BM27" s="162" t="str" cm="1">
        <f t="array" aca="1" ref="BM27" ca="1">_FV(Tableau1[[#This Row],[Code Excel]],"Description")</f>
        <v>Airbus SE, anciennement Airbus Group SE, est une société basée aux Pays-Bas active dans l'industrie aérospatiale et de la défense. La Société opère à travers trois segments : Airbus, Airbus Helicopters et Airbus Defence and Space. Le segment Airbus se concentre sur le développement, la fabrication, la commercialisation et la vente d'avions à réaction commerciaux et de composants d'avions, ainsi que sur la conversion d'avions et les services associés. Le segment Airbus Helicopters est spécialisé dans le développement, la fabrication, la commercialisation et la vente d'hélicoptères civils et militaires, ainsi que dans la fourniture de services liés aux hélicoptères. Le segment Airbus Defence and Space produit des avions de combat militaires et des avions d'entraînement, fournit des solutions de marché de l'électronique de défense et de la sécurité mondiale, et fabrique et commercialise des missiles.</v>
      </c>
      <c r="BN27" s="43"/>
      <c r="BO27" s="43"/>
      <c r="BP27" s="43"/>
      <c r="BQ27" s="43"/>
      <c r="BR27" s="4"/>
      <c r="BS27" s="14">
        <v>14</v>
      </c>
      <c r="BT27" s="24" t="s">
        <v>4346</v>
      </c>
      <c r="BU27" s="14"/>
      <c r="BV27" s="14"/>
      <c r="BW27" s="3" t="s">
        <v>486</v>
      </c>
      <c r="BX27" s="3"/>
      <c r="BY27" s="13" t="s">
        <v>163</v>
      </c>
      <c r="BZ27" s="47">
        <v>0.15820000000000001</v>
      </c>
      <c r="CA27" s="47">
        <v>0.06</v>
      </c>
      <c r="CB27" s="50" t="s">
        <v>4320</v>
      </c>
      <c r="CC27" s="25">
        <v>2904000000</v>
      </c>
      <c r="CD27" s="25">
        <f>'Base de données'!Q151</f>
        <v>32420968602.649998</v>
      </c>
      <c r="CE27" s="35">
        <f>CC27/CD27</f>
        <v>8.9571660723382435E-2</v>
      </c>
    </row>
    <row r="28" spans="3:83">
      <c r="C28" s="43"/>
      <c r="D28" s="42">
        <f>IF(Tableau1[[#This Row],[Isin]]="",99,Tableau1[[#This Row],[Intérêt]]+Tableau1[[#This Row],[Valeur d''intérêt]]+Tableau1[[#This Row],[N° Portefeuille]])</f>
        <v>30</v>
      </c>
      <c r="E28" s="43"/>
      <c r="F28" s="42">
        <f>IF(Tableau1[[#This Row],[Portefeuille]]="p",0,Tableau1[[#This Row],[F. Investissement
Niveau d''intérêt]]*10)</f>
        <v>30</v>
      </c>
      <c r="G28" s="43">
        <f>IF(Tableau1[[#This Row],[Portefeuille]]="p",3,0)</f>
        <v>0</v>
      </c>
      <c r="H28" s="43">
        <v>3</v>
      </c>
      <c r="I28" s="43">
        <v>4</v>
      </c>
      <c r="J28" s="43"/>
      <c r="K28" s="43"/>
      <c r="L28" s="16">
        <v>0</v>
      </c>
      <c r="M2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 s="44" t="s">
        <v>3522</v>
      </c>
      <c r="O28" s="45"/>
      <c r="P28" s="4" t="s">
        <v>427</v>
      </c>
      <c r="Q28" s="4"/>
      <c r="R28" s="6"/>
      <c r="S28" s="6" t="s">
        <v>3523</v>
      </c>
      <c r="T28" s="6" t="e" vm="19">
        <v>#VALUE!</v>
      </c>
      <c r="U28" s="46" cm="1">
        <f t="array" aca="1" ref="U28" ca="1">IFERROR(_FV(Tableau1[[#This Row],[Code Excel]],"Capitalisation boursière",TRUE),"")</f>
        <v>9676657000</v>
      </c>
      <c r="V28" s="4" t="str" cm="1">
        <f t="array" aca="1" ref="V28" ca="1">IFERROR(_FV(Tableau1[[#This Row],[Code Excel]],"Industrie"),"")</f>
        <v>Chemicals</v>
      </c>
      <c r="W28" s="4" t="s">
        <v>2431</v>
      </c>
      <c r="X28" s="4" t="str">
        <f ca="1">Tableau1[[#This Row],[Grand Secteur]]&amp;Tableau1[[#This Row],[Industrie]]</f>
        <v>ChimieChemicals</v>
      </c>
      <c r="Y28" s="23" cm="1">
        <f t="array" aca="1" ref="Y28" ca="1">IFERROR(_FV(Tableau1[[#This Row],[Code Excel]],"P/E",TRUE),"")</f>
        <v>17.913900000000002</v>
      </c>
      <c r="Z28" s="43" cm="1">
        <f t="array" aca="1" ref="Z28" ca="1">IFERROR(_FV(Tableau1[[#This Row],[Code Excel]],"Employés"),"")</f>
        <v>34600</v>
      </c>
      <c r="AA28" s="46">
        <f ca="1">IFERROR(Tableau1[[#This Row],[Capitalisation boursière]]/Tableau1[[#This Row],[Employés]],"")</f>
        <v>279672.16763005778</v>
      </c>
      <c r="AB28" s="5" t="str">
        <f>IFERROR(Tableau1[[#This Row],[REX (2021)]]/Tableau1[[#This Row],[CA 2024]],"")</f>
        <v/>
      </c>
      <c r="AC28" s="9" t="str">
        <f>IFERROR(_xlfn.XLOOKUP(Tableau1[[#This Row],[Isin]]&amp;1&amp;2021,#REF!,Tableau3[Résultat d''exploitation]),"")</f>
        <v/>
      </c>
      <c r="AD28" s="9" t="str">
        <f>IFERROR(_xlfn.XLOOKUP(Tableau1[[#This Row],[Isin]]&amp;1&amp;2019,#REF!,Tableau3[Chiffre d''affaires]),"")</f>
        <v/>
      </c>
      <c r="AE28" s="9" t="str">
        <f>IFERROR(_xlfn.XLOOKUP(Tableau1[[#This Row],[Isin]]&amp;1&amp;2024,#REF!,Tableau3[Chiffre d''affaires]),"")</f>
        <v/>
      </c>
      <c r="AF28" s="8" t="str">
        <f>IFERROR(IF((Tableau1[[#This Row],[CA 2024]]-Tableau1[[#This Row],[CA 2019]])/Tableau1[[#This Row],[CA 2019]]=-1,"",(Tableau1[[#This Row],[CA 2024]]-Tableau1[[#This Row],[CA 2019]])/Tableau1[[#This Row],[CA 2019]]),"")</f>
        <v/>
      </c>
      <c r="AG28" s="9" t="str">
        <f>IFERROR(_xlfn.XLOOKUP(Tableau1[[#This Row],[Isin]]&amp;1&amp;2021,#REF!,Tableau3[EBE]),"")</f>
        <v/>
      </c>
      <c r="AH28" s="9" t="str">
        <f>IFERROR(_xlfn.XLOOKUP(Tableau1[[#This Row],[Isin]]&amp;1&amp;2022,#REF!,Tableau3[EBE]),"")</f>
        <v/>
      </c>
      <c r="AI28" s="43" t="s">
        <v>4329</v>
      </c>
      <c r="AJ28" s="43" t="s">
        <v>3150</v>
      </c>
      <c r="AK28" s="43" t="s">
        <v>3148</v>
      </c>
      <c r="AL28" s="43"/>
      <c r="AM28" s="43"/>
      <c r="AN28" s="9" t="str">
        <f>IFERROR(_xlfn.XLOOKUP(Tableau1[[#This Row],[Isin]]&amp;1&amp;2021,#REF!,Tableau3[Chiffre d''affaires]),"")</f>
        <v/>
      </c>
      <c r="AO28" s="43" cm="1">
        <f t="array" aca="1" ref="AO28" ca="1">_FV(Tableau1[[#This Row],[Code Excel]],"P/E",TRUE)</f>
        <v>17.913900000000002</v>
      </c>
      <c r="AP28" s="43" t="str">
        <f>IFERROR(_xlfn.XLOOKUP(Tableau1[[#This Row],[Isin]]&amp;1&amp;2023,#REF!,Tableau3[Résultat Net (PdG)]),"")</f>
        <v/>
      </c>
      <c r="AQ28" s="43">
        <f>IF(IFERROR(_xlfn.XLOOKUP(Tableau1[[#This Row],[Isin]]&amp;1&amp;2022,#REF!,Tableau3[Résultat Net (PdG)]),"")="",Tableau1[[#This Row],[RN Groupe 2022
Manuel]],IFERROR(_xlfn.XLOOKUP(Tableau1[[#This Row],[Isin]]&amp;1&amp;2022,#REF!,Tableau3[Résultat Net (PdG)]),""))</f>
        <v>0</v>
      </c>
      <c r="AR28" s="43"/>
      <c r="AS28" s="43">
        <f>IF(IFERROR(_xlfn.XLOOKUP(Tableau1[[#This Row],[Isin]]&amp;1&amp;2021,#REF!,Tableau3[Résultat Net (PdG)]),"")="",Tableau1[[#This Row],[RN Groupe 2021
Manuel]],IFERROR(_xlfn.XLOOKUP(Tableau1[[#This Row],[Isin]]&amp;1&amp;2021,#REF!,Tableau3[Résultat Net (PdG)]),""))</f>
        <v>0</v>
      </c>
      <c r="AT28" s="43"/>
      <c r="AU28" s="43" t="str">
        <f>IFERROR(_xlfn.XLOOKUP(Tableau1[[#This Row],[Isin]]&amp;1&amp;2020,#REF!,Tableau3[Résultat Net (PdG)]),"")</f>
        <v/>
      </c>
      <c r="AV28" s="43" t="str">
        <f>IFERROR(_xlfn.XLOOKUP(Tableau1[[#This Row],[Isin]]&amp;1&amp;2019,#REF!,Tableau3[Résultat Net (PdG)]),"")</f>
        <v/>
      </c>
      <c r="AW28" s="43" t="str">
        <f>IFERROR(_xlfn.XLOOKUP(Tableau1[[#This Row],[Isin]]&amp;1&amp;2018,#REF!,Tableau3[Résultat Net (PdG)]),"")</f>
        <v/>
      </c>
      <c r="AX28" s="43" t="str">
        <f>IFERROR(_xlfn.XLOOKUP(Tableau1[[#This Row],[Isin]]&amp;1&amp;2017,#REF!,Tableau3[Résultat Net (PdG)]),"")</f>
        <v/>
      </c>
      <c r="AY28" s="43" t="str">
        <f>IFERROR(_xlfn.XLOOKUP(Tableau1[[#This Row],[Isin]]&amp;1&amp;2016,#REF!,Tableau3[Résultat Net (PdG)]),"")</f>
        <v/>
      </c>
      <c r="AZ28" s="137" t="str">
        <f ca="1">IFERROR(Tableau1[[#This Row],[Capitalisation boursière]]/Tableau1[[#This Row],[RN Groupe 2023]],"")</f>
        <v/>
      </c>
      <c r="BA28" s="4" t="str" cm="1">
        <f t="array" aca="1" ref="BA28" ca="1">IFERROR(_FV(Tableau1[[#This Row],[Code Excel]],"Industrie"),"")</f>
        <v>Chemicals</v>
      </c>
      <c r="BB28" s="43" t="s">
        <v>3496</v>
      </c>
      <c r="BC28" s="43" t="str">
        <f>IFERROR(_xlfn.XLOOKUP(Tableau1[[#This Row],[Isin]]&amp;1&amp;2016,#REF!,Tableau3[Capi]),"")</f>
        <v/>
      </c>
      <c r="BD28" s="43" t="str">
        <f>IFERROR(_xlfn.XLOOKUP(Tableau1[[#This Row],[Isin]]&amp;1&amp;2017,#REF!,Tableau3[Capi]),"")</f>
        <v/>
      </c>
      <c r="BE28" s="43" t="str">
        <f>IFERROR(_xlfn.XLOOKUP(Tableau1[[#This Row],[Isin]]&amp;1&amp;2018,#REF!,Tableau3[Capi]),"")</f>
        <v/>
      </c>
      <c r="BF28" s="43" t="str">
        <f>IFERROR(_xlfn.XLOOKUP(Tableau1[[#This Row],[Isin]]&amp;1&amp;2019,#REF!,Tableau3[Capi]),"")</f>
        <v/>
      </c>
      <c r="BG28" s="43" t="str">
        <f>IFERROR(_xlfn.XLOOKUP(Tableau1[[#This Row],[Isin]]&amp;1&amp;2020,#REF!,Tableau3[Capi]),"")</f>
        <v/>
      </c>
      <c r="BH28" s="43">
        <f>IF(IFERROR(_xlfn.XLOOKUP(Tableau1[[#This Row],[Isin]]&amp;1&amp;2021,#REF!,Tableau3[Capi]),"")="",Tableau1[[#This Row],[Capitalisation 2021
Manuel]],IFERROR(_xlfn.XLOOKUP(Tableau1[[#This Row],[Isin]]&amp;1&amp;2021,#REF!,Tableau3[Capi]),""))</f>
        <v>0</v>
      </c>
      <c r="BI28" s="43"/>
      <c r="BJ28" s="43">
        <f>IF(IFERROR(_xlfn.XLOOKUP(Tableau1[[#This Row],[Isin]]&amp;1&amp;2022,#REF!,Tableau3[Capi]),"")="",Tableau1[[#This Row],[Capitalisation 2022
Manuel]],IFERROR(_xlfn.XLOOKUP(Tableau1[[#This Row],[Isin]]&amp;1&amp;2022,#REF!,Tableau3[Capi]),""))</f>
        <v>0</v>
      </c>
      <c r="BK28" s="43"/>
      <c r="BL28" s="43">
        <f ca="1">Tableau1[[#This Row],[Capitalisation boursière]]</f>
        <v>9676657000</v>
      </c>
      <c r="BM28" s="162" t="str" cm="1">
        <f t="array" aca="1" ref="BM28" ca="1">_FV(Tableau1[[#This Row],[Code Excel]],"Description")</f>
        <v>Akzo Nobel NV est une société de peintures et de revêtements basée aux Pays-Bas. La société opère à travers deux segments d'activité : Peintures décoratives et Revêtements de performance. Le segment Peintures décoratives fournit une gamme de produits, notamment des peintures, des laques et des vernis. Il propose également une gamme de machines de mélange et de concepts de couleurs pour le secteur de la construction et de la rénovation, ainsi que des revêtements spéciaux pour le métal, le bois et d'autres matériaux de construction essentiels. Le segment Revêtements de performance dispose d'un portefeuille qui comprend des peintures et des revêtements pour les navires, les voitures, les avions, les yachts et les composants architecturaux (acier de construction, produits de construction, revêtements de sol), les biens de consommation (appareils mobiles, électroménagers, canettes de boissons, meubles) et les installations pétrolières et gazières.</v>
      </c>
      <c r="BN28" s="43"/>
      <c r="BO28" s="43"/>
      <c r="BP28" s="43"/>
      <c r="BQ28" s="43"/>
      <c r="BR28" s="4"/>
      <c r="BS28" s="21"/>
      <c r="BT28" s="21"/>
      <c r="BU28" s="13"/>
      <c r="BV28" s="13"/>
      <c r="BW28" s="13" t="s">
        <v>2418</v>
      </c>
      <c r="BX28" s="3"/>
      <c r="BY28" s="3" t="s">
        <v>574</v>
      </c>
      <c r="BZ28" s="47">
        <v>0.34</v>
      </c>
      <c r="CA28" s="47">
        <v>0.12</v>
      </c>
      <c r="CB28" s="50" t="s">
        <v>4323</v>
      </c>
      <c r="CC28" s="25">
        <f>'Base de données'!T733</f>
        <v>4424000000</v>
      </c>
      <c r="CD28" s="25">
        <f>'Base de données'!Q731</f>
        <v>58115785935</v>
      </c>
      <c r="CE28" s="35">
        <f>CC28/CD28</f>
        <v>7.612389523473112E-2</v>
      </c>
    </row>
    <row r="29" spans="3:83">
      <c r="C29" s="42"/>
      <c r="D29" s="42">
        <f>IF(Tableau1[[#This Row],[Isin]]="",99,Tableau1[[#This Row],[Intérêt]]+Tableau1[[#This Row],[Valeur d''intérêt]]+Tableau1[[#This Row],[N° Portefeuille]])</f>
        <v>30</v>
      </c>
      <c r="E29" s="42"/>
      <c r="F29" s="42">
        <f>IF(Tableau1[[#This Row],[Portefeuille]]="p",0,Tableau1[[#This Row],[F. Investissement
Niveau d''intérêt]]*10)</f>
        <v>30</v>
      </c>
      <c r="G29" s="42">
        <f>IF(Tableau1[[#This Row],[Portefeuille]]="p",3,0)</f>
        <v>0</v>
      </c>
      <c r="H29" s="42">
        <v>3</v>
      </c>
      <c r="I29" s="42">
        <v>4</v>
      </c>
      <c r="J29" s="42"/>
      <c r="K29" s="43"/>
      <c r="L29" s="16">
        <v>0</v>
      </c>
      <c r="M2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 s="44" t="s">
        <v>3525</v>
      </c>
      <c r="O29" s="45"/>
      <c r="P29" s="4" t="s">
        <v>84</v>
      </c>
      <c r="Q29" s="4"/>
      <c r="R29" s="6" t="s">
        <v>4347</v>
      </c>
      <c r="S29" s="6" t="s">
        <v>3526</v>
      </c>
      <c r="T29" s="6" t="e" vm="20">
        <v>#VALUE!</v>
      </c>
      <c r="U29" s="46" cm="1">
        <f t="array" aca="1" ref="U29" ca="1">IFERROR(_FV(Tableau1[[#This Row],[Code Excel]],"Capitalisation boursière",TRUE),"")</f>
        <v>1526993000</v>
      </c>
      <c r="V29" s="4" t="str" cm="1">
        <f t="array" aca="1" ref="V29" ca="1">IFERROR(_FV(Tableau1[[#This Row],[Code Excel]],"Industrie"),"")</f>
        <v>Electrical Utilities &amp; IPPs</v>
      </c>
      <c r="W29" s="4" t="s">
        <v>371</v>
      </c>
      <c r="X29" s="4" t="str">
        <f ca="1">Tableau1[[#This Row],[Grand Secteur]]&amp;Tableau1[[#This Row],[Industrie]]</f>
        <v>EnergieElectrical Utilities &amp; IPPs</v>
      </c>
      <c r="Y29" s="23" cm="1">
        <f t="array" aca="1" ref="Y29" ca="1">IFERROR(_FV(Tableau1[[#This Row],[Code Excel]],"P/E",TRUE),"")</f>
        <v>26.341100000000001</v>
      </c>
      <c r="Z29" s="43" cm="1">
        <f t="array" aca="1" ref="Z29" ca="1">IFERROR(_FV(Tableau1[[#This Row],[Code Excel]],"Employés"),"")</f>
        <v>678</v>
      </c>
      <c r="AA29" s="46">
        <f ca="1">IFERROR(Tableau1[[#This Row],[Capitalisation boursière]]/Tableau1[[#This Row],[Employés]],"")</f>
        <v>2252202.0648967554</v>
      </c>
      <c r="AB29" s="5" t="str">
        <f>IFERROR(Tableau1[[#This Row],[REX (2021)]]/Tableau1[[#This Row],[CA 2024]],"")</f>
        <v/>
      </c>
      <c r="AC29" s="9" t="str">
        <f>IFERROR(_xlfn.XLOOKUP(Tableau1[[#This Row],[Isin]]&amp;1&amp;2021,#REF!,Tableau3[Résultat d''exploitation]),"")</f>
        <v/>
      </c>
      <c r="AD29" s="9" t="str">
        <f>IFERROR(_xlfn.XLOOKUP(Tableau1[[#This Row],[Isin]]&amp;1&amp;2019,#REF!,Tableau3[Chiffre d''affaires]),"")</f>
        <v/>
      </c>
      <c r="AE29" s="9" t="str">
        <f>IFERROR(_xlfn.XLOOKUP(Tableau1[[#This Row],[Isin]]&amp;1&amp;2024,#REF!,Tableau3[Chiffre d''affaires]),"")</f>
        <v/>
      </c>
      <c r="AF29" s="8" t="str">
        <f>IFERROR(IF((Tableau1[[#This Row],[CA 2024]]-Tableau1[[#This Row],[CA 2019]])/Tableau1[[#This Row],[CA 2019]]=-1,"",(Tableau1[[#This Row],[CA 2024]]-Tableau1[[#This Row],[CA 2019]])/Tableau1[[#This Row],[CA 2019]]),"")</f>
        <v/>
      </c>
      <c r="AG29" s="9" t="str">
        <f>IFERROR(_xlfn.XLOOKUP(Tableau1[[#This Row],[Isin]]&amp;1&amp;2021,#REF!,Tableau3[EBE]),"")</f>
        <v/>
      </c>
      <c r="AH29" s="9" t="str">
        <f>IFERROR(_xlfn.XLOOKUP(Tableau1[[#This Row],[Isin]]&amp;1&amp;2022,#REF!,Tableau3[EBE]),"")</f>
        <v/>
      </c>
      <c r="AI29" s="43" t="s">
        <v>3431</v>
      </c>
      <c r="AJ29" s="43" t="s">
        <v>4348</v>
      </c>
      <c r="AK29" s="43" t="s">
        <v>3149</v>
      </c>
      <c r="AL29" s="43"/>
      <c r="AM29" s="43"/>
      <c r="AN29" s="9" t="str">
        <f>IFERROR(_xlfn.XLOOKUP(Tableau1[[#This Row],[Isin]]&amp;1&amp;2021,#REF!,Tableau3[Chiffre d''affaires]),"")</f>
        <v/>
      </c>
      <c r="AO29" s="43" cm="1">
        <f t="array" aca="1" ref="AO29" ca="1">_FV(Tableau1[[#This Row],[Code Excel]],"P/E",TRUE)</f>
        <v>26.341100000000001</v>
      </c>
      <c r="AP29" s="43" t="str">
        <f>IFERROR(_xlfn.XLOOKUP(Tableau1[[#This Row],[Isin]]&amp;1&amp;2023,#REF!,Tableau3[Résultat Net (PdG)]),"")</f>
        <v/>
      </c>
      <c r="AQ29" s="43">
        <f>IF(IFERROR(_xlfn.XLOOKUP(Tableau1[[#This Row],[Isin]]&amp;1&amp;2022,#REF!,Tableau3[Résultat Net (PdG)]),"")="",Tableau1[[#This Row],[RN Groupe 2022
Manuel]],IFERROR(_xlfn.XLOOKUP(Tableau1[[#This Row],[Isin]]&amp;1&amp;2022,#REF!,Tableau3[Résultat Net (PdG)]),""))</f>
        <v>0</v>
      </c>
      <c r="AR29" s="43"/>
      <c r="AS29" s="43">
        <f>IF(IFERROR(_xlfn.XLOOKUP(Tableau1[[#This Row],[Isin]]&amp;1&amp;2021,#REF!,Tableau3[Résultat Net (PdG)]),"")="",Tableau1[[#This Row],[RN Groupe 2021
Manuel]],IFERROR(_xlfn.XLOOKUP(Tableau1[[#This Row],[Isin]]&amp;1&amp;2021,#REF!,Tableau3[Résultat Net (PdG)]),""))</f>
        <v>0</v>
      </c>
      <c r="AT29" s="43"/>
      <c r="AU29" s="43" t="str">
        <f>IFERROR(_xlfn.XLOOKUP(Tableau1[[#This Row],[Isin]]&amp;1&amp;2020,#REF!,Tableau3[Résultat Net (PdG)]),"")</f>
        <v/>
      </c>
      <c r="AV29" s="43" t="str">
        <f>IFERROR(_xlfn.XLOOKUP(Tableau1[[#This Row],[Isin]]&amp;1&amp;2019,#REF!,Tableau3[Résultat Net (PdG)]),"")</f>
        <v/>
      </c>
      <c r="AW29" s="43" t="str">
        <f>IFERROR(_xlfn.XLOOKUP(Tableau1[[#This Row],[Isin]]&amp;1&amp;2018,#REF!,Tableau3[Résultat Net (PdG)]),"")</f>
        <v/>
      </c>
      <c r="AX29" s="43" t="str">
        <f>IFERROR(_xlfn.XLOOKUP(Tableau1[[#This Row],[Isin]]&amp;1&amp;2017,#REF!,Tableau3[Résultat Net (PdG)]),"")</f>
        <v/>
      </c>
      <c r="AY29" s="43" t="str">
        <f>IFERROR(_xlfn.XLOOKUP(Tableau1[[#This Row],[Isin]]&amp;1&amp;2016,#REF!,Tableau3[Résultat Net (PdG)]),"")</f>
        <v/>
      </c>
      <c r="AZ29" s="137" t="str">
        <f ca="1">IFERROR(Tableau1[[#This Row],[Capitalisation boursière]]/Tableau1[[#This Row],[RN Groupe 2023]],"")</f>
        <v/>
      </c>
      <c r="BA29" s="4" t="s">
        <v>3527</v>
      </c>
      <c r="BB29" s="43" t="s">
        <v>3477</v>
      </c>
      <c r="BC29" s="43" t="str">
        <f>IFERROR(_xlfn.XLOOKUP(Tableau1[[#This Row],[Isin]]&amp;1&amp;2016,#REF!,Tableau3[Capi]),"")</f>
        <v/>
      </c>
      <c r="BD29" s="43" t="str">
        <f>IFERROR(_xlfn.XLOOKUP(Tableau1[[#This Row],[Isin]]&amp;1&amp;2017,#REF!,Tableau3[Capi]),"")</f>
        <v/>
      </c>
      <c r="BE29" s="43" t="str">
        <f>IFERROR(_xlfn.XLOOKUP(Tableau1[[#This Row],[Isin]]&amp;1&amp;2018,#REF!,Tableau3[Capi]),"")</f>
        <v/>
      </c>
      <c r="BF29" s="43" t="str">
        <f>IFERROR(_xlfn.XLOOKUP(Tableau1[[#This Row],[Isin]]&amp;1&amp;2019,#REF!,Tableau3[Capi]),"")</f>
        <v/>
      </c>
      <c r="BG29" s="43" t="str">
        <f>IFERROR(_xlfn.XLOOKUP(Tableau1[[#This Row],[Isin]]&amp;1&amp;2020,#REF!,Tableau3[Capi]),"")</f>
        <v/>
      </c>
      <c r="BH29" s="43">
        <f>IF(IFERROR(_xlfn.XLOOKUP(Tableau1[[#This Row],[Isin]]&amp;1&amp;2021,#REF!,Tableau3[Capi]),"")="",Tableau1[[#This Row],[Capitalisation 2021
Manuel]],IFERROR(_xlfn.XLOOKUP(Tableau1[[#This Row],[Isin]]&amp;1&amp;2021,#REF!,Tableau3[Capi]),""))</f>
        <v>0</v>
      </c>
      <c r="BI29" s="43"/>
      <c r="BJ29" s="43">
        <f>IF(IFERROR(_xlfn.XLOOKUP(Tableau1[[#This Row],[Isin]]&amp;1&amp;2022,#REF!,Tableau3[Capi]),"")="",Tableau1[[#This Row],[Capitalisation 2022
Manuel]],IFERROR(_xlfn.XLOOKUP(Tableau1[[#This Row],[Isin]]&amp;1&amp;2022,#REF!,Tableau3[Capi]),""))</f>
        <v>0</v>
      </c>
      <c r="BK29" s="43"/>
      <c r="BL29" s="43">
        <f ca="1">Tableau1[[#This Row],[Capitalisation boursière]]</f>
        <v>1526993000</v>
      </c>
      <c r="BM29" s="162" t="str" cm="1">
        <f t="array" aca="1" ref="BM29" ca="1">_FV(Tableau1[[#This Row],[Code Excel]],"Description")</f>
        <v xml:space="preserve">Albioma SA is a France-based independent power producer. The Company specializes in the design, construction, management and operation of electrical power cogeneration plants. The Company is principally engaged in the production of energy from combined bagasse and coal power plants located in the French overseas departments, fuel oil thermal power plant and gas-powered plants. Furthermore, it produces renewable energy resources. The Company also operates around five wind farms in France and is active in the solar energy sector. The Company operates via its subsidiaries in the French overseas departments in the Caribbean and Indian Ocean Regions, as well as in mainland France, Italy and Spain. </v>
      </c>
      <c r="BN29" s="43"/>
      <c r="BO29" s="43"/>
      <c r="BP29" s="43"/>
      <c r="BQ29" s="43"/>
      <c r="BR29" s="4"/>
      <c r="BS29" s="30" t="s">
        <v>4349</v>
      </c>
      <c r="BT29" s="21"/>
      <c r="BU29" s="13"/>
      <c r="BV29" s="13"/>
      <c r="BW29" s="13" t="s">
        <v>2867</v>
      </c>
      <c r="BX29" s="3"/>
      <c r="BY29" s="3" t="s">
        <v>4350</v>
      </c>
      <c r="BZ29" s="47">
        <v>0.24</v>
      </c>
      <c r="CA29" s="47">
        <v>0.09</v>
      </c>
      <c r="CB29" s="50" t="s">
        <v>4320</v>
      </c>
      <c r="CC29" s="25"/>
      <c r="CD29" s="25">
        <f>'Base de données'!Q2194</f>
        <v>52677600000</v>
      </c>
      <c r="CE29" s="35"/>
    </row>
    <row r="30" spans="3:83">
      <c r="C30" s="43"/>
      <c r="D30" s="42">
        <f>IF(Tableau1[[#This Row],[Isin]]="",99,Tableau1[[#This Row],[Intérêt]]+Tableau1[[#This Row],[Valeur d''intérêt]]+Tableau1[[#This Row],[N° Portefeuille]])</f>
        <v>30</v>
      </c>
      <c r="E30" s="43"/>
      <c r="F30" s="42">
        <f>IF(Tableau1[[#This Row],[Portefeuille]]="p",0,Tableau1[[#This Row],[F. Investissement
Niveau d''intérêt]]*10)</f>
        <v>30</v>
      </c>
      <c r="G30" s="43">
        <f>IF(Tableau1[[#This Row],[Portefeuille]]="p",3,0)</f>
        <v>0</v>
      </c>
      <c r="H30" s="43">
        <v>3</v>
      </c>
      <c r="I30" s="43">
        <v>4</v>
      </c>
      <c r="J30" s="43"/>
      <c r="K30" s="43"/>
      <c r="L30" s="16">
        <v>0</v>
      </c>
      <c r="M3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 s="44" t="s">
        <v>3529</v>
      </c>
      <c r="O30" s="45"/>
      <c r="P30" s="4" t="s">
        <v>99</v>
      </c>
      <c r="Q30" s="4"/>
      <c r="R30" s="6"/>
      <c r="S30" s="6" t="s">
        <v>3530</v>
      </c>
      <c r="T30" s="6" t="e" vm="21">
        <v>#VALUE!</v>
      </c>
      <c r="U30" s="46" cm="1">
        <f t="array" aca="1" ref="U30" ca="1">IFERROR(_FV(Tableau1[[#This Row],[Code Excel]],"Capitalisation boursière",TRUE),"")</f>
        <v>42126820000</v>
      </c>
      <c r="V30" s="4" t="str" cm="1">
        <f t="array" aca="1" ref="V30" ca="1">IFERROR(_FV(Tableau1[[#This Row],[Code Excel]],"Industrie"),"")</f>
        <v>Healthcare Equipment &amp; Supplies</v>
      </c>
      <c r="W30" s="4" t="s">
        <v>1586</v>
      </c>
      <c r="X30" s="4" t="str">
        <f ca="1">Tableau1[[#This Row],[Grand Secteur]]&amp;Tableau1[[#This Row],[Industrie]]</f>
        <v>SantéHealthcare Equipment &amp; Supplies</v>
      </c>
      <c r="Y30" s="23" cm="1">
        <f t="array" aca="1" ref="Y30" ca="1">IFERROR(_FV(Tableau1[[#This Row],[Code Excel]],"P/E",TRUE),"")</f>
        <v>45.376300000000001</v>
      </c>
      <c r="Z30" s="43" cm="1">
        <f t="array" aca="1" ref="Z30" ca="1">IFERROR(_FV(Tableau1[[#This Row],[Code Excel]],"Employés"),"")</f>
        <v>25599</v>
      </c>
      <c r="AA30" s="49">
        <f ca="1">IFERROR(Tableau1[[#This Row],[Capitalisation boursière]]/Tableau1[[#This Row],[Employés]],"")</f>
        <v>1645643.1891870776</v>
      </c>
      <c r="AB30" s="5" t="str">
        <f>IFERROR(Tableau1[[#This Row],[REX (2021)]]/Tableau1[[#This Row],[CA 2024]],"")</f>
        <v/>
      </c>
      <c r="AC30" s="9" t="str">
        <f>IFERROR(_xlfn.XLOOKUP(Tableau1[[#This Row],[Isin]]&amp;1&amp;2021,#REF!,Tableau3[Résultat d''exploitation]),"")</f>
        <v/>
      </c>
      <c r="AD30" s="9" t="str">
        <f>IFERROR(_xlfn.XLOOKUP(Tableau1[[#This Row],[Isin]]&amp;1&amp;2019,#REF!,Tableau3[Chiffre d''affaires]),"")</f>
        <v/>
      </c>
      <c r="AE30" s="9" t="str">
        <f>IFERROR(_xlfn.XLOOKUP(Tableau1[[#This Row],[Isin]]&amp;1&amp;2024,#REF!,Tableau3[Chiffre d''affaires]),"")</f>
        <v/>
      </c>
      <c r="AF30" s="8" t="str">
        <f>IFERROR(IF((Tableau1[[#This Row],[CA 2024]]-Tableau1[[#This Row],[CA 2019]])/Tableau1[[#This Row],[CA 2019]]=-1,"",(Tableau1[[#This Row],[CA 2024]]-Tableau1[[#This Row],[CA 2019]])/Tableau1[[#This Row],[CA 2019]]),"")</f>
        <v/>
      </c>
      <c r="AG30" s="9" t="str">
        <f>IFERROR(_xlfn.XLOOKUP(Tableau1[[#This Row],[Isin]]&amp;1&amp;2021,#REF!,Tableau3[EBE]),"")</f>
        <v/>
      </c>
      <c r="AH30" s="9" t="str">
        <f>IFERROR(_xlfn.XLOOKUP(Tableau1[[#This Row],[Isin]]&amp;1&amp;2022,#REF!,Tableau3[EBE]),"")</f>
        <v/>
      </c>
      <c r="AI30" s="13" t="s">
        <v>4324</v>
      </c>
      <c r="AJ30" s="13" t="s">
        <v>4325</v>
      </c>
      <c r="AK30" s="13" t="s">
        <v>3148</v>
      </c>
      <c r="AL30" s="43"/>
      <c r="AM30" s="43"/>
      <c r="AN30" s="9" t="str">
        <f>IFERROR(_xlfn.XLOOKUP(Tableau1[[#This Row],[Isin]]&amp;1&amp;2021,#REF!,Tableau3[Chiffre d''affaires]),"")</f>
        <v/>
      </c>
      <c r="AO30" s="43" cm="1">
        <f t="array" aca="1" ref="AO30" ca="1">_FV(Tableau1[[#This Row],[Code Excel]],"P/E",TRUE)</f>
        <v>45.376300000000001</v>
      </c>
      <c r="AP30" s="43" t="str">
        <f>IFERROR(_xlfn.XLOOKUP(Tableau1[[#This Row],[Isin]]&amp;1&amp;2023,#REF!,Tableau3[Résultat Net (PdG)]),"")</f>
        <v/>
      </c>
      <c r="AQ30" s="43">
        <f>IF(IFERROR(_xlfn.XLOOKUP(Tableau1[[#This Row],[Isin]]&amp;1&amp;2022,#REF!,Tableau3[Résultat Net (PdG)]),"")="",Tableau1[[#This Row],[RN Groupe 2022
Manuel]],IFERROR(_xlfn.XLOOKUP(Tableau1[[#This Row],[Isin]]&amp;1&amp;2022,#REF!,Tableau3[Résultat Net (PdG)]),""))</f>
        <v>0</v>
      </c>
      <c r="AR30" s="43"/>
      <c r="AS30" s="43">
        <f>IF(IFERROR(_xlfn.XLOOKUP(Tableau1[[#This Row],[Isin]]&amp;1&amp;2021,#REF!,Tableau3[Résultat Net (PdG)]),"")="",Tableau1[[#This Row],[RN Groupe 2021
Manuel]],IFERROR(_xlfn.XLOOKUP(Tableau1[[#This Row],[Isin]]&amp;1&amp;2021,#REF!,Tableau3[Résultat Net (PdG)]),""))</f>
        <v>0</v>
      </c>
      <c r="AT30" s="43"/>
      <c r="AU30" s="43" t="str">
        <f>IFERROR(_xlfn.XLOOKUP(Tableau1[[#This Row],[Isin]]&amp;1&amp;2020,#REF!,Tableau3[Résultat Net (PdG)]),"")</f>
        <v/>
      </c>
      <c r="AV30" s="43" t="str">
        <f>IFERROR(_xlfn.XLOOKUP(Tableau1[[#This Row],[Isin]]&amp;1&amp;2019,#REF!,Tableau3[Résultat Net (PdG)]),"")</f>
        <v/>
      </c>
      <c r="AW30" s="43" t="str">
        <f>IFERROR(_xlfn.XLOOKUP(Tableau1[[#This Row],[Isin]]&amp;1&amp;2018,#REF!,Tableau3[Résultat Net (PdG)]),"")</f>
        <v/>
      </c>
      <c r="AX30" s="43" t="str">
        <f>IFERROR(_xlfn.XLOOKUP(Tableau1[[#This Row],[Isin]]&amp;1&amp;2017,#REF!,Tableau3[Résultat Net (PdG)]),"")</f>
        <v/>
      </c>
      <c r="AY30" s="43" t="str">
        <f>IFERROR(_xlfn.XLOOKUP(Tableau1[[#This Row],[Isin]]&amp;1&amp;2016,#REF!,Tableau3[Résultat Net (PdG)]),"")</f>
        <v/>
      </c>
      <c r="AZ30" s="137" t="str">
        <f ca="1">IFERROR(Tableau1[[#This Row],[Capitalisation boursière]]/Tableau1[[#This Row],[RN Groupe 2023]],"")</f>
        <v/>
      </c>
      <c r="BA30" s="4" t="str" cm="1">
        <f t="array" aca="1" ref="BA30" ca="1">IFERROR(_FV(Tableau1[[#This Row],[Code Excel]],"Industrie"),"")</f>
        <v>Healthcare Equipment &amp; Supplies</v>
      </c>
      <c r="BB30" s="43" t="s">
        <v>3469</v>
      </c>
      <c r="BC30" s="43" t="str">
        <f>IFERROR(_xlfn.XLOOKUP(Tableau1[[#This Row],[Isin]]&amp;1&amp;2016,#REF!,Tableau3[Capi]),"")</f>
        <v/>
      </c>
      <c r="BD30" s="43" t="str">
        <f>IFERROR(_xlfn.XLOOKUP(Tableau1[[#This Row],[Isin]]&amp;1&amp;2017,#REF!,Tableau3[Capi]),"")</f>
        <v/>
      </c>
      <c r="BE30" s="43" t="str">
        <f>IFERROR(_xlfn.XLOOKUP(Tableau1[[#This Row],[Isin]]&amp;1&amp;2018,#REF!,Tableau3[Capi]),"")</f>
        <v/>
      </c>
      <c r="BF30" s="43" t="str">
        <f>IFERROR(_xlfn.XLOOKUP(Tableau1[[#This Row],[Isin]]&amp;1&amp;2019,#REF!,Tableau3[Capi]),"")</f>
        <v/>
      </c>
      <c r="BG30" s="43" t="str">
        <f>IFERROR(_xlfn.XLOOKUP(Tableau1[[#This Row],[Isin]]&amp;1&amp;2020,#REF!,Tableau3[Capi]),"")</f>
        <v/>
      </c>
      <c r="BH30" s="43">
        <f>IF(IFERROR(_xlfn.XLOOKUP(Tableau1[[#This Row],[Isin]]&amp;1&amp;2021,#REF!,Tableau3[Capi]),"")="",Tableau1[[#This Row],[Capitalisation 2021
Manuel]],IFERROR(_xlfn.XLOOKUP(Tableau1[[#This Row],[Isin]]&amp;1&amp;2021,#REF!,Tableau3[Capi]),""))</f>
        <v>0</v>
      </c>
      <c r="BI30" s="43"/>
      <c r="BJ30" s="43">
        <f>IF(IFERROR(_xlfn.XLOOKUP(Tableau1[[#This Row],[Isin]]&amp;1&amp;2022,#REF!,Tableau3[Capi]),"")="",Tableau1[[#This Row],[Capitalisation 2022
Manuel]],IFERROR(_xlfn.XLOOKUP(Tableau1[[#This Row],[Isin]]&amp;1&amp;2022,#REF!,Tableau3[Capi]),""))</f>
        <v>0</v>
      </c>
      <c r="BK30" s="43"/>
      <c r="BL30" s="43">
        <f ca="1">Tableau1[[#This Row],[Capitalisation boursière]]</f>
        <v>42126820000</v>
      </c>
      <c r="BM30" s="162" t="str" cm="1">
        <f t="array" aca="1" ref="BM30" ca="1">_FV(Tableau1[[#This Row],[Code Excel]],"Description")</f>
        <v>Alcon AG est une entreprise de soins oculaires basée en Suisse. La société recherche, développe, fabrique, distribue et vend une gamme complète de produits de soins oculaires dans deux secteurs clés : la chirurgie et les soins de la vue. L'activité chirurgicale de la Société se concentre sur les produits ophtalmiques pour la chirurgie de la cataracte, la chirurgie vitréo-rétinienne, la chirurgie réfractive au laser et la chirurgie du glaucome. Le portefeuille chirurgical comprend les implants, les consommables et l'équipement chirurgical requis pour ces procédures et répond aux besoins de bout en bout du chirurgien ophtalmologiste. L'activité Vision Care de la Société comprend des lentilles de contact quotidiennes jetables, réutilisables et rehaussant la couleur et un portefeuille de produits de santé oculaire, y compris des produits pour la sécheresse oculaire, les allergies oculaires, le glaucome et le soin des lentilles de contact, ainsi que des vitamines oculaires et des anti-rougeurs. La société opère dans 60 pays et sert des consommateurs et des patients dans plus de 140 pays.</v>
      </c>
      <c r="BN30" s="43"/>
      <c r="BO30" s="43"/>
      <c r="BP30" s="43"/>
      <c r="BQ30" s="43"/>
      <c r="BR30" s="4"/>
      <c r="BS30" s="30"/>
      <c r="BT30" s="21"/>
      <c r="BU30" s="13"/>
      <c r="BV30" s="13"/>
      <c r="BW30" s="3" t="s">
        <v>822</v>
      </c>
      <c r="BX30" s="3"/>
      <c r="BY30" s="13" t="s">
        <v>822</v>
      </c>
      <c r="BZ30" s="34">
        <v>1.84E-2</v>
      </c>
      <c r="CA30" s="47">
        <v>0</v>
      </c>
      <c r="CB30" s="6" t="s">
        <v>4351</v>
      </c>
      <c r="CC30" s="25">
        <f>'Base de données'!T1200</f>
        <v>4500000000</v>
      </c>
      <c r="CD30" s="25">
        <f>'Base de données'!Q1200</f>
        <v>118415522922.48</v>
      </c>
      <c r="CE30" s="35">
        <f>CC30/CD30</f>
        <v>3.8001774505069724E-2</v>
      </c>
    </row>
    <row r="31" spans="3:83">
      <c r="C31" s="42"/>
      <c r="D31" s="42">
        <f>IF(Tableau1[[#This Row],[Isin]]="",99,Tableau1[[#This Row],[Intérêt]]+Tableau1[[#This Row],[Valeur d''intérêt]]+Tableau1[[#This Row],[N° Portefeuille]])</f>
        <v>30</v>
      </c>
      <c r="E31" s="42"/>
      <c r="F31" s="42">
        <f>IF(Tableau1[[#This Row],[Portefeuille]]="p",0,Tableau1[[#This Row],[F. Investissement
Niveau d''intérêt]]*10)</f>
        <v>30</v>
      </c>
      <c r="G31" s="42">
        <f>IF(Tableau1[[#This Row],[Portefeuille]]="p",3,0)</f>
        <v>0</v>
      </c>
      <c r="H31" s="42">
        <v>3</v>
      </c>
      <c r="I31" s="42">
        <v>4</v>
      </c>
      <c r="J31" s="42"/>
      <c r="K31" s="43"/>
      <c r="L31" s="16">
        <v>1</v>
      </c>
      <c r="M3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 s="64" t="s">
        <v>3533</v>
      </c>
      <c r="O31" s="44" t="s">
        <v>2109</v>
      </c>
      <c r="P31" s="4" t="s">
        <v>84</v>
      </c>
      <c r="Q31" s="4"/>
      <c r="R31" s="6"/>
      <c r="S31" s="6" t="s">
        <v>2981</v>
      </c>
      <c r="T31" s="4" t="e" vm="22">
        <v>#VALUE!</v>
      </c>
      <c r="U31" s="46" cm="1">
        <f t="array" aca="1" ref="U31" ca="1">IFERROR(_FV(Tableau1[[#This Row],[Code Excel]],"Capitalisation boursière",TRUE),"")</f>
        <v>6927824000</v>
      </c>
      <c r="V31" s="4" t="str" cm="1">
        <f t="array" aca="1" ref="V31" ca="1">IFERROR(_FV(Tableau1[[#This Row],[Code Excel]],"Industrie"),"")</f>
        <v>Freight &amp; Logistics Services</v>
      </c>
      <c r="X31" s="4" t="str">
        <f ca="1">Tableau1[[#This Row],[Grand Secteur]]&amp;Tableau1[[#This Row],[Industrie]]</f>
        <v>Freight &amp; Logistics Services</v>
      </c>
      <c r="Y31" s="65" cm="1">
        <f t="array" aca="1" ref="Y31" ca="1">IFERROR(_FV(Tableau1[[#This Row],[Code Excel]],"P/E",TRUE),"")</f>
        <v>10.1205</v>
      </c>
      <c r="Z31" s="43" cm="1">
        <f t="array" aca="1" ref="Z31" ca="1">IFERROR(_FV(Tableau1[[#This Row],[Code Excel]],"Employés"),"")</f>
        <v>14578</v>
      </c>
      <c r="AA31" s="49">
        <f ca="1">IFERROR(Tableau1[[#This Row],[Capitalisation boursière]]/Tableau1[[#This Row],[Employés]],"")</f>
        <v>475224.58499108243</v>
      </c>
      <c r="AB31" s="5" t="str">
        <f>IFERROR(Tableau1[[#This Row],[REX (2021)]]/Tableau1[[#This Row],[CA 2024]],"")</f>
        <v/>
      </c>
      <c r="AC31" s="43" t="str">
        <f>IFERROR(_xlfn.XLOOKUP(Tableau1[[#This Row],[Isin]]&amp;1&amp;2021,#REF!,Tableau3[Résultat d''exploitation]),"")</f>
        <v/>
      </c>
      <c r="AD31" s="43" t="str">
        <f>IFERROR(_xlfn.XLOOKUP(Tableau1[[#This Row],[Isin]]&amp;1&amp;2019,#REF!,Tableau3[Chiffre d''affaires]),"")</f>
        <v/>
      </c>
      <c r="AE31" s="43" t="str">
        <f>IFERROR(_xlfn.XLOOKUP(Tableau1[[#This Row],[Isin]]&amp;1&amp;2024,#REF!,Tableau3[Chiffre d''affaires]),"")</f>
        <v/>
      </c>
      <c r="AF31" s="297" t="str">
        <f>IFERROR(IF((Tableau1[[#This Row],[CA 2024]]-Tableau1[[#This Row],[CA 2019]])/Tableau1[[#This Row],[CA 2019]]=-1,"",(Tableau1[[#This Row],[CA 2024]]-Tableau1[[#This Row],[CA 2019]])/Tableau1[[#This Row],[CA 2019]]),"")</f>
        <v/>
      </c>
      <c r="AG31" s="9" t="str">
        <f>IFERROR(_xlfn.XLOOKUP(Tableau1[[#This Row],[Isin]]&amp;1&amp;2021,#REF!,Tableau3[EBE]),"")</f>
        <v/>
      </c>
      <c r="AH31" s="9" t="str">
        <f>IFERROR(_xlfn.XLOOKUP(Tableau1[[#This Row],[Isin]]&amp;1&amp;2022,#REF!,Tableau3[EBE]),"")</f>
        <v/>
      </c>
      <c r="AI31" s="43"/>
      <c r="AJ31" s="43"/>
      <c r="AK31" s="43"/>
      <c r="AL31" s="43"/>
      <c r="AM31" s="43"/>
      <c r="AN31" s="43" t="str">
        <f>IFERROR(_xlfn.XLOOKUP(Tableau1[[#This Row],[Isin]]&amp;1&amp;2021,#REF!,Tableau3[Chiffre d''affaires]),"")</f>
        <v/>
      </c>
      <c r="AO31" s="43" cm="1">
        <f t="array" aca="1" ref="AO31" ca="1">_FV(Tableau1[[#This Row],[Code Excel]],"P/E",TRUE)</f>
        <v>10.1205</v>
      </c>
      <c r="AP31" s="43" t="str">
        <f>IFERROR(_xlfn.XLOOKUP(Tableau1[[#This Row],[Isin]]&amp;1&amp;2023,#REF!,Tableau3[Résultat Net (PdG)]),"")</f>
        <v/>
      </c>
      <c r="AQ31" s="43">
        <f>IF(IFERROR(_xlfn.XLOOKUP(Tableau1[[#This Row],[Isin]]&amp;1&amp;2022,#REF!,Tableau3[Résultat Net (PdG)]),"")="",Tableau1[[#This Row],[RN Groupe 2022
Manuel]],IFERROR(_xlfn.XLOOKUP(Tableau1[[#This Row],[Isin]]&amp;1&amp;2022,#REF!,Tableau3[Résultat Net (PdG)]),""))</f>
        <v>0</v>
      </c>
      <c r="AR31" s="43"/>
      <c r="AS31" s="43">
        <f>IF(IFERROR(_xlfn.XLOOKUP(Tableau1[[#This Row],[Isin]]&amp;1&amp;2021,#REF!,Tableau3[Résultat Net (PdG)]),"")="",Tableau1[[#This Row],[RN Groupe 2021
Manuel]],IFERROR(_xlfn.XLOOKUP(Tableau1[[#This Row],[Isin]]&amp;1&amp;2021,#REF!,Tableau3[Résultat Net (PdG)]),""))</f>
        <v>0</v>
      </c>
      <c r="AT31" s="43"/>
      <c r="AU31" s="43" t="str">
        <f>IFERROR(_xlfn.XLOOKUP(Tableau1[[#This Row],[Isin]]&amp;1&amp;2020,#REF!,Tableau3[Résultat Net (PdG)]),"")</f>
        <v/>
      </c>
      <c r="AV31" s="43" t="str">
        <f>IFERROR(_xlfn.XLOOKUP(Tableau1[[#This Row],[Isin]]&amp;1&amp;2019,#REF!,Tableau3[Résultat Net (PdG)]),"")</f>
        <v/>
      </c>
      <c r="AW31" s="43" t="str">
        <f>IFERROR(_xlfn.XLOOKUP(Tableau1[[#This Row],[Isin]]&amp;1&amp;2018,#REF!,Tableau3[Résultat Net (PdG)]),"")</f>
        <v/>
      </c>
      <c r="AX31" s="43" t="str">
        <f>IFERROR(_xlfn.XLOOKUP(Tableau1[[#This Row],[Isin]]&amp;1&amp;2017,#REF!,Tableau3[Résultat Net (PdG)]),"")</f>
        <v/>
      </c>
      <c r="AY31" s="43" t="str">
        <f>IFERROR(_xlfn.XLOOKUP(Tableau1[[#This Row],[Isin]]&amp;1&amp;2016,#REF!,Tableau3[Résultat Net (PdG)]),"")</f>
        <v/>
      </c>
      <c r="AZ31" s="137" t="str">
        <f ca="1">IFERROR(Tableau1[[#This Row],[Capitalisation boursière]]/Tableau1[[#This Row],[RN Groupe 2023]],"")</f>
        <v/>
      </c>
      <c r="BA31" s="4" t="str" cm="1">
        <f t="array" aca="1" ref="BA31" ca="1">IFERROR(_FV(Tableau1[[#This Row],[Code Excel]],"Industrie"),"")</f>
        <v>Freight &amp; Logistics Services</v>
      </c>
      <c r="BB31" s="43" t="s">
        <v>3477</v>
      </c>
      <c r="BC31" s="43" t="str">
        <f>IFERROR(_xlfn.XLOOKUP(Tableau1[[#This Row],[Isin]]&amp;1&amp;2016,#REF!,Tableau3[Capi]),"")</f>
        <v/>
      </c>
      <c r="BD31" s="43" t="str">
        <f>IFERROR(_xlfn.XLOOKUP(Tableau1[[#This Row],[Isin]]&amp;1&amp;2017,#REF!,Tableau3[Capi]),"")</f>
        <v/>
      </c>
      <c r="BE31" s="43" t="str">
        <f>IFERROR(_xlfn.XLOOKUP(Tableau1[[#This Row],[Isin]]&amp;1&amp;2018,#REF!,Tableau3[Capi]),"")</f>
        <v/>
      </c>
      <c r="BF31" s="43" t="str">
        <f>IFERROR(_xlfn.XLOOKUP(Tableau1[[#This Row],[Isin]]&amp;1&amp;2019,#REF!,Tableau3[Capi]),"")</f>
        <v/>
      </c>
      <c r="BG31" s="43" t="str">
        <f>IFERROR(_xlfn.XLOOKUP(Tableau1[[#This Row],[Isin]]&amp;1&amp;2020,#REF!,Tableau3[Capi]),"")</f>
        <v/>
      </c>
      <c r="BH31" s="43">
        <f>IF(IFERROR(_xlfn.XLOOKUP(Tableau1[[#This Row],[Isin]]&amp;1&amp;2021,#REF!,Tableau3[Capi]),"")="",Tableau1[[#This Row],[Capitalisation 2021
Manuel]],IFERROR(_xlfn.XLOOKUP(Tableau1[[#This Row],[Isin]]&amp;1&amp;2021,#REF!,Tableau3[Capi]),""))</f>
        <v>0</v>
      </c>
      <c r="BI31" s="43"/>
      <c r="BJ31" s="43">
        <f>IF(IFERROR(_xlfn.XLOOKUP(Tableau1[[#This Row],[Isin]]&amp;1&amp;2022,#REF!,Tableau3[Capi]),"")="",Tableau1[[#This Row],[Capitalisation 2022
Manuel]],IFERROR(_xlfn.XLOOKUP(Tableau1[[#This Row],[Isin]]&amp;1&amp;2022,#REF!,Tableau3[Capi]),""))</f>
        <v>0</v>
      </c>
      <c r="BK31" s="43"/>
      <c r="BL31" s="43">
        <f ca="1">Tableau1[[#This Row],[Capitalisation boursière]]</f>
        <v>6927824000</v>
      </c>
      <c r="BM31" s="162" t="str" cm="1">
        <f t="array" aca="1" ref="BM31" ca="1">_FV(Tableau1[[#This Row],[Code Excel]],"Description")</f>
        <v>AYVENS SA est une société basée en France dont l'activité principale est la location de voitures particulières. La société se concentre sur la fourniture de solutions de financement et de gestion de véhicules. Cela implique également des services tels que le financement, les achats, la logistique, la location de véhicules, la location sous contrat et les services de gestion de flotte. Il se concentre sur la décarbonisation et la garantie de la circulation des spectateurs tout en permettant la continuité de l'activité de la vie sociale, économique et culturelle en matière de transport. Il fournit divers services dans différentes catégories comme les secteurs industriels et commerciaux. Elle exploite une chaîne d'agences dans toute la France.</v>
      </c>
      <c r="BN31" s="43"/>
      <c r="BO31" s="43"/>
      <c r="BP31" s="43"/>
      <c r="BQ31" s="43"/>
      <c r="BR31" s="4"/>
      <c r="BS31" s="11" t="s">
        <v>4352</v>
      </c>
      <c r="BT31" s="12" t="s">
        <v>4353</v>
      </c>
      <c r="BU31" s="13"/>
      <c r="BV31" s="29"/>
      <c r="BW31" s="3" t="s">
        <v>1101</v>
      </c>
      <c r="BX31" s="13"/>
      <c r="BY31" s="13" t="s">
        <v>3284</v>
      </c>
      <c r="BZ31" s="47">
        <v>5.2999999999999999E-2</v>
      </c>
      <c r="CA31" s="47">
        <v>6.5000000000000002E-2</v>
      </c>
      <c r="CB31" s="6" t="s">
        <v>4317</v>
      </c>
      <c r="CC31" s="25">
        <f>'Base de données'!T1357</f>
        <v>268000000</v>
      </c>
      <c r="CD31" s="25">
        <f>'Base de données'!Q1355</f>
        <v>3998711198.1599998</v>
      </c>
      <c r="CE31" s="35">
        <f>CC31/CD31</f>
        <v>6.7021594388541925E-2</v>
      </c>
    </row>
    <row r="32" spans="3:83">
      <c r="C32" s="43"/>
      <c r="D32" s="42">
        <f>IF(Tableau1[[#This Row],[Isin]]="",99,Tableau1[[#This Row],[Intérêt]]+Tableau1[[#This Row],[Valeur d''intérêt]]+Tableau1[[#This Row],[N° Portefeuille]])</f>
        <v>30</v>
      </c>
      <c r="E32" s="43"/>
      <c r="F32" s="42">
        <f>IF(Tableau1[[#This Row],[Portefeuille]]="p",0,Tableau1[[#This Row],[F. Investissement
Niveau d''intérêt]]*10)</f>
        <v>30</v>
      </c>
      <c r="G32" s="43">
        <f>IF(Tableau1[[#This Row],[Portefeuille]]="p",3,0)</f>
        <v>0</v>
      </c>
      <c r="H32" s="43">
        <v>3</v>
      </c>
      <c r="I32" s="43">
        <v>3</v>
      </c>
      <c r="J32" s="43"/>
      <c r="K32" s="43"/>
      <c r="L32" s="16">
        <v>0</v>
      </c>
      <c r="M3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 s="44" t="s">
        <v>3303</v>
      </c>
      <c r="O32" s="45"/>
      <c r="P32" s="4"/>
      <c r="Q32" s="4"/>
      <c r="R32" s="6"/>
      <c r="S32" s="6" t="s">
        <v>3302</v>
      </c>
      <c r="T32" s="6"/>
      <c r="U32" s="46" t="str" cm="1">
        <f t="array" ref="U32">IFERROR(_FV(Tableau1[[#This Row],[Code Excel]],"Capitalisation boursière",TRUE),"")</f>
        <v/>
      </c>
      <c r="V32" s="4" t="str" cm="1">
        <f t="array" ref="V32">IFERROR(_FV(Tableau1[[#This Row],[Code Excel]],"Industrie"),"")</f>
        <v/>
      </c>
      <c r="W32" s="4"/>
      <c r="X32" s="4" t="str">
        <f>Tableau1[[#This Row],[Grand Secteur]]&amp;Tableau1[[#This Row],[Industrie]]</f>
        <v/>
      </c>
      <c r="Y32" s="23" t="str" cm="1">
        <f t="array" ref="Y32">IFERROR(_FV(Tableau1[[#This Row],[Code Excel]],"P/E",TRUE),"")</f>
        <v/>
      </c>
      <c r="Z32" s="43" t="str" cm="1">
        <f t="array" ref="Z32">IFERROR(_FV(Tableau1[[#This Row],[Code Excel]],"Employés"),"")</f>
        <v/>
      </c>
      <c r="AA32" s="46" t="str">
        <f>IFERROR(Tableau1[[#This Row],[Capitalisation boursière]]/Tableau1[[#This Row],[Employés]],"")</f>
        <v/>
      </c>
      <c r="AB32" s="5" t="str">
        <f>IFERROR(Tableau1[[#This Row],[REX (2021)]]/Tableau1[[#This Row],[CA 2024]],"")</f>
        <v/>
      </c>
      <c r="AC32" s="9" t="str">
        <f>IFERROR(_xlfn.XLOOKUP(Tableau1[[#This Row],[Isin]]&amp;1&amp;2021,#REF!,Tableau3[Résultat d''exploitation]),"")</f>
        <v/>
      </c>
      <c r="AD32" s="9" t="str">
        <f>IFERROR(_xlfn.XLOOKUP(Tableau1[[#This Row],[Isin]]&amp;1&amp;2019,#REF!,Tableau3[Chiffre d''affaires]),"")</f>
        <v/>
      </c>
      <c r="AE32" s="9" t="str">
        <f>IFERROR(_xlfn.XLOOKUP(Tableau1[[#This Row],[Isin]]&amp;1&amp;2024,#REF!,Tableau3[Chiffre d''affaires]),"")</f>
        <v/>
      </c>
      <c r="AF32" s="8" t="str">
        <f>IFERROR(IF((Tableau1[[#This Row],[CA 2024]]-Tableau1[[#This Row],[CA 2019]])/Tableau1[[#This Row],[CA 2019]]=-1,"",(Tableau1[[#This Row],[CA 2024]]-Tableau1[[#This Row],[CA 2019]])/Tableau1[[#This Row],[CA 2019]]),"")</f>
        <v/>
      </c>
      <c r="AG32" s="9" t="str">
        <f>IFERROR(_xlfn.XLOOKUP(Tableau1[[#This Row],[Isin]]&amp;1&amp;2021,#REF!,Tableau3[EBE]),"")</f>
        <v/>
      </c>
      <c r="AH32" s="9" t="str">
        <f>IFERROR(_xlfn.XLOOKUP(Tableau1[[#This Row],[Isin]]&amp;1&amp;2022,#REF!,Tableau3[EBE]),"")</f>
        <v/>
      </c>
      <c r="AI32" s="43"/>
      <c r="AJ32" s="43"/>
      <c r="AK32" s="43"/>
      <c r="AL32" s="43"/>
      <c r="AM32" s="43"/>
      <c r="AN32" s="9" t="str">
        <f>IFERROR(_xlfn.XLOOKUP(Tableau1[[#This Row],[Isin]]&amp;1&amp;2021,#REF!,Tableau3[Chiffre d''affaires]),"")</f>
        <v/>
      </c>
      <c r="AO32" s="43" t="e" cm="1" vm="1">
        <f t="array" ref="AO32">_FV(Tableau1[[#This Row],[Code Excel]],"P/E",TRUE)</f>
        <v>#VALUE!</v>
      </c>
      <c r="AP32" s="43" t="str">
        <f>IFERROR(_xlfn.XLOOKUP(Tableau1[[#This Row],[Isin]]&amp;1&amp;2023,#REF!,Tableau3[Résultat Net (PdG)]),"")</f>
        <v/>
      </c>
      <c r="AQ32" s="43">
        <f>IF(IFERROR(_xlfn.XLOOKUP(Tableau1[[#This Row],[Isin]]&amp;1&amp;2022,#REF!,Tableau3[Résultat Net (PdG)]),"")="",Tableau1[[#This Row],[RN Groupe 2022
Manuel]],IFERROR(_xlfn.XLOOKUP(Tableau1[[#This Row],[Isin]]&amp;1&amp;2022,#REF!,Tableau3[Résultat Net (PdG)]),""))</f>
        <v>0</v>
      </c>
      <c r="AR32" s="43"/>
      <c r="AS32" s="43">
        <f>IF(IFERROR(_xlfn.XLOOKUP(Tableau1[[#This Row],[Isin]]&amp;1&amp;2021,#REF!,Tableau3[Résultat Net (PdG)]),"")="",Tableau1[[#This Row],[RN Groupe 2021
Manuel]],IFERROR(_xlfn.XLOOKUP(Tableau1[[#This Row],[Isin]]&amp;1&amp;2021,#REF!,Tableau3[Résultat Net (PdG)]),""))</f>
        <v>0</v>
      </c>
      <c r="AT32" s="43"/>
      <c r="AU32" s="43" t="str">
        <f>IFERROR(_xlfn.XLOOKUP(Tableau1[[#This Row],[Isin]]&amp;1&amp;2020,#REF!,Tableau3[Résultat Net (PdG)]),"")</f>
        <v/>
      </c>
      <c r="AV32" s="43" t="str">
        <f>IFERROR(_xlfn.XLOOKUP(Tableau1[[#This Row],[Isin]]&amp;1&amp;2019,#REF!,Tableau3[Résultat Net (PdG)]),"")</f>
        <v/>
      </c>
      <c r="AW32" s="43" t="str">
        <f>IFERROR(_xlfn.XLOOKUP(Tableau1[[#This Row],[Isin]]&amp;1&amp;2018,#REF!,Tableau3[Résultat Net (PdG)]),"")</f>
        <v/>
      </c>
      <c r="AX32" s="43" t="str">
        <f>IFERROR(_xlfn.XLOOKUP(Tableau1[[#This Row],[Isin]]&amp;1&amp;2017,#REF!,Tableau3[Résultat Net (PdG)]),"")</f>
        <v/>
      </c>
      <c r="AY32" s="43" t="str">
        <f>IFERROR(_xlfn.XLOOKUP(Tableau1[[#This Row],[Isin]]&amp;1&amp;2016,#REF!,Tableau3[Résultat Net (PdG)]),"")</f>
        <v/>
      </c>
      <c r="AZ32" s="137" t="str">
        <f>IFERROR(Tableau1[[#This Row],[Capitalisation boursière]]/Tableau1[[#This Row],[RN Groupe 2023]],"")</f>
        <v/>
      </c>
      <c r="BA32" s="4" t="str" cm="1">
        <f t="array" ref="BA32">IFERROR(_FV(Tableau1[[#This Row],[Code Excel]],"Industrie"),"")</f>
        <v/>
      </c>
      <c r="BB32" s="43">
        <v>0</v>
      </c>
      <c r="BC32" s="43" t="str">
        <f>IFERROR(_xlfn.XLOOKUP(Tableau1[[#This Row],[Isin]]&amp;1&amp;2016,#REF!,Tableau3[Capi]),"")</f>
        <v/>
      </c>
      <c r="BD32" s="43" t="str">
        <f>IFERROR(_xlfn.XLOOKUP(Tableau1[[#This Row],[Isin]]&amp;1&amp;2017,#REF!,Tableau3[Capi]),"")</f>
        <v/>
      </c>
      <c r="BE32" s="43" t="str">
        <f>IFERROR(_xlfn.XLOOKUP(Tableau1[[#This Row],[Isin]]&amp;1&amp;2018,#REF!,Tableau3[Capi]),"")</f>
        <v/>
      </c>
      <c r="BF32" s="43" t="str">
        <f>IFERROR(_xlfn.XLOOKUP(Tableau1[[#This Row],[Isin]]&amp;1&amp;2019,#REF!,Tableau3[Capi]),"")</f>
        <v/>
      </c>
      <c r="BG32" s="43" t="str">
        <f>IFERROR(_xlfn.XLOOKUP(Tableau1[[#This Row],[Isin]]&amp;1&amp;2020,#REF!,Tableau3[Capi]),"")</f>
        <v/>
      </c>
      <c r="BH32" s="43">
        <f>IF(IFERROR(_xlfn.XLOOKUP(Tableau1[[#This Row],[Isin]]&amp;1&amp;2021,#REF!,Tableau3[Capi]),"")="",Tableau1[[#This Row],[Capitalisation 2021
Manuel]],IFERROR(_xlfn.XLOOKUP(Tableau1[[#This Row],[Isin]]&amp;1&amp;2021,#REF!,Tableau3[Capi]),""))</f>
        <v>0</v>
      </c>
      <c r="BI32" s="43"/>
      <c r="BJ32" s="43">
        <f>IF(IFERROR(_xlfn.XLOOKUP(Tableau1[[#This Row],[Isin]]&amp;1&amp;2022,#REF!,Tableau3[Capi]),"")="",Tableau1[[#This Row],[Capitalisation 2022
Manuel]],IFERROR(_xlfn.XLOOKUP(Tableau1[[#This Row],[Isin]]&amp;1&amp;2022,#REF!,Tableau3[Capi]),""))</f>
        <v>0</v>
      </c>
      <c r="BK32" s="43"/>
      <c r="BL32" s="43" t="str">
        <f>Tableau1[[#This Row],[Capitalisation boursière]]</f>
        <v/>
      </c>
      <c r="BM32" s="162" t="e" cm="1" vm="2">
        <f t="array" ref="BM32">_FV(Tableau1[[#This Row],[Code Excel]],"Description")</f>
        <v>#VALUE!</v>
      </c>
      <c r="BN32" s="43"/>
      <c r="BO32" s="43"/>
      <c r="BP32" s="43"/>
      <c r="BQ32" s="43"/>
      <c r="BR32" s="4"/>
      <c r="BS32" s="11" t="s">
        <v>4354</v>
      </c>
      <c r="BT32" s="12" t="s">
        <v>4353</v>
      </c>
      <c r="BU32" s="13"/>
      <c r="BV32" s="13"/>
      <c r="BW32" s="3" t="s">
        <v>2395</v>
      </c>
      <c r="BX32" s="13"/>
      <c r="BY32" s="3" t="s">
        <v>1101</v>
      </c>
      <c r="BZ32" s="47">
        <v>5.3600000000000002E-2</v>
      </c>
      <c r="CA32" s="4"/>
    </row>
    <row r="33" spans="3:83">
      <c r="C33" s="42"/>
      <c r="D33" s="42">
        <f>IF(Tableau1[[#This Row],[Isin]]="",99,Tableau1[[#This Row],[Intérêt]]+Tableau1[[#This Row],[Valeur d''intérêt]]+Tableau1[[#This Row],[N° Portefeuille]])</f>
        <v>30</v>
      </c>
      <c r="E33" s="42"/>
      <c r="F33" s="42">
        <f>IF(Tableau1[[#This Row],[Portefeuille]]="p",0,Tableau1[[#This Row],[F. Investissement
Niveau d''intérêt]]*10)</f>
        <v>30</v>
      </c>
      <c r="G33" s="42">
        <f>IF(Tableau1[[#This Row],[Portefeuille]]="p",3,0)</f>
        <v>0</v>
      </c>
      <c r="H33" s="42">
        <v>3</v>
      </c>
      <c r="I33" s="42">
        <v>4</v>
      </c>
      <c r="J33" s="42"/>
      <c r="K33" s="43"/>
      <c r="L33" s="16">
        <v>0</v>
      </c>
      <c r="M3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 s="44" t="s">
        <v>3537</v>
      </c>
      <c r="O33" s="45"/>
      <c r="P33" s="4" t="s">
        <v>382</v>
      </c>
      <c r="Q33" s="4"/>
      <c r="R33" s="6"/>
      <c r="S33" s="6" t="s">
        <v>3538</v>
      </c>
      <c r="T33" s="6" t="e" vm="23">
        <v>#VALUE!</v>
      </c>
      <c r="U33" s="46" cm="1">
        <f t="array" aca="1" ref="U33" ca="1">IFERROR(_FV(Tableau1[[#This Row],[Code Excel]],"Capitalisation boursière",TRUE),"")</f>
        <v>11444993917</v>
      </c>
      <c r="V33" s="4" t="str" cm="1">
        <f t="array" aca="1" ref="V33" ca="1">IFERROR(_FV(Tableau1[[#This Row],[Code Excel]],"Industrie"),"")</f>
        <v>Healthcare Equipment &amp; Supplies</v>
      </c>
      <c r="W33" s="4" t="s">
        <v>1586</v>
      </c>
      <c r="X33" s="4" t="str">
        <f ca="1">Tableau1[[#This Row],[Grand Secteur]]&amp;Tableau1[[#This Row],[Industrie]]</f>
        <v>SantéHealthcare Equipment &amp; Supplies</v>
      </c>
      <c r="Y33" s="23" cm="1">
        <f t="array" aca="1" ref="Y33" ca="1">IFERROR(_FV(Tableau1[[#This Row],[Code Excel]],"P/E",TRUE),"")</f>
        <v>27.421600000000002</v>
      </c>
      <c r="Z33" s="43" cm="1">
        <f t="array" aca="1" ref="Z33" ca="1">IFERROR(_FV(Tableau1[[#This Row],[Code Excel]],"Employés"),"")</f>
        <v>20945</v>
      </c>
      <c r="AA33" s="49">
        <f ca="1">IFERROR(Tableau1[[#This Row],[Capitalisation boursière]]/Tableau1[[#This Row],[Employés]],"")</f>
        <v>546430.83872045833</v>
      </c>
      <c r="AB33" s="5" t="str">
        <f>IFERROR(Tableau1[[#This Row],[REX (2021)]]/Tableau1[[#This Row],[CA 2024]],"")</f>
        <v/>
      </c>
      <c r="AC33" s="9" t="str">
        <f>IFERROR(_xlfn.XLOOKUP(Tableau1[[#This Row],[Isin]]&amp;1&amp;2021,#REF!,Tableau3[Résultat d''exploitation]),"")</f>
        <v/>
      </c>
      <c r="AD33" s="9" t="str">
        <f>IFERROR(_xlfn.XLOOKUP(Tableau1[[#This Row],[Isin]]&amp;1&amp;2019,#REF!,Tableau3[Chiffre d''affaires]),"")</f>
        <v/>
      </c>
      <c r="AE33" s="9" t="str">
        <f>IFERROR(_xlfn.XLOOKUP(Tableau1[[#This Row],[Isin]]&amp;1&amp;2024,#REF!,Tableau3[Chiffre d''affaires]),"")</f>
        <v/>
      </c>
      <c r="AF33" s="8" t="str">
        <f>IFERROR(IF((Tableau1[[#This Row],[CA 2024]]-Tableau1[[#This Row],[CA 2019]])/Tableau1[[#This Row],[CA 2019]]=-1,"",(Tableau1[[#This Row],[CA 2024]]-Tableau1[[#This Row],[CA 2019]])/Tableau1[[#This Row],[CA 2019]]),"")</f>
        <v/>
      </c>
      <c r="AG33" s="9" t="str">
        <f>IFERROR(_xlfn.XLOOKUP(Tableau1[[#This Row],[Isin]]&amp;1&amp;2021,#REF!,Tableau3[EBE]),"")</f>
        <v/>
      </c>
      <c r="AH33" s="9" t="str">
        <f>IFERROR(_xlfn.XLOOKUP(Tableau1[[#This Row],[Isin]]&amp;1&amp;2022,#REF!,Tableau3[EBE]),"")</f>
        <v/>
      </c>
      <c r="AI33" s="13" t="s">
        <v>4324</v>
      </c>
      <c r="AJ33" s="13" t="s">
        <v>4325</v>
      </c>
      <c r="AK33" s="13" t="s">
        <v>3148</v>
      </c>
      <c r="AL33" s="43"/>
      <c r="AM33" s="43"/>
      <c r="AN33" s="9" t="str">
        <f>IFERROR(_xlfn.XLOOKUP(Tableau1[[#This Row],[Isin]]&amp;1&amp;2021,#REF!,Tableau3[Chiffre d''affaires]),"")</f>
        <v/>
      </c>
      <c r="AO33" s="43" cm="1">
        <f t="array" aca="1" ref="AO33" ca="1">_FV(Tableau1[[#This Row],[Code Excel]],"P/E",TRUE)</f>
        <v>27.421600000000002</v>
      </c>
      <c r="AP33" s="43" t="str">
        <f>IFERROR(_xlfn.XLOOKUP(Tableau1[[#This Row],[Isin]]&amp;1&amp;2023,#REF!,Tableau3[Résultat Net (PdG)]),"")</f>
        <v/>
      </c>
      <c r="AQ33" s="43">
        <f>IF(IFERROR(_xlfn.XLOOKUP(Tableau1[[#This Row],[Isin]]&amp;1&amp;2022,#REF!,Tableau3[Résultat Net (PdG)]),"")="",Tableau1[[#This Row],[RN Groupe 2022
Manuel]],IFERROR(_xlfn.XLOOKUP(Tableau1[[#This Row],[Isin]]&amp;1&amp;2022,#REF!,Tableau3[Résultat Net (PdG)]),""))</f>
        <v>0</v>
      </c>
      <c r="AR33" s="43"/>
      <c r="AS33" s="43">
        <f>IF(IFERROR(_xlfn.XLOOKUP(Tableau1[[#This Row],[Isin]]&amp;1&amp;2021,#REF!,Tableau3[Résultat Net (PdG)]),"")="",Tableau1[[#This Row],[RN Groupe 2021
Manuel]],IFERROR(_xlfn.XLOOKUP(Tableau1[[#This Row],[Isin]]&amp;1&amp;2021,#REF!,Tableau3[Résultat Net (PdG)]),""))</f>
        <v>0</v>
      </c>
      <c r="AT33" s="43"/>
      <c r="AU33" s="43" t="str">
        <f>IFERROR(_xlfn.XLOOKUP(Tableau1[[#This Row],[Isin]]&amp;1&amp;2020,#REF!,Tableau3[Résultat Net (PdG)]),"")</f>
        <v/>
      </c>
      <c r="AV33" s="43" t="str">
        <f>IFERROR(_xlfn.XLOOKUP(Tableau1[[#This Row],[Isin]]&amp;1&amp;2019,#REF!,Tableau3[Résultat Net (PdG)]),"")</f>
        <v/>
      </c>
      <c r="AW33" s="43" t="str">
        <f>IFERROR(_xlfn.XLOOKUP(Tableau1[[#This Row],[Isin]]&amp;1&amp;2018,#REF!,Tableau3[Résultat Net (PdG)]),"")</f>
        <v/>
      </c>
      <c r="AX33" s="43" t="str">
        <f>IFERROR(_xlfn.XLOOKUP(Tableau1[[#This Row],[Isin]]&amp;1&amp;2017,#REF!,Tableau3[Résultat Net (PdG)]),"")</f>
        <v/>
      </c>
      <c r="AY33" s="43" t="str">
        <f>IFERROR(_xlfn.XLOOKUP(Tableau1[[#This Row],[Isin]]&amp;1&amp;2016,#REF!,Tableau3[Résultat Net (PdG)]),"")</f>
        <v/>
      </c>
      <c r="AZ33" s="137" t="str">
        <f ca="1">IFERROR(Tableau1[[#This Row],[Capitalisation boursière]]/Tableau1[[#This Row],[RN Groupe 2023]],"")</f>
        <v/>
      </c>
      <c r="BA33" s="4" t="str" cm="1">
        <f t="array" aca="1" ref="BA33" ca="1">IFERROR(_FV(Tableau1[[#This Row],[Code Excel]],"Industrie"),"")</f>
        <v>Healthcare Equipment &amp; Supplies</v>
      </c>
      <c r="BB33" s="43" t="s">
        <v>3491</v>
      </c>
      <c r="BC33" s="43" t="str">
        <f>IFERROR(_xlfn.XLOOKUP(Tableau1[[#This Row],[Isin]]&amp;1&amp;2016,#REF!,Tableau3[Capi]),"")</f>
        <v/>
      </c>
      <c r="BD33" s="43" t="str">
        <f>IFERROR(_xlfn.XLOOKUP(Tableau1[[#This Row],[Isin]]&amp;1&amp;2017,#REF!,Tableau3[Capi]),"")</f>
        <v/>
      </c>
      <c r="BE33" s="43" t="str">
        <f>IFERROR(_xlfn.XLOOKUP(Tableau1[[#This Row],[Isin]]&amp;1&amp;2018,#REF!,Tableau3[Capi]),"")</f>
        <v/>
      </c>
      <c r="BF33" s="43" t="str">
        <f>IFERROR(_xlfn.XLOOKUP(Tableau1[[#This Row],[Isin]]&amp;1&amp;2019,#REF!,Tableau3[Capi]),"")</f>
        <v/>
      </c>
      <c r="BG33" s="43" t="str">
        <f>IFERROR(_xlfn.XLOOKUP(Tableau1[[#This Row],[Isin]]&amp;1&amp;2020,#REF!,Tableau3[Capi]),"")</f>
        <v/>
      </c>
      <c r="BH33" s="43">
        <f>IF(IFERROR(_xlfn.XLOOKUP(Tableau1[[#This Row],[Isin]]&amp;1&amp;2021,#REF!,Tableau3[Capi]),"")="",Tableau1[[#This Row],[Capitalisation 2021
Manuel]],IFERROR(_xlfn.XLOOKUP(Tableau1[[#This Row],[Isin]]&amp;1&amp;2021,#REF!,Tableau3[Capi]),""))</f>
        <v>0</v>
      </c>
      <c r="BI33" s="43"/>
      <c r="BJ33" s="43">
        <f>IF(IFERROR(_xlfn.XLOOKUP(Tableau1[[#This Row],[Isin]]&amp;1&amp;2022,#REF!,Tableau3[Capi]),"")="",Tableau1[[#This Row],[Capitalisation 2022
Manuel]],IFERROR(_xlfn.XLOOKUP(Tableau1[[#This Row],[Isin]]&amp;1&amp;2022,#REF!,Tableau3[Capi]),""))</f>
        <v>0</v>
      </c>
      <c r="BK33" s="43"/>
      <c r="BL33" s="43">
        <f ca="1">Tableau1[[#This Row],[Capitalisation boursière]]</f>
        <v>11444993917</v>
      </c>
      <c r="BM33" s="162" t="str" cm="1">
        <f t="array" aca="1" ref="BM33" ca="1">_FV(Tableau1[[#This Row],[Code Excel]],"Description")</f>
        <v>Align Technology, Inc. est une société mondiale de dispositifs médicaux qui conçoit, fabrique et vend le système Invisalign d'aligneurs transparents, de scanners intra-oraux iTero et de logiciels de conception et de fabrication assistée par ordinateur Exocad (CAD/CAM) pour l'orthodontie numérique et la dentisterie restauratrice. La Société fournit la plateforme numérique Align. Ses segments comprennent Clear aligner, Imaging Systems et CAD/CAM services (systèmes et services). Le segment Clear aligner comprend des produits complets, des produits non complets et des produits non-case. Ses produits complets incluent Invisalign Comprehensive et Invisalign First. Les produits autres que case de l'entreprise comprennent des produits de rétention, des outils de formation Invisalign et d'ajustement. Il offre jusqu'à quatre ensembles d'aligneurs transparents personnalisés appelés Vivera Retainers. Le segment systèmes et services comprend ses systèmes d'acquisition intra-orale iTero. Ses services comprennent des logiciels d'abonnement, des consommables, des locations, des baux et des services de paiement à la numérisation.</v>
      </c>
      <c r="BN33" s="43"/>
      <c r="BO33" s="43"/>
      <c r="BP33" s="43"/>
      <c r="BQ33" s="43"/>
      <c r="BR33" s="4"/>
      <c r="BS33" s="11" t="s">
        <v>3397</v>
      </c>
      <c r="BT33" s="12" t="s">
        <v>4355</v>
      </c>
      <c r="BU33" s="13"/>
      <c r="BV33" s="13"/>
      <c r="BW33" s="3" t="s">
        <v>1141</v>
      </c>
      <c r="BX33" s="3"/>
      <c r="BZ33" s="4"/>
      <c r="CA33" s="4"/>
    </row>
    <row r="34" spans="3:83">
      <c r="C34" s="43"/>
      <c r="D34" s="42">
        <f>IF(Tableau1[[#This Row],[Isin]]="",99,Tableau1[[#This Row],[Intérêt]]+Tableau1[[#This Row],[Valeur d''intérêt]]+Tableau1[[#This Row],[N° Portefeuille]])</f>
        <v>30</v>
      </c>
      <c r="E34" s="43"/>
      <c r="F34" s="42">
        <f>IF(Tableau1[[#This Row],[Portefeuille]]="p",0,Tableau1[[#This Row],[F. Investissement
Niveau d''intérêt]]*10)</f>
        <v>30</v>
      </c>
      <c r="G34" s="43">
        <f>IF(Tableau1[[#This Row],[Portefeuille]]="p",3,0)</f>
        <v>0</v>
      </c>
      <c r="H34" s="43">
        <v>3</v>
      </c>
      <c r="I34" s="43">
        <v>4</v>
      </c>
      <c r="J34" s="43"/>
      <c r="K34" s="43"/>
      <c r="L34" s="16">
        <v>1</v>
      </c>
      <c r="M3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 s="44" t="s">
        <v>3540</v>
      </c>
      <c r="O34" s="44" t="s">
        <v>2595</v>
      </c>
      <c r="P34" s="4" t="s">
        <v>427</v>
      </c>
      <c r="Q34" s="6" t="s">
        <v>85</v>
      </c>
      <c r="R34" s="6"/>
      <c r="S34" s="6" t="s">
        <v>2597</v>
      </c>
      <c r="T34" s="6" t="e" vm="24">
        <v>#VALUE!</v>
      </c>
      <c r="U34" s="46" cm="1">
        <f t="array" aca="1" ref="U34" ca="1">IFERROR(_FV(Tableau1[[#This Row],[Code Excel]],"Capitalisation boursière",TRUE),"")</f>
        <v>3306520000</v>
      </c>
      <c r="V34" s="4" t="str" cm="1">
        <f t="array" aca="1" ref="V34" ca="1">IFERROR(_FV(Tableau1[[#This Row],[Code Excel]],"Industrie"),"")</f>
        <v>Financial Technology (Fintech) &amp; Infrastructure</v>
      </c>
      <c r="W34" s="4" t="s">
        <v>4335</v>
      </c>
      <c r="X34" s="4" t="str">
        <f ca="1">Tableau1[[#This Row],[Grand Secteur]]&amp;Tableau1[[#This Row],[Industrie]]</f>
        <v>FinanceFinancial Technology (Fintech) &amp; Infrastructure</v>
      </c>
      <c r="Y34" s="23" cm="1">
        <f t="array" aca="1" ref="Y34" ca="1">IFERROR(_FV(Tableau1[[#This Row],[Code Excel]],"P/E",TRUE),"")</f>
        <v>42.271700000000003</v>
      </c>
      <c r="Z34" s="43" cm="1">
        <f t="array" aca="1" ref="Z34" ca="1">IFERROR(_FV(Tableau1[[#This Row],[Code Excel]],"Employés"),"")</f>
        <v>1057</v>
      </c>
      <c r="AA34" s="52">
        <f ca="1">IFERROR(Tableau1[[#This Row],[Capitalisation boursière]]/Tableau1[[#This Row],[Employés]],"")</f>
        <v>3128211.9205298014</v>
      </c>
      <c r="AB34" s="5" t="str">
        <f>IFERROR(Tableau1[[#This Row],[REX (2021)]]/Tableau1[[#This Row],[CA 2024]],"")</f>
        <v/>
      </c>
      <c r="AC34" s="9" t="str">
        <f>IFERROR(_xlfn.XLOOKUP(Tableau1[[#This Row],[Isin]]&amp;1&amp;2021,#REF!,Tableau3[Résultat d''exploitation]),"")</f>
        <v/>
      </c>
      <c r="AD34" s="9" t="str">
        <f>IFERROR(_xlfn.XLOOKUP(Tableau1[[#This Row],[Isin]]&amp;1&amp;2019,#REF!,Tableau3[Chiffre d''affaires]),"")</f>
        <v/>
      </c>
      <c r="AE34" s="9" t="str">
        <f>IFERROR(_xlfn.XLOOKUP(Tableau1[[#This Row],[Isin]]&amp;1&amp;2024,#REF!,Tableau3[Chiffre d''affaires]),"")</f>
        <v/>
      </c>
      <c r="AF34" s="8" t="str">
        <f>IFERROR(IF((Tableau1[[#This Row],[CA 2024]]-Tableau1[[#This Row],[CA 2019]])/Tableau1[[#This Row],[CA 2019]]=-1,"",(Tableau1[[#This Row],[CA 2024]]-Tableau1[[#This Row],[CA 2019]])/Tableau1[[#This Row],[CA 2019]]),"")</f>
        <v/>
      </c>
      <c r="AG34" s="9" t="str">
        <f>IFERROR(_xlfn.XLOOKUP(Tableau1[[#This Row],[Isin]]&amp;1&amp;2021,#REF!,Tableau3[EBE]),"")</f>
        <v/>
      </c>
      <c r="AH34" s="9" t="str">
        <f>IFERROR(_xlfn.XLOOKUP(Tableau1[[#This Row],[Isin]]&amp;1&amp;2022,#REF!,Tableau3[EBE]),"")</f>
        <v/>
      </c>
      <c r="AI34" s="43" t="s">
        <v>4329</v>
      </c>
      <c r="AJ34" s="43" t="s">
        <v>4356</v>
      </c>
      <c r="AK34" s="43" t="s">
        <v>3149</v>
      </c>
      <c r="AL34" s="43" t="s">
        <v>3148</v>
      </c>
      <c r="AM34" s="43"/>
      <c r="AN34" s="9" t="str">
        <f>IFERROR(_xlfn.XLOOKUP(Tableau1[[#This Row],[Isin]]&amp;1&amp;2021,#REF!,Tableau3[Chiffre d''affaires]),"")</f>
        <v/>
      </c>
      <c r="AO34" s="43" cm="1">
        <f t="array" aca="1" ref="AO34" ca="1">_FV(Tableau1[[#This Row],[Code Excel]],"P/E",TRUE)</f>
        <v>42.271700000000003</v>
      </c>
      <c r="AP34" s="43" t="str">
        <f>IFERROR(_xlfn.XLOOKUP(Tableau1[[#This Row],[Isin]]&amp;1&amp;2023,#REF!,Tableau3[Résultat Net (PdG)]),"")</f>
        <v/>
      </c>
      <c r="AQ34" s="43">
        <f>IF(IFERROR(_xlfn.XLOOKUP(Tableau1[[#This Row],[Isin]]&amp;1&amp;2022,#REF!,Tableau3[Résultat Net (PdG)]),"")="",Tableau1[[#This Row],[RN Groupe 2022
Manuel]],IFERROR(_xlfn.XLOOKUP(Tableau1[[#This Row],[Isin]]&amp;1&amp;2022,#REF!,Tableau3[Résultat Net (PdG)]),""))</f>
        <v>0</v>
      </c>
      <c r="AR34" s="43"/>
      <c r="AS34" s="43">
        <f>IF(IFERROR(_xlfn.XLOOKUP(Tableau1[[#This Row],[Isin]]&amp;1&amp;2021,#REF!,Tableau3[Résultat Net (PdG)]),"")="",Tableau1[[#This Row],[RN Groupe 2021
Manuel]],IFERROR(_xlfn.XLOOKUP(Tableau1[[#This Row],[Isin]]&amp;1&amp;2021,#REF!,Tableau3[Résultat Net (PdG)]),""))</f>
        <v>0</v>
      </c>
      <c r="AT34" s="43"/>
      <c r="AU34" s="43" t="str">
        <f>IFERROR(_xlfn.XLOOKUP(Tableau1[[#This Row],[Isin]]&amp;1&amp;2020,#REF!,Tableau3[Résultat Net (PdG)]),"")</f>
        <v/>
      </c>
      <c r="AV34" s="43" t="str">
        <f>IFERROR(_xlfn.XLOOKUP(Tableau1[[#This Row],[Isin]]&amp;1&amp;2019,#REF!,Tableau3[Résultat Net (PdG)]),"")</f>
        <v/>
      </c>
      <c r="AW34" s="43" t="str">
        <f>IFERROR(_xlfn.XLOOKUP(Tableau1[[#This Row],[Isin]]&amp;1&amp;2018,#REF!,Tableau3[Résultat Net (PdG)]),"")</f>
        <v/>
      </c>
      <c r="AX34" s="43" t="str">
        <f>IFERROR(_xlfn.XLOOKUP(Tableau1[[#This Row],[Isin]]&amp;1&amp;2017,#REF!,Tableau3[Résultat Net (PdG)]),"")</f>
        <v/>
      </c>
      <c r="AY34" s="43" t="str">
        <f>IFERROR(_xlfn.XLOOKUP(Tableau1[[#This Row],[Isin]]&amp;1&amp;2016,#REF!,Tableau3[Résultat Net (PdG)]),"")</f>
        <v/>
      </c>
      <c r="AZ34" s="137" t="str">
        <f ca="1">IFERROR(Tableau1[[#This Row],[Capitalisation boursière]]/Tableau1[[#This Row],[RN Groupe 2023]],"")</f>
        <v/>
      </c>
      <c r="BA34" s="4" t="str" cm="1">
        <f t="array" aca="1" ref="BA34" ca="1">IFERROR(_FV(Tableau1[[#This Row],[Code Excel]],"Industrie"),"")</f>
        <v>Financial Technology (Fintech) &amp; Infrastructure</v>
      </c>
      <c r="BB34" s="43" t="e">
        <v>#N/A</v>
      </c>
      <c r="BC34" s="43" t="str">
        <f>IFERROR(_xlfn.XLOOKUP(Tableau1[[#This Row],[Isin]]&amp;1&amp;2016,#REF!,Tableau3[Capi]),"")</f>
        <v/>
      </c>
      <c r="BD34" s="43" t="str">
        <f>IFERROR(_xlfn.XLOOKUP(Tableau1[[#This Row],[Isin]]&amp;1&amp;2017,#REF!,Tableau3[Capi]),"")</f>
        <v/>
      </c>
      <c r="BE34" s="43" t="str">
        <f>IFERROR(_xlfn.XLOOKUP(Tableau1[[#This Row],[Isin]]&amp;1&amp;2018,#REF!,Tableau3[Capi]),"")</f>
        <v/>
      </c>
      <c r="BF34" s="43" t="str">
        <f>IFERROR(_xlfn.XLOOKUP(Tableau1[[#This Row],[Isin]]&amp;1&amp;2019,#REF!,Tableau3[Capi]),"")</f>
        <v/>
      </c>
      <c r="BG34" s="43" t="str">
        <f>IFERROR(_xlfn.XLOOKUP(Tableau1[[#This Row],[Isin]]&amp;1&amp;2020,#REF!,Tableau3[Capi]),"")</f>
        <v/>
      </c>
      <c r="BH34" s="43">
        <f>IF(IFERROR(_xlfn.XLOOKUP(Tableau1[[#This Row],[Isin]]&amp;1&amp;2021,#REF!,Tableau3[Capi]),"")="",Tableau1[[#This Row],[Capitalisation 2021
Manuel]],IFERROR(_xlfn.XLOOKUP(Tableau1[[#This Row],[Isin]]&amp;1&amp;2021,#REF!,Tableau3[Capi]),""))</f>
        <v>0</v>
      </c>
      <c r="BI34" s="43"/>
      <c r="BJ34" s="43">
        <f>IF(IFERROR(_xlfn.XLOOKUP(Tableau1[[#This Row],[Isin]]&amp;1&amp;2022,#REF!,Tableau3[Capi]),"")="",Tableau1[[#This Row],[Capitalisation 2022
Manuel]],IFERROR(_xlfn.XLOOKUP(Tableau1[[#This Row],[Isin]]&amp;1&amp;2022,#REF!,Tableau3[Capi]),""))</f>
        <v>0</v>
      </c>
      <c r="BK34" s="43"/>
      <c r="BL34" s="43">
        <f ca="1">Tableau1[[#This Row],[Capitalisation boursière]]</f>
        <v>3306520000</v>
      </c>
      <c r="BM34" s="162" t="str" cm="1">
        <f t="array" aca="1" ref="BM34" ca="1">_FV(Tableau1[[#This Row],[Code Excel]],"Description")</f>
        <v>Allfunds Group plc est une société de technologie patrimoniale basée au Royaume-Uni. La plate-forme technologique interentreprises (B2B) de gestion de patrimoine de la Société relie les maisons de fonds et les distributeurs, permettant une mise en correspondance efficace de l'offre et de la demande de produits de gestion d'actifs. Son offre de services comprend des données et des analyses, des outils de portfolio et de reporting, des services de recherche et de réglementation. Elle opère sur deux segments : le chiffre d'affaires net des plateformes et le chiffre d'affaires net des abonnements et autres. Elle offre un réseau de distribution de fonds à l'échelle mondiale et un accès à l'univers des fonds communs de placement et des fonds négociés en bourse (ETF). Il exploite une plateforme à architecture ouverte qui fournit un écosystème numérique. Par le biais de sa plateforme, elle propose une variété de fonds à travers le monde, à travers des stratégies actives et passives, y compris des fonds d'actions, des fonds à revenu fixe, des fonds multi-actifs, des fonds alternatifs, et ETF. Elle exerce également des activités d'agents payeurs locaux en Italie. Il opère dans environ 62 pays à travers le monde.</v>
      </c>
      <c r="BN34" s="43"/>
      <c r="BO34" s="43"/>
      <c r="BP34" s="43"/>
      <c r="BQ34" s="43"/>
      <c r="BR34" s="4"/>
      <c r="BS34" s="11" t="s">
        <v>3334</v>
      </c>
      <c r="BT34" s="12" t="s">
        <v>4355</v>
      </c>
      <c r="BU34" s="13"/>
      <c r="BV34" s="13"/>
      <c r="BW34" s="3" t="s">
        <v>574</v>
      </c>
      <c r="BX34" s="3"/>
      <c r="BY34" s="13"/>
      <c r="BZ34" s="4"/>
      <c r="CA34" s="4"/>
    </row>
    <row r="35" spans="3:83">
      <c r="C35" s="42"/>
      <c r="D35" s="42">
        <f>IF(Tableau1[[#This Row],[Isin]]="",99,Tableau1[[#This Row],[Intérêt]]+Tableau1[[#This Row],[Valeur d''intérêt]]+Tableau1[[#This Row],[N° Portefeuille]])</f>
        <v>30</v>
      </c>
      <c r="E35" s="42"/>
      <c r="F35" s="42">
        <f>IF(Tableau1[[#This Row],[Portefeuille]]="p",0,Tableau1[[#This Row],[F. Investissement
Niveau d''intérêt]]*10)</f>
        <v>30</v>
      </c>
      <c r="G35" s="42">
        <f>IF(Tableau1[[#This Row],[Portefeuille]]="p",3,0)</f>
        <v>0</v>
      </c>
      <c r="H35" s="42">
        <v>3</v>
      </c>
      <c r="I35" s="42">
        <v>4</v>
      </c>
      <c r="J35" s="42"/>
      <c r="K35" s="43"/>
      <c r="L35" s="16">
        <v>0</v>
      </c>
      <c r="M3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 s="44" t="s">
        <v>3542</v>
      </c>
      <c r="O35" s="45"/>
      <c r="P35" s="4" t="s">
        <v>564</v>
      </c>
      <c r="Q35" s="4"/>
      <c r="R35" s="6"/>
      <c r="S35" s="6" t="s">
        <v>3543</v>
      </c>
      <c r="T35" s="6" t="e" vm="25">
        <v>#VALUE!</v>
      </c>
      <c r="U35" s="46" cm="1">
        <f t="array" aca="1" ref="U35" ca="1">IFERROR(_FV(Tableau1[[#This Row],[Code Excel]],"Capitalisation boursière",TRUE),"")</f>
        <v>137205000000</v>
      </c>
      <c r="V35" s="4" t="str" cm="1">
        <f t="array" aca="1" ref="V35" ca="1">IFERROR(_FV(Tableau1[[#This Row],[Code Excel]],"Industrie"),"")</f>
        <v>Insurance</v>
      </c>
      <c r="W35" s="4" t="s">
        <v>4336</v>
      </c>
      <c r="X35" s="4" t="str">
        <f ca="1">Tableau1[[#This Row],[Grand Secteur]]&amp;Tableau1[[#This Row],[Industrie]]</f>
        <v>AssuranceInsurance</v>
      </c>
      <c r="Y35" s="23" cm="1">
        <f t="array" aca="1" ref="Y35" ca="1">IFERROR(_FV(Tableau1[[#This Row],[Code Excel]],"P/E",TRUE),"")</f>
        <v>14.42</v>
      </c>
      <c r="Z35" s="43" cm="1">
        <f t="array" aca="1" ref="Z35" ca="1">IFERROR(_FV(Tableau1[[#This Row],[Code Excel]],"Employés"),"")</f>
        <v>156626</v>
      </c>
      <c r="AA35" s="46">
        <f ca="1">IFERROR(Tableau1[[#This Row],[Capitalisation boursière]]/Tableau1[[#This Row],[Employés]],"")</f>
        <v>876003.9840128714</v>
      </c>
      <c r="AB35" s="5" t="str">
        <f>IFERROR(Tableau1[[#This Row],[REX (2021)]]/Tableau1[[#This Row],[CA 2024]],"")</f>
        <v/>
      </c>
      <c r="AC35" s="9" t="str">
        <f>IFERROR(_xlfn.XLOOKUP(Tableau1[[#This Row],[Isin]]&amp;1&amp;2021,#REF!,Tableau3[Résultat d''exploitation]),"")</f>
        <v/>
      </c>
      <c r="AD35" s="9" t="str">
        <f>IFERROR(_xlfn.XLOOKUP(Tableau1[[#This Row],[Isin]]&amp;1&amp;2019,#REF!,Tableau3[Chiffre d''affaires]),"")</f>
        <v/>
      </c>
      <c r="AE35" s="9" t="str">
        <f>IFERROR(_xlfn.XLOOKUP(Tableau1[[#This Row],[Isin]]&amp;1&amp;2024,#REF!,Tableau3[Chiffre d''affaires]),"")</f>
        <v/>
      </c>
      <c r="AF35" s="8" t="str">
        <f>IFERROR(IF((Tableau1[[#This Row],[CA 2024]]-Tableau1[[#This Row],[CA 2019]])/Tableau1[[#This Row],[CA 2019]]=-1,"",(Tableau1[[#This Row],[CA 2024]]-Tableau1[[#This Row],[CA 2019]])/Tableau1[[#This Row],[CA 2019]]),"")</f>
        <v/>
      </c>
      <c r="AG35" s="9" t="str">
        <f>IFERROR(_xlfn.XLOOKUP(Tableau1[[#This Row],[Isin]]&amp;1&amp;2021,#REF!,Tableau3[EBE]),"")</f>
        <v/>
      </c>
      <c r="AH35" s="9" t="str">
        <f>IFERROR(_xlfn.XLOOKUP(Tableau1[[#This Row],[Isin]]&amp;1&amp;2022,#REF!,Tableau3[EBE]),"")</f>
        <v/>
      </c>
      <c r="AI35" s="43" t="s">
        <v>4329</v>
      </c>
      <c r="AJ35" s="43" t="s">
        <v>4322</v>
      </c>
      <c r="AK35" s="43" t="s">
        <v>3431</v>
      </c>
      <c r="AL35" s="43"/>
      <c r="AM35" s="43"/>
      <c r="AN35" s="9" t="str">
        <f>IFERROR(_xlfn.XLOOKUP(Tableau1[[#This Row],[Isin]]&amp;1&amp;2021,#REF!,Tableau3[Chiffre d''affaires]),"")</f>
        <v/>
      </c>
      <c r="AO35" s="43" cm="1">
        <f t="array" aca="1" ref="AO35" ca="1">_FV(Tableau1[[#This Row],[Code Excel]],"P/E",TRUE)</f>
        <v>14.42</v>
      </c>
      <c r="AP35" s="43" t="str">
        <f>IFERROR(_xlfn.XLOOKUP(Tableau1[[#This Row],[Isin]]&amp;1&amp;2023,#REF!,Tableau3[Résultat Net (PdG)]),"")</f>
        <v/>
      </c>
      <c r="AQ35" s="43">
        <f>IF(IFERROR(_xlfn.XLOOKUP(Tableau1[[#This Row],[Isin]]&amp;1&amp;2022,#REF!,Tableau3[Résultat Net (PdG)]),"")="",Tableau1[[#This Row],[RN Groupe 2022
Manuel]],IFERROR(_xlfn.XLOOKUP(Tableau1[[#This Row],[Isin]]&amp;1&amp;2022,#REF!,Tableau3[Résultat Net (PdG)]),""))</f>
        <v>0</v>
      </c>
      <c r="AR35" s="43"/>
      <c r="AS35" s="43">
        <f>IF(IFERROR(_xlfn.XLOOKUP(Tableau1[[#This Row],[Isin]]&amp;1&amp;2021,#REF!,Tableau3[Résultat Net (PdG)]),"")="",Tableau1[[#This Row],[RN Groupe 2021
Manuel]],IFERROR(_xlfn.XLOOKUP(Tableau1[[#This Row],[Isin]]&amp;1&amp;2021,#REF!,Tableau3[Résultat Net (PdG)]),""))</f>
        <v>0</v>
      </c>
      <c r="AT35" s="43"/>
      <c r="AU35" s="43" t="str">
        <f>IFERROR(_xlfn.XLOOKUP(Tableau1[[#This Row],[Isin]]&amp;1&amp;2020,#REF!,Tableau3[Résultat Net (PdG)]),"")</f>
        <v/>
      </c>
      <c r="AV35" s="43" t="str">
        <f>IFERROR(_xlfn.XLOOKUP(Tableau1[[#This Row],[Isin]]&amp;1&amp;2019,#REF!,Tableau3[Résultat Net (PdG)]),"")</f>
        <v/>
      </c>
      <c r="AW35" s="43" t="str">
        <f>IFERROR(_xlfn.XLOOKUP(Tableau1[[#This Row],[Isin]]&amp;1&amp;2018,#REF!,Tableau3[Résultat Net (PdG)]),"")</f>
        <v/>
      </c>
      <c r="AX35" s="43" t="str">
        <f>IFERROR(_xlfn.XLOOKUP(Tableau1[[#This Row],[Isin]]&amp;1&amp;2017,#REF!,Tableau3[Résultat Net (PdG)]),"")</f>
        <v/>
      </c>
      <c r="AY35" s="43" t="str">
        <f>IFERROR(_xlfn.XLOOKUP(Tableau1[[#This Row],[Isin]]&amp;1&amp;2016,#REF!,Tableau3[Résultat Net (PdG)]),"")</f>
        <v/>
      </c>
      <c r="AZ35" s="137" t="str">
        <f ca="1">IFERROR(Tableau1[[#This Row],[Capitalisation boursière]]/Tableau1[[#This Row],[RN Groupe 2023]],"")</f>
        <v/>
      </c>
      <c r="BA35" s="4" t="str" cm="1">
        <f t="array" aca="1" ref="BA35" ca="1">IFERROR(_FV(Tableau1[[#This Row],[Code Excel]],"Industrie"),"")</f>
        <v>Insurance</v>
      </c>
      <c r="BB35" s="43" t="s">
        <v>3487</v>
      </c>
      <c r="BC35" s="43" t="str">
        <f>IFERROR(_xlfn.XLOOKUP(Tableau1[[#This Row],[Isin]]&amp;1&amp;2016,#REF!,Tableau3[Capi]),"")</f>
        <v/>
      </c>
      <c r="BD35" s="43" t="str">
        <f>IFERROR(_xlfn.XLOOKUP(Tableau1[[#This Row],[Isin]]&amp;1&amp;2017,#REF!,Tableau3[Capi]),"")</f>
        <v/>
      </c>
      <c r="BE35" s="43" t="str">
        <f>IFERROR(_xlfn.XLOOKUP(Tableau1[[#This Row],[Isin]]&amp;1&amp;2018,#REF!,Tableau3[Capi]),"")</f>
        <v/>
      </c>
      <c r="BF35" s="43" t="str">
        <f>IFERROR(_xlfn.XLOOKUP(Tableau1[[#This Row],[Isin]]&amp;1&amp;2019,#REF!,Tableau3[Capi]),"")</f>
        <v/>
      </c>
      <c r="BG35" s="43" t="str">
        <f>IFERROR(_xlfn.XLOOKUP(Tableau1[[#This Row],[Isin]]&amp;1&amp;2020,#REF!,Tableau3[Capi]),"")</f>
        <v/>
      </c>
      <c r="BH35" s="43">
        <f>IF(IFERROR(_xlfn.XLOOKUP(Tableau1[[#This Row],[Isin]]&amp;1&amp;2021,#REF!,Tableau3[Capi]),"")="",Tableau1[[#This Row],[Capitalisation 2021
Manuel]],IFERROR(_xlfn.XLOOKUP(Tableau1[[#This Row],[Isin]]&amp;1&amp;2021,#REF!,Tableau3[Capi]),""))</f>
        <v>0</v>
      </c>
      <c r="BI35" s="43"/>
      <c r="BJ35" s="43">
        <f>IF(IFERROR(_xlfn.XLOOKUP(Tableau1[[#This Row],[Isin]]&amp;1&amp;2022,#REF!,Tableau3[Capi]),"")="",Tableau1[[#This Row],[Capitalisation 2022
Manuel]],IFERROR(_xlfn.XLOOKUP(Tableau1[[#This Row],[Isin]]&amp;1&amp;2022,#REF!,Tableau3[Capi]),""))</f>
        <v>0</v>
      </c>
      <c r="BK35" s="43"/>
      <c r="BL35" s="43">
        <f ca="1">Tableau1[[#This Row],[Capitalisation boursière]]</f>
        <v>137205000000</v>
      </c>
      <c r="BM35" s="162" t="str" cm="1">
        <f t="array" aca="1" ref="BM35" ca="1">_FV(Tableau1[[#This Row],[Code Excel]],"Description")</f>
        <v>Allianz SE est une société de services financiers basée en Allemagne. La société est la société holding du groupe Allianz (Allianz SE et ses filiales). Ses segments comprennent les secteurs des biens-risques, de la vie/santé, de la gestion d'actifs et des sociétés et autres. La Société offre une gamme de couvertures de réassurance, principalement aux entités d'assurance d'Allianz, ainsi qu'à des clients tiers. Le secteur des dommages est l'activité principale et de réassurance du groupe Allianz, qui offre une gamme de produits et services à la fois aux particuliers et aux entreprises. Le segment Vie/Santé offre une gamme de produits d'assurance-vie et de santé individuelle et collective. Le secteur de la gestion d'actifs fournit des produits et services de gestion d'actifs institutionnels et de détail à des investisseurs externes et fournit des services de gestion d'investissements aux activités d'assurance du groupe Allianz. Le segment des sociétés et autres comprend les placements de portefeuille et de trésorerie, les placements bancaires et les placements alternatifs.</v>
      </c>
      <c r="BN35" s="43"/>
      <c r="BO35" s="43"/>
      <c r="BP35" s="43"/>
      <c r="BQ35" s="43"/>
      <c r="BR35" s="4"/>
      <c r="BS35" s="21"/>
      <c r="BT35" s="21"/>
      <c r="BU35" s="13"/>
      <c r="BV35" s="13"/>
      <c r="BW35" s="3" t="s">
        <v>1899</v>
      </c>
      <c r="BX35" s="13"/>
      <c r="BY35" s="13"/>
      <c r="BZ35" s="4"/>
      <c r="CA35" s="4"/>
    </row>
    <row r="36" spans="3:83">
      <c r="C36" s="43"/>
      <c r="D36" s="42">
        <f>IF(Tableau1[[#This Row],[Isin]]="",99,Tableau1[[#This Row],[Intérêt]]+Tableau1[[#This Row],[Valeur d''intérêt]]+Tableau1[[#This Row],[N° Portefeuille]])</f>
        <v>30</v>
      </c>
      <c r="E36" s="43"/>
      <c r="F36" s="42">
        <f>IF(Tableau1[[#This Row],[Portefeuille]]="p",0,Tableau1[[#This Row],[F. Investissement
Niveau d''intérêt]]*10)</f>
        <v>30</v>
      </c>
      <c r="G36" s="43">
        <f>IF(Tableau1[[#This Row],[Portefeuille]]="p",3,0)</f>
        <v>0</v>
      </c>
      <c r="H36" s="43">
        <v>3</v>
      </c>
      <c r="I36" s="43">
        <v>4</v>
      </c>
      <c r="J36" s="43"/>
      <c r="K36" s="43"/>
      <c r="L36" s="16">
        <v>0</v>
      </c>
      <c r="M3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6" s="44" t="s">
        <v>3545</v>
      </c>
      <c r="O36" s="45"/>
      <c r="P36" s="4" t="s">
        <v>382</v>
      </c>
      <c r="Q36" s="4"/>
      <c r="R36" s="6"/>
      <c r="S36" s="6" t="s">
        <v>3546</v>
      </c>
      <c r="T36" s="6" t="e" vm="26">
        <v>#VALUE!</v>
      </c>
      <c r="U36" s="46" cm="1">
        <f t="array" aca="1" ref="U36" ca="1">IFERROR(_FV(Tableau1[[#This Row],[Code Excel]],"Capitalisation boursière",TRUE),"")</f>
        <v>1893602000000</v>
      </c>
      <c r="V36" s="4" t="str" cm="1">
        <f t="array" aca="1" ref="V36" ca="1">IFERROR(_FV(Tableau1[[#This Row],[Code Excel]],"Industrie"),"")</f>
        <v>Software &amp; IT Services</v>
      </c>
      <c r="W36" s="4" t="s">
        <v>4333</v>
      </c>
      <c r="X36" s="4" t="str">
        <f ca="1">Tableau1[[#This Row],[Grand Secteur]]&amp;Tableau1[[#This Row],[Industrie]]</f>
        <v>Logiciels et TechnologieSoftware &amp; IT Services</v>
      </c>
      <c r="Y36" s="23" cm="1">
        <f t="array" aca="1" ref="Y36" ca="1">IFERROR(_FV(Tableau1[[#This Row],[Code Excel]],"P/E",TRUE),"")</f>
        <v>18.7395</v>
      </c>
      <c r="Z36" s="43" cm="1">
        <f t="array" aca="1" ref="Z36" ca="1">IFERROR(_FV(Tableau1[[#This Row],[Code Excel]],"Employés"),"")</f>
        <v>183323</v>
      </c>
      <c r="AA36" s="49">
        <f ca="1">IFERROR(Tableau1[[#This Row],[Capitalisation boursière]]/Tableau1[[#This Row],[Employés]],"")</f>
        <v>10329320.379875956</v>
      </c>
      <c r="AB36" s="5" t="str">
        <f>IFERROR(Tableau1[[#This Row],[REX (2021)]]/Tableau1[[#This Row],[CA 2024]],"")</f>
        <v/>
      </c>
      <c r="AC36" s="9" t="str">
        <f>IFERROR(_xlfn.XLOOKUP(Tableau1[[#This Row],[Isin]]&amp;1&amp;2021,#REF!,Tableau3[Résultat d''exploitation]),"")</f>
        <v/>
      </c>
      <c r="AD36" s="9" t="str">
        <f>IFERROR(_xlfn.XLOOKUP(Tableau1[[#This Row],[Isin]]&amp;1&amp;2019,#REF!,Tableau3[Chiffre d''affaires]),"")</f>
        <v/>
      </c>
      <c r="AE36" s="9" t="str">
        <f>IFERROR(_xlfn.XLOOKUP(Tableau1[[#This Row],[Isin]]&amp;1&amp;2024,#REF!,Tableau3[Chiffre d''affaires]),"")</f>
        <v/>
      </c>
      <c r="AF36" s="8" t="str">
        <f>IFERROR(IF((Tableau1[[#This Row],[CA 2024]]-Tableau1[[#This Row],[CA 2019]])/Tableau1[[#This Row],[CA 2019]]=-1,"",(Tableau1[[#This Row],[CA 2024]]-Tableau1[[#This Row],[CA 2019]])/Tableau1[[#This Row],[CA 2019]]),"")</f>
        <v/>
      </c>
      <c r="AG36" s="9" t="str">
        <f>IFERROR(_xlfn.XLOOKUP(Tableau1[[#This Row],[Isin]]&amp;1&amp;2021,#REF!,Tableau3[EBE]),"")</f>
        <v/>
      </c>
      <c r="AH36" s="9" t="str">
        <f>IFERROR(_xlfn.XLOOKUP(Tableau1[[#This Row],[Isin]]&amp;1&amp;2022,#REF!,Tableau3[EBE]),"")</f>
        <v/>
      </c>
      <c r="AI36" s="43" t="s">
        <v>4324</v>
      </c>
      <c r="AJ36" s="43" t="s">
        <v>4334</v>
      </c>
      <c r="AK36" s="43" t="s">
        <v>3148</v>
      </c>
      <c r="AL36" s="43"/>
      <c r="AM36" s="43"/>
      <c r="AN36" s="9" t="str">
        <f>IFERROR(_xlfn.XLOOKUP(Tableau1[[#This Row],[Isin]]&amp;1&amp;2021,#REF!,Tableau3[Chiffre d''affaires]),"")</f>
        <v/>
      </c>
      <c r="AO36" s="43" cm="1">
        <f t="array" aca="1" ref="AO36" ca="1">_FV(Tableau1[[#This Row],[Code Excel]],"P/E",TRUE)</f>
        <v>18.7395</v>
      </c>
      <c r="AP36" s="43" t="str">
        <f>IFERROR(_xlfn.XLOOKUP(Tableau1[[#This Row],[Isin]]&amp;1&amp;2023,#REF!,Tableau3[Résultat Net (PdG)]),"")</f>
        <v/>
      </c>
      <c r="AQ36" s="43">
        <f>IF(IFERROR(_xlfn.XLOOKUP(Tableau1[[#This Row],[Isin]]&amp;1&amp;2022,#REF!,Tableau3[Résultat Net (PdG)]),"")="",Tableau1[[#This Row],[RN Groupe 2022
Manuel]],IFERROR(_xlfn.XLOOKUP(Tableau1[[#This Row],[Isin]]&amp;1&amp;2022,#REF!,Tableau3[Résultat Net (PdG)]),""))</f>
        <v>0</v>
      </c>
      <c r="AR36" s="43"/>
      <c r="AS36" s="43">
        <f>IF(IFERROR(_xlfn.XLOOKUP(Tableau1[[#This Row],[Isin]]&amp;1&amp;2021,#REF!,Tableau3[Résultat Net (PdG)]),"")="",Tableau1[[#This Row],[RN Groupe 2021
Manuel]],IFERROR(_xlfn.XLOOKUP(Tableau1[[#This Row],[Isin]]&amp;1&amp;2021,#REF!,Tableau3[Résultat Net (PdG)]),""))</f>
        <v>0</v>
      </c>
      <c r="AT36" s="43"/>
      <c r="AU36" s="43" t="str">
        <f>IFERROR(_xlfn.XLOOKUP(Tableau1[[#This Row],[Isin]]&amp;1&amp;2020,#REF!,Tableau3[Résultat Net (PdG)]),"")</f>
        <v/>
      </c>
      <c r="AV36" s="43" t="str">
        <f>IFERROR(_xlfn.XLOOKUP(Tableau1[[#This Row],[Isin]]&amp;1&amp;2019,#REF!,Tableau3[Résultat Net (PdG)]),"")</f>
        <v/>
      </c>
      <c r="AW36" s="43" t="str">
        <f>IFERROR(_xlfn.XLOOKUP(Tableau1[[#This Row],[Isin]]&amp;1&amp;2018,#REF!,Tableau3[Résultat Net (PdG)]),"")</f>
        <v/>
      </c>
      <c r="AX36" s="43" t="str">
        <f>IFERROR(_xlfn.XLOOKUP(Tableau1[[#This Row],[Isin]]&amp;1&amp;2017,#REF!,Tableau3[Résultat Net (PdG)]),"")</f>
        <v/>
      </c>
      <c r="AY36" s="43" t="str">
        <f>IFERROR(_xlfn.XLOOKUP(Tableau1[[#This Row],[Isin]]&amp;1&amp;2016,#REF!,Tableau3[Résultat Net (PdG)]),"")</f>
        <v/>
      </c>
      <c r="AZ36" s="137" t="str">
        <f ca="1">IFERROR(Tableau1[[#This Row],[Capitalisation boursière]]/Tableau1[[#This Row],[RN Groupe 2023]],"")</f>
        <v/>
      </c>
      <c r="BA36" s="4" t="str" cm="1">
        <f t="array" aca="1" ref="BA36" ca="1">IFERROR(_FV(Tableau1[[#This Row],[Code Excel]],"Industrie"),"")</f>
        <v>Software &amp; IT Services</v>
      </c>
      <c r="BB36" s="43" t="s">
        <v>3491</v>
      </c>
      <c r="BC36" s="43" t="str">
        <f>IFERROR(_xlfn.XLOOKUP(Tableau1[[#This Row],[Isin]]&amp;1&amp;2016,#REF!,Tableau3[Capi]),"")</f>
        <v/>
      </c>
      <c r="BD36" s="43" t="str">
        <f>IFERROR(_xlfn.XLOOKUP(Tableau1[[#This Row],[Isin]]&amp;1&amp;2017,#REF!,Tableau3[Capi]),"")</f>
        <v/>
      </c>
      <c r="BE36" s="43" t="str">
        <f>IFERROR(_xlfn.XLOOKUP(Tableau1[[#This Row],[Isin]]&amp;1&amp;2018,#REF!,Tableau3[Capi]),"")</f>
        <v/>
      </c>
      <c r="BF36" s="43" t="str">
        <f>IFERROR(_xlfn.XLOOKUP(Tableau1[[#This Row],[Isin]]&amp;1&amp;2019,#REF!,Tableau3[Capi]),"")</f>
        <v/>
      </c>
      <c r="BG36" s="43" t="str">
        <f>IFERROR(_xlfn.XLOOKUP(Tableau1[[#This Row],[Isin]]&amp;1&amp;2020,#REF!,Tableau3[Capi]),"")</f>
        <v/>
      </c>
      <c r="BH36" s="43">
        <f>IF(IFERROR(_xlfn.XLOOKUP(Tableau1[[#This Row],[Isin]]&amp;1&amp;2021,#REF!,Tableau3[Capi]),"")="",Tableau1[[#This Row],[Capitalisation 2021
Manuel]],IFERROR(_xlfn.XLOOKUP(Tableau1[[#This Row],[Isin]]&amp;1&amp;2021,#REF!,Tableau3[Capi]),""))</f>
        <v>0</v>
      </c>
      <c r="BI36" s="43"/>
      <c r="BJ36" s="43">
        <f>IF(IFERROR(_xlfn.XLOOKUP(Tableau1[[#This Row],[Isin]]&amp;1&amp;2022,#REF!,Tableau3[Capi]),"")="",Tableau1[[#This Row],[Capitalisation 2022
Manuel]],IFERROR(_xlfn.XLOOKUP(Tableau1[[#This Row],[Isin]]&amp;1&amp;2022,#REF!,Tableau3[Capi]),""))</f>
        <v>0</v>
      </c>
      <c r="BK36" s="43"/>
      <c r="BL36" s="43">
        <f ca="1">Tableau1[[#This Row],[Capitalisation boursière]]</f>
        <v>1893602000000</v>
      </c>
      <c r="BM36" s="162" t="str" cm="1">
        <f t="array" aca="1" ref="BM36" ca="1">_FV(Tableau1[[#This Row],[Code Excel]],"Description")</f>
        <v>Alphabet Inc est une société holding. Les segments de l'entreprise comprennent Google services, Google Cloud et d'autres Paris. Le segment des services Google comprend des produits et services tels que les publicités, Android, Chrome, les appareils, Google Maps, Google Play, Rechercher et YouTube. Le segment Google Cloud comprend des services d'infrastructure et de plate-forme, des outils de collaboration et d'autres services pour les clients d'entreprise. Son segment Other Bets est engagé dans la vente de services liés aux soins de santé et de services Internet. Google Cloud propose des services cloud adaptés aux entreprises, notamment Google Cloud Platform et Google Workspace. Google Cloud Platform donne accès à des solutions telles que la cybersécurité, les bases de données, les analyses et les offres d'intelligence artificielle (IA), y compris son infrastructure IA, sa plateforme Vertex ai et Duet ai pour Google Cloud. Google Workspace inclut des outils de communication et de collaboration basés sur le cloud pour les entreprises, tels que Calendar, Gmail, Docs, Drive, Meet et autres services d'entreprise.</v>
      </c>
      <c r="BN36" s="43"/>
      <c r="BO36" s="43"/>
      <c r="BP36" s="43"/>
      <c r="BQ36" s="43"/>
      <c r="BR36" s="4"/>
      <c r="BS36" s="21"/>
      <c r="BT36" s="21"/>
      <c r="BU36" s="13"/>
      <c r="BV36" s="13"/>
      <c r="BW36" s="3" t="s">
        <v>1656</v>
      </c>
      <c r="BX36" s="3"/>
      <c r="BY36" s="13" t="s">
        <v>1656</v>
      </c>
      <c r="BZ36" s="4"/>
      <c r="CA36" s="4"/>
    </row>
    <row r="37" spans="3:83">
      <c r="C37" s="42"/>
      <c r="D37" s="42">
        <f>IF(Tableau1[[#This Row],[Isin]]="",99,Tableau1[[#This Row],[Intérêt]]+Tableau1[[#This Row],[Valeur d''intérêt]]+Tableau1[[#This Row],[N° Portefeuille]])</f>
        <v>30</v>
      </c>
      <c r="E37" s="42"/>
      <c r="F37" s="42">
        <f>IF(Tableau1[[#This Row],[Portefeuille]]="p",0,Tableau1[[#This Row],[F. Investissement
Niveau d''intérêt]]*10)</f>
        <v>30</v>
      </c>
      <c r="G37" s="42">
        <f>IF(Tableau1[[#This Row],[Portefeuille]]="p",3,0)</f>
        <v>0</v>
      </c>
      <c r="H37" s="42">
        <v>3</v>
      </c>
      <c r="I37" s="42">
        <v>4</v>
      </c>
      <c r="J37" s="42" t="s">
        <v>4357</v>
      </c>
      <c r="K37" s="43"/>
      <c r="L37" s="16">
        <v>1</v>
      </c>
      <c r="M3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7" s="44" t="s">
        <v>2736</v>
      </c>
      <c r="O37" s="44" t="s">
        <v>2737</v>
      </c>
      <c r="P37" s="4" t="s">
        <v>84</v>
      </c>
      <c r="Q37" s="6" t="s">
        <v>85</v>
      </c>
      <c r="R37" s="6"/>
      <c r="S37" s="6" t="s">
        <v>2739</v>
      </c>
      <c r="T37" s="6" t="e" vm="27">
        <v>#VALUE!</v>
      </c>
      <c r="U37" s="46" cm="1">
        <f t="array" aca="1" ref="U37" ca="1">IFERROR(_FV(Tableau1[[#This Row],[Code Excel]],"Capitalisation boursière",TRUE),"")</f>
        <v>9622495000</v>
      </c>
      <c r="V37" s="4" t="str" cm="1">
        <f t="array" aca="1" ref="V37" ca="1">IFERROR(_FV(Tableau1[[#This Row],[Code Excel]],"Industrie"),"")</f>
        <v>Machinery, Equipment &amp; Components</v>
      </c>
      <c r="W37" s="4" t="s">
        <v>4321</v>
      </c>
      <c r="X37" s="4" t="str">
        <f ca="1">Tableau1[[#This Row],[Grand Secteur]]&amp;Tableau1[[#This Row],[Industrie]]</f>
        <v>EquipementiersMachinery, Equipment &amp; Components</v>
      </c>
      <c r="Y37" s="23" cm="1">
        <f t="array" aca="1" ref="Y37" ca="1">IFERROR(_FV(Tableau1[[#This Row],[Code Excel]],"P/E",TRUE),"")</f>
        <v>0</v>
      </c>
      <c r="Z37" s="43" cm="1">
        <f t="array" aca="1" ref="Z37" ca="1">IFERROR(_FV(Tableau1[[#This Row],[Code Excel]],"Employés"),"")</f>
        <v>84748</v>
      </c>
      <c r="AA37" s="46">
        <f ca="1">IFERROR(Tableau1[[#This Row],[Capitalisation boursière]]/Tableau1[[#This Row],[Employés]],"")</f>
        <v>113542.44347949214</v>
      </c>
      <c r="AB37" s="5" t="str">
        <f>IFERROR(Tableau1[[#This Row],[REX (2021)]]/Tableau1[[#This Row],[CA 2024]],"")</f>
        <v/>
      </c>
      <c r="AC37" s="9" t="str">
        <f>IFERROR(_xlfn.XLOOKUP(Tableau1[[#This Row],[Isin]]&amp;1&amp;2021,#REF!,Tableau3[Résultat d''exploitation]),"")</f>
        <v/>
      </c>
      <c r="AD37" s="9" t="str">
        <f>IFERROR(_xlfn.XLOOKUP(Tableau1[[#This Row],[Isin]]&amp;1&amp;2019,#REF!,Tableau3[Chiffre d''affaires]),"")</f>
        <v/>
      </c>
      <c r="AE37" s="9" t="str">
        <f>IFERROR(_xlfn.XLOOKUP(Tableau1[[#This Row],[Isin]]&amp;1&amp;2024,#REF!,Tableau3[Chiffre d''affaires]),"")</f>
        <v/>
      </c>
      <c r="AF37" s="8" t="str">
        <f>IFERROR(IF((Tableau1[[#This Row],[CA 2024]]-Tableau1[[#This Row],[CA 2019]])/Tableau1[[#This Row],[CA 2019]]=-1,"",(Tableau1[[#This Row],[CA 2024]]-Tableau1[[#This Row],[CA 2019]])/Tableau1[[#This Row],[CA 2019]]),"")</f>
        <v/>
      </c>
      <c r="AG37" s="9" t="str">
        <f>IFERROR(_xlfn.XLOOKUP(Tableau1[[#This Row],[Isin]]&amp;1&amp;2021,#REF!,Tableau3[EBE]),"")</f>
        <v/>
      </c>
      <c r="AH37" s="9" t="str">
        <f>IFERROR(_xlfn.XLOOKUP(Tableau1[[#This Row],[Isin]]&amp;1&amp;2022,#REF!,Tableau3[EBE]),"")</f>
        <v/>
      </c>
      <c r="AI37" s="43" t="s">
        <v>4329</v>
      </c>
      <c r="AJ37" s="13" t="s">
        <v>4325</v>
      </c>
      <c r="AK37" s="13" t="s">
        <v>3148</v>
      </c>
      <c r="AL37" s="43" t="s">
        <v>3148</v>
      </c>
      <c r="AM37" s="43"/>
      <c r="AN37" s="9" t="str">
        <f>IFERROR(_xlfn.XLOOKUP(Tableau1[[#This Row],[Isin]]&amp;1&amp;2021,#REF!,Tableau3[Chiffre d''affaires]),"")</f>
        <v/>
      </c>
      <c r="AO37" s="43" cm="1">
        <f t="array" aca="1" ref="AO37" ca="1">_FV(Tableau1[[#This Row],[Code Excel]],"P/E",TRUE)</f>
        <v>0</v>
      </c>
      <c r="AP37" s="43" t="str">
        <f>IFERROR(_xlfn.XLOOKUP(Tableau1[[#This Row],[Isin]]&amp;1&amp;2023,#REF!,Tableau3[Résultat Net (PdG)]),"")</f>
        <v/>
      </c>
      <c r="AQ37" s="43">
        <f>IF(IFERROR(_xlfn.XLOOKUP(Tableau1[[#This Row],[Isin]]&amp;1&amp;2022,#REF!,Tableau3[Résultat Net (PdG)]),"")="",Tableau1[[#This Row],[RN Groupe 2022
Manuel]],IFERROR(_xlfn.XLOOKUP(Tableau1[[#This Row],[Isin]]&amp;1&amp;2022,#REF!,Tableau3[Résultat Net (PdG)]),""))</f>
        <v>0</v>
      </c>
      <c r="AR37" s="140"/>
      <c r="AS37" s="43">
        <f>IF(IFERROR(_xlfn.XLOOKUP(Tableau1[[#This Row],[Isin]]&amp;1&amp;2021,#REF!,Tableau3[Résultat Net (PdG)]),"")="",Tableau1[[#This Row],[RN Groupe 2021
Manuel]],IFERROR(_xlfn.XLOOKUP(Tableau1[[#This Row],[Isin]]&amp;1&amp;2021,#REF!,Tableau3[Résultat Net (PdG)]),""))</f>
        <v>0</v>
      </c>
      <c r="AT37" s="140"/>
      <c r="AU37" s="43" t="str">
        <f>IFERROR(_xlfn.XLOOKUP(Tableau1[[#This Row],[Isin]]&amp;1&amp;2020,#REF!,Tableau3[Résultat Net (PdG)]),"")</f>
        <v/>
      </c>
      <c r="AV37" s="43" t="str">
        <f>IFERROR(_xlfn.XLOOKUP(Tableau1[[#This Row],[Isin]]&amp;1&amp;2019,#REF!,Tableau3[Résultat Net (PdG)]),"")</f>
        <v/>
      </c>
      <c r="AW37" s="43" t="str">
        <f>IFERROR(_xlfn.XLOOKUP(Tableau1[[#This Row],[Isin]]&amp;1&amp;2018,#REF!,Tableau3[Résultat Net (PdG)]),"")</f>
        <v/>
      </c>
      <c r="AX37" s="43" t="str">
        <f>IFERROR(_xlfn.XLOOKUP(Tableau1[[#This Row],[Isin]]&amp;1&amp;2017,#REF!,Tableau3[Résultat Net (PdG)]),"")</f>
        <v/>
      </c>
      <c r="AY37" s="43" t="str">
        <f>IFERROR(_xlfn.XLOOKUP(Tableau1[[#This Row],[Isin]]&amp;1&amp;2016,#REF!,Tableau3[Résultat Net (PdG)]),"")</f>
        <v/>
      </c>
      <c r="AZ37" s="137" t="str">
        <f ca="1">IFERROR(Tableau1[[#This Row],[Capitalisation boursière]]/Tableau1[[#This Row],[RN Groupe 2023]],"")</f>
        <v/>
      </c>
      <c r="BA37" s="4" t="str" cm="1">
        <f t="array" aca="1" ref="BA37" ca="1">IFERROR(_FV(Tableau1[[#This Row],[Code Excel]],"Industrie"),"")</f>
        <v>Machinery, Equipment &amp; Components</v>
      </c>
      <c r="BB37" s="43" t="s">
        <v>3518</v>
      </c>
      <c r="BC37" s="43" t="str">
        <f>IFERROR(_xlfn.XLOOKUP(Tableau1[[#This Row],[Isin]]&amp;1&amp;2016,#REF!,Tableau3[Capi]),"")</f>
        <v/>
      </c>
      <c r="BD37" s="43" t="str">
        <f>IFERROR(_xlfn.XLOOKUP(Tableau1[[#This Row],[Isin]]&amp;1&amp;2017,#REF!,Tableau3[Capi]),"")</f>
        <v/>
      </c>
      <c r="BE37" s="43" t="str">
        <f>IFERROR(_xlfn.XLOOKUP(Tableau1[[#This Row],[Isin]]&amp;1&amp;2018,#REF!,Tableau3[Capi]),"")</f>
        <v/>
      </c>
      <c r="BF37" s="43" t="str">
        <f>IFERROR(_xlfn.XLOOKUP(Tableau1[[#This Row],[Isin]]&amp;1&amp;2019,#REF!,Tableau3[Capi]),"")</f>
        <v/>
      </c>
      <c r="BG37" s="43" t="str">
        <f>IFERROR(_xlfn.XLOOKUP(Tableau1[[#This Row],[Isin]]&amp;1&amp;2020,#REF!,Tableau3[Capi]),"")</f>
        <v/>
      </c>
      <c r="BH37" s="43">
        <f>IF(IFERROR(_xlfn.XLOOKUP(Tableau1[[#This Row],[Isin]]&amp;1&amp;2021,#REF!,Tableau3[Capi]),"")="",Tableau1[[#This Row],[Capitalisation 2021
Manuel]],IFERROR(_xlfn.XLOOKUP(Tableau1[[#This Row],[Isin]]&amp;1&amp;2021,#REF!,Tableau3[Capi]),""))</f>
        <v>0</v>
      </c>
      <c r="BI37" s="142"/>
      <c r="BJ37" s="141">
        <f>IF(IFERROR(_xlfn.XLOOKUP(Tableau1[[#This Row],[Isin]]&amp;1&amp;2022,#REF!,Tableau3[Capi]),"")="",Tableau1[[#This Row],[Capitalisation 2022
Manuel]],IFERROR(_xlfn.XLOOKUP(Tableau1[[#This Row],[Isin]]&amp;1&amp;2022,#REF!,Tableau3[Capi]),""))</f>
        <v>0</v>
      </c>
      <c r="BK37" s="142"/>
      <c r="BL37" s="43">
        <f ca="1">Tableau1[[#This Row],[Capitalisation boursière]]</f>
        <v>9622495000</v>
      </c>
      <c r="BM37" s="162" t="str" cm="1">
        <f t="array" aca="1" ref="BM37" ca="1">_FV(Tableau1[[#This Row],[Code Excel]],"Description")</f>
        <v>Alstom sa est un fabricant français d'infrastructures pour le secteur du transport ferroviaire. L'offre de la Société comprend une gamme de solutions comprenant le matériel roulant, les systèmes, les services ainsi que la signalisation pour le transport ferroviaire de passagers et de marchandises. Les services ferroviaires de la Compagnie comprennent l'entretien, la modernisation, la gestion des pièces de rechange, le soutien et les services d'assistance technique. Les infrastructures ferroviaires de la Société comprennent des infrastructures pour la pose de voies, des lignes électriques, des équipements électromécaniques, des appareils de télécommunication et des informations aux voyageurs en gare, des terminaux pour l'achat automatique de billets, l'accès aux escaliers mécaniques, aux ascenseurs pour handicapés, aux portes plates-formes automatiques, à la ventilation, à la climatisation et aux systèmes d'éclairage, entre autres. Alstom commercialise ses produits et services dans le monde entier.</v>
      </c>
      <c r="BN37" s="43"/>
      <c r="BO37" s="43"/>
      <c r="BP37" s="43"/>
      <c r="BQ37" s="43"/>
      <c r="BR37" s="4"/>
      <c r="BS37" s="21"/>
      <c r="BT37" s="13"/>
      <c r="BU37" s="13"/>
      <c r="BV37" s="13"/>
      <c r="BW37" s="13"/>
      <c r="BX37" s="13"/>
      <c r="BY37" s="13" t="s">
        <v>1141</v>
      </c>
      <c r="BZ37" s="47">
        <v>0.184</v>
      </c>
      <c r="CA37" s="47" t="s">
        <v>4358</v>
      </c>
      <c r="CB37" s="50" t="s">
        <v>4320</v>
      </c>
      <c r="CC37" s="25">
        <f>'Base de données'!T1652</f>
        <v>79100000</v>
      </c>
      <c r="CD37" s="25">
        <f>'Base de données'!Q1652</f>
        <v>3590421000</v>
      </c>
      <c r="CE37" s="35">
        <f>CC37/CD37</f>
        <v>2.2030842622633946E-2</v>
      </c>
    </row>
    <row r="38" spans="3:83">
      <c r="C38" s="43"/>
      <c r="D38" s="42">
        <f>IF(Tableau1[[#This Row],[Isin]]="",99,Tableau1[[#This Row],[Intérêt]]+Tableau1[[#This Row],[Valeur d''intérêt]]+Tableau1[[#This Row],[N° Portefeuille]])</f>
        <v>30</v>
      </c>
      <c r="E38" s="43"/>
      <c r="F38" s="42">
        <f>IF(Tableau1[[#This Row],[Portefeuille]]="p",0,Tableau1[[#This Row],[F. Investissement
Niveau d''intérêt]]*10)</f>
        <v>30</v>
      </c>
      <c r="G38" s="43">
        <f>IF(Tableau1[[#This Row],[Portefeuille]]="p",3,0)</f>
        <v>0</v>
      </c>
      <c r="H38" s="43">
        <v>3</v>
      </c>
      <c r="I38" s="43">
        <v>4</v>
      </c>
      <c r="J38" s="43"/>
      <c r="K38" s="43"/>
      <c r="L38" s="16">
        <v>0</v>
      </c>
      <c r="M3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8" s="44" t="s">
        <v>3550</v>
      </c>
      <c r="O38" s="45"/>
      <c r="P38" s="4" t="s">
        <v>84</v>
      </c>
      <c r="Q38" s="4"/>
      <c r="R38" s="6"/>
      <c r="S38" s="6" t="s">
        <v>3551</v>
      </c>
      <c r="T38" s="6" t="e" vm="28">
        <v>#VALUE!</v>
      </c>
      <c r="U38" s="46" cm="1">
        <f t="array" aca="1" ref="U38" ca="1">IFERROR(_FV(Tableau1[[#This Row],[Code Excel]],"Capitalisation boursière",TRUE),"")</f>
        <v>2211580000</v>
      </c>
      <c r="V38" s="4" t="str" cm="1">
        <f t="array" aca="1" ref="V38" ca="1">IFERROR(_FV(Tableau1[[#This Row],[Code Excel]],"Industrie"),"")</f>
        <v>Real Estate Operations</v>
      </c>
      <c r="W38" s="4" t="s">
        <v>2083</v>
      </c>
      <c r="X38" s="4" t="str">
        <f ca="1">Tableau1[[#This Row],[Grand Secteur]]&amp;Tableau1[[#This Row],[Industrie]]</f>
        <v>ImmobilierReal Estate Operations</v>
      </c>
      <c r="Y38" s="23" cm="1">
        <f t="array" aca="1" ref="Y38" ca="1">IFERROR(_FV(Tableau1[[#This Row],[Code Excel]],"P/E",TRUE),"")</f>
        <v>291.06630000000001</v>
      </c>
      <c r="Z38" s="43" cm="1">
        <f t="array" aca="1" ref="Z38" ca="1">IFERROR(_FV(Tableau1[[#This Row],[Code Excel]],"Employés"),"")</f>
        <v>1981</v>
      </c>
      <c r="AA38" s="49">
        <f ca="1">IFERROR(Tableau1[[#This Row],[Capitalisation boursière]]/Tableau1[[#This Row],[Employés]],"")</f>
        <v>1116395.7597173145</v>
      </c>
      <c r="AB38" s="5" t="str">
        <f>IFERROR(Tableau1[[#This Row],[REX (2021)]]/Tableau1[[#This Row],[CA 2024]],"")</f>
        <v/>
      </c>
      <c r="AC38" s="9" t="str">
        <f>IFERROR(_xlfn.XLOOKUP(Tableau1[[#This Row],[Isin]]&amp;1&amp;2021,#REF!,Tableau3[Résultat d''exploitation]),"")</f>
        <v/>
      </c>
      <c r="AD38" s="9" t="str">
        <f>IFERROR(_xlfn.XLOOKUP(Tableau1[[#This Row],[Isin]]&amp;1&amp;2019,#REF!,Tableau3[Chiffre d''affaires]),"")</f>
        <v/>
      </c>
      <c r="AE38" s="9" t="str">
        <f>IFERROR(_xlfn.XLOOKUP(Tableau1[[#This Row],[Isin]]&amp;1&amp;2024,#REF!,Tableau3[Chiffre d''affaires]),"")</f>
        <v/>
      </c>
      <c r="AF38" s="8" t="str">
        <f>IFERROR(IF((Tableau1[[#This Row],[CA 2024]]-Tableau1[[#This Row],[CA 2019]])/Tableau1[[#This Row],[CA 2019]]=-1,"",(Tableau1[[#This Row],[CA 2024]]-Tableau1[[#This Row],[CA 2019]])/Tableau1[[#This Row],[CA 2019]]),"")</f>
        <v/>
      </c>
      <c r="AG38" s="9" t="str">
        <f>IFERROR(_xlfn.XLOOKUP(Tableau1[[#This Row],[Isin]]&amp;1&amp;2021,#REF!,Tableau3[EBE]),"")</f>
        <v/>
      </c>
      <c r="AH38" s="9" t="str">
        <f>IFERROR(_xlfn.XLOOKUP(Tableau1[[#This Row],[Isin]]&amp;1&amp;2022,#REF!,Tableau3[EBE]),"")</f>
        <v/>
      </c>
      <c r="AI38" s="43" t="s">
        <v>3431</v>
      </c>
      <c r="AJ38" s="43" t="s">
        <v>4322</v>
      </c>
      <c r="AK38" s="43" t="s">
        <v>3148</v>
      </c>
      <c r="AL38" s="43"/>
      <c r="AM38" s="43"/>
      <c r="AN38" s="9" t="str">
        <f>IFERROR(_xlfn.XLOOKUP(Tableau1[[#This Row],[Isin]]&amp;1&amp;2021,#REF!,Tableau3[Chiffre d''affaires]),"")</f>
        <v/>
      </c>
      <c r="AO38" s="43" cm="1">
        <f t="array" aca="1" ref="AO38" ca="1">_FV(Tableau1[[#This Row],[Code Excel]],"P/E",TRUE)</f>
        <v>291.06630000000001</v>
      </c>
      <c r="AP38" s="43" t="str">
        <f>IFERROR(_xlfn.XLOOKUP(Tableau1[[#This Row],[Isin]]&amp;1&amp;2023,#REF!,Tableau3[Résultat Net (PdG)]),"")</f>
        <v/>
      </c>
      <c r="AQ38" s="43">
        <f>IF(IFERROR(_xlfn.XLOOKUP(Tableau1[[#This Row],[Isin]]&amp;1&amp;2022,#REF!,Tableau3[Résultat Net (PdG)]),"")="",Tableau1[[#This Row],[RN Groupe 2022
Manuel]],IFERROR(_xlfn.XLOOKUP(Tableau1[[#This Row],[Isin]]&amp;1&amp;2022,#REF!,Tableau3[Résultat Net (PdG)]),""))</f>
        <v>0</v>
      </c>
      <c r="AR38" s="43"/>
      <c r="AS38" s="43">
        <f>IF(IFERROR(_xlfn.XLOOKUP(Tableau1[[#This Row],[Isin]]&amp;1&amp;2021,#REF!,Tableau3[Résultat Net (PdG)]),"")="",Tableau1[[#This Row],[RN Groupe 2021
Manuel]],IFERROR(_xlfn.XLOOKUP(Tableau1[[#This Row],[Isin]]&amp;1&amp;2021,#REF!,Tableau3[Résultat Net (PdG)]),""))</f>
        <v>0</v>
      </c>
      <c r="AT38" s="43"/>
      <c r="AU38" s="43" t="str">
        <f>IFERROR(_xlfn.XLOOKUP(Tableau1[[#This Row],[Isin]]&amp;1&amp;2020,#REF!,Tableau3[Résultat Net (PdG)]),"")</f>
        <v/>
      </c>
      <c r="AV38" s="43" t="str">
        <f>IFERROR(_xlfn.XLOOKUP(Tableau1[[#This Row],[Isin]]&amp;1&amp;2019,#REF!,Tableau3[Résultat Net (PdG)]),"")</f>
        <v/>
      </c>
      <c r="AW38" s="43" t="str">
        <f>IFERROR(_xlfn.XLOOKUP(Tableau1[[#This Row],[Isin]]&amp;1&amp;2018,#REF!,Tableau3[Résultat Net (PdG)]),"")</f>
        <v/>
      </c>
      <c r="AX38" s="43" t="str">
        <f>IFERROR(_xlfn.XLOOKUP(Tableau1[[#This Row],[Isin]]&amp;1&amp;2017,#REF!,Tableau3[Résultat Net (PdG)]),"")</f>
        <v/>
      </c>
      <c r="AY38" s="43" t="str">
        <f>IFERROR(_xlfn.XLOOKUP(Tableau1[[#This Row],[Isin]]&amp;1&amp;2016,#REF!,Tableau3[Résultat Net (PdG)]),"")</f>
        <v/>
      </c>
      <c r="AZ38" s="137" t="str">
        <f ca="1">IFERROR(Tableau1[[#This Row],[Capitalisation boursière]]/Tableau1[[#This Row],[RN Groupe 2023]],"")</f>
        <v/>
      </c>
      <c r="BA38" s="4" t="str" cm="1">
        <f t="array" aca="1" ref="BA38" ca="1">IFERROR(_FV(Tableau1[[#This Row],[Code Excel]],"Industrie"),"")</f>
        <v>Real Estate Operations</v>
      </c>
      <c r="BB38" s="43" t="s">
        <v>3477</v>
      </c>
      <c r="BC38" s="43" t="str">
        <f>IFERROR(_xlfn.XLOOKUP(Tableau1[[#This Row],[Isin]]&amp;1&amp;2016,#REF!,Tableau3[Capi]),"")</f>
        <v/>
      </c>
      <c r="BD38" s="43" t="str">
        <f>IFERROR(_xlfn.XLOOKUP(Tableau1[[#This Row],[Isin]]&amp;1&amp;2017,#REF!,Tableau3[Capi]),"")</f>
        <v/>
      </c>
      <c r="BE38" s="43" t="str">
        <f>IFERROR(_xlfn.XLOOKUP(Tableau1[[#This Row],[Isin]]&amp;1&amp;2018,#REF!,Tableau3[Capi]),"")</f>
        <v/>
      </c>
      <c r="BF38" s="43" t="str">
        <f>IFERROR(_xlfn.XLOOKUP(Tableau1[[#This Row],[Isin]]&amp;1&amp;2019,#REF!,Tableau3[Capi]),"")</f>
        <v/>
      </c>
      <c r="BG38" s="43" t="str">
        <f>IFERROR(_xlfn.XLOOKUP(Tableau1[[#This Row],[Isin]]&amp;1&amp;2020,#REF!,Tableau3[Capi]),"")</f>
        <v/>
      </c>
      <c r="BH38" s="43">
        <f>IF(IFERROR(_xlfn.XLOOKUP(Tableau1[[#This Row],[Isin]]&amp;1&amp;2021,#REF!,Tableau3[Capi]),"")="",Tableau1[[#This Row],[Capitalisation 2021
Manuel]],IFERROR(_xlfn.XLOOKUP(Tableau1[[#This Row],[Isin]]&amp;1&amp;2021,#REF!,Tableau3[Capi]),""))</f>
        <v>0</v>
      </c>
      <c r="BI38" s="43"/>
      <c r="BJ38" s="43">
        <f>IF(IFERROR(_xlfn.XLOOKUP(Tableau1[[#This Row],[Isin]]&amp;1&amp;2022,#REF!,Tableau3[Capi]),"")="",Tableau1[[#This Row],[Capitalisation 2022
Manuel]],IFERROR(_xlfn.XLOOKUP(Tableau1[[#This Row],[Isin]]&amp;1&amp;2022,#REF!,Tableau3[Capi]),""))</f>
        <v>0</v>
      </c>
      <c r="BK38" s="43"/>
      <c r="BL38" s="43">
        <f ca="1">Tableau1[[#This Row],[Capitalisation boursière]]</f>
        <v>2211580000</v>
      </c>
      <c r="BM38" s="162" t="str" cm="1">
        <f t="array" aca="1" ref="BM38" ca="1">_FV(Tableau1[[#This Row],[Code Excel]],"Description")</f>
        <v>Altarea SCA est une société basée en France active dans le secteur de l'immobilier. La Société et ses filiales exercent leurs activités à la fois en tant que fiducie de placement immobilier (FPI) et promoteur. Altarea SCA présente ses activités en trois segments principaux: Commerce de détail, Résidentiel et Bureaux. Le secteur du Commerce de détail comprend des centres commerciaux régionaux, des parcs de vente au détail, ainsi que des magasins de détail spécialisés dans les voyages et les dépanneurs. Le secteur Résidentiel comprend les activités de développement de propriétés résidentielles, y compris les logements sociaux, entre autres. Le secteur des bureaux comprend le développement de bureaux et les services aux investisseurs. L’activité principale d’Altarea est en tant que FPI investissant dans des centres commerciaux. Cette activité comprend également les fonctions de gestion d’actifs et de biens réalisées sur une base propriétaire et pour des tiers. Outre la France, la Société est également présente en Espagne et en Italie.</v>
      </c>
      <c r="BN38" s="43"/>
      <c r="BO38" s="43"/>
      <c r="BP38" s="43"/>
      <c r="BQ38" s="43"/>
      <c r="BR38" s="4"/>
      <c r="BS38" s="21"/>
      <c r="BT38" s="13"/>
      <c r="BU38" s="13"/>
      <c r="BV38" s="13"/>
      <c r="BW38" s="13"/>
      <c r="BX38" s="3"/>
      <c r="BY38" s="13" t="s">
        <v>2395</v>
      </c>
      <c r="BZ38" s="47">
        <v>0.1106</v>
      </c>
      <c r="CA38" s="47">
        <v>0.08</v>
      </c>
      <c r="CB38" s="50" t="s">
        <v>4320</v>
      </c>
      <c r="CC38" s="25"/>
      <c r="CD38" s="25"/>
      <c r="CE38" s="35"/>
    </row>
    <row r="39" spans="3:83">
      <c r="C39" s="42"/>
      <c r="D39" s="42">
        <f>IF(Tableau1[[#This Row],[Isin]]="",99,Tableau1[[#This Row],[Intérêt]]+Tableau1[[#This Row],[Valeur d''intérêt]]+Tableau1[[#This Row],[N° Portefeuille]])</f>
        <v>3</v>
      </c>
      <c r="E39" s="42"/>
      <c r="F39" s="42">
        <f>IF(Tableau1[[#This Row],[Portefeuille]]="p",0,Tableau1[[#This Row],[F. Investissement
Niveau d''intérêt]]*10)</f>
        <v>0</v>
      </c>
      <c r="G39" s="42">
        <f>IF(Tableau1[[#This Row],[Portefeuille]]="p",3,0)</f>
        <v>3</v>
      </c>
      <c r="H39" s="42">
        <v>1</v>
      </c>
      <c r="I39" s="42">
        <v>1</v>
      </c>
      <c r="J39" s="42" t="s">
        <v>4357</v>
      </c>
      <c r="K39" s="43" t="s">
        <v>4362</v>
      </c>
      <c r="L39" s="16">
        <v>1</v>
      </c>
      <c r="M3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9" s="44" t="s">
        <v>2867</v>
      </c>
      <c r="O39" s="44" t="s">
        <v>3843</v>
      </c>
      <c r="P39" s="4" t="s">
        <v>84</v>
      </c>
      <c r="Q39" s="6" t="s">
        <v>85</v>
      </c>
      <c r="R39" s="6"/>
      <c r="S39" s="6" t="s">
        <v>2869</v>
      </c>
      <c r="T39" s="6" t="e" vm="29">
        <v>#VALUE!</v>
      </c>
      <c r="U39" s="46" cm="1">
        <f t="array" aca="1" ref="U39" ca="1">IFERROR(_FV(Tableau1[[#This Row],[Code Excel]],"Capitalisation boursière",TRUE),"")</f>
        <v>3218102000</v>
      </c>
      <c r="V39" s="4" t="str" cm="1">
        <f t="array" aca="1" ref="V39" ca="1">IFERROR(_FV(Tableau1[[#This Row],[Code Excel]],"Industrie"),"")</f>
        <v>Software &amp; IT Services</v>
      </c>
      <c r="W39" s="4" t="s">
        <v>4333</v>
      </c>
      <c r="X39" s="4" t="str">
        <f ca="1">Tableau1[[#This Row],[Grand Secteur]]&amp;Tableau1[[#This Row],[Industrie]]</f>
        <v>Logiciels et TechnologieSoftware &amp; IT Services</v>
      </c>
      <c r="Y39" s="23" cm="1">
        <f t="array" aca="1" ref="Y39" ca="1">IFERROR(_FV(Tableau1[[#This Row],[Code Excel]],"P/E",TRUE),"")</f>
        <v>17.031199999999998</v>
      </c>
      <c r="Z39" s="43" cm="1">
        <f t="array" aca="1" ref="Z39" ca="1">IFERROR(_FV(Tableau1[[#This Row],[Code Excel]],"Employés"),"")</f>
        <v>58300</v>
      </c>
      <c r="AA39" s="49">
        <f ca="1">IFERROR(Tableau1[[#This Row],[Capitalisation boursière]]/Tableau1[[#This Row],[Employés]],"")</f>
        <v>55199.005145797601</v>
      </c>
      <c r="AB39" s="5" t="str">
        <f>IFERROR(Tableau1[[#This Row],[REX (2021)]]/Tableau1[[#This Row],[CA 2024]],"")</f>
        <v/>
      </c>
      <c r="AC39" s="9" t="str">
        <f>IFERROR(_xlfn.XLOOKUP(Tableau1[[#This Row],[Isin]]&amp;1&amp;2021,#REF!,Tableau3[Résultat d''exploitation]),"")</f>
        <v/>
      </c>
      <c r="AD39" s="9" t="str">
        <f>IFERROR(_xlfn.XLOOKUP(Tableau1[[#This Row],[Isin]]&amp;1&amp;2019,#REF!,Tableau3[Chiffre d''affaires]),"")</f>
        <v/>
      </c>
      <c r="AE39" s="9" t="str">
        <f>IFERROR(_xlfn.XLOOKUP(Tableau1[[#This Row],[Isin]]&amp;1&amp;2024,#REF!,Tableau3[Chiffre d''affaires]),"")</f>
        <v/>
      </c>
      <c r="AF39" s="8" t="str">
        <f>IFERROR(IF((Tableau1[[#This Row],[CA 2024]]-Tableau1[[#This Row],[CA 2019]])/Tableau1[[#This Row],[CA 2019]]=-1,"",(Tableau1[[#This Row],[CA 2024]]-Tableau1[[#This Row],[CA 2019]])/Tableau1[[#This Row],[CA 2019]]),"")</f>
        <v/>
      </c>
      <c r="AG39" s="9" t="str">
        <f>IFERROR(_xlfn.XLOOKUP(Tableau1[[#This Row],[Isin]]&amp;1&amp;2021,#REF!,Tableau3[EBE]),"")</f>
        <v/>
      </c>
      <c r="AH39" s="9" t="str">
        <f>IFERROR(_xlfn.XLOOKUP(Tableau1[[#This Row],[Isin]]&amp;1&amp;2022,#REF!,Tableau3[EBE]),"")</f>
        <v/>
      </c>
      <c r="AI39" s="43" t="s">
        <v>4324</v>
      </c>
      <c r="AJ39" s="43" t="s">
        <v>4334</v>
      </c>
      <c r="AK39" s="43" t="s">
        <v>3148</v>
      </c>
      <c r="AL39" s="43" t="s">
        <v>3419</v>
      </c>
      <c r="AM39" s="43"/>
      <c r="AN39" s="9" t="str">
        <f>IFERROR(_xlfn.XLOOKUP(Tableau1[[#This Row],[Isin]]&amp;1&amp;2021,#REF!,Tableau3[Chiffre d''affaires]),"")</f>
        <v/>
      </c>
      <c r="AO39" s="43" cm="1">
        <f t="array" aca="1" ref="AO39" ca="1">_FV(Tableau1[[#This Row],[Code Excel]],"P/E",TRUE)</f>
        <v>17.031199999999998</v>
      </c>
      <c r="AP39" s="43" t="str">
        <f>IFERROR(_xlfn.XLOOKUP(Tableau1[[#This Row],[Isin]]&amp;1&amp;2023,#REF!,Tableau3[Résultat Net (PdG)]),"")</f>
        <v/>
      </c>
      <c r="AQ39" s="43">
        <f>IF(IFERROR(_xlfn.XLOOKUP(Tableau1[[#This Row],[Isin]]&amp;1&amp;2022,#REF!,Tableau3[Résultat Net (PdG)]),"")="",Tableau1[[#This Row],[RN Groupe 2022
Manuel]],IFERROR(_xlfn.XLOOKUP(Tableau1[[#This Row],[Isin]]&amp;1&amp;2022,#REF!,Tableau3[Résultat Net (PdG)]),""))</f>
        <v>0</v>
      </c>
      <c r="AR39" s="43"/>
      <c r="AS39" s="43">
        <f>IF(IFERROR(_xlfn.XLOOKUP(Tableau1[[#This Row],[Isin]]&amp;1&amp;2021,#REF!,Tableau3[Résultat Net (PdG)]),"")="",Tableau1[[#This Row],[RN Groupe 2021
Manuel]],IFERROR(_xlfn.XLOOKUP(Tableau1[[#This Row],[Isin]]&amp;1&amp;2021,#REF!,Tableau3[Résultat Net (PdG)]),""))</f>
        <v>0</v>
      </c>
      <c r="AT39" s="43"/>
      <c r="AU39" s="43" t="str">
        <f>IFERROR(_xlfn.XLOOKUP(Tableau1[[#This Row],[Isin]]&amp;1&amp;2020,#REF!,Tableau3[Résultat Net (PdG)]),"")</f>
        <v/>
      </c>
      <c r="AV39" s="43" t="str">
        <f>IFERROR(_xlfn.XLOOKUP(Tableau1[[#This Row],[Isin]]&amp;1&amp;2019,#REF!,Tableau3[Résultat Net (PdG)]),"")</f>
        <v/>
      </c>
      <c r="AW39" s="43" t="str">
        <f>IFERROR(_xlfn.XLOOKUP(Tableau1[[#This Row],[Isin]]&amp;1&amp;2018,#REF!,Tableau3[Résultat Net (PdG)]),"")</f>
        <v/>
      </c>
      <c r="AX39" s="43" t="str">
        <f>IFERROR(_xlfn.XLOOKUP(Tableau1[[#This Row],[Isin]]&amp;1&amp;2017,#REF!,Tableau3[Résultat Net (PdG)]),"")</f>
        <v/>
      </c>
      <c r="AY39" s="43" t="str">
        <f>IFERROR(_xlfn.XLOOKUP(Tableau1[[#This Row],[Isin]]&amp;1&amp;2016,#REF!,Tableau3[Résultat Net (PdG)]),"")</f>
        <v/>
      </c>
      <c r="AZ39" s="137" t="str">
        <f ca="1">IFERROR(Tableau1[[#This Row],[Capitalisation boursière]]/Tableau1[[#This Row],[RN Groupe 2023]],"")</f>
        <v/>
      </c>
      <c r="BA39" s="4" t="str" cm="1">
        <f t="array" aca="1" ref="BA39" ca="1">IFERROR(_FV(Tableau1[[#This Row],[Code Excel]],"Industrie"),"")</f>
        <v>Software &amp; IT Services</v>
      </c>
      <c r="BB39" s="43" t="s">
        <v>3477</v>
      </c>
      <c r="BC39" s="43" t="str">
        <f>IFERROR(_xlfn.XLOOKUP(Tableau1[[#This Row],[Isin]]&amp;1&amp;2016,#REF!,Tableau3[Capi]),"")</f>
        <v/>
      </c>
      <c r="BD39" s="43" t="str">
        <f>IFERROR(_xlfn.XLOOKUP(Tableau1[[#This Row],[Isin]]&amp;1&amp;2017,#REF!,Tableau3[Capi]),"")</f>
        <v/>
      </c>
      <c r="BE39" s="43" t="str">
        <f>IFERROR(_xlfn.XLOOKUP(Tableau1[[#This Row],[Isin]]&amp;1&amp;2018,#REF!,Tableau3[Capi]),"")</f>
        <v/>
      </c>
      <c r="BF39" s="43" t="str">
        <f>IFERROR(_xlfn.XLOOKUP(Tableau1[[#This Row],[Isin]]&amp;1&amp;2019,#REF!,Tableau3[Capi]),"")</f>
        <v/>
      </c>
      <c r="BG39" s="43" t="str">
        <f>IFERROR(_xlfn.XLOOKUP(Tableau1[[#This Row],[Isin]]&amp;1&amp;2020,#REF!,Tableau3[Capi]),"")</f>
        <v/>
      </c>
      <c r="BH39" s="43">
        <f>IF(IFERROR(_xlfn.XLOOKUP(Tableau1[[#This Row],[Isin]]&amp;1&amp;2021,#REF!,Tableau3[Capi]),"")="",Tableau1[[#This Row],[Capitalisation 2021
Manuel]],IFERROR(_xlfn.XLOOKUP(Tableau1[[#This Row],[Isin]]&amp;1&amp;2021,#REF!,Tableau3[Capi]),""))</f>
        <v>0</v>
      </c>
      <c r="BI39" s="43"/>
      <c r="BJ39" s="43">
        <f>IF(IFERROR(_xlfn.XLOOKUP(Tableau1[[#This Row],[Isin]]&amp;1&amp;2022,#REF!,Tableau3[Capi]),"")="",Tableau1[[#This Row],[Capitalisation 2022
Manuel]],IFERROR(_xlfn.XLOOKUP(Tableau1[[#This Row],[Isin]]&amp;1&amp;2022,#REF!,Tableau3[Capi]),""))</f>
        <v>0</v>
      </c>
      <c r="BK39" s="43"/>
      <c r="BL39" s="43">
        <f ca="1">Tableau1[[#This Row],[Capitalisation boursière]]</f>
        <v>3218102000</v>
      </c>
      <c r="BM39" s="162" t="str" cm="1">
        <f t="array" aca="1" ref="BM39" ca="1">_FV(Tableau1[[#This Row],[Code Excel]],"Description")</f>
        <v>Alten sa est une société française qui fournit des services de conseil et d'ingénierie en technologie, ainsi que des services de technologies de l'information (IT) et de réseaux. Les activités de la Société comprennent la conception, le développement et la fabrication de nouveaux produits et systèmes, ainsi que la prestation de services liés à la mise en place et à la restructuration de systèmes d'information et de plateformes de services. Les principaux clients de la Société sont les divisions techniques et INFORMATIQUES des entreprises de télécommunications, des fabricants d'équipements de télécommunications, des fabricants d'équipements électriques et électroniques, et des entreprises dans l'aviation, l'aérospatiale, la défense, le transport, les procédés, et des services. La Société possède des filiales telles que Geci Engineering, CV CPrime et cPrime inc, entre autres.</v>
      </c>
      <c r="BN39" s="43"/>
      <c r="BO39" s="43"/>
      <c r="BP39" s="43"/>
      <c r="BQ39" s="43"/>
      <c r="BR39" s="4"/>
      <c r="BS39" s="21"/>
      <c r="BT39" s="13"/>
      <c r="BU39" s="13"/>
      <c r="BV39" s="13"/>
      <c r="BW39" s="13"/>
      <c r="BX39" s="3"/>
      <c r="BY39" s="3" t="s">
        <v>4359</v>
      </c>
      <c r="BZ39" s="47"/>
      <c r="CA39" s="47"/>
      <c r="CB39" s="50" t="s">
        <v>4320</v>
      </c>
    </row>
    <row r="40" spans="3:83">
      <c r="C40" s="43"/>
      <c r="D40" s="42">
        <f>IF(Tableau1[[#This Row],[Isin]]="",99,Tableau1[[#This Row],[Intérêt]]+Tableau1[[#This Row],[Valeur d''intérêt]]+Tableau1[[#This Row],[N° Portefeuille]])</f>
        <v>30</v>
      </c>
      <c r="E40" s="43"/>
      <c r="F40" s="42">
        <f>IF(Tableau1[[#This Row],[Portefeuille]]="p",0,Tableau1[[#This Row],[F. Investissement
Niveau d''intérêt]]*10)</f>
        <v>30</v>
      </c>
      <c r="G40" s="43">
        <f>IF(Tableau1[[#This Row],[Portefeuille]]="p",3,0)</f>
        <v>0</v>
      </c>
      <c r="H40" s="43">
        <v>3</v>
      </c>
      <c r="I40" s="43">
        <v>4</v>
      </c>
      <c r="J40" s="43"/>
      <c r="K40" s="43"/>
      <c r="L40" s="16">
        <v>1</v>
      </c>
      <c r="M4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0" s="44" t="s">
        <v>1779</v>
      </c>
      <c r="O40" s="44" t="s">
        <v>4360</v>
      </c>
      <c r="P40" s="4" t="s">
        <v>84</v>
      </c>
      <c r="Q40" s="6" t="s">
        <v>85</v>
      </c>
      <c r="R40" s="6" t="s">
        <v>4361</v>
      </c>
      <c r="S40" s="6" t="s">
        <v>819</v>
      </c>
      <c r="T40" s="6"/>
      <c r="U40" s="4" t="str" cm="1">
        <f t="array" ref="U40">IFERROR(_FV(Tableau1[[#This Row],[Code Excel]],"Capitalisation boursière",TRUE),"")</f>
        <v/>
      </c>
      <c r="V40" s="4" t="str" cm="1">
        <f t="array" ref="V40">IFERROR(_FV(Tableau1[[#This Row],[Code Excel]],"Industrie"),"")</f>
        <v/>
      </c>
      <c r="W40" s="4"/>
      <c r="X40" s="4" t="str">
        <f>Tableau1[[#This Row],[Grand Secteur]]&amp;Tableau1[[#This Row],[Industrie]]</f>
        <v/>
      </c>
      <c r="Y40" s="23" t="str" cm="1">
        <f t="array" ref="Y40">IFERROR(_FV(Tableau1[[#This Row],[Code Excel]],"P/E",TRUE),"")</f>
        <v/>
      </c>
      <c r="Z40" s="43" t="str" cm="1">
        <f t="array" ref="Z40">IFERROR(_FV(Tableau1[[#This Row],[Code Excel]],"Employés"),"")</f>
        <v/>
      </c>
      <c r="AA40" s="49" t="str">
        <f>IFERROR(Tableau1[[#This Row],[Capitalisation boursière]]/Tableau1[[#This Row],[Employés]],"")</f>
        <v/>
      </c>
      <c r="AB40" s="5" t="str">
        <f>IFERROR(Tableau1[[#This Row],[REX (2021)]]/Tableau1[[#This Row],[CA 2024]],"")</f>
        <v/>
      </c>
      <c r="AC40" s="9" t="str">
        <f>IFERROR(_xlfn.XLOOKUP(Tableau1[[#This Row],[Isin]]&amp;1&amp;2021,#REF!,Tableau3[Résultat d''exploitation]),"")</f>
        <v/>
      </c>
      <c r="AD40" s="9" t="str">
        <f>IFERROR(_xlfn.XLOOKUP(Tableau1[[#This Row],[Isin]]&amp;1&amp;2019,#REF!,Tableau3[Chiffre d''affaires]),"")</f>
        <v/>
      </c>
      <c r="AE40" s="9" t="str">
        <f>IFERROR(_xlfn.XLOOKUP(Tableau1[[#This Row],[Isin]]&amp;1&amp;2024,#REF!,Tableau3[Chiffre d''affaires]),"")</f>
        <v/>
      </c>
      <c r="AF40" s="8" t="str">
        <f>IFERROR(IF((Tableau1[[#This Row],[CA 2024]]-Tableau1[[#This Row],[CA 2019]])/Tableau1[[#This Row],[CA 2019]]=-1,"",(Tableau1[[#This Row],[CA 2024]]-Tableau1[[#This Row],[CA 2019]])/Tableau1[[#This Row],[CA 2019]]),"")</f>
        <v/>
      </c>
      <c r="AG40" s="9" t="str">
        <f>IFERROR(_xlfn.XLOOKUP(Tableau1[[#This Row],[Isin]]&amp;1&amp;2021,#REF!,Tableau3[EBE]),"")</f>
        <v/>
      </c>
      <c r="AH40" s="9" t="str">
        <f>IFERROR(_xlfn.XLOOKUP(Tableau1[[#This Row],[Isin]]&amp;1&amp;2022,#REF!,Tableau3[EBE]),"")</f>
        <v/>
      </c>
      <c r="AI40" s="43" t="s">
        <v>4343</v>
      </c>
      <c r="AJ40" s="43" t="s">
        <v>3150</v>
      </c>
      <c r="AK40" s="43" t="s">
        <v>3149</v>
      </c>
      <c r="AL40" s="43" t="s">
        <v>3149</v>
      </c>
      <c r="AM40" s="43"/>
      <c r="AN40" s="9" t="str">
        <f>IFERROR(_xlfn.XLOOKUP(Tableau1[[#This Row],[Isin]]&amp;1&amp;2021,#REF!,Tableau3[Chiffre d''affaires]),"")</f>
        <v/>
      </c>
      <c r="AO40" s="43" t="e" cm="1" vm="1">
        <f t="array" ref="AO40">_FV(Tableau1[[#This Row],[Code Excel]],"P/E",TRUE)</f>
        <v>#VALUE!</v>
      </c>
      <c r="AP40" s="43" t="str">
        <f>IFERROR(_xlfn.XLOOKUP(Tableau1[[#This Row],[Isin]]&amp;1&amp;2023,#REF!,Tableau3[Résultat Net (PdG)]),"")</f>
        <v/>
      </c>
      <c r="AQ40" s="43">
        <f>IF(IFERROR(_xlfn.XLOOKUP(Tableau1[[#This Row],[Isin]]&amp;1&amp;2022,#REF!,Tableau3[Résultat Net (PdG)]),"")="",Tableau1[[#This Row],[RN Groupe 2022
Manuel]],IFERROR(_xlfn.XLOOKUP(Tableau1[[#This Row],[Isin]]&amp;1&amp;2022,#REF!,Tableau3[Résultat Net (PdG)]),""))</f>
        <v>0</v>
      </c>
      <c r="AR40" s="43"/>
      <c r="AS40" s="43">
        <f>IF(IFERROR(_xlfn.XLOOKUP(Tableau1[[#This Row],[Isin]]&amp;1&amp;2021,#REF!,Tableau3[Résultat Net (PdG)]),"")="",Tableau1[[#This Row],[RN Groupe 2021
Manuel]],IFERROR(_xlfn.XLOOKUP(Tableau1[[#This Row],[Isin]]&amp;1&amp;2021,#REF!,Tableau3[Résultat Net (PdG)]),""))</f>
        <v>0</v>
      </c>
      <c r="AT40" s="43"/>
      <c r="AU40" s="43" t="str">
        <f>IFERROR(_xlfn.XLOOKUP(Tableau1[[#This Row],[Isin]]&amp;1&amp;2020,#REF!,Tableau3[Résultat Net (PdG)]),"")</f>
        <v/>
      </c>
      <c r="AV40" s="43" t="str">
        <f>IFERROR(_xlfn.XLOOKUP(Tableau1[[#This Row],[Isin]]&amp;1&amp;2019,#REF!,Tableau3[Résultat Net (PdG)]),"")</f>
        <v/>
      </c>
      <c r="AW40" s="43" t="str">
        <f>IFERROR(_xlfn.XLOOKUP(Tableau1[[#This Row],[Isin]]&amp;1&amp;2018,#REF!,Tableau3[Résultat Net (PdG)]),"")</f>
        <v/>
      </c>
      <c r="AX40" s="43" t="str">
        <f>IFERROR(_xlfn.XLOOKUP(Tableau1[[#This Row],[Isin]]&amp;1&amp;2017,#REF!,Tableau3[Résultat Net (PdG)]),"")</f>
        <v/>
      </c>
      <c r="AY40" s="43" t="str">
        <f>IFERROR(_xlfn.XLOOKUP(Tableau1[[#This Row],[Isin]]&amp;1&amp;2016,#REF!,Tableau3[Résultat Net (PdG)]),"")</f>
        <v/>
      </c>
      <c r="AZ40" s="137" t="str">
        <f>IFERROR(Tableau1[[#This Row],[Capitalisation boursière]]/Tableau1[[#This Row],[RN Groupe 2023]],"")</f>
        <v/>
      </c>
      <c r="BA40" s="4" t="str" cm="1">
        <f t="array" ref="BA40">IFERROR(_FV(Tableau1[[#This Row],[Code Excel]],"Industrie"),"")</f>
        <v/>
      </c>
      <c r="BB40" s="43" t="e">
        <v>#N/A</v>
      </c>
      <c r="BC40" s="43" t="str">
        <f>IFERROR(_xlfn.XLOOKUP(Tableau1[[#This Row],[Isin]]&amp;1&amp;2016,#REF!,Tableau3[Capi]),"")</f>
        <v/>
      </c>
      <c r="BD40" s="43" t="str">
        <f>IFERROR(_xlfn.XLOOKUP(Tableau1[[#This Row],[Isin]]&amp;1&amp;2017,#REF!,Tableau3[Capi]),"")</f>
        <v/>
      </c>
      <c r="BE40" s="43" t="str">
        <f>IFERROR(_xlfn.XLOOKUP(Tableau1[[#This Row],[Isin]]&amp;1&amp;2018,#REF!,Tableau3[Capi]),"")</f>
        <v/>
      </c>
      <c r="BF40" s="43" t="str">
        <f>IFERROR(_xlfn.XLOOKUP(Tableau1[[#This Row],[Isin]]&amp;1&amp;2019,#REF!,Tableau3[Capi]),"")</f>
        <v/>
      </c>
      <c r="BG40" s="43" t="str">
        <f>IFERROR(_xlfn.XLOOKUP(Tableau1[[#This Row],[Isin]]&amp;1&amp;2020,#REF!,Tableau3[Capi]),"")</f>
        <v/>
      </c>
      <c r="BH40" s="43">
        <f>IF(IFERROR(_xlfn.XLOOKUP(Tableau1[[#This Row],[Isin]]&amp;1&amp;2021,#REF!,Tableau3[Capi]),"")="",Tableau1[[#This Row],[Capitalisation 2021
Manuel]],IFERROR(_xlfn.XLOOKUP(Tableau1[[#This Row],[Isin]]&amp;1&amp;2021,#REF!,Tableau3[Capi]),""))</f>
        <v>0</v>
      </c>
      <c r="BI40" s="43"/>
      <c r="BJ40" s="43">
        <f>IF(IFERROR(_xlfn.XLOOKUP(Tableau1[[#This Row],[Isin]]&amp;1&amp;2022,#REF!,Tableau3[Capi]),"")="",Tableau1[[#This Row],[Capitalisation 2022
Manuel]],IFERROR(_xlfn.XLOOKUP(Tableau1[[#This Row],[Isin]]&amp;1&amp;2022,#REF!,Tableau3[Capi]),""))</f>
        <v>0</v>
      </c>
      <c r="BK40" s="43"/>
      <c r="BL40" s="43" t="str">
        <f>Tableau1[[#This Row],[Capitalisation boursière]]</f>
        <v/>
      </c>
      <c r="BM40" s="162" t="e" cm="1" vm="2">
        <f t="array" ref="BM40">_FV(Tableau1[[#This Row],[Code Excel]],"Description")</f>
        <v>#VALUE!</v>
      </c>
      <c r="BN40" s="43"/>
      <c r="BO40" s="43"/>
      <c r="BP40" s="43"/>
      <c r="BQ40" s="43"/>
      <c r="BR40" s="4"/>
      <c r="BS40" s="21"/>
      <c r="BT40" s="13"/>
      <c r="BU40" s="13"/>
      <c r="BV40" s="13"/>
      <c r="BW40" s="13"/>
      <c r="BX40" s="3"/>
      <c r="BY40" s="3" t="s">
        <v>3233</v>
      </c>
      <c r="BZ40" s="47">
        <v>0.22700000000000001</v>
      </c>
      <c r="CA40" s="47">
        <v>0.13500000000000001</v>
      </c>
      <c r="CC40" s="25"/>
      <c r="CD40" s="25"/>
    </row>
    <row r="41" spans="3:83">
      <c r="C41" s="42"/>
      <c r="D41" s="42">
        <f>IF(Tableau1[[#This Row],[Isin]]="",99,Tableau1[[#This Row],[Intérêt]]+Tableau1[[#This Row],[Valeur d''intérêt]]+Tableau1[[#This Row],[N° Portefeuille]])</f>
        <v>3</v>
      </c>
      <c r="E41" s="42"/>
      <c r="F41" s="42">
        <f>IF(Tableau1[[#This Row],[Portefeuille]]="p",0,Tableau1[[#This Row],[F. Investissement
Niveau d''intérêt]]*10)</f>
        <v>0</v>
      </c>
      <c r="G41" s="42">
        <f>IF(Tableau1[[#This Row],[Portefeuille]]="p",3,0)</f>
        <v>3</v>
      </c>
      <c r="H41" s="42">
        <v>1</v>
      </c>
      <c r="I41" s="42">
        <v>1</v>
      </c>
      <c r="J41" s="42" t="s">
        <v>4357</v>
      </c>
      <c r="K41" s="43" t="s">
        <v>4362</v>
      </c>
      <c r="L41" s="16">
        <v>1</v>
      </c>
      <c r="M4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1" s="44" t="s">
        <v>763</v>
      </c>
      <c r="O41" s="44" t="s">
        <v>4363</v>
      </c>
      <c r="P41" s="4" t="s">
        <v>765</v>
      </c>
      <c r="Q41" s="6" t="s">
        <v>85</v>
      </c>
      <c r="R41" s="6"/>
      <c r="S41" s="6" t="s">
        <v>768</v>
      </c>
      <c r="T41" s="6" t="e" vm="30">
        <v>#VALUE!</v>
      </c>
      <c r="U41" s="46" cm="1">
        <f t="array" aca="1" ref="U41" ca="1">IFERROR(_FV(Tableau1[[#This Row],[Code Excel]],"Capitalisation boursière",TRUE),"")</f>
        <v>32300790000</v>
      </c>
      <c r="V41" s="4" t="str" cm="1">
        <f t="array" aca="1" ref="V41" ca="1">IFERROR(_FV(Tableau1[[#This Row],[Code Excel]],"Industrie"),"")</f>
        <v>Software &amp; IT Services</v>
      </c>
      <c r="W41" s="4" t="s">
        <v>4333</v>
      </c>
      <c r="X41" s="4" t="str">
        <f ca="1">Tableau1[[#This Row],[Grand Secteur]]&amp;Tableau1[[#This Row],[Industrie]]</f>
        <v>Logiciels et TechnologieSoftware &amp; IT Services</v>
      </c>
      <c r="Y41" s="23" cm="1">
        <f t="array" aca="1" ref="Y41" ca="1">IFERROR(_FV(Tableau1[[#This Row],[Code Excel]],"P/E",TRUE),"")</f>
        <v>24.996500000000001</v>
      </c>
      <c r="Z41" s="43" cm="1">
        <f t="array" aca="1" ref="Z41" ca="1">IFERROR(_FV(Tableau1[[#This Row],[Code Excel]],"Employés"),"")</f>
        <v>20643</v>
      </c>
      <c r="AA41" s="49">
        <f ca="1">IFERROR(Tableau1[[#This Row],[Capitalisation boursière]]/Tableau1[[#This Row],[Employés]],"")</f>
        <v>1564733.323644819</v>
      </c>
      <c r="AB41" s="5" t="str">
        <f>IFERROR(Tableau1[[#This Row],[REX (2021)]]/Tableau1[[#This Row],[CA 2024]],"")</f>
        <v/>
      </c>
      <c r="AC41" s="9" t="str">
        <f>IFERROR(_xlfn.XLOOKUP(Tableau1[[#This Row],[Isin]]&amp;1&amp;2021,#REF!,Tableau3[Résultat d''exploitation]),"")</f>
        <v/>
      </c>
      <c r="AD41" s="9" t="str">
        <f>IFERROR(_xlfn.XLOOKUP(Tableau1[[#This Row],[Isin]]&amp;1&amp;2019,#REF!,Tableau3[Chiffre d''affaires]),"")</f>
        <v/>
      </c>
      <c r="AE41" s="9" t="str">
        <f>IFERROR(_xlfn.XLOOKUP(Tableau1[[#This Row],[Isin]]&amp;1&amp;2024,#REF!,Tableau3[Chiffre d''affaires]),"")</f>
        <v/>
      </c>
      <c r="AF41" s="8" t="str">
        <f>IFERROR(IF((Tableau1[[#This Row],[CA 2024]]-Tableau1[[#This Row],[CA 2019]])/Tableau1[[#This Row],[CA 2019]]=-1,"",(Tableau1[[#This Row],[CA 2024]]-Tableau1[[#This Row],[CA 2019]])/Tableau1[[#This Row],[CA 2019]]),"")</f>
        <v/>
      </c>
      <c r="AG41" s="9" t="str">
        <f>IFERROR(_xlfn.XLOOKUP(Tableau1[[#This Row],[Isin]]&amp;1&amp;2021,#REF!,Tableau3[EBE]),"")</f>
        <v/>
      </c>
      <c r="AH41" s="9" t="str">
        <f>IFERROR(_xlfn.XLOOKUP(Tableau1[[#This Row],[Isin]]&amp;1&amp;2022,#REF!,Tableau3[EBE]),"")</f>
        <v/>
      </c>
      <c r="AI41" s="43" t="s">
        <v>4324</v>
      </c>
      <c r="AJ41" s="43" t="s">
        <v>4348</v>
      </c>
      <c r="AK41" s="43" t="s">
        <v>3148</v>
      </c>
      <c r="AL41" s="43" t="s">
        <v>3419</v>
      </c>
      <c r="AM41" s="43"/>
      <c r="AN41" s="9" t="str">
        <f>IFERROR(_xlfn.XLOOKUP(Tableau1[[#This Row],[Isin]]&amp;1&amp;2021,#REF!,Tableau3[Chiffre d''affaires]),"")</f>
        <v/>
      </c>
      <c r="AO41" s="43" cm="1">
        <f t="array" aca="1" ref="AO41" ca="1">_FV(Tableau1[[#This Row],[Code Excel]],"P/E",TRUE)</f>
        <v>24.996500000000001</v>
      </c>
      <c r="AP41" s="43" t="str">
        <f>IFERROR(_xlfn.XLOOKUP(Tableau1[[#This Row],[Isin]]&amp;1&amp;2023,#REF!,Tableau3[Résultat Net (PdG)]),"")</f>
        <v/>
      </c>
      <c r="AQ41" s="43">
        <f>IF(IFERROR(_xlfn.XLOOKUP(Tableau1[[#This Row],[Isin]]&amp;1&amp;2022,#REF!,Tableau3[Résultat Net (PdG)]),"")="",Tableau1[[#This Row],[RN Groupe 2022
Manuel]],IFERROR(_xlfn.XLOOKUP(Tableau1[[#This Row],[Isin]]&amp;1&amp;2022,#REF!,Tableau3[Résultat Net (PdG)]),""))</f>
        <v>0</v>
      </c>
      <c r="AR41" s="43"/>
      <c r="AS41" s="43">
        <f>IF(IFERROR(_xlfn.XLOOKUP(Tableau1[[#This Row],[Isin]]&amp;1&amp;2021,#REF!,Tableau3[Résultat Net (PdG)]),"")="",Tableau1[[#This Row],[RN Groupe 2021
Manuel]],IFERROR(_xlfn.XLOOKUP(Tableau1[[#This Row],[Isin]]&amp;1&amp;2021,#REF!,Tableau3[Résultat Net (PdG)]),""))</f>
        <v>0</v>
      </c>
      <c r="AT41" s="43"/>
      <c r="AU41" s="43" t="str">
        <f>IFERROR(_xlfn.XLOOKUP(Tableau1[[#This Row],[Isin]]&amp;1&amp;2020,#REF!,Tableau3[Résultat Net (PdG)]),"")</f>
        <v/>
      </c>
      <c r="AV41" s="43" t="str">
        <f>IFERROR(_xlfn.XLOOKUP(Tableau1[[#This Row],[Isin]]&amp;1&amp;2019,#REF!,Tableau3[Résultat Net (PdG)]),"")</f>
        <v/>
      </c>
      <c r="AW41" s="43" t="str">
        <f>IFERROR(_xlfn.XLOOKUP(Tableau1[[#This Row],[Isin]]&amp;1&amp;2018,#REF!,Tableau3[Résultat Net (PdG)]),"")</f>
        <v/>
      </c>
      <c r="AX41" s="43" t="str">
        <f>IFERROR(_xlfn.XLOOKUP(Tableau1[[#This Row],[Isin]]&amp;1&amp;2017,#REF!,Tableau3[Résultat Net (PdG)]),"")</f>
        <v/>
      </c>
      <c r="AY41" s="43" t="str">
        <f>IFERROR(_xlfn.XLOOKUP(Tableau1[[#This Row],[Isin]]&amp;1&amp;2016,#REF!,Tableau3[Résultat Net (PdG)]),"")</f>
        <v/>
      </c>
      <c r="AZ41" s="137" t="str">
        <f ca="1">IFERROR(Tableau1[[#This Row],[Capitalisation boursière]]/Tableau1[[#This Row],[RN Groupe 2023]],"")</f>
        <v/>
      </c>
      <c r="BA41" s="4" t="str" cm="1">
        <f t="array" aca="1" ref="BA41" ca="1">IFERROR(_FV(Tableau1[[#This Row],[Code Excel]],"Industrie"),"")</f>
        <v>Software &amp; IT Services</v>
      </c>
      <c r="BB41" s="43" t="e">
        <v>#N/A</v>
      </c>
      <c r="BC41" s="43" t="str">
        <f>IFERROR(_xlfn.XLOOKUP(Tableau1[[#This Row],[Isin]]&amp;1&amp;2016,#REF!,Tableau3[Capi]),"")</f>
        <v/>
      </c>
      <c r="BD41" s="43" t="str">
        <f>IFERROR(_xlfn.XLOOKUP(Tableau1[[#This Row],[Isin]]&amp;1&amp;2017,#REF!,Tableau3[Capi]),"")</f>
        <v/>
      </c>
      <c r="BE41" s="43" t="str">
        <f>IFERROR(_xlfn.XLOOKUP(Tableau1[[#This Row],[Isin]]&amp;1&amp;2018,#REF!,Tableau3[Capi]),"")</f>
        <v/>
      </c>
      <c r="BF41" s="43" t="str">
        <f>IFERROR(_xlfn.XLOOKUP(Tableau1[[#This Row],[Isin]]&amp;1&amp;2019,#REF!,Tableau3[Capi]),"")</f>
        <v/>
      </c>
      <c r="BG41" s="43" t="str">
        <f>IFERROR(_xlfn.XLOOKUP(Tableau1[[#This Row],[Isin]]&amp;1&amp;2020,#REF!,Tableau3[Capi]),"")</f>
        <v/>
      </c>
      <c r="BH41" s="43">
        <f>IF(IFERROR(_xlfn.XLOOKUP(Tableau1[[#This Row],[Isin]]&amp;1&amp;2021,#REF!,Tableau3[Capi]),"")="",Tableau1[[#This Row],[Capitalisation 2021
Manuel]],IFERROR(_xlfn.XLOOKUP(Tableau1[[#This Row],[Isin]]&amp;1&amp;2021,#REF!,Tableau3[Capi]),""))</f>
        <v>0</v>
      </c>
      <c r="BI41" s="43"/>
      <c r="BJ41" s="43">
        <f>IF(IFERROR(_xlfn.XLOOKUP(Tableau1[[#This Row],[Isin]]&amp;1&amp;2022,#REF!,Tableau3[Capi]),"")="",Tableau1[[#This Row],[Capitalisation 2022
Manuel]],IFERROR(_xlfn.XLOOKUP(Tableau1[[#This Row],[Isin]]&amp;1&amp;2022,#REF!,Tableau3[Capi]),""))</f>
        <v>0</v>
      </c>
      <c r="BK41" s="43"/>
      <c r="BL41" s="43">
        <f ca="1">Tableau1[[#This Row],[Capitalisation boursière]]</f>
        <v>32300790000</v>
      </c>
      <c r="BM41" s="162" t="str" cm="1">
        <f t="array" aca="1" ref="BM41" ca="1">_FV(Tableau1[[#This Row],[Code Excel]],"Description")</f>
        <v>AMADEUS IT GROUP, S.A., anciennement Amadeus IT Holding SA, est une société basée en Espagne engagée dans la fourniture de services des technologies de l'information, principalement pour les industries du tourisme et du voyage. Les activités de la Société sont réparties en 2 segments d'activité :Distribution et Solutions informatiques. La division Distribution offre un Système Mondial de Distribution, un système informatisé de réservation dans le monde entier utilisé comme un point d'accès unique pour la réservation des sièges d'avion, des chambres d'hôtel et d'autres services liés aux voyages par les agences de voyage et les sociétés de gestion de voyage. La division Solutions informatiques offre une gamme de solutions technologiques qui permettent d'automatiser les processus de base pour les fournisseurs de voyage. Ses clients comprennent des transporteurs de services complets et des compagnies aériennes bas prix, les gestionnaires d'hôtel, les opérateurs ferroviaires, les opérateurs de croisière et de ferry, les assureurs de voyage et les compagnies de location de voitures, entre autres. La Société exerce ses activités par l'intermédiaire de nombreuses filiales en Europe, dans les Amériques, en Asie, en Afrique et en Australie.</v>
      </c>
      <c r="BN41" s="43"/>
      <c r="BO41" s="43"/>
      <c r="BP41" s="43"/>
      <c r="BQ41" s="43"/>
      <c r="BR41" s="4"/>
      <c r="BS41" s="21"/>
      <c r="BT41" s="13"/>
      <c r="BU41" s="13"/>
      <c r="BV41" s="13"/>
      <c r="BW41" s="3" t="s">
        <v>3309</v>
      </c>
      <c r="BX41" s="3"/>
      <c r="BY41" s="3" t="s">
        <v>3241</v>
      </c>
      <c r="BZ41" s="47">
        <v>0.45</v>
      </c>
      <c r="CA41" s="47">
        <v>0.5</v>
      </c>
      <c r="CC41" s="25"/>
      <c r="CD41" s="25"/>
    </row>
    <row r="42" spans="3:83">
      <c r="C42" s="43"/>
      <c r="D42" s="42">
        <f>IF(Tableau1[[#This Row],[Isin]]="",99,Tableau1[[#This Row],[Intérêt]]+Tableau1[[#This Row],[Valeur d''intérêt]]+Tableau1[[#This Row],[N° Portefeuille]])</f>
        <v>30</v>
      </c>
      <c r="E42" s="43"/>
      <c r="F42" s="42">
        <f>IF(Tableau1[[#This Row],[Portefeuille]]="p",0,Tableau1[[#This Row],[F. Investissement
Niveau d''intérêt]]*10)</f>
        <v>30</v>
      </c>
      <c r="G42" s="43">
        <f>IF(Tableau1[[#This Row],[Portefeuille]]="p",3,0)</f>
        <v>0</v>
      </c>
      <c r="H42" s="43">
        <v>3</v>
      </c>
      <c r="I42" s="43">
        <v>4</v>
      </c>
      <c r="J42" s="43"/>
      <c r="K42" s="43"/>
      <c r="L42" s="16">
        <v>0</v>
      </c>
      <c r="M4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2" s="44" t="s">
        <v>3557</v>
      </c>
      <c r="O42" s="45"/>
      <c r="P42" s="4" t="s">
        <v>382</v>
      </c>
      <c r="Q42" s="4"/>
      <c r="R42" s="6"/>
      <c r="S42" s="6" t="s">
        <v>3558</v>
      </c>
      <c r="T42" s="6" t="e" vm="31">
        <v>#VALUE!</v>
      </c>
      <c r="U42" s="46" cm="1">
        <f t="array" aca="1" ref="U42" ca="1">IFERROR(_FV(Tableau1[[#This Row],[Code Excel]],"Capitalisation boursière",TRUE),"")</f>
        <v>1959361311050</v>
      </c>
      <c r="V42" s="4" t="str" cm="1">
        <f t="array" aca="1" ref="V42" ca="1">IFERROR(_FV(Tableau1[[#This Row],[Code Excel]],"Industrie"),"")</f>
        <v>Diversified Retail</v>
      </c>
      <c r="W42" s="4" t="s">
        <v>966</v>
      </c>
      <c r="X42" s="4" t="str">
        <f ca="1">Tableau1[[#This Row],[Grand Secteur]]&amp;Tableau1[[#This Row],[Industrie]]</f>
        <v>DistributionDiversified Retail</v>
      </c>
      <c r="Y42" s="23" cm="1">
        <f t="array" aca="1" ref="Y42" ca="1">IFERROR(_FV(Tableau1[[#This Row],[Code Excel]],"P/E",TRUE),"")</f>
        <v>33.551200000000001</v>
      </c>
      <c r="Z42" s="43" cm="1">
        <f t="array" aca="1" ref="Z42" ca="1">IFERROR(_FV(Tableau1[[#This Row],[Code Excel]],"Employés"),"")</f>
        <v>1556000</v>
      </c>
      <c r="AA42" s="46">
        <f ca="1">IFERROR(Tableau1[[#This Row],[Capitalisation boursière]]/Tableau1[[#This Row],[Employés]],"")</f>
        <v>1259229.6343508998</v>
      </c>
      <c r="AB42" s="5" t="str">
        <f>IFERROR(Tableau1[[#This Row],[REX (2021)]]/Tableau1[[#This Row],[CA 2024]],"")</f>
        <v/>
      </c>
      <c r="AC42" s="9" t="str">
        <f>IFERROR(_xlfn.XLOOKUP(Tableau1[[#This Row],[Isin]]&amp;1&amp;2021,#REF!,Tableau3[Résultat d''exploitation]),"")</f>
        <v/>
      </c>
      <c r="AD42" s="9" t="str">
        <f>IFERROR(_xlfn.XLOOKUP(Tableau1[[#This Row],[Isin]]&amp;1&amp;2019,#REF!,Tableau3[Chiffre d''affaires]),"")</f>
        <v/>
      </c>
      <c r="AE42" s="9" t="str">
        <f>IFERROR(_xlfn.XLOOKUP(Tableau1[[#This Row],[Isin]]&amp;1&amp;2024,#REF!,Tableau3[Chiffre d''affaires]),"")</f>
        <v/>
      </c>
      <c r="AF42" s="8" t="str">
        <f>IFERROR(IF((Tableau1[[#This Row],[CA 2024]]-Tableau1[[#This Row],[CA 2019]])/Tableau1[[#This Row],[CA 2019]]=-1,"",(Tableau1[[#This Row],[CA 2024]]-Tableau1[[#This Row],[CA 2019]])/Tableau1[[#This Row],[CA 2019]]),"")</f>
        <v/>
      </c>
      <c r="AG42" s="9" t="str">
        <f>IFERROR(_xlfn.XLOOKUP(Tableau1[[#This Row],[Isin]]&amp;1&amp;2021,#REF!,Tableau3[EBE]),"")</f>
        <v/>
      </c>
      <c r="AH42" s="9" t="str">
        <f>IFERROR(_xlfn.XLOOKUP(Tableau1[[#This Row],[Isin]]&amp;1&amp;2022,#REF!,Tableau3[EBE]),"")</f>
        <v/>
      </c>
      <c r="AI42" s="43" t="s">
        <v>3419</v>
      </c>
      <c r="AJ42" s="43" t="s">
        <v>3150</v>
      </c>
      <c r="AK42" s="43" t="s">
        <v>3149</v>
      </c>
      <c r="AL42" s="43"/>
      <c r="AM42" s="43"/>
      <c r="AN42" s="9" t="str">
        <f>IFERROR(_xlfn.XLOOKUP(Tableau1[[#This Row],[Isin]]&amp;1&amp;2021,#REF!,Tableau3[Chiffre d''affaires]),"")</f>
        <v/>
      </c>
      <c r="AO42" s="43" cm="1">
        <f t="array" aca="1" ref="AO42" ca="1">_FV(Tableau1[[#This Row],[Code Excel]],"P/E",TRUE)</f>
        <v>33.551200000000001</v>
      </c>
      <c r="AP42" s="43" t="str">
        <f>IFERROR(_xlfn.XLOOKUP(Tableau1[[#This Row],[Isin]]&amp;1&amp;2023,#REF!,Tableau3[Résultat Net (PdG)]),"")</f>
        <v/>
      </c>
      <c r="AQ42" s="43">
        <f>IF(IFERROR(_xlfn.XLOOKUP(Tableau1[[#This Row],[Isin]]&amp;1&amp;2022,#REF!,Tableau3[Résultat Net (PdG)]),"")="",Tableau1[[#This Row],[RN Groupe 2022
Manuel]],IFERROR(_xlfn.XLOOKUP(Tableau1[[#This Row],[Isin]]&amp;1&amp;2022,#REF!,Tableau3[Résultat Net (PdG)]),""))</f>
        <v>0</v>
      </c>
      <c r="AR42" s="43"/>
      <c r="AS42" s="43">
        <f>IF(IFERROR(_xlfn.XLOOKUP(Tableau1[[#This Row],[Isin]]&amp;1&amp;2021,#REF!,Tableau3[Résultat Net (PdG)]),"")="",Tableau1[[#This Row],[RN Groupe 2021
Manuel]],IFERROR(_xlfn.XLOOKUP(Tableau1[[#This Row],[Isin]]&amp;1&amp;2021,#REF!,Tableau3[Résultat Net (PdG)]),""))</f>
        <v>0</v>
      </c>
      <c r="AT42" s="43"/>
      <c r="AU42" s="43" t="str">
        <f>IFERROR(_xlfn.XLOOKUP(Tableau1[[#This Row],[Isin]]&amp;1&amp;2020,#REF!,Tableau3[Résultat Net (PdG)]),"")</f>
        <v/>
      </c>
      <c r="AV42" s="43" t="str">
        <f>IFERROR(_xlfn.XLOOKUP(Tableau1[[#This Row],[Isin]]&amp;1&amp;2019,#REF!,Tableau3[Résultat Net (PdG)]),"")</f>
        <v/>
      </c>
      <c r="AW42" s="43" t="str">
        <f>IFERROR(_xlfn.XLOOKUP(Tableau1[[#This Row],[Isin]]&amp;1&amp;2018,#REF!,Tableau3[Résultat Net (PdG)]),"")</f>
        <v/>
      </c>
      <c r="AX42" s="43" t="str">
        <f>IFERROR(_xlfn.XLOOKUP(Tableau1[[#This Row],[Isin]]&amp;1&amp;2017,#REF!,Tableau3[Résultat Net (PdG)]),"")</f>
        <v/>
      </c>
      <c r="AY42" s="43" t="str">
        <f>IFERROR(_xlfn.XLOOKUP(Tableau1[[#This Row],[Isin]]&amp;1&amp;2016,#REF!,Tableau3[Résultat Net (PdG)]),"")</f>
        <v/>
      </c>
      <c r="AZ42" s="137" t="str">
        <f ca="1">IFERROR(Tableau1[[#This Row],[Capitalisation boursière]]/Tableau1[[#This Row],[RN Groupe 2023]],"")</f>
        <v/>
      </c>
      <c r="BA42" s="4" t="str" cm="1">
        <f t="array" aca="1" ref="BA42" ca="1">IFERROR(_FV(Tableau1[[#This Row],[Code Excel]],"Industrie"),"")</f>
        <v>Diversified Retail</v>
      </c>
      <c r="BB42" s="43" t="s">
        <v>3491</v>
      </c>
      <c r="BC42" s="43" t="str">
        <f>IFERROR(_xlfn.XLOOKUP(Tableau1[[#This Row],[Isin]]&amp;1&amp;2016,#REF!,Tableau3[Capi]),"")</f>
        <v/>
      </c>
      <c r="BD42" s="43" t="str">
        <f>IFERROR(_xlfn.XLOOKUP(Tableau1[[#This Row],[Isin]]&amp;1&amp;2017,#REF!,Tableau3[Capi]),"")</f>
        <v/>
      </c>
      <c r="BE42" s="43" t="str">
        <f>IFERROR(_xlfn.XLOOKUP(Tableau1[[#This Row],[Isin]]&amp;1&amp;2018,#REF!,Tableau3[Capi]),"")</f>
        <v/>
      </c>
      <c r="BF42" s="43" t="str">
        <f>IFERROR(_xlfn.XLOOKUP(Tableau1[[#This Row],[Isin]]&amp;1&amp;2019,#REF!,Tableau3[Capi]),"")</f>
        <v/>
      </c>
      <c r="BG42" s="43" t="str">
        <f>IFERROR(_xlfn.XLOOKUP(Tableau1[[#This Row],[Isin]]&amp;1&amp;2020,#REF!,Tableau3[Capi]),"")</f>
        <v/>
      </c>
      <c r="BH42" s="43">
        <f>IF(IFERROR(_xlfn.XLOOKUP(Tableau1[[#This Row],[Isin]]&amp;1&amp;2021,#REF!,Tableau3[Capi]),"")="",Tableau1[[#This Row],[Capitalisation 2021
Manuel]],IFERROR(_xlfn.XLOOKUP(Tableau1[[#This Row],[Isin]]&amp;1&amp;2021,#REF!,Tableau3[Capi]),""))</f>
        <v>0</v>
      </c>
      <c r="BI42" s="43"/>
      <c r="BJ42" s="43">
        <f>IF(IFERROR(_xlfn.XLOOKUP(Tableau1[[#This Row],[Isin]]&amp;1&amp;2022,#REF!,Tableau3[Capi]),"")="",Tableau1[[#This Row],[Capitalisation 2022
Manuel]],IFERROR(_xlfn.XLOOKUP(Tableau1[[#This Row],[Isin]]&amp;1&amp;2022,#REF!,Tableau3[Capi]),""))</f>
        <v>0</v>
      </c>
      <c r="BK42" s="43"/>
      <c r="BL42" s="43">
        <f ca="1">Tableau1[[#This Row],[Capitalisation boursière]]</f>
        <v>1959361311050</v>
      </c>
      <c r="BM42" s="162" t="str" cm="1">
        <f t="array" aca="1" ref="BM42" ca="1">_FV(Tableau1[[#This Row],[Code Excel]],"Description")</f>
        <v>Amazon.com, Inc. fournit une gamme de produits et de services à ses clients. Les produits offerts dans ses magasins comprennent les marchandises et le contenu qu'elle a achetés pour la revente et les produits offerts par des vendeurs tiers. Les segments de la société comprennent l'Amérique du Nord, l'International et Amazon Web services (AWS). Il sert les consommateurs par le biais de ses magasins en ligne et physiques et se concentre sur la sélection, le prix et la commodité. Les clients accèdent à ses offres via ses sites Web, applications mobiles, Alexa, appareils, streaming, et en visitant physiquement ses magasins. Il fabrique et vend des appareils électroniques, y compris Kindle, Fire Tablet, Fire TV, Echo, Ring, Blink et eero, et elle développe et produit du contenu multimédia. Il sert les développeurs et les entreprises de toutes tailles, y compris les start-ups, les agences gouvernementales et les établissements universitaires, via AWS, qui offre un large éventail de services technologiques à la demande, y compris le calcul, le stockage, la base de données, l'analyse, et l'apprentissage automatique, et d'autres services.</v>
      </c>
      <c r="BN42" s="43"/>
      <c r="BO42" s="43"/>
      <c r="BP42" s="43"/>
      <c r="BQ42" s="43"/>
      <c r="BR42" s="4"/>
      <c r="BS42" s="13"/>
      <c r="BT42" s="13"/>
      <c r="BU42" s="13"/>
      <c r="BV42" s="13"/>
      <c r="BW42" s="3" t="s">
        <v>4272</v>
      </c>
      <c r="BX42" s="3"/>
      <c r="BZ42" s="4"/>
      <c r="CA42" s="4"/>
      <c r="CB42" s="50"/>
      <c r="CC42" s="25"/>
      <c r="CD42" s="25"/>
    </row>
    <row r="43" spans="3:83">
      <c r="C43" s="42"/>
      <c r="D43" s="42">
        <f>IF(Tableau1[[#This Row],[Isin]]="",99,Tableau1[[#This Row],[Intérêt]]+Tableau1[[#This Row],[Valeur d''intérêt]]+Tableau1[[#This Row],[N° Portefeuille]])</f>
        <v>30</v>
      </c>
      <c r="E43" s="42"/>
      <c r="F43" s="42">
        <f>IF(Tableau1[[#This Row],[Portefeuille]]="p",0,Tableau1[[#This Row],[F. Investissement
Niveau d''intérêt]]*10)</f>
        <v>30</v>
      </c>
      <c r="G43" s="42">
        <f>IF(Tableau1[[#This Row],[Portefeuille]]="p",3,0)</f>
        <v>0</v>
      </c>
      <c r="H43" s="42">
        <v>3</v>
      </c>
      <c r="I43" s="42">
        <v>4</v>
      </c>
      <c r="J43" s="42"/>
      <c r="K43" s="43"/>
      <c r="L43" s="16">
        <v>0</v>
      </c>
      <c r="M4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3" s="44" t="s">
        <v>3561</v>
      </c>
      <c r="O43" s="45"/>
      <c r="P43" s="4" t="s">
        <v>382</v>
      </c>
      <c r="Q43" s="4"/>
      <c r="R43" s="6"/>
      <c r="S43" s="6" t="s">
        <v>3562</v>
      </c>
      <c r="T43" s="6" t="e" vm="32">
        <v>#VALUE!</v>
      </c>
      <c r="U43" s="46" cm="1">
        <f t="array" aca="1" ref="U43" ca="1">IFERROR(_FV(Tableau1[[#This Row],[Code Excel]],"Capitalisation boursière",TRUE),"")</f>
        <v>183571500385</v>
      </c>
      <c r="V43" s="4" t="str" cm="1">
        <f t="array" aca="1" ref="V43" ca="1">IFERROR(_FV(Tableau1[[#This Row],[Code Excel]],"Industrie"),"")</f>
        <v>Banking Services</v>
      </c>
      <c r="W43" s="4" t="s">
        <v>4335</v>
      </c>
      <c r="X43" s="4" t="str">
        <f ca="1">Tableau1[[#This Row],[Grand Secteur]]&amp;Tableau1[[#This Row],[Industrie]]</f>
        <v>FinanceBanking Services</v>
      </c>
      <c r="Y43" s="23" cm="1">
        <f t="array" aca="1" ref="Y43" ca="1">IFERROR(_FV(Tableau1[[#This Row],[Code Excel]],"P/E",TRUE),"")</f>
        <v>18.951000000000001</v>
      </c>
      <c r="Z43" s="43" cm="1">
        <f t="array" aca="1" ref="Z43" ca="1">IFERROR(_FV(Tableau1[[#This Row],[Code Excel]],"Employés"),"")</f>
        <v>75100</v>
      </c>
      <c r="AA43" s="54">
        <f ca="1">IFERROR(Tableau1[[#This Row],[Capitalisation boursière]]/Tableau1[[#This Row],[Employés]],"")</f>
        <v>2444360.8573235688</v>
      </c>
      <c r="AB43" s="5" t="str">
        <f>IFERROR(Tableau1[[#This Row],[REX (2021)]]/Tableau1[[#This Row],[CA 2024]],"")</f>
        <v/>
      </c>
      <c r="AC43" s="9" t="str">
        <f>IFERROR(_xlfn.XLOOKUP(Tableau1[[#This Row],[Isin]]&amp;1&amp;2021,#REF!,Tableau3[Résultat d''exploitation]),"")</f>
        <v/>
      </c>
      <c r="AD43" s="9" t="str">
        <f>IFERROR(_xlfn.XLOOKUP(Tableau1[[#This Row],[Isin]]&amp;1&amp;2019,#REF!,Tableau3[Chiffre d''affaires]),"")</f>
        <v/>
      </c>
      <c r="AE43" s="9" t="str">
        <f>IFERROR(_xlfn.XLOOKUP(Tableau1[[#This Row],[Isin]]&amp;1&amp;2024,#REF!,Tableau3[Chiffre d''affaires]),"")</f>
        <v/>
      </c>
      <c r="AF43" s="8" t="str">
        <f>IFERROR(IF((Tableau1[[#This Row],[CA 2024]]-Tableau1[[#This Row],[CA 2019]])/Tableau1[[#This Row],[CA 2019]]=-1,"",(Tableau1[[#This Row],[CA 2024]]-Tableau1[[#This Row],[CA 2019]])/Tableau1[[#This Row],[CA 2019]]),"")</f>
        <v/>
      </c>
      <c r="AG43" s="9" t="str">
        <f>IFERROR(_xlfn.XLOOKUP(Tableau1[[#This Row],[Isin]]&amp;1&amp;2021,#REF!,Tableau3[EBE]),"")</f>
        <v/>
      </c>
      <c r="AH43" s="9" t="str">
        <f>IFERROR(_xlfn.XLOOKUP(Tableau1[[#This Row],[Isin]]&amp;1&amp;2022,#REF!,Tableau3[EBE]),"")</f>
        <v/>
      </c>
      <c r="AI43" s="43" t="s">
        <v>4324</v>
      </c>
      <c r="AJ43" s="43" t="s">
        <v>4330</v>
      </c>
      <c r="AK43" s="43" t="s">
        <v>4327</v>
      </c>
      <c r="AL43" s="43"/>
      <c r="AM43" s="43"/>
      <c r="AN43" s="9" t="str">
        <f>IFERROR(_xlfn.XLOOKUP(Tableau1[[#This Row],[Isin]]&amp;1&amp;2021,#REF!,Tableau3[Chiffre d''affaires]),"")</f>
        <v/>
      </c>
      <c r="AO43" s="43" cm="1">
        <f t="array" aca="1" ref="AO43" ca="1">_FV(Tableau1[[#This Row],[Code Excel]],"P/E",TRUE)</f>
        <v>18.951000000000001</v>
      </c>
      <c r="AP43" s="43" t="str">
        <f>IFERROR(_xlfn.XLOOKUP(Tableau1[[#This Row],[Isin]]&amp;1&amp;2023,#REF!,Tableau3[Résultat Net (PdG)]),"")</f>
        <v/>
      </c>
      <c r="AQ43" s="43">
        <f>IF(IFERROR(_xlfn.XLOOKUP(Tableau1[[#This Row],[Isin]]&amp;1&amp;2022,#REF!,Tableau3[Résultat Net (PdG)]),"")="",Tableau1[[#This Row],[RN Groupe 2022
Manuel]],IFERROR(_xlfn.XLOOKUP(Tableau1[[#This Row],[Isin]]&amp;1&amp;2022,#REF!,Tableau3[Résultat Net (PdG)]),""))</f>
        <v>0</v>
      </c>
      <c r="AR43" s="43"/>
      <c r="AS43" s="43">
        <f>IF(IFERROR(_xlfn.XLOOKUP(Tableau1[[#This Row],[Isin]]&amp;1&amp;2021,#REF!,Tableau3[Résultat Net (PdG)]),"")="",Tableau1[[#This Row],[RN Groupe 2021
Manuel]],IFERROR(_xlfn.XLOOKUP(Tableau1[[#This Row],[Isin]]&amp;1&amp;2021,#REF!,Tableau3[Résultat Net (PdG)]),""))</f>
        <v>0</v>
      </c>
      <c r="AT43" s="43"/>
      <c r="AU43" s="43" t="str">
        <f>IFERROR(_xlfn.XLOOKUP(Tableau1[[#This Row],[Isin]]&amp;1&amp;2020,#REF!,Tableau3[Résultat Net (PdG)]),"")</f>
        <v/>
      </c>
      <c r="AV43" s="43" t="str">
        <f>IFERROR(_xlfn.XLOOKUP(Tableau1[[#This Row],[Isin]]&amp;1&amp;2019,#REF!,Tableau3[Résultat Net (PdG)]),"")</f>
        <v/>
      </c>
      <c r="AW43" s="43" t="str">
        <f>IFERROR(_xlfn.XLOOKUP(Tableau1[[#This Row],[Isin]]&amp;1&amp;2018,#REF!,Tableau3[Résultat Net (PdG)]),"")</f>
        <v/>
      </c>
      <c r="AX43" s="43" t="str">
        <f>IFERROR(_xlfn.XLOOKUP(Tableau1[[#This Row],[Isin]]&amp;1&amp;2017,#REF!,Tableau3[Résultat Net (PdG)]),"")</f>
        <v/>
      </c>
      <c r="AY43" s="43" t="str">
        <f>IFERROR(_xlfn.XLOOKUP(Tableau1[[#This Row],[Isin]]&amp;1&amp;2016,#REF!,Tableau3[Résultat Net (PdG)]),"")</f>
        <v/>
      </c>
      <c r="AZ43" s="137" t="str">
        <f ca="1">IFERROR(Tableau1[[#This Row],[Capitalisation boursière]]/Tableau1[[#This Row],[RN Groupe 2023]],"")</f>
        <v/>
      </c>
      <c r="BA43" s="4" t="str" cm="1">
        <f t="array" aca="1" ref="BA43" ca="1">IFERROR(_FV(Tableau1[[#This Row],[Code Excel]],"Industrie"),"")</f>
        <v>Banking Services</v>
      </c>
      <c r="BB43" s="43" t="s">
        <v>3464</v>
      </c>
      <c r="BC43" s="43" t="str">
        <f>IFERROR(_xlfn.XLOOKUP(Tableau1[[#This Row],[Isin]]&amp;1&amp;2016,#REF!,Tableau3[Capi]),"")</f>
        <v/>
      </c>
      <c r="BD43" s="43" t="str">
        <f>IFERROR(_xlfn.XLOOKUP(Tableau1[[#This Row],[Isin]]&amp;1&amp;2017,#REF!,Tableau3[Capi]),"")</f>
        <v/>
      </c>
      <c r="BE43" s="43" t="str">
        <f>IFERROR(_xlfn.XLOOKUP(Tableau1[[#This Row],[Isin]]&amp;1&amp;2018,#REF!,Tableau3[Capi]),"")</f>
        <v/>
      </c>
      <c r="BF43" s="43" t="str">
        <f>IFERROR(_xlfn.XLOOKUP(Tableau1[[#This Row],[Isin]]&amp;1&amp;2019,#REF!,Tableau3[Capi]),"")</f>
        <v/>
      </c>
      <c r="BG43" s="43" t="str">
        <f>IFERROR(_xlfn.XLOOKUP(Tableau1[[#This Row],[Isin]]&amp;1&amp;2020,#REF!,Tableau3[Capi]),"")</f>
        <v/>
      </c>
      <c r="BH43" s="43">
        <f>IF(IFERROR(_xlfn.XLOOKUP(Tableau1[[#This Row],[Isin]]&amp;1&amp;2021,#REF!,Tableau3[Capi]),"")="",Tableau1[[#This Row],[Capitalisation 2021
Manuel]],IFERROR(_xlfn.XLOOKUP(Tableau1[[#This Row],[Isin]]&amp;1&amp;2021,#REF!,Tableau3[Capi]),""))</f>
        <v>0</v>
      </c>
      <c r="BI43" s="43"/>
      <c r="BJ43" s="43">
        <f>IF(IFERROR(_xlfn.XLOOKUP(Tableau1[[#This Row],[Isin]]&amp;1&amp;2022,#REF!,Tableau3[Capi]),"")="",Tableau1[[#This Row],[Capitalisation 2022
Manuel]],IFERROR(_xlfn.XLOOKUP(Tableau1[[#This Row],[Isin]]&amp;1&amp;2022,#REF!,Tableau3[Capi]),""))</f>
        <v>0</v>
      </c>
      <c r="BK43" s="43"/>
      <c r="BL43" s="43">
        <f ca="1">Tableau1[[#This Row],[Capitalisation boursière]]</f>
        <v>183571500385</v>
      </c>
      <c r="BM43" s="162" t="str" cm="1">
        <f t="array" aca="1" ref="BM43" ca="1">_FV(Tableau1[[#This Row],[Code Excel]],"Description")</f>
        <v>American Express Company est une société de paiement intégrée à l'échelle mondiale. La Société fournit à ses clients un accès à des produits, des idées et des expériences qui favorisent l'activité. Elle fournit des cartes de crédit et de paiement aux consommateurs, aux petites entreprises, aux entreprises de taille moyenne et aux entreprises. Elle opère dans quatre secteurs : U.S. Consumer services (USCS), commercial services (CS), International Card services (ICS) et Global Merchant and Network services (GMNS). USCS offre des services de voyage et de style de vie ainsi que des produits bancaires et de financement sans carte. CS offre des produits de gestion des paiements et des dépenses, des services bancaires et des produits de financement sans carte. Le CS émet également des cartes d'entreprise et fournit des services à des clients d'entreprise sélectionnés dans le monde entier. ICS fournit également des services à des clients internationaux, y compris des services de voyage et de style de vie, et gère certaines coentreprises internationales et ses activités de coalition de fidélisation. GMNS fournit des programmes et des capacités de marketing multicanal, des services et des analyses de données.</v>
      </c>
      <c r="BN43" s="43"/>
      <c r="BO43" s="43"/>
      <c r="BP43" s="43"/>
      <c r="BQ43" s="43"/>
      <c r="BR43" s="4"/>
      <c r="BS43" s="21"/>
      <c r="BT43" s="13"/>
      <c r="BU43" s="13"/>
      <c r="BV43" s="13"/>
      <c r="BW43" s="13"/>
      <c r="BX43" s="3"/>
      <c r="BY43" s="3" t="s">
        <v>3369</v>
      </c>
      <c r="BZ43" s="47">
        <v>0.11</v>
      </c>
      <c r="CA43" s="4"/>
      <c r="CB43" s="50"/>
      <c r="CC43" s="25"/>
      <c r="CD43" s="25"/>
    </row>
    <row r="44" spans="3:83">
      <c r="C44" s="43"/>
      <c r="D44" s="42">
        <f>IF(Tableau1[[#This Row],[Isin]]="",99,Tableau1[[#This Row],[Intérêt]]+Tableau1[[#This Row],[Valeur d''intérêt]]+Tableau1[[#This Row],[N° Portefeuille]])</f>
        <v>30</v>
      </c>
      <c r="E44" s="43"/>
      <c r="F44" s="42">
        <f>IF(Tableau1[[#This Row],[Portefeuille]]="p",0,Tableau1[[#This Row],[F. Investissement
Niveau d''intérêt]]*10)</f>
        <v>30</v>
      </c>
      <c r="G44" s="43">
        <f>IF(Tableau1[[#This Row],[Portefeuille]]="p",3,0)</f>
        <v>0</v>
      </c>
      <c r="H44" s="43">
        <v>3</v>
      </c>
      <c r="I44" s="43"/>
      <c r="J44" s="43"/>
      <c r="K44" s="43"/>
      <c r="L44" s="16"/>
      <c r="M4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4" s="44" t="s">
        <v>3127</v>
      </c>
      <c r="O44" s="45"/>
      <c r="P44" s="4"/>
      <c r="Q44" s="4"/>
      <c r="R44" s="6"/>
      <c r="S44" s="6" t="s">
        <v>3128</v>
      </c>
      <c r="T44" s="6" t="e" vm="33">
        <v>#VALUE!</v>
      </c>
      <c r="U44" s="46" cm="1">
        <f t="array" aca="1" ref="U44" ca="1">IFERROR(_FV(Tableau1[[#This Row],[Code Excel]],"Capitalisation boursière",TRUE),"")</f>
        <v>4354585000</v>
      </c>
      <c r="V44" s="4" t="str" cm="1">
        <f t="array" aca="1" ref="V44" ca="1">IFERROR(_FV(Tableau1[[#This Row],[Code Excel]],"Industrie"),"")</f>
        <v>Healthcare Equipment &amp; Supplies</v>
      </c>
      <c r="W44" s="4"/>
      <c r="X44" s="4" t="str">
        <f ca="1">Tableau1[[#This Row],[Grand Secteur]]&amp;Tableau1[[#This Row],[Industrie]]</f>
        <v>Healthcare Equipment &amp; Supplies</v>
      </c>
      <c r="Y44" s="23" cm="1">
        <f t="array" aca="1" ref="Y44" ca="1">IFERROR(_FV(Tableau1[[#This Row],[Code Excel]],"P/E",TRUE),"")</f>
        <v>29.877300000000002</v>
      </c>
      <c r="Z44" s="43" cm="1">
        <f t="array" aca="1" ref="Z44" ca="1">IFERROR(_FV(Tableau1[[#This Row],[Code Excel]],"Employés"),"")</f>
        <v>15070</v>
      </c>
      <c r="AA44" s="46">
        <f ca="1">IFERROR(Tableau1[[#This Row],[Capitalisation boursière]]/Tableau1[[#This Row],[Employés]],"")</f>
        <v>288957.19973457197</v>
      </c>
      <c r="AB44" s="5" t="str">
        <f>IFERROR(Tableau1[[#This Row],[REX (2021)]]/Tableau1[[#This Row],[CA 2024]],"")</f>
        <v/>
      </c>
      <c r="AC44" s="9" t="str">
        <f>IFERROR(_xlfn.XLOOKUP(Tableau1[[#This Row],[Isin]]&amp;1&amp;2021,#REF!,Tableau3[Résultat d''exploitation]),"")</f>
        <v/>
      </c>
      <c r="AD44" s="9" t="str">
        <f>IFERROR(_xlfn.XLOOKUP(Tableau1[[#This Row],[Isin]]&amp;1&amp;2019,#REF!,Tableau3[Chiffre d''affaires]),"")</f>
        <v/>
      </c>
      <c r="AE44" s="9" t="str">
        <f>IFERROR(_xlfn.XLOOKUP(Tableau1[[#This Row],[Isin]]&amp;1&amp;2024,#REF!,Tableau3[Chiffre d''affaires]),"")</f>
        <v/>
      </c>
      <c r="AF44" s="8" t="str">
        <f>IFERROR(IF((Tableau1[[#This Row],[CA 2024]]-Tableau1[[#This Row],[CA 2019]])/Tableau1[[#This Row],[CA 2019]]=-1,"",(Tableau1[[#This Row],[CA 2024]]-Tableau1[[#This Row],[CA 2019]])/Tableau1[[#This Row],[CA 2019]]),"")</f>
        <v/>
      </c>
      <c r="AG44" s="9" t="str">
        <f>IFERROR(_xlfn.XLOOKUP(Tableau1[[#This Row],[Isin]]&amp;1&amp;2021,#REF!,Tableau3[EBE]),"")</f>
        <v/>
      </c>
      <c r="AH44" s="9" t="str">
        <f>IFERROR(_xlfn.XLOOKUP(Tableau1[[#This Row],[Isin]]&amp;1&amp;2022,#REF!,Tableau3[EBE]),"")</f>
        <v/>
      </c>
      <c r="AI44" s="43"/>
      <c r="AJ44" s="43"/>
      <c r="AK44" s="43"/>
      <c r="AL44" s="43"/>
      <c r="AM44" s="43"/>
      <c r="AN44" s="9" t="str">
        <f>IFERROR(_xlfn.XLOOKUP(Tableau1[[#This Row],[Isin]]&amp;1&amp;2021,#REF!,Tableau3[Chiffre d''affaires]),"")</f>
        <v/>
      </c>
      <c r="AO44" s="43" cm="1">
        <f t="array" aca="1" ref="AO44" ca="1">_FV(Tableau1[[#This Row],[Code Excel]],"P/E",TRUE)</f>
        <v>29.877300000000002</v>
      </c>
      <c r="AP44" s="43" t="str">
        <f>IFERROR(_xlfn.XLOOKUP(Tableau1[[#This Row],[Isin]]&amp;1&amp;2023,#REF!,Tableau3[Résultat Net (PdG)]),"")</f>
        <v/>
      </c>
      <c r="AQ44" s="43">
        <f>IF(IFERROR(_xlfn.XLOOKUP(Tableau1[[#This Row],[Isin]]&amp;1&amp;2022,#REF!,Tableau3[Résultat Net (PdG)]),"")="",Tableau1[[#This Row],[RN Groupe 2022
Manuel]],IFERROR(_xlfn.XLOOKUP(Tableau1[[#This Row],[Isin]]&amp;1&amp;2022,#REF!,Tableau3[Résultat Net (PdG)]),""))</f>
        <v>0</v>
      </c>
      <c r="AR44" s="43"/>
      <c r="AS44" s="43">
        <f>IF(IFERROR(_xlfn.XLOOKUP(Tableau1[[#This Row],[Isin]]&amp;1&amp;2021,#REF!,Tableau3[Résultat Net (PdG)]),"")="",Tableau1[[#This Row],[RN Groupe 2021
Manuel]],IFERROR(_xlfn.XLOOKUP(Tableau1[[#This Row],[Isin]]&amp;1&amp;2021,#REF!,Tableau3[Résultat Net (PdG)]),""))</f>
        <v>0</v>
      </c>
      <c r="AT44" s="43"/>
      <c r="AU44" s="43" t="str">
        <f>IFERROR(_xlfn.XLOOKUP(Tableau1[[#This Row],[Isin]]&amp;1&amp;2020,#REF!,Tableau3[Résultat Net (PdG)]),"")</f>
        <v/>
      </c>
      <c r="AV44" s="43" t="str">
        <f>IFERROR(_xlfn.XLOOKUP(Tableau1[[#This Row],[Isin]]&amp;1&amp;2019,#REF!,Tableau3[Résultat Net (PdG)]),"")</f>
        <v/>
      </c>
      <c r="AW44" s="43" t="str">
        <f>IFERROR(_xlfn.XLOOKUP(Tableau1[[#This Row],[Isin]]&amp;1&amp;2018,#REF!,Tableau3[Résultat Net (PdG)]),"")</f>
        <v/>
      </c>
      <c r="AX44" s="43" t="str">
        <f>IFERROR(_xlfn.XLOOKUP(Tableau1[[#This Row],[Isin]]&amp;1&amp;2017,#REF!,Tableau3[Résultat Net (PdG)]),"")</f>
        <v/>
      </c>
      <c r="AY44" s="43" t="str">
        <f>IFERROR(_xlfn.XLOOKUP(Tableau1[[#This Row],[Isin]]&amp;1&amp;2016,#REF!,Tableau3[Résultat Net (PdG)]),"")</f>
        <v/>
      </c>
      <c r="AZ44" s="137" t="str">
        <f ca="1">IFERROR(Tableau1[[#This Row],[Capitalisation boursière]]/Tableau1[[#This Row],[RN Groupe 2023]],"")</f>
        <v/>
      </c>
      <c r="BA44" s="4" t="str" cm="1">
        <f t="array" aca="1" ref="BA44" ca="1">IFERROR(_FV(Tableau1[[#This Row],[Code Excel]],"Industrie"),"")</f>
        <v>Healthcare Equipment &amp; Supplies</v>
      </c>
      <c r="BB44" s="43">
        <v>0</v>
      </c>
      <c r="BC44" s="43" t="str">
        <f>IFERROR(_xlfn.XLOOKUP(Tableau1[[#This Row],[Isin]]&amp;1&amp;2016,#REF!,Tableau3[Capi]),"")</f>
        <v/>
      </c>
      <c r="BD44" s="43" t="str">
        <f>IFERROR(_xlfn.XLOOKUP(Tableau1[[#This Row],[Isin]]&amp;1&amp;2017,#REF!,Tableau3[Capi]),"")</f>
        <v/>
      </c>
      <c r="BE44" s="43" t="str">
        <f>IFERROR(_xlfn.XLOOKUP(Tableau1[[#This Row],[Isin]]&amp;1&amp;2018,#REF!,Tableau3[Capi]),"")</f>
        <v/>
      </c>
      <c r="BF44" s="43" t="str">
        <f>IFERROR(_xlfn.XLOOKUP(Tableau1[[#This Row],[Isin]]&amp;1&amp;2019,#REF!,Tableau3[Capi]),"")</f>
        <v/>
      </c>
      <c r="BG44" s="43" t="str">
        <f>IFERROR(_xlfn.XLOOKUP(Tableau1[[#This Row],[Isin]]&amp;1&amp;2020,#REF!,Tableau3[Capi]),"")</f>
        <v/>
      </c>
      <c r="BH44" s="43">
        <f>IF(IFERROR(_xlfn.XLOOKUP(Tableau1[[#This Row],[Isin]]&amp;1&amp;2021,#REF!,Tableau3[Capi]),"")="",Tableau1[[#This Row],[Capitalisation 2021
Manuel]],IFERROR(_xlfn.XLOOKUP(Tableau1[[#This Row],[Isin]]&amp;1&amp;2021,#REF!,Tableau3[Capi]),""))</f>
        <v>0</v>
      </c>
      <c r="BI44" s="43"/>
      <c r="BJ44" s="43">
        <f>IF(IFERROR(_xlfn.XLOOKUP(Tableau1[[#This Row],[Isin]]&amp;1&amp;2022,#REF!,Tableau3[Capi]),"")="",Tableau1[[#This Row],[Capitalisation 2022
Manuel]],IFERROR(_xlfn.XLOOKUP(Tableau1[[#This Row],[Isin]]&amp;1&amp;2022,#REF!,Tableau3[Capi]),""))</f>
        <v>0</v>
      </c>
      <c r="BK44" s="43"/>
      <c r="BL44" s="43">
        <f ca="1">Tableau1[[#This Row],[Capitalisation boursière]]</f>
        <v>4354585000</v>
      </c>
      <c r="BM44" s="162" t="str" cm="1">
        <f t="array" aca="1" ref="BM44" ca="1">_FV(Tableau1[[#This Row],[Code Excel]],"Description")</f>
        <v>Amplifon SpA est une société basée en Italie, active dans le marché de la vente au détail de produits d’audition. La Société fournit des solutions personnalisées et un service client aux personnes malentendantes. Elle propose une large gamme de services allant du diagnostic des difficultés auditives à l’ajustement, au service et à la maintenance des appareils auditifs. La Société est organisée en trois secteurs d’exploitation géographiques: Europe, Moyen-Orient et Afrique - EMEA - (Italie, France, Pays-Bas, Allemagne, Royaume-Uni, Irlande, Espagne, Portugal, Suisse, Belgique, Luxembourg, Hongrie, Égypte et Turquie , Pologne et Israël), Amériques (États-Unis, Canada, Chili, Argentine, Équateur, Colombie, Panama et Mexique) et Asie-Pacifique (Australie, Nouvelle-Zélande, Inde et Chine).</v>
      </c>
      <c r="BN44" s="43"/>
      <c r="BO44" s="43"/>
      <c r="BP44" s="43"/>
      <c r="BQ44" s="43"/>
      <c r="BR44" s="4"/>
      <c r="BS44" s="21"/>
      <c r="BT44" s="13"/>
      <c r="BU44" s="13"/>
      <c r="BV44" s="13"/>
      <c r="BW44" s="3" t="s">
        <v>1179</v>
      </c>
      <c r="BX44" s="3"/>
      <c r="BY44" s="3" t="s">
        <v>977</v>
      </c>
      <c r="BZ44" s="47">
        <v>0.13900000000000001</v>
      </c>
      <c r="CA44" s="4"/>
      <c r="CC44" s="25"/>
      <c r="CD44" s="25"/>
    </row>
    <row r="45" spans="3:83">
      <c r="C45" s="43"/>
      <c r="D45" s="42">
        <f>IF(Tableau1[[#This Row],[Isin]]="",99,Tableau1[[#This Row],[Intérêt]]+Tableau1[[#This Row],[Valeur d''intérêt]]+Tableau1[[#This Row],[N° Portefeuille]])</f>
        <v>20</v>
      </c>
      <c r="E45" s="43"/>
      <c r="F45" s="42">
        <f>IF(Tableau1[[#This Row],[Portefeuille]]="p",0,Tableau1[[#This Row],[F. Investissement
Niveau d''intérêt]]*10)</f>
        <v>20</v>
      </c>
      <c r="G45" s="43">
        <f>IF(Tableau1[[#This Row],[Portefeuille]]="p",3,0)</f>
        <v>0</v>
      </c>
      <c r="H45" s="42">
        <v>2</v>
      </c>
      <c r="I45" s="43">
        <v>1</v>
      </c>
      <c r="J45" s="43" t="s">
        <v>4357</v>
      </c>
      <c r="K45" s="43"/>
      <c r="L45" s="16">
        <v>1</v>
      </c>
      <c r="M4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5" s="44" t="s">
        <v>1044</v>
      </c>
      <c r="O45" s="44" t="s">
        <v>4364</v>
      </c>
      <c r="P45" s="4" t="s">
        <v>84</v>
      </c>
      <c r="Q45" s="6" t="s">
        <v>85</v>
      </c>
      <c r="R45" s="6"/>
      <c r="S45" s="6" t="s">
        <v>1048</v>
      </c>
      <c r="T45" s="6" t="e" vm="34">
        <v>#VALUE!</v>
      </c>
      <c r="U45" s="46" cm="1">
        <f t="array" aca="1" ref="U45" ca="1">IFERROR(_FV(Tableau1[[#This Row],[Code Excel]],"Capitalisation boursière",TRUE),"")</f>
        <v>15211300000</v>
      </c>
      <c r="V45" s="4" t="str" cm="1">
        <f t="array" aca="1" ref="V45" ca="1">IFERROR(_FV(Tableau1[[#This Row],[Code Excel]],"Industrie"),"")</f>
        <v>Investment Banking &amp; Investment Services</v>
      </c>
      <c r="W45" s="4" t="s">
        <v>4335</v>
      </c>
      <c r="X45" s="4" t="str">
        <f ca="1">Tableau1[[#This Row],[Grand Secteur]]&amp;Tableau1[[#This Row],[Industrie]]</f>
        <v>FinanceInvestment Banking &amp; Investment Services</v>
      </c>
      <c r="Y45" s="23" cm="1">
        <f t="array" aca="1" ref="Y45" ca="1">IFERROR(_FV(Tableau1[[#This Row],[Code Excel]],"P/E",TRUE),"")</f>
        <v>11.2323</v>
      </c>
      <c r="Z45" s="43" cm="1">
        <f t="array" aca="1" ref="Z45" ca="1">IFERROR(_FV(Tableau1[[#This Row],[Code Excel]],"Employés"),"")</f>
        <v>5476</v>
      </c>
      <c r="AA45" s="54">
        <f ca="1">IFERROR(Tableau1[[#This Row],[Capitalisation boursière]]/Tableau1[[#This Row],[Employés]],"")</f>
        <v>2777812.2717311908</v>
      </c>
      <c r="AB45" s="5" t="str">
        <f>IFERROR(Tableau1[[#This Row],[REX (2021)]]/Tableau1[[#This Row],[CA 2024]],"")</f>
        <v/>
      </c>
      <c r="AC45" s="9" t="str">
        <f>IFERROR(_xlfn.XLOOKUP(Tableau1[[#This Row],[Isin]]&amp;1&amp;2021,#REF!,Tableau3[Résultat d''exploitation]),"")</f>
        <v/>
      </c>
      <c r="AD45" s="9" t="str">
        <f>IFERROR(_xlfn.XLOOKUP(Tableau1[[#This Row],[Isin]]&amp;1&amp;2019,#REF!,Tableau3[Chiffre d''affaires]),"")</f>
        <v/>
      </c>
      <c r="AE45" s="9" t="str">
        <f>IFERROR(_xlfn.XLOOKUP(Tableau1[[#This Row],[Isin]]&amp;1&amp;2024,#REF!,Tableau3[Chiffre d''affaires]),"")</f>
        <v/>
      </c>
      <c r="AF45" s="8" t="str">
        <f>IFERROR(IF((Tableau1[[#This Row],[CA 2024]]-Tableau1[[#This Row],[CA 2019]])/Tableau1[[#This Row],[CA 2019]]=-1,"",(Tableau1[[#This Row],[CA 2024]]-Tableau1[[#This Row],[CA 2019]])/Tableau1[[#This Row],[CA 2019]]),"")</f>
        <v/>
      </c>
      <c r="AG45" s="9" t="str">
        <f>IFERROR(_xlfn.XLOOKUP(Tableau1[[#This Row],[Isin]]&amp;1&amp;2021,#REF!,Tableau3[EBE]),"")</f>
        <v/>
      </c>
      <c r="AH45" s="9" t="str">
        <f>IFERROR(_xlfn.XLOOKUP(Tableau1[[#This Row],[Isin]]&amp;1&amp;2022,#REF!,Tableau3[EBE]),"")</f>
        <v/>
      </c>
      <c r="AI45" s="43" t="s">
        <v>4343</v>
      </c>
      <c r="AJ45" s="43" t="s">
        <v>4356</v>
      </c>
      <c r="AK45" s="43" t="s">
        <v>3149</v>
      </c>
      <c r="AL45" s="43" t="s">
        <v>3148</v>
      </c>
      <c r="AM45" s="43"/>
      <c r="AN45" s="9" t="str">
        <f>IFERROR(_xlfn.XLOOKUP(Tableau1[[#This Row],[Isin]]&amp;1&amp;2021,#REF!,Tableau3[Chiffre d''affaires]),"")</f>
        <v/>
      </c>
      <c r="AO45" s="43" cm="1">
        <f t="array" aca="1" ref="AO45" ca="1">_FV(Tableau1[[#This Row],[Code Excel]],"P/E",TRUE)</f>
        <v>11.2323</v>
      </c>
      <c r="AP45" s="43" t="str">
        <f>IFERROR(_xlfn.XLOOKUP(Tableau1[[#This Row],[Isin]]&amp;1&amp;2023,#REF!,Tableau3[Résultat Net (PdG)]),"")</f>
        <v/>
      </c>
      <c r="AQ45" s="43">
        <f>IF(IFERROR(_xlfn.XLOOKUP(Tableau1[[#This Row],[Isin]]&amp;1&amp;2022,#REF!,Tableau3[Résultat Net (PdG)]),"")="",Tableau1[[#This Row],[RN Groupe 2022
Manuel]],IFERROR(_xlfn.XLOOKUP(Tableau1[[#This Row],[Isin]]&amp;1&amp;2022,#REF!,Tableau3[Résultat Net (PdG)]),""))</f>
        <v>0</v>
      </c>
      <c r="AR45" s="43"/>
      <c r="AS45" s="43">
        <f>IF(IFERROR(_xlfn.XLOOKUP(Tableau1[[#This Row],[Isin]]&amp;1&amp;2021,#REF!,Tableau3[Résultat Net (PdG)]),"")="",Tableau1[[#This Row],[RN Groupe 2021
Manuel]],IFERROR(_xlfn.XLOOKUP(Tableau1[[#This Row],[Isin]]&amp;1&amp;2021,#REF!,Tableau3[Résultat Net (PdG)]),""))</f>
        <v>0</v>
      </c>
      <c r="AT45" s="43"/>
      <c r="AU45" s="43" t="str">
        <f>IFERROR(_xlfn.XLOOKUP(Tableau1[[#This Row],[Isin]]&amp;1&amp;2020,#REF!,Tableau3[Résultat Net (PdG)]),"")</f>
        <v/>
      </c>
      <c r="AV45" s="43" t="str">
        <f>IFERROR(_xlfn.XLOOKUP(Tableau1[[#This Row],[Isin]]&amp;1&amp;2019,#REF!,Tableau3[Résultat Net (PdG)]),"")</f>
        <v/>
      </c>
      <c r="AW45" s="43" t="str">
        <f>IFERROR(_xlfn.XLOOKUP(Tableau1[[#This Row],[Isin]]&amp;1&amp;2018,#REF!,Tableau3[Résultat Net (PdG)]),"")</f>
        <v/>
      </c>
      <c r="AX45" s="43" t="str">
        <f>IFERROR(_xlfn.XLOOKUP(Tableau1[[#This Row],[Isin]]&amp;1&amp;2017,#REF!,Tableau3[Résultat Net (PdG)]),"")</f>
        <v/>
      </c>
      <c r="AY45" s="43" t="str">
        <f>IFERROR(_xlfn.XLOOKUP(Tableau1[[#This Row],[Isin]]&amp;1&amp;2016,#REF!,Tableau3[Résultat Net (PdG)]),"")</f>
        <v/>
      </c>
      <c r="AZ45" s="137" t="str">
        <f ca="1">IFERROR(Tableau1[[#This Row],[Capitalisation boursière]]/Tableau1[[#This Row],[RN Groupe 2023]],"")</f>
        <v/>
      </c>
      <c r="BA45" s="4" t="str" cm="1">
        <f t="array" aca="1" ref="BA45" ca="1">IFERROR(_FV(Tableau1[[#This Row],[Code Excel]],"Industrie"),"")</f>
        <v>Investment Banking &amp; Investment Services</v>
      </c>
      <c r="BB45" s="43" t="s">
        <v>3477</v>
      </c>
      <c r="BC45" s="43" t="str">
        <f>IFERROR(_xlfn.XLOOKUP(Tableau1[[#This Row],[Isin]]&amp;1&amp;2016,#REF!,Tableau3[Capi]),"")</f>
        <v/>
      </c>
      <c r="BD45" s="43" t="str">
        <f>IFERROR(_xlfn.XLOOKUP(Tableau1[[#This Row],[Isin]]&amp;1&amp;2017,#REF!,Tableau3[Capi]),"")</f>
        <v/>
      </c>
      <c r="BE45" s="43" t="str">
        <f>IFERROR(_xlfn.XLOOKUP(Tableau1[[#This Row],[Isin]]&amp;1&amp;2018,#REF!,Tableau3[Capi]),"")</f>
        <v/>
      </c>
      <c r="BF45" s="43" t="str">
        <f>IFERROR(_xlfn.XLOOKUP(Tableau1[[#This Row],[Isin]]&amp;1&amp;2019,#REF!,Tableau3[Capi]),"")</f>
        <v/>
      </c>
      <c r="BG45" s="43" t="str">
        <f>IFERROR(_xlfn.XLOOKUP(Tableau1[[#This Row],[Isin]]&amp;1&amp;2020,#REF!,Tableau3[Capi]),"")</f>
        <v/>
      </c>
      <c r="BH45" s="43">
        <f>IF(IFERROR(_xlfn.XLOOKUP(Tableau1[[#This Row],[Isin]]&amp;1&amp;2021,#REF!,Tableau3[Capi]),"")="",Tableau1[[#This Row],[Capitalisation 2021
Manuel]],IFERROR(_xlfn.XLOOKUP(Tableau1[[#This Row],[Isin]]&amp;1&amp;2021,#REF!,Tableau3[Capi]),""))</f>
        <v>0</v>
      </c>
      <c r="BI45" s="43"/>
      <c r="BJ45" s="43">
        <f>IF(IFERROR(_xlfn.XLOOKUP(Tableau1[[#This Row],[Isin]]&amp;1&amp;2022,#REF!,Tableau3[Capi]),"")="",Tableau1[[#This Row],[Capitalisation 2022
Manuel]],IFERROR(_xlfn.XLOOKUP(Tableau1[[#This Row],[Isin]]&amp;1&amp;2022,#REF!,Tableau3[Capi]),""))</f>
        <v>0</v>
      </c>
      <c r="BK45" s="43"/>
      <c r="BL45" s="43">
        <f ca="1">Tableau1[[#This Row],[Capitalisation boursière]]</f>
        <v>15211300000</v>
      </c>
      <c r="BM45" s="162" t="str" cm="1">
        <f t="array" aca="1" ref="BM45" ca="1">_FV(Tableau1[[#This Row],[Code Excel]],"Description")</f>
        <v>Amundi SA est une société basée en France, qui opère dans le domaine de la gestion d'actifs. La Société offre ses services aux particuliers, aux institutionnels et aux entreprises, avec un large éventail de stratégies et de contacts afin d'accompagner ses clients dans leurs investissements. Son offre produit concerne toutes les classes d'actifs, telles que la gestion active, qui comprend les actions, les obligations et le multi-actifs ; la gestion passive, qui englobe les fonds négociés en bourse, les fonds indiciels et le Smart Beta ; les actifs réels et alternatifs, qui comprennent l'immobilier, la dette privée, les fonds d'infrastructure et le capital-investissement, ainsi que la gestion de trésorerie et les produits structurés, entre autres. La ligne métier Amundi Services propose aux sociétés de gestion et aux investisseurs institutionnels des services de gestion et d'administration de fonds, d'accès au marché et de domiciliation de fonds. La Société est active en Europe, au Moyen-Orient, en Asie-Pacifique et en Amérique.</v>
      </c>
      <c r="BN45" s="43"/>
      <c r="BO45" s="43"/>
      <c r="BP45" s="43"/>
      <c r="BQ45" s="43"/>
      <c r="BR45" s="4"/>
      <c r="BS45" s="21"/>
      <c r="BT45" s="13"/>
      <c r="BU45" s="13"/>
      <c r="BV45" s="13"/>
      <c r="BW45" s="3" t="s">
        <v>977</v>
      </c>
      <c r="BX45" s="3"/>
      <c r="BY45" s="3" t="s">
        <v>1627</v>
      </c>
      <c r="BZ45" s="47"/>
      <c r="CA45" s="47"/>
      <c r="CC45" s="25"/>
      <c r="CD45" s="25"/>
    </row>
    <row r="46" spans="3:83">
      <c r="C46" s="42"/>
      <c r="D46" s="42">
        <f>IF(Tableau1[[#This Row],[Isin]]="",99,Tableau1[[#This Row],[Intérêt]]+Tableau1[[#This Row],[Valeur d''intérêt]]+Tableau1[[#This Row],[N° Portefeuille]])</f>
        <v>30</v>
      </c>
      <c r="E46" s="42"/>
      <c r="F46" s="42">
        <f>IF(Tableau1[[#This Row],[Portefeuille]]="p",0,Tableau1[[#This Row],[F. Investissement
Niveau d''intérêt]]*10)</f>
        <v>30</v>
      </c>
      <c r="G46" s="42">
        <f>IF(Tableau1[[#This Row],[Portefeuille]]="p",3,0)</f>
        <v>0</v>
      </c>
      <c r="H46" s="42">
        <v>3</v>
      </c>
      <c r="I46" s="42">
        <v>4</v>
      </c>
      <c r="J46" s="42"/>
      <c r="K46" s="43"/>
      <c r="L46" s="16">
        <v>0</v>
      </c>
      <c r="M4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6" s="44" t="s">
        <v>3569</v>
      </c>
      <c r="O46" s="45"/>
      <c r="P46" s="4" t="s">
        <v>452</v>
      </c>
      <c r="Q46" s="4"/>
      <c r="R46" s="6"/>
      <c r="S46" s="6" t="s">
        <v>3570</v>
      </c>
      <c r="T46" s="6" t="e" vm="35">
        <v>#VALUE!</v>
      </c>
      <c r="U46" s="46" cm="1">
        <f t="array" aca="1" ref="U46" ca="1">IFERROR(_FV(Tableau1[[#This Row],[Code Excel]],"Capitalisation boursière",TRUE),"")</f>
        <v>103485600000</v>
      </c>
      <c r="V46" s="4" t="str" cm="1">
        <f t="array" aca="1" ref="V46" ca="1">IFERROR(_FV(Tableau1[[#This Row],[Code Excel]],"Industrie"),"")</f>
        <v>Beverages</v>
      </c>
      <c r="W46" s="4" t="s">
        <v>1315</v>
      </c>
      <c r="X46" s="4" t="str">
        <f ca="1">Tableau1[[#This Row],[Grand Secteur]]&amp;Tableau1[[#This Row],[Industrie]]</f>
        <v>Biens de consommationBeverages</v>
      </c>
      <c r="Y46" s="23" cm="1">
        <f t="array" aca="1" ref="Y46" ca="1">IFERROR(_FV(Tableau1[[#This Row],[Code Excel]],"P/E",TRUE),"")</f>
        <v>20.471699999999998</v>
      </c>
      <c r="Z46" s="43" cm="1">
        <f t="array" aca="1" ref="Z46" ca="1">IFERROR(_FV(Tableau1[[#This Row],[Code Excel]],"Employés"),"")</f>
        <v>143885</v>
      </c>
      <c r="AA46" s="46">
        <f ca="1">IFERROR(Tableau1[[#This Row],[Capitalisation boursière]]/Tableau1[[#This Row],[Employés]],"")</f>
        <v>719224.38058171456</v>
      </c>
      <c r="AB46" s="5" t="str">
        <f>IFERROR(Tableau1[[#This Row],[REX (2021)]]/Tableau1[[#This Row],[CA 2024]],"")</f>
        <v/>
      </c>
      <c r="AC46" s="9" t="str">
        <f>IFERROR(_xlfn.XLOOKUP(Tableau1[[#This Row],[Isin]]&amp;1&amp;2021,#REF!,Tableau3[Résultat d''exploitation]),"")</f>
        <v/>
      </c>
      <c r="AD46" s="9" t="str">
        <f>IFERROR(_xlfn.XLOOKUP(Tableau1[[#This Row],[Isin]]&amp;1&amp;2019,#REF!,Tableau3[Chiffre d''affaires]),"")</f>
        <v/>
      </c>
      <c r="AE46" s="9" t="str">
        <f>IFERROR(_xlfn.XLOOKUP(Tableau1[[#This Row],[Isin]]&amp;1&amp;2024,#REF!,Tableau3[Chiffre d''affaires]),"")</f>
        <v/>
      </c>
      <c r="AF46" s="8" t="str">
        <f>IFERROR(IF((Tableau1[[#This Row],[CA 2024]]-Tableau1[[#This Row],[CA 2019]])/Tableau1[[#This Row],[CA 2019]]=-1,"",(Tableau1[[#This Row],[CA 2024]]-Tableau1[[#This Row],[CA 2019]])/Tableau1[[#This Row],[CA 2019]]),"")</f>
        <v/>
      </c>
      <c r="AG46" s="9" t="str">
        <f>IFERROR(_xlfn.XLOOKUP(Tableau1[[#This Row],[Isin]]&amp;1&amp;2021,#REF!,Tableau3[EBE]),"")</f>
        <v/>
      </c>
      <c r="AH46" s="9" t="str">
        <f>IFERROR(_xlfn.XLOOKUP(Tableau1[[#This Row],[Isin]]&amp;1&amp;2022,#REF!,Tableau3[EBE]),"")</f>
        <v/>
      </c>
      <c r="AI46" s="43" t="s">
        <v>3431</v>
      </c>
      <c r="AJ46" s="43" t="s">
        <v>4322</v>
      </c>
      <c r="AK46" s="43" t="s">
        <v>3148</v>
      </c>
      <c r="AL46" s="43"/>
      <c r="AM46" s="43"/>
      <c r="AN46" s="9" t="str">
        <f>IFERROR(_xlfn.XLOOKUP(Tableau1[[#This Row],[Isin]]&amp;1&amp;2021,#REF!,Tableau3[Chiffre d''affaires]),"")</f>
        <v/>
      </c>
      <c r="AO46" s="43" cm="1">
        <f t="array" aca="1" ref="AO46" ca="1">_FV(Tableau1[[#This Row],[Code Excel]],"P/E",TRUE)</f>
        <v>20.471699999999998</v>
      </c>
      <c r="AP46" s="43" t="str">
        <f>IFERROR(_xlfn.XLOOKUP(Tableau1[[#This Row],[Isin]]&amp;1&amp;2023,#REF!,Tableau3[Résultat Net (PdG)]),"")</f>
        <v/>
      </c>
      <c r="AQ46" s="43">
        <f>IF(IFERROR(_xlfn.XLOOKUP(Tableau1[[#This Row],[Isin]]&amp;1&amp;2022,#REF!,Tableau3[Résultat Net (PdG)]),"")="",Tableau1[[#This Row],[RN Groupe 2022
Manuel]],IFERROR(_xlfn.XLOOKUP(Tableau1[[#This Row],[Isin]]&amp;1&amp;2022,#REF!,Tableau3[Résultat Net (PdG)]),""))</f>
        <v>0</v>
      </c>
      <c r="AR46" s="43"/>
      <c r="AS46" s="43">
        <f>IF(IFERROR(_xlfn.XLOOKUP(Tableau1[[#This Row],[Isin]]&amp;1&amp;2021,#REF!,Tableau3[Résultat Net (PdG)]),"")="",Tableau1[[#This Row],[RN Groupe 2021
Manuel]],IFERROR(_xlfn.XLOOKUP(Tableau1[[#This Row],[Isin]]&amp;1&amp;2021,#REF!,Tableau3[Résultat Net (PdG)]),""))</f>
        <v>0</v>
      </c>
      <c r="AT46" s="43"/>
      <c r="AU46" s="43" t="str">
        <f>IFERROR(_xlfn.XLOOKUP(Tableau1[[#This Row],[Isin]]&amp;1&amp;2020,#REF!,Tableau3[Résultat Net (PdG)]),"")</f>
        <v/>
      </c>
      <c r="AV46" s="43" t="str">
        <f>IFERROR(_xlfn.XLOOKUP(Tableau1[[#This Row],[Isin]]&amp;1&amp;2019,#REF!,Tableau3[Résultat Net (PdG)]),"")</f>
        <v/>
      </c>
      <c r="AW46" s="43" t="str">
        <f>IFERROR(_xlfn.XLOOKUP(Tableau1[[#This Row],[Isin]]&amp;1&amp;2018,#REF!,Tableau3[Résultat Net (PdG)]),"")</f>
        <v/>
      </c>
      <c r="AX46" s="43" t="str">
        <f>IFERROR(_xlfn.XLOOKUP(Tableau1[[#This Row],[Isin]]&amp;1&amp;2017,#REF!,Tableau3[Résultat Net (PdG)]),"")</f>
        <v/>
      </c>
      <c r="AY46" s="43" t="str">
        <f>IFERROR(_xlfn.XLOOKUP(Tableau1[[#This Row],[Isin]]&amp;1&amp;2016,#REF!,Tableau3[Résultat Net (PdG)]),"")</f>
        <v/>
      </c>
      <c r="AZ46" s="137" t="str">
        <f ca="1">IFERROR(Tableau1[[#This Row],[Capitalisation boursière]]/Tableau1[[#This Row],[RN Groupe 2023]],"")</f>
        <v/>
      </c>
      <c r="BA46" s="4" t="str" cm="1">
        <f t="array" aca="1" ref="BA46" ca="1">IFERROR(_FV(Tableau1[[#This Row],[Code Excel]],"Industrie"),"")</f>
        <v>Beverages</v>
      </c>
      <c r="BB46" s="43" t="s">
        <v>3482</v>
      </c>
      <c r="BC46" s="43" t="str">
        <f>IFERROR(_xlfn.XLOOKUP(Tableau1[[#This Row],[Isin]]&amp;1&amp;2016,#REF!,Tableau3[Capi]),"")</f>
        <v/>
      </c>
      <c r="BD46" s="43" t="str">
        <f>IFERROR(_xlfn.XLOOKUP(Tableau1[[#This Row],[Isin]]&amp;1&amp;2017,#REF!,Tableau3[Capi]),"")</f>
        <v/>
      </c>
      <c r="BE46" s="43" t="str">
        <f>IFERROR(_xlfn.XLOOKUP(Tableau1[[#This Row],[Isin]]&amp;1&amp;2018,#REF!,Tableau3[Capi]),"")</f>
        <v/>
      </c>
      <c r="BF46" s="43" t="str">
        <f>IFERROR(_xlfn.XLOOKUP(Tableau1[[#This Row],[Isin]]&amp;1&amp;2019,#REF!,Tableau3[Capi]),"")</f>
        <v/>
      </c>
      <c r="BG46" s="43" t="str">
        <f>IFERROR(_xlfn.XLOOKUP(Tableau1[[#This Row],[Isin]]&amp;1&amp;2020,#REF!,Tableau3[Capi]),"")</f>
        <v/>
      </c>
      <c r="BH46" s="43">
        <f>IF(IFERROR(_xlfn.XLOOKUP(Tableau1[[#This Row],[Isin]]&amp;1&amp;2021,#REF!,Tableau3[Capi]),"")="",Tableau1[[#This Row],[Capitalisation 2021
Manuel]],IFERROR(_xlfn.XLOOKUP(Tableau1[[#This Row],[Isin]]&amp;1&amp;2021,#REF!,Tableau3[Capi]),""))</f>
        <v>0</v>
      </c>
      <c r="BI46" s="43"/>
      <c r="BJ46" s="43">
        <f>IF(IFERROR(_xlfn.XLOOKUP(Tableau1[[#This Row],[Isin]]&amp;1&amp;2022,#REF!,Tableau3[Capi]),"")="",Tableau1[[#This Row],[Capitalisation 2022
Manuel]],IFERROR(_xlfn.XLOOKUP(Tableau1[[#This Row],[Isin]]&amp;1&amp;2022,#REF!,Tableau3[Capi]),""))</f>
        <v>0</v>
      </c>
      <c r="BK46" s="43"/>
      <c r="BL46" s="43">
        <f ca="1">Tableau1[[#This Row],[Capitalisation boursière]]</f>
        <v>103485600000</v>
      </c>
      <c r="BM46" s="162" t="str" cm="1">
        <f t="array" aca="1" ref="BM46" ca="1">_FV(Tableau1[[#This Row],[Code Excel]],"Description")</f>
        <v>Anheuser-Busch Inbev sa est une société basée en Belgique. La Société est principalement engagée dans la fabrication de bière. La société opère dans six segments : Amérique du Nord, Amérique du Sud, Amérique du Sud, EMEA, Asie Pacifique, global Export et Holding sociétés. Le portefeuille de marques de la Société comprend des marques mondiales, telles que Budweiser, Corona et Stella Artois ; des marques internationales, notamment Beck's, Leffe et Hoegaarden, et des champions locaux, tels que Bud Light, Skol, Brahma, Antarctique, Quilmes, Victoria, Modelo Especial, Michelob Ultra, Harbin, Sedrin, Klinskoye, Sibirskaya Korona, Chernigivske, Cass et Jupiler. Les activités de boissons gazeuses de la Société consistent à la fois en sa propre production et en des ententes avec PepsiCo relatives à la mise en bouteille et aux ententes de distribution entre ses diverses filiales et PepsiCo. AmBev, filiale de la société, est embouteilleur de PepsiCo. Les marques distribuées dans le cadre de ces accords sont Pepsi, 7UP et Gatorade.</v>
      </c>
      <c r="BN46" s="43"/>
      <c r="BO46" s="43"/>
      <c r="BP46" s="43"/>
      <c r="BQ46" s="43"/>
      <c r="BR46" s="4"/>
      <c r="BS46" s="21"/>
      <c r="BT46" s="13"/>
      <c r="BU46" s="13"/>
      <c r="BV46" s="13"/>
      <c r="BW46" s="3" t="s">
        <v>3282</v>
      </c>
      <c r="BX46" s="3"/>
      <c r="BY46" s="3" t="s">
        <v>2418</v>
      </c>
      <c r="BZ46" s="47"/>
      <c r="CA46" s="47"/>
      <c r="CC46" s="25"/>
      <c r="CD46" s="25"/>
    </row>
    <row r="47" spans="3:83">
      <c r="C47" s="43"/>
      <c r="D47" s="42">
        <f>IF(Tableau1[[#This Row],[Isin]]="",99,Tableau1[[#This Row],[Intérêt]]+Tableau1[[#This Row],[Valeur d''intérêt]]+Tableau1[[#This Row],[N° Portefeuille]])</f>
        <v>0</v>
      </c>
      <c r="E47" s="43"/>
      <c r="F47" s="42">
        <f>IF(Tableau1[[#This Row],[Portefeuille]]="p",0,Tableau1[[#This Row],[F. Investissement
Niveau d''intérêt]]*10)</f>
        <v>0</v>
      </c>
      <c r="G47" s="43">
        <f>IF(Tableau1[[#This Row],[Portefeuille]]="p",3,0)</f>
        <v>0</v>
      </c>
      <c r="H47" s="42"/>
      <c r="I47" s="43"/>
      <c r="J47" s="43"/>
      <c r="K47" s="43"/>
      <c r="L47" s="16"/>
      <c r="M4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7" s="44" t="s">
        <v>3573</v>
      </c>
      <c r="O47" s="68"/>
      <c r="P47" s="4"/>
      <c r="Q47" s="4"/>
      <c r="R47" s="6"/>
      <c r="S47" s="6" t="s">
        <v>3574</v>
      </c>
      <c r="T47" s="6" t="e" vm="36">
        <v>#VALUE!</v>
      </c>
      <c r="U47" s="46" cm="1">
        <f t="array" aca="1" ref="U47" ca="1">IFERROR(_FV(Tableau1[[#This Row],[Code Excel]],"Capitalisation boursière",TRUE),"")</f>
        <v>1920952000</v>
      </c>
      <c r="V47" s="4" t="str" cm="1">
        <f t="array" aca="1" ref="V47" ca="1">IFERROR(_FV(Tableau1[[#This Row],[Code Excel]],"Industrie"),"")</f>
        <v>Investment Banking &amp; Investment Services</v>
      </c>
      <c r="X47" s="4" t="str">
        <f ca="1">Tableau1[[#This Row],[Grand Secteur]]&amp;Tableau1[[#This Row],[Industrie]]</f>
        <v>Investment Banking &amp; Investment Services</v>
      </c>
      <c r="Y47" s="65" cm="1">
        <f t="array" aca="1" ref="Y47" ca="1">IFERROR(_FV(Tableau1[[#This Row],[Code Excel]],"P/E",TRUE),"")</f>
        <v>14.270200000000001</v>
      </c>
      <c r="Z47" s="43" cm="1">
        <f t="array" aca="1" ref="Z47" ca="1">IFERROR(_FV(Tableau1[[#This Row],[Code Excel]],"Employés"),"")</f>
        <v>241</v>
      </c>
      <c r="AA47" s="49">
        <f ca="1">IFERROR(Tableau1[[#This Row],[Capitalisation boursière]]/Tableau1[[#This Row],[Employés]],"")</f>
        <v>7970755.1867219917</v>
      </c>
      <c r="AB47" s="5" t="str">
        <f>IFERROR(Tableau1[[#This Row],[REX (2021)]]/Tableau1[[#This Row],[CA 2024]],"")</f>
        <v/>
      </c>
      <c r="AC47" s="43" t="str">
        <f>IFERROR(_xlfn.XLOOKUP(Tableau1[[#This Row],[Isin]]&amp;1&amp;2021,#REF!,Tableau3[Résultat d''exploitation]),"")</f>
        <v/>
      </c>
      <c r="AD47" s="43" t="str">
        <f>IFERROR(_xlfn.XLOOKUP(Tableau1[[#This Row],[Isin]]&amp;1&amp;2019,#REF!,Tableau3[Chiffre d''affaires]),"")</f>
        <v/>
      </c>
      <c r="AE47" s="43" t="str">
        <f>IFERROR(_xlfn.XLOOKUP(Tableau1[[#This Row],[Isin]]&amp;1&amp;2024,#REF!,Tableau3[Chiffre d''affaires]),"")</f>
        <v/>
      </c>
      <c r="AF47" s="297" t="str">
        <f>IFERROR(IF((Tableau1[[#This Row],[CA 2024]]-Tableau1[[#This Row],[CA 2019]])/Tableau1[[#This Row],[CA 2019]]=-1,"",(Tableau1[[#This Row],[CA 2024]]-Tableau1[[#This Row],[CA 2019]])/Tableau1[[#This Row],[CA 2019]]),"")</f>
        <v/>
      </c>
      <c r="AG47" s="9" t="str">
        <f>IFERROR(_xlfn.XLOOKUP(Tableau1[[#This Row],[Isin]]&amp;1&amp;2021,#REF!,Tableau3[EBE]),"")</f>
        <v/>
      </c>
      <c r="AH47" s="9" t="str">
        <f>IFERROR(_xlfn.XLOOKUP(Tableau1[[#This Row],[Isin]]&amp;1&amp;2022,#REF!,Tableau3[EBE]),"")</f>
        <v/>
      </c>
      <c r="AI47" s="43"/>
      <c r="AJ47" s="43"/>
      <c r="AK47" s="43"/>
      <c r="AL47" s="43"/>
      <c r="AM47" s="43"/>
      <c r="AN47" s="43" t="str">
        <f>IFERROR(_xlfn.XLOOKUP(Tableau1[[#This Row],[Isin]]&amp;1&amp;2021,#REF!,Tableau3[Chiffre d''affaires]),"")</f>
        <v/>
      </c>
      <c r="AO47" s="43" cm="1">
        <f t="array" aca="1" ref="AO47" ca="1">_FV(Tableau1[[#This Row],[Code Excel]],"P/E",TRUE)</f>
        <v>14.270200000000001</v>
      </c>
      <c r="AP47" s="43" t="str">
        <f>IFERROR(_xlfn.XLOOKUP(Tableau1[[#This Row],[Isin]]&amp;1&amp;2023,#REF!,Tableau3[Résultat Net (PdG)]),"")</f>
        <v/>
      </c>
      <c r="AQ47" s="43">
        <f>IF(IFERROR(_xlfn.XLOOKUP(Tableau1[[#This Row],[Isin]]&amp;1&amp;2022,#REF!,Tableau3[Résultat Net (PdG)]),"")="",Tableau1[[#This Row],[RN Groupe 2022
Manuel]],IFERROR(_xlfn.XLOOKUP(Tableau1[[#This Row],[Isin]]&amp;1&amp;2022,#REF!,Tableau3[Résultat Net (PdG)]),""))</f>
        <v>0</v>
      </c>
      <c r="AR47" s="43"/>
      <c r="AS47" s="43">
        <f>IF(IFERROR(_xlfn.XLOOKUP(Tableau1[[#This Row],[Isin]]&amp;1&amp;2021,#REF!,Tableau3[Résultat Net (PdG)]),"")="",Tableau1[[#This Row],[RN Groupe 2021
Manuel]],IFERROR(_xlfn.XLOOKUP(Tableau1[[#This Row],[Isin]]&amp;1&amp;2021,#REF!,Tableau3[Résultat Net (PdG)]),""))</f>
        <v>0</v>
      </c>
      <c r="AT47" s="43"/>
      <c r="AU47" s="43"/>
      <c r="AV47" s="43"/>
      <c r="AW47" s="43"/>
      <c r="AX47" s="43"/>
      <c r="AY47" s="43" t="str">
        <f>IFERROR(_xlfn.XLOOKUP(Tableau1[[#This Row],[Isin]]&amp;1&amp;2016,#REF!,Tableau3[Résultat Net (PdG)]),"")</f>
        <v/>
      </c>
      <c r="AZ47" s="137" t="str">
        <f ca="1">IFERROR(Tableau1[[#This Row],[Capitalisation boursière]]/Tableau1[[#This Row],[RN Groupe 2023]],"")</f>
        <v/>
      </c>
      <c r="BA47" s="43" t="str" cm="1">
        <f t="array" aca="1" ref="BA47" ca="1">IFERROR(_FV(Tableau1[[#This Row],[Code Excel]],"Industrie"),"")</f>
        <v>Investment Banking &amp; Investment Services</v>
      </c>
      <c r="BB47" s="43"/>
      <c r="BC47" s="43" t="str">
        <f>IFERROR(_xlfn.XLOOKUP(Tableau1[[#This Row],[Isin]]&amp;1&amp;2016,#REF!,Tableau3[Capi]),"")</f>
        <v/>
      </c>
      <c r="BD47" s="43" t="str">
        <f>IFERROR(_xlfn.XLOOKUP(Tableau1[[#This Row],[Isin]]&amp;1&amp;2017,#REF!,Tableau3[Capi]),"")</f>
        <v/>
      </c>
      <c r="BE47" s="43" t="str">
        <f>IFERROR(_xlfn.XLOOKUP(Tableau1[[#This Row],[Isin]]&amp;1&amp;2018,#REF!,Tableau3[Capi]),"")</f>
        <v/>
      </c>
      <c r="BF47" s="43" t="str">
        <f>IFERROR(_xlfn.XLOOKUP(Tableau1[[#This Row],[Isin]]&amp;1&amp;2019,#REF!,Tableau3[Capi]),"")</f>
        <v/>
      </c>
      <c r="BG47" s="43" t="str">
        <f>IFERROR(_xlfn.XLOOKUP(Tableau1[[#This Row],[Isin]]&amp;1&amp;2020,#REF!,Tableau3[Capi]),"")</f>
        <v/>
      </c>
      <c r="BH47" s="43">
        <f>IF(IFERROR(_xlfn.XLOOKUP(Tableau1[[#This Row],[Isin]]&amp;1&amp;2021,#REF!,Tableau3[Capi]),"")="",Tableau1[[#This Row],[Capitalisation 2021
Manuel]],IFERROR(_xlfn.XLOOKUP(Tableau1[[#This Row],[Isin]]&amp;1&amp;2021,#REF!,Tableau3[Capi]),""))</f>
        <v>0</v>
      </c>
      <c r="BI47" s="43"/>
      <c r="BJ47" s="43">
        <f>IF(IFERROR(_xlfn.XLOOKUP(Tableau1[[#This Row],[Isin]]&amp;1&amp;2022,#REF!,Tableau3[Capi]),"")="",Tableau1[[#This Row],[Capitalisation 2022
Manuel]],IFERROR(_xlfn.XLOOKUP(Tableau1[[#This Row],[Isin]]&amp;1&amp;2022,#REF!,Tableau3[Capi]),""))</f>
        <v>0</v>
      </c>
      <c r="BK47" s="43"/>
      <c r="BL47" s="43">
        <f ca="1">Tableau1[[#This Row],[Capitalisation boursière]]</f>
        <v>1920952000</v>
      </c>
      <c r="BM47" s="162" t="str" cm="1">
        <f t="array" aca="1" ref="BM47" ca="1">_FV(Tableau1[[#This Row],[Code Excel]],"Description")</f>
        <v>Antin Infrastructure Partners SAS est une société de capital-investissement Française spécialisée dans la gestion de fonds d’investissement. Le Cabinet se concentre sur les entreprises d’infrastructure opérant dans les secteurs de l’énergie et de l’environnement, des télécommunications, des transports et de l’infrastructure sociale. Il génère des rendements ajustés au risque pour les investisseurs grâce à une combinaison d’appréciation du capital et de rendement en espèces.</v>
      </c>
      <c r="BN47" s="43"/>
      <c r="BO47" s="43"/>
      <c r="BP47" s="43"/>
      <c r="BQ47" s="43"/>
      <c r="BR47" s="4"/>
      <c r="BS47" s="21"/>
      <c r="BT47" s="13"/>
      <c r="BU47" s="13"/>
      <c r="BV47" s="13"/>
      <c r="BW47" s="3" t="s">
        <v>1394</v>
      </c>
      <c r="BX47" s="3"/>
      <c r="BY47" s="3" t="s">
        <v>4365</v>
      </c>
      <c r="BZ47" s="47"/>
      <c r="CA47" s="47"/>
      <c r="CB47" s="50"/>
      <c r="CC47" s="25"/>
      <c r="CD47" s="25"/>
    </row>
    <row r="48" spans="3:83">
      <c r="C48" s="43"/>
      <c r="D48" s="42">
        <f>IF(Tableau1[[#This Row],[Isin]]="",99,Tableau1[[#This Row],[Intérêt]]+Tableau1[[#This Row],[Valeur d''intérêt]]+Tableau1[[#This Row],[N° Portefeuille]])</f>
        <v>30</v>
      </c>
      <c r="E48" s="43"/>
      <c r="F48" s="42">
        <f>IF(Tableau1[[#This Row],[Portefeuille]]="p",0,Tableau1[[#This Row],[F. Investissement
Niveau d''intérêt]]*10)</f>
        <v>30</v>
      </c>
      <c r="G48" s="43">
        <f>IF(Tableau1[[#This Row],[Portefeuille]]="p",3,0)</f>
        <v>0</v>
      </c>
      <c r="H48" s="43">
        <v>3</v>
      </c>
      <c r="I48" s="43">
        <v>4</v>
      </c>
      <c r="J48" s="43"/>
      <c r="K48" s="43"/>
      <c r="L48" s="16">
        <v>0</v>
      </c>
      <c r="M4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8" s="44" t="s">
        <v>3576</v>
      </c>
      <c r="O48" s="45"/>
      <c r="P48" s="4" t="s">
        <v>427</v>
      </c>
      <c r="Q48" s="4"/>
      <c r="R48" s="6"/>
      <c r="S48" s="6" t="s">
        <v>3577</v>
      </c>
      <c r="T48" s="6" t="e" vm="37">
        <v>#VALUE!</v>
      </c>
      <c r="U48" s="46" cm="1">
        <f t="array" aca="1" ref="U48" ca="1">IFERROR(_FV(Tableau1[[#This Row],[Code Excel]],"Capitalisation boursière",TRUE),"")</f>
        <v>2218956000</v>
      </c>
      <c r="V48" s="4" t="str" cm="1">
        <f t="array" aca="1" ref="V48" ca="1">IFERROR(_FV(Tableau1[[#This Row],[Code Excel]],"Industrie"),"")</f>
        <v>Metals &amp; Mining</v>
      </c>
      <c r="W48" s="4" t="s">
        <v>4366</v>
      </c>
      <c r="X48" s="4" t="str">
        <f ca="1">Tableau1[[#This Row],[Grand Secteur]]&amp;Tableau1[[#This Row],[Industrie]]</f>
        <v>Matières PremièresMetals &amp; Mining</v>
      </c>
      <c r="Y48" s="23" cm="1">
        <f t="array" aca="1" ref="Y48" ca="1">IFERROR(_FV(Tableau1[[#This Row],[Code Excel]],"P/E",TRUE),"")</f>
        <v>9.4749999999999996</v>
      </c>
      <c r="Z48" s="43" cm="1">
        <f t="array" aca="1" ref="Z48" ca="1">IFERROR(_FV(Tableau1[[#This Row],[Code Excel]],"Employés"),"")</f>
        <v>11600</v>
      </c>
      <c r="AA48" s="49">
        <f ca="1">IFERROR(Tableau1[[#This Row],[Capitalisation boursière]]/Tableau1[[#This Row],[Employés]],"")</f>
        <v>191289.31034482759</v>
      </c>
      <c r="AB48" s="5" t="str">
        <f>IFERROR(Tableau1[[#This Row],[REX (2021)]]/Tableau1[[#This Row],[CA 2024]],"")</f>
        <v/>
      </c>
      <c r="AC48" s="9" t="str">
        <f>IFERROR(_xlfn.XLOOKUP(Tableau1[[#This Row],[Isin]]&amp;1&amp;2021,#REF!,Tableau3[Résultat d''exploitation]),"")</f>
        <v/>
      </c>
      <c r="AD48" s="9" t="str">
        <f>IFERROR(_xlfn.XLOOKUP(Tableau1[[#This Row],[Isin]]&amp;1&amp;2019,#REF!,Tableau3[Chiffre d''affaires]),"")</f>
        <v/>
      </c>
      <c r="AE48" s="9" t="str">
        <f>IFERROR(_xlfn.XLOOKUP(Tableau1[[#This Row],[Isin]]&amp;1&amp;2024,#REF!,Tableau3[Chiffre d''affaires]),"")</f>
        <v/>
      </c>
      <c r="AF48" s="8" t="str">
        <f>IFERROR(IF((Tableau1[[#This Row],[CA 2024]]-Tableau1[[#This Row],[CA 2019]])/Tableau1[[#This Row],[CA 2019]]=-1,"",(Tableau1[[#This Row],[CA 2024]]-Tableau1[[#This Row],[CA 2019]])/Tableau1[[#This Row],[CA 2019]]),"")</f>
        <v/>
      </c>
      <c r="AG48" s="9" t="str">
        <f>IFERROR(_xlfn.XLOOKUP(Tableau1[[#This Row],[Isin]]&amp;1&amp;2021,#REF!,Tableau3[EBE]),"")</f>
        <v/>
      </c>
      <c r="AH48" s="9" t="str">
        <f>IFERROR(_xlfn.XLOOKUP(Tableau1[[#This Row],[Isin]]&amp;1&amp;2022,#REF!,Tableau3[EBE]),"")</f>
        <v/>
      </c>
      <c r="AI48" s="43" t="s">
        <v>4329</v>
      </c>
      <c r="AJ48" s="43" t="s">
        <v>4322</v>
      </c>
      <c r="AK48" s="43" t="s">
        <v>3431</v>
      </c>
      <c r="AL48" s="43"/>
      <c r="AM48" s="43"/>
      <c r="AN48" s="9" t="str">
        <f>IFERROR(_xlfn.XLOOKUP(Tableau1[[#This Row],[Isin]]&amp;1&amp;2021,#REF!,Tableau3[Chiffre d''affaires]),"")</f>
        <v/>
      </c>
      <c r="AO48" s="43" cm="1">
        <f t="array" aca="1" ref="AO48" ca="1">_FV(Tableau1[[#This Row],[Code Excel]],"P/E",TRUE)</f>
        <v>9.4749999999999996</v>
      </c>
      <c r="AP48" s="43" t="str">
        <f>IFERROR(_xlfn.XLOOKUP(Tableau1[[#This Row],[Isin]]&amp;1&amp;2023,#REF!,Tableau3[Résultat Net (PdG)]),"")</f>
        <v/>
      </c>
      <c r="AQ48" s="43">
        <f>IF(IFERROR(_xlfn.XLOOKUP(Tableau1[[#This Row],[Isin]]&amp;1&amp;2022,#REF!,Tableau3[Résultat Net (PdG)]),"")="",Tableau1[[#This Row],[RN Groupe 2022
Manuel]],IFERROR(_xlfn.XLOOKUP(Tableau1[[#This Row],[Isin]]&amp;1&amp;2022,#REF!,Tableau3[Résultat Net (PdG)]),""))</f>
        <v>0</v>
      </c>
      <c r="AR48" s="43"/>
      <c r="AS48" s="43">
        <f>IF(IFERROR(_xlfn.XLOOKUP(Tableau1[[#This Row],[Isin]]&amp;1&amp;2021,#REF!,Tableau3[Résultat Net (PdG)]),"")="",Tableau1[[#This Row],[RN Groupe 2021
Manuel]],IFERROR(_xlfn.XLOOKUP(Tableau1[[#This Row],[Isin]]&amp;1&amp;2021,#REF!,Tableau3[Résultat Net (PdG)]),""))</f>
        <v>0</v>
      </c>
      <c r="AT48" s="43"/>
      <c r="AU48" s="43" t="str">
        <f>IFERROR(_xlfn.XLOOKUP(Tableau1[[#This Row],[Isin]]&amp;1&amp;2020,#REF!,Tableau3[Résultat Net (PdG)]),"")</f>
        <v/>
      </c>
      <c r="AV48" s="43" t="str">
        <f>IFERROR(_xlfn.XLOOKUP(Tableau1[[#This Row],[Isin]]&amp;1&amp;2019,#REF!,Tableau3[Résultat Net (PdG)]),"")</f>
        <v/>
      </c>
      <c r="AW48" s="43" t="str">
        <f>IFERROR(_xlfn.XLOOKUP(Tableau1[[#This Row],[Isin]]&amp;1&amp;2018,#REF!,Tableau3[Résultat Net (PdG)]),"")</f>
        <v/>
      </c>
      <c r="AX48" s="43" t="str">
        <f>IFERROR(_xlfn.XLOOKUP(Tableau1[[#This Row],[Isin]]&amp;1&amp;2017,#REF!,Tableau3[Résultat Net (PdG)]),"")</f>
        <v/>
      </c>
      <c r="AY48" s="43" t="str">
        <f>IFERROR(_xlfn.XLOOKUP(Tableau1[[#This Row],[Isin]]&amp;1&amp;2016,#REF!,Tableau3[Résultat Net (PdG)]),"")</f>
        <v/>
      </c>
      <c r="AZ48" s="137" t="str">
        <f ca="1">IFERROR(Tableau1[[#This Row],[Capitalisation boursière]]/Tableau1[[#This Row],[RN Groupe 2023]],"")</f>
        <v/>
      </c>
      <c r="BA48" s="4" t="str" cm="1">
        <f t="array" aca="1" ref="BA48" ca="1">IFERROR(_FV(Tableau1[[#This Row],[Code Excel]],"Industrie"),"")</f>
        <v>Metals &amp; Mining</v>
      </c>
      <c r="BB48" s="43" t="s">
        <v>3477</v>
      </c>
      <c r="BC48" s="43" t="str">
        <f>IFERROR(_xlfn.XLOOKUP(Tableau1[[#This Row],[Isin]]&amp;1&amp;2016,#REF!,Tableau3[Capi]),"")</f>
        <v/>
      </c>
      <c r="BD48" s="43" t="str">
        <f>IFERROR(_xlfn.XLOOKUP(Tableau1[[#This Row],[Isin]]&amp;1&amp;2017,#REF!,Tableau3[Capi]),"")</f>
        <v/>
      </c>
      <c r="BE48" s="43" t="str">
        <f>IFERROR(_xlfn.XLOOKUP(Tableau1[[#This Row],[Isin]]&amp;1&amp;2018,#REF!,Tableau3[Capi]),"")</f>
        <v/>
      </c>
      <c r="BF48" s="43" t="str">
        <f>IFERROR(_xlfn.XLOOKUP(Tableau1[[#This Row],[Isin]]&amp;1&amp;2019,#REF!,Tableau3[Capi]),"")</f>
        <v/>
      </c>
      <c r="BG48" s="43" t="str">
        <f>IFERROR(_xlfn.XLOOKUP(Tableau1[[#This Row],[Isin]]&amp;1&amp;2020,#REF!,Tableau3[Capi]),"")</f>
        <v/>
      </c>
      <c r="BH48" s="43">
        <f>IF(IFERROR(_xlfn.XLOOKUP(Tableau1[[#This Row],[Isin]]&amp;1&amp;2021,#REF!,Tableau3[Capi]),"")="",Tableau1[[#This Row],[Capitalisation 2021
Manuel]],IFERROR(_xlfn.XLOOKUP(Tableau1[[#This Row],[Isin]]&amp;1&amp;2021,#REF!,Tableau3[Capi]),""))</f>
        <v>0</v>
      </c>
      <c r="BI48" s="43"/>
      <c r="BJ48" s="43">
        <f>IF(IFERROR(_xlfn.XLOOKUP(Tableau1[[#This Row],[Isin]]&amp;1&amp;2022,#REF!,Tableau3[Capi]),"")="",Tableau1[[#This Row],[Capitalisation 2022
Manuel]],IFERROR(_xlfn.XLOOKUP(Tableau1[[#This Row],[Isin]]&amp;1&amp;2022,#REF!,Tableau3[Capi]),""))</f>
        <v>0</v>
      </c>
      <c r="BK48" s="43"/>
      <c r="BL48" s="43">
        <f ca="1">Tableau1[[#This Row],[Capitalisation boursière]]</f>
        <v>2218956000</v>
      </c>
      <c r="BM48" s="162" t="str" cm="1">
        <f t="array" aca="1" ref="BM48" ca="1">_FV(Tableau1[[#This Row],[Code Excel]],"Description")</f>
        <v>Aperam SA est un producteur d’acier basé en France. La société se concentre sur la production d’aciers inoxydables et spéciaux, de produits spécialisés, y compris les aciers électriques et les alliages spéciaux à orientation céréalière (GO) et non céréalière (ONG). Ses trois segments d’exploitation comprennent : acier inoxydable et électrique, services et solutions, et alliages et spécialités. La Société, via des filiales, opère à travers des centres de service et des réseaux de distribution avec des produits personnalisés. Ses installations de production sont au Brésil, en Belgique et en France. La société vend ses produits dans plus de 40 pays, et à des clients opérant dans un éventail d’industries, y compris l’aérospatiale, automobile, restauration, construction, électroménager, génie électrique, procédés industriels, médical, et pétrole et gaz.</v>
      </c>
      <c r="BN48" s="43"/>
      <c r="BO48" s="43"/>
      <c r="BP48" s="43"/>
      <c r="BQ48" s="43"/>
      <c r="BR48" s="4"/>
      <c r="BS48" s="21"/>
      <c r="BT48" s="13"/>
      <c r="BU48" s="13"/>
      <c r="BV48" s="13"/>
      <c r="BW48" s="3" t="s">
        <v>2277</v>
      </c>
      <c r="BX48" s="3"/>
      <c r="BY48" s="3" t="s">
        <v>601</v>
      </c>
      <c r="BZ48" s="47"/>
      <c r="CA48" s="47"/>
      <c r="CB48" s="50"/>
      <c r="CC48" s="25"/>
      <c r="CD48" s="25"/>
    </row>
    <row r="49" spans="3:82">
      <c r="C49" s="42"/>
      <c r="D49" s="42">
        <f>IF(Tableau1[[#This Row],[Isin]]="",99,Tableau1[[#This Row],[Intérêt]]+Tableau1[[#This Row],[Valeur d''intérêt]]+Tableau1[[#This Row],[N° Portefeuille]])</f>
        <v>30</v>
      </c>
      <c r="E49" s="42"/>
      <c r="F49" s="42">
        <f>IF(Tableau1[[#This Row],[Portefeuille]]="p",0,Tableau1[[#This Row],[F. Investissement
Niveau d''intérêt]]*10)</f>
        <v>30</v>
      </c>
      <c r="G49" s="42">
        <f>IF(Tableau1[[#This Row],[Portefeuille]]="p",3,0)</f>
        <v>0</v>
      </c>
      <c r="H49" s="42">
        <v>3</v>
      </c>
      <c r="I49" s="42">
        <v>4</v>
      </c>
      <c r="J49" s="42"/>
      <c r="K49" s="43"/>
      <c r="L49" s="16">
        <v>0</v>
      </c>
      <c r="M4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49" s="44" t="s">
        <v>3581</v>
      </c>
      <c r="O49" s="45"/>
      <c r="P49" s="4" t="s">
        <v>382</v>
      </c>
      <c r="Q49" s="4"/>
      <c r="R49" s="6"/>
      <c r="S49" s="6" t="s">
        <v>3582</v>
      </c>
      <c r="T49" s="6" t="e" vm="38">
        <v>#VALUE!</v>
      </c>
      <c r="U49" s="46" cm="1">
        <f t="array" aca="1" ref="U49" ca="1">IFERROR(_FV(Tableau1[[#This Row],[Code Excel]],"Capitalisation boursière",TRUE),"")</f>
        <v>3288331032900</v>
      </c>
      <c r="V49" s="4" t="str" cm="1">
        <f t="array" aca="1" ref="V49" ca="1">IFERROR(_FV(Tableau1[[#This Row],[Code Excel]],"Industrie"),"")</f>
        <v>Computers, Phones &amp; Household Electronics</v>
      </c>
      <c r="W49" s="4" t="s">
        <v>4333</v>
      </c>
      <c r="X49" s="4" t="str">
        <f ca="1">Tableau1[[#This Row],[Grand Secteur]]&amp;Tableau1[[#This Row],[Industrie]]</f>
        <v>Logiciels et TechnologieComputers, Phones &amp; Household Electronics</v>
      </c>
      <c r="Y49" s="23" cm="1">
        <f t="array" aca="1" ref="Y49" ca="1">IFERROR(_FV(Tableau1[[#This Row],[Code Excel]],"P/E",TRUE),"")</f>
        <v>31.182500000000001</v>
      </c>
      <c r="Z49" s="43" cm="1">
        <f t="array" aca="1" ref="Z49" ca="1">IFERROR(_FV(Tableau1[[#This Row],[Code Excel]],"Employés"),"")</f>
        <v>164000</v>
      </c>
      <c r="AA49" s="49">
        <f ca="1">IFERROR(Tableau1[[#This Row],[Capitalisation boursière]]/Tableau1[[#This Row],[Employés]],"")</f>
        <v>20050798.98109756</v>
      </c>
      <c r="AB49" s="5" t="str">
        <f>IFERROR(Tableau1[[#This Row],[REX (2021)]]/Tableau1[[#This Row],[CA 2024]],"")</f>
        <v/>
      </c>
      <c r="AC49" s="9" t="str">
        <f>IFERROR(_xlfn.XLOOKUP(Tableau1[[#This Row],[Isin]]&amp;1&amp;2021,#REF!,Tableau3[Résultat d''exploitation]),"")</f>
        <v/>
      </c>
      <c r="AD49" s="9" t="str">
        <f>IFERROR(_xlfn.XLOOKUP(Tableau1[[#This Row],[Isin]]&amp;1&amp;2019,#REF!,Tableau3[Chiffre d''affaires]),"")</f>
        <v/>
      </c>
      <c r="AE49" s="9" t="str">
        <f>IFERROR(_xlfn.XLOOKUP(Tableau1[[#This Row],[Isin]]&amp;1&amp;2024,#REF!,Tableau3[Chiffre d''affaires]),"")</f>
        <v/>
      </c>
      <c r="AF49" s="8" t="str">
        <f>IFERROR(IF((Tableau1[[#This Row],[CA 2024]]-Tableau1[[#This Row],[CA 2019]])/Tableau1[[#This Row],[CA 2019]]=-1,"",(Tableau1[[#This Row],[CA 2024]]-Tableau1[[#This Row],[CA 2019]])/Tableau1[[#This Row],[CA 2019]]),"")</f>
        <v/>
      </c>
      <c r="AG49" s="9" t="str">
        <f>IFERROR(_xlfn.XLOOKUP(Tableau1[[#This Row],[Isin]]&amp;1&amp;2021,#REF!,Tableau3[EBE]),"")</f>
        <v/>
      </c>
      <c r="AH49" s="9" t="str">
        <f>IFERROR(_xlfn.XLOOKUP(Tableau1[[#This Row],[Isin]]&amp;1&amp;2022,#REF!,Tableau3[EBE]),"")</f>
        <v/>
      </c>
      <c r="AI49" s="43" t="s">
        <v>4324</v>
      </c>
      <c r="AJ49" s="43" t="s">
        <v>4334</v>
      </c>
      <c r="AK49" s="43" t="s">
        <v>3148</v>
      </c>
      <c r="AL49" s="43"/>
      <c r="AM49" s="43"/>
      <c r="AN49" s="9" t="str">
        <f>IFERROR(_xlfn.XLOOKUP(Tableau1[[#This Row],[Isin]]&amp;1&amp;2021,#REF!,Tableau3[Chiffre d''affaires]),"")</f>
        <v/>
      </c>
      <c r="AO49" s="43" cm="1">
        <f t="array" aca="1" ref="AO49" ca="1">_FV(Tableau1[[#This Row],[Code Excel]],"P/E",TRUE)</f>
        <v>31.182500000000001</v>
      </c>
      <c r="AP49" s="43" t="str">
        <f>IFERROR(_xlfn.XLOOKUP(Tableau1[[#This Row],[Isin]]&amp;1&amp;2023,#REF!,Tableau3[Résultat Net (PdG)]),"")</f>
        <v/>
      </c>
      <c r="AQ49" s="43">
        <f>IF(IFERROR(_xlfn.XLOOKUP(Tableau1[[#This Row],[Isin]]&amp;1&amp;2022,#REF!,Tableau3[Résultat Net (PdG)]),"")="",Tableau1[[#This Row],[RN Groupe 2022
Manuel]],IFERROR(_xlfn.XLOOKUP(Tableau1[[#This Row],[Isin]]&amp;1&amp;2022,#REF!,Tableau3[Résultat Net (PdG)]),""))</f>
        <v>0</v>
      </c>
      <c r="AR49" s="43"/>
      <c r="AS49" s="43">
        <f>IF(IFERROR(_xlfn.XLOOKUP(Tableau1[[#This Row],[Isin]]&amp;1&amp;2021,#REF!,Tableau3[Résultat Net (PdG)]),"")="",Tableau1[[#This Row],[RN Groupe 2021
Manuel]],IFERROR(_xlfn.XLOOKUP(Tableau1[[#This Row],[Isin]]&amp;1&amp;2021,#REF!,Tableau3[Résultat Net (PdG)]),""))</f>
        <v>0</v>
      </c>
      <c r="AT49" s="43"/>
      <c r="AU49" s="43" t="str">
        <f>IFERROR(_xlfn.XLOOKUP(Tableau1[[#This Row],[Isin]]&amp;1&amp;2020,#REF!,Tableau3[Résultat Net (PdG)]),"")</f>
        <v/>
      </c>
      <c r="AV49" s="43" t="str">
        <f>IFERROR(_xlfn.XLOOKUP(Tableau1[[#This Row],[Isin]]&amp;1&amp;2019,#REF!,Tableau3[Résultat Net (PdG)]),"")</f>
        <v/>
      </c>
      <c r="AW49" s="43" t="str">
        <f>IFERROR(_xlfn.XLOOKUP(Tableau1[[#This Row],[Isin]]&amp;1&amp;2018,#REF!,Tableau3[Résultat Net (PdG)]),"")</f>
        <v/>
      </c>
      <c r="AX49" s="43" t="str">
        <f>IFERROR(_xlfn.XLOOKUP(Tableau1[[#This Row],[Isin]]&amp;1&amp;2017,#REF!,Tableau3[Résultat Net (PdG)]),"")</f>
        <v/>
      </c>
      <c r="AY49" s="43" t="str">
        <f>IFERROR(_xlfn.XLOOKUP(Tableau1[[#This Row],[Isin]]&amp;1&amp;2016,#REF!,Tableau3[Résultat Net (PdG)]),"")</f>
        <v/>
      </c>
      <c r="AZ49" s="137" t="str">
        <f ca="1">IFERROR(Tableau1[[#This Row],[Capitalisation boursière]]/Tableau1[[#This Row],[RN Groupe 2023]],"")</f>
        <v/>
      </c>
      <c r="BA49" s="4" t="str" cm="1">
        <f t="array" aca="1" ref="BA49" ca="1">IFERROR(_FV(Tableau1[[#This Row],[Code Excel]],"Industrie"),"")</f>
        <v>Computers, Phones &amp; Household Electronics</v>
      </c>
      <c r="BB49" s="43" t="s">
        <v>3491</v>
      </c>
      <c r="BC49" s="43" t="str">
        <f>IFERROR(_xlfn.XLOOKUP(Tableau1[[#This Row],[Isin]]&amp;1&amp;2016,#REF!,Tableau3[Capi]),"")</f>
        <v/>
      </c>
      <c r="BD49" s="43" t="str">
        <f>IFERROR(_xlfn.XLOOKUP(Tableau1[[#This Row],[Isin]]&amp;1&amp;2017,#REF!,Tableau3[Capi]),"")</f>
        <v/>
      </c>
      <c r="BE49" s="43" t="str">
        <f>IFERROR(_xlfn.XLOOKUP(Tableau1[[#This Row],[Isin]]&amp;1&amp;2018,#REF!,Tableau3[Capi]),"")</f>
        <v/>
      </c>
      <c r="BF49" s="43" t="str">
        <f>IFERROR(_xlfn.XLOOKUP(Tableau1[[#This Row],[Isin]]&amp;1&amp;2019,#REF!,Tableau3[Capi]),"")</f>
        <v/>
      </c>
      <c r="BG49" s="43" t="str">
        <f>IFERROR(_xlfn.XLOOKUP(Tableau1[[#This Row],[Isin]]&amp;1&amp;2020,#REF!,Tableau3[Capi]),"")</f>
        <v/>
      </c>
      <c r="BH49" s="43">
        <f>IF(IFERROR(_xlfn.XLOOKUP(Tableau1[[#This Row],[Isin]]&amp;1&amp;2021,#REF!,Tableau3[Capi]),"")="",Tableau1[[#This Row],[Capitalisation 2021
Manuel]],IFERROR(_xlfn.XLOOKUP(Tableau1[[#This Row],[Isin]]&amp;1&amp;2021,#REF!,Tableau3[Capi]),""))</f>
        <v>0</v>
      </c>
      <c r="BI49" s="43"/>
      <c r="BJ49" s="43">
        <f>IF(IFERROR(_xlfn.XLOOKUP(Tableau1[[#This Row],[Isin]]&amp;1&amp;2022,#REF!,Tableau3[Capi]),"")="",Tableau1[[#This Row],[Capitalisation 2022
Manuel]],IFERROR(_xlfn.XLOOKUP(Tableau1[[#This Row],[Isin]]&amp;1&amp;2022,#REF!,Tableau3[Capi]),""))</f>
        <v>0</v>
      </c>
      <c r="BK49" s="43"/>
      <c r="BL49" s="43">
        <f ca="1">Tableau1[[#This Row],[Capitalisation boursière]]</f>
        <v>3288331032900</v>
      </c>
      <c r="BM49" s="162" t="str" cm="1">
        <f t="array" aca="1" ref="BM49" ca="1">_FV(Tableau1[[#This Row],[Code Excel]],"Description")</f>
        <v>Apple Inc. conçoit, fabrique et commercialise des smartphones, des ordinateurs personnels, des tablettes, des wearables et des accessoires, et vend divers services connexes. Ses catégories de produits incluent iPhone, Mac, iPad, et portables, Maison et Accessoires. Ses plateformes logicielles incluent iOS, iPadOS, macOS, watchOS et tvOS. Ses services comprennent la publicité, AppleCare, les services cloud, le contenu numérique et les services de paiement. Elle exploite diverses plateformes, dont l'App Store, qui permettent aux clients de découvrir et de télécharger des applications et du contenu numérique, tels que des livres, de la musique, des vidéos, des jeux et des podcasts. Elle propose également du contenu numérique par le biais de services par abonnement, notamment Apple Arcade, Apple Fitness+, Apple Music, Apple News+ et Apple TV+. Ses produits incluent iPhone 15 Pro, iPhone 15, iPhone 14, iPhone 13, MacBook Air, MacBook Pro, iMac, Mac mini, Mac Studio, Mac Pro, et autres. Il fournit également DarwinAI, qui se spécialise dans l'inspection visuelle de la qualité en utilisant sa plate-forme explicable d'IA.</v>
      </c>
      <c r="BN49" s="43"/>
      <c r="BO49" s="43"/>
      <c r="BP49" s="43"/>
      <c r="BQ49" s="43"/>
      <c r="BR49" s="4"/>
      <c r="BS49" s="21"/>
      <c r="BT49" s="13"/>
      <c r="BU49" s="13"/>
      <c r="BV49" s="13"/>
      <c r="BW49" s="3" t="s">
        <v>2448</v>
      </c>
      <c r="BX49" s="3"/>
      <c r="BY49" s="3" t="s">
        <v>4367</v>
      </c>
      <c r="BZ49" s="47"/>
      <c r="CA49" s="47"/>
      <c r="CC49" s="25"/>
      <c r="CD49" s="25"/>
    </row>
    <row r="50" spans="3:82">
      <c r="C50" s="43"/>
      <c r="D50" s="42">
        <f>IF(Tableau1[[#This Row],[Isin]]="",99,Tableau1[[#This Row],[Intérêt]]+Tableau1[[#This Row],[Valeur d''intérêt]]+Tableau1[[#This Row],[N° Portefeuille]])</f>
        <v>30</v>
      </c>
      <c r="E50" s="43"/>
      <c r="F50" s="42">
        <f>IF(Tableau1[[#This Row],[Portefeuille]]="p",0,Tableau1[[#This Row],[F. Investissement
Niveau d''intérêt]]*10)</f>
        <v>30</v>
      </c>
      <c r="G50" s="43">
        <f>IF(Tableau1[[#This Row],[Portefeuille]]="p",3,0)</f>
        <v>0</v>
      </c>
      <c r="H50" s="43">
        <v>3</v>
      </c>
      <c r="I50" s="43">
        <v>3</v>
      </c>
      <c r="J50" s="43"/>
      <c r="K50" s="43"/>
      <c r="L50" s="16">
        <v>1</v>
      </c>
      <c r="M5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0" s="44" t="s">
        <v>3585</v>
      </c>
      <c r="O50" s="45" t="s">
        <v>4368</v>
      </c>
      <c r="P50" s="4" t="s">
        <v>290</v>
      </c>
      <c r="Q50" s="6" t="s">
        <v>85</v>
      </c>
      <c r="R50" s="6"/>
      <c r="S50" s="6" t="s">
        <v>293</v>
      </c>
      <c r="T50" s="6" t="e" vm="39">
        <v>#VALUE!</v>
      </c>
      <c r="U50" s="46" cm="1">
        <f t="array" aca="1" ref="U50" ca="1">IFERROR(_FV(Tableau1[[#This Row],[Code Excel]],"Capitalisation boursière",TRUE),"")</f>
        <v>22817510000</v>
      </c>
      <c r="V50" s="4" t="str" cm="1">
        <f t="array" aca="1" ref="V50" ca="1">IFERROR(_FV(Tableau1[[#This Row],[Code Excel]],"Industrie"),"")</f>
        <v>Metals &amp; Mining</v>
      </c>
      <c r="W50" s="4" t="s">
        <v>4366</v>
      </c>
      <c r="X50" s="4" t="str">
        <f ca="1">Tableau1[[#This Row],[Grand Secteur]]&amp;Tableau1[[#This Row],[Industrie]]</f>
        <v>Matières PremièresMetals &amp; Mining</v>
      </c>
      <c r="Y50" s="23" cm="1">
        <f t="array" aca="1" ref="Y50" ca="1">IFERROR(_FV(Tableau1[[#This Row],[Code Excel]],"P/E",TRUE),"")</f>
        <v>16.792899999999999</v>
      </c>
      <c r="Z50" s="43" cm="1">
        <f t="array" aca="1" ref="Z50" ca="1">IFERROR(_FV(Tableau1[[#This Row],[Code Excel]],"Employés"),"")</f>
        <v>125416</v>
      </c>
      <c r="AA50" s="49">
        <f ca="1">IFERROR(Tableau1[[#This Row],[Capitalisation boursière]]/Tableau1[[#This Row],[Employés]],"")</f>
        <v>181934.60164572304</v>
      </c>
      <c r="AB50" s="5" t="str">
        <f>IFERROR(Tableau1[[#This Row],[REX (2021)]]/Tableau1[[#This Row],[CA 2024]],"")</f>
        <v/>
      </c>
      <c r="AC50" s="9" t="str">
        <f>IFERROR(_xlfn.XLOOKUP(Tableau1[[#This Row],[Isin]]&amp;1&amp;2021,#REF!,Tableau3[Résultat d''exploitation]),"")</f>
        <v/>
      </c>
      <c r="AD50" s="9" t="str">
        <f>IFERROR(_xlfn.XLOOKUP(Tableau1[[#This Row],[Isin]]&amp;1&amp;2019,#REF!,Tableau3[Chiffre d''affaires]),"")</f>
        <v/>
      </c>
      <c r="AE50" s="9" t="str">
        <f>IFERROR(_xlfn.XLOOKUP(Tableau1[[#This Row],[Isin]]&amp;1&amp;2024,#REF!,Tableau3[Chiffre d''affaires]),"")</f>
        <v/>
      </c>
      <c r="AF50" s="8" t="str">
        <f>IFERROR(IF((Tableau1[[#This Row],[CA 2024]]-Tableau1[[#This Row],[CA 2019]])/Tableau1[[#This Row],[CA 2019]]=-1,"",(Tableau1[[#This Row],[CA 2024]]-Tableau1[[#This Row],[CA 2019]])/Tableau1[[#This Row],[CA 2019]]),"")</f>
        <v/>
      </c>
      <c r="AG50" s="9" t="str">
        <f>IFERROR(_xlfn.XLOOKUP(Tableau1[[#This Row],[Isin]]&amp;1&amp;2021,#REF!,Tableau3[EBE]),"")</f>
        <v/>
      </c>
      <c r="AH50" s="9" t="str">
        <f>IFERROR(_xlfn.XLOOKUP(Tableau1[[#This Row],[Isin]]&amp;1&amp;2022,#REF!,Tableau3[EBE]),"")</f>
        <v/>
      </c>
      <c r="AI50" s="43" t="s">
        <v>4329</v>
      </c>
      <c r="AJ50" s="43" t="s">
        <v>4322</v>
      </c>
      <c r="AK50" s="43" t="s">
        <v>3431</v>
      </c>
      <c r="AL50" s="43" t="s">
        <v>3148</v>
      </c>
      <c r="AM50" s="43"/>
      <c r="AN50" s="9" t="str">
        <f>IFERROR(_xlfn.XLOOKUP(Tableau1[[#This Row],[Isin]]&amp;1&amp;2021,#REF!,Tableau3[Chiffre d''affaires]),"")</f>
        <v/>
      </c>
      <c r="AO50" s="43" cm="1">
        <f t="array" aca="1" ref="AO50" ca="1">_FV(Tableau1[[#This Row],[Code Excel]],"P/E",TRUE)</f>
        <v>16.792899999999999</v>
      </c>
      <c r="AP50" s="43" t="str">
        <f>IFERROR(_xlfn.XLOOKUP(Tableau1[[#This Row],[Isin]]&amp;1&amp;2023,#REF!,Tableau3[Résultat Net (PdG)]),"")</f>
        <v/>
      </c>
      <c r="AQ50" s="43">
        <f>IF(IFERROR(_xlfn.XLOOKUP(Tableau1[[#This Row],[Isin]]&amp;1&amp;2022,#REF!,Tableau3[Résultat Net (PdG)]),"")="",Tableau1[[#This Row],[RN Groupe 2022
Manuel]],IFERROR(_xlfn.XLOOKUP(Tableau1[[#This Row],[Isin]]&amp;1&amp;2022,#REF!,Tableau3[Résultat Net (PdG)]),""))</f>
        <v>8930000000</v>
      </c>
      <c r="AR50" s="140">
        <v>8930000000</v>
      </c>
      <c r="AS50" s="43">
        <f>IF(IFERROR(_xlfn.XLOOKUP(Tableau1[[#This Row],[Isin]]&amp;1&amp;2021,#REF!,Tableau3[Résultat Net (PdG)]),"")="",Tableau1[[#This Row],[RN Groupe 2021
Manuel]],IFERROR(_xlfn.XLOOKUP(Tableau1[[#This Row],[Isin]]&amp;1&amp;2021,#REF!,Tableau3[Résultat Net (PdG)]),""))</f>
        <v>0</v>
      </c>
      <c r="AT50" s="140"/>
      <c r="AU50" s="43" t="str">
        <f>IFERROR(_xlfn.XLOOKUP(Tableau1[[#This Row],[Isin]]&amp;1&amp;2020,#REF!,Tableau3[Résultat Net (PdG)]),"")</f>
        <v/>
      </c>
      <c r="AV50" s="43" t="str">
        <f>IFERROR(_xlfn.XLOOKUP(Tableau1[[#This Row],[Isin]]&amp;1&amp;2019,#REF!,Tableau3[Résultat Net (PdG)]),"")</f>
        <v/>
      </c>
      <c r="AW50" s="43" t="str">
        <f>IFERROR(_xlfn.XLOOKUP(Tableau1[[#This Row],[Isin]]&amp;1&amp;2018,#REF!,Tableau3[Résultat Net (PdG)]),"")</f>
        <v/>
      </c>
      <c r="AX50" s="43" t="str">
        <f>IFERROR(_xlfn.XLOOKUP(Tableau1[[#This Row],[Isin]]&amp;1&amp;2017,#REF!,Tableau3[Résultat Net (PdG)]),"")</f>
        <v/>
      </c>
      <c r="AY50" s="43" t="str">
        <f>IFERROR(_xlfn.XLOOKUP(Tableau1[[#This Row],[Isin]]&amp;1&amp;2016,#REF!,Tableau3[Résultat Net (PdG)]),"")</f>
        <v/>
      </c>
      <c r="AZ50" s="137" t="str">
        <f ca="1">IFERROR(Tableau1[[#This Row],[Capitalisation boursière]]/Tableau1[[#This Row],[RN Groupe 2023]],"")</f>
        <v/>
      </c>
      <c r="BA50" s="4" t="str" cm="1">
        <f t="array" aca="1" ref="BA50" ca="1">IFERROR(_FV(Tableau1[[#This Row],[Code Excel]],"Industrie"),"")</f>
        <v>Metals &amp; Mining</v>
      </c>
      <c r="BB50" s="43" t="s">
        <v>3518</v>
      </c>
      <c r="BC50" s="43" t="str">
        <f>IFERROR(_xlfn.XLOOKUP(Tableau1[[#This Row],[Isin]]&amp;1&amp;2016,#REF!,Tableau3[Capi]),"")</f>
        <v/>
      </c>
      <c r="BD50" s="43" t="str">
        <f>IFERROR(_xlfn.XLOOKUP(Tableau1[[#This Row],[Isin]]&amp;1&amp;2017,#REF!,Tableau3[Capi]),"")</f>
        <v/>
      </c>
      <c r="BE50" s="43" t="str">
        <f>IFERROR(_xlfn.XLOOKUP(Tableau1[[#This Row],[Isin]]&amp;1&amp;2018,#REF!,Tableau3[Capi]),"")</f>
        <v/>
      </c>
      <c r="BF50" s="43" t="str">
        <f>IFERROR(_xlfn.XLOOKUP(Tableau1[[#This Row],[Isin]]&amp;1&amp;2019,#REF!,Tableau3[Capi]),"")</f>
        <v/>
      </c>
      <c r="BG50" s="43" t="str">
        <f>IFERROR(_xlfn.XLOOKUP(Tableau1[[#This Row],[Isin]]&amp;1&amp;2020,#REF!,Tableau3[Capi]),"")</f>
        <v/>
      </c>
      <c r="BH50" s="43">
        <f>IF(IFERROR(_xlfn.XLOOKUP(Tableau1[[#This Row],[Isin]]&amp;1&amp;2021,#REF!,Tableau3[Capi]),"")="",Tableau1[[#This Row],[Capitalisation 2021
Manuel]],IFERROR(_xlfn.XLOOKUP(Tableau1[[#This Row],[Isin]]&amp;1&amp;2021,#REF!,Tableau3[Capi]),""))</f>
        <v>0</v>
      </c>
      <c r="BI50" s="142"/>
      <c r="BJ50" s="141">
        <f>IF(IFERROR(_xlfn.XLOOKUP(Tableau1[[#This Row],[Isin]]&amp;1&amp;2022,#REF!,Tableau3[Capi]),"")="",Tableau1[[#This Row],[Capitalisation 2022
Manuel]],IFERROR(_xlfn.XLOOKUP(Tableau1[[#This Row],[Isin]]&amp;1&amp;2022,#REF!,Tableau3[Capi]),""))</f>
        <v>24090177000</v>
      </c>
      <c r="BK50" s="142">
        <v>24090177000</v>
      </c>
      <c r="BL50" s="43">
        <f ca="1">Tableau1[[#This Row],[Capitalisation boursière]]</f>
        <v>22817510000</v>
      </c>
      <c r="BM50" s="162" t="str" cm="1">
        <f t="array" aca="1" ref="BM50" ca="1">_FV(Tableau1[[#This Row],[Code Excel]],"Description")</f>
        <v>ArcelorMittal SA est une société holding basée au Luxembourg. La Société, par l'intermédiaire de ses filiales, possède et exploite des installations de production d'acier, de minerai de fer et d'extraction de charbon en Europe, en Amérique du Nord et du Sud, en Asie et en Afrique. La Société est organisée en cinq segments opérationnels : ALENA, Brésil, Europe, Afrique et Communauté des États indépendants (CEI), et Exploitation minière. Les segments ALENA, Brésil, Europe et ACIS produisent des produits plats, longs et tubulaires, notamment des brames, des bobines laminées à chaud, des bobines laminées à froid, des produits en acier revêtus, entre autres. Le secteur minier fournit des opérations sidérurgiques et comprend toutes les mines détenues par la Société en Amérique, en Europe, en Afrique et dans les pays de la Communauté des États Indépendants (CEI).</v>
      </c>
      <c r="BN50" s="43"/>
      <c r="BO50" s="43"/>
      <c r="BP50" s="43"/>
      <c r="BQ50" s="43"/>
      <c r="BR50" s="4"/>
      <c r="BS50" s="21"/>
      <c r="BT50" s="13"/>
      <c r="BU50" s="13"/>
      <c r="BV50" s="13"/>
      <c r="BW50" s="3" t="s">
        <v>45</v>
      </c>
      <c r="BX50" s="3"/>
      <c r="BY50" s="3" t="s">
        <v>4369</v>
      </c>
      <c r="BZ50" s="47"/>
      <c r="CA50" s="47"/>
      <c r="CC50" s="25"/>
      <c r="CD50" s="25"/>
    </row>
    <row r="51" spans="3:82">
      <c r="C51" s="42"/>
      <c r="D51" s="42">
        <f>IF(Tableau1[[#This Row],[Isin]]="",99,Tableau1[[#This Row],[Intérêt]]+Tableau1[[#This Row],[Valeur d''intérêt]]+Tableau1[[#This Row],[N° Portefeuille]])</f>
        <v>30</v>
      </c>
      <c r="E51" s="42"/>
      <c r="F51" s="42">
        <f>IF(Tableau1[[#This Row],[Portefeuille]]="p",0,Tableau1[[#This Row],[F. Investissement
Niveau d''intérêt]]*10)</f>
        <v>30</v>
      </c>
      <c r="G51" s="42">
        <f>IF(Tableau1[[#This Row],[Portefeuille]]="p",3,0)</f>
        <v>0</v>
      </c>
      <c r="H51" s="42">
        <v>3</v>
      </c>
      <c r="I51" s="42">
        <v>4</v>
      </c>
      <c r="J51" s="42"/>
      <c r="K51" s="43"/>
      <c r="L51" s="16">
        <v>0</v>
      </c>
      <c r="M5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1" s="44" t="s">
        <v>3587</v>
      </c>
      <c r="O51" s="45"/>
      <c r="P51" s="4" t="s">
        <v>427</v>
      </c>
      <c r="Q51" s="4"/>
      <c r="R51" s="6"/>
      <c r="S51" s="6" t="s">
        <v>3588</v>
      </c>
      <c r="T51" s="6" t="e" vm="40">
        <v>#VALUE!</v>
      </c>
      <c r="U51" s="46" cm="1">
        <f t="array" aca="1" ref="U51" ca="1">IFERROR(_FV(Tableau1[[#This Row],[Code Excel]],"Capitalisation boursière",TRUE),"")</f>
        <v>33459630000</v>
      </c>
      <c r="V51" s="4" t="str" cm="1">
        <f t="array" aca="1" ref="V51" ca="1">IFERROR(_FV(Tableau1[[#This Row],[Code Excel]],"Industrie"),"")</f>
        <v>Biotechnology &amp; Medical Research</v>
      </c>
      <c r="W51" s="4" t="s">
        <v>1586</v>
      </c>
      <c r="X51" s="4" t="str">
        <f ca="1">Tableau1[[#This Row],[Grand Secteur]]&amp;Tableau1[[#This Row],[Industrie]]</f>
        <v>SantéBiotechnology &amp; Medical Research</v>
      </c>
      <c r="Y51" s="23" cm="1">
        <f t="array" aca="1" ref="Y51" ca="1">IFERROR(_FV(Tableau1[[#This Row],[Code Excel]],"P/E",TRUE),"")</f>
        <v>41.532800000000002</v>
      </c>
      <c r="Z51" s="43" cm="1">
        <f t="array" aca="1" ref="Z51" ca="1">IFERROR(_FV(Tableau1[[#This Row],[Code Excel]],"Employés"),"")</f>
        <v>1599</v>
      </c>
      <c r="AA51" s="49">
        <f ca="1">IFERROR(Tableau1[[#This Row],[Capitalisation boursière]]/Tableau1[[#This Row],[Employés]],"")</f>
        <v>20925347.091932457</v>
      </c>
      <c r="AB51" s="5" t="str">
        <f>IFERROR(Tableau1[[#This Row],[REX (2021)]]/Tableau1[[#This Row],[CA 2024]],"")</f>
        <v/>
      </c>
      <c r="AC51" s="9" t="str">
        <f>IFERROR(_xlfn.XLOOKUP(Tableau1[[#This Row],[Isin]]&amp;1&amp;2021,#REF!,Tableau3[Résultat d''exploitation]),"")</f>
        <v/>
      </c>
      <c r="AD51" s="9" t="str">
        <f>IFERROR(_xlfn.XLOOKUP(Tableau1[[#This Row],[Isin]]&amp;1&amp;2019,#REF!,Tableau3[Chiffre d''affaires]),"")</f>
        <v/>
      </c>
      <c r="AE51" s="9" t="str">
        <f>IFERROR(_xlfn.XLOOKUP(Tableau1[[#This Row],[Isin]]&amp;1&amp;2024,#REF!,Tableau3[Chiffre d''affaires]),"")</f>
        <v/>
      </c>
      <c r="AF51" s="8" t="str">
        <f>IFERROR(IF((Tableau1[[#This Row],[CA 2024]]-Tableau1[[#This Row],[CA 2019]])/Tableau1[[#This Row],[CA 2019]]=-1,"",(Tableau1[[#This Row],[CA 2024]]-Tableau1[[#This Row],[CA 2019]])/Tableau1[[#This Row],[CA 2019]]),"")</f>
        <v/>
      </c>
      <c r="AG51" s="9" t="str">
        <f>IFERROR(_xlfn.XLOOKUP(Tableau1[[#This Row],[Isin]]&amp;1&amp;2021,#REF!,Tableau3[EBE]),"")</f>
        <v/>
      </c>
      <c r="AH51" s="9" t="str">
        <f>IFERROR(_xlfn.XLOOKUP(Tableau1[[#This Row],[Isin]]&amp;1&amp;2022,#REF!,Tableau3[EBE]),"")</f>
        <v/>
      </c>
      <c r="AI51" s="13" t="s">
        <v>4324</v>
      </c>
      <c r="AJ51" s="13" t="s">
        <v>4325</v>
      </c>
      <c r="AK51" s="13" t="s">
        <v>3148</v>
      </c>
      <c r="AL51" s="43"/>
      <c r="AM51" s="43"/>
      <c r="AN51" s="9" t="str">
        <f>IFERROR(_xlfn.XLOOKUP(Tableau1[[#This Row],[Isin]]&amp;1&amp;2021,#REF!,Tableau3[Chiffre d''affaires]),"")</f>
        <v/>
      </c>
      <c r="AO51" s="43" cm="1">
        <f t="array" aca="1" ref="AO51" ca="1">_FV(Tableau1[[#This Row],[Code Excel]],"P/E",TRUE)</f>
        <v>41.532800000000002</v>
      </c>
      <c r="AP51" s="43" t="str">
        <f>IFERROR(_xlfn.XLOOKUP(Tableau1[[#This Row],[Isin]]&amp;1&amp;2023,#REF!,Tableau3[Résultat Net (PdG)]),"")</f>
        <v/>
      </c>
      <c r="AQ51" s="43">
        <f>IF(IFERROR(_xlfn.XLOOKUP(Tableau1[[#This Row],[Isin]]&amp;1&amp;2022,#REF!,Tableau3[Résultat Net (PdG)]),"")="",Tableau1[[#This Row],[RN Groupe 2022
Manuel]],IFERROR(_xlfn.XLOOKUP(Tableau1[[#This Row],[Isin]]&amp;1&amp;2022,#REF!,Tableau3[Résultat Net (PdG)]),""))</f>
        <v>0</v>
      </c>
      <c r="AR51" s="43"/>
      <c r="AS51" s="43">
        <f>IF(IFERROR(_xlfn.XLOOKUP(Tableau1[[#This Row],[Isin]]&amp;1&amp;2021,#REF!,Tableau3[Résultat Net (PdG)]),"")="",Tableau1[[#This Row],[RN Groupe 2021
Manuel]],IFERROR(_xlfn.XLOOKUP(Tableau1[[#This Row],[Isin]]&amp;1&amp;2021,#REF!,Tableau3[Résultat Net (PdG)]),""))</f>
        <v>0</v>
      </c>
      <c r="AT51" s="43"/>
      <c r="AU51" s="43" t="str">
        <f>IFERROR(_xlfn.XLOOKUP(Tableau1[[#This Row],[Isin]]&amp;1&amp;2020,#REF!,Tableau3[Résultat Net (PdG)]),"")</f>
        <v/>
      </c>
      <c r="AV51" s="43" t="str">
        <f>IFERROR(_xlfn.XLOOKUP(Tableau1[[#This Row],[Isin]]&amp;1&amp;2019,#REF!,Tableau3[Résultat Net (PdG)]),"")</f>
        <v/>
      </c>
      <c r="AW51" s="43" t="str">
        <f>IFERROR(_xlfn.XLOOKUP(Tableau1[[#This Row],[Isin]]&amp;1&amp;2018,#REF!,Tableau3[Résultat Net (PdG)]),"")</f>
        <v/>
      </c>
      <c r="AX51" s="43" t="str">
        <f>IFERROR(_xlfn.XLOOKUP(Tableau1[[#This Row],[Isin]]&amp;1&amp;2017,#REF!,Tableau3[Résultat Net (PdG)]),"")</f>
        <v/>
      </c>
      <c r="AY51" s="43" t="str">
        <f>IFERROR(_xlfn.XLOOKUP(Tableau1[[#This Row],[Isin]]&amp;1&amp;2016,#REF!,Tableau3[Résultat Net (PdG)]),"")</f>
        <v/>
      </c>
      <c r="AZ51" s="137" t="str">
        <f ca="1">IFERROR(Tableau1[[#This Row],[Capitalisation boursière]]/Tableau1[[#This Row],[RN Groupe 2023]],"")</f>
        <v/>
      </c>
      <c r="BA51" s="4" t="str" cm="1">
        <f t="array" aca="1" ref="BA51" ca="1">IFERROR(_FV(Tableau1[[#This Row],[Code Excel]],"Industrie"),"")</f>
        <v>Biotechnology &amp; Medical Research</v>
      </c>
      <c r="BB51" s="43" t="s">
        <v>3482</v>
      </c>
      <c r="BC51" s="43" t="str">
        <f>IFERROR(_xlfn.XLOOKUP(Tableau1[[#This Row],[Isin]]&amp;1&amp;2016,#REF!,Tableau3[Capi]),"")</f>
        <v/>
      </c>
      <c r="BD51" s="43" t="str">
        <f>IFERROR(_xlfn.XLOOKUP(Tableau1[[#This Row],[Isin]]&amp;1&amp;2017,#REF!,Tableau3[Capi]),"")</f>
        <v/>
      </c>
      <c r="BE51" s="43" t="str">
        <f>IFERROR(_xlfn.XLOOKUP(Tableau1[[#This Row],[Isin]]&amp;1&amp;2018,#REF!,Tableau3[Capi]),"")</f>
        <v/>
      </c>
      <c r="BF51" s="43" t="str">
        <f>IFERROR(_xlfn.XLOOKUP(Tableau1[[#This Row],[Isin]]&amp;1&amp;2019,#REF!,Tableau3[Capi]),"")</f>
        <v/>
      </c>
      <c r="BG51" s="43" t="str">
        <f>IFERROR(_xlfn.XLOOKUP(Tableau1[[#This Row],[Isin]]&amp;1&amp;2020,#REF!,Tableau3[Capi]),"")</f>
        <v/>
      </c>
      <c r="BH51" s="43">
        <f>IF(IFERROR(_xlfn.XLOOKUP(Tableau1[[#This Row],[Isin]]&amp;1&amp;2021,#REF!,Tableau3[Capi]),"")="",Tableau1[[#This Row],[Capitalisation 2021
Manuel]],IFERROR(_xlfn.XLOOKUP(Tableau1[[#This Row],[Isin]]&amp;1&amp;2021,#REF!,Tableau3[Capi]),""))</f>
        <v>0</v>
      </c>
      <c r="BI51" s="43"/>
      <c r="BJ51" s="43">
        <f>IF(IFERROR(_xlfn.XLOOKUP(Tableau1[[#This Row],[Isin]]&amp;1&amp;2022,#REF!,Tableau3[Capi]),"")="",Tableau1[[#This Row],[Capitalisation 2022
Manuel]],IFERROR(_xlfn.XLOOKUP(Tableau1[[#This Row],[Isin]]&amp;1&amp;2022,#REF!,Tableau3[Capi]),""))</f>
        <v>0</v>
      </c>
      <c r="BK51" s="43"/>
      <c r="BL51" s="43">
        <f ca="1">Tableau1[[#This Row],[Capitalisation boursière]]</f>
        <v>33459630000</v>
      </c>
      <c r="BM51" s="162" t="str" cm="1">
        <f t="array" aca="1" ref="BM51" ca="1">_FV(Tableau1[[#This Row],[Code Excel]],"Description")</f>
        <v>argenx SE, anciennement arGEN X BV, est une société biopharmaceutique basée aux Pays-Bas. Il s'occupe principalement de créer et de développer un pipeline de thérapies par anticorps différenciés pour le traitement des maladies auto-immunes graves en utilisant sa plateforme de découverte, Simple Antibody, qui exploite les caractéristiques du système immunitaire des lamas. La société développe un pipeline de thérapies par anticorps ciblant les indications du cancer et des maladies auto-immunes. Il comprend, mais n'est pas limité à : Empasiprubart, un inhibiteur du complément ciblant C2, bloquant la fonction des voies classiques et lectine, tout en laissant intacte la voie alternative, ARGX-119 un antagoniste du récepteur MuSK avec potentiel dans de multiples indications neuromusculaires.</v>
      </c>
      <c r="BN51" s="43"/>
      <c r="BO51" s="43"/>
      <c r="BP51" s="43"/>
      <c r="BQ51" s="43"/>
      <c r="BR51" s="4"/>
      <c r="BS51" s="21"/>
      <c r="BT51" s="13"/>
      <c r="BU51" s="13"/>
      <c r="BV51" s="13"/>
      <c r="BW51" s="13"/>
      <c r="BX51" s="3"/>
      <c r="BY51" s="3" t="s">
        <v>4370</v>
      </c>
      <c r="BZ51" s="47"/>
      <c r="CA51" s="47"/>
      <c r="CC51" s="25"/>
    </row>
    <row r="52" spans="3:82">
      <c r="C52" s="43"/>
      <c r="D52" s="42">
        <f>IF(Tableau1[[#This Row],[Isin]]="",99,Tableau1[[#This Row],[Intérêt]]+Tableau1[[#This Row],[Valeur d''intérêt]]+Tableau1[[#This Row],[N° Portefeuille]])</f>
        <v>20</v>
      </c>
      <c r="E52" s="43"/>
      <c r="F52" s="42">
        <f>IF(Tableau1[[#This Row],[Portefeuille]]="p",0,Tableau1[[#This Row],[F. Investissement
Niveau d''intérêt]]*10)</f>
        <v>20</v>
      </c>
      <c r="G52" s="43">
        <f>IF(Tableau1[[#This Row],[Portefeuille]]="p",3,0)</f>
        <v>0</v>
      </c>
      <c r="H52" s="43">
        <v>2</v>
      </c>
      <c r="I52" s="43">
        <v>3</v>
      </c>
      <c r="J52" s="43"/>
      <c r="K52" s="43"/>
      <c r="L52" s="16">
        <v>1</v>
      </c>
      <c r="M5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2" s="44" t="s">
        <v>2448</v>
      </c>
      <c r="O52" s="44" t="s">
        <v>2431</v>
      </c>
      <c r="P52" s="4" t="s">
        <v>84</v>
      </c>
      <c r="Q52" s="6" t="s">
        <v>85</v>
      </c>
      <c r="R52" s="6"/>
      <c r="S52" s="6" t="s">
        <v>2449</v>
      </c>
      <c r="T52" s="6" t="e" vm="41">
        <v>#VALUE!</v>
      </c>
      <c r="U52" s="46" cm="1">
        <f t="array" aca="1" ref="U52" ca="1">IFERROR(_FV(Tableau1[[#This Row],[Code Excel]],"Capitalisation boursière",TRUE),"")</f>
        <v>5461167000</v>
      </c>
      <c r="V52" s="4" t="str" cm="1">
        <f t="array" aca="1" ref="V52" ca="1">IFERROR(_FV(Tableau1[[#This Row],[Code Excel]],"Industrie"),"")</f>
        <v>Chemicals</v>
      </c>
      <c r="W52" s="4" t="s">
        <v>2431</v>
      </c>
      <c r="X52" s="4" t="str">
        <f ca="1">Tableau1[[#This Row],[Grand Secteur]]&amp;Tableau1[[#This Row],[Industrie]]</f>
        <v>ChimieChemicals</v>
      </c>
      <c r="Y52" s="23" cm="1">
        <f t="array" aca="1" ref="Y52" ca="1">IFERROR(_FV(Tableau1[[#This Row],[Code Excel]],"P/E",TRUE),"")</f>
        <v>15.385999999999999</v>
      </c>
      <c r="Z52" s="43" cm="1">
        <f t="array" aca="1" ref="Z52" ca="1">IFERROR(_FV(Tableau1[[#This Row],[Code Excel]],"Employés"),"")</f>
        <v>21082</v>
      </c>
      <c r="AA52" s="46">
        <f ca="1">IFERROR(Tableau1[[#This Row],[Capitalisation boursière]]/Tableau1[[#This Row],[Employés]],"")</f>
        <v>259044.06602789109</v>
      </c>
      <c r="AB52" s="5" t="str">
        <f>IFERROR(Tableau1[[#This Row],[REX (2021)]]/Tableau1[[#This Row],[CA 2024]],"")</f>
        <v/>
      </c>
      <c r="AC52" s="9" t="str">
        <f>IFERROR(_xlfn.XLOOKUP(Tableau1[[#This Row],[Isin]]&amp;1&amp;2021,#REF!,Tableau3[Résultat d''exploitation]),"")</f>
        <v/>
      </c>
      <c r="AD52" s="9" t="str">
        <f>IFERROR(_xlfn.XLOOKUP(Tableau1[[#This Row],[Isin]]&amp;1&amp;2019,#REF!,Tableau3[Chiffre d''affaires]),"")</f>
        <v/>
      </c>
      <c r="AE52" s="9" t="str">
        <f>IFERROR(_xlfn.XLOOKUP(Tableau1[[#This Row],[Isin]]&amp;1&amp;2024,#REF!,Tableau3[Chiffre d''affaires]),"")</f>
        <v/>
      </c>
      <c r="AF52" s="8" t="str">
        <f>IFERROR(IF((Tableau1[[#This Row],[CA 2024]]-Tableau1[[#This Row],[CA 2019]])/Tableau1[[#This Row],[CA 2019]]=-1,"",(Tableau1[[#This Row],[CA 2024]]-Tableau1[[#This Row],[CA 2019]])/Tableau1[[#This Row],[CA 2019]]),"")</f>
        <v/>
      </c>
      <c r="AG52" s="9" t="str">
        <f>IFERROR(_xlfn.XLOOKUP(Tableau1[[#This Row],[Isin]]&amp;1&amp;2021,#REF!,Tableau3[EBE]),"")</f>
        <v/>
      </c>
      <c r="AH52" s="9" t="str">
        <f>IFERROR(_xlfn.XLOOKUP(Tableau1[[#This Row],[Isin]]&amp;1&amp;2022,#REF!,Tableau3[EBE]),"")</f>
        <v/>
      </c>
      <c r="AI52" s="43" t="s">
        <v>4329</v>
      </c>
      <c r="AJ52" s="43" t="s">
        <v>3150</v>
      </c>
      <c r="AK52" s="43" t="s">
        <v>3148</v>
      </c>
      <c r="AL52" s="43" t="s">
        <v>3148</v>
      </c>
      <c r="AM52" s="43"/>
      <c r="AN52" s="9" t="str">
        <f>IFERROR(_xlfn.XLOOKUP(Tableau1[[#This Row],[Isin]]&amp;1&amp;2021,#REF!,Tableau3[Chiffre d''affaires]),"")</f>
        <v/>
      </c>
      <c r="AO52" s="43" cm="1">
        <f t="array" aca="1" ref="AO52" ca="1">_FV(Tableau1[[#This Row],[Code Excel]],"P/E",TRUE)</f>
        <v>15.385999999999999</v>
      </c>
      <c r="AP52" s="43" t="str">
        <f>IFERROR(_xlfn.XLOOKUP(Tableau1[[#This Row],[Isin]]&amp;1&amp;2023,#REF!,Tableau3[Résultat Net (PdG)]),"")</f>
        <v/>
      </c>
      <c r="AQ52" s="43">
        <f>IF(IFERROR(_xlfn.XLOOKUP(Tableau1[[#This Row],[Isin]]&amp;1&amp;2022,#REF!,Tableau3[Résultat Net (PdG)]),"")="",Tableau1[[#This Row],[RN Groupe 2022
Manuel]],IFERROR(_xlfn.XLOOKUP(Tableau1[[#This Row],[Isin]]&amp;1&amp;2022,#REF!,Tableau3[Résultat Net (PdG)]),""))</f>
        <v>0</v>
      </c>
      <c r="AR52" s="43"/>
      <c r="AS52" s="43">
        <f>IF(IFERROR(_xlfn.XLOOKUP(Tableau1[[#This Row],[Isin]]&amp;1&amp;2021,#REF!,Tableau3[Résultat Net (PdG)]),"")="",Tableau1[[#This Row],[RN Groupe 2021
Manuel]],IFERROR(_xlfn.XLOOKUP(Tableau1[[#This Row],[Isin]]&amp;1&amp;2021,#REF!,Tableau3[Résultat Net (PdG)]),""))</f>
        <v>0</v>
      </c>
      <c r="AT52" s="43"/>
      <c r="AU52" s="43" t="str">
        <f>IFERROR(_xlfn.XLOOKUP(Tableau1[[#This Row],[Isin]]&amp;1&amp;2020,#REF!,Tableau3[Résultat Net (PdG)]),"")</f>
        <v/>
      </c>
      <c r="AV52" s="43" t="str">
        <f>IFERROR(_xlfn.XLOOKUP(Tableau1[[#This Row],[Isin]]&amp;1&amp;2019,#REF!,Tableau3[Résultat Net (PdG)]),"")</f>
        <v/>
      </c>
      <c r="AW52" s="43" t="str">
        <f>IFERROR(_xlfn.XLOOKUP(Tableau1[[#This Row],[Isin]]&amp;1&amp;2018,#REF!,Tableau3[Résultat Net (PdG)]),"")</f>
        <v/>
      </c>
      <c r="AX52" s="43" t="str">
        <f>IFERROR(_xlfn.XLOOKUP(Tableau1[[#This Row],[Isin]]&amp;1&amp;2017,#REF!,Tableau3[Résultat Net (PdG)]),"")</f>
        <v/>
      </c>
      <c r="AY52" s="43" t="str">
        <f>IFERROR(_xlfn.XLOOKUP(Tableau1[[#This Row],[Isin]]&amp;1&amp;2016,#REF!,Tableau3[Résultat Net (PdG)]),"")</f>
        <v/>
      </c>
      <c r="AZ52" s="137" t="str">
        <f ca="1">IFERROR(Tableau1[[#This Row],[Capitalisation boursière]]/Tableau1[[#This Row],[RN Groupe 2023]],"")</f>
        <v/>
      </c>
      <c r="BA52" s="4" t="str" cm="1">
        <f t="array" aca="1" ref="BA52" ca="1">IFERROR(_FV(Tableau1[[#This Row],[Code Excel]],"Industrie"),"")</f>
        <v>Chemicals</v>
      </c>
      <c r="BB52" s="43" t="s">
        <v>3477</v>
      </c>
      <c r="BC52" s="43" t="str">
        <f>IFERROR(_xlfn.XLOOKUP(Tableau1[[#This Row],[Isin]]&amp;1&amp;2016,#REF!,Tableau3[Capi]),"")</f>
        <v/>
      </c>
      <c r="BD52" s="43" t="str">
        <f>IFERROR(_xlfn.XLOOKUP(Tableau1[[#This Row],[Isin]]&amp;1&amp;2017,#REF!,Tableau3[Capi]),"")</f>
        <v/>
      </c>
      <c r="BE52" s="43" t="str">
        <f>IFERROR(_xlfn.XLOOKUP(Tableau1[[#This Row],[Isin]]&amp;1&amp;2018,#REF!,Tableau3[Capi]),"")</f>
        <v/>
      </c>
      <c r="BF52" s="43" t="str">
        <f>IFERROR(_xlfn.XLOOKUP(Tableau1[[#This Row],[Isin]]&amp;1&amp;2019,#REF!,Tableau3[Capi]),"")</f>
        <v/>
      </c>
      <c r="BG52" s="43" t="str">
        <f>IFERROR(_xlfn.XLOOKUP(Tableau1[[#This Row],[Isin]]&amp;1&amp;2020,#REF!,Tableau3[Capi]),"")</f>
        <v/>
      </c>
      <c r="BH52" s="43">
        <f>IF(IFERROR(_xlfn.XLOOKUP(Tableau1[[#This Row],[Isin]]&amp;1&amp;2021,#REF!,Tableau3[Capi]),"")="",Tableau1[[#This Row],[Capitalisation 2021
Manuel]],IFERROR(_xlfn.XLOOKUP(Tableau1[[#This Row],[Isin]]&amp;1&amp;2021,#REF!,Tableau3[Capi]),""))</f>
        <v>0</v>
      </c>
      <c r="BI52" s="43"/>
      <c r="BJ52" s="43">
        <f>IF(IFERROR(_xlfn.XLOOKUP(Tableau1[[#This Row],[Isin]]&amp;1&amp;2022,#REF!,Tableau3[Capi]),"")="",Tableau1[[#This Row],[Capitalisation 2022
Manuel]],IFERROR(_xlfn.XLOOKUP(Tableau1[[#This Row],[Isin]]&amp;1&amp;2022,#REF!,Tableau3[Capi]),""))</f>
        <v>0</v>
      </c>
      <c r="BK52" s="43"/>
      <c r="BL52" s="43">
        <f ca="1">Tableau1[[#This Row],[Capitalisation boursière]]</f>
        <v>5461167000</v>
      </c>
      <c r="BM52" s="162" t="str" cm="1">
        <f t="array" aca="1" ref="BM52" ca="1">_FV(Tableau1[[#This Row],[Code Excel]],"Description")</f>
        <v>Arkema sa est un producteur de produits chimiques basé en France, qui fournit des produits chimiques de spécialité et des matériaux avancés. La société fabrique une gamme de produits pour les industries, y compris la construction, l'emballage, la chimie, l'automobile, industrie électronique, alimentaire et pharmaceutique. La société opère dans cinq secteurs d'activité : matériaux avancés qui comprennent des polymères haute performance, des tensioactifs spéciaux, des tamis moléculaires, des peroxydes organiques, des composés oxygénés, AC ; adhésifs qui comprennent des mastics, des adhésifs pour sols et carrelages, des produits imperméabilisants, etc ; solutions de revêtement qui comprennent des résines, des émulsions pour adhésifs, des produits de revêtement de surface, des absorbants, etc; les produits intermédiaires qui comprennent les polymères thermoplastiques (PMMA), le polyméthacrylate de méthyle, les produits acryliques, les gaz fluorés, etc. La Société possède des centres de production situés en Europe, en Amérique du Nord et en Asie. Elle opère par l'intermédiaire d'un réseau de filiales, comme XL Brands.</v>
      </c>
      <c r="BN52" s="43"/>
      <c r="BO52" s="43"/>
      <c r="BP52" s="43"/>
      <c r="BQ52" s="43"/>
      <c r="BR52" s="4"/>
      <c r="BS52" s="21"/>
      <c r="BT52" s="13"/>
      <c r="BU52" s="13"/>
      <c r="BV52" s="13"/>
      <c r="BW52" s="13"/>
      <c r="BX52" s="3"/>
      <c r="BY52" s="3" t="s">
        <v>2828</v>
      </c>
      <c r="BZ52" s="47"/>
      <c r="CA52" s="47"/>
      <c r="CC52" s="25"/>
    </row>
    <row r="53" spans="3:82">
      <c r="C53" s="42"/>
      <c r="D53" s="42">
        <f>IF(Tableau1[[#This Row],[Isin]]="",99,Tableau1[[#This Row],[Intérêt]]+Tableau1[[#This Row],[Valeur d''intérêt]]+Tableau1[[#This Row],[N° Portefeuille]])</f>
        <v>30</v>
      </c>
      <c r="E53" s="42"/>
      <c r="F53" s="42">
        <f>IF(Tableau1[[#This Row],[Portefeuille]]="p",0,Tableau1[[#This Row],[F. Investissement
Niveau d''intérêt]]*10)</f>
        <v>30</v>
      </c>
      <c r="G53" s="42">
        <f>IF(Tableau1[[#This Row],[Portefeuille]]="p",3,0)</f>
        <v>0</v>
      </c>
      <c r="H53" s="42">
        <v>3</v>
      </c>
      <c r="I53" s="42">
        <v>4</v>
      </c>
      <c r="J53" s="42"/>
      <c r="K53" s="43"/>
      <c r="L53" s="16">
        <v>0</v>
      </c>
      <c r="M5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3" s="44" t="s">
        <v>3592</v>
      </c>
      <c r="O53" s="45"/>
      <c r="P53" s="4" t="s">
        <v>427</v>
      </c>
      <c r="Q53" s="4"/>
      <c r="R53" s="6"/>
      <c r="S53" s="6" t="s">
        <v>3593</v>
      </c>
      <c r="T53" s="6" t="e" vm="42">
        <v>#VALUE!</v>
      </c>
      <c r="U53" s="46" cm="1">
        <f t="array" aca="1" ref="U53" ca="1">IFERROR(_FV(Tableau1[[#This Row],[Code Excel]],"Capitalisation boursière",TRUE),"")</f>
        <v>21290200000</v>
      </c>
      <c r="V53" s="4" t="str" cm="1">
        <f t="array" aca="1" ref="V53" ca="1">IFERROR(_FV(Tableau1[[#This Row],[Code Excel]],"Industrie"),"")</f>
        <v>Semiconductors &amp; Semiconductor Equipment</v>
      </c>
      <c r="W53" s="4" t="s">
        <v>4371</v>
      </c>
      <c r="X53" s="4" t="str">
        <f ca="1">Tableau1[[#This Row],[Grand Secteur]]&amp;Tableau1[[#This Row],[Industrie]]</f>
        <v>Equipement TechnologiqueSemiconductors &amp; Semiconductor Equipment</v>
      </c>
      <c r="Y53" s="23" cm="1">
        <f t="array" aca="1" ref="Y53" ca="1">IFERROR(_FV(Tableau1[[#This Row],[Code Excel]],"P/E",TRUE),"")</f>
        <v>30.921099999999999</v>
      </c>
      <c r="Z53" s="43" cm="1">
        <f t="array" aca="1" ref="Z53" ca="1">IFERROR(_FV(Tableau1[[#This Row],[Code Excel]],"Employés"),"")</f>
        <v>4617</v>
      </c>
      <c r="AA53" s="46">
        <f ca="1">IFERROR(Tableau1[[#This Row],[Capitalisation boursière]]/Tableau1[[#This Row],[Employés]],"")</f>
        <v>4611262.7247130172</v>
      </c>
      <c r="AB53" s="5" t="str">
        <f>IFERROR(Tableau1[[#This Row],[REX (2021)]]/Tableau1[[#This Row],[CA 2024]],"")</f>
        <v/>
      </c>
      <c r="AC53" s="9" t="str">
        <f>IFERROR(_xlfn.XLOOKUP(Tableau1[[#This Row],[Isin]]&amp;1&amp;2021,#REF!,Tableau3[Résultat d''exploitation]),"")</f>
        <v/>
      </c>
      <c r="AD53" s="9" t="str">
        <f>IFERROR(_xlfn.XLOOKUP(Tableau1[[#This Row],[Isin]]&amp;1&amp;2019,#REF!,Tableau3[Chiffre d''affaires]),"")</f>
        <v/>
      </c>
      <c r="AE53" s="9" t="str">
        <f>IFERROR(_xlfn.XLOOKUP(Tableau1[[#This Row],[Isin]]&amp;1&amp;2024,#REF!,Tableau3[Chiffre d''affaires]),"")</f>
        <v/>
      </c>
      <c r="AF53" s="8" t="str">
        <f>IFERROR(IF((Tableau1[[#This Row],[CA 2024]]-Tableau1[[#This Row],[CA 2019]])/Tableau1[[#This Row],[CA 2019]]=-1,"",(Tableau1[[#This Row],[CA 2024]]-Tableau1[[#This Row],[CA 2019]])/Tableau1[[#This Row],[CA 2019]]),"")</f>
        <v/>
      </c>
      <c r="AG53" s="9" t="str">
        <f>IFERROR(_xlfn.XLOOKUP(Tableau1[[#This Row],[Isin]]&amp;1&amp;2021,#REF!,Tableau3[EBE]),"")</f>
        <v/>
      </c>
      <c r="AH53" s="9" t="str">
        <f>IFERROR(_xlfn.XLOOKUP(Tableau1[[#This Row],[Isin]]&amp;1&amp;2022,#REF!,Tableau3[EBE]),"")</f>
        <v/>
      </c>
      <c r="AI53" s="43" t="s">
        <v>4324</v>
      </c>
      <c r="AJ53" s="43" t="s">
        <v>4348</v>
      </c>
      <c r="AK53" s="43" t="s">
        <v>3149</v>
      </c>
      <c r="AL53" s="43"/>
      <c r="AM53" s="43"/>
      <c r="AN53" s="9" t="str">
        <f>IFERROR(_xlfn.XLOOKUP(Tableau1[[#This Row],[Isin]]&amp;1&amp;2021,#REF!,Tableau3[Chiffre d''affaires]),"")</f>
        <v/>
      </c>
      <c r="AO53" s="43" cm="1">
        <f t="array" aca="1" ref="AO53" ca="1">_FV(Tableau1[[#This Row],[Code Excel]],"P/E",TRUE)</f>
        <v>30.921099999999999</v>
      </c>
      <c r="AP53" s="43" t="str">
        <f>IFERROR(_xlfn.XLOOKUP(Tableau1[[#This Row],[Isin]]&amp;1&amp;2023,#REF!,Tableau3[Résultat Net (PdG)]),"")</f>
        <v/>
      </c>
      <c r="AQ53" s="43">
        <f>IF(IFERROR(_xlfn.XLOOKUP(Tableau1[[#This Row],[Isin]]&amp;1&amp;2022,#REF!,Tableau3[Résultat Net (PdG)]),"")="",Tableau1[[#This Row],[RN Groupe 2022
Manuel]],IFERROR(_xlfn.XLOOKUP(Tableau1[[#This Row],[Isin]]&amp;1&amp;2022,#REF!,Tableau3[Résultat Net (PdG)]),""))</f>
        <v>0</v>
      </c>
      <c r="AR53" s="43"/>
      <c r="AS53" s="43">
        <f>IF(IFERROR(_xlfn.XLOOKUP(Tableau1[[#This Row],[Isin]]&amp;1&amp;2021,#REF!,Tableau3[Résultat Net (PdG)]),"")="",Tableau1[[#This Row],[RN Groupe 2021
Manuel]],IFERROR(_xlfn.XLOOKUP(Tableau1[[#This Row],[Isin]]&amp;1&amp;2021,#REF!,Tableau3[Résultat Net (PdG)]),""))</f>
        <v>0</v>
      </c>
      <c r="AT53" s="43"/>
      <c r="AU53" s="43" t="str">
        <f>IFERROR(_xlfn.XLOOKUP(Tableau1[[#This Row],[Isin]]&amp;1&amp;2020,#REF!,Tableau3[Résultat Net (PdG)]),"")</f>
        <v/>
      </c>
      <c r="AV53" s="43" t="str">
        <f>IFERROR(_xlfn.XLOOKUP(Tableau1[[#This Row],[Isin]]&amp;1&amp;2019,#REF!,Tableau3[Résultat Net (PdG)]),"")</f>
        <v/>
      </c>
      <c r="AW53" s="43" t="str">
        <f>IFERROR(_xlfn.XLOOKUP(Tableau1[[#This Row],[Isin]]&amp;1&amp;2018,#REF!,Tableau3[Résultat Net (PdG)]),"")</f>
        <v/>
      </c>
      <c r="AX53" s="43" t="str">
        <f>IFERROR(_xlfn.XLOOKUP(Tableau1[[#This Row],[Isin]]&amp;1&amp;2017,#REF!,Tableau3[Résultat Net (PdG)]),"")</f>
        <v/>
      </c>
      <c r="AY53" s="43" t="str">
        <f>IFERROR(_xlfn.XLOOKUP(Tableau1[[#This Row],[Isin]]&amp;1&amp;2016,#REF!,Tableau3[Résultat Net (PdG)]),"")</f>
        <v/>
      </c>
      <c r="AZ53" s="137" t="str">
        <f ca="1">IFERROR(Tableau1[[#This Row],[Capitalisation boursière]]/Tableau1[[#This Row],[RN Groupe 2023]],"")</f>
        <v/>
      </c>
      <c r="BA53" s="4" t="str" cm="1">
        <f t="array" aca="1" ref="BA53" ca="1">IFERROR(_FV(Tableau1[[#This Row],[Code Excel]],"Industrie"),"")</f>
        <v>Semiconductors &amp; Semiconductor Equipment</v>
      </c>
      <c r="BB53" s="43" t="s">
        <v>3496</v>
      </c>
      <c r="BC53" s="43" t="str">
        <f>IFERROR(_xlfn.XLOOKUP(Tableau1[[#This Row],[Isin]]&amp;1&amp;2016,#REF!,Tableau3[Capi]),"")</f>
        <v/>
      </c>
      <c r="BD53" s="43" t="str">
        <f>IFERROR(_xlfn.XLOOKUP(Tableau1[[#This Row],[Isin]]&amp;1&amp;2017,#REF!,Tableau3[Capi]),"")</f>
        <v/>
      </c>
      <c r="BE53" s="43" t="str">
        <f>IFERROR(_xlfn.XLOOKUP(Tableau1[[#This Row],[Isin]]&amp;1&amp;2018,#REF!,Tableau3[Capi]),"")</f>
        <v/>
      </c>
      <c r="BF53" s="43" t="str">
        <f>IFERROR(_xlfn.XLOOKUP(Tableau1[[#This Row],[Isin]]&amp;1&amp;2019,#REF!,Tableau3[Capi]),"")</f>
        <v/>
      </c>
      <c r="BG53" s="43" t="str">
        <f>IFERROR(_xlfn.XLOOKUP(Tableau1[[#This Row],[Isin]]&amp;1&amp;2020,#REF!,Tableau3[Capi]),"")</f>
        <v/>
      </c>
      <c r="BH53" s="43">
        <f>IF(IFERROR(_xlfn.XLOOKUP(Tableau1[[#This Row],[Isin]]&amp;1&amp;2021,#REF!,Tableau3[Capi]),"")="",Tableau1[[#This Row],[Capitalisation 2021
Manuel]],IFERROR(_xlfn.XLOOKUP(Tableau1[[#This Row],[Isin]]&amp;1&amp;2021,#REF!,Tableau3[Capi]),""))</f>
        <v>0</v>
      </c>
      <c r="BI53" s="43"/>
      <c r="BJ53" s="43">
        <f>IF(IFERROR(_xlfn.XLOOKUP(Tableau1[[#This Row],[Isin]]&amp;1&amp;2022,#REF!,Tableau3[Capi]),"")="",Tableau1[[#This Row],[Capitalisation 2022
Manuel]],IFERROR(_xlfn.XLOOKUP(Tableau1[[#This Row],[Isin]]&amp;1&amp;2022,#REF!,Tableau3[Capi]),""))</f>
        <v>0</v>
      </c>
      <c r="BK53" s="43"/>
      <c r="BL53" s="43">
        <f ca="1">Tableau1[[#This Row],[Capitalisation boursière]]</f>
        <v>21290200000</v>
      </c>
      <c r="BM53" s="162" t="str" cm="1">
        <f t="array" aca="1" ref="BM53" ca="1">_FV(Tableau1[[#This Row],[Code Excel]],"Description")</f>
        <v>ASM International N.V. est un fournisseur d'équipement de traitement de plaquettes, principalement pour l'industrie manufacturière de semi-conducteurs. La société conçoit, fabrique et vend de l'équipement et des services à ses clients pour la production de dispositifs semi-conducteurs ou de circuits intégrés (CI). La Société opère dans deux segments, dont le front-end et le back-end. Le segment frontal fabrique et vend des équipements utilisés dans le traitement des plaquettes, englobant les étapes de fabrication dans lesquelles les plaquettes de silicium sont en couches avec des dispositifs semi-conducteurs. Le segment avant comprend les activités de fabrication, de service et de vente en Europe, aux États-Unis, au Japon et en Asie du Sud-Est. Le secteur Back-end fabrique et vend des équipements et des matériaux utilisés dans l'assemblage et l'emballage, englobant les processus dans lesquels les plaquettes de silicium sont séparées en circuits individuels. La Société fournit des équipements aux fabricants de dispositifs semi-conducteurs analogiques principalement pour le dépôt de films minces.</v>
      </c>
      <c r="BN53" s="43"/>
      <c r="BO53" s="43"/>
      <c r="BP53" s="43"/>
      <c r="BQ53" s="43"/>
      <c r="BR53" s="4"/>
      <c r="BS53" s="21"/>
      <c r="BT53" s="13"/>
      <c r="BU53" s="13"/>
      <c r="BV53" s="13"/>
      <c r="BW53" s="13"/>
      <c r="BX53" s="13"/>
      <c r="BY53" s="3" t="s">
        <v>513</v>
      </c>
      <c r="BZ53" s="47">
        <v>0.1615</v>
      </c>
      <c r="CA53" s="47"/>
      <c r="CC53" s="25"/>
    </row>
    <row r="54" spans="3:82">
      <c r="C54" s="43"/>
      <c r="D54" s="42">
        <f>IF(Tableau1[[#This Row],[Isin]]="",99,Tableau1[[#This Row],[Intérêt]]+Tableau1[[#This Row],[Valeur d''intérêt]]+Tableau1[[#This Row],[N° Portefeuille]])</f>
        <v>20</v>
      </c>
      <c r="E54" s="43"/>
      <c r="F54" s="42">
        <f>IF(Tableau1[[#This Row],[Portefeuille]]="p",0,Tableau1[[#This Row],[F. Investissement
Niveau d''intérêt]]*10)</f>
        <v>20</v>
      </c>
      <c r="G54" s="43">
        <f>IF(Tableau1[[#This Row],[Portefeuille]]="p",3,0)</f>
        <v>0</v>
      </c>
      <c r="H54" s="43">
        <v>2</v>
      </c>
      <c r="I54" s="43">
        <v>4</v>
      </c>
      <c r="J54" s="43"/>
      <c r="K54" s="43"/>
      <c r="L54" s="16">
        <v>1</v>
      </c>
      <c r="M5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4" s="44" t="s">
        <v>3596</v>
      </c>
      <c r="O54" s="45"/>
      <c r="P54" s="4" t="s">
        <v>427</v>
      </c>
      <c r="Q54" s="4"/>
      <c r="R54" s="6"/>
      <c r="S54" s="6" t="s">
        <v>2681</v>
      </c>
      <c r="T54" s="6" t="e" vm="43">
        <v>#VALUE!</v>
      </c>
      <c r="U54" s="46" cm="1">
        <f t="array" aca="1" ref="U54" ca="1">IFERROR(_FV(Tableau1[[#This Row],[Code Excel]],"Capitalisation boursière",TRUE),"")</f>
        <v>246380500000</v>
      </c>
      <c r="V54" s="4" t="str" cm="1">
        <f t="array" aca="1" ref="V54" ca="1">IFERROR(_FV(Tableau1[[#This Row],[Code Excel]],"Industrie"),"")</f>
        <v>Semiconductors &amp; Semiconductor Equipment</v>
      </c>
      <c r="W54" s="4" t="s">
        <v>4371</v>
      </c>
      <c r="X54" s="4" t="str">
        <f ca="1">Tableau1[[#This Row],[Grand Secteur]]&amp;Tableau1[[#This Row],[Industrie]]</f>
        <v>Equipement TechnologiqueSemiconductors &amp; Semiconductor Equipment</v>
      </c>
      <c r="Y54" s="23" cm="1">
        <f t="array" aca="1" ref="Y54" ca="1">IFERROR(_FV(Tableau1[[#This Row],[Code Excel]],"P/E",TRUE),"")</f>
        <v>32.502899999999997</v>
      </c>
      <c r="Z54" s="43" cm="1">
        <f t="array" aca="1" ref="Z54" ca="1">IFERROR(_FV(Tableau1[[#This Row],[Code Excel]],"Employés"),"")</f>
        <v>42786</v>
      </c>
      <c r="AA54" s="46">
        <f ca="1">IFERROR(Tableau1[[#This Row],[Capitalisation boursière]]/Tableau1[[#This Row],[Employés]],"")</f>
        <v>5758437.3393165991</v>
      </c>
      <c r="AB54" s="5" t="str">
        <f>IFERROR(Tableau1[[#This Row],[REX (2021)]]/Tableau1[[#This Row],[CA 2024]],"")</f>
        <v/>
      </c>
      <c r="AC54" s="9" t="str">
        <f>IFERROR(_xlfn.XLOOKUP(Tableau1[[#This Row],[Isin]]&amp;1&amp;2021,#REF!,Tableau3[Résultat d''exploitation]),"")</f>
        <v/>
      </c>
      <c r="AD54" s="9" t="str">
        <f>IFERROR(_xlfn.XLOOKUP(Tableau1[[#This Row],[Isin]]&amp;1&amp;2019,#REF!,Tableau3[Chiffre d''affaires]),"")</f>
        <v/>
      </c>
      <c r="AE54" s="9" t="str">
        <f>IFERROR(_xlfn.XLOOKUP(Tableau1[[#This Row],[Isin]]&amp;1&amp;2024,#REF!,Tableau3[Chiffre d''affaires]),"")</f>
        <v/>
      </c>
      <c r="AF54" s="8" t="str">
        <f>IFERROR(IF((Tableau1[[#This Row],[CA 2024]]-Tableau1[[#This Row],[CA 2019]])/Tableau1[[#This Row],[CA 2019]]=-1,"",(Tableau1[[#This Row],[CA 2024]]-Tableau1[[#This Row],[CA 2019]])/Tableau1[[#This Row],[CA 2019]]),"")</f>
        <v/>
      </c>
      <c r="AG54" s="9" t="str">
        <f>IFERROR(_xlfn.XLOOKUP(Tableau1[[#This Row],[Isin]]&amp;1&amp;2021,#REF!,Tableau3[EBE]),"")</f>
        <v/>
      </c>
      <c r="AH54" s="9" t="str">
        <f>IFERROR(_xlfn.XLOOKUP(Tableau1[[#This Row],[Isin]]&amp;1&amp;2022,#REF!,Tableau3[EBE]),"")</f>
        <v/>
      </c>
      <c r="AI54" s="43" t="s">
        <v>4324</v>
      </c>
      <c r="AJ54" s="43" t="s">
        <v>4348</v>
      </c>
      <c r="AK54" s="43" t="s">
        <v>3149</v>
      </c>
      <c r="AL54" s="43"/>
      <c r="AM54" s="43"/>
      <c r="AN54" s="9" t="str">
        <f>IFERROR(_xlfn.XLOOKUP(Tableau1[[#This Row],[Isin]]&amp;1&amp;2021,#REF!,Tableau3[Chiffre d''affaires]),"")</f>
        <v/>
      </c>
      <c r="AO54" s="43" cm="1">
        <f t="array" aca="1" ref="AO54" ca="1">_FV(Tableau1[[#This Row],[Code Excel]],"P/E",TRUE)</f>
        <v>32.502899999999997</v>
      </c>
      <c r="AP54" s="43" t="str">
        <f>IFERROR(_xlfn.XLOOKUP(Tableau1[[#This Row],[Isin]]&amp;1&amp;2023,#REF!,Tableau3[Résultat Net (PdG)]),"")</f>
        <v/>
      </c>
      <c r="AQ54" s="43">
        <f>IF(IFERROR(_xlfn.XLOOKUP(Tableau1[[#This Row],[Isin]]&amp;1&amp;2022,#REF!,Tableau3[Résultat Net (PdG)]),"")="",Tableau1[[#This Row],[RN Groupe 2022
Manuel]],IFERROR(_xlfn.XLOOKUP(Tableau1[[#This Row],[Isin]]&amp;1&amp;2022,#REF!,Tableau3[Résultat Net (PdG)]),""))</f>
        <v>0</v>
      </c>
      <c r="AR54" s="43"/>
      <c r="AS54" s="43">
        <f>IF(IFERROR(_xlfn.XLOOKUP(Tableau1[[#This Row],[Isin]]&amp;1&amp;2021,#REF!,Tableau3[Résultat Net (PdG)]),"")="",Tableau1[[#This Row],[RN Groupe 2021
Manuel]],IFERROR(_xlfn.XLOOKUP(Tableau1[[#This Row],[Isin]]&amp;1&amp;2021,#REF!,Tableau3[Résultat Net (PdG)]),""))</f>
        <v>0</v>
      </c>
      <c r="AT54" s="43"/>
      <c r="AU54" s="43" t="str">
        <f>IFERROR(_xlfn.XLOOKUP(Tableau1[[#This Row],[Isin]]&amp;1&amp;2020,#REF!,Tableau3[Résultat Net (PdG)]),"")</f>
        <v/>
      </c>
      <c r="AV54" s="43" t="str">
        <f>IFERROR(_xlfn.XLOOKUP(Tableau1[[#This Row],[Isin]]&amp;1&amp;2019,#REF!,Tableau3[Résultat Net (PdG)]),"")</f>
        <v/>
      </c>
      <c r="AW54" s="43" t="str">
        <f>IFERROR(_xlfn.XLOOKUP(Tableau1[[#This Row],[Isin]]&amp;1&amp;2018,#REF!,Tableau3[Résultat Net (PdG)]),"")</f>
        <v/>
      </c>
      <c r="AX54" s="43" t="str">
        <f>IFERROR(_xlfn.XLOOKUP(Tableau1[[#This Row],[Isin]]&amp;1&amp;2017,#REF!,Tableau3[Résultat Net (PdG)]),"")</f>
        <v/>
      </c>
      <c r="AY54" s="43" t="str">
        <f>IFERROR(_xlfn.XLOOKUP(Tableau1[[#This Row],[Isin]]&amp;1&amp;2016,#REF!,Tableau3[Résultat Net (PdG)]),"")</f>
        <v/>
      </c>
      <c r="AZ54" s="137" t="str">
        <f ca="1">IFERROR(Tableau1[[#This Row],[Capitalisation boursière]]/Tableau1[[#This Row],[RN Groupe 2023]],"")</f>
        <v/>
      </c>
      <c r="BA54" s="4" t="str" cm="1">
        <f t="array" aca="1" ref="BA54" ca="1">IFERROR(_FV(Tableau1[[#This Row],[Code Excel]],"Industrie"),"")</f>
        <v>Semiconductors &amp; Semiconductor Equipment</v>
      </c>
      <c r="BB54" s="43" t="s">
        <v>3496</v>
      </c>
      <c r="BC54" s="43" t="str">
        <f>IFERROR(_xlfn.XLOOKUP(Tableau1[[#This Row],[Isin]]&amp;1&amp;2016,#REF!,Tableau3[Capi]),"")</f>
        <v/>
      </c>
      <c r="BD54" s="43" t="str">
        <f>IFERROR(_xlfn.XLOOKUP(Tableau1[[#This Row],[Isin]]&amp;1&amp;2017,#REF!,Tableau3[Capi]),"")</f>
        <v/>
      </c>
      <c r="BE54" s="43" t="str">
        <f>IFERROR(_xlfn.XLOOKUP(Tableau1[[#This Row],[Isin]]&amp;1&amp;2018,#REF!,Tableau3[Capi]),"")</f>
        <v/>
      </c>
      <c r="BF54" s="43" t="str">
        <f>IFERROR(_xlfn.XLOOKUP(Tableau1[[#This Row],[Isin]]&amp;1&amp;2019,#REF!,Tableau3[Capi]),"")</f>
        <v/>
      </c>
      <c r="BG54" s="43" t="str">
        <f>IFERROR(_xlfn.XLOOKUP(Tableau1[[#This Row],[Isin]]&amp;1&amp;2020,#REF!,Tableau3[Capi]),"")</f>
        <v/>
      </c>
      <c r="BH54" s="43">
        <f>IF(IFERROR(_xlfn.XLOOKUP(Tableau1[[#This Row],[Isin]]&amp;1&amp;2021,#REF!,Tableau3[Capi]),"")="",Tableau1[[#This Row],[Capitalisation 2021
Manuel]],IFERROR(_xlfn.XLOOKUP(Tableau1[[#This Row],[Isin]]&amp;1&amp;2021,#REF!,Tableau3[Capi]),""))</f>
        <v>0</v>
      </c>
      <c r="BI54" s="43"/>
      <c r="BJ54" s="43">
        <f>IF(IFERROR(_xlfn.XLOOKUP(Tableau1[[#This Row],[Isin]]&amp;1&amp;2022,#REF!,Tableau3[Capi]),"")="",Tableau1[[#This Row],[Capitalisation 2022
Manuel]],IFERROR(_xlfn.XLOOKUP(Tableau1[[#This Row],[Isin]]&amp;1&amp;2022,#REF!,Tableau3[Capi]),""))</f>
        <v>0</v>
      </c>
      <c r="BK54" s="43"/>
      <c r="BL54" s="43">
        <f ca="1">Tableau1[[#This Row],[Capitalisation boursière]]</f>
        <v>246380500000</v>
      </c>
      <c r="BM54" s="162" t="str" cm="1">
        <f t="array" aca="1" ref="BM54" ca="1">_FV(Tableau1[[#This Row],[Code Excel]],"Description")</f>
        <v>ASML Holding N.V. est une société holding basée aux Pays-Bas. La Société exerce ses activités par l’intermédiaire de ses filiales aux Pays-Bas, aux États-Unis, en Italie, en France, en Allemagne, au Royaume-Uni, en Irlande, en Belgique, en Corée du Sud, à Taïwan, à Singapour, en Chine, à Hong Kong, au Japon, en Malaisie et en Israël. La société opère par l’intermédiaire d’un segment d’activité qui est engagé dans le développement, la production, la commercialisation, la vente, la mise à niveau et l’entretien des systèmes avancés d’équipement de semi-conducteurs, composé de lithographie, métrologie et systèmes d’inspection. La société propose des systèmes TWINSCAN, équipés d’un système de lithographie avec une lampe au mercure comme source de lumière (i-line), Krypton Fluoride (KrF) et Argon Fluoride (ArF) sources de lumière pour le traitement des wafers pour les environnements de fabrication pour lesquels l’imagerie à une petite résolution est nécessaire. Les systèmes TWINSCAN comprennent également des systèmes de lithographie par immersion (systèmes d’immersion TWINSCAN).</v>
      </c>
      <c r="BN54" s="43"/>
      <c r="BO54" s="43"/>
      <c r="BP54" s="43"/>
      <c r="BQ54" s="43"/>
      <c r="BR54" s="4"/>
      <c r="BS54" s="21"/>
      <c r="BT54" s="13"/>
      <c r="BU54" s="13"/>
      <c r="BV54" s="13"/>
      <c r="BW54" s="13"/>
      <c r="BX54" s="13"/>
      <c r="BY54" s="3" t="s">
        <v>3270</v>
      </c>
      <c r="BZ54" s="47"/>
      <c r="CA54" s="47"/>
      <c r="CB54" s="50" t="s">
        <v>4320</v>
      </c>
      <c r="CC54" s="25"/>
    </row>
    <row r="55" spans="3:82">
      <c r="C55" s="42"/>
      <c r="D55" s="42">
        <f>IF(Tableau1[[#This Row],[Isin]]="",99,Tableau1[[#This Row],[Intérêt]]+Tableau1[[#This Row],[Valeur d''intérêt]]+Tableau1[[#This Row],[N° Portefeuille]])</f>
        <v>20</v>
      </c>
      <c r="E55" s="42"/>
      <c r="F55" s="42">
        <f>IF(Tableau1[[#This Row],[Portefeuille]]="p",0,Tableau1[[#This Row],[F. Investissement
Niveau d''intérêt]]*10)</f>
        <v>20</v>
      </c>
      <c r="G55" s="42">
        <f>IF(Tableau1[[#This Row],[Portefeuille]]="p",3,0)</f>
        <v>0</v>
      </c>
      <c r="H55" s="42">
        <v>2</v>
      </c>
      <c r="I55" s="42">
        <v>2</v>
      </c>
      <c r="J55" s="42"/>
      <c r="K55" s="43"/>
      <c r="L55" s="16">
        <v>1</v>
      </c>
      <c r="M5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5" s="44" t="s">
        <v>3237</v>
      </c>
      <c r="O55" s="44" t="s">
        <v>1592</v>
      </c>
      <c r="P55" s="4" t="s">
        <v>1644</v>
      </c>
      <c r="Q55" s="6" t="s">
        <v>383</v>
      </c>
      <c r="R55" s="6"/>
      <c r="S55" s="6" t="s">
        <v>1646</v>
      </c>
      <c r="T55" s="6" t="e" vm="44">
        <v>#VALUE!</v>
      </c>
      <c r="U55" s="55" cm="1">
        <f t="array" aca="1" ref="U55" ca="1">IFERROR(_FV(Tableau1[[#This Row],[Code Excel]],"Capitalisation boursière",TRUE),"")</f>
        <v>177113600000</v>
      </c>
      <c r="V55" s="4" t="str" cm="1">
        <f t="array" aca="1" ref="V55" ca="1">IFERROR(_FV(Tableau1[[#This Row],[Code Excel]],"Industrie"),"")</f>
        <v>Pharmaceuticals</v>
      </c>
      <c r="W55" s="4" t="s">
        <v>1586</v>
      </c>
      <c r="X55" s="4" t="str">
        <f ca="1">Tableau1[[#This Row],[Grand Secteur]]&amp;Tableau1[[#This Row],[Industrie]]</f>
        <v>SantéPharmaceuticals</v>
      </c>
      <c r="Y55" s="23" cm="1">
        <f t="array" aca="1" ref="Y55" ca="1">IFERROR(_FV(Tableau1[[#This Row],[Code Excel]],"P/E",TRUE),"")</f>
        <v>31.2</v>
      </c>
      <c r="Z55" s="43" cm="1">
        <f t="array" aca="1" ref="Z55" ca="1">IFERROR(_FV(Tableau1[[#This Row],[Code Excel]],"Employés"),"")</f>
        <v>94300</v>
      </c>
      <c r="AA55" s="49">
        <f ca="1">IFERROR(Tableau1[[#This Row],[Capitalisation boursière]]/Tableau1[[#This Row],[Employés]],"")</f>
        <v>1878193.0010604453</v>
      </c>
      <c r="AB55" s="5" t="str">
        <f>IFERROR(Tableau1[[#This Row],[REX (2021)]]/Tableau1[[#This Row],[CA 2024]],"")</f>
        <v/>
      </c>
      <c r="AC55" s="9" t="str">
        <f>IFERROR(_xlfn.XLOOKUP(Tableau1[[#This Row],[Isin]]&amp;1&amp;2021,#REF!,Tableau3[Résultat d''exploitation]),"")</f>
        <v/>
      </c>
      <c r="AD55" s="9" t="str">
        <f>IFERROR(_xlfn.XLOOKUP(Tableau1[[#This Row],[Isin]]&amp;1&amp;2019,#REF!,Tableau3[Chiffre d''affaires]),"")</f>
        <v/>
      </c>
      <c r="AE55" s="9" t="str">
        <f>IFERROR(_xlfn.XLOOKUP(Tableau1[[#This Row],[Isin]]&amp;1&amp;2024,#REF!,Tableau3[Chiffre d''affaires]),"")</f>
        <v/>
      </c>
      <c r="AF55" s="8" t="str">
        <f>IFERROR(IF((Tableau1[[#This Row],[CA 2024]]-Tableau1[[#This Row],[CA 2019]])/Tableau1[[#This Row],[CA 2019]]=-1,"",(Tableau1[[#This Row],[CA 2024]]-Tableau1[[#This Row],[CA 2019]])/Tableau1[[#This Row],[CA 2019]]),"")</f>
        <v/>
      </c>
      <c r="AG55" s="9" t="str">
        <f>IFERROR(_xlfn.XLOOKUP(Tableau1[[#This Row],[Isin]]&amp;1&amp;2021,#REF!,Tableau3[EBE]),"")</f>
        <v/>
      </c>
      <c r="AH55" s="9" t="str">
        <f>IFERROR(_xlfn.XLOOKUP(Tableau1[[#This Row],[Isin]]&amp;1&amp;2022,#REF!,Tableau3[EBE]),"")</f>
        <v/>
      </c>
      <c r="AI55" s="13" t="s">
        <v>4324</v>
      </c>
      <c r="AJ55" s="13" t="s">
        <v>4322</v>
      </c>
      <c r="AK55" s="13" t="s">
        <v>3148</v>
      </c>
      <c r="AL55" s="43" t="s">
        <v>4343</v>
      </c>
      <c r="AM55" s="43"/>
      <c r="AN55" s="9" t="str">
        <f>IFERROR(_xlfn.XLOOKUP(Tableau1[[#This Row],[Isin]]&amp;1&amp;2021,#REF!,Tableau3[Chiffre d''affaires]),"")</f>
        <v/>
      </c>
      <c r="AO55" s="43" cm="1">
        <f t="array" aca="1" ref="AO55" ca="1">_FV(Tableau1[[#This Row],[Code Excel]],"P/E",TRUE)</f>
        <v>31.2</v>
      </c>
      <c r="AP55" s="43" t="str">
        <f>IFERROR(_xlfn.XLOOKUP(Tableau1[[#This Row],[Isin]]&amp;1&amp;2023,#REF!,Tableau3[Résultat Net (PdG)]),"")</f>
        <v/>
      </c>
      <c r="AQ55" s="43">
        <f>IF(IFERROR(_xlfn.XLOOKUP(Tableau1[[#This Row],[Isin]]&amp;1&amp;2022,#REF!,Tableau3[Résultat Net (PdG)]),"")="",Tableau1[[#This Row],[RN Groupe 2022
Manuel]],IFERROR(_xlfn.XLOOKUP(Tableau1[[#This Row],[Isin]]&amp;1&amp;2022,#REF!,Tableau3[Résultat Net (PdG)]),""))</f>
        <v>0</v>
      </c>
      <c r="AR55" s="43"/>
      <c r="AS55" s="43">
        <f>IF(IFERROR(_xlfn.XLOOKUP(Tableau1[[#This Row],[Isin]]&amp;1&amp;2021,#REF!,Tableau3[Résultat Net (PdG)]),"")="",Tableau1[[#This Row],[RN Groupe 2021
Manuel]],IFERROR(_xlfn.XLOOKUP(Tableau1[[#This Row],[Isin]]&amp;1&amp;2021,#REF!,Tableau3[Résultat Net (PdG)]),""))</f>
        <v>0</v>
      </c>
      <c r="AT55" s="43"/>
      <c r="AU55" s="43" t="str">
        <f>IFERROR(_xlfn.XLOOKUP(Tableau1[[#This Row],[Isin]]&amp;1&amp;2020,#REF!,Tableau3[Résultat Net (PdG)]),"")</f>
        <v/>
      </c>
      <c r="AV55" s="43" t="str">
        <f>IFERROR(_xlfn.XLOOKUP(Tableau1[[#This Row],[Isin]]&amp;1&amp;2019,#REF!,Tableau3[Résultat Net (PdG)]),"")</f>
        <v/>
      </c>
      <c r="AW55" s="43" t="str">
        <f>IFERROR(_xlfn.XLOOKUP(Tableau1[[#This Row],[Isin]]&amp;1&amp;2018,#REF!,Tableau3[Résultat Net (PdG)]),"")</f>
        <v/>
      </c>
      <c r="AX55" s="43" t="str">
        <f>IFERROR(_xlfn.XLOOKUP(Tableau1[[#This Row],[Isin]]&amp;1&amp;2017,#REF!,Tableau3[Résultat Net (PdG)]),"")</f>
        <v/>
      </c>
      <c r="AY55" s="43" t="str">
        <f>IFERROR(_xlfn.XLOOKUP(Tableau1[[#This Row],[Isin]]&amp;1&amp;2016,#REF!,Tableau3[Résultat Net (PdG)]),"")</f>
        <v/>
      </c>
      <c r="AZ55" s="137" t="str">
        <f ca="1">IFERROR(Tableau1[[#This Row],[Capitalisation boursière]]/Tableau1[[#This Row],[RN Groupe 2023]],"")</f>
        <v/>
      </c>
      <c r="BA55" s="4" t="str" cm="1">
        <f t="array" aca="1" ref="BA55" ca="1">IFERROR(_FV(Tableau1[[#This Row],[Code Excel]],"Industrie"),"")</f>
        <v>Pharmaceuticals</v>
      </c>
      <c r="BB55" s="43" t="e">
        <v>#N/A</v>
      </c>
      <c r="BC55" s="43" t="str">
        <f>IFERROR(_xlfn.XLOOKUP(Tableau1[[#This Row],[Isin]]&amp;1&amp;2016,#REF!,Tableau3[Capi]),"")</f>
        <v/>
      </c>
      <c r="BD55" s="43" t="str">
        <f>IFERROR(_xlfn.XLOOKUP(Tableau1[[#This Row],[Isin]]&amp;1&amp;2017,#REF!,Tableau3[Capi]),"")</f>
        <v/>
      </c>
      <c r="BE55" s="43" t="str">
        <f>IFERROR(_xlfn.XLOOKUP(Tableau1[[#This Row],[Isin]]&amp;1&amp;2018,#REF!,Tableau3[Capi]),"")</f>
        <v/>
      </c>
      <c r="BF55" s="43" t="str">
        <f>IFERROR(_xlfn.XLOOKUP(Tableau1[[#This Row],[Isin]]&amp;1&amp;2019,#REF!,Tableau3[Capi]),"")</f>
        <v/>
      </c>
      <c r="BG55" s="43" t="str">
        <f>IFERROR(_xlfn.XLOOKUP(Tableau1[[#This Row],[Isin]]&amp;1&amp;2020,#REF!,Tableau3[Capi]),"")</f>
        <v/>
      </c>
      <c r="BH55" s="43">
        <f>IF(IFERROR(_xlfn.XLOOKUP(Tableau1[[#This Row],[Isin]]&amp;1&amp;2021,#REF!,Tableau3[Capi]),"")="",Tableau1[[#This Row],[Capitalisation 2021
Manuel]],IFERROR(_xlfn.XLOOKUP(Tableau1[[#This Row],[Isin]]&amp;1&amp;2021,#REF!,Tableau3[Capi]),""))</f>
        <v>0</v>
      </c>
      <c r="BI55" s="43"/>
      <c r="BJ55" s="43">
        <f>IF(IFERROR(_xlfn.XLOOKUP(Tableau1[[#This Row],[Isin]]&amp;1&amp;2022,#REF!,Tableau3[Capi]),"")="",Tableau1[[#This Row],[Capitalisation 2022
Manuel]],IFERROR(_xlfn.XLOOKUP(Tableau1[[#This Row],[Isin]]&amp;1&amp;2022,#REF!,Tableau3[Capi]),""))</f>
        <v>0</v>
      </c>
      <c r="BK55" s="43"/>
      <c r="BL55" s="43">
        <f ca="1">Tableau1[[#This Row],[Capitalisation boursière]]</f>
        <v>177113600000</v>
      </c>
      <c r="BM55" s="162" t="str" cm="1">
        <f t="array" aca="1" ref="BM55" ca="1">_FV(Tableau1[[#This Row],[Code Excel]],"Description")</f>
        <v>AstraZeneca Plc est une société biopharmaceutique scientifique. La Société se concentre sur la découverte, le développement et la commercialisation de médicaments sur ordonnance en oncologie, maladies rares et produits biopharmaceutiques, y compris cardiovasculaires, rénaux et métaboliques, et respiratoire et immunologie. Son portefeuille forme un portefeuille de thérapies expérimentales à divers stades de développement clinique et comprend le portefeuille Alexion rare Disease qui comprend environ 178 projets. Ses principaux produits d'oncologie commercialisés comprennent Tagrisso, Imfinzi, Lynparza, Calquence, Enhertu, Orpathys, Zoladex, Faslodex et autres. Ses produits pour maladies rares comprennent Soliris, Ultomiris, Strensiq et Kanuma. Ses produits biopharmaceutiques comprennent Farxiga, Lokelma, Crestor, Breztri et autres. Il se concentre également sur la découverte, le développement et la fabrication de thérapies de récepteurs de lymphocytes T. Il propose également un vaccin candidat expérimental IVX-A12, qui cible à la fois le virus respiratoire syncytial et le métapneumovirus humain.</v>
      </c>
      <c r="BN55" s="43"/>
      <c r="BO55" s="43"/>
      <c r="BP55" s="43"/>
      <c r="BQ55" s="43"/>
      <c r="BR55" s="4"/>
      <c r="BS55" s="21"/>
      <c r="BT55" s="13"/>
      <c r="BU55" s="13"/>
      <c r="BV55" s="13"/>
      <c r="BW55" s="13"/>
      <c r="BX55" s="13"/>
      <c r="BY55" s="3" t="s">
        <v>1179</v>
      </c>
      <c r="BZ55" s="47">
        <v>0.16250000000000001</v>
      </c>
      <c r="CA55" s="47" t="s">
        <v>4372</v>
      </c>
      <c r="CB55" s="50" t="s">
        <v>4323</v>
      </c>
      <c r="CC55" s="25"/>
    </row>
    <row r="56" spans="3:82">
      <c r="C56" s="43"/>
      <c r="D56" s="42">
        <f>IF(Tableau1[[#This Row],[Isin]]="",99,Tableau1[[#This Row],[Intérêt]]+Tableau1[[#This Row],[Valeur d''intérêt]]+Tableau1[[#This Row],[N° Portefeuille]])</f>
        <v>30</v>
      </c>
      <c r="E56" s="42"/>
      <c r="F56" s="42">
        <f>IF(Tableau1[[#This Row],[Portefeuille]]="p",0,Tableau1[[#This Row],[F. Investissement
Niveau d''intérêt]]*10)</f>
        <v>30</v>
      </c>
      <c r="G56" s="42">
        <f>IF(Tableau1[[#This Row],[Portefeuille]]="p",3,0)</f>
        <v>0</v>
      </c>
      <c r="H56" s="42">
        <v>3</v>
      </c>
      <c r="I56" s="42">
        <v>4</v>
      </c>
      <c r="J56" s="43"/>
      <c r="K56" s="43"/>
      <c r="L56" s="16">
        <v>1</v>
      </c>
      <c r="M5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6" s="44" t="s">
        <v>893</v>
      </c>
      <c r="O56" s="44" t="s">
        <v>4373</v>
      </c>
      <c r="P56" s="4" t="s">
        <v>84</v>
      </c>
      <c r="Q56" s="6" t="s">
        <v>85</v>
      </c>
      <c r="R56" s="6"/>
      <c r="S56" s="6" t="s">
        <v>896</v>
      </c>
      <c r="T56" s="6" t="e" vm="45">
        <v>#VALUE!</v>
      </c>
      <c r="U56" s="46" cm="1">
        <f t="array" aca="1" ref="U56" ca="1">IFERROR(_FV(Tableau1[[#This Row],[Code Excel]],"Capitalisation boursière",TRUE),"")</f>
        <v>761434900</v>
      </c>
      <c r="V56" s="4" t="str" cm="1">
        <f t="array" aca="1" ref="V56" ca="1">IFERROR(_FV(Tableau1[[#This Row],[Code Excel]],"Industrie"),"")</f>
        <v>Software &amp; IT Services</v>
      </c>
      <c r="W56" s="4" t="s">
        <v>4333</v>
      </c>
      <c r="X56" s="4" t="str">
        <f ca="1">Tableau1[[#This Row],[Grand Secteur]]&amp;Tableau1[[#This Row],[Industrie]]</f>
        <v>Logiciels et TechnologieSoftware &amp; IT Services</v>
      </c>
      <c r="Y56" s="23" cm="1">
        <f t="array" aca="1" ref="Y56" ca="1">IFERROR(_FV(Tableau1[[#This Row],[Code Excel]],"P/E",TRUE),"")</f>
        <v>2.24E-2</v>
      </c>
      <c r="Z56" s="43" cm="1">
        <f t="array" aca="1" ref="Z56" ca="1">IFERROR(_FV(Tableau1[[#This Row],[Code Excel]],"Employés"),"")</f>
        <v>78112</v>
      </c>
      <c r="AA56" s="49">
        <f ca="1">IFERROR(Tableau1[[#This Row],[Capitalisation boursière]]/Tableau1[[#This Row],[Employés]],"")</f>
        <v>9747.9887853338787</v>
      </c>
      <c r="AB56" s="5" t="str">
        <f>IFERROR(Tableau1[[#This Row],[REX (2021)]]/Tableau1[[#This Row],[CA 2024]],"")</f>
        <v/>
      </c>
      <c r="AC56" s="9" t="str">
        <f>IFERROR(_xlfn.XLOOKUP(Tableau1[[#This Row],[Isin]]&amp;1&amp;2021,#REF!,Tableau3[Résultat d''exploitation]),"")</f>
        <v/>
      </c>
      <c r="AD56" s="9" t="str">
        <f>IFERROR(_xlfn.XLOOKUP(Tableau1[[#This Row],[Isin]]&amp;1&amp;2019,#REF!,Tableau3[Chiffre d''affaires]),"")</f>
        <v/>
      </c>
      <c r="AE56" s="9" t="str">
        <f>IFERROR(_xlfn.XLOOKUP(Tableau1[[#This Row],[Isin]]&amp;1&amp;2024,#REF!,Tableau3[Chiffre d''affaires]),"")</f>
        <v/>
      </c>
      <c r="AF56" s="8" t="str">
        <f>IFERROR(IF((Tableau1[[#This Row],[CA 2024]]-Tableau1[[#This Row],[CA 2019]])/Tableau1[[#This Row],[CA 2019]]=-1,"",(Tableau1[[#This Row],[CA 2024]]-Tableau1[[#This Row],[CA 2019]])/Tableau1[[#This Row],[CA 2019]]),"")</f>
        <v/>
      </c>
      <c r="AG56" s="9" t="str">
        <f>IFERROR(_xlfn.XLOOKUP(Tableau1[[#This Row],[Isin]]&amp;1&amp;2021,#REF!,Tableau3[EBE]),"")</f>
        <v/>
      </c>
      <c r="AH56" s="9" t="str">
        <f>IFERROR(_xlfn.XLOOKUP(Tableau1[[#This Row],[Isin]]&amp;1&amp;2022,#REF!,Tableau3[EBE]),"")</f>
        <v/>
      </c>
      <c r="AI56" s="43" t="s">
        <v>4329</v>
      </c>
      <c r="AJ56" s="43" t="s">
        <v>4322</v>
      </c>
      <c r="AK56" s="43" t="s">
        <v>3148</v>
      </c>
      <c r="AL56" s="43" t="s">
        <v>3431</v>
      </c>
      <c r="AM56" s="43"/>
      <c r="AN56" s="9" t="str">
        <f>IFERROR(_xlfn.XLOOKUP(Tableau1[[#This Row],[Isin]]&amp;1&amp;2021,#REF!,Tableau3[Chiffre d''affaires]),"")</f>
        <v/>
      </c>
      <c r="AO56" s="43" cm="1">
        <f t="array" aca="1" ref="AO56" ca="1">_FV(Tableau1[[#This Row],[Code Excel]],"P/E",TRUE)</f>
        <v>2.24E-2</v>
      </c>
      <c r="AP56" s="43" t="str">
        <f>IFERROR(_xlfn.XLOOKUP(Tableau1[[#This Row],[Isin]]&amp;1&amp;2023,#REF!,Tableau3[Résultat Net (PdG)]),"")</f>
        <v/>
      </c>
      <c r="AQ56" s="43">
        <f>IF(IFERROR(_xlfn.XLOOKUP(Tableau1[[#This Row],[Isin]]&amp;1&amp;2022,#REF!,Tableau3[Résultat Net (PdG)]),"")="",Tableau1[[#This Row],[RN Groupe 2022
Manuel]],IFERROR(_xlfn.XLOOKUP(Tableau1[[#This Row],[Isin]]&amp;1&amp;2022,#REF!,Tableau3[Résultat Net (PdG)]),""))</f>
        <v>0</v>
      </c>
      <c r="AR56" s="43"/>
      <c r="AS56" s="43">
        <f>IF(IFERROR(_xlfn.XLOOKUP(Tableau1[[#This Row],[Isin]]&amp;1&amp;2021,#REF!,Tableau3[Résultat Net (PdG)]),"")="",Tableau1[[#This Row],[RN Groupe 2021
Manuel]],IFERROR(_xlfn.XLOOKUP(Tableau1[[#This Row],[Isin]]&amp;1&amp;2021,#REF!,Tableau3[Résultat Net (PdG)]),""))</f>
        <v>0</v>
      </c>
      <c r="AT56" s="43"/>
      <c r="AU56" s="43" t="str">
        <f>IFERROR(_xlfn.XLOOKUP(Tableau1[[#This Row],[Isin]]&amp;1&amp;2020,#REF!,Tableau3[Résultat Net (PdG)]),"")</f>
        <v/>
      </c>
      <c r="AV56" s="43" t="str">
        <f>IFERROR(_xlfn.XLOOKUP(Tableau1[[#This Row],[Isin]]&amp;1&amp;2019,#REF!,Tableau3[Résultat Net (PdG)]),"")</f>
        <v/>
      </c>
      <c r="AW56" s="43" t="str">
        <f>IFERROR(_xlfn.XLOOKUP(Tableau1[[#This Row],[Isin]]&amp;1&amp;2018,#REF!,Tableau3[Résultat Net (PdG)]),"")</f>
        <v/>
      </c>
      <c r="AX56" s="43" t="str">
        <f>IFERROR(_xlfn.XLOOKUP(Tableau1[[#This Row],[Isin]]&amp;1&amp;2017,#REF!,Tableau3[Résultat Net (PdG)]),"")</f>
        <v/>
      </c>
      <c r="AY56" s="43" t="str">
        <f>IFERROR(_xlfn.XLOOKUP(Tableau1[[#This Row],[Isin]]&amp;1&amp;2016,#REF!,Tableau3[Résultat Net (PdG)]),"")</f>
        <v/>
      </c>
      <c r="AZ56" s="137" t="str">
        <f ca="1">IFERROR(Tableau1[[#This Row],[Capitalisation boursière]]/Tableau1[[#This Row],[RN Groupe 2023]],"")</f>
        <v/>
      </c>
      <c r="BA56" s="4" t="str" cm="1">
        <f t="array" aca="1" ref="BA56" ca="1">IFERROR(_FV(Tableau1[[#This Row],[Code Excel]],"Industrie"),"")</f>
        <v>Software &amp; IT Services</v>
      </c>
      <c r="BB56" s="43" t="s">
        <v>3477</v>
      </c>
      <c r="BC56" s="43" t="str">
        <f>IFERROR(_xlfn.XLOOKUP(Tableau1[[#This Row],[Isin]]&amp;1&amp;2016,#REF!,Tableau3[Capi]),"")</f>
        <v/>
      </c>
      <c r="BD56" s="43" t="str">
        <f>IFERROR(_xlfn.XLOOKUP(Tableau1[[#This Row],[Isin]]&amp;1&amp;2017,#REF!,Tableau3[Capi]),"")</f>
        <v/>
      </c>
      <c r="BE56" s="43" t="str">
        <f>IFERROR(_xlfn.XLOOKUP(Tableau1[[#This Row],[Isin]]&amp;1&amp;2018,#REF!,Tableau3[Capi]),"")</f>
        <v/>
      </c>
      <c r="BF56" s="43" t="str">
        <f>IFERROR(_xlfn.XLOOKUP(Tableau1[[#This Row],[Isin]]&amp;1&amp;2019,#REF!,Tableau3[Capi]),"")</f>
        <v/>
      </c>
      <c r="BG56" s="43" t="str">
        <f>IFERROR(_xlfn.XLOOKUP(Tableau1[[#This Row],[Isin]]&amp;1&amp;2020,#REF!,Tableau3[Capi]),"")</f>
        <v/>
      </c>
      <c r="BH56" s="43">
        <f>IF(IFERROR(_xlfn.XLOOKUP(Tableau1[[#This Row],[Isin]]&amp;1&amp;2021,#REF!,Tableau3[Capi]),"")="",Tableau1[[#This Row],[Capitalisation 2021
Manuel]],IFERROR(_xlfn.XLOOKUP(Tableau1[[#This Row],[Isin]]&amp;1&amp;2021,#REF!,Tableau3[Capi]),""))</f>
        <v>0</v>
      </c>
      <c r="BI56" s="43"/>
      <c r="BJ56" s="43">
        <f>IF(IFERROR(_xlfn.XLOOKUP(Tableau1[[#This Row],[Isin]]&amp;1&amp;2022,#REF!,Tableau3[Capi]),"")="",Tableau1[[#This Row],[Capitalisation 2022
Manuel]],IFERROR(_xlfn.XLOOKUP(Tableau1[[#This Row],[Isin]]&amp;1&amp;2022,#REF!,Tableau3[Capi]),""))</f>
        <v>0</v>
      </c>
      <c r="BK56" s="43"/>
      <c r="BL56" s="43">
        <f ca="1">Tableau1[[#This Row],[Capitalisation boursière]]</f>
        <v>761434900</v>
      </c>
      <c r="BM56" s="162" t="str" cm="1">
        <f t="array" aca="1" ref="BM56" ca="1">_FV(Tableau1[[#This Row],[Code Excel]],"Description")</f>
        <v>Atos se est une entreprise française qui fournit des services de transformation digitale et des services INFORMATIQUES. L'activité de la Société est organisée autour de 3 pôles, tels que les services d'externalisation, les services d'intégration et de conseil de systèmes et les services transactionnels. Il offre le traitement des transactions de paiement électronique, la gestion des paiements à distance, le développement de solutions de paiement, etc Il fournit une technologie numérique sécurisée et sans carbone. La Société offre à ses clients une approche de bout en bout en leur proposant des solutions numériques de pointe, des services de conseil, ainsi que des solutions de sécurité numérique et de décarbonisation. Il fournit une solution de cloud et de lieu de travail numérique et des services de sécurité gérés.</v>
      </c>
      <c r="BN56" s="43">
        <v>2146000000000</v>
      </c>
      <c r="BO56" s="43" t="s">
        <v>4374</v>
      </c>
      <c r="BP56" s="43"/>
      <c r="BQ56" s="43"/>
      <c r="BR56" s="4"/>
      <c r="BS56" s="21"/>
      <c r="BT56" s="13"/>
      <c r="BU56" s="13"/>
      <c r="BV56" s="13"/>
      <c r="BW56" s="13"/>
      <c r="BX56" s="13"/>
      <c r="BZ56" s="4"/>
      <c r="CA56" s="4"/>
    </row>
    <row r="57" spans="3:82">
      <c r="C57" s="42"/>
      <c r="D57" s="42">
        <f>IF(Tableau1[[#This Row],[Isin]]="",99,Tableau1[[#This Row],[Intérêt]]+Tableau1[[#This Row],[Valeur d''intérêt]]+Tableau1[[#This Row],[N° Portefeuille]])</f>
        <v>30</v>
      </c>
      <c r="E57" s="42"/>
      <c r="F57" s="42">
        <f>IF(Tableau1[[#This Row],[Portefeuille]]="p",0,Tableau1[[#This Row],[F. Investissement
Niveau d''intérêt]]*10)</f>
        <v>30</v>
      </c>
      <c r="G57" s="42">
        <f>IF(Tableau1[[#This Row],[Portefeuille]]="p",3,0)</f>
        <v>0</v>
      </c>
      <c r="H57" s="42">
        <v>3</v>
      </c>
      <c r="I57" s="42">
        <v>4</v>
      </c>
      <c r="J57" s="42"/>
      <c r="K57" s="43"/>
      <c r="L57" s="16">
        <v>0</v>
      </c>
      <c r="M5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7" s="44" t="s">
        <v>3601</v>
      </c>
      <c r="O57" s="45"/>
      <c r="P57" s="4" t="s">
        <v>84</v>
      </c>
      <c r="Q57" s="4"/>
      <c r="R57" s="6"/>
      <c r="S57" s="6" t="s">
        <v>3602</v>
      </c>
      <c r="T57" s="6" t="e" vm="46">
        <v>#VALUE!</v>
      </c>
      <c r="U57" s="46" cm="1">
        <f t="array" aca="1" ref="U57" ca="1">IFERROR(_FV(Tableau1[[#This Row],[Code Excel]],"Capitalisation boursière",TRUE),"")</f>
        <v>88578090000</v>
      </c>
      <c r="V57" s="4" t="str" cm="1">
        <f t="array" aca="1" ref="V57" ca="1">IFERROR(_FV(Tableau1[[#This Row],[Code Excel]],"Industrie"),"")</f>
        <v>Insurance</v>
      </c>
      <c r="W57" s="4" t="s">
        <v>4336</v>
      </c>
      <c r="X57" s="4" t="str">
        <f ca="1">Tableau1[[#This Row],[Grand Secteur]]&amp;Tableau1[[#This Row],[Industrie]]</f>
        <v>AssuranceInsurance</v>
      </c>
      <c r="Y57" s="23" cm="1">
        <f t="array" aca="1" ref="Y57" ca="1">IFERROR(_FV(Tableau1[[#This Row],[Code Excel]],"P/E",TRUE),"")</f>
        <v>11.4023</v>
      </c>
      <c r="Z57" s="43" cm="1">
        <f t="array" aca="1" ref="Z57" ca="1">IFERROR(_FV(Tableau1[[#This Row],[Code Excel]],"Employés"),"")</f>
        <v>100041</v>
      </c>
      <c r="AA57" s="46">
        <f ca="1">IFERROR(Tableau1[[#This Row],[Capitalisation boursière]]/Tableau1[[#This Row],[Employés]],"")</f>
        <v>885417.87866974541</v>
      </c>
      <c r="AB57" s="5" t="str">
        <f>IFERROR(Tableau1[[#This Row],[REX (2021)]]/Tableau1[[#This Row],[CA 2024]],"")</f>
        <v/>
      </c>
      <c r="AC57" s="9" t="str">
        <f>IFERROR(_xlfn.XLOOKUP(Tableau1[[#This Row],[Isin]]&amp;1&amp;2021,#REF!,Tableau3[Résultat d''exploitation]),"")</f>
        <v/>
      </c>
      <c r="AD57" s="9" t="str">
        <f>IFERROR(_xlfn.XLOOKUP(Tableau1[[#This Row],[Isin]]&amp;1&amp;2019,#REF!,Tableau3[Chiffre d''affaires]),"")</f>
        <v/>
      </c>
      <c r="AE57" s="9" t="str">
        <f>IFERROR(_xlfn.XLOOKUP(Tableau1[[#This Row],[Isin]]&amp;1&amp;2024,#REF!,Tableau3[Chiffre d''affaires]),"")</f>
        <v/>
      </c>
      <c r="AF57" s="8" t="str">
        <f>IFERROR(IF((Tableau1[[#This Row],[CA 2024]]-Tableau1[[#This Row],[CA 2019]])/Tableau1[[#This Row],[CA 2019]]=-1,"",(Tableau1[[#This Row],[CA 2024]]-Tableau1[[#This Row],[CA 2019]])/Tableau1[[#This Row],[CA 2019]]),"")</f>
        <v/>
      </c>
      <c r="AG57" s="9" t="str">
        <f>IFERROR(_xlfn.XLOOKUP(Tableau1[[#This Row],[Isin]]&amp;1&amp;2021,#REF!,Tableau3[EBE]),"")</f>
        <v/>
      </c>
      <c r="AH57" s="9" t="str">
        <f>IFERROR(_xlfn.XLOOKUP(Tableau1[[#This Row],[Isin]]&amp;1&amp;2022,#REF!,Tableau3[EBE]),"")</f>
        <v/>
      </c>
      <c r="AI57" s="43" t="s">
        <v>4329</v>
      </c>
      <c r="AJ57" s="43" t="s">
        <v>4322</v>
      </c>
      <c r="AK57" s="43" t="s">
        <v>3431</v>
      </c>
      <c r="AL57" s="43"/>
      <c r="AM57" s="43"/>
      <c r="AN57" s="9" t="str">
        <f>IFERROR(_xlfn.XLOOKUP(Tableau1[[#This Row],[Isin]]&amp;1&amp;2021,#REF!,Tableau3[Chiffre d''affaires]),"")</f>
        <v/>
      </c>
      <c r="AO57" s="43" cm="1">
        <f t="array" aca="1" ref="AO57" ca="1">_FV(Tableau1[[#This Row],[Code Excel]],"P/E",TRUE)</f>
        <v>11.4023</v>
      </c>
      <c r="AP57" s="43" t="str">
        <f>IFERROR(_xlfn.XLOOKUP(Tableau1[[#This Row],[Isin]]&amp;1&amp;2023,#REF!,Tableau3[Résultat Net (PdG)]),"")</f>
        <v/>
      </c>
      <c r="AQ57" s="43">
        <f>IF(IFERROR(_xlfn.XLOOKUP(Tableau1[[#This Row],[Isin]]&amp;1&amp;2022,#REF!,Tableau3[Résultat Net (PdG)]),"")="",Tableau1[[#This Row],[RN Groupe 2022
Manuel]],IFERROR(_xlfn.XLOOKUP(Tableau1[[#This Row],[Isin]]&amp;1&amp;2022,#REF!,Tableau3[Résultat Net (PdG)]),""))</f>
        <v>6680000000</v>
      </c>
      <c r="AR57" s="140">
        <v>6680000000</v>
      </c>
      <c r="AS57" s="43">
        <f>IF(IFERROR(_xlfn.XLOOKUP(Tableau1[[#This Row],[Isin]]&amp;1&amp;2021,#REF!,Tableau3[Résultat Net (PdG)]),"")="",Tableau1[[#This Row],[RN Groupe 2021
Manuel]],IFERROR(_xlfn.XLOOKUP(Tableau1[[#This Row],[Isin]]&amp;1&amp;2021,#REF!,Tableau3[Résultat Net (PdG)]),""))</f>
        <v>3164000000</v>
      </c>
      <c r="AT57" s="140">
        <v>3164000000</v>
      </c>
      <c r="AU57" s="43" t="str">
        <f>IFERROR(_xlfn.XLOOKUP(Tableau1[[#This Row],[Isin]]&amp;1&amp;2020,#REF!,Tableau3[Résultat Net (PdG)]),"")</f>
        <v/>
      </c>
      <c r="AV57" s="43" t="str">
        <f>IFERROR(_xlfn.XLOOKUP(Tableau1[[#This Row],[Isin]]&amp;1&amp;2019,#REF!,Tableau3[Résultat Net (PdG)]),"")</f>
        <v/>
      </c>
      <c r="AW57" s="43" t="str">
        <f>IFERROR(_xlfn.XLOOKUP(Tableau1[[#This Row],[Isin]]&amp;1&amp;2018,#REF!,Tableau3[Résultat Net (PdG)]),"")</f>
        <v/>
      </c>
      <c r="AX57" s="43" t="str">
        <f>IFERROR(_xlfn.XLOOKUP(Tableau1[[#This Row],[Isin]]&amp;1&amp;2017,#REF!,Tableau3[Résultat Net (PdG)]),"")</f>
        <v/>
      </c>
      <c r="AY57" s="43" t="str">
        <f>IFERROR(_xlfn.XLOOKUP(Tableau1[[#This Row],[Isin]]&amp;1&amp;2016,#REF!,Tableau3[Résultat Net (PdG)]),"")</f>
        <v/>
      </c>
      <c r="AZ57" s="137" t="str">
        <f ca="1">IFERROR(Tableau1[[#This Row],[Capitalisation boursière]]/Tableau1[[#This Row],[RN Groupe 2023]],"")</f>
        <v/>
      </c>
      <c r="BA57" s="4" t="str" cm="1">
        <f t="array" aca="1" ref="BA57" ca="1">IFERROR(_FV(Tableau1[[#This Row],[Code Excel]],"Industrie"),"")</f>
        <v>Insurance</v>
      </c>
      <c r="BB57" s="43" t="s">
        <v>3518</v>
      </c>
      <c r="BC57" s="43" t="str">
        <f>IFERROR(_xlfn.XLOOKUP(Tableau1[[#This Row],[Isin]]&amp;1&amp;2016,#REF!,Tableau3[Capi]),"")</f>
        <v/>
      </c>
      <c r="BD57" s="43" t="str">
        <f>IFERROR(_xlfn.XLOOKUP(Tableau1[[#This Row],[Isin]]&amp;1&amp;2017,#REF!,Tableau3[Capi]),"")</f>
        <v/>
      </c>
      <c r="BE57" s="43" t="str">
        <f>IFERROR(_xlfn.XLOOKUP(Tableau1[[#This Row],[Isin]]&amp;1&amp;2018,#REF!,Tableau3[Capi]),"")</f>
        <v/>
      </c>
      <c r="BF57" s="43" t="str">
        <f>IFERROR(_xlfn.XLOOKUP(Tableau1[[#This Row],[Isin]]&amp;1&amp;2019,#REF!,Tableau3[Capi]),"")</f>
        <v/>
      </c>
      <c r="BG57" s="43" t="str">
        <f>IFERROR(_xlfn.XLOOKUP(Tableau1[[#This Row],[Isin]]&amp;1&amp;2020,#REF!,Tableau3[Capi]),"")</f>
        <v/>
      </c>
      <c r="BH57" s="43">
        <f>IF(IFERROR(_xlfn.XLOOKUP(Tableau1[[#This Row],[Isin]]&amp;1&amp;2021,#REF!,Tableau3[Capi]),"")="",Tableau1[[#This Row],[Capitalisation 2021
Manuel]],IFERROR(_xlfn.XLOOKUP(Tableau1[[#This Row],[Isin]]&amp;1&amp;2021,#REF!,Tableau3[Capi]),""))</f>
        <v>50552176000</v>
      </c>
      <c r="BI57" s="142">
        <v>50552176000</v>
      </c>
      <c r="BJ57" s="141">
        <f>IF(IFERROR(_xlfn.XLOOKUP(Tableau1[[#This Row],[Isin]]&amp;1&amp;2022,#REF!,Tableau3[Capi]),"")="",Tableau1[[#This Row],[Capitalisation 2022
Manuel]],IFERROR(_xlfn.XLOOKUP(Tableau1[[#This Row],[Isin]]&amp;1&amp;2022,#REF!,Tableau3[Capi]),""))</f>
        <v>57782100000</v>
      </c>
      <c r="BK57" s="142">
        <v>57782100000</v>
      </c>
      <c r="BL57" s="43">
        <f ca="1">Tableau1[[#This Row],[Capitalisation boursière]]</f>
        <v>88578090000</v>
      </c>
      <c r="BM57" s="162" t="str" cm="1">
        <f t="array" aca="1" ref="BM57" ca="1">_FV(Tableau1[[#This Row],[Code Excel]],"Description")</f>
        <v>AXA sa (AXA) est une société holding basée en France, spécialisée dans la protection financière. AXA propose une large gamme de produits à travers des segments d'activité : vie et épargne, biens et risques divers, santé, gestion d'actifs et banque. Son offre couvre les assurances automobile, habitation, biens et responsabilité civile générale, les services bancaires, les véhicules d'épargne et d'autres produits de placement pour les particuliers et les particuliers et les entreprises et les groupes, ainsi que les produits de santé, de protection et de retraite pour les particuliers ou les professionnels. AXA opère sur sept segments géographiques : France, Europe, Asie, AXA XL, Etats-Unis, international et transversal &amp; Central Holdings. AXA sa est la société holding du Groupe AXA.</v>
      </c>
      <c r="BN57" s="43"/>
      <c r="BO57" s="43"/>
      <c r="BP57" s="43"/>
      <c r="BQ57" s="43"/>
      <c r="BR57" s="4"/>
      <c r="BS57" s="21"/>
      <c r="BT57" s="13"/>
      <c r="BU57" s="13"/>
      <c r="BV57" s="13"/>
      <c r="BW57" s="13"/>
      <c r="BX57" s="13"/>
      <c r="BY57" s="3"/>
      <c r="BZ57" s="47"/>
      <c r="CA57" s="47"/>
    </row>
    <row r="58" spans="3:82">
      <c r="C58" s="43"/>
      <c r="D58" s="42">
        <f>IF(Tableau1[[#This Row],[Isin]]="",99,Tableau1[[#This Row],[Intérêt]]+Tableau1[[#This Row],[Valeur d''intérêt]]+Tableau1[[#This Row],[N° Portefeuille]])</f>
        <v>30</v>
      </c>
      <c r="E58" s="43"/>
      <c r="F58" s="42">
        <f>IF(Tableau1[[#This Row],[Portefeuille]]="p",0,Tableau1[[#This Row],[F. Investissement
Niveau d''intérêt]]*10)</f>
        <v>30</v>
      </c>
      <c r="G58" s="43">
        <f>IF(Tableau1[[#This Row],[Portefeuille]]="p",3,0)</f>
        <v>0</v>
      </c>
      <c r="H58" s="43">
        <v>3</v>
      </c>
      <c r="I58" s="43">
        <v>4</v>
      </c>
      <c r="J58" s="43"/>
      <c r="K58" s="43"/>
      <c r="L58" s="16">
        <v>0</v>
      </c>
      <c r="M5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8" s="44" t="s">
        <v>3604</v>
      </c>
      <c r="O58" s="45"/>
      <c r="P58" s="4" t="s">
        <v>382</v>
      </c>
      <c r="Q58" s="4"/>
      <c r="R58" s="6"/>
      <c r="S58" s="6" t="s">
        <v>3605</v>
      </c>
      <c r="T58" s="6" t="e" vm="47">
        <v>#VALUE!</v>
      </c>
      <c r="U58" s="46" cm="1">
        <f t="array" aca="1" ref="U58" ca="1">IFERROR(_FV(Tableau1[[#This Row],[Code Excel]],"Capitalisation boursière",TRUE),"")</f>
        <v>311068480170</v>
      </c>
      <c r="V58" s="4" t="str" cm="1">
        <f t="array" aca="1" ref="V58" ca="1">IFERROR(_FV(Tableau1[[#This Row],[Code Excel]],"Industrie"),"")</f>
        <v>Banking Services</v>
      </c>
      <c r="W58" s="4" t="s">
        <v>4335</v>
      </c>
      <c r="X58" s="4" t="str">
        <f ca="1">Tableau1[[#This Row],[Grand Secteur]]&amp;Tableau1[[#This Row],[Industrie]]</f>
        <v>FinanceBanking Services</v>
      </c>
      <c r="Y58" s="23" cm="1">
        <f t="array" aca="1" ref="Y58" ca="1">IFERROR(_FV(Tableau1[[#This Row],[Code Excel]],"P/E",TRUE),"")</f>
        <v>12.8505</v>
      </c>
      <c r="Z58" s="43" cm="1">
        <f t="array" aca="1" ref="Z58" ca="1">IFERROR(_FV(Tableau1[[#This Row],[Code Excel]],"Employés"),"")</f>
        <v>213000</v>
      </c>
      <c r="AA58" s="54">
        <f ca="1">IFERROR(Tableau1[[#This Row],[Capitalisation boursière]]/Tableau1[[#This Row],[Employés]],"")</f>
        <v>1460415.3998591548</v>
      </c>
      <c r="AB58" s="5" t="str">
        <f>IFERROR(Tableau1[[#This Row],[REX (2021)]]/Tableau1[[#This Row],[CA 2024]],"")</f>
        <v/>
      </c>
      <c r="AC58" s="9" t="str">
        <f>IFERROR(_xlfn.XLOOKUP(Tableau1[[#This Row],[Isin]]&amp;1&amp;2021,#REF!,Tableau3[Résultat d''exploitation]),"")</f>
        <v/>
      </c>
      <c r="AD58" s="9" t="str">
        <f>IFERROR(_xlfn.XLOOKUP(Tableau1[[#This Row],[Isin]]&amp;1&amp;2019,#REF!,Tableau3[Chiffre d''affaires]),"")</f>
        <v/>
      </c>
      <c r="AE58" s="9" t="str">
        <f>IFERROR(_xlfn.XLOOKUP(Tableau1[[#This Row],[Isin]]&amp;1&amp;2024,#REF!,Tableau3[Chiffre d''affaires]),"")</f>
        <v/>
      </c>
      <c r="AF58" s="8" t="str">
        <f>IFERROR(IF((Tableau1[[#This Row],[CA 2024]]-Tableau1[[#This Row],[CA 2019]])/Tableau1[[#This Row],[CA 2019]]=-1,"",(Tableau1[[#This Row],[CA 2024]]-Tableau1[[#This Row],[CA 2019]])/Tableau1[[#This Row],[CA 2019]]),"")</f>
        <v/>
      </c>
      <c r="AG58" s="9" t="str">
        <f>IFERROR(_xlfn.XLOOKUP(Tableau1[[#This Row],[Isin]]&amp;1&amp;2021,#REF!,Tableau3[EBE]),"")</f>
        <v/>
      </c>
      <c r="AH58" s="9" t="str">
        <f>IFERROR(_xlfn.XLOOKUP(Tableau1[[#This Row],[Isin]]&amp;1&amp;2022,#REF!,Tableau3[EBE]),"")</f>
        <v/>
      </c>
      <c r="AI58" s="43" t="s">
        <v>4343</v>
      </c>
      <c r="AJ58" s="43" t="s">
        <v>3150</v>
      </c>
      <c r="AK58" s="43" t="s">
        <v>3148</v>
      </c>
      <c r="AL58" s="43"/>
      <c r="AM58" s="43"/>
      <c r="AN58" s="9" t="str">
        <f>IFERROR(_xlfn.XLOOKUP(Tableau1[[#This Row],[Isin]]&amp;1&amp;2021,#REF!,Tableau3[Chiffre d''affaires]),"")</f>
        <v/>
      </c>
      <c r="AO58" s="43" cm="1">
        <f t="array" aca="1" ref="AO58" ca="1">_FV(Tableau1[[#This Row],[Code Excel]],"P/E",TRUE)</f>
        <v>12.8505</v>
      </c>
      <c r="AP58" s="43" t="str">
        <f>IFERROR(_xlfn.XLOOKUP(Tableau1[[#This Row],[Isin]]&amp;1&amp;2023,#REF!,Tableau3[Résultat Net (PdG)]),"")</f>
        <v/>
      </c>
      <c r="AQ58" s="43">
        <f>IF(IFERROR(_xlfn.XLOOKUP(Tableau1[[#This Row],[Isin]]&amp;1&amp;2022,#REF!,Tableau3[Résultat Net (PdG)]),"")="",Tableau1[[#This Row],[RN Groupe 2022
Manuel]],IFERROR(_xlfn.XLOOKUP(Tableau1[[#This Row],[Isin]]&amp;1&amp;2022,#REF!,Tableau3[Résultat Net (PdG)]),""))</f>
        <v>0</v>
      </c>
      <c r="AR58" s="43"/>
      <c r="AS58" s="43">
        <f>IF(IFERROR(_xlfn.XLOOKUP(Tableau1[[#This Row],[Isin]]&amp;1&amp;2021,#REF!,Tableau3[Résultat Net (PdG)]),"")="",Tableau1[[#This Row],[RN Groupe 2021
Manuel]],IFERROR(_xlfn.XLOOKUP(Tableau1[[#This Row],[Isin]]&amp;1&amp;2021,#REF!,Tableau3[Résultat Net (PdG)]),""))</f>
        <v>0</v>
      </c>
      <c r="AT58" s="43"/>
      <c r="AU58" s="43" t="str">
        <f>IFERROR(_xlfn.XLOOKUP(Tableau1[[#This Row],[Isin]]&amp;1&amp;2020,#REF!,Tableau3[Résultat Net (PdG)]),"")</f>
        <v/>
      </c>
      <c r="AV58" s="43" t="str">
        <f>IFERROR(_xlfn.XLOOKUP(Tableau1[[#This Row],[Isin]]&amp;1&amp;2019,#REF!,Tableau3[Résultat Net (PdG)]),"")</f>
        <v/>
      </c>
      <c r="AW58" s="43" t="str">
        <f>IFERROR(_xlfn.XLOOKUP(Tableau1[[#This Row],[Isin]]&amp;1&amp;2018,#REF!,Tableau3[Résultat Net (PdG)]),"")</f>
        <v/>
      </c>
      <c r="AX58" s="43" t="str">
        <f>IFERROR(_xlfn.XLOOKUP(Tableau1[[#This Row],[Isin]]&amp;1&amp;2017,#REF!,Tableau3[Résultat Net (PdG)]),"")</f>
        <v/>
      </c>
      <c r="AY58" s="43" t="str">
        <f>IFERROR(_xlfn.XLOOKUP(Tableau1[[#This Row],[Isin]]&amp;1&amp;2016,#REF!,Tableau3[Résultat Net (PdG)]),"")</f>
        <v/>
      </c>
      <c r="AZ58" s="137" t="str">
        <f ca="1">IFERROR(Tableau1[[#This Row],[Capitalisation boursière]]/Tableau1[[#This Row],[RN Groupe 2023]],"")</f>
        <v/>
      </c>
      <c r="BA58" s="4" t="str" cm="1">
        <f t="array" aca="1" ref="BA58" ca="1">IFERROR(_FV(Tableau1[[#This Row],[Code Excel]],"Industrie"),"")</f>
        <v>Banking Services</v>
      </c>
      <c r="BB58" s="43" t="s">
        <v>3474</v>
      </c>
      <c r="BC58" s="43" t="str">
        <f>IFERROR(_xlfn.XLOOKUP(Tableau1[[#This Row],[Isin]]&amp;1&amp;2016,#REF!,Tableau3[Capi]),"")</f>
        <v/>
      </c>
      <c r="BD58" s="43" t="str">
        <f>IFERROR(_xlfn.XLOOKUP(Tableau1[[#This Row],[Isin]]&amp;1&amp;2017,#REF!,Tableau3[Capi]),"")</f>
        <v/>
      </c>
      <c r="BE58" s="43" t="str">
        <f>IFERROR(_xlfn.XLOOKUP(Tableau1[[#This Row],[Isin]]&amp;1&amp;2018,#REF!,Tableau3[Capi]),"")</f>
        <v/>
      </c>
      <c r="BF58" s="43" t="str">
        <f>IFERROR(_xlfn.XLOOKUP(Tableau1[[#This Row],[Isin]]&amp;1&amp;2019,#REF!,Tableau3[Capi]),"")</f>
        <v/>
      </c>
      <c r="BG58" s="43" t="str">
        <f>IFERROR(_xlfn.XLOOKUP(Tableau1[[#This Row],[Isin]]&amp;1&amp;2020,#REF!,Tableau3[Capi]),"")</f>
        <v/>
      </c>
      <c r="BH58" s="43">
        <f>IF(IFERROR(_xlfn.XLOOKUP(Tableau1[[#This Row],[Isin]]&amp;1&amp;2021,#REF!,Tableau3[Capi]),"")="",Tableau1[[#This Row],[Capitalisation 2021
Manuel]],IFERROR(_xlfn.XLOOKUP(Tableau1[[#This Row],[Isin]]&amp;1&amp;2021,#REF!,Tableau3[Capi]),""))</f>
        <v>0</v>
      </c>
      <c r="BI58" s="43"/>
      <c r="BJ58" s="43">
        <f>IF(IFERROR(_xlfn.XLOOKUP(Tableau1[[#This Row],[Isin]]&amp;1&amp;2022,#REF!,Tableau3[Capi]),"")="",Tableau1[[#This Row],[Capitalisation 2022
Manuel]],IFERROR(_xlfn.XLOOKUP(Tableau1[[#This Row],[Isin]]&amp;1&amp;2022,#REF!,Tableau3[Capi]),""))</f>
        <v>0</v>
      </c>
      <c r="BK58" s="43"/>
      <c r="BL58" s="43">
        <f ca="1">Tableau1[[#This Row],[Capitalisation boursière]]</f>
        <v>311068480170</v>
      </c>
      <c r="BM58" s="162" t="str" cm="1">
        <f t="array" aca="1" ref="BM58" ca="1">_FV(Tableau1[[#This Row],[Code Excel]],"Description")</f>
        <v>Bank of America Corporation est une société holding bancaire et une société holding financière. Ses segments comprennent Consumer Banking, Global Wealth &amp; Investment Management (GWIM), Global Banking et Global Markets. Le segment services bancaires aux consommateurs offre une gamme de produits et services de crédit, bancaires et d'investissement aux consommateurs et aux petites entreprises. Le GWIM comprend deux activités : Merrill Wealth Management, qui fournit des solutions sur mesure pour répondre aux besoins des clients grâce à un ensemble complet de produits de gestion de placements, de courtage, de services bancaires et de retraite, et Bank of America Private Bank, qui fournit des solutions complètes de gestion de patrimoine. Le secteur Global Banking propose une gamme de produits et services liés aux prêts, des solutions intégrées de gestion du fonds de roulement et de trésorerie, ainsi que des services de souscription et de conseil. Le segment Global Markets offre des services de vente et de négociation ainsi que des services de recherche aux clients institutionnels dans les secteurs des titres à revenu fixe, du crédit, des devises, des matières premières et des actions.</v>
      </c>
      <c r="BN58" s="43"/>
      <c r="BO58" s="43"/>
      <c r="BP58" s="43"/>
      <c r="BQ58" s="43"/>
      <c r="BR58" s="4"/>
      <c r="BS58" s="21"/>
      <c r="BT58" s="13"/>
      <c r="BU58" s="13"/>
      <c r="BV58" s="13"/>
      <c r="BW58" s="13"/>
      <c r="BX58" s="13"/>
      <c r="BZ58" s="4"/>
      <c r="CA58" s="4"/>
    </row>
    <row r="59" spans="3:82">
      <c r="C59" s="42"/>
      <c r="D59" s="42">
        <f>IF(Tableau1[[#This Row],[Isin]]="",99,Tableau1[[#This Row],[Intérêt]]+Tableau1[[#This Row],[Valeur d''intérêt]]+Tableau1[[#This Row],[N° Portefeuille]])</f>
        <v>30</v>
      </c>
      <c r="E59" s="42"/>
      <c r="F59" s="42">
        <f>IF(Tableau1[[#This Row],[Portefeuille]]="p",0,Tableau1[[#This Row],[F. Investissement
Niveau d''intérêt]]*10)</f>
        <v>30</v>
      </c>
      <c r="G59" s="42">
        <f>IF(Tableau1[[#This Row],[Portefeuille]]="p",3,0)</f>
        <v>0</v>
      </c>
      <c r="H59" s="42">
        <v>3</v>
      </c>
      <c r="I59" s="42">
        <v>4</v>
      </c>
      <c r="J59" s="42"/>
      <c r="K59" s="43"/>
      <c r="L59" s="16">
        <v>0</v>
      </c>
      <c r="M5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59" s="44" t="s">
        <v>3607</v>
      </c>
      <c r="O59" s="45"/>
      <c r="P59" s="4" t="s">
        <v>564</v>
      </c>
      <c r="Q59" s="4"/>
      <c r="R59" s="6"/>
      <c r="S59" s="6" t="s">
        <v>3608</v>
      </c>
      <c r="T59" s="6" t="e" vm="48">
        <v>#VALUE!</v>
      </c>
      <c r="U59" s="46" cm="1">
        <f t="array" aca="1" ref="U59" ca="1">IFERROR(_FV(Tableau1[[#This Row],[Code Excel]],"Capitalisation boursière",TRUE),"")</f>
        <v>42341250000</v>
      </c>
      <c r="V59" s="4" t="str" cm="1">
        <f t="array" aca="1" ref="V59" ca="1">IFERROR(_FV(Tableau1[[#This Row],[Code Excel]],"Industrie"),"")</f>
        <v>Chemicals</v>
      </c>
      <c r="W59" s="4" t="s">
        <v>2431</v>
      </c>
      <c r="X59" s="4" t="str">
        <f ca="1">Tableau1[[#This Row],[Grand Secteur]]&amp;Tableau1[[#This Row],[Industrie]]</f>
        <v>ChimieChemicals</v>
      </c>
      <c r="Y59" s="23" cm="1">
        <f t="array" aca="1" ref="Y59" ca="1">IFERROR(_FV(Tableau1[[#This Row],[Code Excel]],"P/E",TRUE),"")</f>
        <v>33.119999999999997</v>
      </c>
      <c r="Z59" s="43" cm="1">
        <f t="array" aca="1" ref="Z59" ca="1">IFERROR(_FV(Tableau1[[#This Row],[Code Excel]],"Employés"),"")</f>
        <v>111991</v>
      </c>
      <c r="AA59" s="46">
        <f ca="1">IFERROR(Tableau1[[#This Row],[Capitalisation boursière]]/Tableau1[[#This Row],[Employés]],"")</f>
        <v>378077.25620808813</v>
      </c>
      <c r="AB59" s="5" t="str">
        <f>IFERROR(Tableau1[[#This Row],[REX (2021)]]/Tableau1[[#This Row],[CA 2024]],"")</f>
        <v/>
      </c>
      <c r="AC59" s="9" t="str">
        <f>IFERROR(_xlfn.XLOOKUP(Tableau1[[#This Row],[Isin]]&amp;1&amp;2021,#REF!,Tableau3[Résultat d''exploitation]),"")</f>
        <v/>
      </c>
      <c r="AD59" s="9" t="str">
        <f>IFERROR(_xlfn.XLOOKUP(Tableau1[[#This Row],[Isin]]&amp;1&amp;2019,#REF!,Tableau3[Chiffre d''affaires]),"")</f>
        <v/>
      </c>
      <c r="AE59" s="9" t="str">
        <f>IFERROR(_xlfn.XLOOKUP(Tableau1[[#This Row],[Isin]]&amp;1&amp;2024,#REF!,Tableau3[Chiffre d''affaires]),"")</f>
        <v/>
      </c>
      <c r="AF59" s="8" t="str">
        <f>IFERROR(IF((Tableau1[[#This Row],[CA 2024]]-Tableau1[[#This Row],[CA 2019]])/Tableau1[[#This Row],[CA 2019]]=-1,"",(Tableau1[[#This Row],[CA 2024]]-Tableau1[[#This Row],[CA 2019]])/Tableau1[[#This Row],[CA 2019]]),"")</f>
        <v/>
      </c>
      <c r="AG59" s="9" t="str">
        <f>IFERROR(_xlfn.XLOOKUP(Tableau1[[#This Row],[Isin]]&amp;1&amp;2021,#REF!,Tableau3[EBE]),"")</f>
        <v/>
      </c>
      <c r="AH59" s="9" t="str">
        <f>IFERROR(_xlfn.XLOOKUP(Tableau1[[#This Row],[Isin]]&amp;1&amp;2022,#REF!,Tableau3[EBE]),"")</f>
        <v/>
      </c>
      <c r="AI59" s="43" t="s">
        <v>4329</v>
      </c>
      <c r="AJ59" s="43" t="s">
        <v>3150</v>
      </c>
      <c r="AK59" s="43" t="s">
        <v>3148</v>
      </c>
      <c r="AL59" s="43"/>
      <c r="AM59" s="43"/>
      <c r="AN59" s="9" t="str">
        <f>IFERROR(_xlfn.XLOOKUP(Tableau1[[#This Row],[Isin]]&amp;1&amp;2021,#REF!,Tableau3[Chiffre d''affaires]),"")</f>
        <v/>
      </c>
      <c r="AO59" s="43" cm="1">
        <f t="array" aca="1" ref="AO59" ca="1">_FV(Tableau1[[#This Row],[Code Excel]],"P/E",TRUE)</f>
        <v>33.119999999999997</v>
      </c>
      <c r="AP59" s="43" t="str">
        <f>IFERROR(_xlfn.XLOOKUP(Tableau1[[#This Row],[Isin]]&amp;1&amp;2023,#REF!,Tableau3[Résultat Net (PdG)]),"")</f>
        <v/>
      </c>
      <c r="AQ59" s="43">
        <f>IF(IFERROR(_xlfn.XLOOKUP(Tableau1[[#This Row],[Isin]]&amp;1&amp;2022,#REF!,Tableau3[Résultat Net (PdG)]),"")="",Tableau1[[#This Row],[RN Groupe 2022
Manuel]],IFERROR(_xlfn.XLOOKUP(Tableau1[[#This Row],[Isin]]&amp;1&amp;2022,#REF!,Tableau3[Résultat Net (PdG)]),""))</f>
        <v>0</v>
      </c>
      <c r="AR59" s="43"/>
      <c r="AS59" s="43">
        <f>IF(IFERROR(_xlfn.XLOOKUP(Tableau1[[#This Row],[Isin]]&amp;1&amp;2021,#REF!,Tableau3[Résultat Net (PdG)]),"")="",Tableau1[[#This Row],[RN Groupe 2021
Manuel]],IFERROR(_xlfn.XLOOKUP(Tableau1[[#This Row],[Isin]]&amp;1&amp;2021,#REF!,Tableau3[Résultat Net (PdG)]),""))</f>
        <v>0</v>
      </c>
      <c r="AT59" s="43"/>
      <c r="AU59" s="43" t="str">
        <f>IFERROR(_xlfn.XLOOKUP(Tableau1[[#This Row],[Isin]]&amp;1&amp;2020,#REF!,Tableau3[Résultat Net (PdG)]),"")</f>
        <v/>
      </c>
      <c r="AV59" s="43" t="str">
        <f>IFERROR(_xlfn.XLOOKUP(Tableau1[[#This Row],[Isin]]&amp;1&amp;2019,#REF!,Tableau3[Résultat Net (PdG)]),"")</f>
        <v/>
      </c>
      <c r="AW59" s="43" t="str">
        <f>IFERROR(_xlfn.XLOOKUP(Tableau1[[#This Row],[Isin]]&amp;1&amp;2018,#REF!,Tableau3[Résultat Net (PdG)]),"")</f>
        <v/>
      </c>
      <c r="AX59" s="43" t="str">
        <f>IFERROR(_xlfn.XLOOKUP(Tableau1[[#This Row],[Isin]]&amp;1&amp;2017,#REF!,Tableau3[Résultat Net (PdG)]),"")</f>
        <v/>
      </c>
      <c r="AY59" s="43" t="str">
        <f>IFERROR(_xlfn.XLOOKUP(Tableau1[[#This Row],[Isin]]&amp;1&amp;2016,#REF!,Tableau3[Résultat Net (PdG)]),"")</f>
        <v/>
      </c>
      <c r="AZ59" s="137" t="str">
        <f ca="1">IFERROR(Tableau1[[#This Row],[Capitalisation boursière]]/Tableau1[[#This Row],[RN Groupe 2023]],"")</f>
        <v/>
      </c>
      <c r="BA59" s="4" t="str" cm="1">
        <f t="array" aca="1" ref="BA59" ca="1">IFERROR(_FV(Tableau1[[#This Row],[Code Excel]],"Industrie"),"")</f>
        <v>Chemicals</v>
      </c>
      <c r="BB59" s="43" t="s">
        <v>3487</v>
      </c>
      <c r="BC59" s="43" t="str">
        <f>IFERROR(_xlfn.XLOOKUP(Tableau1[[#This Row],[Isin]]&amp;1&amp;2016,#REF!,Tableau3[Capi]),"")</f>
        <v/>
      </c>
      <c r="BD59" s="43" t="str">
        <f>IFERROR(_xlfn.XLOOKUP(Tableau1[[#This Row],[Isin]]&amp;1&amp;2017,#REF!,Tableau3[Capi]),"")</f>
        <v/>
      </c>
      <c r="BE59" s="43" t="str">
        <f>IFERROR(_xlfn.XLOOKUP(Tableau1[[#This Row],[Isin]]&amp;1&amp;2018,#REF!,Tableau3[Capi]),"")</f>
        <v/>
      </c>
      <c r="BF59" s="43" t="str">
        <f>IFERROR(_xlfn.XLOOKUP(Tableau1[[#This Row],[Isin]]&amp;1&amp;2019,#REF!,Tableau3[Capi]),"")</f>
        <v/>
      </c>
      <c r="BG59" s="43" t="str">
        <f>IFERROR(_xlfn.XLOOKUP(Tableau1[[#This Row],[Isin]]&amp;1&amp;2020,#REF!,Tableau3[Capi]),"")</f>
        <v/>
      </c>
      <c r="BH59" s="43">
        <f>IF(IFERROR(_xlfn.XLOOKUP(Tableau1[[#This Row],[Isin]]&amp;1&amp;2021,#REF!,Tableau3[Capi]),"")="",Tableau1[[#This Row],[Capitalisation 2021
Manuel]],IFERROR(_xlfn.XLOOKUP(Tableau1[[#This Row],[Isin]]&amp;1&amp;2021,#REF!,Tableau3[Capi]),""))</f>
        <v>0</v>
      </c>
      <c r="BI59" s="43"/>
      <c r="BJ59" s="43">
        <f>IF(IFERROR(_xlfn.XLOOKUP(Tableau1[[#This Row],[Isin]]&amp;1&amp;2022,#REF!,Tableau3[Capi]),"")="",Tableau1[[#This Row],[Capitalisation 2022
Manuel]],IFERROR(_xlfn.XLOOKUP(Tableau1[[#This Row],[Isin]]&amp;1&amp;2022,#REF!,Tableau3[Capi]),""))</f>
        <v>0</v>
      </c>
      <c r="BK59" s="43"/>
      <c r="BL59" s="43">
        <f ca="1">Tableau1[[#This Row],[Capitalisation boursière]]</f>
        <v>42341250000</v>
      </c>
      <c r="BM59" s="162" t="str" cm="1">
        <f t="array" aca="1" ref="BM59" ca="1">_FV(Tableau1[[#This Row],[Code Excel]],"Description")</f>
        <v>BASF SE est une société chimique basée en Allemagne. La société opère à travers six segments, qui comprennent les produits chimiques, les matériaux, les solutions industrielles, les technologies de surface, la nutrition et les soins et les solutions agricoles. Le segment des produits chimiques comprend les divisions pétrochimiques et intermédiaires. Le segment des matériaux comprend les divisions des matériaux de performance et des monomères. Le segment des solutions industrielles comprend les divisions des dispersions, des résines, des additifs et des produits chimiques de performance. Le segment des technologies de surface comprend les divisions des catalyseurs et des solutions de revêtements. Le segment Nutrition &amp; Care comprend les divisions Care Chemicals et Nutrition and Health. Le segment des solutions agricoles comprend la division Agricultural Solutions, qui se concentre sur la fourniture de produits de protection des cultures, de solutions de traitement des semences et de régulateurs de croissance des plantes. BASF SE est une société chimique basée en Allemagne. La société opère à travers six segments, qui comprennent les produits chimiques, les matériaux, les solutions industrielles, les technologies de surface, la nutrition et les soins et les solutions agricoles. Le segment des produits chimiques comprend les divisions pétrochimiques et intermédiaires. Le segment des matériaux comprend les divisions des matériaux de performance et des monomères.</v>
      </c>
      <c r="BN59" s="43"/>
      <c r="BO59" s="43"/>
      <c r="BP59" s="43"/>
      <c r="BQ59" s="43"/>
      <c r="BR59" s="4"/>
      <c r="BS59" s="21"/>
      <c r="BT59" s="13"/>
      <c r="BU59" s="13"/>
      <c r="BV59" s="13"/>
      <c r="BW59" s="13"/>
      <c r="BX59" s="13"/>
      <c r="BZ59" s="4"/>
      <c r="CA59" s="4"/>
    </row>
    <row r="60" spans="3:82">
      <c r="C60" s="43"/>
      <c r="D60" s="42">
        <f>IF(Tableau1[[#This Row],[Isin]]="",99,Tableau1[[#This Row],[Intérêt]]+Tableau1[[#This Row],[Valeur d''intérêt]]+Tableau1[[#This Row],[N° Portefeuille]])</f>
        <v>30</v>
      </c>
      <c r="E60" s="43"/>
      <c r="F60" s="42">
        <f>IF(Tableau1[[#This Row],[Portefeuille]]="p",0,Tableau1[[#This Row],[F. Investissement
Niveau d''intérêt]]*10)</f>
        <v>30</v>
      </c>
      <c r="G60" s="43">
        <f>IF(Tableau1[[#This Row],[Portefeuille]]="p",3,0)</f>
        <v>0</v>
      </c>
      <c r="H60" s="43">
        <v>3</v>
      </c>
      <c r="I60" s="43">
        <v>4</v>
      </c>
      <c r="J60" s="43"/>
      <c r="K60" s="43"/>
      <c r="L60" s="16">
        <v>0</v>
      </c>
      <c r="M6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0" s="44" t="s">
        <v>3610</v>
      </c>
      <c r="O60" s="45"/>
      <c r="P60" s="4" t="s">
        <v>564</v>
      </c>
      <c r="Q60" s="4"/>
      <c r="R60" s="6"/>
      <c r="S60" s="6" t="s">
        <v>3611</v>
      </c>
      <c r="T60" s="6" t="e" vm="49">
        <v>#VALUE!</v>
      </c>
      <c r="U60" s="46" cm="1">
        <f t="array" aca="1" ref="U60" ca="1">IFERROR(_FV(Tableau1[[#This Row],[Code Excel]],"Capitalisation boursière",TRUE),"")</f>
        <v>22173310000</v>
      </c>
      <c r="V60" s="4" t="str" cm="1">
        <f t="array" aca="1" ref="V60" ca="1">IFERROR(_FV(Tableau1[[#This Row],[Code Excel]],"Industrie"),"")</f>
        <v>Pharmaceuticals</v>
      </c>
      <c r="W60" s="4" t="s">
        <v>1586</v>
      </c>
      <c r="X60" s="4" t="str">
        <f ca="1">Tableau1[[#This Row],[Grand Secteur]]&amp;Tableau1[[#This Row],[Industrie]]</f>
        <v>SantéPharmaceuticals</v>
      </c>
      <c r="Y60" s="23" t="str" cm="1">
        <f t="array" ref="Y60">IFERROR(_FV(Tableau1[[#This Row],[Code Excel]],"P/E",TRUE),"")</f>
        <v/>
      </c>
      <c r="Z60" s="43" cm="1">
        <f t="array" aca="1" ref="Z60" ca="1">IFERROR(_FV(Tableau1[[#This Row],[Code Excel]],"Employés"),"")</f>
        <v>92815</v>
      </c>
      <c r="AA60" s="49">
        <f ca="1">IFERROR(Tableau1[[#This Row],[Capitalisation boursière]]/Tableau1[[#This Row],[Employés]],"")</f>
        <v>238897.91520767118</v>
      </c>
      <c r="AB60" s="5" t="str">
        <f>IFERROR(Tableau1[[#This Row],[REX (2021)]]/Tableau1[[#This Row],[CA 2024]],"")</f>
        <v/>
      </c>
      <c r="AC60" s="9" t="str">
        <f>IFERROR(_xlfn.XLOOKUP(Tableau1[[#This Row],[Isin]]&amp;1&amp;2021,#REF!,Tableau3[Résultat d''exploitation]),"")</f>
        <v/>
      </c>
      <c r="AD60" s="9" t="str">
        <f>IFERROR(_xlfn.XLOOKUP(Tableau1[[#This Row],[Isin]]&amp;1&amp;2019,#REF!,Tableau3[Chiffre d''affaires]),"")</f>
        <v/>
      </c>
      <c r="AE60" s="9" t="str">
        <f>IFERROR(_xlfn.XLOOKUP(Tableau1[[#This Row],[Isin]]&amp;1&amp;2024,#REF!,Tableau3[Chiffre d''affaires]),"")</f>
        <v/>
      </c>
      <c r="AF60" s="8" t="str">
        <f>IFERROR(IF((Tableau1[[#This Row],[CA 2024]]-Tableau1[[#This Row],[CA 2019]])/Tableau1[[#This Row],[CA 2019]]=-1,"",(Tableau1[[#This Row],[CA 2024]]-Tableau1[[#This Row],[CA 2019]])/Tableau1[[#This Row],[CA 2019]]),"")</f>
        <v/>
      </c>
      <c r="AG60" s="9" t="str">
        <f>IFERROR(_xlfn.XLOOKUP(Tableau1[[#This Row],[Isin]]&amp;1&amp;2021,#REF!,Tableau3[EBE]),"")</f>
        <v/>
      </c>
      <c r="AH60" s="9" t="str">
        <f>IFERROR(_xlfn.XLOOKUP(Tableau1[[#This Row],[Isin]]&amp;1&amp;2022,#REF!,Tableau3[EBE]),"")</f>
        <v/>
      </c>
      <c r="AI60" s="13" t="s">
        <v>4324</v>
      </c>
      <c r="AJ60" s="13" t="s">
        <v>4325</v>
      </c>
      <c r="AK60" s="13" t="s">
        <v>3148</v>
      </c>
      <c r="AL60" s="43"/>
      <c r="AM60" s="43"/>
      <c r="AN60" s="9" t="str">
        <f>IFERROR(_xlfn.XLOOKUP(Tableau1[[#This Row],[Isin]]&amp;1&amp;2021,#REF!,Tableau3[Chiffre d''affaires]),"")</f>
        <v/>
      </c>
      <c r="AO60" s="43" t="e" cm="1" vm="1">
        <f t="array" ref="AO60">_FV(Tableau1[[#This Row],[Code Excel]],"P/E",TRUE)</f>
        <v>#VALUE!</v>
      </c>
      <c r="AP60" s="43" t="str">
        <f>IFERROR(_xlfn.XLOOKUP(Tableau1[[#This Row],[Isin]]&amp;1&amp;2023,#REF!,Tableau3[Résultat Net (PdG)]),"")</f>
        <v/>
      </c>
      <c r="AQ60" s="43">
        <f>IF(IFERROR(_xlfn.XLOOKUP(Tableau1[[#This Row],[Isin]]&amp;1&amp;2022,#REF!,Tableau3[Résultat Net (PdG)]),"")="",Tableau1[[#This Row],[RN Groupe 2022
Manuel]],IFERROR(_xlfn.XLOOKUP(Tableau1[[#This Row],[Isin]]&amp;1&amp;2022,#REF!,Tableau3[Résultat Net (PdG)]),""))</f>
        <v>0</v>
      </c>
      <c r="AR60" s="43"/>
      <c r="AS60" s="43">
        <f>IF(IFERROR(_xlfn.XLOOKUP(Tableau1[[#This Row],[Isin]]&amp;1&amp;2021,#REF!,Tableau3[Résultat Net (PdG)]),"")="",Tableau1[[#This Row],[RN Groupe 2021
Manuel]],IFERROR(_xlfn.XLOOKUP(Tableau1[[#This Row],[Isin]]&amp;1&amp;2021,#REF!,Tableau3[Résultat Net (PdG)]),""))</f>
        <v>0</v>
      </c>
      <c r="AT60" s="43"/>
      <c r="AU60" s="43" t="str">
        <f>IFERROR(_xlfn.XLOOKUP(Tableau1[[#This Row],[Isin]]&amp;1&amp;2020,#REF!,Tableau3[Résultat Net (PdG)]),"")</f>
        <v/>
      </c>
      <c r="AV60" s="43" t="str">
        <f>IFERROR(_xlfn.XLOOKUP(Tableau1[[#This Row],[Isin]]&amp;1&amp;2019,#REF!,Tableau3[Résultat Net (PdG)]),"")</f>
        <v/>
      </c>
      <c r="AW60" s="43" t="str">
        <f>IFERROR(_xlfn.XLOOKUP(Tableau1[[#This Row],[Isin]]&amp;1&amp;2018,#REF!,Tableau3[Résultat Net (PdG)]),"")</f>
        <v/>
      </c>
      <c r="AX60" s="43" t="str">
        <f>IFERROR(_xlfn.XLOOKUP(Tableau1[[#This Row],[Isin]]&amp;1&amp;2017,#REF!,Tableau3[Résultat Net (PdG)]),"")</f>
        <v/>
      </c>
      <c r="AY60" s="43" t="str">
        <f>IFERROR(_xlfn.XLOOKUP(Tableau1[[#This Row],[Isin]]&amp;1&amp;2016,#REF!,Tableau3[Résultat Net (PdG)]),"")</f>
        <v/>
      </c>
      <c r="AZ60" s="137" t="str">
        <f ca="1">IFERROR(Tableau1[[#This Row],[Capitalisation boursière]]/Tableau1[[#This Row],[RN Groupe 2023]],"")</f>
        <v/>
      </c>
      <c r="BA60" s="4" t="str" cm="1">
        <f t="array" aca="1" ref="BA60" ca="1">IFERROR(_FV(Tableau1[[#This Row],[Code Excel]],"Industrie"),"")</f>
        <v>Pharmaceuticals</v>
      </c>
      <c r="BB60" s="43" t="s">
        <v>3487</v>
      </c>
      <c r="BC60" s="43" t="str">
        <f>IFERROR(_xlfn.XLOOKUP(Tableau1[[#This Row],[Isin]]&amp;1&amp;2016,#REF!,Tableau3[Capi]),"")</f>
        <v/>
      </c>
      <c r="BD60" s="43" t="str">
        <f>IFERROR(_xlfn.XLOOKUP(Tableau1[[#This Row],[Isin]]&amp;1&amp;2017,#REF!,Tableau3[Capi]),"")</f>
        <v/>
      </c>
      <c r="BE60" s="43" t="str">
        <f>IFERROR(_xlfn.XLOOKUP(Tableau1[[#This Row],[Isin]]&amp;1&amp;2018,#REF!,Tableau3[Capi]),"")</f>
        <v/>
      </c>
      <c r="BF60" s="43" t="str">
        <f>IFERROR(_xlfn.XLOOKUP(Tableau1[[#This Row],[Isin]]&amp;1&amp;2019,#REF!,Tableau3[Capi]),"")</f>
        <v/>
      </c>
      <c r="BG60" s="43" t="str">
        <f>IFERROR(_xlfn.XLOOKUP(Tableau1[[#This Row],[Isin]]&amp;1&amp;2020,#REF!,Tableau3[Capi]),"")</f>
        <v/>
      </c>
      <c r="BH60" s="43">
        <f>IF(IFERROR(_xlfn.XLOOKUP(Tableau1[[#This Row],[Isin]]&amp;1&amp;2021,#REF!,Tableau3[Capi]),"")="",Tableau1[[#This Row],[Capitalisation 2021
Manuel]],IFERROR(_xlfn.XLOOKUP(Tableau1[[#This Row],[Isin]]&amp;1&amp;2021,#REF!,Tableau3[Capi]),""))</f>
        <v>0</v>
      </c>
      <c r="BI60" s="43"/>
      <c r="BJ60" s="43">
        <f>IF(IFERROR(_xlfn.XLOOKUP(Tableau1[[#This Row],[Isin]]&amp;1&amp;2022,#REF!,Tableau3[Capi]),"")="",Tableau1[[#This Row],[Capitalisation 2022
Manuel]],IFERROR(_xlfn.XLOOKUP(Tableau1[[#This Row],[Isin]]&amp;1&amp;2022,#REF!,Tableau3[Capi]),""))</f>
        <v>0</v>
      </c>
      <c r="BK60" s="43"/>
      <c r="BL60" s="43">
        <f ca="1">Tableau1[[#This Row],[Capitalisation boursière]]</f>
        <v>22173310000</v>
      </c>
      <c r="BM60" s="162" t="str" cm="1">
        <f t="array" aca="1" ref="BM60" ca="1">_FV(Tableau1[[#This Row],[Code Excel]],"Description")</f>
        <v>Bayer AG est une société allemande spécialisée dans les sciences de la vie. Les segments de la Société sont Crop Science, Pharmaceuticals et Consumer Health. Le segment Crop Science se concentre sur les semences, les caractéristiques améliorées des plantes, les produits chimiques et biologiques de protection des cultures, les solutions numériques et le service à la clientèle pour une agriculture durable. Le secteur pharmaceutique se concentre sur les produits sur ordonnance, en particulier pour la cardiologie et la santé des femmes, ainsi que sur les thérapies spécialisées axées sur les domaines de la cardiologie, de l'oncologie, de l'hématologie et de l'ophtalmologie, ainsi que sur la thérapie génique et autres. Le segment de la santé grand public développe, produit et commercialise des médicaments en vente libre pour l'automédication. Son portefeuille de segment santé grand public comprend des produits en dermatologie, compléments alimentaires, analgésiques, gastro-intestinaux, rhume, allergies, sinus et grippe, soins des pieds et protection solaire, entre autres.</v>
      </c>
      <c r="BN60" s="43"/>
      <c r="BO60" s="43"/>
      <c r="BP60" s="43"/>
      <c r="BQ60" s="43"/>
      <c r="BR60" s="4"/>
      <c r="BS60" s="21"/>
      <c r="BT60" s="13"/>
      <c r="BU60" s="13"/>
      <c r="BV60" s="13"/>
      <c r="BW60" s="13"/>
      <c r="BX60" s="13"/>
      <c r="BY60" s="13"/>
      <c r="BZ60" s="56"/>
      <c r="CA60" s="47"/>
      <c r="CB60" s="50"/>
    </row>
    <row r="61" spans="3:82">
      <c r="C61" s="42"/>
      <c r="D61" s="42">
        <f>IF(Tableau1[[#This Row],[Isin]]="",99,Tableau1[[#This Row],[Intérêt]]+Tableau1[[#This Row],[Valeur d''intérêt]]+Tableau1[[#This Row],[N° Portefeuille]])</f>
        <v>30</v>
      </c>
      <c r="E61" s="42"/>
      <c r="F61" s="42">
        <f>IF(Tableau1[[#This Row],[Portefeuille]]="p",0,Tableau1[[#This Row],[F. Investissement
Niveau d''intérêt]]*10)</f>
        <v>30</v>
      </c>
      <c r="G61" s="42">
        <f>IF(Tableau1[[#This Row],[Portefeuille]]="p",3,0)</f>
        <v>0</v>
      </c>
      <c r="H61" s="42">
        <v>3</v>
      </c>
      <c r="I61" s="42">
        <v>4</v>
      </c>
      <c r="J61" s="42"/>
      <c r="K61" s="43"/>
      <c r="L61" s="16">
        <v>0</v>
      </c>
      <c r="M6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1" s="44" t="s">
        <v>3613</v>
      </c>
      <c r="O61" s="45"/>
      <c r="P61" s="4" t="s">
        <v>564</v>
      </c>
      <c r="Q61" s="4"/>
      <c r="R61" s="6"/>
      <c r="S61" s="6" t="s">
        <v>3614</v>
      </c>
      <c r="T61" s="6" t="e" vm="50">
        <v>#VALUE!</v>
      </c>
      <c r="U61" s="46" cm="1">
        <f t="array" aca="1" ref="U61" ca="1">IFERROR(_FV(Tableau1[[#This Row],[Code Excel]],"Capitalisation boursière",TRUE),"")</f>
        <v>48257220000</v>
      </c>
      <c r="V61" s="4" t="str" cm="1">
        <f t="array" aca="1" ref="V61" ca="1">IFERROR(_FV(Tableau1[[#This Row],[Code Excel]],"Industrie"),"")</f>
        <v>Automobiles &amp; Auto Parts</v>
      </c>
      <c r="W61" s="4" t="s">
        <v>1224</v>
      </c>
      <c r="X61" s="4" t="str">
        <f ca="1">Tableau1[[#This Row],[Grand Secteur]]&amp;Tableau1[[#This Row],[Industrie]]</f>
        <v>AutomobileAutomobiles &amp; Auto Parts</v>
      </c>
      <c r="Y61" s="23" cm="1">
        <f t="array" aca="1" ref="Y61" ca="1">IFERROR(_FV(Tableau1[[#This Row],[Code Excel]],"P/E",TRUE),"")</f>
        <v>6.67</v>
      </c>
      <c r="Z61" s="43" cm="1">
        <f t="array" aca="1" ref="Z61" ca="1">IFERROR(_FV(Tableau1[[#This Row],[Code Excel]],"Employés"),"")</f>
        <v>159104</v>
      </c>
      <c r="AA61" s="46">
        <f ca="1">IFERROR(Tableau1[[#This Row],[Capitalisation boursière]]/Tableau1[[#This Row],[Employés]],"")</f>
        <v>303306.13938053098</v>
      </c>
      <c r="AB61" s="5" t="str">
        <f>IFERROR(Tableau1[[#This Row],[REX (2021)]]/Tableau1[[#This Row],[CA 2024]],"")</f>
        <v/>
      </c>
      <c r="AC61" s="9" t="str">
        <f>IFERROR(_xlfn.XLOOKUP(Tableau1[[#This Row],[Isin]]&amp;1&amp;2021,#REF!,Tableau3[Résultat d''exploitation]),"")</f>
        <v/>
      </c>
      <c r="AD61" s="9" t="str">
        <f>IFERROR(_xlfn.XLOOKUP(Tableau1[[#This Row],[Isin]]&amp;1&amp;2019,#REF!,Tableau3[Chiffre d''affaires]),"")</f>
        <v/>
      </c>
      <c r="AE61" s="9" t="str">
        <f>IFERROR(_xlfn.XLOOKUP(Tableau1[[#This Row],[Isin]]&amp;1&amp;2024,#REF!,Tableau3[Chiffre d''affaires]),"")</f>
        <v/>
      </c>
      <c r="AF61" s="8" t="str">
        <f>IFERROR(IF((Tableau1[[#This Row],[CA 2024]]-Tableau1[[#This Row],[CA 2019]])/Tableau1[[#This Row],[CA 2019]]=-1,"",(Tableau1[[#This Row],[CA 2024]]-Tableau1[[#This Row],[CA 2019]])/Tableau1[[#This Row],[CA 2019]]),"")</f>
        <v/>
      </c>
      <c r="AG61" s="9" t="str">
        <f>IFERROR(_xlfn.XLOOKUP(Tableau1[[#This Row],[Isin]]&amp;1&amp;2021,#REF!,Tableau3[EBE]),"")</f>
        <v/>
      </c>
      <c r="AH61" s="9" t="str">
        <f>IFERROR(_xlfn.XLOOKUP(Tableau1[[#This Row],[Isin]]&amp;1&amp;2022,#REF!,Tableau3[EBE]),"")</f>
        <v/>
      </c>
      <c r="AI61" s="43" t="s">
        <v>4329</v>
      </c>
      <c r="AJ61" s="43" t="s">
        <v>3150</v>
      </c>
      <c r="AK61" s="43" t="s">
        <v>3148</v>
      </c>
      <c r="AL61" s="43"/>
      <c r="AM61" s="43"/>
      <c r="AN61" s="9" t="str">
        <f>IFERROR(_xlfn.XLOOKUP(Tableau1[[#This Row],[Isin]]&amp;1&amp;2021,#REF!,Tableau3[Chiffre d''affaires]),"")</f>
        <v/>
      </c>
      <c r="AO61" s="43" cm="1">
        <f t="array" aca="1" ref="AO61" ca="1">_FV(Tableau1[[#This Row],[Code Excel]],"P/E",TRUE)</f>
        <v>6.67</v>
      </c>
      <c r="AP61" s="43" t="str">
        <f>IFERROR(_xlfn.XLOOKUP(Tableau1[[#This Row],[Isin]]&amp;1&amp;2023,#REF!,Tableau3[Résultat Net (PdG)]),"")</f>
        <v/>
      </c>
      <c r="AQ61" s="43">
        <f>IF(IFERROR(_xlfn.XLOOKUP(Tableau1[[#This Row],[Isin]]&amp;1&amp;2022,#REF!,Tableau3[Résultat Net (PdG)]),"")="",Tableau1[[#This Row],[RN Groupe 2022
Manuel]],IFERROR(_xlfn.XLOOKUP(Tableau1[[#This Row],[Isin]]&amp;1&amp;2022,#REF!,Tableau3[Résultat Net (PdG)]),""))</f>
        <v>0</v>
      </c>
      <c r="AR61" s="43"/>
      <c r="AS61" s="43">
        <f>IF(IFERROR(_xlfn.XLOOKUP(Tableau1[[#This Row],[Isin]]&amp;1&amp;2021,#REF!,Tableau3[Résultat Net (PdG)]),"")="",Tableau1[[#This Row],[RN Groupe 2021
Manuel]],IFERROR(_xlfn.XLOOKUP(Tableau1[[#This Row],[Isin]]&amp;1&amp;2021,#REF!,Tableau3[Résultat Net (PdG)]),""))</f>
        <v>0</v>
      </c>
      <c r="AT61" s="43"/>
      <c r="AU61" s="43" t="str">
        <f>IFERROR(_xlfn.XLOOKUP(Tableau1[[#This Row],[Isin]]&amp;1&amp;2020,#REF!,Tableau3[Résultat Net (PdG)]),"")</f>
        <v/>
      </c>
      <c r="AV61" s="43" t="str">
        <f>IFERROR(_xlfn.XLOOKUP(Tableau1[[#This Row],[Isin]]&amp;1&amp;2019,#REF!,Tableau3[Résultat Net (PdG)]),"")</f>
        <v/>
      </c>
      <c r="AW61" s="43" t="str">
        <f>IFERROR(_xlfn.XLOOKUP(Tableau1[[#This Row],[Isin]]&amp;1&amp;2018,#REF!,Tableau3[Résultat Net (PdG)]),"")</f>
        <v/>
      </c>
      <c r="AX61" s="43" t="str">
        <f>IFERROR(_xlfn.XLOOKUP(Tableau1[[#This Row],[Isin]]&amp;1&amp;2017,#REF!,Tableau3[Résultat Net (PdG)]),"")</f>
        <v/>
      </c>
      <c r="AY61" s="43" t="str">
        <f>IFERROR(_xlfn.XLOOKUP(Tableau1[[#This Row],[Isin]]&amp;1&amp;2016,#REF!,Tableau3[Résultat Net (PdG)]),"")</f>
        <v/>
      </c>
      <c r="AZ61" s="137" t="str">
        <f ca="1">IFERROR(Tableau1[[#This Row],[Capitalisation boursière]]/Tableau1[[#This Row],[RN Groupe 2023]],"")</f>
        <v/>
      </c>
      <c r="BA61" s="4" t="str" cm="1">
        <f t="array" aca="1" ref="BA61" ca="1">IFERROR(_FV(Tableau1[[#This Row],[Code Excel]],"Industrie"),"")</f>
        <v>Automobiles &amp; Auto Parts</v>
      </c>
      <c r="BB61" s="43" t="s">
        <v>3487</v>
      </c>
      <c r="BC61" s="43" t="str">
        <f>IFERROR(_xlfn.XLOOKUP(Tableau1[[#This Row],[Isin]]&amp;1&amp;2016,#REF!,Tableau3[Capi]),"")</f>
        <v/>
      </c>
      <c r="BD61" s="43" t="str">
        <f>IFERROR(_xlfn.XLOOKUP(Tableau1[[#This Row],[Isin]]&amp;1&amp;2017,#REF!,Tableau3[Capi]),"")</f>
        <v/>
      </c>
      <c r="BE61" s="43" t="str">
        <f>IFERROR(_xlfn.XLOOKUP(Tableau1[[#This Row],[Isin]]&amp;1&amp;2018,#REF!,Tableau3[Capi]),"")</f>
        <v/>
      </c>
      <c r="BF61" s="43" t="str">
        <f>IFERROR(_xlfn.XLOOKUP(Tableau1[[#This Row],[Isin]]&amp;1&amp;2019,#REF!,Tableau3[Capi]),"")</f>
        <v/>
      </c>
      <c r="BG61" s="43" t="str">
        <f>IFERROR(_xlfn.XLOOKUP(Tableau1[[#This Row],[Isin]]&amp;1&amp;2020,#REF!,Tableau3[Capi]),"")</f>
        <v/>
      </c>
      <c r="BH61" s="43">
        <f>IF(IFERROR(_xlfn.XLOOKUP(Tableau1[[#This Row],[Isin]]&amp;1&amp;2021,#REF!,Tableau3[Capi]),"")="",Tableau1[[#This Row],[Capitalisation 2021
Manuel]],IFERROR(_xlfn.XLOOKUP(Tableau1[[#This Row],[Isin]]&amp;1&amp;2021,#REF!,Tableau3[Capi]),""))</f>
        <v>0</v>
      </c>
      <c r="BI61" s="43"/>
      <c r="BJ61" s="43">
        <f>IF(IFERROR(_xlfn.XLOOKUP(Tableau1[[#This Row],[Isin]]&amp;1&amp;2022,#REF!,Tableau3[Capi]),"")="",Tableau1[[#This Row],[Capitalisation 2022
Manuel]],IFERROR(_xlfn.XLOOKUP(Tableau1[[#This Row],[Isin]]&amp;1&amp;2022,#REF!,Tableau3[Capi]),""))</f>
        <v>0</v>
      </c>
      <c r="BK61" s="43"/>
      <c r="BL61" s="43">
        <f ca="1">Tableau1[[#This Row],[Capitalisation boursière]]</f>
        <v>48257220000</v>
      </c>
      <c r="BM61" s="162" t="str" cm="1">
        <f t="array" aca="1" ref="BM61" ca="1">_FV(Tableau1[[#This Row],[Code Excel]],"Description")</f>
        <v>Bayerische Motoren Werke Aktiengesellschaft est une société basée en Allemagne. La Société fabrique des automobiles et des motocycles. Les activités de la société sont divisées en trois segments : Segment automobile, Segment motocyclettes, Segment services financiers. Le segment automobile compte trois marques : BMW, MINI et Rolls-Royce. Il offre une variété de groupes motopropulseurs allant des moteurs purement électriques (BEV1) et des hybrides rechargeables modernes (PHEV2) aux moteurs à combustion efficaces. La gamme de produits comprend des automobiles allant de la classe compacte à la classe de luxe. Le segment Motos propose également une gamme de véhicules dans les catégories Sport, Tour, Roadster, Heritage et Adventure. Le secteur des services financiers fournit du financement par crédit et la location de véhicules et de motos de marque BMW à des clients particuliers.</v>
      </c>
      <c r="BN61" s="43"/>
      <c r="BO61" s="43"/>
      <c r="BP61" s="43"/>
      <c r="BQ61" s="43"/>
      <c r="BR61" s="4"/>
      <c r="BS61" s="21"/>
      <c r="BT61" s="13"/>
      <c r="BU61" s="13"/>
      <c r="BV61" s="13"/>
      <c r="BW61" s="13"/>
      <c r="BX61" s="13"/>
      <c r="BY61" s="13"/>
      <c r="BZ61" s="56"/>
      <c r="CA61" s="47"/>
      <c r="CB61" s="50"/>
    </row>
    <row r="62" spans="3:82">
      <c r="C62" s="43"/>
      <c r="D62" s="42">
        <f>IF(Tableau1[[#This Row],[Isin]]="",99,Tableau1[[#This Row],[Intérêt]]+Tableau1[[#This Row],[Valeur d''intérêt]]+Tableau1[[#This Row],[N° Portefeuille]])</f>
        <v>30</v>
      </c>
      <c r="E62" s="43"/>
      <c r="F62" s="42">
        <f>IF(Tableau1[[#This Row],[Portefeuille]]="p",0,Tableau1[[#This Row],[F. Investissement
Niveau d''intérêt]]*10)</f>
        <v>30</v>
      </c>
      <c r="G62" s="43">
        <f>IF(Tableau1[[#This Row],[Portefeuille]]="p",3,0)</f>
        <v>0</v>
      </c>
      <c r="H62" s="43">
        <v>3</v>
      </c>
      <c r="I62" s="43">
        <v>4</v>
      </c>
      <c r="J62" s="43"/>
      <c r="K62" s="43"/>
      <c r="L62" s="16">
        <v>0</v>
      </c>
      <c r="M6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2" s="44" t="s">
        <v>3617</v>
      </c>
      <c r="O62" s="45"/>
      <c r="P62" s="4" t="s">
        <v>427</v>
      </c>
      <c r="Q62" s="4"/>
      <c r="R62" s="6"/>
      <c r="S62" s="6" t="s">
        <v>3618</v>
      </c>
      <c r="T62" s="6" t="e" vm="51">
        <v>#VALUE!</v>
      </c>
      <c r="U62" s="46" cm="1">
        <f t="array" aca="1" ref="U62" ca="1">IFERROR(_FV(Tableau1[[#This Row],[Code Excel]],"Capitalisation boursière",TRUE),"")</f>
        <v>7996200000</v>
      </c>
      <c r="V62" s="4" t="str" cm="1">
        <f t="array" aca="1" ref="V62" ca="1">IFERROR(_FV(Tableau1[[#This Row],[Code Excel]],"Industrie"),"")</f>
        <v>Semiconductors &amp; Semiconductor Equipment</v>
      </c>
      <c r="W62" s="4" t="s">
        <v>4371</v>
      </c>
      <c r="X62" s="4" t="str">
        <f ca="1">Tableau1[[#This Row],[Grand Secteur]]&amp;Tableau1[[#This Row],[Industrie]]</f>
        <v>Equipement TechnologiqueSemiconductors &amp; Semiconductor Equipment</v>
      </c>
      <c r="Y62" s="23" cm="1">
        <f t="array" aca="1" ref="Y62" ca="1">IFERROR(_FV(Tableau1[[#This Row],[Code Excel]],"P/E",TRUE),"")</f>
        <v>42.719000000000001</v>
      </c>
      <c r="Z62" s="43" cm="1">
        <f t="array" aca="1" ref="Z62" ca="1">IFERROR(_FV(Tableau1[[#This Row],[Code Excel]],"Employés"),"")</f>
        <v>1812</v>
      </c>
      <c r="AA62" s="46">
        <f ca="1">IFERROR(Tableau1[[#This Row],[Capitalisation boursière]]/Tableau1[[#This Row],[Employés]],"")</f>
        <v>4412913.9072847683</v>
      </c>
      <c r="AB62" s="5" t="str">
        <f>IFERROR(Tableau1[[#This Row],[REX (2021)]]/Tableau1[[#This Row],[CA 2024]],"")</f>
        <v/>
      </c>
      <c r="AC62" s="9" t="str">
        <f>IFERROR(_xlfn.XLOOKUP(Tableau1[[#This Row],[Isin]]&amp;1&amp;2021,#REF!,Tableau3[Résultat d''exploitation]),"")</f>
        <v/>
      </c>
      <c r="AD62" s="9" t="str">
        <f>IFERROR(_xlfn.XLOOKUP(Tableau1[[#This Row],[Isin]]&amp;1&amp;2019,#REF!,Tableau3[Chiffre d''affaires]),"")</f>
        <v/>
      </c>
      <c r="AE62" s="9" t="str">
        <f>IFERROR(_xlfn.XLOOKUP(Tableau1[[#This Row],[Isin]]&amp;1&amp;2024,#REF!,Tableau3[Chiffre d''affaires]),"")</f>
        <v/>
      </c>
      <c r="AF62" s="8" t="str">
        <f>IFERROR(IF((Tableau1[[#This Row],[CA 2024]]-Tableau1[[#This Row],[CA 2019]])/Tableau1[[#This Row],[CA 2019]]=-1,"",(Tableau1[[#This Row],[CA 2024]]-Tableau1[[#This Row],[CA 2019]])/Tableau1[[#This Row],[CA 2019]]),"")</f>
        <v/>
      </c>
      <c r="AG62" s="9" t="str">
        <f>IFERROR(_xlfn.XLOOKUP(Tableau1[[#This Row],[Isin]]&amp;1&amp;2021,#REF!,Tableau3[EBE]),"")</f>
        <v/>
      </c>
      <c r="AH62" s="9" t="str">
        <f>IFERROR(_xlfn.XLOOKUP(Tableau1[[#This Row],[Isin]]&amp;1&amp;2022,#REF!,Tableau3[EBE]),"")</f>
        <v/>
      </c>
      <c r="AI62" s="43" t="s">
        <v>4324</v>
      </c>
      <c r="AJ62" s="43" t="s">
        <v>4348</v>
      </c>
      <c r="AK62" s="43" t="s">
        <v>3149</v>
      </c>
      <c r="AL62" s="43"/>
      <c r="AM62" s="43"/>
      <c r="AN62" s="9" t="str">
        <f>IFERROR(_xlfn.XLOOKUP(Tableau1[[#This Row],[Isin]]&amp;1&amp;2021,#REF!,Tableau3[Chiffre d''affaires]),"")</f>
        <v/>
      </c>
      <c r="AO62" s="43" cm="1">
        <f t="array" aca="1" ref="AO62" ca="1">_FV(Tableau1[[#This Row],[Code Excel]],"P/E",TRUE)</f>
        <v>42.719000000000001</v>
      </c>
      <c r="AP62" s="43" t="str">
        <f>IFERROR(_xlfn.XLOOKUP(Tableau1[[#This Row],[Isin]]&amp;1&amp;2023,#REF!,Tableau3[Résultat Net (PdG)]),"")</f>
        <v/>
      </c>
      <c r="AQ62" s="43">
        <f>IF(IFERROR(_xlfn.XLOOKUP(Tableau1[[#This Row],[Isin]]&amp;1&amp;2022,#REF!,Tableau3[Résultat Net (PdG)]),"")="",Tableau1[[#This Row],[RN Groupe 2022
Manuel]],IFERROR(_xlfn.XLOOKUP(Tableau1[[#This Row],[Isin]]&amp;1&amp;2022,#REF!,Tableau3[Résultat Net (PdG)]),""))</f>
        <v>0</v>
      </c>
      <c r="AR62" s="43"/>
      <c r="AS62" s="43">
        <f>IF(IFERROR(_xlfn.XLOOKUP(Tableau1[[#This Row],[Isin]]&amp;1&amp;2021,#REF!,Tableau3[Résultat Net (PdG)]),"")="",Tableau1[[#This Row],[RN Groupe 2021
Manuel]],IFERROR(_xlfn.XLOOKUP(Tableau1[[#This Row],[Isin]]&amp;1&amp;2021,#REF!,Tableau3[Résultat Net (PdG)]),""))</f>
        <v>0</v>
      </c>
      <c r="AT62" s="43"/>
      <c r="AU62" s="43" t="str">
        <f>IFERROR(_xlfn.XLOOKUP(Tableau1[[#This Row],[Isin]]&amp;1&amp;2020,#REF!,Tableau3[Résultat Net (PdG)]),"")</f>
        <v/>
      </c>
      <c r="AV62" s="43" t="str">
        <f>IFERROR(_xlfn.XLOOKUP(Tableau1[[#This Row],[Isin]]&amp;1&amp;2019,#REF!,Tableau3[Résultat Net (PdG)]),"")</f>
        <v/>
      </c>
      <c r="AW62" s="43" t="str">
        <f>IFERROR(_xlfn.XLOOKUP(Tableau1[[#This Row],[Isin]]&amp;1&amp;2018,#REF!,Tableau3[Résultat Net (PdG)]),"")</f>
        <v/>
      </c>
      <c r="AX62" s="43" t="str">
        <f>IFERROR(_xlfn.XLOOKUP(Tableau1[[#This Row],[Isin]]&amp;1&amp;2017,#REF!,Tableau3[Résultat Net (PdG)]),"")</f>
        <v/>
      </c>
      <c r="AY62" s="43" t="str">
        <f>IFERROR(_xlfn.XLOOKUP(Tableau1[[#This Row],[Isin]]&amp;1&amp;2016,#REF!,Tableau3[Résultat Net (PdG)]),"")</f>
        <v/>
      </c>
      <c r="AZ62" s="137" t="str">
        <f ca="1">IFERROR(Tableau1[[#This Row],[Capitalisation boursière]]/Tableau1[[#This Row],[RN Groupe 2023]],"")</f>
        <v/>
      </c>
      <c r="BA62" s="4" t="str" cm="1">
        <f t="array" aca="1" ref="BA62" ca="1">IFERROR(_FV(Tableau1[[#This Row],[Code Excel]],"Industrie"),"")</f>
        <v>Semiconductors &amp; Semiconductor Equipment</v>
      </c>
      <c r="BB62" s="43" t="s">
        <v>3496</v>
      </c>
      <c r="BC62" s="43" t="str">
        <f>IFERROR(_xlfn.XLOOKUP(Tableau1[[#This Row],[Isin]]&amp;1&amp;2016,#REF!,Tableau3[Capi]),"")</f>
        <v/>
      </c>
      <c r="BD62" s="43" t="str">
        <f>IFERROR(_xlfn.XLOOKUP(Tableau1[[#This Row],[Isin]]&amp;1&amp;2017,#REF!,Tableau3[Capi]),"")</f>
        <v/>
      </c>
      <c r="BE62" s="43" t="str">
        <f>IFERROR(_xlfn.XLOOKUP(Tableau1[[#This Row],[Isin]]&amp;1&amp;2018,#REF!,Tableau3[Capi]),"")</f>
        <v/>
      </c>
      <c r="BF62" s="43" t="str">
        <f>IFERROR(_xlfn.XLOOKUP(Tableau1[[#This Row],[Isin]]&amp;1&amp;2019,#REF!,Tableau3[Capi]),"")</f>
        <v/>
      </c>
      <c r="BG62" s="43" t="str">
        <f>IFERROR(_xlfn.XLOOKUP(Tableau1[[#This Row],[Isin]]&amp;1&amp;2020,#REF!,Tableau3[Capi]),"")</f>
        <v/>
      </c>
      <c r="BH62" s="43">
        <f>IF(IFERROR(_xlfn.XLOOKUP(Tableau1[[#This Row],[Isin]]&amp;1&amp;2021,#REF!,Tableau3[Capi]),"")="",Tableau1[[#This Row],[Capitalisation 2021
Manuel]],IFERROR(_xlfn.XLOOKUP(Tableau1[[#This Row],[Isin]]&amp;1&amp;2021,#REF!,Tableau3[Capi]),""))</f>
        <v>0</v>
      </c>
      <c r="BI62" s="43"/>
      <c r="BJ62" s="43">
        <f>IF(IFERROR(_xlfn.XLOOKUP(Tableau1[[#This Row],[Isin]]&amp;1&amp;2022,#REF!,Tableau3[Capi]),"")="",Tableau1[[#This Row],[Capitalisation 2022
Manuel]],IFERROR(_xlfn.XLOOKUP(Tableau1[[#This Row],[Isin]]&amp;1&amp;2022,#REF!,Tableau3[Capi]),""))</f>
        <v>0</v>
      </c>
      <c r="BK62" s="43"/>
      <c r="BL62" s="43">
        <f ca="1">Tableau1[[#This Row],[Capitalisation boursière]]</f>
        <v>7996200000</v>
      </c>
      <c r="BM62" s="162" t="str" cm="1">
        <f t="array" aca="1" ref="BM62" ca="1">_FV(Tableau1[[#This Row],[Code Excel]],"Description")</f>
        <v>BE Semiconductor Industries N.V. (Besi) est une holding. La Société est engagée dans le développement, la fabrication, la commercialisation, la vente et le service d'équipements de montage semi-conducteurs pour les industries mondiales des semi-conducteurs et de l'électronique. Il fonctionne à travers trois segments: Die Attach, Packaging and Plating. Elle développe des processus d'assemblage et des équipements pour les applications d'emballage au plomb, au substrat et aux plaquettes sur une gamme de marchés d'utilisateurs finaux, y compris l'électronique, l'informatique, l'automobile, l'industrie et l'énergie solaire. La Société propose des produits, tels que des équipements de fixation à la masse, qui incluent des systèmes de liaison par compression à une seule puce, multi-puissants, multi-modules, flip chip, thermo-compression (TCB) et des systèmes améliorés de blocage des matrices à grille à billes (eWLB) et triage Systèmes; Les équipements d'emballage, y compris les systèmes de moulage par niveau de plaquettes et de sécrétions, et les équipements de plaquage, y compris les systèmes de placage métallique et les produits chimiques pour procédés connexes.</v>
      </c>
      <c r="BN62" s="43"/>
      <c r="BO62" s="43"/>
      <c r="BP62" s="43"/>
      <c r="BQ62" s="43"/>
      <c r="BR62" s="4"/>
      <c r="BS62" s="21"/>
      <c r="BT62" s="13"/>
      <c r="BU62" s="13"/>
      <c r="BV62" s="13"/>
      <c r="BW62" s="13"/>
      <c r="BX62" s="13"/>
      <c r="BY62" s="13"/>
      <c r="BZ62" s="47"/>
      <c r="CA62" s="47"/>
    </row>
    <row r="63" spans="3:82">
      <c r="C63" s="42"/>
      <c r="D63" s="42">
        <f>IF(Tableau1[[#This Row],[Isin]]="",99,Tableau1[[#This Row],[Intérêt]]+Tableau1[[#This Row],[Valeur d''intérêt]]+Tableau1[[#This Row],[N° Portefeuille]])</f>
        <v>30</v>
      </c>
      <c r="E63" s="42"/>
      <c r="F63" s="42">
        <f>IF(Tableau1[[#This Row],[Portefeuille]]="p",0,Tableau1[[#This Row],[F. Investissement
Niveau d''intérêt]]*10)</f>
        <v>30</v>
      </c>
      <c r="G63" s="42">
        <f>IF(Tableau1[[#This Row],[Portefeuille]]="p",3,0)</f>
        <v>0</v>
      </c>
      <c r="H63" s="42">
        <v>3</v>
      </c>
      <c r="I63" s="42">
        <v>4</v>
      </c>
      <c r="J63" s="42"/>
      <c r="K63" s="43"/>
      <c r="L63" s="16">
        <v>1</v>
      </c>
      <c r="M6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3" s="44" t="s">
        <v>2724</v>
      </c>
      <c r="O63" s="44" t="s">
        <v>2725</v>
      </c>
      <c r="P63" s="4" t="s">
        <v>84</v>
      </c>
      <c r="Q63" s="6" t="s">
        <v>85</v>
      </c>
      <c r="R63" s="6"/>
      <c r="S63" s="6" t="s">
        <v>2727</v>
      </c>
      <c r="T63" s="6" t="e" vm="52">
        <v>#VALUE!</v>
      </c>
      <c r="U63" s="46" cm="1">
        <f t="array" aca="1" ref="U63" ca="1">IFERROR(_FV(Tableau1[[#This Row],[Code Excel]],"Capitalisation boursière",TRUE),"")</f>
        <v>1517327000</v>
      </c>
      <c r="V63" s="4" t="str" cm="1">
        <f t="array" aca="1" ref="V63" ca="1">IFERROR(_FV(Tableau1[[#This Row],[Code Excel]],"Industrie"),"")</f>
        <v>Media &amp; Publishing</v>
      </c>
      <c r="W63" s="4" t="s">
        <v>2018</v>
      </c>
      <c r="X63" s="4" t="str">
        <f ca="1">Tableau1[[#This Row],[Grand Secteur]]&amp;Tableau1[[#This Row],[Industrie]]</f>
        <v>MédiaMedia &amp; Publishing</v>
      </c>
      <c r="Y63" s="23" t="str" cm="1">
        <f t="array" ref="Y63">IFERROR(_FV(Tableau1[[#This Row],[Code Excel]],"P/E",TRUE),"")</f>
        <v/>
      </c>
      <c r="Z63" s="43" cm="1">
        <f t="array" aca="1" ref="Z63" ca="1">IFERROR(_FV(Tableau1[[#This Row],[Code Excel]],"Employés"),"")</f>
        <v>2028</v>
      </c>
      <c r="AA63" s="49">
        <f ca="1">IFERROR(Tableau1[[#This Row],[Capitalisation boursière]]/Tableau1[[#This Row],[Employés]],"")</f>
        <v>748188.85601577908</v>
      </c>
      <c r="AB63" s="5" t="str">
        <f>IFERROR(Tableau1[[#This Row],[REX (2021)]]/Tableau1[[#This Row],[CA 2024]],"")</f>
        <v/>
      </c>
      <c r="AC63" s="9" t="str">
        <f>IFERROR(_xlfn.XLOOKUP(Tableau1[[#This Row],[Isin]]&amp;1&amp;2021,#REF!,Tableau3[Résultat d''exploitation]),"")</f>
        <v/>
      </c>
      <c r="AD63" s="9" t="str">
        <f>IFERROR(_xlfn.XLOOKUP(Tableau1[[#This Row],[Isin]]&amp;1&amp;2019,#REF!,Tableau3[Chiffre d''affaires]),"")</f>
        <v/>
      </c>
      <c r="AE63" s="9" t="str">
        <f>IFERROR(_xlfn.XLOOKUP(Tableau1[[#This Row],[Isin]]&amp;1&amp;2024,#REF!,Tableau3[Chiffre d''affaires]),"")</f>
        <v/>
      </c>
      <c r="AF63" s="8" t="str">
        <f>IFERROR(IF((Tableau1[[#This Row],[CA 2024]]-Tableau1[[#This Row],[CA 2019]])/Tableau1[[#This Row],[CA 2019]]=-1,"",(Tableau1[[#This Row],[CA 2024]]-Tableau1[[#This Row],[CA 2019]])/Tableau1[[#This Row],[CA 2019]]),"")</f>
        <v/>
      </c>
      <c r="AG63" s="9" t="str">
        <f>IFERROR(_xlfn.XLOOKUP(Tableau1[[#This Row],[Isin]]&amp;1&amp;2021,#REF!,Tableau3[EBE]),"")</f>
        <v/>
      </c>
      <c r="AH63" s="9" t="str">
        <f>IFERROR(_xlfn.XLOOKUP(Tableau1[[#This Row],[Isin]]&amp;1&amp;2022,#REF!,Tableau3[EBE]),"")</f>
        <v/>
      </c>
      <c r="AI63" s="43" t="s">
        <v>3431</v>
      </c>
      <c r="AJ63" s="13" t="s">
        <v>4325</v>
      </c>
      <c r="AK63" s="43" t="s">
        <v>3149</v>
      </c>
      <c r="AL63" s="43" t="s">
        <v>3419</v>
      </c>
      <c r="AM63" s="43"/>
      <c r="AN63" s="9" t="str">
        <f>IFERROR(_xlfn.XLOOKUP(Tableau1[[#This Row],[Isin]]&amp;1&amp;2021,#REF!,Tableau3[Chiffre d''affaires]),"")</f>
        <v/>
      </c>
      <c r="AO63" s="43" t="e" cm="1" vm="1">
        <f t="array" ref="AO63">_FV(Tableau1[[#This Row],[Code Excel]],"P/E",TRUE)</f>
        <v>#VALUE!</v>
      </c>
      <c r="AP63" s="43" t="str">
        <f>IFERROR(_xlfn.XLOOKUP(Tableau1[[#This Row],[Isin]]&amp;1&amp;2023,#REF!,Tableau3[Résultat Net (PdG)]),"")</f>
        <v/>
      </c>
      <c r="AQ63" s="43">
        <f>IF(IFERROR(_xlfn.XLOOKUP(Tableau1[[#This Row],[Isin]]&amp;1&amp;2022,#REF!,Tableau3[Résultat Net (PdG)]),"")="",Tableau1[[#This Row],[RN Groupe 2022
Manuel]],IFERROR(_xlfn.XLOOKUP(Tableau1[[#This Row],[Isin]]&amp;1&amp;2022,#REF!,Tableau3[Résultat Net (PdG)]),""))</f>
        <v>0</v>
      </c>
      <c r="AR63" s="43"/>
      <c r="AS63" s="43">
        <f>IF(IFERROR(_xlfn.XLOOKUP(Tableau1[[#This Row],[Isin]]&amp;1&amp;2021,#REF!,Tableau3[Résultat Net (PdG)]),"")="",Tableau1[[#This Row],[RN Groupe 2021
Manuel]],IFERROR(_xlfn.XLOOKUP(Tableau1[[#This Row],[Isin]]&amp;1&amp;2021,#REF!,Tableau3[Résultat Net (PdG)]),""))</f>
        <v>0</v>
      </c>
      <c r="AT63" s="43"/>
      <c r="AU63" s="43" t="str">
        <f>IFERROR(_xlfn.XLOOKUP(Tableau1[[#This Row],[Isin]]&amp;1&amp;2020,#REF!,Tableau3[Résultat Net (PdG)]),"")</f>
        <v/>
      </c>
      <c r="AV63" s="43" t="str">
        <f>IFERROR(_xlfn.XLOOKUP(Tableau1[[#This Row],[Isin]]&amp;1&amp;2019,#REF!,Tableau3[Résultat Net (PdG)]),"")</f>
        <v/>
      </c>
      <c r="AW63" s="43" t="str">
        <f>IFERROR(_xlfn.XLOOKUP(Tableau1[[#This Row],[Isin]]&amp;1&amp;2018,#REF!,Tableau3[Résultat Net (PdG)]),"")</f>
        <v/>
      </c>
      <c r="AX63" s="43" t="str">
        <f>IFERROR(_xlfn.XLOOKUP(Tableau1[[#This Row],[Isin]]&amp;1&amp;2017,#REF!,Tableau3[Résultat Net (PdG)]),"")</f>
        <v/>
      </c>
      <c r="AY63" s="43" t="str">
        <f>IFERROR(_xlfn.XLOOKUP(Tableau1[[#This Row],[Isin]]&amp;1&amp;2016,#REF!,Tableau3[Résultat Net (PdG)]),"")</f>
        <v/>
      </c>
      <c r="AZ63" s="137" t="str">
        <f ca="1">IFERROR(Tableau1[[#This Row],[Capitalisation boursière]]/Tableau1[[#This Row],[RN Groupe 2023]],"")</f>
        <v/>
      </c>
      <c r="BA63" s="4" t="str" cm="1">
        <f t="array" aca="1" ref="BA63" ca="1">IFERROR(_FV(Tableau1[[#This Row],[Code Excel]],"Industrie"),"")</f>
        <v>Media &amp; Publishing</v>
      </c>
      <c r="BB63" s="43" t="e">
        <v>#N/A</v>
      </c>
      <c r="BC63" s="43" t="str">
        <f>IFERROR(_xlfn.XLOOKUP(Tableau1[[#This Row],[Isin]]&amp;1&amp;2016,#REF!,Tableau3[Capi]),"")</f>
        <v/>
      </c>
      <c r="BD63" s="43" t="str">
        <f>IFERROR(_xlfn.XLOOKUP(Tableau1[[#This Row],[Isin]]&amp;1&amp;2017,#REF!,Tableau3[Capi]),"")</f>
        <v/>
      </c>
      <c r="BE63" s="43" t="str">
        <f>IFERROR(_xlfn.XLOOKUP(Tableau1[[#This Row],[Isin]]&amp;1&amp;2018,#REF!,Tableau3[Capi]),"")</f>
        <v/>
      </c>
      <c r="BF63" s="43" t="str">
        <f>IFERROR(_xlfn.XLOOKUP(Tableau1[[#This Row],[Isin]]&amp;1&amp;2019,#REF!,Tableau3[Capi]),"")</f>
        <v/>
      </c>
      <c r="BG63" s="43" t="str">
        <f>IFERROR(_xlfn.XLOOKUP(Tableau1[[#This Row],[Isin]]&amp;1&amp;2020,#REF!,Tableau3[Capi]),"")</f>
        <v/>
      </c>
      <c r="BH63" s="43">
        <f>IF(IFERROR(_xlfn.XLOOKUP(Tableau1[[#This Row],[Isin]]&amp;1&amp;2021,#REF!,Tableau3[Capi]),"")="",Tableau1[[#This Row],[Capitalisation 2021
Manuel]],IFERROR(_xlfn.XLOOKUP(Tableau1[[#This Row],[Isin]]&amp;1&amp;2021,#REF!,Tableau3[Capi]),""))</f>
        <v>0</v>
      </c>
      <c r="BI63" s="43"/>
      <c r="BJ63" s="43">
        <f>IF(IFERROR(_xlfn.XLOOKUP(Tableau1[[#This Row],[Isin]]&amp;1&amp;2022,#REF!,Tableau3[Capi]),"")="",Tableau1[[#This Row],[Capitalisation 2022
Manuel]],IFERROR(_xlfn.XLOOKUP(Tableau1[[#This Row],[Isin]]&amp;1&amp;2022,#REF!,Tableau3[Capi]),""))</f>
        <v>0</v>
      </c>
      <c r="BK63" s="43"/>
      <c r="BL63" s="43">
        <f ca="1">Tableau1[[#This Row],[Capitalisation boursière]]</f>
        <v>1517327000</v>
      </c>
      <c r="BM63" s="162" t="str" cm="1">
        <f t="array" aca="1" ref="BM63" ca="1">_FV(Tableau1[[#This Row],[Code Excel]],"Description")</f>
        <v>Believe SAS est une société basée en France qui fournit des services de distribution numérique d’artistes et de labels. La Société propose de construire et de coordonner des stratégies de marketing et de promotion digitales sur mesure en France et à l’étranger. Il place la musique de l’artiste / étiquette à vendre dans des magasins numériques tels que iTunes, Beatport, Vodafone, Amazon numérique et Emusic, et d’autres; puis assigne artistes et répertoire (A&amp;R) professionnel dédié à l’artiste / label et offre ensuite un accès permanent à la zone artiste / label pour surveiller les ventes et la promotion. La Société aide les artistes indépendants à atteindre un public local ainsi que le succès mondial grâce à des solutions basées sur les données, basées sur la technologie interne qui leur permet de maximiser leurs revenus.</v>
      </c>
      <c r="BN63" s="43"/>
      <c r="BO63" s="43"/>
      <c r="BP63" s="43"/>
      <c r="BQ63" s="43"/>
      <c r="BR63" s="4"/>
      <c r="BS63" s="21"/>
      <c r="BT63" s="13"/>
      <c r="BU63" s="13"/>
      <c r="BV63" s="13"/>
      <c r="BW63" s="13"/>
      <c r="BX63" s="13"/>
      <c r="BY63" s="13"/>
      <c r="BZ63" s="47"/>
      <c r="CA63" s="47"/>
    </row>
    <row r="64" spans="3:82">
      <c r="C64" s="43"/>
      <c r="D64" s="42">
        <f>IF(Tableau1[[#This Row],[Isin]]="",99,Tableau1[[#This Row],[Intérêt]]+Tableau1[[#This Row],[Valeur d''intérêt]]+Tableau1[[#This Row],[N° Portefeuille]])</f>
        <v>30</v>
      </c>
      <c r="E64" s="43"/>
      <c r="F64" s="42">
        <f>IF(Tableau1[[#This Row],[Portefeuille]]="p",0,Tableau1[[#This Row],[F. Investissement
Niveau d''intérêt]]*10)</f>
        <v>30</v>
      </c>
      <c r="G64" s="43">
        <f>IF(Tableau1[[#This Row],[Portefeuille]]="p",3,0)</f>
        <v>0</v>
      </c>
      <c r="H64" s="43">
        <v>3</v>
      </c>
      <c r="I64" s="43">
        <v>4</v>
      </c>
      <c r="J64" s="43"/>
      <c r="K64" s="43"/>
      <c r="L64" s="16">
        <v>1</v>
      </c>
      <c r="M6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4" s="44" t="s">
        <v>3622</v>
      </c>
      <c r="O64" s="44" t="s">
        <v>1315</v>
      </c>
      <c r="P64" s="4" t="s">
        <v>84</v>
      </c>
      <c r="Q64" s="6" t="s">
        <v>85</v>
      </c>
      <c r="R64" s="6"/>
      <c r="S64" s="6" t="s">
        <v>1784</v>
      </c>
      <c r="T64" s="6" t="e" vm="53">
        <v>#VALUE!</v>
      </c>
      <c r="U64" s="46" cm="1">
        <f t="array" aca="1" ref="U64" ca="1">IFERROR(_FV(Tableau1[[#This Row],[Code Excel]],"Capitalisation boursière",TRUE),"")</f>
        <v>2626295000</v>
      </c>
      <c r="V64" s="4" t="str" cm="1">
        <f t="array" aca="1" ref="V64" ca="1">IFERROR(_FV(Tableau1[[#This Row],[Code Excel]],"Industrie"),"")</f>
        <v>Professional &amp; Commercial Services</v>
      </c>
      <c r="W64" s="4" t="s">
        <v>1315</v>
      </c>
      <c r="X64" s="4" t="str">
        <f ca="1">Tableau1[[#This Row],[Grand Secteur]]&amp;Tableau1[[#This Row],[Industrie]]</f>
        <v>Biens de consommationProfessional &amp; Commercial Services</v>
      </c>
      <c r="Y64" s="23" cm="1">
        <f t="array" aca="1" ref="Y64" ca="1">IFERROR(_FV(Tableau1[[#This Row],[Code Excel]],"P/E",TRUE),"")</f>
        <v>12.3704</v>
      </c>
      <c r="Z64" s="43" cm="1">
        <f t="array" aca="1" ref="Z64" ca="1">IFERROR(_FV(Tableau1[[#This Row],[Code Excel]],"Employés"),"")</f>
        <v>10322</v>
      </c>
      <c r="AA64" s="46">
        <f ca="1">IFERROR(Tableau1[[#This Row],[Capitalisation boursière]]/Tableau1[[#This Row],[Employés]],"")</f>
        <v>254436.64018601045</v>
      </c>
      <c r="AB64" s="5" t="str">
        <f>IFERROR(Tableau1[[#This Row],[REX (2021)]]/Tableau1[[#This Row],[CA 2024]],"")</f>
        <v/>
      </c>
      <c r="AC64" s="9" t="str">
        <f>IFERROR(_xlfn.XLOOKUP(Tableau1[[#This Row],[Isin]]&amp;1&amp;2021,#REF!,Tableau3[Résultat d''exploitation]),"")</f>
        <v/>
      </c>
      <c r="AD64" s="9" t="str">
        <f>IFERROR(_xlfn.XLOOKUP(Tableau1[[#This Row],[Isin]]&amp;1&amp;2019,#REF!,Tableau3[Chiffre d''affaires]),"")</f>
        <v/>
      </c>
      <c r="AE64" s="9" t="str">
        <f>IFERROR(_xlfn.XLOOKUP(Tableau1[[#This Row],[Isin]]&amp;1&amp;2024,#REF!,Tableau3[Chiffre d''affaires]),"")</f>
        <v/>
      </c>
      <c r="AF64" s="8" t="str">
        <f>IFERROR(IF((Tableau1[[#This Row],[CA 2024]]-Tableau1[[#This Row],[CA 2019]])/Tableau1[[#This Row],[CA 2019]]=-1,"",(Tableau1[[#This Row],[CA 2024]]-Tableau1[[#This Row],[CA 2019]])/Tableau1[[#This Row],[CA 2019]]),"")</f>
        <v/>
      </c>
      <c r="AG64" s="9" t="str">
        <f>IFERROR(_xlfn.XLOOKUP(Tableau1[[#This Row],[Isin]]&amp;1&amp;2021,#REF!,Tableau3[EBE]),"")</f>
        <v/>
      </c>
      <c r="AH64" s="9" t="str">
        <f>IFERROR(_xlfn.XLOOKUP(Tableau1[[#This Row],[Isin]]&amp;1&amp;2022,#REF!,Tableau3[EBE]),"")</f>
        <v/>
      </c>
      <c r="AI64" s="43" t="s">
        <v>3431</v>
      </c>
      <c r="AJ64" s="43" t="s">
        <v>3150</v>
      </c>
      <c r="AK64" s="43" t="s">
        <v>3149</v>
      </c>
      <c r="AL64" s="43" t="s">
        <v>3431</v>
      </c>
      <c r="AM64" s="43"/>
      <c r="AN64" s="9" t="str">
        <f>IFERROR(_xlfn.XLOOKUP(Tableau1[[#This Row],[Isin]]&amp;1&amp;2021,#REF!,Tableau3[Chiffre d''affaires]),"")</f>
        <v/>
      </c>
      <c r="AO64" s="43" cm="1">
        <f t="array" aca="1" ref="AO64" ca="1">_FV(Tableau1[[#This Row],[Code Excel]],"P/E",TRUE)</f>
        <v>12.3704</v>
      </c>
      <c r="AP64" s="43" t="str">
        <f>IFERROR(_xlfn.XLOOKUP(Tableau1[[#This Row],[Isin]]&amp;1&amp;2023,#REF!,Tableau3[Résultat Net (PdG)]),"")</f>
        <v/>
      </c>
      <c r="AQ64" s="43">
        <f>IF(IFERROR(_xlfn.XLOOKUP(Tableau1[[#This Row],[Isin]]&amp;1&amp;2022,#REF!,Tableau3[Résultat Net (PdG)]),"")="",Tableau1[[#This Row],[RN Groupe 2022
Manuel]],IFERROR(_xlfn.XLOOKUP(Tableau1[[#This Row],[Isin]]&amp;1&amp;2022,#REF!,Tableau3[Résultat Net (PdG)]),""))</f>
        <v>0</v>
      </c>
      <c r="AR64" s="43"/>
      <c r="AS64" s="43">
        <f>IF(IFERROR(_xlfn.XLOOKUP(Tableau1[[#This Row],[Isin]]&amp;1&amp;2021,#REF!,Tableau3[Résultat Net (PdG)]),"")="",Tableau1[[#This Row],[RN Groupe 2021
Manuel]],IFERROR(_xlfn.XLOOKUP(Tableau1[[#This Row],[Isin]]&amp;1&amp;2021,#REF!,Tableau3[Résultat Net (PdG)]),""))</f>
        <v>0</v>
      </c>
      <c r="AT64" s="43"/>
      <c r="AU64" s="43" t="str">
        <f>IFERROR(_xlfn.XLOOKUP(Tableau1[[#This Row],[Isin]]&amp;1&amp;2020,#REF!,Tableau3[Résultat Net (PdG)]),"")</f>
        <v/>
      </c>
      <c r="AV64" s="43" t="str">
        <f>IFERROR(_xlfn.XLOOKUP(Tableau1[[#This Row],[Isin]]&amp;1&amp;2019,#REF!,Tableau3[Résultat Net (PdG)]),"")</f>
        <v/>
      </c>
      <c r="AW64" s="43" t="str">
        <f>IFERROR(_xlfn.XLOOKUP(Tableau1[[#This Row],[Isin]]&amp;1&amp;2018,#REF!,Tableau3[Résultat Net (PdG)]),"")</f>
        <v/>
      </c>
      <c r="AX64" s="43" t="str">
        <f>IFERROR(_xlfn.XLOOKUP(Tableau1[[#This Row],[Isin]]&amp;1&amp;2017,#REF!,Tableau3[Résultat Net (PdG)]),"")</f>
        <v/>
      </c>
      <c r="AY64" s="43" t="str">
        <f>IFERROR(_xlfn.XLOOKUP(Tableau1[[#This Row],[Isin]]&amp;1&amp;2016,#REF!,Tableau3[Résultat Net (PdG)]),"")</f>
        <v/>
      </c>
      <c r="AZ64" s="137" t="str">
        <f ca="1">IFERROR(Tableau1[[#This Row],[Capitalisation boursière]]/Tableau1[[#This Row],[RN Groupe 2023]],"")</f>
        <v/>
      </c>
      <c r="BA64" s="4" t="str" cm="1">
        <f t="array" aca="1" ref="BA64" ca="1">IFERROR(_FV(Tableau1[[#This Row],[Code Excel]],"Industrie"),"")</f>
        <v>Professional &amp; Commercial Services</v>
      </c>
      <c r="BB64" s="43" t="s">
        <v>3477</v>
      </c>
      <c r="BC64" s="43" t="str">
        <f>IFERROR(_xlfn.XLOOKUP(Tableau1[[#This Row],[Isin]]&amp;1&amp;2016,#REF!,Tableau3[Capi]),"")</f>
        <v/>
      </c>
      <c r="BD64" s="43" t="str">
        <f>IFERROR(_xlfn.XLOOKUP(Tableau1[[#This Row],[Isin]]&amp;1&amp;2017,#REF!,Tableau3[Capi]),"")</f>
        <v/>
      </c>
      <c r="BE64" s="43" t="str">
        <f>IFERROR(_xlfn.XLOOKUP(Tableau1[[#This Row],[Isin]]&amp;1&amp;2018,#REF!,Tableau3[Capi]),"")</f>
        <v/>
      </c>
      <c r="BF64" s="43" t="str">
        <f>IFERROR(_xlfn.XLOOKUP(Tableau1[[#This Row],[Isin]]&amp;1&amp;2019,#REF!,Tableau3[Capi]),"")</f>
        <v/>
      </c>
      <c r="BG64" s="43" t="str">
        <f>IFERROR(_xlfn.XLOOKUP(Tableau1[[#This Row],[Isin]]&amp;1&amp;2020,#REF!,Tableau3[Capi]),"")</f>
        <v/>
      </c>
      <c r="BH64" s="43">
        <f>IF(IFERROR(_xlfn.XLOOKUP(Tableau1[[#This Row],[Isin]]&amp;1&amp;2021,#REF!,Tableau3[Capi]),"")="",Tableau1[[#This Row],[Capitalisation 2021
Manuel]],IFERROR(_xlfn.XLOOKUP(Tableau1[[#This Row],[Isin]]&amp;1&amp;2021,#REF!,Tableau3[Capi]),""))</f>
        <v>0</v>
      </c>
      <c r="BI64" s="43"/>
      <c r="BJ64" s="43">
        <f>IF(IFERROR(_xlfn.XLOOKUP(Tableau1[[#This Row],[Isin]]&amp;1&amp;2022,#REF!,Tableau3[Capi]),"")="",Tableau1[[#This Row],[Capitalisation 2022
Manuel]],IFERROR(_xlfn.XLOOKUP(Tableau1[[#This Row],[Isin]]&amp;1&amp;2022,#REF!,Tableau3[Capi]),""))</f>
        <v>0</v>
      </c>
      <c r="BK64" s="43"/>
      <c r="BL64" s="43">
        <f ca="1">Tableau1[[#This Row],[Capitalisation boursière]]</f>
        <v>2626295000</v>
      </c>
      <c r="BM64" s="162" t="str" cm="1">
        <f t="array" aca="1" ref="BM64" ca="1">_FV(Tableau1[[#This Row],[Code Excel]],"Description")</f>
        <v>Société BIC SA est une société Française qui fabrique des produits de consommation. La Société distribue des articles de papeterie, des produits promotionnels et des produits de papier imprimé tels que des briquets, des rasoirs, des stylos, des crayons et du liquide correcteur. Il crée également des produits essentiels et des produits de bureau qui sont commercialisés pour les entreprises, les marchands, les magasins de proximité et les grossistes. Elle est présente dans le monde entier en Europe, au Moyen-Orient, en Afrique, en Amérique du Nord, en Amérique latine, en Asie et en Océanie.</v>
      </c>
      <c r="BN64" s="43"/>
      <c r="BO64" s="43"/>
      <c r="BP64" s="43"/>
      <c r="BQ64" s="43"/>
      <c r="BR64" s="4"/>
      <c r="BS64" s="21"/>
      <c r="BT64" s="13"/>
      <c r="BU64" s="13"/>
      <c r="BV64" s="13"/>
      <c r="BW64" s="13"/>
      <c r="BX64" s="13"/>
      <c r="BY64" s="13"/>
      <c r="BZ64" s="47"/>
      <c r="CA64" s="47"/>
    </row>
    <row r="65" spans="3:80">
      <c r="C65" s="42"/>
      <c r="D65" s="42">
        <f>IF(Tableau1[[#This Row],[Isin]]="",99,Tableau1[[#This Row],[Intérêt]]+Tableau1[[#This Row],[Valeur d''intérêt]]+Tableau1[[#This Row],[N° Portefeuille]])</f>
        <v>3</v>
      </c>
      <c r="E65" s="42"/>
      <c r="F65" s="42">
        <f>IF(Tableau1[[#This Row],[Portefeuille]]="p",0,Tableau1[[#This Row],[F. Investissement
Niveau d''intérêt]]*10)</f>
        <v>0</v>
      </c>
      <c r="G65" s="42">
        <f>IF(Tableau1[[#This Row],[Portefeuille]]="p",3,0)</f>
        <v>3</v>
      </c>
      <c r="H65" s="42">
        <v>1</v>
      </c>
      <c r="I65" s="42">
        <v>2</v>
      </c>
      <c r="J65" s="42"/>
      <c r="K65" s="43" t="s">
        <v>4362</v>
      </c>
      <c r="L65" s="16">
        <v>1</v>
      </c>
      <c r="M6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5" s="44" t="s">
        <v>2958</v>
      </c>
      <c r="O65" s="45"/>
      <c r="P65" s="4" t="s">
        <v>84</v>
      </c>
      <c r="Q65" s="4"/>
      <c r="R65" s="6"/>
      <c r="S65" s="6" t="s">
        <v>2957</v>
      </c>
      <c r="T65" s="6" t="e" vm="54">
        <v>#VALUE!</v>
      </c>
      <c r="U65" s="46" cm="1">
        <f t="array" aca="1" ref="U65" ca="1">IFERROR(_FV(Tableau1[[#This Row],[Code Excel]],"Capitalisation boursière",TRUE),"")</f>
        <v>13777250000</v>
      </c>
      <c r="V65" s="4" t="str" cm="1">
        <f t="array" aca="1" ref="V65" ca="1">IFERROR(_FV(Tableau1[[#This Row],[Code Excel]],"Industrie"),"")</f>
        <v>Healthcare Equipment &amp; Supplies</v>
      </c>
      <c r="W65" s="4" t="s">
        <v>1586</v>
      </c>
      <c r="X65" s="4" t="str">
        <f ca="1">Tableau1[[#This Row],[Grand Secteur]]&amp;Tableau1[[#This Row],[Industrie]]</f>
        <v>SantéHealthcare Equipment &amp; Supplies</v>
      </c>
      <c r="Y65" s="23" cm="1">
        <f t="array" aca="1" ref="Y65" ca="1">IFERROR(_FV(Tableau1[[#This Row],[Code Excel]],"P/E",TRUE),"")</f>
        <v>31.820699999999999</v>
      </c>
      <c r="Z65" s="43" cm="1">
        <f t="array" aca="1" ref="Z65" ca="1">IFERROR(_FV(Tableau1[[#This Row],[Code Excel]],"Employés"),"")</f>
        <v>14754</v>
      </c>
      <c r="AA65" s="49">
        <f ca="1">IFERROR(Tableau1[[#This Row],[Capitalisation boursière]]/Tableau1[[#This Row],[Employés]],"")</f>
        <v>933797.61420631688</v>
      </c>
      <c r="AB65" s="5" t="str">
        <f>IFERROR(Tableau1[[#This Row],[REX (2021)]]/Tableau1[[#This Row],[CA 2024]],"")</f>
        <v/>
      </c>
      <c r="AC65" s="9" t="str">
        <f>IFERROR(_xlfn.XLOOKUP(Tableau1[[#This Row],[Isin]]&amp;1&amp;2021,#REF!,Tableau3[Résultat d''exploitation]),"")</f>
        <v/>
      </c>
      <c r="AD65" s="9" t="str">
        <f>IFERROR(_xlfn.XLOOKUP(Tableau1[[#This Row],[Isin]]&amp;1&amp;2019,#REF!,Tableau3[Chiffre d''affaires]),"")</f>
        <v/>
      </c>
      <c r="AE65" s="9" t="str">
        <f>IFERROR(_xlfn.XLOOKUP(Tableau1[[#This Row],[Isin]]&amp;1&amp;2024,#REF!,Tableau3[Chiffre d''affaires]),"")</f>
        <v/>
      </c>
      <c r="AF65" s="8" t="str">
        <f>IFERROR(IF((Tableau1[[#This Row],[CA 2024]]-Tableau1[[#This Row],[CA 2019]])/Tableau1[[#This Row],[CA 2019]]=-1,"",(Tableau1[[#This Row],[CA 2024]]-Tableau1[[#This Row],[CA 2019]])/Tableau1[[#This Row],[CA 2019]]),"")</f>
        <v/>
      </c>
      <c r="AG65" s="9" t="str">
        <f>IFERROR(_xlfn.XLOOKUP(Tableau1[[#This Row],[Isin]]&amp;1&amp;2021,#REF!,Tableau3[EBE]),"")</f>
        <v/>
      </c>
      <c r="AH65" s="9" t="str">
        <f>IFERROR(_xlfn.XLOOKUP(Tableau1[[#This Row],[Isin]]&amp;1&amp;2022,#REF!,Tableau3[EBE]),"")</f>
        <v/>
      </c>
      <c r="AI65" s="13" t="s">
        <v>4324</v>
      </c>
      <c r="AJ65" s="13" t="s">
        <v>4325</v>
      </c>
      <c r="AK65" s="13" t="s">
        <v>3148</v>
      </c>
      <c r="AL65" s="43"/>
      <c r="AM65" s="43"/>
      <c r="AN65" s="9" t="str">
        <f>IFERROR(_xlfn.XLOOKUP(Tableau1[[#This Row],[Isin]]&amp;1&amp;2021,#REF!,Tableau3[Chiffre d''affaires]),"")</f>
        <v/>
      </c>
      <c r="AO65" s="43" cm="1">
        <f t="array" aca="1" ref="AO65" ca="1">_FV(Tableau1[[#This Row],[Code Excel]],"P/E",TRUE)</f>
        <v>31.820699999999999</v>
      </c>
      <c r="AP65" s="43" t="str">
        <f>IFERROR(_xlfn.XLOOKUP(Tableau1[[#This Row],[Isin]]&amp;1&amp;2023,#REF!,Tableau3[Résultat Net (PdG)]),"")</f>
        <v/>
      </c>
      <c r="AQ65" s="43">
        <f>IF(IFERROR(_xlfn.XLOOKUP(Tableau1[[#This Row],[Isin]]&amp;1&amp;2022,#REF!,Tableau3[Résultat Net (PdG)]),"")="",Tableau1[[#This Row],[RN Groupe 2022
Manuel]],IFERROR(_xlfn.XLOOKUP(Tableau1[[#This Row],[Isin]]&amp;1&amp;2022,#REF!,Tableau3[Résultat Net (PdG)]),""))</f>
        <v>0</v>
      </c>
      <c r="AR65" s="43"/>
      <c r="AS65" s="43">
        <f>IF(IFERROR(_xlfn.XLOOKUP(Tableau1[[#This Row],[Isin]]&amp;1&amp;2021,#REF!,Tableau3[Résultat Net (PdG)]),"")="",Tableau1[[#This Row],[RN Groupe 2021
Manuel]],IFERROR(_xlfn.XLOOKUP(Tableau1[[#This Row],[Isin]]&amp;1&amp;2021,#REF!,Tableau3[Résultat Net (PdG)]),""))</f>
        <v>0</v>
      </c>
      <c r="AT65" s="43"/>
      <c r="AU65" s="43" t="str">
        <f>IFERROR(_xlfn.XLOOKUP(Tableau1[[#This Row],[Isin]]&amp;1&amp;2020,#REF!,Tableau3[Résultat Net (PdG)]),"")</f>
        <v/>
      </c>
      <c r="AV65" s="43" t="str">
        <f>IFERROR(_xlfn.XLOOKUP(Tableau1[[#This Row],[Isin]]&amp;1&amp;2019,#REF!,Tableau3[Résultat Net (PdG)]),"")</f>
        <v/>
      </c>
      <c r="AW65" s="43" t="str">
        <f>IFERROR(_xlfn.XLOOKUP(Tableau1[[#This Row],[Isin]]&amp;1&amp;2018,#REF!,Tableau3[Résultat Net (PdG)]),"")</f>
        <v/>
      </c>
      <c r="AX65" s="43" t="str">
        <f>IFERROR(_xlfn.XLOOKUP(Tableau1[[#This Row],[Isin]]&amp;1&amp;2017,#REF!,Tableau3[Résultat Net (PdG)]),"")</f>
        <v/>
      </c>
      <c r="AY65" s="43" t="str">
        <f>IFERROR(_xlfn.XLOOKUP(Tableau1[[#This Row],[Isin]]&amp;1&amp;2016,#REF!,Tableau3[Résultat Net (PdG)]),"")</f>
        <v/>
      </c>
      <c r="AZ65" s="137" t="str">
        <f ca="1">IFERROR(Tableau1[[#This Row],[Capitalisation boursière]]/Tableau1[[#This Row],[RN Groupe 2023]],"")</f>
        <v/>
      </c>
      <c r="BA65" s="4" t="str" cm="1">
        <f t="array" aca="1" ref="BA65" ca="1">IFERROR(_FV(Tableau1[[#This Row],[Code Excel]],"Industrie"),"")</f>
        <v>Healthcare Equipment &amp; Supplies</v>
      </c>
      <c r="BB65" s="43" t="s">
        <v>3477</v>
      </c>
      <c r="BC65" s="43" t="str">
        <f>IFERROR(_xlfn.XLOOKUP(Tableau1[[#This Row],[Isin]]&amp;1&amp;2016,#REF!,Tableau3[Capi]),"")</f>
        <v/>
      </c>
      <c r="BD65" s="43" t="str">
        <f>IFERROR(_xlfn.XLOOKUP(Tableau1[[#This Row],[Isin]]&amp;1&amp;2017,#REF!,Tableau3[Capi]),"")</f>
        <v/>
      </c>
      <c r="BE65" s="43" t="str">
        <f>IFERROR(_xlfn.XLOOKUP(Tableau1[[#This Row],[Isin]]&amp;1&amp;2018,#REF!,Tableau3[Capi]),"")</f>
        <v/>
      </c>
      <c r="BF65" s="43" t="str">
        <f>IFERROR(_xlfn.XLOOKUP(Tableau1[[#This Row],[Isin]]&amp;1&amp;2019,#REF!,Tableau3[Capi]),"")</f>
        <v/>
      </c>
      <c r="BG65" s="43" t="str">
        <f>IFERROR(_xlfn.XLOOKUP(Tableau1[[#This Row],[Isin]]&amp;1&amp;2020,#REF!,Tableau3[Capi]),"")</f>
        <v/>
      </c>
      <c r="BH65" s="43">
        <f>IF(IFERROR(_xlfn.XLOOKUP(Tableau1[[#This Row],[Isin]]&amp;1&amp;2021,#REF!,Tableau3[Capi]),"")="",Tableau1[[#This Row],[Capitalisation 2021
Manuel]],IFERROR(_xlfn.XLOOKUP(Tableau1[[#This Row],[Isin]]&amp;1&amp;2021,#REF!,Tableau3[Capi]),""))</f>
        <v>0</v>
      </c>
      <c r="BI65" s="43"/>
      <c r="BJ65" s="43">
        <f>IF(IFERROR(_xlfn.XLOOKUP(Tableau1[[#This Row],[Isin]]&amp;1&amp;2022,#REF!,Tableau3[Capi]),"")="",Tableau1[[#This Row],[Capitalisation 2022
Manuel]],IFERROR(_xlfn.XLOOKUP(Tableau1[[#This Row],[Isin]]&amp;1&amp;2022,#REF!,Tableau3[Capi]),""))</f>
        <v>0</v>
      </c>
      <c r="BK65" s="43"/>
      <c r="BL65" s="43">
        <f ca="1">Tableau1[[#This Row],[Capitalisation boursière]]</f>
        <v>13777250000</v>
      </c>
      <c r="BM65" s="162" t="str" cm="1">
        <f t="array" aca="1" ref="BM65" ca="1">_FV(Tableau1[[#This Row],[Code Excel]],"Description")</f>
        <v>BioMérieux sa est une société française spécialisée dans le diagnostic in vitro pour applications médicales et industrielles. La Société conçoit, développe, fabrique et vend des systèmes utilisés dans des applications cliniques, telles que le diagnostic de la tuberculose, des infections respiratoires, entre autres, et des applications industrielles, telles que l'analyse d'échantillons industriels ou environnementaux. La Société fournit également à ses clients des services connexes pour l'installation et la maintenance des instruments, ainsi que la formation des utilisateurs de produits. BioMérieux sa opère à travers ses nombreuses filiales dans différents pays, dont bioMérieux Deutschland GmbH, bioMérieux Austria GmbH, Advencis, bioMérieux Benelux sa/NV, ainsi que BioFire Diagnostics Inc, ChromID CARBA SMART et la nouvelle boîte de Petri bi-plaque.</v>
      </c>
      <c r="BN65" s="43"/>
      <c r="BO65" s="43"/>
      <c r="BP65" s="43"/>
      <c r="BQ65" s="43"/>
      <c r="BR65" s="4"/>
      <c r="BS65" s="21"/>
      <c r="BT65" s="13"/>
      <c r="BU65" s="13"/>
      <c r="BV65" s="13"/>
      <c r="BW65" s="13"/>
      <c r="BX65" s="13"/>
      <c r="BY65" s="13"/>
      <c r="BZ65" s="47"/>
      <c r="CA65" s="47"/>
    </row>
    <row r="66" spans="3:80">
      <c r="C66" s="43"/>
      <c r="D66" s="42">
        <f>IF(Tableau1[[#This Row],[Isin]]="",99,Tableau1[[#This Row],[Intérêt]]+Tableau1[[#This Row],[Valeur d''intérêt]]+Tableau1[[#This Row],[N° Portefeuille]])</f>
        <v>30</v>
      </c>
      <c r="E66" s="43"/>
      <c r="F66" s="42">
        <f>IF(Tableau1[[#This Row],[Portefeuille]]="p",0,Tableau1[[#This Row],[F. Investissement
Niveau d''intérêt]]*10)</f>
        <v>30</v>
      </c>
      <c r="G66" s="43">
        <f>IF(Tableau1[[#This Row],[Portefeuille]]="p",3,0)</f>
        <v>0</v>
      </c>
      <c r="H66" s="43">
        <v>3</v>
      </c>
      <c r="I66" s="43">
        <v>4</v>
      </c>
      <c r="J66" s="43"/>
      <c r="K66" s="43"/>
      <c r="L66" s="16">
        <v>1</v>
      </c>
      <c r="M6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6" s="44" t="s">
        <v>877</v>
      </c>
      <c r="O66" s="44" t="s">
        <v>751</v>
      </c>
      <c r="P66" s="4" t="s">
        <v>382</v>
      </c>
      <c r="Q66" s="6" t="s">
        <v>383</v>
      </c>
      <c r="R66" s="6"/>
      <c r="S66" s="6" t="s">
        <v>879</v>
      </c>
      <c r="T66" s="6" t="e" vm="55">
        <v>#VALUE!</v>
      </c>
      <c r="U66" s="51" cm="1">
        <f t="array" aca="1" ref="U66" ca="1">IFERROR(_FV(Tableau1[[#This Row],[Code Excel]],"Capitalisation boursière",TRUE),"")</f>
        <v>3031463318</v>
      </c>
      <c r="V66" s="4" t="str" cm="1">
        <f t="array" aca="1" ref="V66" ca="1">IFERROR(_FV(Tableau1[[#This Row],[Code Excel]],"Industrie"),"")</f>
        <v>Software &amp; IT Services</v>
      </c>
      <c r="W66" s="4" t="s">
        <v>4333</v>
      </c>
      <c r="X66" s="4" t="str">
        <f ca="1">Tableau1[[#This Row],[Grand Secteur]]&amp;Tableau1[[#This Row],[Industrie]]</f>
        <v>Logiciels et TechnologieSoftware &amp; IT Services</v>
      </c>
      <c r="Y66" s="23" cm="1">
        <f t="array" aca="1" ref="Y66" ca="1">IFERROR(_FV(Tableau1[[#This Row],[Code Excel]],"P/E",TRUE),"")</f>
        <v>21.116499999999998</v>
      </c>
      <c r="Z66" s="43" cm="1">
        <f t="array" aca="1" ref="Z66" ca="1">IFERROR(_FV(Tableau1[[#This Row],[Code Excel]],"Employés"),"")</f>
        <v>1830</v>
      </c>
      <c r="AA66" s="49">
        <f ca="1">IFERROR(Tableau1[[#This Row],[Capitalisation boursière]]/Tableau1[[#This Row],[Employés]],"")</f>
        <v>1656537.3322404372</v>
      </c>
      <c r="AB66" s="5" t="str">
        <f>IFERROR(Tableau1[[#This Row],[REX (2021)]]/Tableau1[[#This Row],[CA 2024]],"")</f>
        <v/>
      </c>
      <c r="AC66" s="9" t="str">
        <f>IFERROR(_xlfn.XLOOKUP(Tableau1[[#This Row],[Isin]]&amp;1&amp;2021,#REF!,Tableau3[Résultat d''exploitation]),"")</f>
        <v/>
      </c>
      <c r="AD66" s="9" t="str">
        <f>IFERROR(_xlfn.XLOOKUP(Tableau1[[#This Row],[Isin]]&amp;1&amp;2019,#REF!,Tableau3[Chiffre d''affaires]),"")</f>
        <v/>
      </c>
      <c r="AE66" s="9" t="str">
        <f>IFERROR(_xlfn.XLOOKUP(Tableau1[[#This Row],[Isin]]&amp;1&amp;2024,#REF!,Tableau3[Chiffre d''affaires]),"")</f>
        <v/>
      </c>
      <c r="AF66" s="8" t="str">
        <f>IFERROR(IF((Tableau1[[#This Row],[CA 2024]]-Tableau1[[#This Row],[CA 2019]])/Tableau1[[#This Row],[CA 2019]]=-1,"",(Tableau1[[#This Row],[CA 2024]]-Tableau1[[#This Row],[CA 2019]])/Tableau1[[#This Row],[CA 2019]]),"")</f>
        <v/>
      </c>
      <c r="AG66" s="9" t="str">
        <f>IFERROR(_xlfn.XLOOKUP(Tableau1[[#This Row],[Isin]]&amp;1&amp;2021,#REF!,Tableau3[EBE]),"")</f>
        <v/>
      </c>
      <c r="AH66" s="9" t="str">
        <f>IFERROR(_xlfn.XLOOKUP(Tableau1[[#This Row],[Isin]]&amp;1&amp;2022,#REF!,Tableau3[EBE]),"")</f>
        <v/>
      </c>
      <c r="AI66" s="43" t="s">
        <v>4324</v>
      </c>
      <c r="AJ66" s="43" t="s">
        <v>4334</v>
      </c>
      <c r="AK66" s="43" t="s">
        <v>3148</v>
      </c>
      <c r="AL66" s="43" t="s">
        <v>3431</v>
      </c>
      <c r="AM66" s="43"/>
      <c r="AN66" s="9" t="str">
        <f>IFERROR(_xlfn.XLOOKUP(Tableau1[[#This Row],[Isin]]&amp;1&amp;2021,#REF!,Tableau3[Chiffre d''affaires]),"")</f>
        <v/>
      </c>
      <c r="AO66" s="43" cm="1">
        <f t="array" aca="1" ref="AO66" ca="1">_FV(Tableau1[[#This Row],[Code Excel]],"P/E",TRUE)</f>
        <v>21.116499999999998</v>
      </c>
      <c r="AP66" s="43" t="str">
        <f>IFERROR(_xlfn.XLOOKUP(Tableau1[[#This Row],[Isin]]&amp;1&amp;2023,#REF!,Tableau3[Résultat Net (PdG)]),"")</f>
        <v/>
      </c>
      <c r="AQ66" s="43">
        <f>IF(IFERROR(_xlfn.XLOOKUP(Tableau1[[#This Row],[Isin]]&amp;1&amp;2022,#REF!,Tableau3[Résultat Net (PdG)]),"")="",Tableau1[[#This Row],[RN Groupe 2022
Manuel]],IFERROR(_xlfn.XLOOKUP(Tableau1[[#This Row],[Isin]]&amp;1&amp;2022,#REF!,Tableau3[Résultat Net (PdG)]),""))</f>
        <v>0</v>
      </c>
      <c r="AR66" s="43"/>
      <c r="AS66" s="43">
        <f>IF(IFERROR(_xlfn.XLOOKUP(Tableau1[[#This Row],[Isin]]&amp;1&amp;2021,#REF!,Tableau3[Résultat Net (PdG)]),"")="",Tableau1[[#This Row],[RN Groupe 2021
Manuel]],IFERROR(_xlfn.XLOOKUP(Tableau1[[#This Row],[Isin]]&amp;1&amp;2021,#REF!,Tableau3[Résultat Net (PdG)]),""))</f>
        <v>0</v>
      </c>
      <c r="AT66" s="43"/>
      <c r="AU66" s="43" t="str">
        <f>IFERROR(_xlfn.XLOOKUP(Tableau1[[#This Row],[Isin]]&amp;1&amp;2020,#REF!,Tableau3[Résultat Net (PdG)]),"")</f>
        <v/>
      </c>
      <c r="AV66" s="43" t="str">
        <f>IFERROR(_xlfn.XLOOKUP(Tableau1[[#This Row],[Isin]]&amp;1&amp;2019,#REF!,Tableau3[Résultat Net (PdG)]),"")</f>
        <v/>
      </c>
      <c r="AW66" s="43" t="str">
        <f>IFERROR(_xlfn.XLOOKUP(Tableau1[[#This Row],[Isin]]&amp;1&amp;2018,#REF!,Tableau3[Résultat Net (PdG)]),"")</f>
        <v/>
      </c>
      <c r="AX66" s="43" t="str">
        <f>IFERROR(_xlfn.XLOOKUP(Tableau1[[#This Row],[Isin]]&amp;1&amp;2017,#REF!,Tableau3[Résultat Net (PdG)]),"")</f>
        <v/>
      </c>
      <c r="AY66" s="43" t="str">
        <f>IFERROR(_xlfn.XLOOKUP(Tableau1[[#This Row],[Isin]]&amp;1&amp;2016,#REF!,Tableau3[Résultat Net (PdG)]),"")</f>
        <v/>
      </c>
      <c r="AZ66" s="137" t="str">
        <f ca="1">IFERROR(Tableau1[[#This Row],[Capitalisation boursière]]/Tableau1[[#This Row],[RN Groupe 2023]],"")</f>
        <v/>
      </c>
      <c r="BA66" s="4" t="str" cm="1">
        <f t="array" aca="1" ref="BA66" ca="1">IFERROR(_FV(Tableau1[[#This Row],[Code Excel]],"Industrie"),"")</f>
        <v>Software &amp; IT Services</v>
      </c>
      <c r="BB66" s="43" t="e">
        <v>#N/A</v>
      </c>
      <c r="BC66" s="43" t="str">
        <f>IFERROR(_xlfn.XLOOKUP(Tableau1[[#This Row],[Isin]]&amp;1&amp;2016,#REF!,Tableau3[Capi]),"")</f>
        <v/>
      </c>
      <c r="BD66" s="43" t="str">
        <f>IFERROR(_xlfn.XLOOKUP(Tableau1[[#This Row],[Isin]]&amp;1&amp;2017,#REF!,Tableau3[Capi]),"")</f>
        <v/>
      </c>
      <c r="BE66" s="43" t="str">
        <f>IFERROR(_xlfn.XLOOKUP(Tableau1[[#This Row],[Isin]]&amp;1&amp;2018,#REF!,Tableau3[Capi]),"")</f>
        <v/>
      </c>
      <c r="BF66" s="43" t="str">
        <f>IFERROR(_xlfn.XLOOKUP(Tableau1[[#This Row],[Isin]]&amp;1&amp;2019,#REF!,Tableau3[Capi]),"")</f>
        <v/>
      </c>
      <c r="BG66" s="43" t="str">
        <f>IFERROR(_xlfn.XLOOKUP(Tableau1[[#This Row],[Isin]]&amp;1&amp;2020,#REF!,Tableau3[Capi]),"")</f>
        <v/>
      </c>
      <c r="BH66" s="43">
        <f>IF(IFERROR(_xlfn.XLOOKUP(Tableau1[[#This Row],[Isin]]&amp;1&amp;2021,#REF!,Tableau3[Capi]),"")="",Tableau1[[#This Row],[Capitalisation 2021
Manuel]],IFERROR(_xlfn.XLOOKUP(Tableau1[[#This Row],[Isin]]&amp;1&amp;2021,#REF!,Tableau3[Capi]),""))</f>
        <v>0</v>
      </c>
      <c r="BI66" s="43"/>
      <c r="BJ66" s="43">
        <f>IF(IFERROR(_xlfn.XLOOKUP(Tableau1[[#This Row],[Isin]]&amp;1&amp;2022,#REF!,Tableau3[Capi]),"")="",Tableau1[[#This Row],[Capitalisation 2022
Manuel]],IFERROR(_xlfn.XLOOKUP(Tableau1[[#This Row],[Isin]]&amp;1&amp;2022,#REF!,Tableau3[Capi]),""))</f>
        <v>0</v>
      </c>
      <c r="BK66" s="43"/>
      <c r="BL66" s="43">
        <f ca="1">Tableau1[[#This Row],[Capitalisation boursière]]</f>
        <v>3031463318</v>
      </c>
      <c r="BM66" s="162" t="str" cm="1">
        <f t="array" aca="1" ref="BM66" ca="1">_FV(Tableau1[[#This Row],[Code Excel]],"Description")</f>
        <v>BlackLine, Inc. est une société de portefeuille qui exerce ses activités par l'intermédiaire de sa filiale, BlackLine Systems, Inc. La Société fournit des solutions de clôture de comptabilité financière fournies principalement sous forme de logiciel en tant que service (SaaS). Les solutions de la Société permettent à ses clients de traiter divers aspects de leurs processus critiques, y compris la clôture financière, la comptabilité intersociétés, la facturation à la caisse et la consolidation. Les solutions cloud de la société comprennent les rapprochements de comptes, le rapprochement de transactions, la gestion des tâches, les entrées de journal, l'analyse des écarts, consolidation Integrity Manager, Compliance, BlackLine Cash application, Credit &amp; Risk Management, recouvrement Management, litiges et déductions, Team &amp; Task Management, AR Intelligence, fonctionnalité de création inter-sociétés, traitement inter-sociétés et compensation et règlement. Ces solutions sont proposées aux clients sous la forme de solutions évolutives qui prennent en charge les processus critiques d'enregistrement à déclaration et de facturation à la caisse.</v>
      </c>
      <c r="BN66" s="43"/>
      <c r="BO66" s="43"/>
      <c r="BP66" s="43"/>
      <c r="BQ66" s="43"/>
      <c r="BR66" s="4"/>
      <c r="BS66" s="21"/>
      <c r="BT66" s="13"/>
      <c r="BU66" s="13"/>
      <c r="BV66" s="13"/>
      <c r="BW66" s="13"/>
      <c r="BX66" s="13"/>
      <c r="BY66" s="13"/>
      <c r="BZ66" s="47"/>
      <c r="CA66" s="47"/>
    </row>
    <row r="67" spans="3:80">
      <c r="C67" s="42"/>
      <c r="D67" s="42">
        <f>IF(Tableau1[[#This Row],[Isin]]="",99,Tableau1[[#This Row],[Intérêt]]+Tableau1[[#This Row],[Valeur d''intérêt]]+Tableau1[[#This Row],[N° Portefeuille]])</f>
        <v>30</v>
      </c>
      <c r="E67" s="42"/>
      <c r="F67" s="42">
        <f>IF(Tableau1[[#This Row],[Portefeuille]]="p",0,Tableau1[[#This Row],[F. Investissement
Niveau d''intérêt]]*10)</f>
        <v>30</v>
      </c>
      <c r="G67" s="42">
        <f>IF(Tableau1[[#This Row],[Portefeuille]]="p",3,0)</f>
        <v>0</v>
      </c>
      <c r="H67" s="42">
        <v>3</v>
      </c>
      <c r="I67" s="42">
        <v>4</v>
      </c>
      <c r="J67" s="42"/>
      <c r="K67" s="43"/>
      <c r="L67" s="16">
        <v>0</v>
      </c>
      <c r="M6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7" s="44" t="s">
        <v>3627</v>
      </c>
      <c r="O67" s="45"/>
      <c r="P67" s="4" t="s">
        <v>382</v>
      </c>
      <c r="Q67" s="4"/>
      <c r="R67" s="6"/>
      <c r="S67" s="6" t="s">
        <v>3628</v>
      </c>
      <c r="T67" s="6" t="e" vm="56">
        <v>#VALUE!</v>
      </c>
      <c r="U67" s="46" cm="1">
        <f t="array" aca="1" ref="U67" ca="1">IFERROR(_FV(Tableau1[[#This Row],[Code Excel]],"Capitalisation boursière",TRUE),"")</f>
        <v>143255277519</v>
      </c>
      <c r="V67" s="4" t="str" cm="1">
        <f t="array" aca="1" ref="V67" ca="1">IFERROR(_FV(Tableau1[[#This Row],[Code Excel]],"Industrie"),"")</f>
        <v>Investment Banking &amp; Investment Services</v>
      </c>
      <c r="W67" s="4" t="s">
        <v>4335</v>
      </c>
      <c r="X67" s="4" t="str">
        <f ca="1">Tableau1[[#This Row],[Grand Secteur]]&amp;Tableau1[[#This Row],[Industrie]]</f>
        <v>FinanceInvestment Banking &amp; Investment Services</v>
      </c>
      <c r="Y67" s="23" cm="1">
        <f t="array" aca="1" ref="Y67" ca="1">IFERROR(_FV(Tableau1[[#This Row],[Code Excel]],"P/E",TRUE),"")</f>
        <v>21.988900000000001</v>
      </c>
      <c r="Z67" s="43" cm="1">
        <f t="array" aca="1" ref="Z67" ca="1">IFERROR(_FV(Tableau1[[#This Row],[Code Excel]],"Employés"),"")</f>
        <v>19300</v>
      </c>
      <c r="AA67" s="49">
        <f ca="1">IFERROR(Tableau1[[#This Row],[Capitalisation boursière]]/Tableau1[[#This Row],[Employés]],"")</f>
        <v>7422553.2393264249</v>
      </c>
      <c r="AB67" s="5" t="str">
        <f>IFERROR(Tableau1[[#This Row],[REX (2021)]]/Tableau1[[#This Row],[CA 2024]],"")</f>
        <v/>
      </c>
      <c r="AC67" s="9" t="str">
        <f>IFERROR(_xlfn.XLOOKUP(Tableau1[[#This Row],[Isin]]&amp;1&amp;2021,#REF!,Tableau3[Résultat d''exploitation]),"")</f>
        <v/>
      </c>
      <c r="AD67" s="9" t="str">
        <f>IFERROR(_xlfn.XLOOKUP(Tableau1[[#This Row],[Isin]]&amp;1&amp;2019,#REF!,Tableau3[Chiffre d''affaires]),"")</f>
        <v/>
      </c>
      <c r="AE67" s="9" t="str">
        <f>IFERROR(_xlfn.XLOOKUP(Tableau1[[#This Row],[Isin]]&amp;1&amp;2024,#REF!,Tableau3[Chiffre d''affaires]),"")</f>
        <v/>
      </c>
      <c r="AF67" s="8" t="str">
        <f>IFERROR(IF((Tableau1[[#This Row],[CA 2024]]-Tableau1[[#This Row],[CA 2019]])/Tableau1[[#This Row],[CA 2019]]=-1,"",(Tableau1[[#This Row],[CA 2024]]-Tableau1[[#This Row],[CA 2019]])/Tableau1[[#This Row],[CA 2019]]),"")</f>
        <v/>
      </c>
      <c r="AG67" s="9" t="str">
        <f>IFERROR(_xlfn.XLOOKUP(Tableau1[[#This Row],[Isin]]&amp;1&amp;2021,#REF!,Tableau3[EBE]),"")</f>
        <v/>
      </c>
      <c r="AH67" s="9" t="str">
        <f>IFERROR(_xlfn.XLOOKUP(Tableau1[[#This Row],[Isin]]&amp;1&amp;2022,#REF!,Tableau3[EBE]),"")</f>
        <v/>
      </c>
      <c r="AI67" s="43" t="s">
        <v>4343</v>
      </c>
      <c r="AJ67" s="43" t="s">
        <v>4356</v>
      </c>
      <c r="AK67" s="43" t="s">
        <v>3149</v>
      </c>
      <c r="AL67" s="43"/>
      <c r="AM67" s="43"/>
      <c r="AN67" s="9" t="str">
        <f>IFERROR(_xlfn.XLOOKUP(Tableau1[[#This Row],[Isin]]&amp;1&amp;2021,#REF!,Tableau3[Chiffre d''affaires]),"")</f>
        <v/>
      </c>
      <c r="AO67" s="43" cm="1">
        <f t="array" aca="1" ref="AO67" ca="1">_FV(Tableau1[[#This Row],[Code Excel]],"P/E",TRUE)</f>
        <v>21.988900000000001</v>
      </c>
      <c r="AP67" s="43" t="str">
        <f>IFERROR(_xlfn.XLOOKUP(Tableau1[[#This Row],[Isin]]&amp;1&amp;2023,#REF!,Tableau3[Résultat Net (PdG)]),"")</f>
        <v/>
      </c>
      <c r="AQ67" s="43">
        <f>IF(IFERROR(_xlfn.XLOOKUP(Tableau1[[#This Row],[Isin]]&amp;1&amp;2022,#REF!,Tableau3[Résultat Net (PdG)]),"")="",Tableau1[[#This Row],[RN Groupe 2022
Manuel]],IFERROR(_xlfn.XLOOKUP(Tableau1[[#This Row],[Isin]]&amp;1&amp;2022,#REF!,Tableau3[Résultat Net (PdG)]),""))</f>
        <v>0</v>
      </c>
      <c r="AR67" s="43"/>
      <c r="AS67" s="43">
        <f>IF(IFERROR(_xlfn.XLOOKUP(Tableau1[[#This Row],[Isin]]&amp;1&amp;2021,#REF!,Tableau3[Résultat Net (PdG)]),"")="",Tableau1[[#This Row],[RN Groupe 2021
Manuel]],IFERROR(_xlfn.XLOOKUP(Tableau1[[#This Row],[Isin]]&amp;1&amp;2021,#REF!,Tableau3[Résultat Net (PdG)]),""))</f>
        <v>0</v>
      </c>
      <c r="AT67" s="43"/>
      <c r="AU67" s="43" t="str">
        <f>IFERROR(_xlfn.XLOOKUP(Tableau1[[#This Row],[Isin]]&amp;1&amp;2020,#REF!,Tableau3[Résultat Net (PdG)]),"")</f>
        <v/>
      </c>
      <c r="AV67" s="43" t="str">
        <f>IFERROR(_xlfn.XLOOKUP(Tableau1[[#This Row],[Isin]]&amp;1&amp;2019,#REF!,Tableau3[Résultat Net (PdG)]),"")</f>
        <v/>
      </c>
      <c r="AW67" s="43" t="str">
        <f>IFERROR(_xlfn.XLOOKUP(Tableau1[[#This Row],[Isin]]&amp;1&amp;2018,#REF!,Tableau3[Résultat Net (PdG)]),"")</f>
        <v/>
      </c>
      <c r="AX67" s="43" t="str">
        <f>IFERROR(_xlfn.XLOOKUP(Tableau1[[#This Row],[Isin]]&amp;1&amp;2017,#REF!,Tableau3[Résultat Net (PdG)]),"")</f>
        <v/>
      </c>
      <c r="AY67" s="43" t="str">
        <f>IFERROR(_xlfn.XLOOKUP(Tableau1[[#This Row],[Isin]]&amp;1&amp;2016,#REF!,Tableau3[Résultat Net (PdG)]),"")</f>
        <v/>
      </c>
      <c r="AZ67" s="137" t="str">
        <f ca="1">IFERROR(Tableau1[[#This Row],[Capitalisation boursière]]/Tableau1[[#This Row],[RN Groupe 2023]],"")</f>
        <v/>
      </c>
      <c r="BA67" s="4" t="str" cm="1">
        <f t="array" aca="1" ref="BA67" ca="1">IFERROR(_FV(Tableau1[[#This Row],[Code Excel]],"Industrie"),"")</f>
        <v>Investment Banking &amp; Investment Services</v>
      </c>
      <c r="BB67" s="43" t="s">
        <v>3474</v>
      </c>
      <c r="BC67" s="43" t="str">
        <f>IFERROR(_xlfn.XLOOKUP(Tableau1[[#This Row],[Isin]]&amp;1&amp;2016,#REF!,Tableau3[Capi]),"")</f>
        <v/>
      </c>
      <c r="BD67" s="43" t="str">
        <f>IFERROR(_xlfn.XLOOKUP(Tableau1[[#This Row],[Isin]]&amp;1&amp;2017,#REF!,Tableau3[Capi]),"")</f>
        <v/>
      </c>
      <c r="BE67" s="43" t="str">
        <f>IFERROR(_xlfn.XLOOKUP(Tableau1[[#This Row],[Isin]]&amp;1&amp;2018,#REF!,Tableau3[Capi]),"")</f>
        <v/>
      </c>
      <c r="BF67" s="43" t="str">
        <f>IFERROR(_xlfn.XLOOKUP(Tableau1[[#This Row],[Isin]]&amp;1&amp;2019,#REF!,Tableau3[Capi]),"")</f>
        <v/>
      </c>
      <c r="BG67" s="43" t="str">
        <f>IFERROR(_xlfn.XLOOKUP(Tableau1[[#This Row],[Isin]]&amp;1&amp;2020,#REF!,Tableau3[Capi]),"")</f>
        <v/>
      </c>
      <c r="BH67" s="43">
        <f>IF(IFERROR(_xlfn.XLOOKUP(Tableau1[[#This Row],[Isin]]&amp;1&amp;2021,#REF!,Tableau3[Capi]),"")="",Tableau1[[#This Row],[Capitalisation 2021
Manuel]],IFERROR(_xlfn.XLOOKUP(Tableau1[[#This Row],[Isin]]&amp;1&amp;2021,#REF!,Tableau3[Capi]),""))</f>
        <v>0</v>
      </c>
      <c r="BI67" s="43"/>
      <c r="BJ67" s="43">
        <f>IF(IFERROR(_xlfn.XLOOKUP(Tableau1[[#This Row],[Isin]]&amp;1&amp;2022,#REF!,Tableau3[Capi]),"")="",Tableau1[[#This Row],[Capitalisation 2022
Manuel]],IFERROR(_xlfn.XLOOKUP(Tableau1[[#This Row],[Isin]]&amp;1&amp;2022,#REF!,Tableau3[Capi]),""))</f>
        <v>0</v>
      </c>
      <c r="BK67" s="43"/>
      <c r="BL67" s="43">
        <f ca="1">Tableau1[[#This Row],[Capitalisation boursière]]</f>
        <v>143255277519</v>
      </c>
      <c r="BM67" s="162" t="str" cm="1">
        <f t="array" aca="1" ref="BM67" ca="1">_FV(Tableau1[[#This Row],[Code Excel]],"Description")</f>
        <v>BlackRock, Inc. est une société de gestion de placements. La Société fournit une gamme de services de gestion de placements et de technologie à des clients institutionnels et de détail. Sa plate-forme diversifiée de stratégies de placement actives, indicielles et de gestion de trésorerie à la recherche d'alpha dans toutes les classes d'actifs permet à la Société d'adapter les résultats de placement et les solutions de répartition d'actifs pour ses clients. L'offre de produits de la Société comprend des portefeuilles à actifs uniques et multiples investissant dans des actions, des titres à revenu fixe, des instruments de remplacement et des instruments du marché monétaire. Ses produits sont proposés directement et par l'intermédiaire d'intermédiaires dans une gamme de véhicules, y compris les fonds communs de placement à capital ouvert et fermé, les iShares et les fonds négociés en bourse (ETF), les comptes séparés, les fonds de placement collectif et d'autres véhicules de placement collectif. La Société offre également des services technologiques, y compris la plateforme technologique de gestion des investissements et des risques, Aladdin, Aladdin Wealth, eFront et Cachematrix, ainsi que des services de conseil et des solutions.</v>
      </c>
      <c r="BN67" s="43"/>
      <c r="BO67" s="43"/>
      <c r="BP67" s="43"/>
      <c r="BQ67" s="43"/>
      <c r="BR67" s="4"/>
      <c r="BS67" s="21"/>
      <c r="BT67" s="13"/>
      <c r="BU67" s="13"/>
      <c r="BV67" s="13"/>
      <c r="BW67" s="13"/>
      <c r="BX67" s="13"/>
      <c r="BZ67" s="47"/>
      <c r="CA67" s="47"/>
    </row>
    <row r="68" spans="3:80">
      <c r="C68" s="43"/>
      <c r="D68" s="42">
        <f>IF(Tableau1[[#This Row],[Isin]]="",99,Tableau1[[#This Row],[Intérêt]]+Tableau1[[#This Row],[Valeur d''intérêt]]+Tableau1[[#This Row],[N° Portefeuille]])</f>
        <v>20</v>
      </c>
      <c r="E68" s="42"/>
      <c r="F68" s="42">
        <f>IF(Tableau1[[#This Row],[Portefeuille]]="p",0,Tableau1[[#This Row],[F. Investissement
Niveau d''intérêt]]*10)</f>
        <v>20</v>
      </c>
      <c r="G68" s="42">
        <f>IF(Tableau1[[#This Row],[Portefeuille]]="p",3,0)</f>
        <v>0</v>
      </c>
      <c r="H68" s="42">
        <v>2</v>
      </c>
      <c r="I68" s="42">
        <v>1</v>
      </c>
      <c r="J68" s="43" t="s">
        <v>4357</v>
      </c>
      <c r="K68" s="43"/>
      <c r="L68" s="16">
        <v>1</v>
      </c>
      <c r="M6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8" s="44" t="s">
        <v>3630</v>
      </c>
      <c r="O68" s="44" t="s">
        <v>4375</v>
      </c>
      <c r="P68" s="4" t="s">
        <v>84</v>
      </c>
      <c r="Q68" s="6" t="s">
        <v>85</v>
      </c>
      <c r="R68" s="6"/>
      <c r="S68" s="6" t="s">
        <v>1977</v>
      </c>
      <c r="T68" s="6" t="e" vm="57">
        <v>#VALUE!</v>
      </c>
      <c r="U68" s="46" cm="1">
        <f t="array" aca="1" ref="U68" ca="1">IFERROR(_FV(Tableau1[[#This Row],[Code Excel]],"Capitalisation boursière",TRUE),"")</f>
        <v>88825180000</v>
      </c>
      <c r="V68" s="4" t="str" cm="1">
        <f t="array" aca="1" ref="V68" ca="1">IFERROR(_FV(Tableau1[[#This Row],[Code Excel]],"Industrie"),"")</f>
        <v>Banking Services</v>
      </c>
      <c r="W68" s="4" t="s">
        <v>4335</v>
      </c>
      <c r="X68" s="4" t="str">
        <f ca="1">Tableau1[[#This Row],[Grand Secteur]]&amp;Tableau1[[#This Row],[Industrie]]</f>
        <v>FinanceBanking Services</v>
      </c>
      <c r="Y68" s="23" cm="1">
        <f t="array" aca="1" ref="Y68" ca="1">IFERROR(_FV(Tableau1[[#This Row],[Code Excel]],"P/E",TRUE),"")</f>
        <v>8.0246999999999993</v>
      </c>
      <c r="Z68" s="43" cm="1">
        <f t="array" aca="1" ref="Z68" ca="1">IFERROR(_FV(Tableau1[[#This Row],[Code Excel]],"Employés"),"")</f>
        <v>177952</v>
      </c>
      <c r="AA68" s="49">
        <f ca="1">IFERROR(Tableau1[[#This Row],[Capitalisation boursière]]/Tableau1[[#This Row],[Employés]],"")</f>
        <v>499152.46808128036</v>
      </c>
      <c r="AB68" s="5" t="str">
        <f>IFERROR(Tableau1[[#This Row],[REX (2021)]]/Tableau1[[#This Row],[CA 2024]],"")</f>
        <v/>
      </c>
      <c r="AC68" s="9" t="str">
        <f>IFERROR(_xlfn.XLOOKUP(Tableau1[[#This Row],[Isin]]&amp;1&amp;2021,#REF!,Tableau3[Résultat d''exploitation]),"")</f>
        <v/>
      </c>
      <c r="AD68" s="9" t="str">
        <f>IFERROR(_xlfn.XLOOKUP(Tableau1[[#This Row],[Isin]]&amp;1&amp;2019,#REF!,Tableau3[Chiffre d''affaires]),"")</f>
        <v/>
      </c>
      <c r="AE68" s="9" t="str">
        <f>IFERROR(_xlfn.XLOOKUP(Tableau1[[#This Row],[Isin]]&amp;1&amp;2024,#REF!,Tableau3[Chiffre d''affaires]),"")</f>
        <v/>
      </c>
      <c r="AF68" s="8" t="str">
        <f>IFERROR(IF((Tableau1[[#This Row],[CA 2024]]-Tableau1[[#This Row],[CA 2019]])/Tableau1[[#This Row],[CA 2019]]=-1,"",(Tableau1[[#This Row],[CA 2024]]-Tableau1[[#This Row],[CA 2019]])/Tableau1[[#This Row],[CA 2019]]),"")</f>
        <v/>
      </c>
      <c r="AG68" s="9" t="str">
        <f>IFERROR(_xlfn.XLOOKUP(Tableau1[[#This Row],[Isin]]&amp;1&amp;2021,#REF!,Tableau3[EBE]),"")</f>
        <v/>
      </c>
      <c r="AH68" s="9" t="str">
        <f>IFERROR(_xlfn.XLOOKUP(Tableau1[[#This Row],[Isin]]&amp;1&amp;2022,#REF!,Tableau3[EBE]),"")</f>
        <v/>
      </c>
      <c r="AI68" s="43" t="s">
        <v>4343</v>
      </c>
      <c r="AJ68" s="43" t="s">
        <v>3150</v>
      </c>
      <c r="AK68" s="43" t="s">
        <v>3148</v>
      </c>
      <c r="AL68" s="43" t="s">
        <v>3149</v>
      </c>
      <c r="AM68" s="43"/>
      <c r="AN68" s="9" t="str">
        <f>IFERROR(_xlfn.XLOOKUP(Tableau1[[#This Row],[Isin]]&amp;1&amp;2021,#REF!,Tableau3[Chiffre d''affaires]),"")</f>
        <v/>
      </c>
      <c r="AO68" s="43" cm="1">
        <f t="array" aca="1" ref="AO68" ca="1">_FV(Tableau1[[#This Row],[Code Excel]],"P/E",TRUE)</f>
        <v>8.0246999999999993</v>
      </c>
      <c r="AP68" s="43" t="str">
        <f>IFERROR(_xlfn.XLOOKUP(Tableau1[[#This Row],[Isin]]&amp;1&amp;2023,#REF!,Tableau3[Résultat Net (PdG)]),"")</f>
        <v/>
      </c>
      <c r="AQ68" s="43">
        <f>IF(IFERROR(_xlfn.XLOOKUP(Tableau1[[#This Row],[Isin]]&amp;1&amp;2022,#REF!,Tableau3[Résultat Net (PdG)]),"")="",Tableau1[[#This Row],[RN Groupe 2022
Manuel]],IFERROR(_xlfn.XLOOKUP(Tableau1[[#This Row],[Isin]]&amp;1&amp;2022,#REF!,Tableau3[Résultat Net (PdG)]),""))</f>
        <v>0</v>
      </c>
      <c r="AR68" s="140"/>
      <c r="AS68" s="43">
        <f>IF(IFERROR(_xlfn.XLOOKUP(Tableau1[[#This Row],[Isin]]&amp;1&amp;2021,#REF!,Tableau3[Résultat Net (PdG)]),"")="",Tableau1[[#This Row],[RN Groupe 2021
Manuel]],IFERROR(_xlfn.XLOOKUP(Tableau1[[#This Row],[Isin]]&amp;1&amp;2021,#REF!,Tableau3[Résultat Net (PdG)]),""))</f>
        <v>0</v>
      </c>
      <c r="AT68" s="140"/>
      <c r="AU68" s="43" t="str">
        <f>IFERROR(_xlfn.XLOOKUP(Tableau1[[#This Row],[Isin]]&amp;1&amp;2020,#REF!,Tableau3[Résultat Net (PdG)]),"")</f>
        <v/>
      </c>
      <c r="AV68" s="43" t="str">
        <f>IFERROR(_xlfn.XLOOKUP(Tableau1[[#This Row],[Isin]]&amp;1&amp;2019,#REF!,Tableau3[Résultat Net (PdG)]),"")</f>
        <v/>
      </c>
      <c r="AW68" s="43" t="str">
        <f>IFERROR(_xlfn.XLOOKUP(Tableau1[[#This Row],[Isin]]&amp;1&amp;2018,#REF!,Tableau3[Résultat Net (PdG)]),"")</f>
        <v/>
      </c>
      <c r="AX68" s="43" t="str">
        <f>IFERROR(_xlfn.XLOOKUP(Tableau1[[#This Row],[Isin]]&amp;1&amp;2017,#REF!,Tableau3[Résultat Net (PdG)]),"")</f>
        <v/>
      </c>
      <c r="AY68" s="43" t="str">
        <f>IFERROR(_xlfn.XLOOKUP(Tableau1[[#This Row],[Isin]]&amp;1&amp;2016,#REF!,Tableau3[Résultat Net (PdG)]),"")</f>
        <v/>
      </c>
      <c r="AZ68" s="137" t="str">
        <f ca="1">IFERROR(Tableau1[[#This Row],[Capitalisation boursière]]/Tableau1[[#This Row],[RN Groupe 2023]],"")</f>
        <v/>
      </c>
      <c r="BA68" s="4" t="str" cm="1">
        <f t="array" aca="1" ref="BA68" ca="1">IFERROR(_FV(Tableau1[[#This Row],[Code Excel]],"Industrie"),"")</f>
        <v>Banking Services</v>
      </c>
      <c r="BB68" s="43" t="s">
        <v>3518</v>
      </c>
      <c r="BC68" s="43" t="str">
        <f>IFERROR(_xlfn.XLOOKUP(Tableau1[[#This Row],[Isin]]&amp;1&amp;2016,#REF!,Tableau3[Capi]),"")</f>
        <v/>
      </c>
      <c r="BD68" s="43" t="str">
        <f>IFERROR(_xlfn.XLOOKUP(Tableau1[[#This Row],[Isin]]&amp;1&amp;2017,#REF!,Tableau3[Capi]),"")</f>
        <v/>
      </c>
      <c r="BE68" s="43" t="str">
        <f>IFERROR(_xlfn.XLOOKUP(Tableau1[[#This Row],[Isin]]&amp;1&amp;2018,#REF!,Tableau3[Capi]),"")</f>
        <v/>
      </c>
      <c r="BF68" s="43" t="str">
        <f>IFERROR(_xlfn.XLOOKUP(Tableau1[[#This Row],[Isin]]&amp;1&amp;2019,#REF!,Tableau3[Capi]),"")</f>
        <v/>
      </c>
      <c r="BG68" s="43" t="str">
        <f>IFERROR(_xlfn.XLOOKUP(Tableau1[[#This Row],[Isin]]&amp;1&amp;2020,#REF!,Tableau3[Capi]),"")</f>
        <v/>
      </c>
      <c r="BH68" s="43">
        <f>IF(IFERROR(_xlfn.XLOOKUP(Tableau1[[#This Row],[Isin]]&amp;1&amp;2021,#REF!,Tableau3[Capi]),"")="",Tableau1[[#This Row],[Capitalisation 2021
Manuel]],IFERROR(_xlfn.XLOOKUP(Tableau1[[#This Row],[Isin]]&amp;1&amp;2021,#REF!,Tableau3[Capi]),""))</f>
        <v>0</v>
      </c>
      <c r="BI68" s="142"/>
      <c r="BJ68" s="141">
        <f>IF(IFERROR(_xlfn.XLOOKUP(Tableau1[[#This Row],[Isin]]&amp;1&amp;2022,#REF!,Tableau3[Capi]),"")="",Tableau1[[#This Row],[Capitalisation 2022
Manuel]],IFERROR(_xlfn.XLOOKUP(Tableau1[[#This Row],[Isin]]&amp;1&amp;2022,#REF!,Tableau3[Capi]),""))</f>
        <v>0</v>
      </c>
      <c r="BK68" s="142"/>
      <c r="BL68" s="43">
        <f ca="1">Tableau1[[#This Row],[Capitalisation boursière]]</f>
        <v>88825180000</v>
      </c>
      <c r="BM68" s="162" t="str" cm="1">
        <f t="array" aca="1" ref="BM68" ca="1">_FV(Tableau1[[#This Row],[Code Excel]],"Description")</f>
        <v>BNP Paribas SA est une institution bancaire internationale basée en France. La société organise ses activités en trois grands domaines d’activité : les services bancaires aux entreprises et institutionnels (CIB), les services bancaires aux particuliers et aux entreprises (CPBS) et les services de protection des investissements (IPS). La CIB comprend les services bancaires mondiaux, les marchés mondiaux et les services de valeurs mobilières. CBPS couvre les services bancaires commerciaux et personnels en France, en Belgique, en Italie, au Luxembourg et dans la zone euro-méditerranéenne. IPS fournit des services tels que la gestion de patrimoine, la gestion d’actifs, l’immobilier et les placements principaux.</v>
      </c>
      <c r="BN68" s="43"/>
      <c r="BO68" s="43"/>
      <c r="BP68" s="43"/>
      <c r="BQ68" s="43"/>
      <c r="BR68" s="4"/>
      <c r="BS68" s="21"/>
      <c r="BT68" s="13"/>
      <c r="BU68" s="13"/>
      <c r="BV68" s="13"/>
      <c r="BW68" s="13"/>
      <c r="BX68" s="13"/>
      <c r="BY68" s="13"/>
      <c r="BZ68" s="47"/>
      <c r="CA68" s="47"/>
    </row>
    <row r="69" spans="3:80">
      <c r="C69" s="42"/>
      <c r="D69" s="42">
        <f>IF(Tableau1[[#This Row],[Isin]]="",99,Tableau1[[#This Row],[Intérêt]]+Tableau1[[#This Row],[Valeur d''intérêt]]+Tableau1[[#This Row],[N° Portefeuille]])</f>
        <v>30</v>
      </c>
      <c r="E69" s="42"/>
      <c r="F69" s="42">
        <f>IF(Tableau1[[#This Row],[Portefeuille]]="p",0,Tableau1[[#This Row],[F. Investissement
Niveau d''intérêt]]*10)</f>
        <v>30</v>
      </c>
      <c r="G69" s="42">
        <f>IF(Tableau1[[#This Row],[Portefeuille]]="p",3,0)</f>
        <v>0</v>
      </c>
      <c r="H69" s="42">
        <v>3</v>
      </c>
      <c r="I69" s="42">
        <v>4</v>
      </c>
      <c r="J69" s="42"/>
      <c r="K69" s="43"/>
      <c r="L69" s="16">
        <v>1</v>
      </c>
      <c r="M6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69" s="44" t="s">
        <v>1430</v>
      </c>
      <c r="O69" s="44" t="s">
        <v>1395</v>
      </c>
      <c r="P69" s="4" t="s">
        <v>382</v>
      </c>
      <c r="Q69" s="6" t="s">
        <v>383</v>
      </c>
      <c r="R69" s="6"/>
      <c r="S69" s="6" t="s">
        <v>1432</v>
      </c>
      <c r="T69" s="6" t="e" vm="58">
        <v>#VALUE!</v>
      </c>
      <c r="U69" s="51" cm="1">
        <f t="array" aca="1" ref="U69" ca="1">IFERROR(_FV(Tableau1[[#This Row],[Code Excel]],"Capitalisation boursière",TRUE),"")</f>
        <v>127420210125</v>
      </c>
      <c r="V69" s="4" t="str" cm="1">
        <f t="array" aca="1" ref="V69" ca="1">IFERROR(_FV(Tableau1[[#This Row],[Code Excel]],"Industrie"),"")</f>
        <v>Aerospace &amp; Defense</v>
      </c>
      <c r="W69" s="4" t="str" cm="1">
        <f t="array" aca="1" ref="W69" ca="1">IFERROR(_FV(Tableau1[[#This Row],[Code Excel]],"Industrie"),"")</f>
        <v>Aerospace &amp; Defense</v>
      </c>
      <c r="X69" s="4" t="str">
        <f ca="1">Tableau1[[#This Row],[Grand Secteur]]&amp;Tableau1[[#This Row],[Industrie]]</f>
        <v>Aerospace &amp; DefenseAerospace &amp; Defense</v>
      </c>
      <c r="Y69" s="23" t="str" cm="1">
        <f t="array" ref="Y69">IFERROR(_FV(Tableau1[[#This Row],[Code Excel]],"P/E",TRUE),"")</f>
        <v/>
      </c>
      <c r="Z69" s="43" cm="1">
        <f t="array" aca="1" ref="Z69" ca="1">IFERROR(_FV(Tableau1[[#This Row],[Code Excel]],"Employés"),"")</f>
        <v>172000</v>
      </c>
      <c r="AA69" s="46">
        <f ca="1">IFERROR(Tableau1[[#This Row],[Capitalisation boursière]]/Tableau1[[#This Row],[Employés]],"")</f>
        <v>740815.17514534888</v>
      </c>
      <c r="AB69" s="5" t="str">
        <f>IFERROR(Tableau1[[#This Row],[REX (2021)]]/Tableau1[[#This Row],[CA 2024]],"")</f>
        <v/>
      </c>
      <c r="AC69" s="9" t="str">
        <f>IFERROR(_xlfn.XLOOKUP(Tableau1[[#This Row],[Isin]]&amp;1&amp;2021,#REF!,Tableau3[Résultat d''exploitation]),"")</f>
        <v/>
      </c>
      <c r="AD69" s="9" t="str">
        <f>IFERROR(_xlfn.XLOOKUP(Tableau1[[#This Row],[Isin]]&amp;1&amp;2019,#REF!,Tableau3[Chiffre d''affaires]),"")</f>
        <v/>
      </c>
      <c r="AE69" s="9" t="str">
        <f>IFERROR(_xlfn.XLOOKUP(Tableau1[[#This Row],[Isin]]&amp;1&amp;2024,#REF!,Tableau3[Chiffre d''affaires]),"")</f>
        <v/>
      </c>
      <c r="AF69" s="8" t="str">
        <f>IFERROR(IF((Tableau1[[#This Row],[CA 2024]]-Tableau1[[#This Row],[CA 2019]])/Tableau1[[#This Row],[CA 2019]]=-1,"",(Tableau1[[#This Row],[CA 2024]]-Tableau1[[#This Row],[CA 2019]])/Tableau1[[#This Row],[CA 2019]]),"")</f>
        <v/>
      </c>
      <c r="AG69" s="9" t="str">
        <f>IFERROR(_xlfn.XLOOKUP(Tableau1[[#This Row],[Isin]]&amp;1&amp;2021,#REF!,Tableau3[EBE]),"")</f>
        <v/>
      </c>
      <c r="AH69" s="9" t="str">
        <f>IFERROR(_xlfn.XLOOKUP(Tableau1[[#This Row],[Isin]]&amp;1&amp;2022,#REF!,Tableau3[EBE]),"")</f>
        <v/>
      </c>
      <c r="AI69" s="43" t="s">
        <v>4343</v>
      </c>
      <c r="AJ69" s="43" t="s">
        <v>4322</v>
      </c>
      <c r="AK69" s="43" t="s">
        <v>3431</v>
      </c>
      <c r="AL69" s="43" t="s">
        <v>4338</v>
      </c>
      <c r="AM69" s="43"/>
      <c r="AN69" s="9" t="str">
        <f>IFERROR(_xlfn.XLOOKUP(Tableau1[[#This Row],[Isin]]&amp;1&amp;2021,#REF!,Tableau3[Chiffre d''affaires]),"")</f>
        <v/>
      </c>
      <c r="AO69" s="43" t="e" cm="1" vm="1">
        <f t="array" ref="AO69">_FV(Tableau1[[#This Row],[Code Excel]],"P/E",TRUE)</f>
        <v>#VALUE!</v>
      </c>
      <c r="AP69" s="43" t="str">
        <f>IFERROR(_xlfn.XLOOKUP(Tableau1[[#This Row],[Isin]]&amp;1&amp;2023,#REF!,Tableau3[Résultat Net (PdG)]),"")</f>
        <v/>
      </c>
      <c r="AQ69" s="43">
        <f>IF(IFERROR(_xlfn.XLOOKUP(Tableau1[[#This Row],[Isin]]&amp;1&amp;2022,#REF!,Tableau3[Résultat Net (PdG)]),"")="",Tableau1[[#This Row],[RN Groupe 2022
Manuel]],IFERROR(_xlfn.XLOOKUP(Tableau1[[#This Row],[Isin]]&amp;1&amp;2022,#REF!,Tableau3[Résultat Net (PdG)]),""))</f>
        <v>0</v>
      </c>
      <c r="AR69" s="43"/>
      <c r="AS69" s="43">
        <f>IF(IFERROR(_xlfn.XLOOKUP(Tableau1[[#This Row],[Isin]]&amp;1&amp;2021,#REF!,Tableau3[Résultat Net (PdG)]),"")="",Tableau1[[#This Row],[RN Groupe 2021
Manuel]],IFERROR(_xlfn.XLOOKUP(Tableau1[[#This Row],[Isin]]&amp;1&amp;2021,#REF!,Tableau3[Résultat Net (PdG)]),""))</f>
        <v>0</v>
      </c>
      <c r="AT69" s="43"/>
      <c r="AU69" s="43" t="str">
        <f>IFERROR(_xlfn.XLOOKUP(Tableau1[[#This Row],[Isin]]&amp;1&amp;2020,#REF!,Tableau3[Résultat Net (PdG)]),"")</f>
        <v/>
      </c>
      <c r="AV69" s="43" t="str">
        <f>IFERROR(_xlfn.XLOOKUP(Tableau1[[#This Row],[Isin]]&amp;1&amp;2019,#REF!,Tableau3[Résultat Net (PdG)]),"")</f>
        <v/>
      </c>
      <c r="AW69" s="43" t="str">
        <f>IFERROR(_xlfn.XLOOKUP(Tableau1[[#This Row],[Isin]]&amp;1&amp;2018,#REF!,Tableau3[Résultat Net (PdG)]),"")</f>
        <v/>
      </c>
      <c r="AX69" s="43" t="str">
        <f>IFERROR(_xlfn.XLOOKUP(Tableau1[[#This Row],[Isin]]&amp;1&amp;2017,#REF!,Tableau3[Résultat Net (PdG)]),"")</f>
        <v/>
      </c>
      <c r="AY69" s="43" t="str">
        <f>IFERROR(_xlfn.XLOOKUP(Tableau1[[#This Row],[Isin]]&amp;1&amp;2016,#REF!,Tableau3[Résultat Net (PdG)]),"")</f>
        <v/>
      </c>
      <c r="AZ69" s="137" t="str">
        <f ca="1">IFERROR(Tableau1[[#This Row],[Capitalisation boursière]]/Tableau1[[#This Row],[RN Groupe 2023]],"")</f>
        <v/>
      </c>
      <c r="BA69" s="4" t="str" cm="1">
        <f t="array" aca="1" ref="BA69" ca="1">IFERROR(_FV(Tableau1[[#This Row],[Code Excel]],"Industrie"),"")</f>
        <v>Aerospace &amp; Defense</v>
      </c>
      <c r="BB69" s="43" t="s">
        <v>3464</v>
      </c>
      <c r="BC69" s="43" t="str">
        <f>IFERROR(_xlfn.XLOOKUP(Tableau1[[#This Row],[Isin]]&amp;1&amp;2016,#REF!,Tableau3[Capi]),"")</f>
        <v/>
      </c>
      <c r="BD69" s="43" t="str">
        <f>IFERROR(_xlfn.XLOOKUP(Tableau1[[#This Row],[Isin]]&amp;1&amp;2017,#REF!,Tableau3[Capi]),"")</f>
        <v/>
      </c>
      <c r="BE69" s="43" t="str">
        <f>IFERROR(_xlfn.XLOOKUP(Tableau1[[#This Row],[Isin]]&amp;1&amp;2018,#REF!,Tableau3[Capi]),"")</f>
        <v/>
      </c>
      <c r="BF69" s="43" t="str">
        <f>IFERROR(_xlfn.XLOOKUP(Tableau1[[#This Row],[Isin]]&amp;1&amp;2019,#REF!,Tableau3[Capi]),"")</f>
        <v/>
      </c>
      <c r="BG69" s="43" t="str">
        <f>IFERROR(_xlfn.XLOOKUP(Tableau1[[#This Row],[Isin]]&amp;1&amp;2020,#REF!,Tableau3[Capi]),"")</f>
        <v/>
      </c>
      <c r="BH69" s="43">
        <f>IF(IFERROR(_xlfn.XLOOKUP(Tableau1[[#This Row],[Isin]]&amp;1&amp;2021,#REF!,Tableau3[Capi]),"")="",Tableau1[[#This Row],[Capitalisation 2021
Manuel]],IFERROR(_xlfn.XLOOKUP(Tableau1[[#This Row],[Isin]]&amp;1&amp;2021,#REF!,Tableau3[Capi]),""))</f>
        <v>0</v>
      </c>
      <c r="BI69" s="43"/>
      <c r="BJ69" s="43">
        <f>IF(IFERROR(_xlfn.XLOOKUP(Tableau1[[#This Row],[Isin]]&amp;1&amp;2022,#REF!,Tableau3[Capi]),"")="",Tableau1[[#This Row],[Capitalisation 2022
Manuel]],IFERROR(_xlfn.XLOOKUP(Tableau1[[#This Row],[Isin]]&amp;1&amp;2022,#REF!,Tableau3[Capi]),""))</f>
        <v>0</v>
      </c>
      <c r="BK69" s="43"/>
      <c r="BL69" s="43">
        <f ca="1">Tableau1[[#This Row],[Capitalisation boursière]]</f>
        <v>127420210125</v>
      </c>
      <c r="BM69" s="162" t="str" cm="1">
        <f t="array" aca="1" ref="BM69" ca="1">_FV(Tableau1[[#This Row],[Code Excel]],"Description")</f>
        <v>The Boeing Company est une entreprise aérospatiale. La société opère dans trois segments : avions commerciaux (BCA), Défense, espace et sécurité (BDS), Global services (BGS). Son segment BCA développe, produit et commercialise des avions à réaction commerciaux pour l'industrie du transport aérien commercial dans le monde entier. Sa famille d'avions à réaction commerciaux en production comprend le modèle 737 à carrosserie étroite et les modèles 767, 777 et 787 à carrosserie large. Son segment BDS est engagé dans la recherche, le développement, la production et la modification d'avions militaires habités et non habités et de systèmes d'armes de grève, de surveillance et de mobilité. Son segment BGS fournit des services à ses clients commerciaux et de défense dans le monde entier. Il soutient les plates-formes et systèmes aérospatiaux avec une gamme de produits et de services, y compris la gestion de la chaîne d'approvisionnement et de la logistique, l'ingénierie, la maintenance et les modifications, les mises à niveau et les conversions, les pièces de rechange, systèmes et services de formation aux pilotes et à la maintenance, documents techniques et de maintenance, et autres.</v>
      </c>
      <c r="BN69" s="43"/>
      <c r="BO69" s="43"/>
      <c r="BP69" s="43"/>
      <c r="BQ69" s="43"/>
      <c r="BR69" s="4"/>
      <c r="BS69" s="21"/>
      <c r="BT69" s="13"/>
      <c r="BU69" s="13"/>
      <c r="BV69" s="13"/>
      <c r="BW69" s="13"/>
      <c r="BX69" s="13"/>
      <c r="BY69" s="13"/>
      <c r="BZ69" s="47"/>
      <c r="CA69" s="47"/>
    </row>
    <row r="70" spans="3:80">
      <c r="C70" s="43"/>
      <c r="D70" s="42">
        <f>IF(Tableau1[[#This Row],[Isin]]="",99,Tableau1[[#This Row],[Intérêt]]+Tableau1[[#This Row],[Valeur d''intérêt]]+Tableau1[[#This Row],[N° Portefeuille]])</f>
        <v>30</v>
      </c>
      <c r="E70" s="43"/>
      <c r="F70" s="42">
        <f>IF(Tableau1[[#This Row],[Portefeuille]]="p",0,Tableau1[[#This Row],[F. Investissement
Niveau d''intérêt]]*10)</f>
        <v>30</v>
      </c>
      <c r="G70" s="43">
        <f>IF(Tableau1[[#This Row],[Portefeuille]]="p",3,0)</f>
        <v>0</v>
      </c>
      <c r="H70" s="43">
        <v>3</v>
      </c>
      <c r="I70" s="43">
        <v>4</v>
      </c>
      <c r="J70" s="43"/>
      <c r="K70" s="43"/>
      <c r="L70" s="16">
        <v>0</v>
      </c>
      <c r="M7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0" s="44" t="s">
        <v>3633</v>
      </c>
      <c r="O70" s="45"/>
      <c r="P70" s="4" t="s">
        <v>84</v>
      </c>
      <c r="Q70" s="4"/>
      <c r="R70" s="6"/>
      <c r="S70" s="6" t="s">
        <v>3634</v>
      </c>
      <c r="T70" s="6" t="e" vm="59">
        <v>#VALUE!</v>
      </c>
      <c r="U70" s="46" cm="1">
        <f t="array" aca="1" ref="U70" ca="1">IFERROR(_FV(Tableau1[[#This Row],[Code Excel]],"Capitalisation boursière",TRUE),"")</f>
        <v>15682630000</v>
      </c>
      <c r="V70" s="4" t="str" cm="1">
        <f t="array" aca="1" ref="V70" ca="1">IFERROR(_FV(Tableau1[[#This Row],[Code Excel]],"Industrie"),"")</f>
        <v>Media &amp; Publishing</v>
      </c>
      <c r="W70" s="4" t="s">
        <v>2018</v>
      </c>
      <c r="X70" s="4" t="str">
        <f ca="1">Tableau1[[#This Row],[Grand Secteur]]&amp;Tableau1[[#This Row],[Industrie]]</f>
        <v>MédiaMedia &amp; Publishing</v>
      </c>
      <c r="Y70" s="23" cm="1">
        <f t="array" aca="1" ref="Y70" ca="1">IFERROR(_FV(Tableau1[[#This Row],[Code Excel]],"P/E",TRUE),"")</f>
        <v>8.4303000000000008</v>
      </c>
      <c r="Z70" s="43" cm="1">
        <f t="array" aca="1" ref="Z70" ca="1">IFERROR(_FV(Tableau1[[#This Row],[Code Excel]],"Employés"),"")</f>
        <v>91287</v>
      </c>
      <c r="AA70" s="49">
        <f ca="1">IFERROR(Tableau1[[#This Row],[Capitalisation boursière]]/Tableau1[[#This Row],[Employés]],"")</f>
        <v>171794.77910326771</v>
      </c>
      <c r="AB70" s="5" t="str">
        <f>IFERROR(Tableau1[[#This Row],[REX (2021)]]/Tableau1[[#This Row],[CA 2024]],"")</f>
        <v/>
      </c>
      <c r="AC70" s="9" t="str">
        <f>IFERROR(_xlfn.XLOOKUP(Tableau1[[#This Row],[Isin]]&amp;1&amp;2021,#REF!,Tableau3[Résultat d''exploitation]),"")</f>
        <v/>
      </c>
      <c r="AD70" s="9" t="str">
        <f>IFERROR(_xlfn.XLOOKUP(Tableau1[[#This Row],[Isin]]&amp;1&amp;2019,#REF!,Tableau3[Chiffre d''affaires]),"")</f>
        <v/>
      </c>
      <c r="AE70" s="9" t="str">
        <f>IFERROR(_xlfn.XLOOKUP(Tableau1[[#This Row],[Isin]]&amp;1&amp;2024,#REF!,Tableau3[Chiffre d''affaires]),"")</f>
        <v/>
      </c>
      <c r="AF70" s="8" t="str">
        <f>IFERROR(IF((Tableau1[[#This Row],[CA 2024]]-Tableau1[[#This Row],[CA 2019]])/Tableau1[[#This Row],[CA 2019]]=-1,"",(Tableau1[[#This Row],[CA 2024]]-Tableau1[[#This Row],[CA 2019]])/Tableau1[[#This Row],[CA 2019]]),"")</f>
        <v/>
      </c>
      <c r="AG70" s="9" t="str">
        <f>IFERROR(_xlfn.XLOOKUP(Tableau1[[#This Row],[Isin]]&amp;1&amp;2021,#REF!,Tableau3[EBE]),"")</f>
        <v/>
      </c>
      <c r="AH70" s="9" t="str">
        <f>IFERROR(_xlfn.XLOOKUP(Tableau1[[#This Row],[Isin]]&amp;1&amp;2022,#REF!,Tableau3[EBE]),"")</f>
        <v/>
      </c>
      <c r="AI70" s="43" t="s">
        <v>3431</v>
      </c>
      <c r="AJ70" s="13" t="s">
        <v>4376</v>
      </c>
      <c r="AK70" s="43" t="s">
        <v>4377</v>
      </c>
      <c r="AL70" s="43"/>
      <c r="AM70" s="43"/>
      <c r="AN70" s="9" t="str">
        <f>IFERROR(_xlfn.XLOOKUP(Tableau1[[#This Row],[Isin]]&amp;1&amp;2021,#REF!,Tableau3[Chiffre d''affaires]),"")</f>
        <v/>
      </c>
      <c r="AO70" s="43" cm="1">
        <f t="array" aca="1" ref="AO70" ca="1">_FV(Tableau1[[#This Row],[Code Excel]],"P/E",TRUE)</f>
        <v>8.4303000000000008</v>
      </c>
      <c r="AP70" s="43" t="str">
        <f>IFERROR(_xlfn.XLOOKUP(Tableau1[[#This Row],[Isin]]&amp;1&amp;2023,#REF!,Tableau3[Résultat Net (PdG)]),"")</f>
        <v/>
      </c>
      <c r="AQ70" s="43">
        <f>IF(IFERROR(_xlfn.XLOOKUP(Tableau1[[#This Row],[Isin]]&amp;1&amp;2022,#REF!,Tableau3[Résultat Net (PdG)]),"")="",Tableau1[[#This Row],[RN Groupe 2022
Manuel]],IFERROR(_xlfn.XLOOKUP(Tableau1[[#This Row],[Isin]]&amp;1&amp;2022,#REF!,Tableau3[Résultat Net (PdG)]),""))</f>
        <v>0</v>
      </c>
      <c r="AR70" s="43"/>
      <c r="AS70" s="43">
        <f>IF(IFERROR(_xlfn.XLOOKUP(Tableau1[[#This Row],[Isin]]&amp;1&amp;2021,#REF!,Tableau3[Résultat Net (PdG)]),"")="",Tableau1[[#This Row],[RN Groupe 2021
Manuel]],IFERROR(_xlfn.XLOOKUP(Tableau1[[#This Row],[Isin]]&amp;1&amp;2021,#REF!,Tableau3[Résultat Net (PdG)]),""))</f>
        <v>0</v>
      </c>
      <c r="AT70" s="43"/>
      <c r="AU70" s="43" t="str">
        <f>IFERROR(_xlfn.XLOOKUP(Tableau1[[#This Row],[Isin]]&amp;1&amp;2020,#REF!,Tableau3[Résultat Net (PdG)]),"")</f>
        <v/>
      </c>
      <c r="AV70" s="43" t="str">
        <f>IFERROR(_xlfn.XLOOKUP(Tableau1[[#This Row],[Isin]]&amp;1&amp;2019,#REF!,Tableau3[Résultat Net (PdG)]),"")</f>
        <v/>
      </c>
      <c r="AW70" s="43" t="str">
        <f>IFERROR(_xlfn.XLOOKUP(Tableau1[[#This Row],[Isin]]&amp;1&amp;2018,#REF!,Tableau3[Résultat Net (PdG)]),"")</f>
        <v/>
      </c>
      <c r="AX70" s="43" t="str">
        <f>IFERROR(_xlfn.XLOOKUP(Tableau1[[#This Row],[Isin]]&amp;1&amp;2017,#REF!,Tableau3[Résultat Net (PdG)]),"")</f>
        <v/>
      </c>
      <c r="AY70" s="43" t="str">
        <f>IFERROR(_xlfn.XLOOKUP(Tableau1[[#This Row],[Isin]]&amp;1&amp;2016,#REF!,Tableau3[Résultat Net (PdG)]),"")</f>
        <v/>
      </c>
      <c r="AZ70" s="137" t="str">
        <f ca="1">IFERROR(Tableau1[[#This Row],[Capitalisation boursière]]/Tableau1[[#This Row],[RN Groupe 2023]],"")</f>
        <v/>
      </c>
      <c r="BA70" s="4" t="str" cm="1">
        <f t="array" aca="1" ref="BA70" ca="1">IFERROR(_FV(Tableau1[[#This Row],[Code Excel]],"Industrie"),"")</f>
        <v>Media &amp; Publishing</v>
      </c>
      <c r="BB70" s="43" t="s">
        <v>3477</v>
      </c>
      <c r="BC70" s="43" t="str">
        <f>IFERROR(_xlfn.XLOOKUP(Tableau1[[#This Row],[Isin]]&amp;1&amp;2016,#REF!,Tableau3[Capi]),"")</f>
        <v/>
      </c>
      <c r="BD70" s="43" t="str">
        <f>IFERROR(_xlfn.XLOOKUP(Tableau1[[#This Row],[Isin]]&amp;1&amp;2017,#REF!,Tableau3[Capi]),"")</f>
        <v/>
      </c>
      <c r="BE70" s="43" t="str">
        <f>IFERROR(_xlfn.XLOOKUP(Tableau1[[#This Row],[Isin]]&amp;1&amp;2018,#REF!,Tableau3[Capi]),"")</f>
        <v/>
      </c>
      <c r="BF70" s="43" t="str">
        <f>IFERROR(_xlfn.XLOOKUP(Tableau1[[#This Row],[Isin]]&amp;1&amp;2019,#REF!,Tableau3[Capi]),"")</f>
        <v/>
      </c>
      <c r="BG70" s="43" t="str">
        <f>IFERROR(_xlfn.XLOOKUP(Tableau1[[#This Row],[Isin]]&amp;1&amp;2020,#REF!,Tableau3[Capi]),"")</f>
        <v/>
      </c>
      <c r="BH70" s="43">
        <f>IF(IFERROR(_xlfn.XLOOKUP(Tableau1[[#This Row],[Isin]]&amp;1&amp;2021,#REF!,Tableau3[Capi]),"")="",Tableau1[[#This Row],[Capitalisation 2021
Manuel]],IFERROR(_xlfn.XLOOKUP(Tableau1[[#This Row],[Isin]]&amp;1&amp;2021,#REF!,Tableau3[Capi]),""))</f>
        <v>0</v>
      </c>
      <c r="BI70" s="43"/>
      <c r="BJ70" s="43">
        <f>IF(IFERROR(_xlfn.XLOOKUP(Tableau1[[#This Row],[Isin]]&amp;1&amp;2022,#REF!,Tableau3[Capi]),"")="",Tableau1[[#This Row],[Capitalisation 2022
Manuel]],IFERROR(_xlfn.XLOOKUP(Tableau1[[#This Row],[Isin]]&amp;1&amp;2022,#REF!,Tableau3[Capi]),""))</f>
        <v>0</v>
      </c>
      <c r="BK70" s="43"/>
      <c r="BL70" s="43">
        <f ca="1">Tableau1[[#This Row],[Capitalisation boursière]]</f>
        <v>15682630000</v>
      </c>
      <c r="BM70" s="162" t="str" cm="1">
        <f t="array" aca="1" ref="BM70" ca="1">_FV(Tableau1[[#This Row],[Code Excel]],"Description")</f>
        <v>Bollore SE est une société de holding basée en France qui opère dans plus de 100 pays. La société est active dans plusieurs divisions : Bolloré Africa Logistics, dont les opérations de transit, l'arrimage, les concessions maritimes et ferroviaires ; Bolloré Logistics, avec une présence sur les cinq continents ; Bolloré Energy, qui distribue le fioul domestique et des produits pétroliers ; IER, qui conçoit, fabrique et vend des terminaux pour le contrôle et la lecture de billets ; Films plastiques, pour les condensateurs et l'emballage ; Batteries et supercapacités ; Véhicules électriques ; Autolib', qui offre un réseau de location de voitures électriques ; Communication et médias, qui a lancé Digital Terrestial Television (DTT) ; Plantations, car la société détient des plantations d'huile de palme et de caoutchouc, par le biais du groupe Socfin et Financial Assets.</v>
      </c>
      <c r="BN70" s="43"/>
      <c r="BO70" s="43"/>
      <c r="BP70" s="43"/>
      <c r="BQ70" s="43"/>
      <c r="BR70" s="4"/>
      <c r="BS70" s="21"/>
      <c r="BT70" s="13"/>
      <c r="BU70" s="13"/>
      <c r="BV70" s="13"/>
      <c r="BW70" s="13"/>
      <c r="BX70" s="13"/>
      <c r="BY70" s="13"/>
      <c r="BZ70" s="47"/>
      <c r="CA70" s="47"/>
    </row>
    <row r="71" spans="3:80" ht="19" customHeight="1">
      <c r="C71" s="42"/>
      <c r="D71" s="42">
        <f>IF(Tableau1[[#This Row],[Isin]]="",99,Tableau1[[#This Row],[Intérêt]]+Tableau1[[#This Row],[Valeur d''intérêt]]+Tableau1[[#This Row],[N° Portefeuille]])</f>
        <v>30</v>
      </c>
      <c r="E71" s="42"/>
      <c r="F71" s="42">
        <f>IF(Tableau1[[#This Row],[Portefeuille]]="p",0,Tableau1[[#This Row],[F. Investissement
Niveau d''intérêt]]*10)</f>
        <v>30</v>
      </c>
      <c r="G71" s="42">
        <f>IF(Tableau1[[#This Row],[Portefeuille]]="p",3,0)</f>
        <v>0</v>
      </c>
      <c r="H71" s="42">
        <v>3</v>
      </c>
      <c r="I71" s="42">
        <v>4</v>
      </c>
      <c r="J71" s="42"/>
      <c r="K71" s="43"/>
      <c r="L71" s="16">
        <v>1</v>
      </c>
      <c r="M7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1" s="44" t="s">
        <v>425</v>
      </c>
      <c r="O71" s="44" t="s">
        <v>4378</v>
      </c>
      <c r="P71" s="4" t="s">
        <v>427</v>
      </c>
      <c r="Q71" s="6" t="s">
        <v>85</v>
      </c>
      <c r="R71" s="6"/>
      <c r="S71" s="6" t="s">
        <v>429</v>
      </c>
      <c r="T71" s="6" t="e" vm="60">
        <v>#VALUE!</v>
      </c>
      <c r="U71" s="46" cm="1">
        <f t="array" aca="1" ref="U71" ca="1">IFERROR(_FV(Tableau1[[#This Row],[Code Excel]],"Capitalisation boursière",TRUE),"")</f>
        <v>4247030000</v>
      </c>
      <c r="V71" s="4" t="str" cm="1">
        <f t="array" aca="1" ref="V71" ca="1">IFERROR(_FV(Tableau1[[#This Row],[Code Excel]],"Industrie"),"")</f>
        <v>Construction &amp; Engineering</v>
      </c>
      <c r="W71" s="4" t="s">
        <v>1926</v>
      </c>
      <c r="X71" s="4" t="str">
        <f ca="1">Tableau1[[#This Row],[Grand Secteur]]&amp;Tableau1[[#This Row],[Industrie]]</f>
        <v>ConstructionConstruction &amp; Engineering</v>
      </c>
      <c r="Y71" s="23" cm="1">
        <f t="array" aca="1" ref="Y71" ca="1">IFERROR(_FV(Tableau1[[#This Row],[Code Excel]],"P/E",TRUE),"")</f>
        <v>21.777200000000001</v>
      </c>
      <c r="Z71" s="43" cm="1">
        <f t="array" aca="1" ref="Z71" ca="1">IFERROR(_FV(Tableau1[[#This Row],[Code Excel]],"Employés"),"")</f>
        <v>7872</v>
      </c>
      <c r="AA71" s="46">
        <f ca="1">IFERROR(Tableau1[[#This Row],[Capitalisation boursière]]/Tableau1[[#This Row],[Employés]],"")</f>
        <v>539510.92479674798</v>
      </c>
      <c r="AB71" s="5" t="str">
        <f>IFERROR(Tableau1[[#This Row],[REX (2021)]]/Tableau1[[#This Row],[CA 2024]],"")</f>
        <v/>
      </c>
      <c r="AC71" s="9" t="str">
        <f>IFERROR(_xlfn.XLOOKUP(Tableau1[[#This Row],[Isin]]&amp;1&amp;2021,#REF!,Tableau3[Résultat d''exploitation]),"")</f>
        <v/>
      </c>
      <c r="AD71" s="9" t="str">
        <f>IFERROR(_xlfn.XLOOKUP(Tableau1[[#This Row],[Isin]]&amp;1&amp;2019,#REF!,Tableau3[Chiffre d''affaires]),"")</f>
        <v/>
      </c>
      <c r="AE71" s="9" t="str">
        <f>IFERROR(_xlfn.XLOOKUP(Tableau1[[#This Row],[Isin]]&amp;1&amp;2024,#REF!,Tableau3[Chiffre d''affaires]),"")</f>
        <v/>
      </c>
      <c r="AF71" s="8" t="str">
        <f>IFERROR(IF((Tableau1[[#This Row],[CA 2024]]-Tableau1[[#This Row],[CA 2019]])/Tableau1[[#This Row],[CA 2019]]=-1,"",(Tableau1[[#This Row],[CA 2024]]-Tableau1[[#This Row],[CA 2019]])/Tableau1[[#This Row],[CA 2019]]),"")</f>
        <v/>
      </c>
      <c r="AG71" s="9" t="str">
        <f>IFERROR(_xlfn.XLOOKUP(Tableau1[[#This Row],[Isin]]&amp;1&amp;2021,#REF!,Tableau3[EBE]),"")</f>
        <v/>
      </c>
      <c r="AH71" s="9" t="str">
        <f>IFERROR(_xlfn.XLOOKUP(Tableau1[[#This Row],[Isin]]&amp;1&amp;2022,#REF!,Tableau3[EBE]),"")</f>
        <v/>
      </c>
      <c r="AI71" s="43" t="s">
        <v>4329</v>
      </c>
      <c r="AJ71" s="13" t="s">
        <v>4325</v>
      </c>
      <c r="AK71" s="43" t="s">
        <v>3419</v>
      </c>
      <c r="AL71" s="43" t="s">
        <v>3149</v>
      </c>
      <c r="AM71" s="43"/>
      <c r="AN71" s="9" t="str">
        <f>IFERROR(_xlfn.XLOOKUP(Tableau1[[#This Row],[Isin]]&amp;1&amp;2021,#REF!,Tableau3[Chiffre d''affaires]),"")</f>
        <v/>
      </c>
      <c r="AO71" s="43" cm="1">
        <f t="array" aca="1" ref="AO71" ca="1">_FV(Tableau1[[#This Row],[Code Excel]],"P/E",TRUE)</f>
        <v>21.777200000000001</v>
      </c>
      <c r="AP71" s="43" t="str">
        <f>IFERROR(_xlfn.XLOOKUP(Tableau1[[#This Row],[Isin]]&amp;1&amp;2023,#REF!,Tableau3[Résultat Net (PdG)]),"")</f>
        <v/>
      </c>
      <c r="AQ71" s="43">
        <f>IF(IFERROR(_xlfn.XLOOKUP(Tableau1[[#This Row],[Isin]]&amp;1&amp;2022,#REF!,Tableau3[Résultat Net (PdG)]),"")="",Tableau1[[#This Row],[RN Groupe 2022
Manuel]],IFERROR(_xlfn.XLOOKUP(Tableau1[[#This Row],[Isin]]&amp;1&amp;2022,#REF!,Tableau3[Résultat Net (PdG)]),""))</f>
        <v>0</v>
      </c>
      <c r="AR71" s="43"/>
      <c r="AS71" s="43">
        <f>IF(IFERROR(_xlfn.XLOOKUP(Tableau1[[#This Row],[Isin]]&amp;1&amp;2021,#REF!,Tableau3[Résultat Net (PdG)]),"")="",Tableau1[[#This Row],[RN Groupe 2021
Manuel]],IFERROR(_xlfn.XLOOKUP(Tableau1[[#This Row],[Isin]]&amp;1&amp;2021,#REF!,Tableau3[Résultat Net (PdG)]),""))</f>
        <v>0</v>
      </c>
      <c r="AT71" s="43"/>
      <c r="AU71" s="43" t="str">
        <f>IFERROR(_xlfn.XLOOKUP(Tableau1[[#This Row],[Isin]]&amp;1&amp;2020,#REF!,Tableau3[Résultat Net (PdG)]),"")</f>
        <v/>
      </c>
      <c r="AV71" s="43" t="str">
        <f>IFERROR(_xlfn.XLOOKUP(Tableau1[[#This Row],[Isin]]&amp;1&amp;2019,#REF!,Tableau3[Résultat Net (PdG)]),"")</f>
        <v/>
      </c>
      <c r="AW71" s="43" t="str">
        <f>IFERROR(_xlfn.XLOOKUP(Tableau1[[#This Row],[Isin]]&amp;1&amp;2018,#REF!,Tableau3[Résultat Net (PdG)]),"")</f>
        <v/>
      </c>
      <c r="AX71" s="43" t="str">
        <f>IFERROR(_xlfn.XLOOKUP(Tableau1[[#This Row],[Isin]]&amp;1&amp;2017,#REF!,Tableau3[Résultat Net (PdG)]),"")</f>
        <v/>
      </c>
      <c r="AY71" s="43" t="str">
        <f>IFERROR(_xlfn.XLOOKUP(Tableau1[[#This Row],[Isin]]&amp;1&amp;2016,#REF!,Tableau3[Résultat Net (PdG)]),"")</f>
        <v/>
      </c>
      <c r="AZ71" s="137" t="str">
        <f ca="1">IFERROR(Tableau1[[#This Row],[Capitalisation boursière]]/Tableau1[[#This Row],[RN Groupe 2023]],"")</f>
        <v/>
      </c>
      <c r="BA71" s="4" t="str" cm="1">
        <f t="array" aca="1" ref="BA71" ca="1">IFERROR(_FV(Tableau1[[#This Row],[Code Excel]],"Industrie"),"")</f>
        <v>Construction &amp; Engineering</v>
      </c>
      <c r="BB71" s="43" t="e">
        <v>#N/A</v>
      </c>
      <c r="BC71" s="43" t="str">
        <f>IFERROR(_xlfn.XLOOKUP(Tableau1[[#This Row],[Isin]]&amp;1&amp;2016,#REF!,Tableau3[Capi]),"")</f>
        <v/>
      </c>
      <c r="BD71" s="43" t="str">
        <f>IFERROR(_xlfn.XLOOKUP(Tableau1[[#This Row],[Isin]]&amp;1&amp;2017,#REF!,Tableau3[Capi]),"")</f>
        <v/>
      </c>
      <c r="BE71" s="43" t="str">
        <f>IFERROR(_xlfn.XLOOKUP(Tableau1[[#This Row],[Isin]]&amp;1&amp;2018,#REF!,Tableau3[Capi]),"")</f>
        <v/>
      </c>
      <c r="BF71" s="43" t="str">
        <f>IFERROR(_xlfn.XLOOKUP(Tableau1[[#This Row],[Isin]]&amp;1&amp;2019,#REF!,Tableau3[Capi]),"")</f>
        <v/>
      </c>
      <c r="BG71" s="43" t="str">
        <f>IFERROR(_xlfn.XLOOKUP(Tableau1[[#This Row],[Isin]]&amp;1&amp;2020,#REF!,Tableau3[Capi]),"")</f>
        <v/>
      </c>
      <c r="BH71" s="43">
        <f>IF(IFERROR(_xlfn.XLOOKUP(Tableau1[[#This Row],[Isin]]&amp;1&amp;2021,#REF!,Tableau3[Capi]),"")="",Tableau1[[#This Row],[Capitalisation 2021
Manuel]],IFERROR(_xlfn.XLOOKUP(Tableau1[[#This Row],[Isin]]&amp;1&amp;2021,#REF!,Tableau3[Capi]),""))</f>
        <v>0</v>
      </c>
      <c r="BI71" s="43"/>
      <c r="BJ71" s="43">
        <f>IF(IFERROR(_xlfn.XLOOKUP(Tableau1[[#This Row],[Isin]]&amp;1&amp;2022,#REF!,Tableau3[Capi]),"")="",Tableau1[[#This Row],[Capitalisation 2022
Manuel]],IFERROR(_xlfn.XLOOKUP(Tableau1[[#This Row],[Isin]]&amp;1&amp;2022,#REF!,Tableau3[Capi]),""))</f>
        <v>0</v>
      </c>
      <c r="BK71" s="43"/>
      <c r="BL71" s="43">
        <f ca="1">Tableau1[[#This Row],[Capitalisation boursière]]</f>
        <v>4247030000</v>
      </c>
      <c r="BM71" s="162" t="str" cm="1">
        <f t="array" aca="1" ref="BM71" ca="1">_FV(Tableau1[[#This Row],[Code Excel]],"Description")</f>
        <v>Koninklijke Boskalis Westminster NV (Boskalis) is the Netherlands-based company engaged in the dredging and earthmoving, maritime infrastructure and maritime services sectors. It is divided in four segments. Dredging segment is engaged in port construction and maintenance, land reclamation, coastal defense, and riverbank protection, among others. Towage &amp; Salvage provides assistance to incoming and outgoing vessels, management and maintenance of oil and gas terminals, wreck clearance, and environmental services. Offshore energy conducts offshore dredging and rock installation projects, heavy transport, lift and installation work, and support services for offshore industry. Inland Infra comprises construction of roads, railways, bridges, dams and terminals, including earthmoving, soil improvement and remediation. It operates through numerous subsidiaries, including STRABAG Wasserbau GmbH.</v>
      </c>
      <c r="BN71" s="43"/>
      <c r="BO71" s="43"/>
      <c r="BP71" s="43"/>
      <c r="BQ71" s="43"/>
      <c r="BR71" s="4"/>
      <c r="BS71" s="21"/>
      <c r="BT71" s="13"/>
      <c r="BU71" s="13"/>
      <c r="BV71" s="13"/>
      <c r="BW71" s="13"/>
      <c r="BX71" s="13"/>
      <c r="BY71" s="13"/>
      <c r="BZ71" s="47"/>
      <c r="CA71" s="47"/>
      <c r="CB71" s="50"/>
    </row>
    <row r="72" spans="3:80">
      <c r="C72" s="43"/>
      <c r="D72" s="42">
        <f>IF(Tableau1[[#This Row],[Isin]]="",99,Tableau1[[#This Row],[Intérêt]]+Tableau1[[#This Row],[Valeur d''intérêt]]+Tableau1[[#This Row],[N° Portefeuille]])</f>
        <v>20</v>
      </c>
      <c r="E72" s="42"/>
      <c r="F72" s="42">
        <f>IF(Tableau1[[#This Row],[Portefeuille]]="p",0,Tableau1[[#This Row],[F. Investissement
Niveau d''intérêt]]*10)</f>
        <v>20</v>
      </c>
      <c r="G72" s="42">
        <f>IF(Tableau1[[#This Row],[Portefeuille]]="p",3,0)</f>
        <v>0</v>
      </c>
      <c r="H72" s="42">
        <v>2</v>
      </c>
      <c r="I72" s="42">
        <v>2</v>
      </c>
      <c r="J72" s="43" t="s">
        <v>4357</v>
      </c>
      <c r="K72" s="43"/>
      <c r="L72" s="16">
        <v>1</v>
      </c>
      <c r="M7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2" s="44" t="s">
        <v>1931</v>
      </c>
      <c r="O72" s="44" t="s">
        <v>1932</v>
      </c>
      <c r="P72" s="4" t="s">
        <v>84</v>
      </c>
      <c r="Q72" s="6" t="s">
        <v>85</v>
      </c>
      <c r="R72" s="6"/>
      <c r="S72" s="6" t="s">
        <v>1935</v>
      </c>
      <c r="T72" s="6" t="e" vm="61">
        <v>#VALUE!</v>
      </c>
      <c r="U72" s="46" cm="1">
        <f t="array" aca="1" ref="U72" ca="1">IFERROR(_FV(Tableau1[[#This Row],[Code Excel]],"Capitalisation boursière",TRUE),"")</f>
        <v>13987330000</v>
      </c>
      <c r="V72" s="4" t="str" cm="1">
        <f t="array" aca="1" ref="V72" ca="1">IFERROR(_FV(Tableau1[[#This Row],[Code Excel]],"Industrie"),"")</f>
        <v>Construction &amp; Engineering</v>
      </c>
      <c r="W72" s="4" t="s">
        <v>1926</v>
      </c>
      <c r="X72" s="4" t="str">
        <f ca="1">Tableau1[[#This Row],[Grand Secteur]]&amp;Tableau1[[#This Row],[Industrie]]</f>
        <v>ConstructionConstruction &amp; Engineering</v>
      </c>
      <c r="Y72" s="23" cm="1">
        <f t="array" aca="1" ref="Y72" ca="1">IFERROR(_FV(Tableau1[[#This Row],[Code Excel]],"P/E",TRUE),"")</f>
        <v>13.177899999999999</v>
      </c>
      <c r="Z72" s="43" cm="1">
        <f t="array" aca="1" ref="Z72" ca="1">IFERROR(_FV(Tableau1[[#This Row],[Code Excel]],"Employés"),"")</f>
        <v>200862</v>
      </c>
      <c r="AA72" s="46">
        <f ca="1">IFERROR(Tableau1[[#This Row],[Capitalisation boursière]]/Tableau1[[#This Row],[Employés]],"")</f>
        <v>69636.516613396263</v>
      </c>
      <c r="AB72" s="5" t="str">
        <f>IFERROR(Tableau1[[#This Row],[REX (2021)]]/Tableau1[[#This Row],[CA 2024]],"")</f>
        <v/>
      </c>
      <c r="AC72" s="9" t="str">
        <f>IFERROR(_xlfn.XLOOKUP(Tableau1[[#This Row],[Isin]]&amp;1&amp;2021,#REF!,Tableau3[Résultat d''exploitation]),"")</f>
        <v/>
      </c>
      <c r="AD72" s="9" t="str">
        <f>IFERROR(_xlfn.XLOOKUP(Tableau1[[#This Row],[Isin]]&amp;1&amp;2019,#REF!,Tableau3[Chiffre d''affaires]),"")</f>
        <v/>
      </c>
      <c r="AE72" s="9" t="str">
        <f>IFERROR(_xlfn.XLOOKUP(Tableau1[[#This Row],[Isin]]&amp;1&amp;2024,#REF!,Tableau3[Chiffre d''affaires]),"")</f>
        <v/>
      </c>
      <c r="AF72" s="8" t="str">
        <f>IFERROR(IF((Tableau1[[#This Row],[CA 2024]]-Tableau1[[#This Row],[CA 2019]])/Tableau1[[#This Row],[CA 2019]]=-1,"",(Tableau1[[#This Row],[CA 2024]]-Tableau1[[#This Row],[CA 2019]])/Tableau1[[#This Row],[CA 2019]]),"")</f>
        <v/>
      </c>
      <c r="AG72" s="9" t="str">
        <f>IFERROR(_xlfn.XLOOKUP(Tableau1[[#This Row],[Isin]]&amp;1&amp;2021,#REF!,Tableau3[EBE]),"")</f>
        <v/>
      </c>
      <c r="AH72" s="9" t="str">
        <f>IFERROR(_xlfn.XLOOKUP(Tableau1[[#This Row],[Isin]]&amp;1&amp;2022,#REF!,Tableau3[EBE]),"")</f>
        <v/>
      </c>
      <c r="AI72" s="43" t="s">
        <v>4329</v>
      </c>
      <c r="AJ72" s="43" t="s">
        <v>4322</v>
      </c>
      <c r="AK72" s="43" t="s">
        <v>3431</v>
      </c>
      <c r="AL72" s="43" t="s">
        <v>3148</v>
      </c>
      <c r="AM72" s="43"/>
      <c r="AN72" s="9" t="str">
        <f>IFERROR(_xlfn.XLOOKUP(Tableau1[[#This Row],[Isin]]&amp;1&amp;2021,#REF!,Tableau3[Chiffre d''affaires]),"")</f>
        <v/>
      </c>
      <c r="AO72" s="43" cm="1">
        <f t="array" aca="1" ref="AO72" ca="1">_FV(Tableau1[[#This Row],[Code Excel]],"P/E",TRUE)</f>
        <v>13.177899999999999</v>
      </c>
      <c r="AP72" s="43" t="str">
        <f>IFERROR(_xlfn.XLOOKUP(Tableau1[[#This Row],[Isin]]&amp;1&amp;2023,#REF!,Tableau3[Résultat Net (PdG)]),"")</f>
        <v/>
      </c>
      <c r="AQ72" s="43">
        <f>IF(IFERROR(_xlfn.XLOOKUP(Tableau1[[#This Row],[Isin]]&amp;1&amp;2022,#REF!,Tableau3[Résultat Net (PdG)]),"")="",Tableau1[[#This Row],[RN Groupe 2022
Manuel]],IFERROR(_xlfn.XLOOKUP(Tableau1[[#This Row],[Isin]]&amp;1&amp;2022,#REF!,Tableau3[Résultat Net (PdG)]),""))</f>
        <v>0</v>
      </c>
      <c r="AR72" s="140"/>
      <c r="AS72" s="43">
        <f>IF(IFERROR(_xlfn.XLOOKUP(Tableau1[[#This Row],[Isin]]&amp;1&amp;2021,#REF!,Tableau3[Résultat Net (PdG)]),"")="",Tableau1[[#This Row],[RN Groupe 2021
Manuel]],IFERROR(_xlfn.XLOOKUP(Tableau1[[#This Row],[Isin]]&amp;1&amp;2021,#REF!,Tableau3[Résultat Net (PdG)]),""))</f>
        <v>0</v>
      </c>
      <c r="AT72" s="140"/>
      <c r="AU72" s="43" t="str">
        <f>IFERROR(_xlfn.XLOOKUP(Tableau1[[#This Row],[Isin]]&amp;1&amp;2020,#REF!,Tableau3[Résultat Net (PdG)]),"")</f>
        <v/>
      </c>
      <c r="AV72" s="43" t="str">
        <f>IFERROR(_xlfn.XLOOKUP(Tableau1[[#This Row],[Isin]]&amp;1&amp;2019,#REF!,Tableau3[Résultat Net (PdG)]),"")</f>
        <v/>
      </c>
      <c r="AW72" s="43" t="str">
        <f>IFERROR(_xlfn.XLOOKUP(Tableau1[[#This Row],[Isin]]&amp;1&amp;2018,#REF!,Tableau3[Résultat Net (PdG)]),"")</f>
        <v/>
      </c>
      <c r="AX72" s="43" t="str">
        <f>IFERROR(_xlfn.XLOOKUP(Tableau1[[#This Row],[Isin]]&amp;1&amp;2017,#REF!,Tableau3[Résultat Net (PdG)]),"")</f>
        <v/>
      </c>
      <c r="AY72" s="43" t="str">
        <f>IFERROR(_xlfn.XLOOKUP(Tableau1[[#This Row],[Isin]]&amp;1&amp;2016,#REF!,Tableau3[Résultat Net (PdG)]),"")</f>
        <v/>
      </c>
      <c r="AZ72" s="137" t="str">
        <f ca="1">IFERROR(Tableau1[[#This Row],[Capitalisation boursière]]/Tableau1[[#This Row],[RN Groupe 2023]],"")</f>
        <v/>
      </c>
      <c r="BA72" s="4" t="str" cm="1">
        <f t="array" aca="1" ref="BA72" ca="1">IFERROR(_FV(Tableau1[[#This Row],[Code Excel]],"Industrie"),"")</f>
        <v>Construction &amp; Engineering</v>
      </c>
      <c r="BB72" s="43" t="s">
        <v>3518</v>
      </c>
      <c r="BC72" s="43" t="str">
        <f>IFERROR(_xlfn.XLOOKUP(Tableau1[[#This Row],[Isin]]&amp;1&amp;2016,#REF!,Tableau3[Capi]),"")</f>
        <v/>
      </c>
      <c r="BD72" s="43" t="str">
        <f>IFERROR(_xlfn.XLOOKUP(Tableau1[[#This Row],[Isin]]&amp;1&amp;2017,#REF!,Tableau3[Capi]),"")</f>
        <v/>
      </c>
      <c r="BE72" s="43" t="str">
        <f>IFERROR(_xlfn.XLOOKUP(Tableau1[[#This Row],[Isin]]&amp;1&amp;2018,#REF!,Tableau3[Capi]),"")</f>
        <v/>
      </c>
      <c r="BF72" s="43" t="str">
        <f>IFERROR(_xlfn.XLOOKUP(Tableau1[[#This Row],[Isin]]&amp;1&amp;2019,#REF!,Tableau3[Capi]),"")</f>
        <v/>
      </c>
      <c r="BG72" s="43" t="str">
        <f>IFERROR(_xlfn.XLOOKUP(Tableau1[[#This Row],[Isin]]&amp;1&amp;2020,#REF!,Tableau3[Capi]),"")</f>
        <v/>
      </c>
      <c r="BH72" s="43">
        <f>IF(IFERROR(_xlfn.XLOOKUP(Tableau1[[#This Row],[Isin]]&amp;1&amp;2021,#REF!,Tableau3[Capi]),"")="",Tableau1[[#This Row],[Capitalisation 2021
Manuel]],IFERROR(_xlfn.XLOOKUP(Tableau1[[#This Row],[Isin]]&amp;1&amp;2021,#REF!,Tableau3[Capi]),""))</f>
        <v>0</v>
      </c>
      <c r="BI72" s="142"/>
      <c r="BJ72" s="141">
        <f>IF(IFERROR(_xlfn.XLOOKUP(Tableau1[[#This Row],[Isin]]&amp;1&amp;2022,#REF!,Tableau3[Capi]),"")="",Tableau1[[#This Row],[Capitalisation 2022
Manuel]],IFERROR(_xlfn.XLOOKUP(Tableau1[[#This Row],[Isin]]&amp;1&amp;2022,#REF!,Tableau3[Capi]),""))</f>
        <v>0</v>
      </c>
      <c r="BK72" s="142"/>
      <c r="BL72" s="43">
        <f ca="1">Tableau1[[#This Row],[Capitalisation boursière]]</f>
        <v>13987330000</v>
      </c>
      <c r="BM72" s="162" t="str" cm="1">
        <f t="array" aca="1" ref="BM72" ca="1">_FV(Tableau1[[#This Row],[Code Excel]],"Description")</f>
        <v>Bouygues sa est un groupe de services diversifiés basé en France. La Société exploite des activités telles que, la construction, les télécommunications, les médias et ainsi de suite Elle propose la construction et l'entretien d'infrastructures de transport, de loisirs et de développement urbain, des activités de construction et de travaux publics concernant les réseaux, le génie électrique et thermique, l'entretien d'installations et le développement immobilier. Il fournit la téléphonie mobile, la téléphonie fixe, l'accès à Internet, etc Il fournit une aide à la décision pertinente pour de nombreuses activités du Groupe. Par exemple, à partir de l'analyse des données physiques d'un site, de la réglementation et des facteurs environnementaux, l'intelligence artificielle permet d'optimiser le potentiel constructif d'un terrain et de faciliter les interactions entre les différents acteurs. un projet immobilier (promoteurs, architectes, bureaux d'études et communautés).</v>
      </c>
      <c r="BN72" s="43"/>
      <c r="BO72" s="43"/>
      <c r="BP72" s="43"/>
      <c r="BQ72" s="43"/>
      <c r="BR72" s="4"/>
      <c r="BS72" s="21"/>
      <c r="BT72" s="13"/>
      <c r="BU72" s="13"/>
      <c r="BV72" s="13"/>
      <c r="BW72" s="13"/>
      <c r="BX72" s="13"/>
      <c r="BZ72" s="47"/>
      <c r="CA72" s="47"/>
    </row>
    <row r="73" spans="3:80">
      <c r="C73" s="42"/>
      <c r="D73" s="42">
        <f>IF(Tableau1[[#This Row],[Isin]]="",99,Tableau1[[#This Row],[Intérêt]]+Tableau1[[#This Row],[Valeur d''intérêt]]+Tableau1[[#This Row],[N° Portefeuille]])</f>
        <v>30</v>
      </c>
      <c r="E73" s="42"/>
      <c r="F73" s="42">
        <f>IF(Tableau1[[#This Row],[Portefeuille]]="p",0,Tableau1[[#This Row],[F. Investissement
Niveau d''intérêt]]*10)</f>
        <v>30</v>
      </c>
      <c r="G73" s="42">
        <f>IF(Tableau1[[#This Row],[Portefeuille]]="p",3,0)</f>
        <v>0</v>
      </c>
      <c r="H73" s="42">
        <v>3</v>
      </c>
      <c r="I73" s="42">
        <v>4</v>
      </c>
      <c r="J73" s="42"/>
      <c r="K73" s="43"/>
      <c r="L73" s="16">
        <v>0</v>
      </c>
      <c r="M7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3" s="44" t="s">
        <v>3639</v>
      </c>
      <c r="O73" s="45"/>
      <c r="P73" s="4" t="s">
        <v>564</v>
      </c>
      <c r="Q73" s="4"/>
      <c r="R73" s="6"/>
      <c r="S73" s="6" t="s">
        <v>3640</v>
      </c>
      <c r="T73" s="6" t="e" vm="62">
        <v>#VALUE!</v>
      </c>
      <c r="U73" s="46" cm="1">
        <f t="array" aca="1" ref="U73" ca="1">IFERROR(_FV(Tableau1[[#This Row],[Code Excel]],"Capitalisation boursière",TRUE),"")</f>
        <v>8917240000</v>
      </c>
      <c r="V73" s="4" t="str" cm="1">
        <f t="array" aca="1" ref="V73" ca="1">IFERROR(_FV(Tableau1[[#This Row],[Code Excel]],"Industrie"),"")</f>
        <v>Chemicals</v>
      </c>
      <c r="W73" s="4" t="s">
        <v>2431</v>
      </c>
      <c r="X73" s="4" t="str">
        <f ca="1">Tableau1[[#This Row],[Grand Secteur]]&amp;Tableau1[[#This Row],[Industrie]]</f>
        <v>ChimieChemicals</v>
      </c>
      <c r="Y73" s="23" cm="1">
        <f t="array" aca="1" ref="Y73" ca="1">IFERROR(_FV(Tableau1[[#This Row],[Code Excel]],"P/E",TRUE),"")</f>
        <v>16.91</v>
      </c>
      <c r="Z73" s="43" cm="1">
        <f t="array" aca="1" ref="Z73" ca="1">IFERROR(_FV(Tableau1[[#This Row],[Code Excel]],"Employés"),"")</f>
        <v>18122</v>
      </c>
      <c r="AA73" s="46">
        <f ca="1">IFERROR(Tableau1[[#This Row],[Capitalisation boursière]]/Tableau1[[#This Row],[Employés]],"")</f>
        <v>492067.10076150537</v>
      </c>
      <c r="AB73" s="5" t="str">
        <f>IFERROR(Tableau1[[#This Row],[REX (2021)]]/Tableau1[[#This Row],[CA 2024]],"")</f>
        <v/>
      </c>
      <c r="AC73" s="9" t="str">
        <f>IFERROR(_xlfn.XLOOKUP(Tableau1[[#This Row],[Isin]]&amp;1&amp;2021,#REF!,Tableau3[Résultat d''exploitation]),"")</f>
        <v/>
      </c>
      <c r="AD73" s="9" t="str">
        <f>IFERROR(_xlfn.XLOOKUP(Tableau1[[#This Row],[Isin]]&amp;1&amp;2019,#REF!,Tableau3[Chiffre d''affaires]),"")</f>
        <v/>
      </c>
      <c r="AE73" s="9" t="str">
        <f>IFERROR(_xlfn.XLOOKUP(Tableau1[[#This Row],[Isin]]&amp;1&amp;2024,#REF!,Tableau3[Chiffre d''affaires]),"")</f>
        <v/>
      </c>
      <c r="AF73" s="8" t="str">
        <f>IFERROR(IF((Tableau1[[#This Row],[CA 2024]]-Tableau1[[#This Row],[CA 2019]])/Tableau1[[#This Row],[CA 2019]]=-1,"",(Tableau1[[#This Row],[CA 2024]]-Tableau1[[#This Row],[CA 2019]])/Tableau1[[#This Row],[CA 2019]]),"")</f>
        <v/>
      </c>
      <c r="AG73" s="9" t="str">
        <f>IFERROR(_xlfn.XLOOKUP(Tableau1[[#This Row],[Isin]]&amp;1&amp;2021,#REF!,Tableau3[EBE]),"")</f>
        <v/>
      </c>
      <c r="AH73" s="9" t="str">
        <f>IFERROR(_xlfn.XLOOKUP(Tableau1[[#This Row],[Isin]]&amp;1&amp;2022,#REF!,Tableau3[EBE]),"")</f>
        <v/>
      </c>
      <c r="AI73" s="43" t="s">
        <v>4329</v>
      </c>
      <c r="AJ73" s="43" t="s">
        <v>3150</v>
      </c>
      <c r="AK73" s="43" t="s">
        <v>3148</v>
      </c>
      <c r="AL73" s="43"/>
      <c r="AM73" s="43"/>
      <c r="AN73" s="9" t="str">
        <f>IFERROR(_xlfn.XLOOKUP(Tableau1[[#This Row],[Isin]]&amp;1&amp;2021,#REF!,Tableau3[Chiffre d''affaires]),"")</f>
        <v/>
      </c>
      <c r="AO73" s="43" cm="1">
        <f t="array" aca="1" ref="AO73" ca="1">_FV(Tableau1[[#This Row],[Code Excel]],"P/E",TRUE)</f>
        <v>16.91</v>
      </c>
      <c r="AP73" s="43" t="str">
        <f>IFERROR(_xlfn.XLOOKUP(Tableau1[[#This Row],[Isin]]&amp;1&amp;2023,#REF!,Tableau3[Résultat Net (PdG)]),"")</f>
        <v/>
      </c>
      <c r="AQ73" s="43">
        <f>IF(IFERROR(_xlfn.XLOOKUP(Tableau1[[#This Row],[Isin]]&amp;1&amp;2022,#REF!,Tableau3[Résultat Net (PdG)]),"")="",Tableau1[[#This Row],[RN Groupe 2022
Manuel]],IFERROR(_xlfn.XLOOKUP(Tableau1[[#This Row],[Isin]]&amp;1&amp;2022,#REF!,Tableau3[Résultat Net (PdG)]),""))</f>
        <v>0</v>
      </c>
      <c r="AR73" s="43"/>
      <c r="AS73" s="43">
        <f>IF(IFERROR(_xlfn.XLOOKUP(Tableau1[[#This Row],[Isin]]&amp;1&amp;2021,#REF!,Tableau3[Résultat Net (PdG)]),"")="",Tableau1[[#This Row],[RN Groupe 2021
Manuel]],IFERROR(_xlfn.XLOOKUP(Tableau1[[#This Row],[Isin]]&amp;1&amp;2021,#REF!,Tableau3[Résultat Net (PdG)]),""))</f>
        <v>0</v>
      </c>
      <c r="AT73" s="43"/>
      <c r="AU73" s="43" t="str">
        <f>IFERROR(_xlfn.XLOOKUP(Tableau1[[#This Row],[Isin]]&amp;1&amp;2020,#REF!,Tableau3[Résultat Net (PdG)]),"")</f>
        <v/>
      </c>
      <c r="AV73" s="43" t="str">
        <f>IFERROR(_xlfn.XLOOKUP(Tableau1[[#This Row],[Isin]]&amp;1&amp;2019,#REF!,Tableau3[Résultat Net (PdG)]),"")</f>
        <v/>
      </c>
      <c r="AW73" s="43" t="str">
        <f>IFERROR(_xlfn.XLOOKUP(Tableau1[[#This Row],[Isin]]&amp;1&amp;2018,#REF!,Tableau3[Résultat Net (PdG)]),"")</f>
        <v/>
      </c>
      <c r="AX73" s="43" t="str">
        <f>IFERROR(_xlfn.XLOOKUP(Tableau1[[#This Row],[Isin]]&amp;1&amp;2017,#REF!,Tableau3[Résultat Net (PdG)]),"")</f>
        <v/>
      </c>
      <c r="AY73" s="43" t="str">
        <f>IFERROR(_xlfn.XLOOKUP(Tableau1[[#This Row],[Isin]]&amp;1&amp;2016,#REF!,Tableau3[Résultat Net (PdG)]),"")</f>
        <v/>
      </c>
      <c r="AZ73" s="137" t="str">
        <f ca="1">IFERROR(Tableau1[[#This Row],[Capitalisation boursière]]/Tableau1[[#This Row],[RN Groupe 2023]],"")</f>
        <v/>
      </c>
      <c r="BA73" s="4" t="str" cm="1">
        <f t="array" aca="1" ref="BA73" ca="1">IFERROR(_FV(Tableau1[[#This Row],[Code Excel]],"Industrie"),"")</f>
        <v>Chemicals</v>
      </c>
      <c r="BB73" s="43" t="s">
        <v>3487</v>
      </c>
      <c r="BC73" s="43" t="str">
        <f>IFERROR(_xlfn.XLOOKUP(Tableau1[[#This Row],[Isin]]&amp;1&amp;2016,#REF!,Tableau3[Capi]),"")</f>
        <v/>
      </c>
      <c r="BD73" s="43" t="str">
        <f>IFERROR(_xlfn.XLOOKUP(Tableau1[[#This Row],[Isin]]&amp;1&amp;2017,#REF!,Tableau3[Capi]),"")</f>
        <v/>
      </c>
      <c r="BE73" s="43" t="str">
        <f>IFERROR(_xlfn.XLOOKUP(Tableau1[[#This Row],[Isin]]&amp;1&amp;2018,#REF!,Tableau3[Capi]),"")</f>
        <v/>
      </c>
      <c r="BF73" s="43" t="str">
        <f>IFERROR(_xlfn.XLOOKUP(Tableau1[[#This Row],[Isin]]&amp;1&amp;2019,#REF!,Tableau3[Capi]),"")</f>
        <v/>
      </c>
      <c r="BG73" s="43" t="str">
        <f>IFERROR(_xlfn.XLOOKUP(Tableau1[[#This Row],[Isin]]&amp;1&amp;2020,#REF!,Tableau3[Capi]),"")</f>
        <v/>
      </c>
      <c r="BH73" s="43">
        <f>IF(IFERROR(_xlfn.XLOOKUP(Tableau1[[#This Row],[Isin]]&amp;1&amp;2021,#REF!,Tableau3[Capi]),"")="",Tableau1[[#This Row],[Capitalisation 2021
Manuel]],IFERROR(_xlfn.XLOOKUP(Tableau1[[#This Row],[Isin]]&amp;1&amp;2021,#REF!,Tableau3[Capi]),""))</f>
        <v>0</v>
      </c>
      <c r="BI73" s="43"/>
      <c r="BJ73" s="43">
        <f>IF(IFERROR(_xlfn.XLOOKUP(Tableau1[[#This Row],[Isin]]&amp;1&amp;2022,#REF!,Tableau3[Capi]),"")="",Tableau1[[#This Row],[Capitalisation 2022
Manuel]],IFERROR(_xlfn.XLOOKUP(Tableau1[[#This Row],[Isin]]&amp;1&amp;2022,#REF!,Tableau3[Capi]),""))</f>
        <v>0</v>
      </c>
      <c r="BK73" s="43"/>
      <c r="BL73" s="43">
        <f ca="1">Tableau1[[#This Row],[Capitalisation boursière]]</f>
        <v>8917240000</v>
      </c>
      <c r="BM73" s="162" t="str" cm="1">
        <f t="array" aca="1" ref="BM73" ca="1">_FV(Tableau1[[#This Row],[Code Excel]],"Description")</f>
        <v>Brenntag se est une société allemande active dans les domaines de la distribution de produits chimiques et d'ingrédients. La Société offre une large gamme de produits comprenant plus de 20 000 produits chimiques et ingrédients ainsi que des services tels que la livraison juste à temps, le mélange de produits, le reconditionnement, la gestion des stocks et la manutention des retours de fûts. Elle propose également des solutions sur mesure pour les applications, le marketing et la chaîne logistique, un support technique et de formulation, un savoir-faire réglementaire complet et des solutions numériques telles que des canaux de vente numériques et des plateformes de produits. La Société gère ses activités à travers deux divisions mondiales : Brenntag Specialties se concentre sur la vente d'ingrédients et de services à valeur ajoutée, et elle se concentre sur les industries Nutrition, Pharma, soins personnels / maison, industriel et institutionnel, Science des matériaux (revêtements et construction, polymères, caoutchouc), traitement de l'eau et lubrifiants. Brenntag Essentials commercialise un large portefeuille de produits chimiques de traitement pour un grand nombre d'industries et d'applications.</v>
      </c>
      <c r="BN73" s="43"/>
      <c r="BO73" s="43"/>
      <c r="BP73" s="43"/>
      <c r="BQ73" s="43"/>
      <c r="BR73" s="4"/>
      <c r="BS73" s="21"/>
      <c r="BT73" s="13"/>
      <c r="BU73" s="13"/>
      <c r="BV73" s="13"/>
      <c r="BW73" s="13"/>
      <c r="BX73" s="13"/>
      <c r="BZ73" s="47"/>
      <c r="CA73" s="47"/>
    </row>
    <row r="74" spans="3:80">
      <c r="C74" s="43"/>
      <c r="D74" s="42">
        <f>IF(Tableau1[[#This Row],[Isin]]="",99,Tableau1[[#This Row],[Intérêt]]+Tableau1[[#This Row],[Valeur d''intérêt]]+Tableau1[[#This Row],[N° Portefeuille]])</f>
        <v>30</v>
      </c>
      <c r="E74" s="43"/>
      <c r="F74" s="42">
        <f>IF(Tableau1[[#This Row],[Portefeuille]]="p",0,Tableau1[[#This Row],[F. Investissement
Niveau d''intérêt]]*10)</f>
        <v>30</v>
      </c>
      <c r="G74" s="43">
        <f>IF(Tableau1[[#This Row],[Portefeuille]]="p",3,0)</f>
        <v>0</v>
      </c>
      <c r="H74" s="43">
        <v>3</v>
      </c>
      <c r="I74" s="43">
        <v>4</v>
      </c>
      <c r="J74" s="43"/>
      <c r="K74" s="43"/>
      <c r="L74" s="16"/>
      <c r="M7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4" s="44" t="s">
        <v>3642</v>
      </c>
      <c r="O74" s="45"/>
      <c r="P74" s="4"/>
      <c r="Q74" s="4"/>
      <c r="R74" s="6"/>
      <c r="S74" s="6" t="s">
        <v>3643</v>
      </c>
      <c r="T74" s="6" t="e" vm="63">
        <v>#VALUE!</v>
      </c>
      <c r="U74" s="46" cm="1">
        <f t="array" aca="1" ref="U74" ca="1">IFERROR(_FV(Tableau1[[#This Row],[Code Excel]],"Capitalisation boursière",TRUE),"")</f>
        <v>2793707000</v>
      </c>
      <c r="V74" s="4" t="str" cm="1">
        <f t="array" aca="1" ref="V74" ca="1">IFERROR(_FV(Tableau1[[#This Row],[Code Excel]],"Industrie"),"")</f>
        <v>Investment Banking &amp; Investment Services</v>
      </c>
      <c r="W74" s="4"/>
      <c r="X74" s="4" t="str">
        <f ca="1">Tableau1[[#This Row],[Grand Secteur]]&amp;Tableau1[[#This Row],[Industrie]]</f>
        <v>Investment Banking &amp; Investment Services</v>
      </c>
      <c r="Y74" s="23" cm="1">
        <f t="array" aca="1" ref="Y74" ca="1">IFERROR(_FV(Tableau1[[#This Row],[Code Excel]],"P/E",TRUE),"")</f>
        <v>44.177500000000002</v>
      </c>
      <c r="Z74" s="43" cm="1">
        <f t="array" aca="1" ref="Z74" ca="1">IFERROR(_FV(Tableau1[[#This Row],[Code Excel]],"Employés"),"")</f>
        <v>513</v>
      </c>
      <c r="AA74" s="46">
        <f ca="1">IFERROR(Tableau1[[#This Row],[Capitalisation boursière]]/Tableau1[[#This Row],[Employés]],"")</f>
        <v>5445822.6120857699</v>
      </c>
      <c r="AB74" s="5" t="str">
        <f>IFERROR(Tableau1[[#This Row],[REX (2021)]]/Tableau1[[#This Row],[CA 2024]],"")</f>
        <v/>
      </c>
      <c r="AC74" s="9" t="str">
        <f>IFERROR(_xlfn.XLOOKUP(Tableau1[[#This Row],[Isin]]&amp;1&amp;2021,#REF!,Tableau3[Résultat d''exploitation]),"")</f>
        <v/>
      </c>
      <c r="AD74" s="9" t="str">
        <f>IFERROR(_xlfn.XLOOKUP(Tableau1[[#This Row],[Isin]]&amp;1&amp;2019,#REF!,Tableau3[Chiffre d''affaires]),"")</f>
        <v/>
      </c>
      <c r="AE74" s="9" t="str">
        <f>IFERROR(_xlfn.XLOOKUP(Tableau1[[#This Row],[Isin]]&amp;1&amp;2024,#REF!,Tableau3[Chiffre d''affaires]),"")</f>
        <v/>
      </c>
      <c r="AF74" s="8" t="str">
        <f>IFERROR(IF((Tableau1[[#This Row],[CA 2024]]-Tableau1[[#This Row],[CA 2019]])/Tableau1[[#This Row],[CA 2019]]=-1,"",(Tableau1[[#This Row],[CA 2024]]-Tableau1[[#This Row],[CA 2019]])/Tableau1[[#This Row],[CA 2019]]),"")</f>
        <v/>
      </c>
      <c r="AG74" s="9" t="str">
        <f>IFERROR(_xlfn.XLOOKUP(Tableau1[[#This Row],[Isin]]&amp;1&amp;2021,#REF!,Tableau3[EBE]),"")</f>
        <v/>
      </c>
      <c r="AH74" s="9" t="str">
        <f>IFERROR(_xlfn.XLOOKUP(Tableau1[[#This Row],[Isin]]&amp;1&amp;2022,#REF!,Tableau3[EBE]),"")</f>
        <v/>
      </c>
      <c r="AI74" s="43"/>
      <c r="AJ74" s="43"/>
      <c r="AK74" s="43"/>
      <c r="AL74" s="43"/>
      <c r="AM74" s="43"/>
      <c r="AN74" s="9" t="str">
        <f>IFERROR(_xlfn.XLOOKUP(Tableau1[[#This Row],[Isin]]&amp;1&amp;2021,#REF!,Tableau3[Chiffre d''affaires]),"")</f>
        <v/>
      </c>
      <c r="AO74" s="43" cm="1">
        <f t="array" aca="1" ref="AO74" ca="1">_FV(Tableau1[[#This Row],[Code Excel]],"P/E",TRUE)</f>
        <v>44.177500000000002</v>
      </c>
      <c r="AP74" s="43" t="str">
        <f>IFERROR(_xlfn.XLOOKUP(Tableau1[[#This Row],[Isin]]&amp;1&amp;2023,#REF!,Tableau3[Résultat Net (PdG)]),"")</f>
        <v/>
      </c>
      <c r="AQ74" s="43">
        <f>IF(IFERROR(_xlfn.XLOOKUP(Tableau1[[#This Row],[Isin]]&amp;1&amp;2022,#REF!,Tableau3[Résultat Net (PdG)]),"")="",Tableau1[[#This Row],[RN Groupe 2022
Manuel]],IFERROR(_xlfn.XLOOKUP(Tableau1[[#This Row],[Isin]]&amp;1&amp;2022,#REF!,Tableau3[Résultat Net (PdG)]),""))</f>
        <v>0</v>
      </c>
      <c r="AR74" s="43"/>
      <c r="AS74" s="43">
        <f>IF(IFERROR(_xlfn.XLOOKUP(Tableau1[[#This Row],[Isin]]&amp;1&amp;2021,#REF!,Tableau3[Résultat Net (PdG)]),"")="",Tableau1[[#This Row],[RN Groupe 2021
Manuel]],IFERROR(_xlfn.XLOOKUP(Tableau1[[#This Row],[Isin]]&amp;1&amp;2021,#REF!,Tableau3[Résultat Net (PdG)]),""))</f>
        <v>0</v>
      </c>
      <c r="AT74" s="43"/>
      <c r="AU74" s="43" t="str">
        <f>IFERROR(_xlfn.XLOOKUP(Tableau1[[#This Row],[Isin]]&amp;1&amp;2020,#REF!,Tableau3[Résultat Net (PdG)]),"")</f>
        <v/>
      </c>
      <c r="AV74" s="43" t="str">
        <f>IFERROR(_xlfn.XLOOKUP(Tableau1[[#This Row],[Isin]]&amp;1&amp;2019,#REF!,Tableau3[Résultat Net (PdG)]),"")</f>
        <v/>
      </c>
      <c r="AW74" s="43" t="str">
        <f>IFERROR(_xlfn.XLOOKUP(Tableau1[[#This Row],[Isin]]&amp;1&amp;2018,#REF!,Tableau3[Résultat Net (PdG)]),"")</f>
        <v/>
      </c>
      <c r="AX74" s="43" t="str">
        <f>IFERROR(_xlfn.XLOOKUP(Tableau1[[#This Row],[Isin]]&amp;1&amp;2017,#REF!,Tableau3[Résultat Net (PdG)]),"")</f>
        <v/>
      </c>
      <c r="AY74" s="43" t="str">
        <f>IFERROR(_xlfn.XLOOKUP(Tableau1[[#This Row],[Isin]]&amp;1&amp;2016,#REF!,Tableau3[Résultat Net (PdG)]),"")</f>
        <v/>
      </c>
      <c r="AZ74" s="137" t="str">
        <f ca="1">IFERROR(Tableau1[[#This Row],[Capitalisation boursière]]/Tableau1[[#This Row],[RN Groupe 2023]],"")</f>
        <v/>
      </c>
      <c r="BA74" s="4" t="str" cm="1">
        <f t="array" aca="1" ref="BA74" ca="1">IFERROR(_FV(Tableau1[[#This Row],[Code Excel]],"Industrie"),"")</f>
        <v>Investment Banking &amp; Investment Services</v>
      </c>
      <c r="BB74" s="43">
        <v>0</v>
      </c>
      <c r="BC74" s="43" t="str">
        <f>IFERROR(_xlfn.XLOOKUP(Tableau1[[#This Row],[Isin]]&amp;1&amp;2016,#REF!,Tableau3[Capi]),"")</f>
        <v/>
      </c>
      <c r="BD74" s="43" t="str">
        <f>IFERROR(_xlfn.XLOOKUP(Tableau1[[#This Row],[Isin]]&amp;1&amp;2017,#REF!,Tableau3[Capi]),"")</f>
        <v/>
      </c>
      <c r="BE74" s="43" t="str">
        <f>IFERROR(_xlfn.XLOOKUP(Tableau1[[#This Row],[Isin]]&amp;1&amp;2018,#REF!,Tableau3[Capi]),"")</f>
        <v/>
      </c>
      <c r="BF74" s="43" t="str">
        <f>IFERROR(_xlfn.XLOOKUP(Tableau1[[#This Row],[Isin]]&amp;1&amp;2019,#REF!,Tableau3[Capi]),"")</f>
        <v/>
      </c>
      <c r="BG74" s="43" t="str">
        <f>IFERROR(_xlfn.XLOOKUP(Tableau1[[#This Row],[Isin]]&amp;1&amp;2020,#REF!,Tableau3[Capi]),"")</f>
        <v/>
      </c>
      <c r="BH74" s="43">
        <f>IF(IFERROR(_xlfn.XLOOKUP(Tableau1[[#This Row],[Isin]]&amp;1&amp;2021,#REF!,Tableau3[Capi]),"")="",Tableau1[[#This Row],[Capitalisation 2021
Manuel]],IFERROR(_xlfn.XLOOKUP(Tableau1[[#This Row],[Isin]]&amp;1&amp;2021,#REF!,Tableau3[Capi]),""))</f>
        <v>0</v>
      </c>
      <c r="BI74" s="43"/>
      <c r="BJ74" s="43">
        <f>IF(IFERROR(_xlfn.XLOOKUP(Tableau1[[#This Row],[Isin]]&amp;1&amp;2022,#REF!,Tableau3[Capi]),"")="",Tableau1[[#This Row],[Capitalisation 2022
Manuel]],IFERROR(_xlfn.XLOOKUP(Tableau1[[#This Row],[Isin]]&amp;1&amp;2022,#REF!,Tableau3[Capi]),""))</f>
        <v>0</v>
      </c>
      <c r="BK74" s="43"/>
      <c r="BL74" s="43">
        <f ca="1">Tableau1[[#This Row],[Capitalisation boursière]]</f>
        <v>2793707000</v>
      </c>
      <c r="BM74" s="162" t="str" cm="1">
        <f t="array" aca="1" ref="BM74" ca="1">_FV(Tableau1[[#This Row],[Code Excel]],"Description")</f>
        <v>Bridgepoint Group plc est un gestionnaire de fonds de capital-investissement et de crédit basé au Royaume-Uni. Il se concentre sur l'investissement dans les entreprises du marché intermédiaire via quatre stratégies de fonds distinctes. La stratégie Middle Market est mise en œuvre via son fonds phare de rachat, qui investit dans des entreprises généralement évaluées entre 250 millions d'euros et un milliard d'euros. La stratégie Small Mid Cap est mise en œuvre via Bridgepoint Development Capital, qui se concentre sur l'investissement dans les petites entreprises de taille intermédiaire d'une valeur pouvant atteindre 200 millions de livres sterling. La stratégie Small Cap est mise en œuvre via Bridgepoint Growth, qui se concentre sur les entreprises qui utilisent les technologies numériques pour réaliser une croissance transformationnelle sur leurs marchés finaux, recherchant généralement des investissements en actions de 5 à 20 millions de livres sterling. La stratégie de crédit est mise en œuvre via Bridgepoint Credit, sa plateforme de crédit privé qui investit dans la structure du capital et le spectre risque-récompense à travers trois stratégies complémentaires de dette syndiquée, de prêt direct et d'opportunités de crédit.</v>
      </c>
      <c r="BN74" s="43"/>
      <c r="BO74" s="43"/>
      <c r="BP74" s="43"/>
      <c r="BQ74" s="43"/>
      <c r="BR74" s="4"/>
      <c r="BS74" s="21"/>
      <c r="BT74" s="13"/>
      <c r="BU74" s="13"/>
      <c r="BV74" s="13"/>
      <c r="BW74" s="13"/>
      <c r="BX74" s="13"/>
      <c r="BZ74" s="57"/>
      <c r="CA74" s="47"/>
    </row>
    <row r="75" spans="3:80">
      <c r="C75" s="43"/>
      <c r="D75" s="42">
        <f>IF(Tableau1[[#This Row],[Isin]]="",99,Tableau1[[#This Row],[Intérêt]]+Tableau1[[#This Row],[Valeur d''intérêt]]+Tableau1[[#This Row],[N° Portefeuille]])</f>
        <v>30</v>
      </c>
      <c r="E75" s="43"/>
      <c r="F75" s="42">
        <f>IF(Tableau1[[#This Row],[Portefeuille]]="p",0,Tableau1[[#This Row],[F. Investissement
Niveau d''intérêt]]*10)</f>
        <v>30</v>
      </c>
      <c r="G75" s="43">
        <f>IF(Tableau1[[#This Row],[Portefeuille]]="p",3,0)</f>
        <v>0</v>
      </c>
      <c r="H75" s="42">
        <v>3</v>
      </c>
      <c r="I75" s="43">
        <v>4</v>
      </c>
      <c r="J75" s="43"/>
      <c r="K75" s="43"/>
      <c r="L75" s="16">
        <v>1</v>
      </c>
      <c r="M7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5" s="44" t="s">
        <v>3645</v>
      </c>
      <c r="O75" s="44" t="s">
        <v>4360</v>
      </c>
      <c r="P75" s="4" t="s">
        <v>47</v>
      </c>
      <c r="Q75" s="6" t="s">
        <v>48</v>
      </c>
      <c r="R75" s="6"/>
      <c r="S75" s="6" t="s">
        <v>1757</v>
      </c>
      <c r="T75" s="6" t="e" vm="64">
        <v>#VALUE!</v>
      </c>
      <c r="U75" s="55" cm="1">
        <f t="array" aca="1" ref="U75" ca="1">IFERROR(_FV(Tableau1[[#This Row],[Code Excel]],"Capitalisation boursière",TRUE),"")</f>
        <v>16458650000</v>
      </c>
      <c r="V75" s="4" t="str" cm="1">
        <f t="array" aca="1" ref="V75" ca="1">IFERROR(_FV(Tableau1[[#This Row],[Code Excel]],"Industrie"),"")</f>
        <v>Telecommunications Services</v>
      </c>
      <c r="W75" s="4" t="s">
        <v>1737</v>
      </c>
      <c r="X75" s="4" t="str">
        <f ca="1">Tableau1[[#This Row],[Grand Secteur]]&amp;Tableau1[[#This Row],[Industrie]]</f>
        <v>TélécommunicationTelecommunications Services</v>
      </c>
      <c r="Y75" s="23" cm="1">
        <f t="array" aca="1" ref="Y75" ca="1">IFERROR(_FV(Tableau1[[#This Row],[Code Excel]],"P/E",TRUE),"")</f>
        <v>20.897600000000001</v>
      </c>
      <c r="Z75" s="43" cm="1">
        <f t="array" aca="1" ref="Z75" ca="1">IFERROR(_FV(Tableau1[[#This Row],[Code Excel]],"Employés"),"")</f>
        <v>91700</v>
      </c>
      <c r="AA75" s="49">
        <f ca="1">IFERROR(Tableau1[[#This Row],[Capitalisation boursière]]/Tableau1[[#This Row],[Employés]],"")</f>
        <v>179483.64231188659</v>
      </c>
      <c r="AB75" s="5" t="str">
        <f>IFERROR(Tableau1[[#This Row],[REX (2021)]]/Tableau1[[#This Row],[CA 2024]],"")</f>
        <v/>
      </c>
      <c r="AC75" s="9" t="str">
        <f>IFERROR(_xlfn.XLOOKUP(Tableau1[[#This Row],[Isin]]&amp;1&amp;2021,#REF!,Tableau3[Résultat d''exploitation]),"")</f>
        <v/>
      </c>
      <c r="AD75" s="9" t="str">
        <f>IFERROR(_xlfn.XLOOKUP(Tableau1[[#This Row],[Isin]]&amp;1&amp;2019,#REF!,Tableau3[Chiffre d''affaires]),"")</f>
        <v/>
      </c>
      <c r="AE75" s="9" t="str">
        <f>IFERROR(_xlfn.XLOOKUP(Tableau1[[#This Row],[Isin]]&amp;1&amp;2024,#REF!,Tableau3[Chiffre d''affaires]),"")</f>
        <v/>
      </c>
      <c r="AF75" s="8" t="str">
        <f>IFERROR(IF((Tableau1[[#This Row],[CA 2024]]-Tableau1[[#This Row],[CA 2019]])/Tableau1[[#This Row],[CA 2019]]=-1,"",(Tableau1[[#This Row],[CA 2024]]-Tableau1[[#This Row],[CA 2019]])/Tableau1[[#This Row],[CA 2019]]),"")</f>
        <v/>
      </c>
      <c r="AG75" s="9" t="str">
        <f>IFERROR(_xlfn.XLOOKUP(Tableau1[[#This Row],[Isin]]&amp;1&amp;2021,#REF!,Tableau3[EBE]),"")</f>
        <v/>
      </c>
      <c r="AH75" s="9" t="str">
        <f>IFERROR(_xlfn.XLOOKUP(Tableau1[[#This Row],[Isin]]&amp;1&amp;2022,#REF!,Tableau3[EBE]),"")</f>
        <v/>
      </c>
      <c r="AI75" s="43" t="s">
        <v>4343</v>
      </c>
      <c r="AJ75" s="43" t="s">
        <v>3150</v>
      </c>
      <c r="AK75" s="43" t="s">
        <v>3149</v>
      </c>
      <c r="AL75" s="43" t="s">
        <v>3149</v>
      </c>
      <c r="AM75" s="43"/>
      <c r="AN75" s="9" t="str">
        <f>IFERROR(_xlfn.XLOOKUP(Tableau1[[#This Row],[Isin]]&amp;1&amp;2021,#REF!,Tableau3[Chiffre d''affaires]),"")</f>
        <v/>
      </c>
      <c r="AO75" s="43" cm="1">
        <f t="array" aca="1" ref="AO75" ca="1">_FV(Tableau1[[#This Row],[Code Excel]],"P/E",TRUE)</f>
        <v>20.897600000000001</v>
      </c>
      <c r="AP75" s="43" t="str">
        <f>IFERROR(_xlfn.XLOOKUP(Tableau1[[#This Row],[Isin]]&amp;1&amp;2023,#REF!,Tableau3[Résultat Net (PdG)]),"")</f>
        <v/>
      </c>
      <c r="AQ75" s="43">
        <f>IF(IFERROR(_xlfn.XLOOKUP(Tableau1[[#This Row],[Isin]]&amp;1&amp;2022,#REF!,Tableau3[Résultat Net (PdG)]),"")="",Tableau1[[#This Row],[RN Groupe 2022
Manuel]],IFERROR(_xlfn.XLOOKUP(Tableau1[[#This Row],[Isin]]&amp;1&amp;2022,#REF!,Tableau3[Résultat Net (PdG)]),""))</f>
        <v>0</v>
      </c>
      <c r="AR75" s="43"/>
      <c r="AS75" s="43">
        <f>IF(IFERROR(_xlfn.XLOOKUP(Tableau1[[#This Row],[Isin]]&amp;1&amp;2021,#REF!,Tableau3[Résultat Net (PdG)]),"")="",Tableau1[[#This Row],[RN Groupe 2021
Manuel]],IFERROR(_xlfn.XLOOKUP(Tableau1[[#This Row],[Isin]]&amp;1&amp;2021,#REF!,Tableau3[Résultat Net (PdG)]),""))</f>
        <v>0</v>
      </c>
      <c r="AT75" s="43"/>
      <c r="AU75" s="43" t="str">
        <f>IFERROR(_xlfn.XLOOKUP(Tableau1[[#This Row],[Isin]]&amp;1&amp;2020,#REF!,Tableau3[Résultat Net (PdG)]),"")</f>
        <v/>
      </c>
      <c r="AV75" s="43" t="str">
        <f>IFERROR(_xlfn.XLOOKUP(Tableau1[[#This Row],[Isin]]&amp;1&amp;2019,#REF!,Tableau3[Résultat Net (PdG)]),"")</f>
        <v/>
      </c>
      <c r="AW75" s="43" t="str">
        <f>IFERROR(_xlfn.XLOOKUP(Tableau1[[#This Row],[Isin]]&amp;1&amp;2018,#REF!,Tableau3[Résultat Net (PdG)]),"")</f>
        <v/>
      </c>
      <c r="AX75" s="43" t="str">
        <f>IFERROR(_xlfn.XLOOKUP(Tableau1[[#This Row],[Isin]]&amp;1&amp;2017,#REF!,Tableau3[Résultat Net (PdG)]),"")</f>
        <v/>
      </c>
      <c r="AY75" s="43" t="str">
        <f>IFERROR(_xlfn.XLOOKUP(Tableau1[[#This Row],[Isin]]&amp;1&amp;2016,#REF!,Tableau3[Résultat Net (PdG)]),"")</f>
        <v/>
      </c>
      <c r="AZ75" s="137" t="str">
        <f ca="1">IFERROR(Tableau1[[#This Row],[Capitalisation boursière]]/Tableau1[[#This Row],[RN Groupe 2023]],"")</f>
        <v/>
      </c>
      <c r="BA75" s="4" t="str" cm="1">
        <f t="array" aca="1" ref="BA75" ca="1">IFERROR(_FV(Tableau1[[#This Row],[Code Excel]],"Industrie"),"")</f>
        <v>Telecommunications Services</v>
      </c>
      <c r="BB75" s="43" t="e">
        <v>#N/A</v>
      </c>
      <c r="BC75" s="43" t="str">
        <f>IFERROR(_xlfn.XLOOKUP(Tableau1[[#This Row],[Isin]]&amp;1&amp;2016,#REF!,Tableau3[Capi]),"")</f>
        <v/>
      </c>
      <c r="BD75" s="43" t="str">
        <f>IFERROR(_xlfn.XLOOKUP(Tableau1[[#This Row],[Isin]]&amp;1&amp;2017,#REF!,Tableau3[Capi]),"")</f>
        <v/>
      </c>
      <c r="BE75" s="43" t="str">
        <f>IFERROR(_xlfn.XLOOKUP(Tableau1[[#This Row],[Isin]]&amp;1&amp;2018,#REF!,Tableau3[Capi]),"")</f>
        <v/>
      </c>
      <c r="BF75" s="43" t="str">
        <f>IFERROR(_xlfn.XLOOKUP(Tableau1[[#This Row],[Isin]]&amp;1&amp;2019,#REF!,Tableau3[Capi]),"")</f>
        <v/>
      </c>
      <c r="BG75" s="43" t="str">
        <f>IFERROR(_xlfn.XLOOKUP(Tableau1[[#This Row],[Isin]]&amp;1&amp;2020,#REF!,Tableau3[Capi]),"")</f>
        <v/>
      </c>
      <c r="BH75" s="43">
        <f>IF(IFERROR(_xlfn.XLOOKUP(Tableau1[[#This Row],[Isin]]&amp;1&amp;2021,#REF!,Tableau3[Capi]),"")="",Tableau1[[#This Row],[Capitalisation 2021
Manuel]],IFERROR(_xlfn.XLOOKUP(Tableau1[[#This Row],[Isin]]&amp;1&amp;2021,#REF!,Tableau3[Capi]),""))</f>
        <v>0</v>
      </c>
      <c r="BI75" s="43"/>
      <c r="BJ75" s="43">
        <f>IF(IFERROR(_xlfn.XLOOKUP(Tableau1[[#This Row],[Isin]]&amp;1&amp;2022,#REF!,Tableau3[Capi]),"")="",Tableau1[[#This Row],[Capitalisation 2022
Manuel]],IFERROR(_xlfn.XLOOKUP(Tableau1[[#This Row],[Isin]]&amp;1&amp;2022,#REF!,Tableau3[Capi]),""))</f>
        <v>0</v>
      </c>
      <c r="BK75" s="43"/>
      <c r="BL75" s="43">
        <f ca="1">Tableau1[[#This Row],[Capitalisation boursière]]</f>
        <v>16458650000</v>
      </c>
      <c r="BM75" s="162" t="str" cm="1">
        <f t="array" aca="1" ref="BM75" ca="1">_FV(Tableau1[[#This Row],[Code Excel]],"Description")</f>
        <v>BT Group plc est un fournisseur britannique de télécommunications fixes et mobiles et de produits, solutions et services numériques sécurisés connexes. La Société fournit également des services gérés de télécommunications, de sécurité et d'infrastructure de réseau et de technologie de l'information (TI) à des clients répartis dans 180 pays. La Société se compose de trois unités orientées client : Consumer, Business et Openreach. L'unité Consumer dessert les particuliers et les familles au Royaume-Uni. La Business Unit couvre les entreprises et les services publics au Royaume-Uni et à l'international. L'unité Openreach est une filiale indépendante, détenue à 100 %, qui vend en gros des services d'infrastructure d'accès fixe à ses clients plus de 650 fournisseurs de communications à travers le Royaume-Uni. British Telecommunications plc est une filiale en propriété exclusive de la Société et englobe pratiquement toutes les activités et tous les actifs de la Société. Ses unités technologiques construisent, entretiennent et gèrent ses actifs numériques et réseau.</v>
      </c>
      <c r="BN75" s="43"/>
      <c r="BO75" s="43"/>
      <c r="BP75" s="43"/>
      <c r="BQ75" s="43"/>
      <c r="BR75" s="4"/>
      <c r="BS75" s="21"/>
      <c r="BT75" s="13"/>
      <c r="BU75" s="13"/>
      <c r="BV75" s="13"/>
      <c r="BW75" s="13"/>
      <c r="BX75" s="13"/>
      <c r="BZ75" s="47"/>
      <c r="CA75" s="47"/>
    </row>
    <row r="76" spans="3:80">
      <c r="C76" s="42"/>
      <c r="D76" s="42">
        <f>IF(Tableau1[[#This Row],[Isin]]="",99,Tableau1[[#This Row],[Intérêt]]+Tableau1[[#This Row],[Valeur d''intérêt]]+Tableau1[[#This Row],[N° Portefeuille]])</f>
        <v>20</v>
      </c>
      <c r="E76" s="42"/>
      <c r="F76" s="42">
        <f>IF(Tableau1[[#This Row],[Portefeuille]]="p",0,Tableau1[[#This Row],[F. Investissement
Niveau d''intérêt]]*10)</f>
        <v>20</v>
      </c>
      <c r="G76" s="42">
        <f>IF(Tableau1[[#This Row],[Portefeuille]]="p",3,0)</f>
        <v>0</v>
      </c>
      <c r="H76" s="42">
        <v>2</v>
      </c>
      <c r="I76" s="42">
        <v>2</v>
      </c>
      <c r="J76" s="42"/>
      <c r="K76" s="43"/>
      <c r="L76" s="16">
        <v>1</v>
      </c>
      <c r="M7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6" s="44" t="s">
        <v>3648</v>
      </c>
      <c r="O76" s="44" t="s">
        <v>2792</v>
      </c>
      <c r="P76" s="4" t="s">
        <v>84</v>
      </c>
      <c r="Q76" s="6" t="s">
        <v>85</v>
      </c>
      <c r="R76" s="6"/>
      <c r="S76" s="6" t="s">
        <v>2794</v>
      </c>
      <c r="T76" s="6" t="e" vm="65">
        <v>#VALUE!</v>
      </c>
      <c r="U76" s="46" cm="1">
        <f t="array" aca="1" ref="U76" ca="1">IFERROR(_FV(Tableau1[[#This Row],[Code Excel]],"Capitalisation boursière",TRUE),"")</f>
        <v>12799180000</v>
      </c>
      <c r="V76" s="4" t="str" cm="1">
        <f t="array" aca="1" ref="V76" ca="1">IFERROR(_FV(Tableau1[[#This Row],[Code Excel]],"Industrie"),"")</f>
        <v>Professional &amp; Commercial Services</v>
      </c>
      <c r="W76" s="4" t="s">
        <v>2918</v>
      </c>
      <c r="X76" s="4" t="str">
        <f ca="1">Tableau1[[#This Row],[Grand Secteur]]&amp;Tableau1[[#This Row],[Industrie]]</f>
        <v>B to BProfessional &amp; Commercial Services</v>
      </c>
      <c r="Y76" s="23" cm="1">
        <f t="array" aca="1" ref="Y76" ca="1">IFERROR(_FV(Tableau1[[#This Row],[Code Excel]],"P/E",TRUE),"")</f>
        <v>22.034400000000002</v>
      </c>
      <c r="Z76" s="43" cm="1">
        <f t="array" aca="1" ref="Z76" ca="1">IFERROR(_FV(Tableau1[[#This Row],[Code Excel]],"Employés"),"")</f>
        <v>84245</v>
      </c>
      <c r="AA76" s="46">
        <f ca="1">IFERROR(Tableau1[[#This Row],[Capitalisation boursière]]/Tableau1[[#This Row],[Employés]],"")</f>
        <v>151928.06694759332</v>
      </c>
      <c r="AB76" s="5" t="str">
        <f>IFERROR(Tableau1[[#This Row],[REX (2021)]]/Tableau1[[#This Row],[CA 2024]],"")</f>
        <v/>
      </c>
      <c r="AC76" s="9" t="str">
        <f>IFERROR(_xlfn.XLOOKUP(Tableau1[[#This Row],[Isin]]&amp;1&amp;2021,#REF!,Tableau3[Résultat d''exploitation]),"")</f>
        <v/>
      </c>
      <c r="AD76" s="9" t="str">
        <f>IFERROR(_xlfn.XLOOKUP(Tableau1[[#This Row],[Isin]]&amp;1&amp;2019,#REF!,Tableau3[Chiffre d''affaires]),"")</f>
        <v/>
      </c>
      <c r="AE76" s="9" t="str">
        <f>IFERROR(_xlfn.XLOOKUP(Tableau1[[#This Row],[Isin]]&amp;1&amp;2024,#REF!,Tableau3[Chiffre d''affaires]),"")</f>
        <v/>
      </c>
      <c r="AF76" s="8" t="str">
        <f>IFERROR(IF((Tableau1[[#This Row],[CA 2024]]-Tableau1[[#This Row],[CA 2019]])/Tableau1[[#This Row],[CA 2019]]=-1,"",(Tableau1[[#This Row],[CA 2024]]-Tableau1[[#This Row],[CA 2019]])/Tableau1[[#This Row],[CA 2019]]),"")</f>
        <v/>
      </c>
      <c r="AG76" s="9" t="str">
        <f>IFERROR(_xlfn.XLOOKUP(Tableau1[[#This Row],[Isin]]&amp;1&amp;2021,#REF!,Tableau3[EBE]),"")</f>
        <v/>
      </c>
      <c r="AH76" s="9" t="str">
        <f>IFERROR(_xlfn.XLOOKUP(Tableau1[[#This Row],[Isin]]&amp;1&amp;2022,#REF!,Tableau3[EBE]),"")</f>
        <v/>
      </c>
      <c r="AI76" s="43" t="s">
        <v>3419</v>
      </c>
      <c r="AJ76" s="43" t="s">
        <v>4322</v>
      </c>
      <c r="AK76" s="43" t="s">
        <v>3431</v>
      </c>
      <c r="AL76" s="43" t="s">
        <v>3419</v>
      </c>
      <c r="AM76" s="43"/>
      <c r="AN76" s="9" t="str">
        <f>IFERROR(_xlfn.XLOOKUP(Tableau1[[#This Row],[Isin]]&amp;1&amp;2021,#REF!,Tableau3[Chiffre d''affaires]),"")</f>
        <v/>
      </c>
      <c r="AO76" s="43" cm="1">
        <f t="array" aca="1" ref="AO76" ca="1">_FV(Tableau1[[#This Row],[Code Excel]],"P/E",TRUE)</f>
        <v>22.034400000000002</v>
      </c>
      <c r="AP76" s="43" t="str">
        <f>IFERROR(_xlfn.XLOOKUP(Tableau1[[#This Row],[Isin]]&amp;1&amp;2023,#REF!,Tableau3[Résultat Net (PdG)]),"")</f>
        <v/>
      </c>
      <c r="AQ76" s="43">
        <f>IF(IFERROR(_xlfn.XLOOKUP(Tableau1[[#This Row],[Isin]]&amp;1&amp;2022,#REF!,Tableau3[Résultat Net (PdG)]),"")="",Tableau1[[#This Row],[RN Groupe 2022
Manuel]],IFERROR(_xlfn.XLOOKUP(Tableau1[[#This Row],[Isin]]&amp;1&amp;2022,#REF!,Tableau3[Résultat Net (PdG)]),""))</f>
        <v>0</v>
      </c>
      <c r="AR76" s="43"/>
      <c r="AS76" s="43">
        <f>IF(IFERROR(_xlfn.XLOOKUP(Tableau1[[#This Row],[Isin]]&amp;1&amp;2021,#REF!,Tableau3[Résultat Net (PdG)]),"")="",Tableau1[[#This Row],[RN Groupe 2021
Manuel]],IFERROR(_xlfn.XLOOKUP(Tableau1[[#This Row],[Isin]]&amp;1&amp;2021,#REF!,Tableau3[Résultat Net (PdG)]),""))</f>
        <v>0</v>
      </c>
      <c r="AT76" s="43"/>
      <c r="AU76" s="43" t="str">
        <f>IFERROR(_xlfn.XLOOKUP(Tableau1[[#This Row],[Isin]]&amp;1&amp;2020,#REF!,Tableau3[Résultat Net (PdG)]),"")</f>
        <v/>
      </c>
      <c r="AV76" s="43" t="str">
        <f>IFERROR(_xlfn.XLOOKUP(Tableau1[[#This Row],[Isin]]&amp;1&amp;2019,#REF!,Tableau3[Résultat Net (PdG)]),"")</f>
        <v/>
      </c>
      <c r="AW76" s="43" t="str">
        <f>IFERROR(_xlfn.XLOOKUP(Tableau1[[#This Row],[Isin]]&amp;1&amp;2018,#REF!,Tableau3[Résultat Net (PdG)]),"")</f>
        <v/>
      </c>
      <c r="AX76" s="43" t="str">
        <f>IFERROR(_xlfn.XLOOKUP(Tableau1[[#This Row],[Isin]]&amp;1&amp;2017,#REF!,Tableau3[Résultat Net (PdG)]),"")</f>
        <v/>
      </c>
      <c r="AY76" s="43" t="str">
        <f>IFERROR(_xlfn.XLOOKUP(Tableau1[[#This Row],[Isin]]&amp;1&amp;2016,#REF!,Tableau3[Résultat Net (PdG)]),"")</f>
        <v/>
      </c>
      <c r="AZ76" s="137" t="str">
        <f ca="1">IFERROR(Tableau1[[#This Row],[Capitalisation boursière]]/Tableau1[[#This Row],[RN Groupe 2023]],"")</f>
        <v/>
      </c>
      <c r="BA76" s="4" t="str" cm="1">
        <f t="array" aca="1" ref="BA76" ca="1">IFERROR(_FV(Tableau1[[#This Row],[Code Excel]],"Industrie"),"")</f>
        <v>Professional &amp; Commercial Services</v>
      </c>
      <c r="BB76" s="43" t="s">
        <v>3477</v>
      </c>
      <c r="BC76" s="43" t="str">
        <f>IFERROR(_xlfn.XLOOKUP(Tableau1[[#This Row],[Isin]]&amp;1&amp;2016,#REF!,Tableau3[Capi]),"")</f>
        <v/>
      </c>
      <c r="BD76" s="43" t="str">
        <f>IFERROR(_xlfn.XLOOKUP(Tableau1[[#This Row],[Isin]]&amp;1&amp;2017,#REF!,Tableau3[Capi]),"")</f>
        <v/>
      </c>
      <c r="BE76" s="43" t="str">
        <f>IFERROR(_xlfn.XLOOKUP(Tableau1[[#This Row],[Isin]]&amp;1&amp;2018,#REF!,Tableau3[Capi]),"")</f>
        <v/>
      </c>
      <c r="BF76" s="43" t="str">
        <f>IFERROR(_xlfn.XLOOKUP(Tableau1[[#This Row],[Isin]]&amp;1&amp;2019,#REF!,Tableau3[Capi]),"")</f>
        <v/>
      </c>
      <c r="BG76" s="43" t="str">
        <f>IFERROR(_xlfn.XLOOKUP(Tableau1[[#This Row],[Isin]]&amp;1&amp;2020,#REF!,Tableau3[Capi]),"")</f>
        <v/>
      </c>
      <c r="BH76" s="43">
        <f>IF(IFERROR(_xlfn.XLOOKUP(Tableau1[[#This Row],[Isin]]&amp;1&amp;2021,#REF!,Tableau3[Capi]),"")="",Tableau1[[#This Row],[Capitalisation 2021
Manuel]],IFERROR(_xlfn.XLOOKUP(Tableau1[[#This Row],[Isin]]&amp;1&amp;2021,#REF!,Tableau3[Capi]),""))</f>
        <v>0</v>
      </c>
      <c r="BI76" s="43"/>
      <c r="BJ76" s="43">
        <f>IF(IFERROR(_xlfn.XLOOKUP(Tableau1[[#This Row],[Isin]]&amp;1&amp;2022,#REF!,Tableau3[Capi]),"")="",Tableau1[[#This Row],[Capitalisation 2022
Manuel]],IFERROR(_xlfn.XLOOKUP(Tableau1[[#This Row],[Isin]]&amp;1&amp;2022,#REF!,Tableau3[Capi]),""))</f>
        <v>0</v>
      </c>
      <c r="BK76" s="43"/>
      <c r="BL76" s="43">
        <f ca="1">Tableau1[[#This Row],[Capitalisation boursière]]</f>
        <v>12799180000</v>
      </c>
      <c r="BM76" s="162" t="str" cm="1">
        <f t="array" aca="1" ref="BM76" ca="1">_FV(Tableau1[[#This Row],[Code Excel]],"Description")</f>
        <v>Bureau Veritas sa, anciennement Bureau Veritas Registre International de classification de navires et d'Aerions, est une société française principalement engagée dans le secteur du soutien aux entreprises. Il offre une gamme de services, y compris la gestion des actifs, la certification, les services de classification, inspections et audits, essais et analyses, et formation. Elle est présente dans plus de 140 pays à travers un réseau de bureaux et de laboratoires. La Société opère par l'intermédiaire de ses filiales, dont BV Algeria, BV Argentina, Bivac Congo et Cesmec Chile, Unicar Group, Quiktrak Inc, Dairy Technical services Ltd ; Sistema PRI, une société brésilienne spécialisée dans l'assistance à la gestion de projets ; Analysts Inc, un spécialiste américain de la surveillance de l'état des huiles (OCM) ; MatthewsDaniel Ltd, qui fournit des services pour le marché de l'assurance, Ningbo Hengxin Engineering Testing Co, Ltd (Ningbo Hengxin), Kuhlmann Monitoramento Agricola Ltda, SIEMIC Inc, California Code Check and Primary Integration solutions.</v>
      </c>
      <c r="BN76" s="43"/>
      <c r="BO76" s="43"/>
      <c r="BP76" s="43"/>
      <c r="BQ76" s="43"/>
      <c r="BR76" s="4"/>
      <c r="BS76" s="21"/>
      <c r="BT76" s="13"/>
      <c r="BU76" s="13"/>
      <c r="BV76" s="13"/>
      <c r="BW76" s="13"/>
      <c r="BX76" s="13"/>
      <c r="BY76" s="3"/>
      <c r="BZ76" s="58"/>
      <c r="CA76" s="59"/>
    </row>
    <row r="77" spans="3:80">
      <c r="C77" s="43"/>
      <c r="D77" s="42">
        <f>IF(Tableau1[[#This Row],[Isin]]="",99,Tableau1[[#This Row],[Intérêt]]+Tableau1[[#This Row],[Valeur d''intérêt]]+Tableau1[[#This Row],[N° Portefeuille]])</f>
        <v>30</v>
      </c>
      <c r="E77" s="43"/>
      <c r="F77" s="42">
        <f>IF(Tableau1[[#This Row],[Portefeuille]]="p",0,Tableau1[[#This Row],[F. Investissement
Niveau d''intérêt]]*10)</f>
        <v>30</v>
      </c>
      <c r="G77" s="43">
        <f>IF(Tableau1[[#This Row],[Portefeuille]]="p",3,0)</f>
        <v>0</v>
      </c>
      <c r="H77" s="42">
        <v>3</v>
      </c>
      <c r="I77" s="43">
        <v>4</v>
      </c>
      <c r="J77" s="43"/>
      <c r="K77" s="43"/>
      <c r="L77" s="16">
        <v>1</v>
      </c>
      <c r="M7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7" s="44" t="s">
        <v>3650</v>
      </c>
      <c r="O77" s="44" t="s">
        <v>1315</v>
      </c>
      <c r="P77" s="4" t="s">
        <v>382</v>
      </c>
      <c r="Q77" s="6" t="s">
        <v>383</v>
      </c>
      <c r="R77" s="6"/>
      <c r="S77" s="6" t="s">
        <v>1323</v>
      </c>
      <c r="T77" s="6" t="e" vm="66">
        <v>#VALUE!</v>
      </c>
      <c r="U77" s="51" cm="1">
        <f t="array" aca="1" ref="U77" ca="1">IFERROR(_FV(Tableau1[[#This Row],[Code Excel]],"Capitalisation boursière",TRUE),"")</f>
        <v>11843780000</v>
      </c>
      <c r="V77" s="4" t="str" cm="1">
        <f t="array" aca="1" ref="V77" ca="1">IFERROR(_FV(Tableau1[[#This Row],[Code Excel]],"Industrie"),"")</f>
        <v>Food &amp; Tobacco</v>
      </c>
      <c r="W77" s="4" t="s">
        <v>1315</v>
      </c>
      <c r="X77" s="4" t="str">
        <f ca="1">Tableau1[[#This Row],[Grand Secteur]]&amp;Tableau1[[#This Row],[Industrie]]</f>
        <v>Biens de consommationFood &amp; Tobacco</v>
      </c>
      <c r="Y77" s="23" cm="1">
        <f t="array" aca="1" ref="Y77" ca="1">IFERROR(_FV(Tableau1[[#This Row],[Code Excel]],"P/E",TRUE),"")</f>
        <v>23.195699999999999</v>
      </c>
      <c r="Z77" s="43" cm="1">
        <f t="array" aca="1" ref="Z77" ca="1">IFERROR(_FV(Tableau1[[#This Row],[Code Excel]],"Employés"),"")</f>
        <v>14400</v>
      </c>
      <c r="AA77" s="46">
        <f ca="1">IFERROR(Tableau1[[#This Row],[Capitalisation boursière]]/Tableau1[[#This Row],[Employés]],"")</f>
        <v>822484.72222222225</v>
      </c>
      <c r="AB77" s="5" t="str">
        <f>IFERROR(Tableau1[[#This Row],[REX (2021)]]/Tableau1[[#This Row],[CA 2024]],"")</f>
        <v/>
      </c>
      <c r="AC77" s="9" t="str">
        <f>IFERROR(_xlfn.XLOOKUP(Tableau1[[#This Row],[Isin]]&amp;1&amp;2021,#REF!,Tableau3[Résultat d''exploitation]),"")</f>
        <v/>
      </c>
      <c r="AD77" s="9" t="str">
        <f>IFERROR(_xlfn.XLOOKUP(Tableau1[[#This Row],[Isin]]&amp;1&amp;2019,#REF!,Tableau3[Chiffre d''affaires]),"")</f>
        <v/>
      </c>
      <c r="AE77" s="9" t="str">
        <f>IFERROR(_xlfn.XLOOKUP(Tableau1[[#This Row],[Isin]]&amp;1&amp;2024,#REF!,Tableau3[Chiffre d''affaires]),"")</f>
        <v/>
      </c>
      <c r="AF77" s="8" t="str">
        <f>IFERROR(IF((Tableau1[[#This Row],[CA 2024]]-Tableau1[[#This Row],[CA 2019]])/Tableau1[[#This Row],[CA 2019]]=-1,"",(Tableau1[[#This Row],[CA 2024]]-Tableau1[[#This Row],[CA 2019]])/Tableau1[[#This Row],[CA 2019]]),"")</f>
        <v/>
      </c>
      <c r="AG77" s="9" t="str">
        <f>IFERROR(_xlfn.XLOOKUP(Tableau1[[#This Row],[Isin]]&amp;1&amp;2021,#REF!,Tableau3[EBE]),"")</f>
        <v/>
      </c>
      <c r="AH77" s="9" t="str">
        <f>IFERROR(_xlfn.XLOOKUP(Tableau1[[#This Row],[Isin]]&amp;1&amp;2022,#REF!,Tableau3[EBE]),"")</f>
        <v/>
      </c>
      <c r="AI77" s="43" t="s">
        <v>3431</v>
      </c>
      <c r="AJ77" s="43" t="s">
        <v>3150</v>
      </c>
      <c r="AK77" s="43" t="s">
        <v>3149</v>
      </c>
      <c r="AL77" s="43" t="s">
        <v>3431</v>
      </c>
      <c r="AM77" s="43"/>
      <c r="AN77" s="9" t="str">
        <f>IFERROR(_xlfn.XLOOKUP(Tableau1[[#This Row],[Isin]]&amp;1&amp;2021,#REF!,Tableau3[Chiffre d''affaires]),"")</f>
        <v/>
      </c>
      <c r="AO77" s="43" cm="1">
        <f t="array" aca="1" ref="AO77" ca="1">_FV(Tableau1[[#This Row],[Code Excel]],"P/E",TRUE)</f>
        <v>23.195699999999999</v>
      </c>
      <c r="AP77" s="43" t="str">
        <f>IFERROR(_xlfn.XLOOKUP(Tableau1[[#This Row],[Isin]]&amp;1&amp;2023,#REF!,Tableau3[Résultat Net (PdG)]),"")</f>
        <v/>
      </c>
      <c r="AQ77" s="43">
        <f>IF(IFERROR(_xlfn.XLOOKUP(Tableau1[[#This Row],[Isin]]&amp;1&amp;2022,#REF!,Tableau3[Résultat Net (PdG)]),"")="",Tableau1[[#This Row],[RN Groupe 2022
Manuel]],IFERROR(_xlfn.XLOOKUP(Tableau1[[#This Row],[Isin]]&amp;1&amp;2022,#REF!,Tableau3[Résultat Net (PdG)]),""))</f>
        <v>0</v>
      </c>
      <c r="AR77" s="43"/>
      <c r="AS77" s="43">
        <f>IF(IFERROR(_xlfn.XLOOKUP(Tableau1[[#This Row],[Isin]]&amp;1&amp;2021,#REF!,Tableau3[Résultat Net (PdG)]),"")="",Tableau1[[#This Row],[RN Groupe 2021
Manuel]],IFERROR(_xlfn.XLOOKUP(Tableau1[[#This Row],[Isin]]&amp;1&amp;2021,#REF!,Tableau3[Résultat Net (PdG)]),""))</f>
        <v>0</v>
      </c>
      <c r="AT77" s="43"/>
      <c r="AU77" s="43" t="str">
        <f>IFERROR(_xlfn.XLOOKUP(Tableau1[[#This Row],[Isin]]&amp;1&amp;2020,#REF!,Tableau3[Résultat Net (PdG)]),"")</f>
        <v/>
      </c>
      <c r="AV77" s="43" t="str">
        <f>IFERROR(_xlfn.XLOOKUP(Tableau1[[#This Row],[Isin]]&amp;1&amp;2019,#REF!,Tableau3[Résultat Net (PdG)]),"")</f>
        <v/>
      </c>
      <c r="AW77" s="43" t="str">
        <f>IFERROR(_xlfn.XLOOKUP(Tableau1[[#This Row],[Isin]]&amp;1&amp;2018,#REF!,Tableau3[Résultat Net (PdG)]),"")</f>
        <v/>
      </c>
      <c r="AX77" s="43" t="str">
        <f>IFERROR(_xlfn.XLOOKUP(Tableau1[[#This Row],[Isin]]&amp;1&amp;2017,#REF!,Tableau3[Résultat Net (PdG)]),"")</f>
        <v/>
      </c>
      <c r="AY77" s="43" t="str">
        <f>IFERROR(_xlfn.XLOOKUP(Tableau1[[#This Row],[Isin]]&amp;1&amp;2016,#REF!,Tableau3[Résultat Net (PdG)]),"")</f>
        <v/>
      </c>
      <c r="AZ77" s="137" t="str">
        <f ca="1">IFERROR(Tableau1[[#This Row],[Capitalisation boursière]]/Tableau1[[#This Row],[RN Groupe 2023]],"")</f>
        <v/>
      </c>
      <c r="BA77" s="4" t="str" cm="1">
        <f t="array" aca="1" ref="BA77" ca="1">IFERROR(_FV(Tableau1[[#This Row],[Code Excel]],"Industrie"),"")</f>
        <v>Food &amp; Tobacco</v>
      </c>
      <c r="BB77" s="43" t="e">
        <v>#N/A</v>
      </c>
      <c r="BC77" s="43" t="str">
        <f>IFERROR(_xlfn.XLOOKUP(Tableau1[[#This Row],[Isin]]&amp;1&amp;2016,#REF!,Tableau3[Capi]),"")</f>
        <v/>
      </c>
      <c r="BD77" s="43" t="str">
        <f>IFERROR(_xlfn.XLOOKUP(Tableau1[[#This Row],[Isin]]&amp;1&amp;2017,#REF!,Tableau3[Capi]),"")</f>
        <v/>
      </c>
      <c r="BE77" s="43" t="str">
        <f>IFERROR(_xlfn.XLOOKUP(Tableau1[[#This Row],[Isin]]&amp;1&amp;2018,#REF!,Tableau3[Capi]),"")</f>
        <v/>
      </c>
      <c r="BF77" s="43" t="str">
        <f>IFERROR(_xlfn.XLOOKUP(Tableau1[[#This Row],[Isin]]&amp;1&amp;2019,#REF!,Tableau3[Capi]),"")</f>
        <v/>
      </c>
      <c r="BG77" s="43" t="str">
        <f>IFERROR(_xlfn.XLOOKUP(Tableau1[[#This Row],[Isin]]&amp;1&amp;2020,#REF!,Tableau3[Capi]),"")</f>
        <v/>
      </c>
      <c r="BH77" s="43">
        <f>IF(IFERROR(_xlfn.XLOOKUP(Tableau1[[#This Row],[Isin]]&amp;1&amp;2021,#REF!,Tableau3[Capi]),"")="",Tableau1[[#This Row],[Capitalisation 2021
Manuel]],IFERROR(_xlfn.XLOOKUP(Tableau1[[#This Row],[Isin]]&amp;1&amp;2021,#REF!,Tableau3[Capi]),""))</f>
        <v>0</v>
      </c>
      <c r="BI77" s="43"/>
      <c r="BJ77" s="43">
        <f>IF(IFERROR(_xlfn.XLOOKUP(Tableau1[[#This Row],[Isin]]&amp;1&amp;2022,#REF!,Tableau3[Capi]),"")="",Tableau1[[#This Row],[Capitalisation 2022
Manuel]],IFERROR(_xlfn.XLOOKUP(Tableau1[[#This Row],[Isin]]&amp;1&amp;2022,#REF!,Tableau3[Capi]),""))</f>
        <v>0</v>
      </c>
      <c r="BK77" s="43"/>
      <c r="BL77" s="43">
        <f ca="1">Tableau1[[#This Row],[Capitalisation boursière]]</f>
        <v>11843780000</v>
      </c>
      <c r="BM77" s="162" t="str" cm="1">
        <f t="array" aca="1" ref="BM77" ca="1">_FV(Tableau1[[#This Row],[Code Excel]],"Description")</f>
        <v>Campbell Soup Company est un fabricant et un distributeur de produits alimentaires et de boissons de marque. Les segments de la Société comprennent les repas et boissons et les collations. Son segment repas et boissons comprend ses soupes, repas simples et boissons dans la vente au détail et la restauration aux États-Unis et au Canada. Le segment comprend les soupes condensées et prêtes à servir Campbell's ; le bouillon et les stocks Swanson ; le bouillon, les soupes et les boissons non laitières Pacific Foods ; les sauces pour pâtes Prego ; les sauces mexicaines Pace ; les sauces de macles, les pâtes, haricots et sauces à dîner ; volaille en conserve Swanson ; jus et boissons V8 et jus de tomate Campbell's. Son segment snacks comprend des biscuits Pepperidge Farm, des craquelins, des produits de boulangerie frais et des produits surgelés, y compris des craquelins de poisson rouge, des bretzels Snyder's of Hanover, des craquelins lance sandwich, des chips Cape Cod, des chips de marque Kettle, des collations fin juillet, des chips de bretzel snack Factory, du pop-corn et d'autres produits de grignotage dans la vente au détail aux États-Unis.</v>
      </c>
      <c r="BN77" s="43"/>
      <c r="BO77" s="43"/>
      <c r="BP77" s="43"/>
      <c r="BQ77" s="43"/>
      <c r="BR77" s="4"/>
      <c r="BS77" s="21"/>
      <c r="BT77" s="13"/>
      <c r="BU77" s="13"/>
      <c r="BV77" s="13"/>
      <c r="BW77" s="13"/>
      <c r="BX77" s="13"/>
      <c r="BY77" s="3"/>
      <c r="BZ77" s="58"/>
      <c r="CA77" s="59"/>
    </row>
    <row r="78" spans="3:80">
      <c r="C78" s="42"/>
      <c r="D78" s="42">
        <f>IF(Tableau1[[#This Row],[Isin]]="",99,Tableau1[[#This Row],[Intérêt]]+Tableau1[[#This Row],[Valeur d''intérêt]]+Tableau1[[#This Row],[N° Portefeuille]])</f>
        <v>30</v>
      </c>
      <c r="E78" s="42"/>
      <c r="F78" s="42">
        <f>IF(Tableau1[[#This Row],[Portefeuille]]="p",0,Tableau1[[#This Row],[F. Investissement
Niveau d''intérêt]]*10)</f>
        <v>30</v>
      </c>
      <c r="G78" s="42">
        <f>IF(Tableau1[[#This Row],[Portefeuille]]="p",3,0)</f>
        <v>0</v>
      </c>
      <c r="H78" s="42">
        <v>3</v>
      </c>
      <c r="I78" s="42">
        <v>4</v>
      </c>
      <c r="J78" s="42"/>
      <c r="K78" s="43"/>
      <c r="L78" s="16">
        <v>1</v>
      </c>
      <c r="M7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8" s="44" t="s">
        <v>3653</v>
      </c>
      <c r="O78" s="44" t="s">
        <v>4373</v>
      </c>
      <c r="P78" s="4" t="s">
        <v>84</v>
      </c>
      <c r="Q78" s="6" t="s">
        <v>85</v>
      </c>
      <c r="R78" s="6"/>
      <c r="S78" s="6" t="s">
        <v>937</v>
      </c>
      <c r="T78" s="6" t="e" vm="67">
        <v>#VALUE!</v>
      </c>
      <c r="U78" s="46" cm="1">
        <f t="array" aca="1" ref="U78" ca="1">IFERROR(_FV(Tableau1[[#This Row],[Code Excel]],"Capitalisation boursière",TRUE),"")</f>
        <v>24896790000</v>
      </c>
      <c r="V78" s="4" t="str" cm="1">
        <f t="array" aca="1" ref="V78" ca="1">IFERROR(_FV(Tableau1[[#This Row],[Code Excel]],"Industrie"),"")</f>
        <v>Software &amp; IT Services</v>
      </c>
      <c r="W78" s="4" t="s">
        <v>4333</v>
      </c>
      <c r="X78" s="4" t="str">
        <f ca="1">Tableau1[[#This Row],[Grand Secteur]]&amp;Tableau1[[#This Row],[Industrie]]</f>
        <v>Logiciels et TechnologieSoftware &amp; IT Services</v>
      </c>
      <c r="Y78" s="23" cm="1">
        <f t="array" aca="1" ref="Y78" ca="1">IFERROR(_FV(Tableau1[[#This Row],[Code Excel]],"P/E",TRUE),"")</f>
        <v>14.799300000000001</v>
      </c>
      <c r="Z78" s="43" cm="1">
        <f t="array" aca="1" ref="Z78" ca="1">IFERROR(_FV(Tableau1[[#This Row],[Code Excel]],"Employés"),"")</f>
        <v>341118</v>
      </c>
      <c r="AA78" s="49">
        <f ca="1">IFERROR(Tableau1[[#This Row],[Capitalisation boursière]]/Tableau1[[#This Row],[Employés]],"")</f>
        <v>72985.858266054565</v>
      </c>
      <c r="AB78" s="5" t="str">
        <f>IFERROR(Tableau1[[#This Row],[REX (2021)]]/Tableau1[[#This Row],[CA 2024]],"")</f>
        <v/>
      </c>
      <c r="AC78" s="9" t="str">
        <f>IFERROR(_xlfn.XLOOKUP(Tableau1[[#This Row],[Isin]]&amp;1&amp;2021,#REF!,Tableau3[Résultat d''exploitation]),"")</f>
        <v/>
      </c>
      <c r="AD78" s="9" t="str">
        <f>IFERROR(_xlfn.XLOOKUP(Tableau1[[#This Row],[Isin]]&amp;1&amp;2019,#REF!,Tableau3[Chiffre d''affaires]),"")</f>
        <v/>
      </c>
      <c r="AE78" s="9" t="str">
        <f>IFERROR(_xlfn.XLOOKUP(Tableau1[[#This Row],[Isin]]&amp;1&amp;2024,#REF!,Tableau3[Chiffre d''affaires]),"")</f>
        <v/>
      </c>
      <c r="AF78" s="8" t="str">
        <f>IFERROR(IF((Tableau1[[#This Row],[CA 2024]]-Tableau1[[#This Row],[CA 2019]])/Tableau1[[#This Row],[CA 2019]]=-1,"",(Tableau1[[#This Row],[CA 2024]]-Tableau1[[#This Row],[CA 2019]])/Tableau1[[#This Row],[CA 2019]]),"")</f>
        <v/>
      </c>
      <c r="AG78" s="9" t="str">
        <f>IFERROR(_xlfn.XLOOKUP(Tableau1[[#This Row],[Isin]]&amp;1&amp;2021,#REF!,Tableau3[EBE]),"")</f>
        <v/>
      </c>
      <c r="AH78" s="9" t="str">
        <f>IFERROR(_xlfn.XLOOKUP(Tableau1[[#This Row],[Isin]]&amp;1&amp;2022,#REF!,Tableau3[EBE]),"")</f>
        <v/>
      </c>
      <c r="AI78" s="43" t="s">
        <v>4324</v>
      </c>
      <c r="AJ78" s="43" t="s">
        <v>4334</v>
      </c>
      <c r="AK78" s="43" t="s">
        <v>3148</v>
      </c>
      <c r="AL78" s="43" t="s">
        <v>3431</v>
      </c>
      <c r="AM78" s="43"/>
      <c r="AN78" s="9" t="str">
        <f>IFERROR(_xlfn.XLOOKUP(Tableau1[[#This Row],[Isin]]&amp;1&amp;2021,#REF!,Tableau3[Chiffre d''affaires]),"")</f>
        <v/>
      </c>
      <c r="AO78" s="43" cm="1">
        <f t="array" aca="1" ref="AO78" ca="1">_FV(Tableau1[[#This Row],[Code Excel]],"P/E",TRUE)</f>
        <v>14.799300000000001</v>
      </c>
      <c r="AP78" s="43" t="str">
        <f>IFERROR(_xlfn.XLOOKUP(Tableau1[[#This Row],[Isin]]&amp;1&amp;2023,#REF!,Tableau3[Résultat Net (PdG)]),"")</f>
        <v/>
      </c>
      <c r="AQ78" s="43">
        <f>IF(IFERROR(_xlfn.XLOOKUP(Tableau1[[#This Row],[Isin]]&amp;1&amp;2022,#REF!,Tableau3[Résultat Net (PdG)]),"")="",Tableau1[[#This Row],[RN Groupe 2022
Manuel]],IFERROR(_xlfn.XLOOKUP(Tableau1[[#This Row],[Isin]]&amp;1&amp;2022,#REF!,Tableau3[Résultat Net (PdG)]),""))</f>
        <v>1550000000</v>
      </c>
      <c r="AR78" s="140">
        <v>1550000000</v>
      </c>
      <c r="AS78" s="43">
        <f>IF(IFERROR(_xlfn.XLOOKUP(Tableau1[[#This Row],[Isin]]&amp;1&amp;2021,#REF!,Tableau3[Résultat Net (PdG)]),"")="",Tableau1[[#This Row],[RN Groupe 2021
Manuel]],IFERROR(_xlfn.XLOOKUP(Tableau1[[#This Row],[Isin]]&amp;1&amp;2021,#REF!,Tableau3[Résultat Net (PdG)]),""))</f>
        <v>0</v>
      </c>
      <c r="AT78" s="140"/>
      <c r="AU78" s="43" t="str">
        <f>IFERROR(_xlfn.XLOOKUP(Tableau1[[#This Row],[Isin]]&amp;1&amp;2020,#REF!,Tableau3[Résultat Net (PdG)]),"")</f>
        <v/>
      </c>
      <c r="AV78" s="43" t="str">
        <f>IFERROR(_xlfn.XLOOKUP(Tableau1[[#This Row],[Isin]]&amp;1&amp;2019,#REF!,Tableau3[Résultat Net (PdG)]),"")</f>
        <v/>
      </c>
      <c r="AW78" s="43" t="str">
        <f>IFERROR(_xlfn.XLOOKUP(Tableau1[[#This Row],[Isin]]&amp;1&amp;2018,#REF!,Tableau3[Résultat Net (PdG)]),"")</f>
        <v/>
      </c>
      <c r="AX78" s="43" t="str">
        <f>IFERROR(_xlfn.XLOOKUP(Tableau1[[#This Row],[Isin]]&amp;1&amp;2017,#REF!,Tableau3[Résultat Net (PdG)]),"")</f>
        <v/>
      </c>
      <c r="AY78" s="43" t="str">
        <f>IFERROR(_xlfn.XLOOKUP(Tableau1[[#This Row],[Isin]]&amp;1&amp;2016,#REF!,Tableau3[Résultat Net (PdG)]),"")</f>
        <v/>
      </c>
      <c r="AZ78" s="137" t="str">
        <f ca="1">IFERROR(Tableau1[[#This Row],[Capitalisation boursière]]/Tableau1[[#This Row],[RN Groupe 2023]],"")</f>
        <v/>
      </c>
      <c r="BA78" s="4" t="str" cm="1">
        <f t="array" aca="1" ref="BA78" ca="1">IFERROR(_FV(Tableau1[[#This Row],[Code Excel]],"Industrie"),"")</f>
        <v>Software &amp; IT Services</v>
      </c>
      <c r="BB78" s="43" t="s">
        <v>3518</v>
      </c>
      <c r="BC78" s="43" t="str">
        <f>IFERROR(_xlfn.XLOOKUP(Tableau1[[#This Row],[Isin]]&amp;1&amp;2016,#REF!,Tableau3[Capi]),"")</f>
        <v/>
      </c>
      <c r="BD78" s="43" t="str">
        <f>IFERROR(_xlfn.XLOOKUP(Tableau1[[#This Row],[Isin]]&amp;1&amp;2017,#REF!,Tableau3[Capi]),"")</f>
        <v/>
      </c>
      <c r="BE78" s="43" t="str">
        <f>IFERROR(_xlfn.XLOOKUP(Tableau1[[#This Row],[Isin]]&amp;1&amp;2018,#REF!,Tableau3[Capi]),"")</f>
        <v/>
      </c>
      <c r="BF78" s="43" t="str">
        <f>IFERROR(_xlfn.XLOOKUP(Tableau1[[#This Row],[Isin]]&amp;1&amp;2019,#REF!,Tableau3[Capi]),"")</f>
        <v/>
      </c>
      <c r="BG78" s="43" t="str">
        <f>IFERROR(_xlfn.XLOOKUP(Tableau1[[#This Row],[Isin]]&amp;1&amp;2020,#REF!,Tableau3[Capi]),"")</f>
        <v/>
      </c>
      <c r="BH78" s="43">
        <f>IF(IFERROR(_xlfn.XLOOKUP(Tableau1[[#This Row],[Isin]]&amp;1&amp;2021,#REF!,Tableau3[Capi]),"")="",Tableau1[[#This Row],[Capitalisation 2021
Manuel]],IFERROR(_xlfn.XLOOKUP(Tableau1[[#This Row],[Isin]]&amp;1&amp;2021,#REF!,Tableau3[Capi]),""))</f>
        <v>0</v>
      </c>
      <c r="BI78" s="142"/>
      <c r="BJ78" s="141">
        <f>IF(IFERROR(_xlfn.XLOOKUP(Tableau1[[#This Row],[Isin]]&amp;1&amp;2022,#REF!,Tableau3[Capi]),"")="",Tableau1[[#This Row],[Capitalisation 2022
Manuel]],IFERROR(_xlfn.XLOOKUP(Tableau1[[#This Row],[Isin]]&amp;1&amp;2022,#REF!,Tableau3[Capi]),""))</f>
        <v>33211452000</v>
      </c>
      <c r="BK78" s="142">
        <v>33211452000</v>
      </c>
      <c r="BL78" s="43">
        <f ca="1">Tableau1[[#This Row],[Capitalisation boursière]]</f>
        <v>24896790000</v>
      </c>
      <c r="BM78" s="162" t="str" cm="1">
        <f t="array" aca="1" ref="BM78" ca="1">_FV(Tableau1[[#This Row],[Code Excel]],"Description")</f>
        <v>Capgemini se est une société française spécialisée dans le conseil, les services technologiques et la transformation numérique. Elle opère sur quatre segments : les services applicatifs, les services de technologie et d'ingénierie, les services de conseil et les autres services gérés. Application services conçoit et développe des solutions technologiques et aide les clients à optimiser leurs applications, entre autres. Technology and Engineering services assiste et soutient les équipes internes de technologie de l'information (TI) et d'ingénierie au sein des entreprises clientes. Le conseil se concentre sur la stratégie, la technologie, la science des données et la conception créative pour aider les clients à créer de nouveaux modèles et de nouveaux produits et services au sein de l'économie numérique. Les autres services gérés intègrent, gèrent et/ou développent les systèmes d'infrastructure INFORMATIQUE DES clients, entre autres.</v>
      </c>
      <c r="BN78" s="43"/>
      <c r="BO78" s="43"/>
      <c r="BP78" s="43"/>
      <c r="BQ78" s="43"/>
      <c r="BR78" s="4"/>
      <c r="BS78" s="21"/>
      <c r="BT78" s="13"/>
      <c r="BU78" s="13"/>
      <c r="BV78" s="13"/>
      <c r="BW78" s="13"/>
      <c r="BX78" s="13"/>
      <c r="BY78" s="3"/>
      <c r="BZ78" s="58"/>
      <c r="CA78" s="59"/>
    </row>
    <row r="79" spans="3:80">
      <c r="C79" s="42"/>
      <c r="D79" s="42">
        <f>IF(Tableau1[[#This Row],[Isin]]="",99,Tableau1[[#This Row],[Intérêt]]+Tableau1[[#This Row],[Valeur d''intérêt]]+Tableau1[[#This Row],[N° Portefeuille]])</f>
        <v>20</v>
      </c>
      <c r="E79" s="42"/>
      <c r="F79" s="42">
        <f>IF(Tableau1[[#This Row],[Portefeuille]]="p",0,Tableau1[[#This Row],[F. Investissement
Niveau d''intérêt]]*10)</f>
        <v>20</v>
      </c>
      <c r="G79" s="42">
        <f>IF(Tableau1[[#This Row],[Portefeuille]]="p",3,0)</f>
        <v>0</v>
      </c>
      <c r="H79" s="42">
        <v>2</v>
      </c>
      <c r="I79" s="42">
        <v>2</v>
      </c>
      <c r="J79" s="42"/>
      <c r="K79" s="43"/>
      <c r="L79" s="16"/>
      <c r="M7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79" s="64" t="s">
        <v>1520</v>
      </c>
      <c r="O79" s="45"/>
      <c r="P79" s="4"/>
      <c r="Q79" s="4"/>
      <c r="R79" s="6"/>
      <c r="S79" s="4" t="s">
        <v>1523</v>
      </c>
      <c r="T79" s="6"/>
      <c r="U79" s="46" t="str" cm="1">
        <f t="array" ref="U79">IFERROR(_FV(Tableau1[[#This Row],[Code Excel]],"Capitalisation boursière",TRUE),"")</f>
        <v/>
      </c>
      <c r="V79" s="4" t="str" cm="1">
        <f t="array" ref="V79">IFERROR(_FV(Tableau1[[#This Row],[Code Excel]],"Industrie"),"")</f>
        <v/>
      </c>
      <c r="X79" s="4" t="str">
        <f>Tableau1[[#This Row],[Grand Secteur]]&amp;Tableau1[[#This Row],[Industrie]]</f>
        <v/>
      </c>
      <c r="Y79" s="65" t="str" cm="1">
        <f t="array" ref="Y79">IFERROR(_FV(Tableau1[[#This Row],[Code Excel]],"P/E",TRUE),"")</f>
        <v/>
      </c>
      <c r="Z79" s="43" t="str" cm="1">
        <f t="array" ref="Z79">IFERROR(_FV(Tableau1[[#This Row],[Code Excel]],"Employés"),"")</f>
        <v/>
      </c>
      <c r="AA79" s="49" t="str">
        <f>IFERROR(Tableau1[[#This Row],[Capitalisation boursière]]/Tableau1[[#This Row],[Employés]],"")</f>
        <v/>
      </c>
      <c r="AB79" s="5" t="str">
        <f>IFERROR(Tableau1[[#This Row],[REX (2021)]]/Tableau1[[#This Row],[CA 2024]],"")</f>
        <v/>
      </c>
      <c r="AC79" s="43" t="str">
        <f>IFERROR(_xlfn.XLOOKUP(Tableau1[[#This Row],[Isin]]&amp;1&amp;2021,#REF!,Tableau3[Résultat d''exploitation]),"")</f>
        <v/>
      </c>
      <c r="AD79" s="43" t="str">
        <f>IFERROR(_xlfn.XLOOKUP(Tableau1[[#This Row],[Isin]]&amp;1&amp;2019,#REF!,Tableau3[Chiffre d''affaires]),"")</f>
        <v/>
      </c>
      <c r="AE79" s="43" t="str">
        <f>IFERROR(_xlfn.XLOOKUP(Tableau1[[#This Row],[Isin]]&amp;1&amp;2024,#REF!,Tableau3[Chiffre d''affaires]),"")</f>
        <v/>
      </c>
      <c r="AF79" s="297" t="str">
        <f>IFERROR(IF((Tableau1[[#This Row],[CA 2024]]-Tableau1[[#This Row],[CA 2019]])/Tableau1[[#This Row],[CA 2019]]=-1,"",(Tableau1[[#This Row],[CA 2024]]-Tableau1[[#This Row],[CA 2019]])/Tableau1[[#This Row],[CA 2019]]),"")</f>
        <v/>
      </c>
      <c r="AG79" s="9" t="str">
        <f>IFERROR(_xlfn.XLOOKUP(Tableau1[[#This Row],[Isin]]&amp;1&amp;2021,#REF!,Tableau3[EBE]),"")</f>
        <v/>
      </c>
      <c r="AH79" s="9" t="str">
        <f>IFERROR(_xlfn.XLOOKUP(Tableau1[[#This Row],[Isin]]&amp;1&amp;2022,#REF!,Tableau3[EBE]),"")</f>
        <v/>
      </c>
      <c r="AI79" s="43"/>
      <c r="AJ79" s="43"/>
      <c r="AK79" s="43"/>
      <c r="AL79" s="43"/>
      <c r="AM79" s="43"/>
      <c r="AN79" s="43" t="str">
        <f>IFERROR(_xlfn.XLOOKUP(Tableau1[[#This Row],[Isin]]&amp;1&amp;2021,#REF!,Tableau3[Chiffre d''affaires]),"")</f>
        <v/>
      </c>
      <c r="AO79" s="43" t="e" cm="1" vm="1">
        <f t="array" ref="AO79">_FV(Tableau1[[#This Row],[Code Excel]],"P/E",TRUE)</f>
        <v>#VALUE!</v>
      </c>
      <c r="AP79" s="43" t="str">
        <f>IFERROR(_xlfn.XLOOKUP(Tableau1[[#This Row],[Isin]]&amp;1&amp;2023,#REF!,Tableau3[Résultat Net (PdG)]),"")</f>
        <v/>
      </c>
      <c r="AQ79" s="43">
        <f>IF(IFERROR(_xlfn.XLOOKUP(Tableau1[[#This Row],[Isin]]&amp;1&amp;2022,#REF!,Tableau3[Résultat Net (PdG)]),"")="",Tableau1[[#This Row],[RN Groupe 2022
Manuel]],IFERROR(_xlfn.XLOOKUP(Tableau1[[#This Row],[Isin]]&amp;1&amp;2022,#REF!,Tableau3[Résultat Net (PdG)]),""))</f>
        <v>0</v>
      </c>
      <c r="AR79" s="43"/>
      <c r="AS79" s="43">
        <f>IF(IFERROR(_xlfn.XLOOKUP(Tableau1[[#This Row],[Isin]]&amp;1&amp;2021,#REF!,Tableau3[Résultat Net (PdG)]),"")="",Tableau1[[#This Row],[RN Groupe 2021
Manuel]],IFERROR(_xlfn.XLOOKUP(Tableau1[[#This Row],[Isin]]&amp;1&amp;2021,#REF!,Tableau3[Résultat Net (PdG)]),""))</f>
        <v>0</v>
      </c>
      <c r="AT79" s="43"/>
      <c r="AU79" s="43"/>
      <c r="AV79" s="43"/>
      <c r="AW79" s="43"/>
      <c r="AX79" s="43"/>
      <c r="AY79" s="43" t="str">
        <f>IFERROR(_xlfn.XLOOKUP(Tableau1[[#This Row],[Isin]]&amp;1&amp;2016,#REF!,Tableau3[Résultat Net (PdG)]),"")</f>
        <v/>
      </c>
      <c r="AZ79" s="137" t="str">
        <f>IFERROR(Tableau1[[#This Row],[Capitalisation boursière]]/Tableau1[[#This Row],[RN Groupe 2023]],"")</f>
        <v/>
      </c>
      <c r="BA79" s="43" t="str" cm="1">
        <f t="array" ref="BA79">IFERROR(_FV(Tableau1[[#This Row],[Code Excel]],"Industrie"),"")</f>
        <v/>
      </c>
      <c r="BB79" s="43"/>
      <c r="BC79" s="43" t="str">
        <f>IFERROR(_xlfn.XLOOKUP(Tableau1[[#This Row],[Isin]]&amp;1&amp;2016,#REF!,Tableau3[Capi]),"")</f>
        <v/>
      </c>
      <c r="BD79" s="43" t="str">
        <f>IFERROR(_xlfn.XLOOKUP(Tableau1[[#This Row],[Isin]]&amp;1&amp;2017,#REF!,Tableau3[Capi]),"")</f>
        <v/>
      </c>
      <c r="BE79" s="43" t="str">
        <f>IFERROR(_xlfn.XLOOKUP(Tableau1[[#This Row],[Isin]]&amp;1&amp;2018,#REF!,Tableau3[Capi]),"")</f>
        <v/>
      </c>
      <c r="BF79" s="43" t="str">
        <f>IFERROR(_xlfn.XLOOKUP(Tableau1[[#This Row],[Isin]]&amp;1&amp;2019,#REF!,Tableau3[Capi]),"")</f>
        <v/>
      </c>
      <c r="BG79" s="43" t="str">
        <f>IFERROR(_xlfn.XLOOKUP(Tableau1[[#This Row],[Isin]]&amp;1&amp;2020,#REF!,Tableau3[Capi]),"")</f>
        <v/>
      </c>
      <c r="BH79" s="43">
        <f>IF(IFERROR(_xlfn.XLOOKUP(Tableau1[[#This Row],[Isin]]&amp;1&amp;2021,#REF!,Tableau3[Capi]),"")="",Tableau1[[#This Row],[Capitalisation 2021
Manuel]],IFERROR(_xlfn.XLOOKUP(Tableau1[[#This Row],[Isin]]&amp;1&amp;2021,#REF!,Tableau3[Capi]),""))</f>
        <v>0</v>
      </c>
      <c r="BI79" s="43"/>
      <c r="BJ79" s="43">
        <f>IF(IFERROR(_xlfn.XLOOKUP(Tableau1[[#This Row],[Isin]]&amp;1&amp;2022,#REF!,Tableau3[Capi]),"")="",Tableau1[[#This Row],[Capitalisation 2022
Manuel]],IFERROR(_xlfn.XLOOKUP(Tableau1[[#This Row],[Isin]]&amp;1&amp;2022,#REF!,Tableau3[Capi]),""))</f>
        <v>0</v>
      </c>
      <c r="BK79" s="43"/>
      <c r="BL79" s="43" t="str">
        <f>Tableau1[[#This Row],[Capitalisation boursière]]</f>
        <v/>
      </c>
      <c r="BM79" s="162" t="e" cm="1" vm="2">
        <f t="array" ref="BM79">_FV(Tableau1[[#This Row],[Code Excel]],"Description")</f>
        <v>#VALUE!</v>
      </c>
      <c r="BN79" s="43"/>
      <c r="BO79" s="43"/>
      <c r="BP79" s="43"/>
      <c r="BQ79" s="43"/>
      <c r="BR79" s="4"/>
      <c r="BS79" s="21"/>
      <c r="BT79" s="13"/>
      <c r="BU79" s="13"/>
      <c r="BV79" s="13"/>
      <c r="BW79" s="13"/>
      <c r="BX79" s="13"/>
      <c r="BY79" s="3"/>
      <c r="BZ79" s="58"/>
      <c r="CA79" s="59"/>
    </row>
    <row r="80" spans="3:80">
      <c r="C80" s="43"/>
      <c r="D80" s="42">
        <f>IF(Tableau1[[#This Row],[Isin]]="",99,Tableau1[[#This Row],[Intérêt]]+Tableau1[[#This Row],[Valeur d''intérêt]]+Tableau1[[#This Row],[N° Portefeuille]])</f>
        <v>30</v>
      </c>
      <c r="E80" s="43"/>
      <c r="F80" s="42">
        <f>IF(Tableau1[[#This Row],[Portefeuille]]="p",0,Tableau1[[#This Row],[F. Investissement
Niveau d''intérêt]]*10)</f>
        <v>30</v>
      </c>
      <c r="G80" s="43">
        <f>IF(Tableau1[[#This Row],[Portefeuille]]="p",3,0)</f>
        <v>0</v>
      </c>
      <c r="H80" s="43">
        <v>3</v>
      </c>
      <c r="I80" s="43">
        <v>4</v>
      </c>
      <c r="J80" s="43"/>
      <c r="K80" s="43"/>
      <c r="L80" s="16">
        <v>1</v>
      </c>
      <c r="M8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0" s="44" t="s">
        <v>965</v>
      </c>
      <c r="O80" s="44" t="s">
        <v>4379</v>
      </c>
      <c r="P80" s="4" t="s">
        <v>84</v>
      </c>
      <c r="Q80" s="6" t="s">
        <v>85</v>
      </c>
      <c r="R80" s="6"/>
      <c r="S80" s="6" t="s">
        <v>968</v>
      </c>
      <c r="T80" s="6" t="e" vm="68">
        <v>#VALUE!</v>
      </c>
      <c r="U80" s="46" cm="1">
        <f t="array" aca="1" ref="U80" ca="1">IFERROR(_FV(Tableau1[[#This Row],[Code Excel]],"Capitalisation boursière",TRUE),"")</f>
        <v>8986481000</v>
      </c>
      <c r="V80" s="4" t="str" cm="1">
        <f t="array" aca="1" ref="V80" ca="1">IFERROR(_FV(Tableau1[[#This Row],[Code Excel]],"Industrie"),"")</f>
        <v>Food &amp; Drug Retailing</v>
      </c>
      <c r="W80" s="4" t="s">
        <v>966</v>
      </c>
      <c r="X80" s="4" t="str">
        <f ca="1">Tableau1[[#This Row],[Grand Secteur]]&amp;Tableau1[[#This Row],[Industrie]]</f>
        <v>DistributionFood &amp; Drug Retailing</v>
      </c>
      <c r="Y80" s="23" cm="1">
        <f t="array" aca="1" ref="Y80" ca="1">IFERROR(_FV(Tableau1[[#This Row],[Code Excel]],"P/E",TRUE),"")</f>
        <v>11.9505</v>
      </c>
      <c r="Z80" s="43" cm="1">
        <f t="array" aca="1" ref="Z80" ca="1">IFERROR(_FV(Tableau1[[#This Row],[Code Excel]],"Employés"),"")</f>
        <v>324750</v>
      </c>
      <c r="AA80" s="46">
        <f ca="1">IFERROR(Tableau1[[#This Row],[Capitalisation boursière]]/Tableau1[[#This Row],[Employés]],"")</f>
        <v>27671.996920708236</v>
      </c>
      <c r="AB80" s="5" t="str">
        <f>IFERROR(Tableau1[[#This Row],[REX (2021)]]/Tableau1[[#This Row],[CA 2024]],"")</f>
        <v/>
      </c>
      <c r="AC80" s="9" t="str">
        <f>IFERROR(_xlfn.XLOOKUP(Tableau1[[#This Row],[Isin]]&amp;1&amp;2021,#REF!,Tableau3[Résultat d''exploitation]),"")</f>
        <v/>
      </c>
      <c r="AD80" s="9" t="str">
        <f>IFERROR(_xlfn.XLOOKUP(Tableau1[[#This Row],[Isin]]&amp;1&amp;2019,#REF!,Tableau3[Chiffre d''affaires]),"")</f>
        <v/>
      </c>
      <c r="AE80" s="9" t="str">
        <f>IFERROR(_xlfn.XLOOKUP(Tableau1[[#This Row],[Isin]]&amp;1&amp;2024,#REF!,Tableau3[Chiffre d''affaires]),"")</f>
        <v/>
      </c>
      <c r="AF80" s="8" t="str">
        <f>IFERROR(IF((Tableau1[[#This Row],[CA 2024]]-Tableau1[[#This Row],[CA 2019]])/Tableau1[[#This Row],[CA 2019]]=-1,"",(Tableau1[[#This Row],[CA 2024]]-Tableau1[[#This Row],[CA 2019]])/Tableau1[[#This Row],[CA 2019]]),"")</f>
        <v/>
      </c>
      <c r="AG80" s="9" t="str">
        <f>IFERROR(_xlfn.XLOOKUP(Tableau1[[#This Row],[Isin]]&amp;1&amp;2021,#REF!,Tableau3[EBE]),"")</f>
        <v/>
      </c>
      <c r="AH80" s="9" t="str">
        <f>IFERROR(_xlfn.XLOOKUP(Tableau1[[#This Row],[Isin]]&amp;1&amp;2022,#REF!,Tableau3[EBE]),"")</f>
        <v/>
      </c>
      <c r="AI80" s="43" t="s">
        <v>3419</v>
      </c>
      <c r="AJ80" s="43" t="s">
        <v>3150</v>
      </c>
      <c r="AK80" s="43" t="s">
        <v>3149</v>
      </c>
      <c r="AL80" s="43" t="s">
        <v>3431</v>
      </c>
      <c r="AM80" s="43"/>
      <c r="AN80" s="9" t="str">
        <f>IFERROR(_xlfn.XLOOKUP(Tableau1[[#This Row],[Isin]]&amp;1&amp;2021,#REF!,Tableau3[Chiffre d''affaires]),"")</f>
        <v/>
      </c>
      <c r="AO80" s="43" cm="1">
        <f t="array" aca="1" ref="AO80" ca="1">_FV(Tableau1[[#This Row],[Code Excel]],"P/E",TRUE)</f>
        <v>11.9505</v>
      </c>
      <c r="AP80" s="43" t="str">
        <f>IFERROR(_xlfn.XLOOKUP(Tableau1[[#This Row],[Isin]]&amp;1&amp;2023,#REF!,Tableau3[Résultat Net (PdG)]),"")</f>
        <v/>
      </c>
      <c r="AQ80" s="43">
        <f>IF(IFERROR(_xlfn.XLOOKUP(Tableau1[[#This Row],[Isin]]&amp;1&amp;2022,#REF!,Tableau3[Résultat Net (PdG)]),"")="",Tableau1[[#This Row],[RN Groupe 2022
Manuel]],IFERROR(_xlfn.XLOOKUP(Tableau1[[#This Row],[Isin]]&amp;1&amp;2022,#REF!,Tableau3[Résultat Net (PdG)]),""))</f>
        <v>1210000000</v>
      </c>
      <c r="AR80" s="140">
        <v>1210000000</v>
      </c>
      <c r="AS80" s="43">
        <f>IF(IFERROR(_xlfn.XLOOKUP(Tableau1[[#This Row],[Isin]]&amp;1&amp;2021,#REF!,Tableau3[Résultat Net (PdG)]),"")="",Tableau1[[#This Row],[RN Groupe 2021
Manuel]],IFERROR(_xlfn.XLOOKUP(Tableau1[[#This Row],[Isin]]&amp;1&amp;2021,#REF!,Tableau3[Résultat Net (PdG)]),""))</f>
        <v>0</v>
      </c>
      <c r="AT80" s="140"/>
      <c r="AU80" s="43" t="str">
        <f>IFERROR(_xlfn.XLOOKUP(Tableau1[[#This Row],[Isin]]&amp;1&amp;2020,#REF!,Tableau3[Résultat Net (PdG)]),"")</f>
        <v/>
      </c>
      <c r="AV80" s="43" t="str">
        <f>IFERROR(_xlfn.XLOOKUP(Tableau1[[#This Row],[Isin]]&amp;1&amp;2019,#REF!,Tableau3[Résultat Net (PdG)]),"")</f>
        <v/>
      </c>
      <c r="AW80" s="43" t="str">
        <f>IFERROR(_xlfn.XLOOKUP(Tableau1[[#This Row],[Isin]]&amp;1&amp;2018,#REF!,Tableau3[Résultat Net (PdG)]),"")</f>
        <v/>
      </c>
      <c r="AX80" s="43" t="str">
        <f>IFERROR(_xlfn.XLOOKUP(Tableau1[[#This Row],[Isin]]&amp;1&amp;2017,#REF!,Tableau3[Résultat Net (PdG)]),"")</f>
        <v/>
      </c>
      <c r="AY80" s="43" t="str">
        <f>IFERROR(_xlfn.XLOOKUP(Tableau1[[#This Row],[Isin]]&amp;1&amp;2016,#REF!,Tableau3[Résultat Net (PdG)]),"")</f>
        <v/>
      </c>
      <c r="AZ80" s="137" t="str">
        <f ca="1">IFERROR(Tableau1[[#This Row],[Capitalisation boursière]]/Tableau1[[#This Row],[RN Groupe 2023]],"")</f>
        <v/>
      </c>
      <c r="BA80" s="4" t="str" cm="1">
        <f t="array" aca="1" ref="BA80" ca="1">IFERROR(_FV(Tableau1[[#This Row],[Code Excel]],"Industrie"),"")</f>
        <v>Food &amp; Drug Retailing</v>
      </c>
      <c r="BB80" s="43" t="s">
        <v>3518</v>
      </c>
      <c r="BC80" s="43" t="str">
        <f>IFERROR(_xlfn.XLOOKUP(Tableau1[[#This Row],[Isin]]&amp;1&amp;2016,#REF!,Tableau3[Capi]),"")</f>
        <v/>
      </c>
      <c r="BD80" s="43" t="str">
        <f>IFERROR(_xlfn.XLOOKUP(Tableau1[[#This Row],[Isin]]&amp;1&amp;2017,#REF!,Tableau3[Capi]),"")</f>
        <v/>
      </c>
      <c r="BE80" s="43" t="str">
        <f>IFERROR(_xlfn.XLOOKUP(Tableau1[[#This Row],[Isin]]&amp;1&amp;2018,#REF!,Tableau3[Capi]),"")</f>
        <v/>
      </c>
      <c r="BF80" s="43" t="str">
        <f>IFERROR(_xlfn.XLOOKUP(Tableau1[[#This Row],[Isin]]&amp;1&amp;2019,#REF!,Tableau3[Capi]),"")</f>
        <v/>
      </c>
      <c r="BG80" s="43" t="str">
        <f>IFERROR(_xlfn.XLOOKUP(Tableau1[[#This Row],[Isin]]&amp;1&amp;2020,#REF!,Tableau3[Capi]),"")</f>
        <v/>
      </c>
      <c r="BH80" s="43">
        <f>IF(IFERROR(_xlfn.XLOOKUP(Tableau1[[#This Row],[Isin]]&amp;1&amp;2021,#REF!,Tableau3[Capi]),"")="",Tableau1[[#This Row],[Capitalisation 2021
Manuel]],IFERROR(_xlfn.XLOOKUP(Tableau1[[#This Row],[Isin]]&amp;1&amp;2021,#REF!,Tableau3[Capi]),""))</f>
        <v>0</v>
      </c>
      <c r="BI80" s="142"/>
      <c r="BJ80" s="141">
        <f>IF(IFERROR(_xlfn.XLOOKUP(Tableau1[[#This Row],[Isin]]&amp;1&amp;2022,#REF!,Tableau3[Capi]),"")="",Tableau1[[#This Row],[Capitalisation 2022
Manuel]],IFERROR(_xlfn.XLOOKUP(Tableau1[[#This Row],[Isin]]&amp;1&amp;2022,#REF!,Tableau3[Capi]),""))</f>
        <v>11996659000</v>
      </c>
      <c r="BK80" s="142">
        <v>11996659000</v>
      </c>
      <c r="BL80" s="43">
        <f ca="1">Tableau1[[#This Row],[Capitalisation boursière]]</f>
        <v>8986481000</v>
      </c>
      <c r="BM80" s="162" t="str" cm="1">
        <f t="array" aca="1" ref="BM80" ca="1">_FV(Tableau1[[#This Row],[Code Excel]],"Description")</f>
        <v>Carrefour sa est un groupe de distribution au détail basé en France, qui opère sur quatre segments géographiques : la France, le reste de l'Europe, l'Amérique latine et l'Asie. Le Groupe exploite plus de 12 000 magasins et sites e-commerce dans plus de 30 pays à travers le monde. Ses magasins existent dans une variété de formats et de canaux, tels que les hypermarchés, les supermarchés, les dépanneurs, les magasins de trésorerie et de transport, les magasins hyper cash, les lecteurs et le commerce électronique. Son offre de produits comprend une large gamme de produits frais locaux, des viandes préparées sur place, du poisson frais, ainsi que des produits de boulangerie, des biens de consommation et des produits non alimentaires. En outre, le Groupe offre des services complémentaires, notamment des points de retrait des colis, la copie de clés, la location de véhicules, les pharmacies et soins de santé/beauté, la livraison de mazout, des services financiers et d'assurance, ainsi que des services de loisirs, tels que des agences de voyages, des billets pour des spectacles et des services photo, entre autres.</v>
      </c>
      <c r="BN80" s="43"/>
      <c r="BO80" s="43"/>
      <c r="BP80" s="43"/>
      <c r="BQ80" s="43"/>
      <c r="BR80" s="4"/>
      <c r="BS80" s="21"/>
      <c r="BT80" s="13"/>
      <c r="BU80" s="13"/>
      <c r="BV80" s="13"/>
      <c r="BW80" s="13"/>
      <c r="BX80" s="13"/>
      <c r="BY80" s="3"/>
      <c r="BZ80" s="58"/>
      <c r="CA80" s="59"/>
    </row>
    <row r="81" spans="3:82">
      <c r="C81" s="42"/>
      <c r="D81" s="42">
        <f>IF(Tableau1[[#This Row],[Isin]]="",99,Tableau1[[#This Row],[Intérêt]]+Tableau1[[#This Row],[Valeur d''intérêt]]+Tableau1[[#This Row],[N° Portefeuille]])</f>
        <v>30</v>
      </c>
      <c r="E81" s="42"/>
      <c r="F81" s="42">
        <f>IF(Tableau1[[#This Row],[Portefeuille]]="p",0,Tableau1[[#This Row],[F. Investissement
Niveau d''intérêt]]*10)</f>
        <v>30</v>
      </c>
      <c r="G81" s="42">
        <f>IF(Tableau1[[#This Row],[Portefeuille]]="p",3,0)</f>
        <v>0</v>
      </c>
      <c r="H81" s="42">
        <v>3</v>
      </c>
      <c r="I81" s="42">
        <v>4</v>
      </c>
      <c r="J81" s="42"/>
      <c r="K81" s="43"/>
      <c r="L81" s="16">
        <v>0</v>
      </c>
      <c r="M8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1" s="44" t="s">
        <v>3657</v>
      </c>
      <c r="O81" s="45"/>
      <c r="P81" s="4" t="s">
        <v>84</v>
      </c>
      <c r="Q81" s="4"/>
      <c r="R81" s="6"/>
      <c r="S81" s="6" t="s">
        <v>3658</v>
      </c>
      <c r="T81" s="6" t="e" vm="69">
        <v>#VALUE!</v>
      </c>
      <c r="U81" s="46" cm="1">
        <f t="array" aca="1" ref="U81" ca="1">IFERROR(_FV(Tableau1[[#This Row],[Code Excel]],"Capitalisation boursière",TRUE),"")</f>
        <v>257042400</v>
      </c>
      <c r="V81" s="4" t="str" cm="1">
        <f t="array" aca="1" ref="V81" ca="1">IFERROR(_FV(Tableau1[[#This Row],[Code Excel]],"Industrie"),"")</f>
        <v>Food &amp; Drug Retailing</v>
      </c>
      <c r="W81" s="4" t="s">
        <v>966</v>
      </c>
      <c r="X81" s="4" t="str">
        <f ca="1">Tableau1[[#This Row],[Grand Secteur]]&amp;Tableau1[[#This Row],[Industrie]]</f>
        <v>DistributionFood &amp; Drug Retailing</v>
      </c>
      <c r="Y81" s="23" t="str" cm="1">
        <f t="array" ref="Y81">IFERROR(_FV(Tableau1[[#This Row],[Code Excel]],"P/E",TRUE),"")</f>
        <v/>
      </c>
      <c r="Z81" s="43" cm="1">
        <f t="array" aca="1" ref="Z81" ca="1">IFERROR(_FV(Tableau1[[#This Row],[Code Excel]],"Employés"),"")</f>
        <v>24078</v>
      </c>
      <c r="AA81" s="46">
        <f ca="1">IFERROR(Tableau1[[#This Row],[Capitalisation boursière]]/Tableau1[[#This Row],[Employés]],"")</f>
        <v>10675.404933964615</v>
      </c>
      <c r="AB81" s="5" t="str">
        <f>IFERROR(Tableau1[[#This Row],[REX (2021)]]/Tableau1[[#This Row],[CA 2024]],"")</f>
        <v/>
      </c>
      <c r="AC81" s="9" t="str">
        <f>IFERROR(_xlfn.XLOOKUP(Tableau1[[#This Row],[Isin]]&amp;1&amp;2021,#REF!,Tableau3[Résultat d''exploitation]),"")</f>
        <v/>
      </c>
      <c r="AD81" s="9" t="str">
        <f>IFERROR(_xlfn.XLOOKUP(Tableau1[[#This Row],[Isin]]&amp;1&amp;2019,#REF!,Tableau3[Chiffre d''affaires]),"")</f>
        <v/>
      </c>
      <c r="AE81" s="9" t="str">
        <f>IFERROR(_xlfn.XLOOKUP(Tableau1[[#This Row],[Isin]]&amp;1&amp;2024,#REF!,Tableau3[Chiffre d''affaires]),"")</f>
        <v/>
      </c>
      <c r="AF81" s="8" t="str">
        <f>IFERROR(IF((Tableau1[[#This Row],[CA 2024]]-Tableau1[[#This Row],[CA 2019]])/Tableau1[[#This Row],[CA 2019]]=-1,"",(Tableau1[[#This Row],[CA 2024]]-Tableau1[[#This Row],[CA 2019]])/Tableau1[[#This Row],[CA 2019]]),"")</f>
        <v/>
      </c>
      <c r="AG81" s="9" t="str">
        <f>IFERROR(_xlfn.XLOOKUP(Tableau1[[#This Row],[Isin]]&amp;1&amp;2021,#REF!,Tableau3[EBE]),"")</f>
        <v/>
      </c>
      <c r="AH81" s="9" t="str">
        <f>IFERROR(_xlfn.XLOOKUP(Tableau1[[#This Row],[Isin]]&amp;1&amp;2022,#REF!,Tableau3[EBE]),"")</f>
        <v/>
      </c>
      <c r="AI81" s="43" t="s">
        <v>3419</v>
      </c>
      <c r="AJ81" s="43" t="s">
        <v>3150</v>
      </c>
      <c r="AK81" s="43" t="s">
        <v>3149</v>
      </c>
      <c r="AL81" s="43"/>
      <c r="AM81" s="43"/>
      <c r="AN81" s="9" t="str">
        <f>IFERROR(_xlfn.XLOOKUP(Tableau1[[#This Row],[Isin]]&amp;1&amp;2021,#REF!,Tableau3[Chiffre d''affaires]),"")</f>
        <v/>
      </c>
      <c r="AO81" s="43" t="e" cm="1" vm="1">
        <f t="array" ref="AO81">_FV(Tableau1[[#This Row],[Code Excel]],"P/E",TRUE)</f>
        <v>#VALUE!</v>
      </c>
      <c r="AP81" s="43" t="str">
        <f>IFERROR(_xlfn.XLOOKUP(Tableau1[[#This Row],[Isin]]&amp;1&amp;2023,#REF!,Tableau3[Résultat Net (PdG)]),"")</f>
        <v/>
      </c>
      <c r="AQ81" s="43">
        <f>IF(IFERROR(_xlfn.XLOOKUP(Tableau1[[#This Row],[Isin]]&amp;1&amp;2022,#REF!,Tableau3[Résultat Net (PdG)]),"")="",Tableau1[[#This Row],[RN Groupe 2022
Manuel]],IFERROR(_xlfn.XLOOKUP(Tableau1[[#This Row],[Isin]]&amp;1&amp;2022,#REF!,Tableau3[Résultat Net (PdG)]),""))</f>
        <v>0</v>
      </c>
      <c r="AR81" s="43"/>
      <c r="AS81" s="43">
        <f>IF(IFERROR(_xlfn.XLOOKUP(Tableau1[[#This Row],[Isin]]&amp;1&amp;2021,#REF!,Tableau3[Résultat Net (PdG)]),"")="",Tableau1[[#This Row],[RN Groupe 2021
Manuel]],IFERROR(_xlfn.XLOOKUP(Tableau1[[#This Row],[Isin]]&amp;1&amp;2021,#REF!,Tableau3[Résultat Net (PdG)]),""))</f>
        <v>0</v>
      </c>
      <c r="AT81" s="43"/>
      <c r="AU81" s="43" t="str">
        <f>IFERROR(_xlfn.XLOOKUP(Tableau1[[#This Row],[Isin]]&amp;1&amp;2020,#REF!,Tableau3[Résultat Net (PdG)]),"")</f>
        <v/>
      </c>
      <c r="AV81" s="43" t="str">
        <f>IFERROR(_xlfn.XLOOKUP(Tableau1[[#This Row],[Isin]]&amp;1&amp;2019,#REF!,Tableau3[Résultat Net (PdG)]),"")</f>
        <v/>
      </c>
      <c r="AW81" s="43" t="str">
        <f>IFERROR(_xlfn.XLOOKUP(Tableau1[[#This Row],[Isin]]&amp;1&amp;2018,#REF!,Tableau3[Résultat Net (PdG)]),"")</f>
        <v/>
      </c>
      <c r="AX81" s="43" t="str">
        <f>IFERROR(_xlfn.XLOOKUP(Tableau1[[#This Row],[Isin]]&amp;1&amp;2017,#REF!,Tableau3[Résultat Net (PdG)]),"")</f>
        <v/>
      </c>
      <c r="AY81" s="43" t="str">
        <f>IFERROR(_xlfn.XLOOKUP(Tableau1[[#This Row],[Isin]]&amp;1&amp;2016,#REF!,Tableau3[Résultat Net (PdG)]),"")</f>
        <v/>
      </c>
      <c r="AZ81" s="137" t="str">
        <f ca="1">IFERROR(Tableau1[[#This Row],[Capitalisation boursière]]/Tableau1[[#This Row],[RN Groupe 2023]],"")</f>
        <v/>
      </c>
      <c r="BA81" s="4" t="str" cm="1">
        <f t="array" aca="1" ref="BA81" ca="1">IFERROR(_FV(Tableau1[[#This Row],[Code Excel]],"Industrie"),"")</f>
        <v>Food &amp; Drug Retailing</v>
      </c>
      <c r="BB81" s="43" t="s">
        <v>3477</v>
      </c>
      <c r="BC81" s="43" t="str">
        <f>IFERROR(_xlfn.XLOOKUP(Tableau1[[#This Row],[Isin]]&amp;1&amp;2016,#REF!,Tableau3[Capi]),"")</f>
        <v/>
      </c>
      <c r="BD81" s="43" t="str">
        <f>IFERROR(_xlfn.XLOOKUP(Tableau1[[#This Row],[Isin]]&amp;1&amp;2017,#REF!,Tableau3[Capi]),"")</f>
        <v/>
      </c>
      <c r="BE81" s="43" t="str">
        <f>IFERROR(_xlfn.XLOOKUP(Tableau1[[#This Row],[Isin]]&amp;1&amp;2018,#REF!,Tableau3[Capi]),"")</f>
        <v/>
      </c>
      <c r="BF81" s="43" t="str">
        <f>IFERROR(_xlfn.XLOOKUP(Tableau1[[#This Row],[Isin]]&amp;1&amp;2019,#REF!,Tableau3[Capi]),"")</f>
        <v/>
      </c>
      <c r="BG81" s="43" t="str">
        <f>IFERROR(_xlfn.XLOOKUP(Tableau1[[#This Row],[Isin]]&amp;1&amp;2020,#REF!,Tableau3[Capi]),"")</f>
        <v/>
      </c>
      <c r="BH81" s="43">
        <f>IF(IFERROR(_xlfn.XLOOKUP(Tableau1[[#This Row],[Isin]]&amp;1&amp;2021,#REF!,Tableau3[Capi]),"")="",Tableau1[[#This Row],[Capitalisation 2021
Manuel]],IFERROR(_xlfn.XLOOKUP(Tableau1[[#This Row],[Isin]]&amp;1&amp;2021,#REF!,Tableau3[Capi]),""))</f>
        <v>0</v>
      </c>
      <c r="BI81" s="43"/>
      <c r="BJ81" s="43">
        <f>IF(IFERROR(_xlfn.XLOOKUP(Tableau1[[#This Row],[Isin]]&amp;1&amp;2022,#REF!,Tableau3[Capi]),"")="",Tableau1[[#This Row],[Capitalisation 2022
Manuel]],IFERROR(_xlfn.XLOOKUP(Tableau1[[#This Row],[Isin]]&amp;1&amp;2022,#REF!,Tableau3[Capi]),""))</f>
        <v>0</v>
      </c>
      <c r="BK81" s="43"/>
      <c r="BL81" s="43">
        <f ca="1">Tableau1[[#This Row],[Capitalisation boursière]]</f>
        <v>257042400</v>
      </c>
      <c r="BM81" s="162" t="str" cm="1">
        <f t="array" aca="1" ref="BM81" ca="1">_FV(Tableau1[[#This Row],[Code Excel]],"Description")</f>
        <v>Casino Guichard Perrachon SA est une société française de distribution alimentaire qui gère des magasins en France et à l’étranger. La Société opère dans tous les formats d’aliments et de produits non alimentaires : hypermarchés, supermarchés, dépanneurs, magasins de rabais et magasins de gros. En France, la Société opère sous des marques diversifiées telles que : hypermarchés, supermarchés Casino, Monoprix, Franprix, Leader Price, Spar, Vival, Le Petit Casino, Casino Restauration. À l’étranger, la Société exerce ses activités en Amérique du Sud, notamment au Brésil et en Colombie. La société est active dans d’autres secteurs, tels que l’énergie où sa filiale GreenYellow est engagée dans la production d’énergie (en particulier le solaire photovoltaïque) et d’autres services énergétiques. Dans le secteur financier, sa filiale Banque Casino est la banque de détail qui simplifie l’accès aux produits bancaires et d’assurance.</v>
      </c>
      <c r="BN81" s="43"/>
      <c r="BO81" s="43"/>
      <c r="BP81" s="43"/>
      <c r="BQ81" s="43"/>
      <c r="BR81" s="4"/>
      <c r="BS81" s="21"/>
      <c r="BT81" s="13"/>
      <c r="BU81" s="13"/>
      <c r="BV81" s="13"/>
      <c r="BW81" s="13"/>
      <c r="BX81" s="13"/>
      <c r="BY81" s="3"/>
      <c r="BZ81" s="58"/>
      <c r="CA81" s="59"/>
    </row>
    <row r="82" spans="3:82">
      <c r="C82" s="43"/>
      <c r="D82" s="42">
        <f>IF(Tableau1[[#This Row],[Isin]]="",99,Tableau1[[#This Row],[Intérêt]]+Tableau1[[#This Row],[Valeur d''intérêt]]+Tableau1[[#This Row],[N° Portefeuille]])</f>
        <v>30</v>
      </c>
      <c r="E82" s="43"/>
      <c r="F82" s="42">
        <f>IF(Tableau1[[#This Row],[Portefeuille]]="p",0,Tableau1[[#This Row],[F. Investissement
Niveau d''intérêt]]*10)</f>
        <v>30</v>
      </c>
      <c r="G82" s="43">
        <f>IF(Tableau1[[#This Row],[Portefeuille]]="p",3,0)</f>
        <v>0</v>
      </c>
      <c r="H82" s="43">
        <v>3</v>
      </c>
      <c r="I82" s="43">
        <v>4</v>
      </c>
      <c r="J82" s="43"/>
      <c r="K82" s="43"/>
      <c r="L82" s="16">
        <v>0</v>
      </c>
      <c r="M8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2" s="44" t="s">
        <v>3660</v>
      </c>
      <c r="O82" s="45"/>
      <c r="P82" s="4" t="s">
        <v>382</v>
      </c>
      <c r="Q82" s="4"/>
      <c r="R82" s="6"/>
      <c r="S82" s="6" t="s">
        <v>3661</v>
      </c>
      <c r="T82" s="6" t="e" vm="70">
        <v>#VALUE!</v>
      </c>
      <c r="U82" s="46" cm="1">
        <f t="array" aca="1" ref="U82" ca="1">IFERROR(_FV(Tableau1[[#This Row],[Code Excel]],"Capitalisation boursière",TRUE),"")</f>
        <v>155282783219</v>
      </c>
      <c r="V82" s="4" t="str" cm="1">
        <f t="array" aca="1" ref="V82" ca="1">IFERROR(_FV(Tableau1[[#This Row],[Code Excel]],"Industrie"),"")</f>
        <v>Machinery, Equipment &amp; Components</v>
      </c>
      <c r="W82" s="4" t="s">
        <v>4380</v>
      </c>
      <c r="X82" s="4" t="str">
        <f ca="1">Tableau1[[#This Row],[Grand Secteur]]&amp;Tableau1[[#This Row],[Industrie]]</f>
        <v>MachinesMachinery, Equipment &amp; Components</v>
      </c>
      <c r="Y82" s="23" cm="1">
        <f t="array" aca="1" ref="Y82" ca="1">IFERROR(_FV(Tableau1[[#This Row],[Code Excel]],"P/E",TRUE),"")</f>
        <v>14.932600000000001</v>
      </c>
      <c r="Z82" s="43" cm="1">
        <f t="array" aca="1" ref="Z82" ca="1">IFERROR(_FV(Tableau1[[#This Row],[Code Excel]],"Employés"),"")</f>
        <v>112900</v>
      </c>
      <c r="AA82" s="49">
        <f ca="1">IFERROR(Tableau1[[#This Row],[Capitalisation boursière]]/Tableau1[[#This Row],[Employés]],"")</f>
        <v>1375401.0913994685</v>
      </c>
      <c r="AB82" s="5" t="str">
        <f>IFERROR(Tableau1[[#This Row],[REX (2021)]]/Tableau1[[#This Row],[CA 2024]],"")</f>
        <v/>
      </c>
      <c r="AC82" s="9" t="str">
        <f>IFERROR(_xlfn.XLOOKUP(Tableau1[[#This Row],[Isin]]&amp;1&amp;2021,#REF!,Tableau3[Résultat d''exploitation]),"")</f>
        <v/>
      </c>
      <c r="AD82" s="9" t="str">
        <f>IFERROR(_xlfn.XLOOKUP(Tableau1[[#This Row],[Isin]]&amp;1&amp;2019,#REF!,Tableau3[Chiffre d''affaires]),"")</f>
        <v/>
      </c>
      <c r="AE82" s="9" t="str">
        <f>IFERROR(_xlfn.XLOOKUP(Tableau1[[#This Row],[Isin]]&amp;1&amp;2024,#REF!,Tableau3[Chiffre d''affaires]),"")</f>
        <v/>
      </c>
      <c r="AF82" s="8" t="str">
        <f>IFERROR(IF((Tableau1[[#This Row],[CA 2024]]-Tableau1[[#This Row],[CA 2019]])/Tableau1[[#This Row],[CA 2019]]=-1,"",(Tableau1[[#This Row],[CA 2024]]-Tableau1[[#This Row],[CA 2019]])/Tableau1[[#This Row],[CA 2019]]),"")</f>
        <v/>
      </c>
      <c r="AG82" s="9" t="str">
        <f>IFERROR(_xlfn.XLOOKUP(Tableau1[[#This Row],[Isin]]&amp;1&amp;2021,#REF!,Tableau3[EBE]),"")</f>
        <v/>
      </c>
      <c r="AH82" s="9" t="str">
        <f>IFERROR(_xlfn.XLOOKUP(Tableau1[[#This Row],[Isin]]&amp;1&amp;2022,#REF!,Tableau3[EBE]),"")</f>
        <v/>
      </c>
      <c r="AI82" s="43" t="s">
        <v>4329</v>
      </c>
      <c r="AJ82" s="43" t="s">
        <v>4322</v>
      </c>
      <c r="AK82" s="43" t="s">
        <v>3431</v>
      </c>
      <c r="AL82" s="43"/>
      <c r="AM82" s="43"/>
      <c r="AN82" s="9" t="str">
        <f>IFERROR(_xlfn.XLOOKUP(Tableau1[[#This Row],[Isin]]&amp;1&amp;2021,#REF!,Tableau3[Chiffre d''affaires]),"")</f>
        <v/>
      </c>
      <c r="AO82" s="43" cm="1">
        <f t="array" aca="1" ref="AO82" ca="1">_FV(Tableau1[[#This Row],[Code Excel]],"P/E",TRUE)</f>
        <v>14.932600000000001</v>
      </c>
      <c r="AP82" s="43" t="str">
        <f>IFERROR(_xlfn.XLOOKUP(Tableau1[[#This Row],[Isin]]&amp;1&amp;2023,#REF!,Tableau3[Résultat Net (PdG)]),"")</f>
        <v/>
      </c>
      <c r="AQ82" s="43">
        <f>IF(IFERROR(_xlfn.XLOOKUP(Tableau1[[#This Row],[Isin]]&amp;1&amp;2022,#REF!,Tableau3[Résultat Net (PdG)]),"")="",Tableau1[[#This Row],[RN Groupe 2022
Manuel]],IFERROR(_xlfn.XLOOKUP(Tableau1[[#This Row],[Isin]]&amp;1&amp;2022,#REF!,Tableau3[Résultat Net (PdG)]),""))</f>
        <v>0</v>
      </c>
      <c r="AR82" s="43"/>
      <c r="AS82" s="43">
        <f>IF(IFERROR(_xlfn.XLOOKUP(Tableau1[[#This Row],[Isin]]&amp;1&amp;2021,#REF!,Tableau3[Résultat Net (PdG)]),"")="",Tableau1[[#This Row],[RN Groupe 2021
Manuel]],IFERROR(_xlfn.XLOOKUP(Tableau1[[#This Row],[Isin]]&amp;1&amp;2021,#REF!,Tableau3[Résultat Net (PdG)]),""))</f>
        <v>0</v>
      </c>
      <c r="AT82" s="43"/>
      <c r="AU82" s="43" t="str">
        <f>IFERROR(_xlfn.XLOOKUP(Tableau1[[#This Row],[Isin]]&amp;1&amp;2020,#REF!,Tableau3[Résultat Net (PdG)]),"")</f>
        <v/>
      </c>
      <c r="AV82" s="43" t="str">
        <f>IFERROR(_xlfn.XLOOKUP(Tableau1[[#This Row],[Isin]]&amp;1&amp;2019,#REF!,Tableau3[Résultat Net (PdG)]),"")</f>
        <v/>
      </c>
      <c r="AW82" s="43" t="str">
        <f>IFERROR(_xlfn.XLOOKUP(Tableau1[[#This Row],[Isin]]&amp;1&amp;2018,#REF!,Tableau3[Résultat Net (PdG)]),"")</f>
        <v/>
      </c>
      <c r="AX82" s="43" t="str">
        <f>IFERROR(_xlfn.XLOOKUP(Tableau1[[#This Row],[Isin]]&amp;1&amp;2017,#REF!,Tableau3[Résultat Net (PdG)]),"")</f>
        <v/>
      </c>
      <c r="AY82" s="43" t="str">
        <f>IFERROR(_xlfn.XLOOKUP(Tableau1[[#This Row],[Isin]]&amp;1&amp;2016,#REF!,Tableau3[Résultat Net (PdG)]),"")</f>
        <v/>
      </c>
      <c r="AZ82" s="137" t="str">
        <f ca="1">IFERROR(Tableau1[[#This Row],[Capitalisation boursière]]/Tableau1[[#This Row],[RN Groupe 2023]],"")</f>
        <v/>
      </c>
      <c r="BA82" s="4" t="str" cm="1">
        <f t="array" aca="1" ref="BA82" ca="1">IFERROR(_FV(Tableau1[[#This Row],[Code Excel]],"Industrie"),"")</f>
        <v>Machinery, Equipment &amp; Components</v>
      </c>
      <c r="BB82" s="43" t="s">
        <v>3464</v>
      </c>
      <c r="BC82" s="43" t="str">
        <f>IFERROR(_xlfn.XLOOKUP(Tableau1[[#This Row],[Isin]]&amp;1&amp;2016,#REF!,Tableau3[Capi]),"")</f>
        <v/>
      </c>
      <c r="BD82" s="43" t="str">
        <f>IFERROR(_xlfn.XLOOKUP(Tableau1[[#This Row],[Isin]]&amp;1&amp;2017,#REF!,Tableau3[Capi]),"")</f>
        <v/>
      </c>
      <c r="BE82" s="43" t="str">
        <f>IFERROR(_xlfn.XLOOKUP(Tableau1[[#This Row],[Isin]]&amp;1&amp;2018,#REF!,Tableau3[Capi]),"")</f>
        <v/>
      </c>
      <c r="BF82" s="43" t="str">
        <f>IFERROR(_xlfn.XLOOKUP(Tableau1[[#This Row],[Isin]]&amp;1&amp;2019,#REF!,Tableau3[Capi]),"")</f>
        <v/>
      </c>
      <c r="BG82" s="43" t="str">
        <f>IFERROR(_xlfn.XLOOKUP(Tableau1[[#This Row],[Isin]]&amp;1&amp;2020,#REF!,Tableau3[Capi]),"")</f>
        <v/>
      </c>
      <c r="BH82" s="43">
        <f>IF(IFERROR(_xlfn.XLOOKUP(Tableau1[[#This Row],[Isin]]&amp;1&amp;2021,#REF!,Tableau3[Capi]),"")="",Tableau1[[#This Row],[Capitalisation 2021
Manuel]],IFERROR(_xlfn.XLOOKUP(Tableau1[[#This Row],[Isin]]&amp;1&amp;2021,#REF!,Tableau3[Capi]),""))</f>
        <v>0</v>
      </c>
      <c r="BI82" s="43"/>
      <c r="BJ82" s="43">
        <f>IF(IFERROR(_xlfn.XLOOKUP(Tableau1[[#This Row],[Isin]]&amp;1&amp;2022,#REF!,Tableau3[Capi]),"")="",Tableau1[[#This Row],[Capitalisation 2022
Manuel]],IFERROR(_xlfn.XLOOKUP(Tableau1[[#This Row],[Isin]]&amp;1&amp;2022,#REF!,Tableau3[Capi]),""))</f>
        <v>0</v>
      </c>
      <c r="BK82" s="43"/>
      <c r="BL82" s="43">
        <f ca="1">Tableau1[[#This Row],[Capitalisation boursière]]</f>
        <v>155282783219</v>
      </c>
      <c r="BM82" s="162" t="str" cm="1">
        <f t="array" aca="1" ref="BM82" ca="1">_FV(Tableau1[[#This Row],[Code Excel]],"Description")</f>
        <v>Caterpillar Inc est un fabricant de matériel de construction et d'exploitation minière, de moteurs diesel et à gaz naturel pour véhicules de chantier, de turbines à gaz industrielles et de locomotives diesel-électriques. La Société opère dans ses trois secteurs principaux : les industries de la construction, les industries des ressources et l'énergie et le transport. Elle fournit également des services de financement et des services connexes par l'intermédiaire de son secteur produits financiers. Le secteur construction Industries est principalement responsable de l'assistance aux clients utilisant des machines dans les applications de construction d'infrastructures et de bâtiments. Le secteur Resource Industries est principalement responsable de l'assistance aux clients utilisant des machines dans les mines, la construction lourde, les carrières et les granulats. Le secteur énergie et transport est principalement chargé de soutenir les clients utilisant des moteurs alternatifs, des turbines, des locomotives diesel-électriques et des services connexes dans les industries du pétrole et du gaz, de la production d'électricité, des applications industrielles et des transports.</v>
      </c>
      <c r="BN82" s="43"/>
      <c r="BO82" s="43"/>
      <c r="BP82" s="43"/>
      <c r="BQ82" s="43"/>
      <c r="BR82" s="4"/>
      <c r="BS82" s="21"/>
      <c r="BT82" s="13"/>
      <c r="BU82" s="13"/>
      <c r="BV82" s="13"/>
      <c r="BW82" s="13"/>
      <c r="BX82" s="13"/>
      <c r="BY82" s="3"/>
      <c r="BZ82" s="58"/>
      <c r="CA82" s="59"/>
    </row>
    <row r="83" spans="3:82">
      <c r="C83" s="42"/>
      <c r="D83" s="42">
        <f>IF(Tableau1[[#This Row],[Isin]]="",99,Tableau1[[#This Row],[Intérêt]]+Tableau1[[#This Row],[Valeur d''intérêt]]+Tableau1[[#This Row],[N° Portefeuille]])</f>
        <v>30</v>
      </c>
      <c r="E83" s="42"/>
      <c r="F83" s="42">
        <f>IF(Tableau1[[#This Row],[Portefeuille]]="p",0,Tableau1[[#This Row],[F. Investissement
Niveau d''intérêt]]*10)</f>
        <v>30</v>
      </c>
      <c r="G83" s="42">
        <f>IF(Tableau1[[#This Row],[Portefeuille]]="p",3,0)</f>
        <v>0</v>
      </c>
      <c r="H83" s="42">
        <v>3</v>
      </c>
      <c r="I83" s="42">
        <v>4</v>
      </c>
      <c r="J83" s="42"/>
      <c r="K83" s="43"/>
      <c r="L83" s="16">
        <v>1</v>
      </c>
      <c r="M8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3" s="44" t="s">
        <v>2848</v>
      </c>
      <c r="O83" s="44" t="s">
        <v>4381</v>
      </c>
      <c r="P83" s="4" t="s">
        <v>765</v>
      </c>
      <c r="Q83" s="6" t="s">
        <v>85</v>
      </c>
      <c r="R83" s="4"/>
      <c r="S83" s="6" t="s">
        <v>2851</v>
      </c>
      <c r="T83" s="6" t="e" vm="71">
        <v>#VALUE!</v>
      </c>
      <c r="U83" s="46" cm="1">
        <f t="array" aca="1" ref="U83" ca="1">IFERROR(_FV(Tableau1[[#This Row],[Code Excel]],"Capitalisation boursière",TRUE),"")</f>
        <v>23447920000</v>
      </c>
      <c r="V83" s="4" t="str" cm="1">
        <f t="array" aca="1" ref="V83" ca="1">IFERROR(_FV(Tableau1[[#This Row],[Code Excel]],"Industrie"),"")</f>
        <v>Telecommunications Services</v>
      </c>
      <c r="W83" s="4" t="s">
        <v>1737</v>
      </c>
      <c r="X83" s="4" t="str">
        <f ca="1">Tableau1[[#This Row],[Grand Secteur]]&amp;Tableau1[[#This Row],[Industrie]]</f>
        <v>TélécommunicationTelecommunications Services</v>
      </c>
      <c r="Y83" s="23" cm="1">
        <f t="array" aca="1" ref="Y83" ca="1">IFERROR(_FV(Tableau1[[#This Row],[Code Excel]],"P/E",TRUE),"")</f>
        <v>3044.9540999999999</v>
      </c>
      <c r="Z83" s="43" cm="1">
        <f t="array" aca="1" ref="Z83" ca="1">IFERROR(_FV(Tableau1[[#This Row],[Code Excel]],"Employés"),"")</f>
        <v>2663</v>
      </c>
      <c r="AA83" s="49">
        <f ca="1">IFERROR(Tableau1[[#This Row],[Capitalisation boursière]]/Tableau1[[#This Row],[Employés]],"")</f>
        <v>8805076.9808486663</v>
      </c>
      <c r="AB83" s="5" t="str">
        <f>IFERROR(Tableau1[[#This Row],[REX (2021)]]/Tableau1[[#This Row],[CA 2024]],"")</f>
        <v/>
      </c>
      <c r="AC83" s="9" t="str">
        <f>IFERROR(_xlfn.XLOOKUP(Tableau1[[#This Row],[Isin]]&amp;1&amp;2021,#REF!,Tableau3[Résultat d''exploitation]),"")</f>
        <v/>
      </c>
      <c r="AD83" s="9" t="str">
        <f>IFERROR(_xlfn.XLOOKUP(Tableau1[[#This Row],[Isin]]&amp;1&amp;2019,#REF!,Tableau3[Chiffre d''affaires]),"")</f>
        <v/>
      </c>
      <c r="AE83" s="9" t="str">
        <f>IFERROR(_xlfn.XLOOKUP(Tableau1[[#This Row],[Isin]]&amp;1&amp;2024,#REF!,Tableau3[Chiffre d''affaires]),"")</f>
        <v/>
      </c>
      <c r="AF83" s="8" t="str">
        <f>IFERROR(IF((Tableau1[[#This Row],[CA 2024]]-Tableau1[[#This Row],[CA 2019]])/Tableau1[[#This Row],[CA 2019]]=-1,"",(Tableau1[[#This Row],[CA 2024]]-Tableau1[[#This Row],[CA 2019]])/Tableau1[[#This Row],[CA 2019]]),"")</f>
        <v/>
      </c>
      <c r="AG83" s="9" t="str">
        <f>IFERROR(_xlfn.XLOOKUP(Tableau1[[#This Row],[Isin]]&amp;1&amp;2021,#REF!,Tableau3[EBE]),"")</f>
        <v/>
      </c>
      <c r="AH83" s="9" t="str">
        <f>IFERROR(_xlfn.XLOOKUP(Tableau1[[#This Row],[Isin]]&amp;1&amp;2022,#REF!,Tableau3[EBE]),"")</f>
        <v/>
      </c>
      <c r="AI83" s="43" t="s">
        <v>4343</v>
      </c>
      <c r="AJ83" s="43" t="s">
        <v>3150</v>
      </c>
      <c r="AK83" s="43" t="s">
        <v>3149</v>
      </c>
      <c r="AL83" s="43" t="s">
        <v>3149</v>
      </c>
      <c r="AM83" s="43"/>
      <c r="AN83" s="9" t="str">
        <f>IFERROR(_xlfn.XLOOKUP(Tableau1[[#This Row],[Isin]]&amp;1&amp;2021,#REF!,Tableau3[Chiffre d''affaires]),"")</f>
        <v/>
      </c>
      <c r="AO83" s="43" cm="1">
        <f t="array" aca="1" ref="AO83" ca="1">_FV(Tableau1[[#This Row],[Code Excel]],"P/E",TRUE)</f>
        <v>3044.9540999999999</v>
      </c>
      <c r="AP83" s="43" t="str">
        <f>IFERROR(_xlfn.XLOOKUP(Tableau1[[#This Row],[Isin]]&amp;1&amp;2023,#REF!,Tableau3[Résultat Net (PdG)]),"")</f>
        <v/>
      </c>
      <c r="AQ83" s="43">
        <f>IF(IFERROR(_xlfn.XLOOKUP(Tableau1[[#This Row],[Isin]]&amp;1&amp;2022,#REF!,Tableau3[Résultat Net (PdG)]),"")="",Tableau1[[#This Row],[RN Groupe 2022
Manuel]],IFERROR(_xlfn.XLOOKUP(Tableau1[[#This Row],[Isin]]&amp;1&amp;2022,#REF!,Tableau3[Résultat Net (PdG)]),""))</f>
        <v>0</v>
      </c>
      <c r="AR83" s="43"/>
      <c r="AS83" s="43">
        <f>IF(IFERROR(_xlfn.XLOOKUP(Tableau1[[#This Row],[Isin]]&amp;1&amp;2021,#REF!,Tableau3[Résultat Net (PdG)]),"")="",Tableau1[[#This Row],[RN Groupe 2021
Manuel]],IFERROR(_xlfn.XLOOKUP(Tableau1[[#This Row],[Isin]]&amp;1&amp;2021,#REF!,Tableau3[Résultat Net (PdG)]),""))</f>
        <v>0</v>
      </c>
      <c r="AT83" s="43"/>
      <c r="AU83" s="43" t="str">
        <f>IFERROR(_xlfn.XLOOKUP(Tableau1[[#This Row],[Isin]]&amp;1&amp;2020,#REF!,Tableau3[Résultat Net (PdG)]),"")</f>
        <v/>
      </c>
      <c r="AV83" s="43" t="str">
        <f>IFERROR(_xlfn.XLOOKUP(Tableau1[[#This Row],[Isin]]&amp;1&amp;2019,#REF!,Tableau3[Résultat Net (PdG)]),"")</f>
        <v/>
      </c>
      <c r="AW83" s="43" t="str">
        <f>IFERROR(_xlfn.XLOOKUP(Tableau1[[#This Row],[Isin]]&amp;1&amp;2018,#REF!,Tableau3[Résultat Net (PdG)]),"")</f>
        <v/>
      </c>
      <c r="AX83" s="43" t="str">
        <f>IFERROR(_xlfn.XLOOKUP(Tableau1[[#This Row],[Isin]]&amp;1&amp;2017,#REF!,Tableau3[Résultat Net (PdG)]),"")</f>
        <v/>
      </c>
      <c r="AY83" s="43" t="str">
        <f>IFERROR(_xlfn.XLOOKUP(Tableau1[[#This Row],[Isin]]&amp;1&amp;2016,#REF!,Tableau3[Résultat Net (PdG)]),"")</f>
        <v/>
      </c>
      <c r="AZ83" s="137" t="str">
        <f ca="1">IFERROR(Tableau1[[#This Row],[Capitalisation boursière]]/Tableau1[[#This Row],[RN Groupe 2023]],"")</f>
        <v/>
      </c>
      <c r="BA83" s="4" t="str" cm="1">
        <f t="array" aca="1" ref="BA83" ca="1">IFERROR(_FV(Tableau1[[#This Row],[Code Excel]],"Industrie"),"")</f>
        <v>Telecommunications Services</v>
      </c>
      <c r="BB83" s="43" t="e">
        <v>#N/A</v>
      </c>
      <c r="BC83" s="43" t="str">
        <f>IFERROR(_xlfn.XLOOKUP(Tableau1[[#This Row],[Isin]]&amp;1&amp;2016,#REF!,Tableau3[Capi]),"")</f>
        <v/>
      </c>
      <c r="BD83" s="43" t="str">
        <f>IFERROR(_xlfn.XLOOKUP(Tableau1[[#This Row],[Isin]]&amp;1&amp;2017,#REF!,Tableau3[Capi]),"")</f>
        <v/>
      </c>
      <c r="BE83" s="43" t="str">
        <f>IFERROR(_xlfn.XLOOKUP(Tableau1[[#This Row],[Isin]]&amp;1&amp;2018,#REF!,Tableau3[Capi]),"")</f>
        <v/>
      </c>
      <c r="BF83" s="43" t="str">
        <f>IFERROR(_xlfn.XLOOKUP(Tableau1[[#This Row],[Isin]]&amp;1&amp;2019,#REF!,Tableau3[Capi]),"")</f>
        <v/>
      </c>
      <c r="BG83" s="43" t="str">
        <f>IFERROR(_xlfn.XLOOKUP(Tableau1[[#This Row],[Isin]]&amp;1&amp;2020,#REF!,Tableau3[Capi]),"")</f>
        <v/>
      </c>
      <c r="BH83" s="43">
        <f>IF(IFERROR(_xlfn.XLOOKUP(Tableau1[[#This Row],[Isin]]&amp;1&amp;2021,#REF!,Tableau3[Capi]),"")="",Tableau1[[#This Row],[Capitalisation 2021
Manuel]],IFERROR(_xlfn.XLOOKUP(Tableau1[[#This Row],[Isin]]&amp;1&amp;2021,#REF!,Tableau3[Capi]),""))</f>
        <v>0</v>
      </c>
      <c r="BI83" s="43"/>
      <c r="BJ83" s="43">
        <f>IF(IFERROR(_xlfn.XLOOKUP(Tableau1[[#This Row],[Isin]]&amp;1&amp;2022,#REF!,Tableau3[Capi]),"")="",Tableau1[[#This Row],[Capitalisation 2022
Manuel]],IFERROR(_xlfn.XLOOKUP(Tableau1[[#This Row],[Isin]]&amp;1&amp;2022,#REF!,Tableau3[Capi]),""))</f>
        <v>0</v>
      </c>
      <c r="BK83" s="43"/>
      <c r="BL83" s="43">
        <f ca="1">Tableau1[[#This Row],[Capitalisation boursière]]</f>
        <v>23447920000</v>
      </c>
      <c r="BM83" s="162" t="str" cm="1">
        <f t="array" aca="1" ref="BM83" ca="1">_FV(Tableau1[[#This Row],[Code Excel]],"Description")</f>
        <v>Cellnex Telecom SA est une société basée en Espagne engagée dans le secteur des télécommunications sans fil (télécom). Ses activités sont divisées en trois segments: Infrastructures de Radio et Télédiffusion, Location de Sites de Télécom, Services de Réseau et autres. La division Infrastructures de Radio et Télédiffusion comprend la distribution et transmission télévisuelle et modulation de fréquence, exploitation et entretien du réseau de radiodiffusion, ainsi que des services de radio par contournement, entre autres. La division Location de Site de Télécom permet d'accéder à l'infrastructure sans fil, principalement grâce à l'hébergement d'infrastructures et la co-implantation d'équipements de télécommunications, principalement pour les opérateurs de réseaux mobiles et d'autres opérateurs de réseaux de télécommunications sans fil et à large bande. Les Services de Réseau et d'autres divisions offrent des services de connectivité pour une variété d'opérateurs de télécommunications et de communication radio, entre autres. La Société développe également des réseaux mobiles de 5ème génération (5G) via Alticom BV.</v>
      </c>
      <c r="BN83" s="43"/>
      <c r="BO83" s="43"/>
      <c r="BP83" s="43"/>
      <c r="BQ83" s="43"/>
      <c r="BR83" s="4"/>
      <c r="BS83" s="21"/>
      <c r="BT83" s="13"/>
      <c r="BU83" s="13"/>
      <c r="BV83" s="13"/>
      <c r="BW83" s="13"/>
      <c r="BX83" s="13"/>
      <c r="BY83" s="3"/>
      <c r="BZ83" s="58"/>
      <c r="CA83" s="59"/>
    </row>
    <row r="84" spans="3:82">
      <c r="C84" s="43"/>
      <c r="D84" s="42">
        <f>IF(Tableau1[[#This Row],[Isin]]="",99,Tableau1[[#This Row],[Intérêt]]+Tableau1[[#This Row],[Valeur d''intérêt]]+Tableau1[[#This Row],[N° Portefeuille]])</f>
        <v>30</v>
      </c>
      <c r="E84" s="43"/>
      <c r="F84" s="42">
        <f>IF(Tableau1[[#This Row],[Portefeuille]]="p",0,Tableau1[[#This Row],[F. Investissement
Niveau d''intérêt]]*10)</f>
        <v>30</v>
      </c>
      <c r="G84" s="43">
        <f>IF(Tableau1[[#This Row],[Portefeuille]]="p",3,0)</f>
        <v>0</v>
      </c>
      <c r="H84" s="43">
        <v>3</v>
      </c>
      <c r="I84" s="43">
        <v>4</v>
      </c>
      <c r="J84" s="43"/>
      <c r="K84" s="43"/>
      <c r="L84" s="16">
        <v>1</v>
      </c>
      <c r="M8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4" s="44" t="s">
        <v>3664</v>
      </c>
      <c r="O84" s="44" t="s">
        <v>4382</v>
      </c>
      <c r="P84" s="4" t="s">
        <v>452</v>
      </c>
      <c r="Q84" s="6" t="s">
        <v>85</v>
      </c>
      <c r="R84" s="6"/>
      <c r="S84" s="6" t="s">
        <v>472</v>
      </c>
      <c r="T84" s="6" t="e" vm="72">
        <v>#VALUE!</v>
      </c>
      <c r="U84" s="46" cm="1">
        <f t="array" aca="1" ref="U84" ca="1">IFERROR(_FV(Tableau1[[#This Row],[Code Excel]],"Capitalisation boursière",TRUE),"")</f>
        <v>193655800</v>
      </c>
      <c r="V84" s="4" t="str" cm="1">
        <f t="array" aca="1" ref="V84" ca="1">IFERROR(_FV(Tableau1[[#This Row],[Code Excel]],"Industrie"),"")</f>
        <v>Homebuilding &amp; Construction Supplies</v>
      </c>
      <c r="W84" s="4" t="s">
        <v>1926</v>
      </c>
      <c r="X84" s="4" t="str">
        <f ca="1">Tableau1[[#This Row],[Grand Secteur]]&amp;Tableau1[[#This Row],[Industrie]]</f>
        <v>ConstructionHomebuilding &amp; Construction Supplies</v>
      </c>
      <c r="Y84" s="23" cm="1">
        <f t="array" aca="1" ref="Y84" ca="1">IFERROR(_FV(Tableau1[[#This Row],[Code Excel]],"P/E",TRUE),"")</f>
        <v>7.9020999999999999</v>
      </c>
      <c r="Z84" s="43" cm="1">
        <f t="array" aca="1" ref="Z84" ca="1">IFERROR(_FV(Tableau1[[#This Row],[Code Excel]],"Employés"),"")</f>
        <v>2990</v>
      </c>
      <c r="AA84" s="46">
        <f ca="1">IFERROR(Tableau1[[#This Row],[Capitalisation boursière]]/Tableau1[[#This Row],[Employés]],"")</f>
        <v>64767.82608695652</v>
      </c>
      <c r="AB84" s="5" t="str">
        <f>IFERROR(Tableau1[[#This Row],[REX (2021)]]/Tableau1[[#This Row],[CA 2024]],"")</f>
        <v/>
      </c>
      <c r="AC84" s="9" t="str">
        <f>IFERROR(_xlfn.XLOOKUP(Tableau1[[#This Row],[Isin]]&amp;1&amp;2021,#REF!,Tableau3[Résultat d''exploitation]),"")</f>
        <v/>
      </c>
      <c r="AD84" s="9" t="str">
        <f>IFERROR(_xlfn.XLOOKUP(Tableau1[[#This Row],[Isin]]&amp;1&amp;2019,#REF!,Tableau3[Chiffre d''affaires]),"")</f>
        <v/>
      </c>
      <c r="AE84" s="9" t="str">
        <f>IFERROR(_xlfn.XLOOKUP(Tableau1[[#This Row],[Isin]]&amp;1&amp;2024,#REF!,Tableau3[Chiffre d''affaires]),"")</f>
        <v/>
      </c>
      <c r="AF84" s="8" t="str">
        <f>IFERROR(IF((Tableau1[[#This Row],[CA 2024]]-Tableau1[[#This Row],[CA 2019]])/Tableau1[[#This Row],[CA 2019]]=-1,"",(Tableau1[[#This Row],[CA 2024]]-Tableau1[[#This Row],[CA 2019]])/Tableau1[[#This Row],[CA 2019]]),"")</f>
        <v/>
      </c>
      <c r="AG84" s="9" t="str">
        <f>IFERROR(_xlfn.XLOOKUP(Tableau1[[#This Row],[Isin]]&amp;1&amp;2021,#REF!,Tableau3[EBE]),"")</f>
        <v/>
      </c>
      <c r="AH84" s="9" t="str">
        <f>IFERROR(_xlfn.XLOOKUP(Tableau1[[#This Row],[Isin]]&amp;1&amp;2022,#REF!,Tableau3[EBE]),"")</f>
        <v/>
      </c>
      <c r="AI84" s="43" t="s">
        <v>4329</v>
      </c>
      <c r="AJ84" s="43" t="s">
        <v>4322</v>
      </c>
      <c r="AK84" s="43" t="s">
        <v>3148</v>
      </c>
      <c r="AL84" s="43" t="s">
        <v>3148</v>
      </c>
      <c r="AM84" s="43"/>
      <c r="AN84" s="9" t="str">
        <f>IFERROR(_xlfn.XLOOKUP(Tableau1[[#This Row],[Isin]]&amp;1&amp;2021,#REF!,Tableau3[Chiffre d''affaires]),"")</f>
        <v/>
      </c>
      <c r="AO84" s="43" cm="1">
        <f t="array" aca="1" ref="AO84" ca="1">_FV(Tableau1[[#This Row],[Code Excel]],"P/E",TRUE)</f>
        <v>7.9020999999999999</v>
      </c>
      <c r="AP84" s="43" t="str">
        <f>IFERROR(_xlfn.XLOOKUP(Tableau1[[#This Row],[Isin]]&amp;1&amp;2023,#REF!,Tableau3[Résultat Net (PdG)]),"")</f>
        <v/>
      </c>
      <c r="AQ84" s="43">
        <f>IF(IFERROR(_xlfn.XLOOKUP(Tableau1[[#This Row],[Isin]]&amp;1&amp;2022,#REF!,Tableau3[Résultat Net (PdG)]),"")="",Tableau1[[#This Row],[RN Groupe 2022
Manuel]],IFERROR(_xlfn.XLOOKUP(Tableau1[[#This Row],[Isin]]&amp;1&amp;2022,#REF!,Tableau3[Résultat Net (PdG)]),""))</f>
        <v>0</v>
      </c>
      <c r="AR84" s="43"/>
      <c r="AS84" s="43">
        <f>IF(IFERROR(_xlfn.XLOOKUP(Tableau1[[#This Row],[Isin]]&amp;1&amp;2021,#REF!,Tableau3[Résultat Net (PdG)]),"")="",Tableau1[[#This Row],[RN Groupe 2021
Manuel]],IFERROR(_xlfn.XLOOKUP(Tableau1[[#This Row],[Isin]]&amp;1&amp;2021,#REF!,Tableau3[Résultat Net (PdG)]),""))</f>
        <v>0</v>
      </c>
      <c r="AT84" s="43"/>
      <c r="AU84" s="43" t="str">
        <f>IFERROR(_xlfn.XLOOKUP(Tableau1[[#This Row],[Isin]]&amp;1&amp;2020,#REF!,Tableau3[Résultat Net (PdG)]),"")</f>
        <v/>
      </c>
      <c r="AV84" s="43" t="str">
        <f>IFERROR(_xlfn.XLOOKUP(Tableau1[[#This Row],[Isin]]&amp;1&amp;2019,#REF!,Tableau3[Résultat Net (PdG)]),"")</f>
        <v/>
      </c>
      <c r="AW84" s="43" t="str">
        <f>IFERROR(_xlfn.XLOOKUP(Tableau1[[#This Row],[Isin]]&amp;1&amp;2018,#REF!,Tableau3[Résultat Net (PdG)]),"")</f>
        <v/>
      </c>
      <c r="AX84" s="43" t="str">
        <f>IFERROR(_xlfn.XLOOKUP(Tableau1[[#This Row],[Isin]]&amp;1&amp;2017,#REF!,Tableau3[Résultat Net (PdG)]),"")</f>
        <v/>
      </c>
      <c r="AY84" s="43" t="str">
        <f>IFERROR(_xlfn.XLOOKUP(Tableau1[[#This Row],[Isin]]&amp;1&amp;2016,#REF!,Tableau3[Résultat Net (PdG)]),"")</f>
        <v/>
      </c>
      <c r="AZ84" s="137" t="str">
        <f ca="1">IFERROR(Tableau1[[#This Row],[Capitalisation boursière]]/Tableau1[[#This Row],[RN Groupe 2023]],"")</f>
        <v/>
      </c>
      <c r="BA84" s="4" t="str" cm="1">
        <f t="array" aca="1" ref="BA84" ca="1">IFERROR(_FV(Tableau1[[#This Row],[Code Excel]],"Industrie"),"")</f>
        <v>Homebuilding &amp; Construction Supplies</v>
      </c>
      <c r="BB84" s="43" t="s">
        <v>3666</v>
      </c>
      <c r="BC84" s="43" t="str">
        <f>IFERROR(_xlfn.XLOOKUP(Tableau1[[#This Row],[Isin]]&amp;1&amp;2016,#REF!,Tableau3[Capi]),"")</f>
        <v/>
      </c>
      <c r="BD84" s="43" t="str">
        <f>IFERROR(_xlfn.XLOOKUP(Tableau1[[#This Row],[Isin]]&amp;1&amp;2017,#REF!,Tableau3[Capi]),"")</f>
        <v/>
      </c>
      <c r="BE84" s="43" t="str">
        <f>IFERROR(_xlfn.XLOOKUP(Tableau1[[#This Row],[Isin]]&amp;1&amp;2018,#REF!,Tableau3[Capi]),"")</f>
        <v/>
      </c>
      <c r="BF84" s="43" t="str">
        <f>IFERROR(_xlfn.XLOOKUP(Tableau1[[#This Row],[Isin]]&amp;1&amp;2019,#REF!,Tableau3[Capi]),"")</f>
        <v/>
      </c>
      <c r="BG84" s="43" t="str">
        <f>IFERROR(_xlfn.XLOOKUP(Tableau1[[#This Row],[Isin]]&amp;1&amp;2020,#REF!,Tableau3[Capi]),"")</f>
        <v/>
      </c>
      <c r="BH84" s="43">
        <f>IF(IFERROR(_xlfn.XLOOKUP(Tableau1[[#This Row],[Isin]]&amp;1&amp;2021,#REF!,Tableau3[Capi]),"")="",Tableau1[[#This Row],[Capitalisation 2021
Manuel]],IFERROR(_xlfn.XLOOKUP(Tableau1[[#This Row],[Isin]]&amp;1&amp;2021,#REF!,Tableau3[Capi]),""))</f>
        <v>0</v>
      </c>
      <c r="BI84" s="43"/>
      <c r="BJ84" s="43">
        <f>IF(IFERROR(_xlfn.XLOOKUP(Tableau1[[#This Row],[Isin]]&amp;1&amp;2022,#REF!,Tableau3[Capi]),"")="",Tableau1[[#This Row],[Capitalisation 2022
Manuel]],IFERROR(_xlfn.XLOOKUP(Tableau1[[#This Row],[Isin]]&amp;1&amp;2022,#REF!,Tableau3[Capi]),""))</f>
        <v>0</v>
      </c>
      <c r="BK84" s="43"/>
      <c r="BL84" s="43">
        <f ca="1">Tableau1[[#This Row],[Capitalisation boursière]]</f>
        <v>193655800</v>
      </c>
      <c r="BM84" s="162" t="str" cm="1">
        <f t="array" aca="1" ref="BM84" ca="1">_FV(Tableau1[[#This Row],[Code Excel]],"Description")</f>
        <v>La Compagnie d'entreprises CFE sa, également connue sous le nom d'Aannemingsmaatschappij CFE NV, est une société belge active dans le secteur de la construction et des services associés. Il opère à travers six divisions : Partenariat public-privé (PPP), construction, immobilier et services de gestion, multiethnique, ferroviaire et routier, dragage et environnement. La division PPP est spécialisée dans les projets de partenariat public-privé. La division construction est engagée dans la construction de gares, tunnels, hôtels et immeubles de bureaux. La division Real Estate &amp; Management services est engagée dans la promotion de la propriété, la gestion de projet et l'assistance à la coordination de projet. La division multiethnique pose des voies ferrées, installe des lignes électriques aériennes et fournit des services généraux d'électricité. La division Rail &amp; Road est spécialisée dans les travaux de signalisation et de pose de voies ferrées, les travaux ferroviaires, le transport de lignes énergétiques haute et basse tension, entre autres. Les activités de dragage et d'environnement sont principalement réalisées par DEME.</v>
      </c>
      <c r="BN84" s="43"/>
      <c r="BO84" s="43"/>
      <c r="BP84" s="43"/>
      <c r="BQ84" s="43"/>
      <c r="BR84" s="4"/>
      <c r="BS84" s="21"/>
      <c r="BT84" s="13"/>
      <c r="BU84" s="13"/>
      <c r="BV84" s="13"/>
      <c r="BW84" s="13"/>
      <c r="BX84" s="13"/>
      <c r="BY84" s="3"/>
      <c r="BZ84" s="58"/>
      <c r="CA84" s="59"/>
    </row>
    <row r="85" spans="3:82">
      <c r="C85" s="42"/>
      <c r="D85" s="42">
        <f>IF(Tableau1[[#This Row],[Isin]]="",99,Tableau1[[#This Row],[Intérêt]]+Tableau1[[#This Row],[Valeur d''intérêt]]+Tableau1[[#This Row],[N° Portefeuille]])</f>
        <v>30</v>
      </c>
      <c r="E85" s="42"/>
      <c r="F85" s="42">
        <f>IF(Tableau1[[#This Row],[Portefeuille]]="p",0,Tableau1[[#This Row],[F. Investissement
Niveau d''intérêt]]*10)</f>
        <v>30</v>
      </c>
      <c r="G85" s="42">
        <f>IF(Tableau1[[#This Row],[Portefeuille]]="p",3,0)</f>
        <v>0</v>
      </c>
      <c r="H85" s="42">
        <v>3</v>
      </c>
      <c r="I85" s="42">
        <v>4</v>
      </c>
      <c r="J85" s="42"/>
      <c r="K85" s="43"/>
      <c r="L85" s="16">
        <v>1</v>
      </c>
      <c r="M8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5" s="44" t="s">
        <v>3668</v>
      </c>
      <c r="O85" s="44" t="s">
        <v>381</v>
      </c>
      <c r="P85" s="4" t="s">
        <v>84</v>
      </c>
      <c r="Q85" s="6" t="s">
        <v>4383</v>
      </c>
      <c r="R85" s="6"/>
      <c r="S85" s="6" t="s">
        <v>409</v>
      </c>
      <c r="T85" s="6" t="e" vm="73">
        <v>#VALUE!</v>
      </c>
      <c r="U85" s="46" cm="1">
        <f t="array" aca="1" ref="U85" ca="1">IFERROR(_FV(Tableau1[[#This Row],[Code Excel]],"Capitalisation boursière",TRUE),"")</f>
        <v>531606900</v>
      </c>
      <c r="V85" s="4" t="str" cm="1">
        <f t="array" aca="1" ref="V85" ca="1">IFERROR(_FV(Tableau1[[#This Row],[Code Excel]],"Industrie"),"")</f>
        <v>Oil &amp; Gas Related Equipment and Services</v>
      </c>
      <c r="W85" s="4" t="s">
        <v>371</v>
      </c>
      <c r="X85" s="4" t="str">
        <f ca="1">Tableau1[[#This Row],[Grand Secteur]]&amp;Tableau1[[#This Row],[Industrie]]</f>
        <v>EnergieOil &amp; Gas Related Equipment and Services</v>
      </c>
      <c r="Y85" s="23" cm="1">
        <f t="array" aca="1" ref="Y85" ca="1">IFERROR(_FV(Tableau1[[#This Row],[Code Excel]],"P/E",TRUE),"")</f>
        <v>12.648999999999999</v>
      </c>
      <c r="Z85" s="43" cm="1">
        <f t="array" aca="1" ref="Z85" ca="1">IFERROR(_FV(Tableau1[[#This Row],[Code Excel]],"Employés"),"")</f>
        <v>3378</v>
      </c>
      <c r="AA85" s="46">
        <f ca="1">IFERROR(Tableau1[[#This Row],[Capitalisation boursière]]/Tableau1[[#This Row],[Employés]],"")</f>
        <v>157373.26820603907</v>
      </c>
      <c r="AB85" s="5" t="str">
        <f>IFERROR(Tableau1[[#This Row],[REX (2021)]]/Tableau1[[#This Row],[CA 2024]],"")</f>
        <v/>
      </c>
      <c r="AC85" s="9" t="str">
        <f>IFERROR(_xlfn.XLOOKUP(Tableau1[[#This Row],[Isin]]&amp;1&amp;2021,#REF!,Tableau3[Résultat d''exploitation]),"")</f>
        <v/>
      </c>
      <c r="AD85" s="9" t="str">
        <f>IFERROR(_xlfn.XLOOKUP(Tableau1[[#This Row],[Isin]]&amp;1&amp;2019,#REF!,Tableau3[Chiffre d''affaires]),"")</f>
        <v/>
      </c>
      <c r="AE85" s="9" t="str">
        <f>IFERROR(_xlfn.XLOOKUP(Tableau1[[#This Row],[Isin]]&amp;1&amp;2024,#REF!,Tableau3[Chiffre d''affaires]),"")</f>
        <v/>
      </c>
      <c r="AF85" s="8" t="str">
        <f>IFERROR(IF((Tableau1[[#This Row],[CA 2024]]-Tableau1[[#This Row],[CA 2019]])/Tableau1[[#This Row],[CA 2019]]=-1,"",(Tableau1[[#This Row],[CA 2024]]-Tableau1[[#This Row],[CA 2019]])/Tableau1[[#This Row],[CA 2019]]),"")</f>
        <v/>
      </c>
      <c r="AG85" s="9" t="str">
        <f>IFERROR(_xlfn.XLOOKUP(Tableau1[[#This Row],[Isin]]&amp;1&amp;2021,#REF!,Tableau3[EBE]),"")</f>
        <v/>
      </c>
      <c r="AH85" s="9" t="str">
        <f>IFERROR(_xlfn.XLOOKUP(Tableau1[[#This Row],[Isin]]&amp;1&amp;2022,#REF!,Tableau3[EBE]),"")</f>
        <v/>
      </c>
      <c r="AI85" s="43" t="s">
        <v>4343</v>
      </c>
      <c r="AJ85" s="43" t="s">
        <v>3150</v>
      </c>
      <c r="AK85" s="43" t="s">
        <v>3419</v>
      </c>
      <c r="AL85" s="43" t="s">
        <v>3149</v>
      </c>
      <c r="AM85" s="43"/>
      <c r="AN85" s="9" t="str">
        <f>IFERROR(_xlfn.XLOOKUP(Tableau1[[#This Row],[Isin]]&amp;1&amp;2021,#REF!,Tableau3[Chiffre d''affaires]),"")</f>
        <v/>
      </c>
      <c r="AO85" s="43" cm="1">
        <f t="array" aca="1" ref="AO85" ca="1">_FV(Tableau1[[#This Row],[Code Excel]],"P/E",TRUE)</f>
        <v>12.648999999999999</v>
      </c>
      <c r="AP85" s="43" t="str">
        <f>IFERROR(_xlfn.XLOOKUP(Tableau1[[#This Row],[Isin]]&amp;1&amp;2023,#REF!,Tableau3[Résultat Net (PdG)]),"")</f>
        <v/>
      </c>
      <c r="AQ85" s="43">
        <f>IF(IFERROR(_xlfn.XLOOKUP(Tableau1[[#This Row],[Isin]]&amp;1&amp;2022,#REF!,Tableau3[Résultat Net (PdG)]),"")="",Tableau1[[#This Row],[RN Groupe 2022
Manuel]],IFERROR(_xlfn.XLOOKUP(Tableau1[[#This Row],[Isin]]&amp;1&amp;2022,#REF!,Tableau3[Résultat Net (PdG)]),""))</f>
        <v>0</v>
      </c>
      <c r="AR85" s="43"/>
      <c r="AS85" s="43">
        <f>IF(IFERROR(_xlfn.XLOOKUP(Tableau1[[#This Row],[Isin]]&amp;1&amp;2021,#REF!,Tableau3[Résultat Net (PdG)]),"")="",Tableau1[[#This Row],[RN Groupe 2021
Manuel]],IFERROR(_xlfn.XLOOKUP(Tableau1[[#This Row],[Isin]]&amp;1&amp;2021,#REF!,Tableau3[Résultat Net (PdG)]),""))</f>
        <v>0</v>
      </c>
      <c r="AT85" s="43"/>
      <c r="AU85" s="43" t="str">
        <f>IFERROR(_xlfn.XLOOKUP(Tableau1[[#This Row],[Isin]]&amp;1&amp;2020,#REF!,Tableau3[Résultat Net (PdG)]),"")</f>
        <v/>
      </c>
      <c r="AV85" s="43" t="str">
        <f>IFERROR(_xlfn.XLOOKUP(Tableau1[[#This Row],[Isin]]&amp;1&amp;2019,#REF!,Tableau3[Résultat Net (PdG)]),"")</f>
        <v/>
      </c>
      <c r="AW85" s="43" t="str">
        <f>IFERROR(_xlfn.XLOOKUP(Tableau1[[#This Row],[Isin]]&amp;1&amp;2018,#REF!,Tableau3[Résultat Net (PdG)]),"")</f>
        <v/>
      </c>
      <c r="AX85" s="43" t="str">
        <f>IFERROR(_xlfn.XLOOKUP(Tableau1[[#This Row],[Isin]]&amp;1&amp;2017,#REF!,Tableau3[Résultat Net (PdG)]),"")</f>
        <v/>
      </c>
      <c r="AY85" s="43" t="str">
        <f>IFERROR(_xlfn.XLOOKUP(Tableau1[[#This Row],[Isin]]&amp;1&amp;2016,#REF!,Tableau3[Résultat Net (PdG)]),"")</f>
        <v/>
      </c>
      <c r="AZ85" s="137" t="str">
        <f ca="1">IFERROR(Tableau1[[#This Row],[Capitalisation boursière]]/Tableau1[[#This Row],[RN Groupe 2023]],"")</f>
        <v/>
      </c>
      <c r="BA85" s="4" t="s">
        <v>371</v>
      </c>
      <c r="BB85" s="43" t="s">
        <v>3477</v>
      </c>
      <c r="BC85" s="43" t="str">
        <f>IFERROR(_xlfn.XLOOKUP(Tableau1[[#This Row],[Isin]]&amp;1&amp;2016,#REF!,Tableau3[Capi]),"")</f>
        <v/>
      </c>
      <c r="BD85" s="43" t="str">
        <f>IFERROR(_xlfn.XLOOKUP(Tableau1[[#This Row],[Isin]]&amp;1&amp;2017,#REF!,Tableau3[Capi]),"")</f>
        <v/>
      </c>
      <c r="BE85" s="43" t="str">
        <f>IFERROR(_xlfn.XLOOKUP(Tableau1[[#This Row],[Isin]]&amp;1&amp;2018,#REF!,Tableau3[Capi]),"")</f>
        <v/>
      </c>
      <c r="BF85" s="43" t="str">
        <f>IFERROR(_xlfn.XLOOKUP(Tableau1[[#This Row],[Isin]]&amp;1&amp;2019,#REF!,Tableau3[Capi]),"")</f>
        <v/>
      </c>
      <c r="BG85" s="43" t="str">
        <f>IFERROR(_xlfn.XLOOKUP(Tableau1[[#This Row],[Isin]]&amp;1&amp;2020,#REF!,Tableau3[Capi]),"")</f>
        <v/>
      </c>
      <c r="BH85" s="43">
        <f>IF(IFERROR(_xlfn.XLOOKUP(Tableau1[[#This Row],[Isin]]&amp;1&amp;2021,#REF!,Tableau3[Capi]),"")="",Tableau1[[#This Row],[Capitalisation 2021
Manuel]],IFERROR(_xlfn.XLOOKUP(Tableau1[[#This Row],[Isin]]&amp;1&amp;2021,#REF!,Tableau3[Capi]),""))</f>
        <v>0</v>
      </c>
      <c r="BI85" s="43"/>
      <c r="BJ85" s="43">
        <f>IF(IFERROR(_xlfn.XLOOKUP(Tableau1[[#This Row],[Isin]]&amp;1&amp;2022,#REF!,Tableau3[Capi]),"")="",Tableau1[[#This Row],[Capitalisation 2022
Manuel]],IFERROR(_xlfn.XLOOKUP(Tableau1[[#This Row],[Isin]]&amp;1&amp;2022,#REF!,Tableau3[Capi]),""))</f>
        <v>0</v>
      </c>
      <c r="BK85" s="43"/>
      <c r="BL85" s="43">
        <f ca="1">Tableau1[[#This Row],[Capitalisation boursière]]</f>
        <v>531606900</v>
      </c>
      <c r="BM85" s="162" t="str" cm="1">
        <f t="array" aca="1" ref="BM85" ca="1">_FV(Tableau1[[#This Row],[Code Excel]],"Description")</f>
        <v>Viridian sa est une société basée en France qui fournit des services et des produits géophysiques aux sociétés pétrolières et gazières. La Société fournit des services géophysiques tels que l'enregistrement, le traitement et l'interprétation de données sismiques terrestres et marines. Elle fournit la fabrication d'équipements sismiques comme les dispositifs d'enregistrement et de transmission, les vibrateurs d'acquisition de données sismiques, les capteurs, le traitement de données, les logiciels d'interprétation. Il s'agit d'un contrôleur de technologie et de calcul haute performance (HPC) mondial qui fournit des données, des produits, des services et des solutions en sciences de la Terre, science des données, détection et surveillance. Son portefeuille soutient des clients dans des secteurs tels que le numérique, la transition énergétique, les ressources naturelles et l'environnement. Parallèlement aux activités actuelles, elle se concentre également sur les marchés à faibles émissions de carbone, les minéraux, l'exploitation minière, ainsi que sur les marchés de la surveillance des infrastructures et de l'informatique en dehors du pétrole et du gaz.</v>
      </c>
      <c r="BN85" s="43"/>
      <c r="BO85" s="43"/>
      <c r="BP85" s="43"/>
      <c r="BQ85" s="43"/>
      <c r="BR85" s="4"/>
      <c r="BS85" s="21"/>
      <c r="BT85" s="13"/>
      <c r="BU85" s="13"/>
      <c r="BV85" s="13"/>
      <c r="BW85" s="13"/>
      <c r="BX85" s="13"/>
      <c r="BY85" s="3"/>
      <c r="BZ85" s="58"/>
      <c r="CA85" s="59"/>
    </row>
    <row r="86" spans="3:82">
      <c r="C86" s="43"/>
      <c r="D86" s="42">
        <f>IF(Tableau1[[#This Row],[Isin]]="",99,Tableau1[[#This Row],[Intérêt]]+Tableau1[[#This Row],[Valeur d''intérêt]]+Tableau1[[#This Row],[N° Portefeuille]])</f>
        <v>30</v>
      </c>
      <c r="E86" s="43"/>
      <c r="F86" s="42">
        <f>IF(Tableau1[[#This Row],[Portefeuille]]="p",0,Tableau1[[#This Row],[F. Investissement
Niveau d''intérêt]]*10)</f>
        <v>30</v>
      </c>
      <c r="G86" s="43">
        <f>IF(Tableau1[[#This Row],[Portefeuille]]="p",3,0)</f>
        <v>0</v>
      </c>
      <c r="H86" s="43">
        <v>3</v>
      </c>
      <c r="I86" s="43">
        <v>4</v>
      </c>
      <c r="J86" s="43"/>
      <c r="K86" s="43"/>
      <c r="L86" s="16">
        <v>0</v>
      </c>
      <c r="M8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6" s="44" t="s">
        <v>3670</v>
      </c>
      <c r="O86" s="45"/>
      <c r="P86" s="4" t="s">
        <v>382</v>
      </c>
      <c r="Q86" s="4"/>
      <c r="R86" s="6"/>
      <c r="S86" s="6" t="s">
        <v>3671</v>
      </c>
      <c r="T86" s="6" t="e" vm="74">
        <v>#VALUE!</v>
      </c>
      <c r="U86" s="46" cm="1">
        <f t="array" aca="1" ref="U86" ca="1">IFERROR(_FV(Tableau1[[#This Row],[Code Excel]],"Capitalisation boursière",TRUE),"")</f>
        <v>296379235660</v>
      </c>
      <c r="V86" s="4" t="str" cm="1">
        <f t="array" aca="1" ref="V86" ca="1">IFERROR(_FV(Tableau1[[#This Row],[Code Excel]],"Industrie"),"")</f>
        <v>Oil &amp; Gas</v>
      </c>
      <c r="W86" s="4" t="s">
        <v>371</v>
      </c>
      <c r="X86" s="4" t="str">
        <f ca="1">Tableau1[[#This Row],[Grand Secteur]]&amp;Tableau1[[#This Row],[Industrie]]</f>
        <v>EnergieOil &amp; Gas</v>
      </c>
      <c r="Y86" s="23" cm="1">
        <f t="array" aca="1" ref="Y86" ca="1">IFERROR(_FV(Tableau1[[#This Row],[Code Excel]],"P/E",TRUE),"")</f>
        <v>17.127099999999999</v>
      </c>
      <c r="Z86" s="43" cm="1">
        <f t="array" aca="1" ref="Z86" ca="1">IFERROR(_FV(Tableau1[[#This Row],[Code Excel]],"Employés"),"")</f>
        <v>45298</v>
      </c>
      <c r="AA86" s="46">
        <f ca="1">IFERROR(Tableau1[[#This Row],[Capitalisation boursière]]/Tableau1[[#This Row],[Employés]],"")</f>
        <v>6542876.852399664</v>
      </c>
      <c r="AB86" s="5" t="str">
        <f>IFERROR(Tableau1[[#This Row],[REX (2021)]]/Tableau1[[#This Row],[CA 2024]],"")</f>
        <v/>
      </c>
      <c r="AC86" s="9" t="str">
        <f>IFERROR(_xlfn.XLOOKUP(Tableau1[[#This Row],[Isin]]&amp;1&amp;2021,#REF!,Tableau3[Résultat d''exploitation]),"")</f>
        <v/>
      </c>
      <c r="AD86" s="9" t="str">
        <f>IFERROR(_xlfn.XLOOKUP(Tableau1[[#This Row],[Isin]]&amp;1&amp;2019,#REF!,Tableau3[Chiffre d''affaires]),"")</f>
        <v/>
      </c>
      <c r="AE86" s="9" t="str">
        <f>IFERROR(_xlfn.XLOOKUP(Tableau1[[#This Row],[Isin]]&amp;1&amp;2024,#REF!,Tableau3[Chiffre d''affaires]),"")</f>
        <v/>
      </c>
      <c r="AF86" s="8" t="str">
        <f>IFERROR(IF((Tableau1[[#This Row],[CA 2024]]-Tableau1[[#This Row],[CA 2019]])/Tableau1[[#This Row],[CA 2019]]=-1,"",(Tableau1[[#This Row],[CA 2024]]-Tableau1[[#This Row],[CA 2019]])/Tableau1[[#This Row],[CA 2019]]),"")</f>
        <v/>
      </c>
      <c r="AG86" s="9" t="str">
        <f>IFERROR(_xlfn.XLOOKUP(Tableau1[[#This Row],[Isin]]&amp;1&amp;2021,#REF!,Tableau3[EBE]),"")</f>
        <v/>
      </c>
      <c r="AH86" s="9" t="str">
        <f>IFERROR(_xlfn.XLOOKUP(Tableau1[[#This Row],[Isin]]&amp;1&amp;2022,#REF!,Tableau3[EBE]),"")</f>
        <v/>
      </c>
      <c r="AI86" s="43" t="s">
        <v>4343</v>
      </c>
      <c r="AJ86" s="43" t="s">
        <v>3150</v>
      </c>
      <c r="AK86" s="43" t="s">
        <v>3419</v>
      </c>
      <c r="AL86" s="43"/>
      <c r="AM86" s="43"/>
      <c r="AN86" s="9" t="str">
        <f>IFERROR(_xlfn.XLOOKUP(Tableau1[[#This Row],[Isin]]&amp;1&amp;2021,#REF!,Tableau3[Chiffre d''affaires]),"")</f>
        <v/>
      </c>
      <c r="AO86" s="43" cm="1">
        <f t="array" aca="1" ref="AO86" ca="1">_FV(Tableau1[[#This Row],[Code Excel]],"P/E",TRUE)</f>
        <v>17.127099999999999</v>
      </c>
      <c r="AP86" s="43" t="str">
        <f>IFERROR(_xlfn.XLOOKUP(Tableau1[[#This Row],[Isin]]&amp;1&amp;2023,#REF!,Tableau3[Résultat Net (PdG)]),"")</f>
        <v/>
      </c>
      <c r="AQ86" s="43">
        <f>IF(IFERROR(_xlfn.XLOOKUP(Tableau1[[#This Row],[Isin]]&amp;1&amp;2022,#REF!,Tableau3[Résultat Net (PdG)]),"")="",Tableau1[[#This Row],[RN Groupe 2022
Manuel]],IFERROR(_xlfn.XLOOKUP(Tableau1[[#This Row],[Isin]]&amp;1&amp;2022,#REF!,Tableau3[Résultat Net (PdG)]),""))</f>
        <v>0</v>
      </c>
      <c r="AR86" s="43"/>
      <c r="AS86" s="43">
        <f>IF(IFERROR(_xlfn.XLOOKUP(Tableau1[[#This Row],[Isin]]&amp;1&amp;2021,#REF!,Tableau3[Résultat Net (PdG)]),"")="",Tableau1[[#This Row],[RN Groupe 2021
Manuel]],IFERROR(_xlfn.XLOOKUP(Tableau1[[#This Row],[Isin]]&amp;1&amp;2021,#REF!,Tableau3[Résultat Net (PdG)]),""))</f>
        <v>0</v>
      </c>
      <c r="AT86" s="43"/>
      <c r="AU86" s="43" t="str">
        <f>IFERROR(_xlfn.XLOOKUP(Tableau1[[#This Row],[Isin]]&amp;1&amp;2020,#REF!,Tableau3[Résultat Net (PdG)]),"")</f>
        <v/>
      </c>
      <c r="AV86" s="43" t="str">
        <f>IFERROR(_xlfn.XLOOKUP(Tableau1[[#This Row],[Isin]]&amp;1&amp;2019,#REF!,Tableau3[Résultat Net (PdG)]),"")</f>
        <v/>
      </c>
      <c r="AW86" s="43" t="str">
        <f>IFERROR(_xlfn.XLOOKUP(Tableau1[[#This Row],[Isin]]&amp;1&amp;2018,#REF!,Tableau3[Résultat Net (PdG)]),"")</f>
        <v/>
      </c>
      <c r="AX86" s="43" t="str">
        <f>IFERROR(_xlfn.XLOOKUP(Tableau1[[#This Row],[Isin]]&amp;1&amp;2017,#REF!,Tableau3[Résultat Net (PdG)]),"")</f>
        <v/>
      </c>
      <c r="AY86" s="43" t="str">
        <f>IFERROR(_xlfn.XLOOKUP(Tableau1[[#This Row],[Isin]]&amp;1&amp;2016,#REF!,Tableau3[Résultat Net (PdG)]),"")</f>
        <v/>
      </c>
      <c r="AZ86" s="137" t="str">
        <f ca="1">IFERROR(Tableau1[[#This Row],[Capitalisation boursière]]/Tableau1[[#This Row],[RN Groupe 2023]],"")</f>
        <v/>
      </c>
      <c r="BA86" s="4" t="s">
        <v>371</v>
      </c>
      <c r="BB86" s="43" t="s">
        <v>3464</v>
      </c>
      <c r="BC86" s="43" t="str">
        <f>IFERROR(_xlfn.XLOOKUP(Tableau1[[#This Row],[Isin]]&amp;1&amp;2016,#REF!,Tableau3[Capi]),"")</f>
        <v/>
      </c>
      <c r="BD86" s="43" t="str">
        <f>IFERROR(_xlfn.XLOOKUP(Tableau1[[#This Row],[Isin]]&amp;1&amp;2017,#REF!,Tableau3[Capi]),"")</f>
        <v/>
      </c>
      <c r="BE86" s="43" t="str">
        <f>IFERROR(_xlfn.XLOOKUP(Tableau1[[#This Row],[Isin]]&amp;1&amp;2018,#REF!,Tableau3[Capi]),"")</f>
        <v/>
      </c>
      <c r="BF86" s="43" t="str">
        <f>IFERROR(_xlfn.XLOOKUP(Tableau1[[#This Row],[Isin]]&amp;1&amp;2019,#REF!,Tableau3[Capi]),"")</f>
        <v/>
      </c>
      <c r="BG86" s="43" t="str">
        <f>IFERROR(_xlfn.XLOOKUP(Tableau1[[#This Row],[Isin]]&amp;1&amp;2020,#REF!,Tableau3[Capi]),"")</f>
        <v/>
      </c>
      <c r="BH86" s="43">
        <f>IF(IFERROR(_xlfn.XLOOKUP(Tableau1[[#This Row],[Isin]]&amp;1&amp;2021,#REF!,Tableau3[Capi]),"")="",Tableau1[[#This Row],[Capitalisation 2021
Manuel]],IFERROR(_xlfn.XLOOKUP(Tableau1[[#This Row],[Isin]]&amp;1&amp;2021,#REF!,Tableau3[Capi]),""))</f>
        <v>0</v>
      </c>
      <c r="BI86" s="43"/>
      <c r="BJ86" s="43">
        <f>IF(IFERROR(_xlfn.XLOOKUP(Tableau1[[#This Row],[Isin]]&amp;1&amp;2022,#REF!,Tableau3[Capi]),"")="",Tableau1[[#This Row],[Capitalisation 2022
Manuel]],IFERROR(_xlfn.XLOOKUP(Tableau1[[#This Row],[Isin]]&amp;1&amp;2022,#REF!,Tableau3[Capi]),""))</f>
        <v>0</v>
      </c>
      <c r="BK86" s="43"/>
      <c r="BL86" s="43">
        <f ca="1">Tableau1[[#This Row],[Capitalisation boursière]]</f>
        <v>296379235660</v>
      </c>
      <c r="BM86" s="162" t="str" cm="1">
        <f t="array" aca="1" ref="BM86" ca="1">_FV(Tableau1[[#This Row],[Code Excel]],"Description")</f>
        <v>Chevron Corporation est une entreprise énergétique intégrée. La Société produit du pétrole brut et du gaz naturel ; elle fabrique des carburants, des lubrifiants, des produits pétrochimiques et des additifs pour le transport ; elle met au point des technologies qui améliorent ses activités et l'industrie. Les activités en amont de la Société consistent principalement à explorer, mettre en valeur, produire et transporter du pétrole brut et du gaz naturel ; liquéfaction, transport et regazéification associés au gaz naturel liquéfié (GNL) ; transporter du pétrole brut par les principaux oléoducs internationaux d'exportation de pétrole ; traiter, transporter, stocker et commercialiser le gaz naturel ; capter et stocker le carbone; et une usine gaz-liquides. Les activités en aval de la Société comprennent principalement le raffinage du pétrole brut en produits pétroliers ; la commercialisation du pétrole brut, des produits raffinés et des lubrifiants ; la fabrication et la commercialisation de carburants renouvelables ; le transport du pétrole brut et des produits raffinés par pipeline, navire, équipement motorisé et wagon ; et d'autres activités.</v>
      </c>
      <c r="BN86" s="43"/>
      <c r="BO86" s="43"/>
      <c r="BP86" s="43"/>
      <c r="BQ86" s="43"/>
      <c r="BR86" s="4"/>
      <c r="BS86" s="21"/>
      <c r="BT86" s="13"/>
      <c r="BU86" s="13"/>
      <c r="BV86" s="13"/>
      <c r="BW86" s="13"/>
      <c r="BX86" s="13"/>
      <c r="BY86" s="3"/>
      <c r="BZ86" s="58"/>
      <c r="CA86" s="59"/>
    </row>
    <row r="87" spans="3:82">
      <c r="C87" s="42"/>
      <c r="D87" s="42">
        <f>IF(Tableau1[[#This Row],[Isin]]="",99,Tableau1[[#This Row],[Intérêt]]+Tableau1[[#This Row],[Valeur d''intérêt]]+Tableau1[[#This Row],[N° Portefeuille]])</f>
        <v>30</v>
      </c>
      <c r="E87" s="42"/>
      <c r="F87" s="42">
        <f>IF(Tableau1[[#This Row],[Portefeuille]]="p",0,Tableau1[[#This Row],[F. Investissement
Niveau d''intérêt]]*10)</f>
        <v>30</v>
      </c>
      <c r="G87" s="42">
        <f>IF(Tableau1[[#This Row],[Portefeuille]]="p",3,0)</f>
        <v>0</v>
      </c>
      <c r="H87" s="42">
        <v>3</v>
      </c>
      <c r="I87" s="42">
        <v>4</v>
      </c>
      <c r="J87" s="42"/>
      <c r="K87" s="43"/>
      <c r="L87" s="16">
        <v>0</v>
      </c>
      <c r="M8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7" s="44" t="s">
        <v>3673</v>
      </c>
      <c r="O87" s="45"/>
      <c r="P87" s="4" t="s">
        <v>382</v>
      </c>
      <c r="Q87" s="4"/>
      <c r="R87" s="6"/>
      <c r="S87" s="6" t="s">
        <v>3674</v>
      </c>
      <c r="T87" s="6" t="e" vm="75">
        <v>#VALUE!</v>
      </c>
      <c r="U87" s="46" cm="1">
        <f t="array" aca="1" ref="U87" ca="1">IFERROR(_FV(Tableau1[[#This Row],[Code Excel]],"Capitalisation boursière",TRUE),"")</f>
        <v>82384806210</v>
      </c>
      <c r="V87" s="4" t="str" cm="1">
        <f t="array" aca="1" ref="V87" ca="1">IFERROR(_FV(Tableau1[[#This Row],[Code Excel]],"Industrie"),"")</f>
        <v>Professional &amp; Commercial Services</v>
      </c>
      <c r="W87" s="4" t="s">
        <v>2918</v>
      </c>
      <c r="X87" s="4" t="str">
        <f ca="1">Tableau1[[#This Row],[Grand Secteur]]&amp;Tableau1[[#This Row],[Industrie]]</f>
        <v>B to BProfessional &amp; Commercial Services</v>
      </c>
      <c r="Y87" s="23" cm="1">
        <f t="array" aca="1" ref="Y87" ca="1">IFERROR(_FV(Tableau1[[#This Row],[Code Excel]],"P/E",TRUE),"")</f>
        <v>47.424100000000003</v>
      </c>
      <c r="Z87" s="43" cm="1">
        <f t="array" aca="1" ref="Z87" ca="1">IFERROR(_FV(Tableau1[[#This Row],[Code Excel]],"Employés"),"")</f>
        <v>46500</v>
      </c>
      <c r="AA87" s="46">
        <f ca="1">IFERROR(Tableau1[[#This Row],[Capitalisation boursière]]/Tableau1[[#This Row],[Employés]],"")</f>
        <v>1771716.2625806453</v>
      </c>
      <c r="AB87" s="5" t="str">
        <f>IFERROR(Tableau1[[#This Row],[REX (2021)]]/Tableau1[[#This Row],[CA 2024]],"")</f>
        <v/>
      </c>
      <c r="AC87" s="9" t="str">
        <f>IFERROR(_xlfn.XLOOKUP(Tableau1[[#This Row],[Isin]]&amp;1&amp;2021,#REF!,Tableau3[Résultat d''exploitation]),"")</f>
        <v/>
      </c>
      <c r="AD87" s="9" t="str">
        <f>IFERROR(_xlfn.XLOOKUP(Tableau1[[#This Row],[Isin]]&amp;1&amp;2019,#REF!,Tableau3[Chiffre d''affaires]),"")</f>
        <v/>
      </c>
      <c r="AE87" s="9" t="str">
        <f>IFERROR(_xlfn.XLOOKUP(Tableau1[[#This Row],[Isin]]&amp;1&amp;2024,#REF!,Tableau3[Chiffre d''affaires]),"")</f>
        <v/>
      </c>
      <c r="AF87" s="8" t="str">
        <f>IFERROR(IF((Tableau1[[#This Row],[CA 2024]]-Tableau1[[#This Row],[CA 2019]])/Tableau1[[#This Row],[CA 2019]]=-1,"",(Tableau1[[#This Row],[CA 2024]]-Tableau1[[#This Row],[CA 2019]])/Tableau1[[#This Row],[CA 2019]]),"")</f>
        <v/>
      </c>
      <c r="AG87" s="9" t="str">
        <f>IFERROR(_xlfn.XLOOKUP(Tableau1[[#This Row],[Isin]]&amp;1&amp;2021,#REF!,Tableau3[EBE]),"")</f>
        <v/>
      </c>
      <c r="AH87" s="9" t="str">
        <f>IFERROR(_xlfn.XLOOKUP(Tableau1[[#This Row],[Isin]]&amp;1&amp;2022,#REF!,Tableau3[EBE]),"")</f>
        <v/>
      </c>
      <c r="AI87" s="43" t="s">
        <v>3419</v>
      </c>
      <c r="AJ87" s="43" t="s">
        <v>4322</v>
      </c>
      <c r="AK87" s="43" t="s">
        <v>3431</v>
      </c>
      <c r="AL87" s="43"/>
      <c r="AM87" s="43"/>
      <c r="AN87" s="9" t="str">
        <f>IFERROR(_xlfn.XLOOKUP(Tableau1[[#This Row],[Isin]]&amp;1&amp;2021,#REF!,Tableau3[Chiffre d''affaires]),"")</f>
        <v/>
      </c>
      <c r="AO87" s="43" cm="1">
        <f t="array" aca="1" ref="AO87" ca="1">_FV(Tableau1[[#This Row],[Code Excel]],"P/E",TRUE)</f>
        <v>47.424100000000003</v>
      </c>
      <c r="AP87" s="43" t="str">
        <f>IFERROR(_xlfn.XLOOKUP(Tableau1[[#This Row],[Isin]]&amp;1&amp;2023,#REF!,Tableau3[Résultat Net (PdG)]),"")</f>
        <v/>
      </c>
      <c r="AQ87" s="43">
        <f>IF(IFERROR(_xlfn.XLOOKUP(Tableau1[[#This Row],[Isin]]&amp;1&amp;2022,#REF!,Tableau3[Résultat Net (PdG)]),"")="",Tableau1[[#This Row],[RN Groupe 2022
Manuel]],IFERROR(_xlfn.XLOOKUP(Tableau1[[#This Row],[Isin]]&amp;1&amp;2022,#REF!,Tableau3[Résultat Net (PdG)]),""))</f>
        <v>0</v>
      </c>
      <c r="AR87" s="43"/>
      <c r="AS87" s="43">
        <f>IF(IFERROR(_xlfn.XLOOKUP(Tableau1[[#This Row],[Isin]]&amp;1&amp;2021,#REF!,Tableau3[Résultat Net (PdG)]),"")="",Tableau1[[#This Row],[RN Groupe 2021
Manuel]],IFERROR(_xlfn.XLOOKUP(Tableau1[[#This Row],[Isin]]&amp;1&amp;2021,#REF!,Tableau3[Résultat Net (PdG)]),""))</f>
        <v>0</v>
      </c>
      <c r="AT87" s="43"/>
      <c r="AU87" s="43" t="str">
        <f>IFERROR(_xlfn.XLOOKUP(Tableau1[[#This Row],[Isin]]&amp;1&amp;2020,#REF!,Tableau3[Résultat Net (PdG)]),"")</f>
        <v/>
      </c>
      <c r="AV87" s="43" t="str">
        <f>IFERROR(_xlfn.XLOOKUP(Tableau1[[#This Row],[Isin]]&amp;1&amp;2019,#REF!,Tableau3[Résultat Net (PdG)]),"")</f>
        <v/>
      </c>
      <c r="AW87" s="43" t="str">
        <f>IFERROR(_xlfn.XLOOKUP(Tableau1[[#This Row],[Isin]]&amp;1&amp;2018,#REF!,Tableau3[Résultat Net (PdG)]),"")</f>
        <v/>
      </c>
      <c r="AX87" s="43" t="str">
        <f>IFERROR(_xlfn.XLOOKUP(Tableau1[[#This Row],[Isin]]&amp;1&amp;2017,#REF!,Tableau3[Résultat Net (PdG)]),"")</f>
        <v/>
      </c>
      <c r="AY87" s="43" t="str">
        <f>IFERROR(_xlfn.XLOOKUP(Tableau1[[#This Row],[Isin]]&amp;1&amp;2016,#REF!,Tableau3[Résultat Net (PdG)]),"")</f>
        <v/>
      </c>
      <c r="AZ87" s="137" t="str">
        <f ca="1">IFERROR(Tableau1[[#This Row],[Capitalisation boursière]]/Tableau1[[#This Row],[RN Groupe 2023]],"")</f>
        <v/>
      </c>
      <c r="BA87" s="4" t="str" cm="1">
        <f t="array" aca="1" ref="BA87" ca="1">IFERROR(_FV(Tableau1[[#This Row],[Code Excel]],"Industrie"),"")</f>
        <v>Professional &amp; Commercial Services</v>
      </c>
      <c r="BB87" s="43" t="s">
        <v>3491</v>
      </c>
      <c r="BC87" s="43" t="str">
        <f>IFERROR(_xlfn.XLOOKUP(Tableau1[[#This Row],[Isin]]&amp;1&amp;2016,#REF!,Tableau3[Capi]),"")</f>
        <v/>
      </c>
      <c r="BD87" s="43" t="str">
        <f>IFERROR(_xlfn.XLOOKUP(Tableau1[[#This Row],[Isin]]&amp;1&amp;2017,#REF!,Tableau3[Capi]),"")</f>
        <v/>
      </c>
      <c r="BE87" s="43" t="str">
        <f>IFERROR(_xlfn.XLOOKUP(Tableau1[[#This Row],[Isin]]&amp;1&amp;2018,#REF!,Tableau3[Capi]),"")</f>
        <v/>
      </c>
      <c r="BF87" s="43" t="str">
        <f>IFERROR(_xlfn.XLOOKUP(Tableau1[[#This Row],[Isin]]&amp;1&amp;2019,#REF!,Tableau3[Capi]),"")</f>
        <v/>
      </c>
      <c r="BG87" s="43" t="str">
        <f>IFERROR(_xlfn.XLOOKUP(Tableau1[[#This Row],[Isin]]&amp;1&amp;2020,#REF!,Tableau3[Capi]),"")</f>
        <v/>
      </c>
      <c r="BH87" s="43">
        <f>IF(IFERROR(_xlfn.XLOOKUP(Tableau1[[#This Row],[Isin]]&amp;1&amp;2021,#REF!,Tableau3[Capi]),"")="",Tableau1[[#This Row],[Capitalisation 2021
Manuel]],IFERROR(_xlfn.XLOOKUP(Tableau1[[#This Row],[Isin]]&amp;1&amp;2021,#REF!,Tableau3[Capi]),""))</f>
        <v>0</v>
      </c>
      <c r="BI87" s="43"/>
      <c r="BJ87" s="43">
        <f>IF(IFERROR(_xlfn.XLOOKUP(Tableau1[[#This Row],[Isin]]&amp;1&amp;2022,#REF!,Tableau3[Capi]),"")="",Tableau1[[#This Row],[Capitalisation 2022
Manuel]],IFERROR(_xlfn.XLOOKUP(Tableau1[[#This Row],[Isin]]&amp;1&amp;2022,#REF!,Tableau3[Capi]),""))</f>
        <v>0</v>
      </c>
      <c r="BK87" s="43"/>
      <c r="BL87" s="43">
        <f ca="1">Tableau1[[#This Row],[Capitalisation boursière]]</f>
        <v>82384806210</v>
      </c>
      <c r="BM87" s="162" t="str" cm="1">
        <f t="array" aca="1" ref="BM87" ca="1">_FV(Tableau1[[#This Row],[Code Excel]],"Description")</f>
        <v>Cintas Corporation développe des programmes uniformes utilisant des tissus. La Société aide les entreprises de tous types et de toutes tailles, principalement aux États-Unis, ainsi qu'au Canada et en Amérique latine. La Société exerce ses activités dans deux secteurs : le secteur des services de location et d'installation d'uniformes et le secteur des services de premiers soins et de sécurité. Le segment Services de location d'uniformes et d'installations comprend la location et l'entretien d'uniformes et d'autres vêtements, y compris des vêtements ignifuges, des tapis, des vadrouilles et des serviettes d'atelier et d'autres articles accessoires. Ce segment comprend également les services et fournitures de nettoyage des toilettes et la vente d'articles de ses catalogues à ses clients. Le segment Services de premiers soins et de sécurité comprend les produits et services de premiers soins et de sécurité. Le reste de ses segments, qui comprend le segment Services de protection contre l'incendie et le segment Vente directe uniforme, est inclus dans tous les autres. Elle fournit ses produits et services à de petites entreprises de services et de fabrication ainsi qu'à des sociétés.</v>
      </c>
      <c r="BN87" s="43"/>
      <c r="BO87" s="43"/>
      <c r="BP87" s="43"/>
      <c r="BQ87" s="43"/>
      <c r="BR87" s="4"/>
      <c r="BS87" s="21"/>
      <c r="BT87" s="13"/>
      <c r="BU87" s="13"/>
      <c r="BV87" s="13"/>
      <c r="BW87" s="13"/>
      <c r="BX87" s="13"/>
      <c r="BY87" s="3"/>
      <c r="BZ87" s="58"/>
      <c r="CA87" s="59"/>
    </row>
    <row r="88" spans="3:82">
      <c r="C88" s="43"/>
      <c r="D88" s="42">
        <f>IF(Tableau1[[#This Row],[Isin]]="",99,Tableau1[[#This Row],[Intérêt]]+Tableau1[[#This Row],[Valeur d''intérêt]]+Tableau1[[#This Row],[N° Portefeuille]])</f>
        <v>30</v>
      </c>
      <c r="E88" s="43"/>
      <c r="F88" s="42">
        <f>IF(Tableau1[[#This Row],[Portefeuille]]="p",0,Tableau1[[#This Row],[F. Investissement
Niveau d''intérêt]]*10)</f>
        <v>30</v>
      </c>
      <c r="G88" s="43">
        <f>IF(Tableau1[[#This Row],[Portefeuille]]="p",3,0)</f>
        <v>0</v>
      </c>
      <c r="H88" s="43">
        <v>3</v>
      </c>
      <c r="I88" s="43">
        <v>4</v>
      </c>
      <c r="J88" s="43"/>
      <c r="K88" s="43"/>
      <c r="L88" s="16">
        <v>0</v>
      </c>
      <c r="M8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8" s="44" t="s">
        <v>3676</v>
      </c>
      <c r="O88" s="45"/>
      <c r="P88" s="4" t="s">
        <v>382</v>
      </c>
      <c r="Q88" s="4"/>
      <c r="R88" s="6"/>
      <c r="S88" s="6" t="s">
        <v>3677</v>
      </c>
      <c r="T88" s="6" t="e" vm="76">
        <v>#VALUE!</v>
      </c>
      <c r="U88" s="46" cm="1">
        <f t="array" aca="1" ref="U88" ca="1">IFERROR(_FV(Tableau1[[#This Row],[Code Excel]],"Capitalisation boursière",TRUE),"")</f>
        <v>242715594920</v>
      </c>
      <c r="V88" s="4" t="str" cm="1">
        <f t="array" aca="1" ref="V88" ca="1">IFERROR(_FV(Tableau1[[#This Row],[Code Excel]],"Industrie"),"")</f>
        <v>Communications &amp; Networking</v>
      </c>
      <c r="W88" s="4" t="s">
        <v>4333</v>
      </c>
      <c r="X88" s="4" t="str">
        <f ca="1">Tableau1[[#This Row],[Grand Secteur]]&amp;Tableau1[[#This Row],[Industrie]]</f>
        <v>Logiciels et TechnologieCommunications &amp; Networking</v>
      </c>
      <c r="Y88" s="23" cm="1">
        <f t="array" aca="1" ref="Y88" ca="1">IFERROR(_FV(Tableau1[[#This Row],[Code Excel]],"P/E",TRUE),"")</f>
        <v>26.6816</v>
      </c>
      <c r="Z88" s="43" cm="1">
        <f t="array" aca="1" ref="Z88" ca="1">IFERROR(_FV(Tableau1[[#This Row],[Code Excel]],"Employés"),"")</f>
        <v>90400</v>
      </c>
      <c r="AA88" s="49">
        <f ca="1">IFERROR(Tableau1[[#This Row],[Capitalisation boursière]]/Tableau1[[#This Row],[Employés]],"")</f>
        <v>2684907.0234513273</v>
      </c>
      <c r="AB88" s="5" t="str">
        <f>IFERROR(Tableau1[[#This Row],[REX (2021)]]/Tableau1[[#This Row],[CA 2024]],"")</f>
        <v/>
      </c>
      <c r="AC88" s="9" t="str">
        <f>IFERROR(_xlfn.XLOOKUP(Tableau1[[#This Row],[Isin]]&amp;1&amp;2021,#REF!,Tableau3[Résultat d''exploitation]),"")</f>
        <v/>
      </c>
      <c r="AD88" s="9" t="str">
        <f>IFERROR(_xlfn.XLOOKUP(Tableau1[[#This Row],[Isin]]&amp;1&amp;2019,#REF!,Tableau3[Chiffre d''affaires]),"")</f>
        <v/>
      </c>
      <c r="AE88" s="9" t="str">
        <f>IFERROR(_xlfn.XLOOKUP(Tableau1[[#This Row],[Isin]]&amp;1&amp;2024,#REF!,Tableau3[Chiffre d''affaires]),"")</f>
        <v/>
      </c>
      <c r="AF88" s="8" t="str">
        <f>IFERROR(IF((Tableau1[[#This Row],[CA 2024]]-Tableau1[[#This Row],[CA 2019]])/Tableau1[[#This Row],[CA 2019]]=-1,"",(Tableau1[[#This Row],[CA 2024]]-Tableau1[[#This Row],[CA 2019]])/Tableau1[[#This Row],[CA 2019]]),"")</f>
        <v/>
      </c>
      <c r="AG88" s="9" t="str">
        <f>IFERROR(_xlfn.XLOOKUP(Tableau1[[#This Row],[Isin]]&amp;1&amp;2021,#REF!,Tableau3[EBE]),"")</f>
        <v/>
      </c>
      <c r="AH88" s="9" t="str">
        <f>IFERROR(_xlfn.XLOOKUP(Tableau1[[#This Row],[Isin]]&amp;1&amp;2022,#REF!,Tableau3[EBE]),"")</f>
        <v/>
      </c>
      <c r="AI88" s="43" t="s">
        <v>4324</v>
      </c>
      <c r="AJ88" s="43" t="s">
        <v>4334</v>
      </c>
      <c r="AK88" s="43" t="s">
        <v>3148</v>
      </c>
      <c r="AL88" s="43"/>
      <c r="AM88" s="43"/>
      <c r="AN88" s="9" t="str">
        <f>IFERROR(_xlfn.XLOOKUP(Tableau1[[#This Row],[Isin]]&amp;1&amp;2021,#REF!,Tableau3[Chiffre d''affaires]),"")</f>
        <v/>
      </c>
      <c r="AO88" s="43" cm="1">
        <f t="array" aca="1" ref="AO88" ca="1">_FV(Tableau1[[#This Row],[Code Excel]],"P/E",TRUE)</f>
        <v>26.6816</v>
      </c>
      <c r="AP88" s="43" t="str">
        <f>IFERROR(_xlfn.XLOOKUP(Tableau1[[#This Row],[Isin]]&amp;1&amp;2023,#REF!,Tableau3[Résultat Net (PdG)]),"")</f>
        <v/>
      </c>
      <c r="AQ88" s="43">
        <f>IF(IFERROR(_xlfn.XLOOKUP(Tableau1[[#This Row],[Isin]]&amp;1&amp;2022,#REF!,Tableau3[Résultat Net (PdG)]),"")="",Tableau1[[#This Row],[RN Groupe 2022
Manuel]],IFERROR(_xlfn.XLOOKUP(Tableau1[[#This Row],[Isin]]&amp;1&amp;2022,#REF!,Tableau3[Résultat Net (PdG)]),""))</f>
        <v>0</v>
      </c>
      <c r="AR88" s="43"/>
      <c r="AS88" s="43">
        <f>IF(IFERROR(_xlfn.XLOOKUP(Tableau1[[#This Row],[Isin]]&amp;1&amp;2021,#REF!,Tableau3[Résultat Net (PdG)]),"")="",Tableau1[[#This Row],[RN Groupe 2021
Manuel]],IFERROR(_xlfn.XLOOKUP(Tableau1[[#This Row],[Isin]]&amp;1&amp;2021,#REF!,Tableau3[Résultat Net (PdG)]),""))</f>
        <v>0</v>
      </c>
      <c r="AT88" s="43"/>
      <c r="AU88" s="43" t="str">
        <f>IFERROR(_xlfn.XLOOKUP(Tableau1[[#This Row],[Isin]]&amp;1&amp;2020,#REF!,Tableau3[Résultat Net (PdG)]),"")</f>
        <v/>
      </c>
      <c r="AV88" s="43" t="str">
        <f>IFERROR(_xlfn.XLOOKUP(Tableau1[[#This Row],[Isin]]&amp;1&amp;2019,#REF!,Tableau3[Résultat Net (PdG)]),"")</f>
        <v/>
      </c>
      <c r="AW88" s="43" t="str">
        <f>IFERROR(_xlfn.XLOOKUP(Tableau1[[#This Row],[Isin]]&amp;1&amp;2018,#REF!,Tableau3[Résultat Net (PdG)]),"")</f>
        <v/>
      </c>
      <c r="AX88" s="43" t="str">
        <f>IFERROR(_xlfn.XLOOKUP(Tableau1[[#This Row],[Isin]]&amp;1&amp;2017,#REF!,Tableau3[Résultat Net (PdG)]),"")</f>
        <v/>
      </c>
      <c r="AY88" s="43" t="str">
        <f>IFERROR(_xlfn.XLOOKUP(Tableau1[[#This Row],[Isin]]&amp;1&amp;2016,#REF!,Tableau3[Résultat Net (PdG)]),"")</f>
        <v/>
      </c>
      <c r="AZ88" s="137" t="str">
        <f ca="1">IFERROR(Tableau1[[#This Row],[Capitalisation boursière]]/Tableau1[[#This Row],[RN Groupe 2023]],"")</f>
        <v/>
      </c>
      <c r="BA88" s="4" t="str" cm="1">
        <f t="array" aca="1" ref="BA88" ca="1">IFERROR(_FV(Tableau1[[#This Row],[Code Excel]],"Industrie"),"")</f>
        <v>Communications &amp; Networking</v>
      </c>
      <c r="BB88" s="43" t="s">
        <v>3491</v>
      </c>
      <c r="BC88" s="43" t="str">
        <f>IFERROR(_xlfn.XLOOKUP(Tableau1[[#This Row],[Isin]]&amp;1&amp;2016,#REF!,Tableau3[Capi]),"")</f>
        <v/>
      </c>
      <c r="BD88" s="43" t="str">
        <f>IFERROR(_xlfn.XLOOKUP(Tableau1[[#This Row],[Isin]]&amp;1&amp;2017,#REF!,Tableau3[Capi]),"")</f>
        <v/>
      </c>
      <c r="BE88" s="43" t="str">
        <f>IFERROR(_xlfn.XLOOKUP(Tableau1[[#This Row],[Isin]]&amp;1&amp;2018,#REF!,Tableau3[Capi]),"")</f>
        <v/>
      </c>
      <c r="BF88" s="43" t="str">
        <f>IFERROR(_xlfn.XLOOKUP(Tableau1[[#This Row],[Isin]]&amp;1&amp;2019,#REF!,Tableau3[Capi]),"")</f>
        <v/>
      </c>
      <c r="BG88" s="43" t="str">
        <f>IFERROR(_xlfn.XLOOKUP(Tableau1[[#This Row],[Isin]]&amp;1&amp;2020,#REF!,Tableau3[Capi]),"")</f>
        <v/>
      </c>
      <c r="BH88" s="43">
        <f>IF(IFERROR(_xlfn.XLOOKUP(Tableau1[[#This Row],[Isin]]&amp;1&amp;2021,#REF!,Tableau3[Capi]),"")="",Tableau1[[#This Row],[Capitalisation 2021
Manuel]],IFERROR(_xlfn.XLOOKUP(Tableau1[[#This Row],[Isin]]&amp;1&amp;2021,#REF!,Tableau3[Capi]),""))</f>
        <v>0</v>
      </c>
      <c r="BI88" s="43"/>
      <c r="BJ88" s="43">
        <f>IF(IFERROR(_xlfn.XLOOKUP(Tableau1[[#This Row],[Isin]]&amp;1&amp;2022,#REF!,Tableau3[Capi]),"")="",Tableau1[[#This Row],[Capitalisation 2022
Manuel]],IFERROR(_xlfn.XLOOKUP(Tableau1[[#This Row],[Isin]]&amp;1&amp;2022,#REF!,Tableau3[Capi]),""))</f>
        <v>0</v>
      </c>
      <c r="BK88" s="43"/>
      <c r="BL88" s="43">
        <f ca="1">Tableau1[[#This Row],[Capitalisation boursière]]</f>
        <v>242715594920</v>
      </c>
      <c r="BM88" s="162" t="str" cm="1">
        <f t="array" aca="1" ref="BM88" ca="1">_FV(Tableau1[[#This Row],[Code Excel]],"Description")</f>
        <v>Cisco Systems, Inc. conçoit et vend une gamme de technologies qui alimentent Internet. La société intègre ses portefeuilles de produits dans les domaines de la mise en réseau, de la sécurité, de la collaboration, des applications et du cloud. Les segments de la société comprennent les Amériques, l'Europe, le moyen-Orient et l'Afrique (EMEA), ainsi que l'Asie-Pacifique, Japon et Chine (APJC). Sa catégorie de produits Networking représente ses principales technologies de réseau de commutation, routage, sans fil, cinquième génération (5G), silicium, solutions optiques et produits de calcul. Sa catégorie de produits sécurité comprend ses offres de sécurité cloud et applicative, de sécurité industrielle, de sécurité réseau et de sécurité des utilisateurs et des appareils. Sa catégorie de produits collaboration comprend ses offres de réunions, de périphériques de collaboration, d'appels, de centre de contacts et de plate-forme en tant que service (CPaaS). Sa catégorie de produits observabilité se compose de ses offres d'observabilité de pile complète.</v>
      </c>
      <c r="BN88" s="43"/>
      <c r="BO88" s="43"/>
      <c r="BP88" s="43"/>
      <c r="BQ88" s="43"/>
      <c r="BR88" s="4"/>
      <c r="BS88" s="21"/>
      <c r="BT88" s="13"/>
      <c r="BU88" s="13"/>
      <c r="BV88" s="13"/>
      <c r="BW88" s="13"/>
      <c r="BX88" s="13"/>
      <c r="BY88" s="3"/>
      <c r="BZ88" s="58"/>
      <c r="CA88" s="59"/>
    </row>
    <row r="89" spans="3:82">
      <c r="C89" s="42"/>
      <c r="D89" s="42">
        <f>IF(Tableau1[[#This Row],[Isin]]="",99,Tableau1[[#This Row],[Intérêt]]+Tableau1[[#This Row],[Valeur d''intérêt]]+Tableau1[[#This Row],[N° Portefeuille]])</f>
        <v>30</v>
      </c>
      <c r="E89" s="42"/>
      <c r="F89" s="42">
        <f>IF(Tableau1[[#This Row],[Portefeuille]]="p",0,Tableau1[[#This Row],[F. Investissement
Niveau d''intérêt]]*10)</f>
        <v>30</v>
      </c>
      <c r="G89" s="42">
        <f>IF(Tableau1[[#This Row],[Portefeuille]]="p",3,0)</f>
        <v>0</v>
      </c>
      <c r="H89" s="42">
        <v>3</v>
      </c>
      <c r="I89" s="42">
        <v>4</v>
      </c>
      <c r="J89" s="42"/>
      <c r="K89" s="43"/>
      <c r="L89" s="16">
        <v>0</v>
      </c>
      <c r="M8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89" s="44" t="s">
        <v>3680</v>
      </c>
      <c r="O89" s="45"/>
      <c r="P89" s="4" t="s">
        <v>382</v>
      </c>
      <c r="Q89" s="4"/>
      <c r="R89" s="6"/>
      <c r="S89" s="6" t="s">
        <v>3681</v>
      </c>
      <c r="T89" s="6" t="e" vm="77">
        <v>#VALUE!</v>
      </c>
      <c r="U89" s="46" cm="1">
        <f t="array" aca="1" ref="U89" ca="1">IFERROR(_FV(Tableau1[[#This Row],[Code Excel]],"Capitalisation boursière",TRUE),"")</f>
        <v>13178280000</v>
      </c>
      <c r="V89" s="4" t="str" cm="1">
        <f t="array" aca="1" ref="V89" ca="1">IFERROR(_FV(Tableau1[[#This Row],[Code Excel]],"Industrie"),"")</f>
        <v>Software &amp; IT Services</v>
      </c>
      <c r="W89" s="4" t="s">
        <v>4333</v>
      </c>
      <c r="X89" s="4" t="str">
        <f ca="1">Tableau1[[#This Row],[Grand Secteur]]&amp;Tableau1[[#This Row],[Industrie]]</f>
        <v>Logiciels et TechnologieSoftware &amp; IT Services</v>
      </c>
      <c r="Y89" s="23" cm="1">
        <f t="array" aca="1" ref="Y89" ca="1">IFERROR(_FV(Tableau1[[#This Row],[Code Excel]],"P/E",TRUE),"")</f>
        <v>40.002000000000002</v>
      </c>
      <c r="Z89" s="43" cm="1">
        <f t="array" aca="1" ref="Z89" ca="1">IFERROR(_FV(Tableau1[[#This Row],[Code Excel]],"Employés"),"")</f>
        <v>9700</v>
      </c>
      <c r="AA89" s="49">
        <f ca="1">IFERROR(Tableau1[[#This Row],[Capitalisation boursière]]/Tableau1[[#This Row],[Employés]],"")</f>
        <v>1358585.5670103093</v>
      </c>
      <c r="AB89" s="5" t="str">
        <f>IFERROR(Tableau1[[#This Row],[REX (2021)]]/Tableau1[[#This Row],[CA 2024]],"")</f>
        <v/>
      </c>
      <c r="AC89" s="9" t="str">
        <f>IFERROR(_xlfn.XLOOKUP(Tableau1[[#This Row],[Isin]]&amp;1&amp;2021,#REF!,Tableau3[Résultat d''exploitation]),"")</f>
        <v/>
      </c>
      <c r="AD89" s="9" t="str">
        <f>IFERROR(_xlfn.XLOOKUP(Tableau1[[#This Row],[Isin]]&amp;1&amp;2019,#REF!,Tableau3[Chiffre d''affaires]),"")</f>
        <v/>
      </c>
      <c r="AE89" s="9" t="str">
        <f>IFERROR(_xlfn.XLOOKUP(Tableau1[[#This Row],[Isin]]&amp;1&amp;2024,#REF!,Tableau3[Chiffre d''affaires]),"")</f>
        <v/>
      </c>
      <c r="AF89" s="8" t="str">
        <f>IFERROR(IF((Tableau1[[#This Row],[CA 2024]]-Tableau1[[#This Row],[CA 2019]])/Tableau1[[#This Row],[CA 2019]]=-1,"",(Tableau1[[#This Row],[CA 2024]]-Tableau1[[#This Row],[CA 2019]])/Tableau1[[#This Row],[CA 2019]]),"")</f>
        <v/>
      </c>
      <c r="AG89" s="9" t="str">
        <f>IFERROR(_xlfn.XLOOKUP(Tableau1[[#This Row],[Isin]]&amp;1&amp;2021,#REF!,Tableau3[EBE]),"")</f>
        <v/>
      </c>
      <c r="AH89" s="9" t="str">
        <f>IFERROR(_xlfn.XLOOKUP(Tableau1[[#This Row],[Isin]]&amp;1&amp;2022,#REF!,Tableau3[EBE]),"")</f>
        <v/>
      </c>
      <c r="AI89" s="43" t="s">
        <v>4324</v>
      </c>
      <c r="AJ89" s="43" t="s">
        <v>4334</v>
      </c>
      <c r="AK89" s="43" t="s">
        <v>3148</v>
      </c>
      <c r="AL89" s="43"/>
      <c r="AM89" s="43"/>
      <c r="AN89" s="9" t="str">
        <f>IFERROR(_xlfn.XLOOKUP(Tableau1[[#This Row],[Isin]]&amp;1&amp;2021,#REF!,Tableau3[Chiffre d''affaires]),"")</f>
        <v/>
      </c>
      <c r="AO89" s="43" cm="1">
        <f t="array" aca="1" ref="AO89" ca="1">_FV(Tableau1[[#This Row],[Code Excel]],"P/E",TRUE)</f>
        <v>40.002000000000002</v>
      </c>
      <c r="AP89" s="43" t="str">
        <f>IFERROR(_xlfn.XLOOKUP(Tableau1[[#This Row],[Isin]]&amp;1&amp;2023,#REF!,Tableau3[Résultat Net (PdG)]),"")</f>
        <v/>
      </c>
      <c r="AQ89" s="43">
        <f>IF(IFERROR(_xlfn.XLOOKUP(Tableau1[[#This Row],[Isin]]&amp;1&amp;2022,#REF!,Tableau3[Résultat Net (PdG)]),"")="",Tableau1[[#This Row],[RN Groupe 2022
Manuel]],IFERROR(_xlfn.XLOOKUP(Tableau1[[#This Row],[Isin]]&amp;1&amp;2022,#REF!,Tableau3[Résultat Net (PdG)]),""))</f>
        <v>0</v>
      </c>
      <c r="AR89" s="43"/>
      <c r="AS89" s="43">
        <f>IF(IFERROR(_xlfn.XLOOKUP(Tableau1[[#This Row],[Isin]]&amp;1&amp;2021,#REF!,Tableau3[Résultat Net (PdG)]),"")="",Tableau1[[#This Row],[RN Groupe 2021
Manuel]],IFERROR(_xlfn.XLOOKUP(Tableau1[[#This Row],[Isin]]&amp;1&amp;2021,#REF!,Tableau3[Résultat Net (PdG)]),""))</f>
        <v>0</v>
      </c>
      <c r="AT89" s="43"/>
      <c r="AU89" s="43" t="str">
        <f>IFERROR(_xlfn.XLOOKUP(Tableau1[[#This Row],[Isin]]&amp;1&amp;2020,#REF!,Tableau3[Résultat Net (PdG)]),"")</f>
        <v/>
      </c>
      <c r="AV89" s="43" t="str">
        <f>IFERROR(_xlfn.XLOOKUP(Tableau1[[#This Row],[Isin]]&amp;1&amp;2019,#REF!,Tableau3[Résultat Net (PdG)]),"")</f>
        <v/>
      </c>
      <c r="AW89" s="43" t="str">
        <f>IFERROR(_xlfn.XLOOKUP(Tableau1[[#This Row],[Isin]]&amp;1&amp;2018,#REF!,Tableau3[Résultat Net (PdG)]),"")</f>
        <v/>
      </c>
      <c r="AX89" s="43" t="str">
        <f>IFERROR(_xlfn.XLOOKUP(Tableau1[[#This Row],[Isin]]&amp;1&amp;2017,#REF!,Tableau3[Résultat Net (PdG)]),"")</f>
        <v/>
      </c>
      <c r="AY89" s="43" t="str">
        <f>IFERROR(_xlfn.XLOOKUP(Tableau1[[#This Row],[Isin]]&amp;1&amp;2016,#REF!,Tableau3[Résultat Net (PdG)]),"")</f>
        <v/>
      </c>
      <c r="AZ89" s="137" t="str">
        <f ca="1">IFERROR(Tableau1[[#This Row],[Capitalisation boursière]]/Tableau1[[#This Row],[RN Groupe 2023]],"")</f>
        <v/>
      </c>
      <c r="BA89" s="4" t="str" cm="1">
        <f t="array" aca="1" ref="BA89" ca="1">IFERROR(_FV(Tableau1[[#This Row],[Code Excel]],"Industrie"),"")</f>
        <v>Software &amp; IT Services</v>
      </c>
      <c r="BB89" s="43" t="s">
        <v>3491</v>
      </c>
      <c r="BC89" s="43" t="str">
        <f>IFERROR(_xlfn.XLOOKUP(Tableau1[[#This Row],[Isin]]&amp;1&amp;2016,#REF!,Tableau3[Capi]),"")</f>
        <v/>
      </c>
      <c r="BD89" s="43" t="str">
        <f>IFERROR(_xlfn.XLOOKUP(Tableau1[[#This Row],[Isin]]&amp;1&amp;2017,#REF!,Tableau3[Capi]),"")</f>
        <v/>
      </c>
      <c r="BE89" s="43" t="str">
        <f>IFERROR(_xlfn.XLOOKUP(Tableau1[[#This Row],[Isin]]&amp;1&amp;2018,#REF!,Tableau3[Capi]),"")</f>
        <v/>
      </c>
      <c r="BF89" s="43" t="str">
        <f>IFERROR(_xlfn.XLOOKUP(Tableau1[[#This Row],[Isin]]&amp;1&amp;2019,#REF!,Tableau3[Capi]),"")</f>
        <v/>
      </c>
      <c r="BG89" s="43" t="str">
        <f>IFERROR(_xlfn.XLOOKUP(Tableau1[[#This Row],[Isin]]&amp;1&amp;2020,#REF!,Tableau3[Capi]),"")</f>
        <v/>
      </c>
      <c r="BH89" s="43">
        <f>IF(IFERROR(_xlfn.XLOOKUP(Tableau1[[#This Row],[Isin]]&amp;1&amp;2021,#REF!,Tableau3[Capi]),"")="",Tableau1[[#This Row],[Capitalisation 2021
Manuel]],IFERROR(_xlfn.XLOOKUP(Tableau1[[#This Row],[Isin]]&amp;1&amp;2021,#REF!,Tableau3[Capi]),""))</f>
        <v>0</v>
      </c>
      <c r="BI89" s="43"/>
      <c r="BJ89" s="43">
        <f>IF(IFERROR(_xlfn.XLOOKUP(Tableau1[[#This Row],[Isin]]&amp;1&amp;2022,#REF!,Tableau3[Capi]),"")="",Tableau1[[#This Row],[Capitalisation 2022
Manuel]],IFERROR(_xlfn.XLOOKUP(Tableau1[[#This Row],[Isin]]&amp;1&amp;2022,#REF!,Tableau3[Capi]),""))</f>
        <v>0</v>
      </c>
      <c r="BK89" s="43"/>
      <c r="BL89" s="43">
        <f ca="1">Tableau1[[#This Row],[Capitalisation boursière]]</f>
        <v>13178280000</v>
      </c>
      <c r="BM89" s="162" t="str" cm="1">
        <f t="array" aca="1" ref="BM89" ca="1">_FV(Tableau1[[#This Row],[Code Excel]],"Description")</f>
        <v>Citrix Systems, Inc. is an enterprise software company that delivers digital workspace solutions. The Company’s Workspace solutions are complemented by content collaboration and collaborative work management solutions, App Delivery and Security solutions, which deliver the applications and data. Its Workspace solution comes with ready integrations with used business applications, including Salesforce, Workday, Systems Applications and Products (SAP) Ariba and SAP Concur, ServiceNow, Microsoft Outlook and Google Workspace, and is compatible with identity and access management providers, including Okta, Ping, Radius and GoogleID. The Company’s App Delivery and Security products can be consumed through perpetual licenses or under pooled licensing agreements that enable customers to consume in either a hardware form factor or as software over the term of the agreement. Its App Delivery and Security capabilities include Citrix ADC, and Citrix SD-WAN and Secure Access Service Edge (SASE).</v>
      </c>
      <c r="BN89" s="43"/>
      <c r="BO89" s="43"/>
      <c r="BP89" s="43"/>
      <c r="BQ89" s="43"/>
      <c r="BR89" s="4"/>
      <c r="BS89" s="21"/>
      <c r="BT89" s="13"/>
      <c r="BU89" s="13"/>
      <c r="BV89" s="13"/>
      <c r="BW89" s="13"/>
      <c r="BX89" s="13"/>
      <c r="BY89" s="3"/>
      <c r="BZ89" s="58"/>
      <c r="CA89" s="59"/>
    </row>
    <row r="90" spans="3:82" s="21" customFormat="1">
      <c r="C90" s="43"/>
      <c r="D90" s="42">
        <f>IF(Tableau1[[#This Row],[Isin]]="",99,Tableau1[[#This Row],[Intérêt]]+Tableau1[[#This Row],[Valeur d''intérêt]]+Tableau1[[#This Row],[N° Portefeuille]])</f>
        <v>30</v>
      </c>
      <c r="E90" s="43"/>
      <c r="F90" s="42">
        <f>IF(Tableau1[[#This Row],[Portefeuille]]="p",0,Tableau1[[#This Row],[F. Investissement
Niveau d''intérêt]]*10)</f>
        <v>30</v>
      </c>
      <c r="G90" s="43">
        <f>IF(Tableau1[[#This Row],[Portefeuille]]="p",3,0)</f>
        <v>0</v>
      </c>
      <c r="H90" s="43">
        <v>3</v>
      </c>
      <c r="I90" s="43">
        <v>4</v>
      </c>
      <c r="J90" s="43"/>
      <c r="K90" s="43"/>
      <c r="L90" s="16">
        <v>0</v>
      </c>
      <c r="M9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0" s="44" t="s">
        <v>3683</v>
      </c>
      <c r="O90" s="45"/>
      <c r="P90" s="4" t="s">
        <v>84</v>
      </c>
      <c r="Q90" s="4"/>
      <c r="R90" s="6"/>
      <c r="S90" s="6" t="s">
        <v>3684</v>
      </c>
      <c r="T90" s="6" t="e" vm="78">
        <v>#VALUE!</v>
      </c>
      <c r="U90" s="46" cm="1">
        <f t="array" aca="1" ref="U90" ca="1">IFERROR(_FV(Tableau1[[#This Row],[Code Excel]],"Capitalisation boursière",TRUE),"")</f>
        <v>14295400000</v>
      </c>
      <c r="V90" s="4" t="str" cm="1">
        <f t="array" aca="1" ref="V90" ca="1">IFERROR(_FV(Tableau1[[#This Row],[Code Excel]],"Industrie"),"")</f>
        <v>Insurance</v>
      </c>
      <c r="W90" s="4" t="s">
        <v>4336</v>
      </c>
      <c r="X90" s="4" t="str">
        <f ca="1">Tableau1[[#This Row],[Grand Secteur]]&amp;Tableau1[[#This Row],[Industrie]]</f>
        <v>AssuranceInsurance</v>
      </c>
      <c r="Y90" s="23" cm="1">
        <f t="array" aca="1" ref="Y90" ca="1">IFERROR(_FV(Tableau1[[#This Row],[Code Excel]],"P/E",TRUE),"")</f>
        <v>9.4748000000000001</v>
      </c>
      <c r="Z90" s="43" cm="1">
        <f t="array" aca="1" ref="Z90" ca="1">IFERROR(_FV(Tableau1[[#This Row],[Code Excel]],"Employés"),"")</f>
        <v>5591</v>
      </c>
      <c r="AA90" s="46">
        <f ca="1">IFERROR(Tableau1[[#This Row],[Capitalisation boursière]]/Tableau1[[#This Row],[Employés]],"")</f>
        <v>2556859.2380611696</v>
      </c>
      <c r="AB90" s="5" t="str">
        <f>IFERROR(Tableau1[[#This Row],[REX (2021)]]/Tableau1[[#This Row],[CA 2024]],"")</f>
        <v/>
      </c>
      <c r="AC90" s="9" t="str">
        <f>IFERROR(_xlfn.XLOOKUP(Tableau1[[#This Row],[Isin]]&amp;1&amp;2021,#REF!,Tableau3[Résultat d''exploitation]),"")</f>
        <v/>
      </c>
      <c r="AD90" s="9" t="str">
        <f>IFERROR(_xlfn.XLOOKUP(Tableau1[[#This Row],[Isin]]&amp;1&amp;2019,#REF!,Tableau3[Chiffre d''affaires]),"")</f>
        <v/>
      </c>
      <c r="AE90" s="9" t="str">
        <f>IFERROR(_xlfn.XLOOKUP(Tableau1[[#This Row],[Isin]]&amp;1&amp;2024,#REF!,Tableau3[Chiffre d''affaires]),"")</f>
        <v/>
      </c>
      <c r="AF90" s="8" t="str">
        <f>IFERROR(IF((Tableau1[[#This Row],[CA 2024]]-Tableau1[[#This Row],[CA 2019]])/Tableau1[[#This Row],[CA 2019]]=-1,"",(Tableau1[[#This Row],[CA 2024]]-Tableau1[[#This Row],[CA 2019]])/Tableau1[[#This Row],[CA 2019]]),"")</f>
        <v/>
      </c>
      <c r="AG90" s="9" t="str">
        <f>IFERROR(_xlfn.XLOOKUP(Tableau1[[#This Row],[Isin]]&amp;1&amp;2021,#REF!,Tableau3[EBE]),"")</f>
        <v/>
      </c>
      <c r="AH90" s="9" t="str">
        <f>IFERROR(_xlfn.XLOOKUP(Tableau1[[#This Row],[Isin]]&amp;1&amp;2022,#REF!,Tableau3[EBE]),"")</f>
        <v/>
      </c>
      <c r="AI90" s="43" t="s">
        <v>4329</v>
      </c>
      <c r="AJ90" s="43" t="s">
        <v>4322</v>
      </c>
      <c r="AK90" s="43" t="s">
        <v>3431</v>
      </c>
      <c r="AL90" s="43"/>
      <c r="AM90" s="43"/>
      <c r="AN90" s="9" t="str">
        <f>IFERROR(_xlfn.XLOOKUP(Tableau1[[#This Row],[Isin]]&amp;1&amp;2021,#REF!,Tableau3[Chiffre d''affaires]),"")</f>
        <v/>
      </c>
      <c r="AO90" s="43" cm="1">
        <f t="array" aca="1" ref="AO90" ca="1">_FV(Tableau1[[#This Row],[Code Excel]],"P/E",TRUE)</f>
        <v>9.4748000000000001</v>
      </c>
      <c r="AP90" s="43" t="str">
        <f>IFERROR(_xlfn.XLOOKUP(Tableau1[[#This Row],[Isin]]&amp;1&amp;2023,#REF!,Tableau3[Résultat Net (PdG)]),"")</f>
        <v/>
      </c>
      <c r="AQ90" s="43">
        <f>IF(IFERROR(_xlfn.XLOOKUP(Tableau1[[#This Row],[Isin]]&amp;1&amp;2022,#REF!,Tableau3[Résultat Net (PdG)]),"")="",Tableau1[[#This Row],[RN Groupe 2022
Manuel]],IFERROR(_xlfn.XLOOKUP(Tableau1[[#This Row],[Isin]]&amp;1&amp;2022,#REF!,Tableau3[Résultat Net (PdG)]),""))</f>
        <v>0</v>
      </c>
      <c r="AR90" s="43"/>
      <c r="AS90" s="43">
        <f>IF(IFERROR(_xlfn.XLOOKUP(Tableau1[[#This Row],[Isin]]&amp;1&amp;2021,#REF!,Tableau3[Résultat Net (PdG)]),"")="",Tableau1[[#This Row],[RN Groupe 2021
Manuel]],IFERROR(_xlfn.XLOOKUP(Tableau1[[#This Row],[Isin]]&amp;1&amp;2021,#REF!,Tableau3[Résultat Net (PdG)]),""))</f>
        <v>0</v>
      </c>
      <c r="AT90" s="43"/>
      <c r="AU90" s="43" t="str">
        <f>IFERROR(_xlfn.XLOOKUP(Tableau1[[#This Row],[Isin]]&amp;1&amp;2020,#REF!,Tableau3[Résultat Net (PdG)]),"")</f>
        <v/>
      </c>
      <c r="AV90" s="43" t="str">
        <f>IFERROR(_xlfn.XLOOKUP(Tableau1[[#This Row],[Isin]]&amp;1&amp;2019,#REF!,Tableau3[Résultat Net (PdG)]),"")</f>
        <v/>
      </c>
      <c r="AW90" s="43" t="str">
        <f>IFERROR(_xlfn.XLOOKUP(Tableau1[[#This Row],[Isin]]&amp;1&amp;2018,#REF!,Tableau3[Résultat Net (PdG)]),"")</f>
        <v/>
      </c>
      <c r="AX90" s="43" t="str">
        <f>IFERROR(_xlfn.XLOOKUP(Tableau1[[#This Row],[Isin]]&amp;1&amp;2017,#REF!,Tableau3[Résultat Net (PdG)]),"")</f>
        <v/>
      </c>
      <c r="AY90" s="43" t="str">
        <f>IFERROR(_xlfn.XLOOKUP(Tableau1[[#This Row],[Isin]]&amp;1&amp;2016,#REF!,Tableau3[Résultat Net (PdG)]),"")</f>
        <v/>
      </c>
      <c r="AZ90" s="137" t="str">
        <f ca="1">IFERROR(Tableau1[[#This Row],[Capitalisation boursière]]/Tableau1[[#This Row],[RN Groupe 2023]],"")</f>
        <v/>
      </c>
      <c r="BA90" s="4" t="str" cm="1">
        <f t="array" aca="1" ref="BA90" ca="1">IFERROR(_FV(Tableau1[[#This Row],[Code Excel]],"Industrie"),"")</f>
        <v>Insurance</v>
      </c>
      <c r="BB90" s="43" t="s">
        <v>3477</v>
      </c>
      <c r="BC90" s="43" t="str">
        <f>IFERROR(_xlfn.XLOOKUP(Tableau1[[#This Row],[Isin]]&amp;1&amp;2016,#REF!,Tableau3[Capi]),"")</f>
        <v/>
      </c>
      <c r="BD90" s="43" t="str">
        <f>IFERROR(_xlfn.XLOOKUP(Tableau1[[#This Row],[Isin]]&amp;1&amp;2017,#REF!,Tableau3[Capi]),"")</f>
        <v/>
      </c>
      <c r="BE90" s="43" t="str">
        <f>IFERROR(_xlfn.XLOOKUP(Tableau1[[#This Row],[Isin]]&amp;1&amp;2018,#REF!,Tableau3[Capi]),"")</f>
        <v/>
      </c>
      <c r="BF90" s="43" t="str">
        <f>IFERROR(_xlfn.XLOOKUP(Tableau1[[#This Row],[Isin]]&amp;1&amp;2019,#REF!,Tableau3[Capi]),"")</f>
        <v/>
      </c>
      <c r="BG90" s="43" t="str">
        <f>IFERROR(_xlfn.XLOOKUP(Tableau1[[#This Row],[Isin]]&amp;1&amp;2020,#REF!,Tableau3[Capi]),"")</f>
        <v/>
      </c>
      <c r="BH90" s="43">
        <f>IF(IFERROR(_xlfn.XLOOKUP(Tableau1[[#This Row],[Isin]]&amp;1&amp;2021,#REF!,Tableau3[Capi]),"")="",Tableau1[[#This Row],[Capitalisation 2021
Manuel]],IFERROR(_xlfn.XLOOKUP(Tableau1[[#This Row],[Isin]]&amp;1&amp;2021,#REF!,Tableau3[Capi]),""))</f>
        <v>0</v>
      </c>
      <c r="BI90" s="43"/>
      <c r="BJ90" s="43">
        <f>IF(IFERROR(_xlfn.XLOOKUP(Tableau1[[#This Row],[Isin]]&amp;1&amp;2022,#REF!,Tableau3[Capi]),"")="",Tableau1[[#This Row],[Capitalisation 2022
Manuel]],IFERROR(_xlfn.XLOOKUP(Tableau1[[#This Row],[Isin]]&amp;1&amp;2022,#REF!,Tableau3[Capi]),""))</f>
        <v>0</v>
      </c>
      <c r="BK90" s="43"/>
      <c r="BL90" s="43">
        <f ca="1">Tableau1[[#This Row],[Capitalisation boursière]]</f>
        <v>14295400000</v>
      </c>
      <c r="BM90" s="162" t="str" cm="1">
        <f t="array" aca="1" ref="BM90" ca="1">_FV(Tableau1[[#This Row],[Code Excel]],"Description")</f>
        <v xml:space="preserve">CNP Assurances SA (CNP) is a France-based personal insurance provider. The Company’s product portfolio includes savings products, risk and contingency products and pension products. It offers a range of products and services in both individual and group insurance sectors. It divides its activities into Savings, Pensions, Personal Risk, Loan Insurance, Health Insurance, Property &amp; Casualty and Other. The Company operates through a number of subsidiaries, including Previposte, CNP IAM, CNP International and CAIXA Seguros, Tempo Dental, Azimut and Isalud, among others. In addition, CNP SA offers a range of services for the elderly and disabled people, through Filassistance International and Age d'Or Expansion. The Company is present in France, Spain, Argentina, Portugal, among others. </v>
      </c>
      <c r="BN90" s="43"/>
      <c r="BO90" s="43"/>
      <c r="BP90" s="43"/>
      <c r="BQ90" s="43"/>
      <c r="BR90" s="4"/>
      <c r="BT90" s="13"/>
      <c r="BU90" s="13"/>
      <c r="BV90" s="13"/>
      <c r="BY90" s="3"/>
      <c r="BZ90" s="58"/>
      <c r="CA90" s="59"/>
      <c r="CB90" s="6"/>
      <c r="CC90" s="6"/>
      <c r="CD90" s="6"/>
    </row>
    <row r="91" spans="3:82">
      <c r="C91" s="42"/>
      <c r="D91" s="42">
        <f>IF(Tableau1[[#This Row],[Isin]]="",99,Tableau1[[#This Row],[Intérêt]]+Tableau1[[#This Row],[Valeur d''intérêt]]+Tableau1[[#This Row],[N° Portefeuille]])</f>
        <v>30</v>
      </c>
      <c r="E91" s="42"/>
      <c r="F91" s="42">
        <f>IF(Tableau1[[#This Row],[Portefeuille]]="p",0,Tableau1[[#This Row],[F. Investissement
Niveau d''intérêt]]*10)</f>
        <v>30</v>
      </c>
      <c r="G91" s="42">
        <f>IF(Tableau1[[#This Row],[Portefeuille]]="p",3,0)</f>
        <v>0</v>
      </c>
      <c r="H91" s="42">
        <v>3</v>
      </c>
      <c r="I91" s="42">
        <v>4</v>
      </c>
      <c r="J91" s="42"/>
      <c r="K91" s="43"/>
      <c r="L91" s="16">
        <v>0</v>
      </c>
      <c r="M9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1" s="44" t="s">
        <v>3686</v>
      </c>
      <c r="O91" s="45"/>
      <c r="P91" s="4" t="s">
        <v>84</v>
      </c>
      <c r="Q91" s="4"/>
      <c r="R91" s="6"/>
      <c r="S91" s="6" t="s">
        <v>3687</v>
      </c>
      <c r="T91" s="6" t="e" vm="79">
        <v>#VALUE!</v>
      </c>
      <c r="U91" s="46" cm="1">
        <f t="array" aca="1" ref="U91" ca="1">IFERROR(_FV(Tableau1[[#This Row],[Code Excel]],"Capitalisation boursière",TRUE),"")</f>
        <v>2665691000</v>
      </c>
      <c r="V91" s="4" t="str" cm="1">
        <f t="array" aca="1" ref="V91" ca="1">IFERROR(_FV(Tableau1[[#This Row],[Code Excel]],"Industrie"),"")</f>
        <v>Insurance</v>
      </c>
      <c r="W91" s="4" t="s">
        <v>4336</v>
      </c>
      <c r="X91" s="4" t="str">
        <f ca="1">Tableau1[[#This Row],[Grand Secteur]]&amp;Tableau1[[#This Row],[Industrie]]</f>
        <v>AssuranceInsurance</v>
      </c>
      <c r="Y91" s="23" cm="1">
        <f t="array" aca="1" ref="Y91" ca="1">IFERROR(_FV(Tableau1[[#This Row],[Code Excel]],"P/E",TRUE),"")</f>
        <v>10.256600000000001</v>
      </c>
      <c r="Z91" s="43" cm="1">
        <f t="array" aca="1" ref="Z91" ca="1">IFERROR(_FV(Tableau1[[#This Row],[Code Excel]],"Employés"),"")</f>
        <v>4100</v>
      </c>
      <c r="AA91" s="46">
        <f ca="1">IFERROR(Tableau1[[#This Row],[Capitalisation boursière]]/Tableau1[[#This Row],[Employés]],"")</f>
        <v>650168.53658536589</v>
      </c>
      <c r="AB91" s="5" t="str">
        <f>IFERROR(Tableau1[[#This Row],[REX (2021)]]/Tableau1[[#This Row],[CA 2024]],"")</f>
        <v/>
      </c>
      <c r="AC91" s="9" t="str">
        <f>IFERROR(_xlfn.XLOOKUP(Tableau1[[#This Row],[Isin]]&amp;1&amp;2021,#REF!,Tableau3[Résultat d''exploitation]),"")</f>
        <v/>
      </c>
      <c r="AD91" s="9" t="str">
        <f>IFERROR(_xlfn.XLOOKUP(Tableau1[[#This Row],[Isin]]&amp;1&amp;2019,#REF!,Tableau3[Chiffre d''affaires]),"")</f>
        <v/>
      </c>
      <c r="AE91" s="9" t="str">
        <f>IFERROR(_xlfn.XLOOKUP(Tableau1[[#This Row],[Isin]]&amp;1&amp;2024,#REF!,Tableau3[Chiffre d''affaires]),"")</f>
        <v/>
      </c>
      <c r="AF91" s="8" t="str">
        <f>IFERROR(IF((Tableau1[[#This Row],[CA 2024]]-Tableau1[[#This Row],[CA 2019]])/Tableau1[[#This Row],[CA 2019]]=-1,"",(Tableau1[[#This Row],[CA 2024]]-Tableau1[[#This Row],[CA 2019]])/Tableau1[[#This Row],[CA 2019]]),"")</f>
        <v/>
      </c>
      <c r="AG91" s="9" t="str">
        <f>IFERROR(_xlfn.XLOOKUP(Tableau1[[#This Row],[Isin]]&amp;1&amp;2021,#REF!,Tableau3[EBE]),"")</f>
        <v/>
      </c>
      <c r="AH91" s="9" t="str">
        <f>IFERROR(_xlfn.XLOOKUP(Tableau1[[#This Row],[Isin]]&amp;1&amp;2022,#REF!,Tableau3[EBE]),"")</f>
        <v/>
      </c>
      <c r="AI91" s="43" t="s">
        <v>4329</v>
      </c>
      <c r="AJ91" s="43" t="s">
        <v>4322</v>
      </c>
      <c r="AK91" s="43" t="s">
        <v>3431</v>
      </c>
      <c r="AL91" s="43"/>
      <c r="AM91" s="43"/>
      <c r="AN91" s="9" t="str">
        <f>IFERROR(_xlfn.XLOOKUP(Tableau1[[#This Row],[Isin]]&amp;1&amp;2021,#REF!,Tableau3[Chiffre d''affaires]),"")</f>
        <v/>
      </c>
      <c r="AO91" s="43" cm="1">
        <f t="array" aca="1" ref="AO91" ca="1">_FV(Tableau1[[#This Row],[Code Excel]],"P/E",TRUE)</f>
        <v>10.256600000000001</v>
      </c>
      <c r="AP91" s="43" t="str">
        <f>IFERROR(_xlfn.XLOOKUP(Tableau1[[#This Row],[Isin]]&amp;1&amp;2023,#REF!,Tableau3[Résultat Net (PdG)]),"")</f>
        <v/>
      </c>
      <c r="AQ91" s="43">
        <f>IF(IFERROR(_xlfn.XLOOKUP(Tableau1[[#This Row],[Isin]]&amp;1&amp;2022,#REF!,Tableau3[Résultat Net (PdG)]),"")="",Tableau1[[#This Row],[RN Groupe 2022
Manuel]],IFERROR(_xlfn.XLOOKUP(Tableau1[[#This Row],[Isin]]&amp;1&amp;2022,#REF!,Tableau3[Résultat Net (PdG)]),""))</f>
        <v>0</v>
      </c>
      <c r="AR91" s="43"/>
      <c r="AS91" s="43">
        <f>IF(IFERROR(_xlfn.XLOOKUP(Tableau1[[#This Row],[Isin]]&amp;1&amp;2021,#REF!,Tableau3[Résultat Net (PdG)]),"")="",Tableau1[[#This Row],[RN Groupe 2021
Manuel]],IFERROR(_xlfn.XLOOKUP(Tableau1[[#This Row],[Isin]]&amp;1&amp;2021,#REF!,Tableau3[Résultat Net (PdG)]),""))</f>
        <v>0</v>
      </c>
      <c r="AT91" s="43"/>
      <c r="AU91" s="43" t="str">
        <f>IFERROR(_xlfn.XLOOKUP(Tableau1[[#This Row],[Isin]]&amp;1&amp;2020,#REF!,Tableau3[Résultat Net (PdG)]),"")</f>
        <v/>
      </c>
      <c r="AV91" s="43" t="str">
        <f>IFERROR(_xlfn.XLOOKUP(Tableau1[[#This Row],[Isin]]&amp;1&amp;2019,#REF!,Tableau3[Résultat Net (PdG)]),"")</f>
        <v/>
      </c>
      <c r="AW91" s="43" t="str">
        <f>IFERROR(_xlfn.XLOOKUP(Tableau1[[#This Row],[Isin]]&amp;1&amp;2018,#REF!,Tableau3[Résultat Net (PdG)]),"")</f>
        <v/>
      </c>
      <c r="AX91" s="43" t="str">
        <f>IFERROR(_xlfn.XLOOKUP(Tableau1[[#This Row],[Isin]]&amp;1&amp;2017,#REF!,Tableau3[Résultat Net (PdG)]),"")</f>
        <v/>
      </c>
      <c r="AY91" s="43" t="str">
        <f>IFERROR(_xlfn.XLOOKUP(Tableau1[[#This Row],[Isin]]&amp;1&amp;2016,#REF!,Tableau3[Résultat Net (PdG)]),"")</f>
        <v/>
      </c>
      <c r="AZ91" s="137" t="str">
        <f ca="1">IFERROR(Tableau1[[#This Row],[Capitalisation boursière]]/Tableau1[[#This Row],[RN Groupe 2023]],"")</f>
        <v/>
      </c>
      <c r="BA91" s="4" t="str" cm="1">
        <f t="array" aca="1" ref="BA91" ca="1">IFERROR(_FV(Tableau1[[#This Row],[Code Excel]],"Industrie"),"")</f>
        <v>Insurance</v>
      </c>
      <c r="BB91" s="43" t="s">
        <v>3477</v>
      </c>
      <c r="BC91" s="43" t="str">
        <f>IFERROR(_xlfn.XLOOKUP(Tableau1[[#This Row],[Isin]]&amp;1&amp;2016,#REF!,Tableau3[Capi]),"")</f>
        <v/>
      </c>
      <c r="BD91" s="43" t="str">
        <f>IFERROR(_xlfn.XLOOKUP(Tableau1[[#This Row],[Isin]]&amp;1&amp;2017,#REF!,Tableau3[Capi]),"")</f>
        <v/>
      </c>
      <c r="BE91" s="43" t="str">
        <f>IFERROR(_xlfn.XLOOKUP(Tableau1[[#This Row],[Isin]]&amp;1&amp;2018,#REF!,Tableau3[Capi]),"")</f>
        <v/>
      </c>
      <c r="BF91" s="43" t="str">
        <f>IFERROR(_xlfn.XLOOKUP(Tableau1[[#This Row],[Isin]]&amp;1&amp;2019,#REF!,Tableau3[Capi]),"")</f>
        <v/>
      </c>
      <c r="BG91" s="43" t="str">
        <f>IFERROR(_xlfn.XLOOKUP(Tableau1[[#This Row],[Isin]]&amp;1&amp;2020,#REF!,Tableau3[Capi]),"")</f>
        <v/>
      </c>
      <c r="BH91" s="43">
        <f>IF(IFERROR(_xlfn.XLOOKUP(Tableau1[[#This Row],[Isin]]&amp;1&amp;2021,#REF!,Tableau3[Capi]),"")="",Tableau1[[#This Row],[Capitalisation 2021
Manuel]],IFERROR(_xlfn.XLOOKUP(Tableau1[[#This Row],[Isin]]&amp;1&amp;2021,#REF!,Tableau3[Capi]),""))</f>
        <v>0</v>
      </c>
      <c r="BI91" s="43"/>
      <c r="BJ91" s="43">
        <f>IF(IFERROR(_xlfn.XLOOKUP(Tableau1[[#This Row],[Isin]]&amp;1&amp;2022,#REF!,Tableau3[Capi]),"")="",Tableau1[[#This Row],[Capitalisation 2022
Manuel]],IFERROR(_xlfn.XLOOKUP(Tableau1[[#This Row],[Isin]]&amp;1&amp;2022,#REF!,Tableau3[Capi]),""))</f>
        <v>0</v>
      </c>
      <c r="BK91" s="43"/>
      <c r="BL91" s="43">
        <f ca="1">Tableau1[[#This Row],[Capitalisation boursière]]</f>
        <v>2665691000</v>
      </c>
      <c r="BM91" s="162" t="str" cm="1">
        <f t="array" aca="1" ref="BM91" ca="1">_FV(Tableau1[[#This Row],[Code Excel]],"Description")</f>
        <v>COFACE SA est une société basée en France. Elle dispose d‘une assurance-crédit globale pour la protection des entreprises contre le risque de défaillance financière de leurs clients. L‘assurance-crédit Coface constitue également une analyse du risque que la Société fournit à ses clients afin de mieux prévenir les risques qu‘ils doivent prendre.</v>
      </c>
      <c r="BN91" s="43"/>
      <c r="BO91" s="43"/>
      <c r="BP91" s="43"/>
      <c r="BQ91" s="43"/>
      <c r="BR91" s="4"/>
      <c r="BS91" s="21"/>
      <c r="BT91" s="13"/>
      <c r="BU91" s="13"/>
      <c r="BV91" s="13"/>
      <c r="BW91" s="13"/>
      <c r="BX91" s="13"/>
      <c r="BY91" s="3"/>
      <c r="BZ91" s="58"/>
      <c r="CA91" s="59"/>
    </row>
    <row r="92" spans="3:82">
      <c r="C92" s="43"/>
      <c r="D92" s="42">
        <f>IF(Tableau1[[#This Row],[Isin]]="",99,Tableau1[[#This Row],[Intérêt]]+Tableau1[[#This Row],[Valeur d''intérêt]]+Tableau1[[#This Row],[N° Portefeuille]])</f>
        <v>30</v>
      </c>
      <c r="E92" s="43"/>
      <c r="F92" s="42">
        <f>IF(Tableau1[[#This Row],[Portefeuille]]="p",0,Tableau1[[#This Row],[F. Investissement
Niveau d''intérêt]]*10)</f>
        <v>30</v>
      </c>
      <c r="G92" s="43">
        <f>IF(Tableau1[[#This Row],[Portefeuille]]="p",3,0)</f>
        <v>0</v>
      </c>
      <c r="H92" s="43">
        <v>3</v>
      </c>
      <c r="I92" s="43">
        <v>4</v>
      </c>
      <c r="J92" s="43"/>
      <c r="K92" s="43"/>
      <c r="L92" s="16">
        <v>0</v>
      </c>
      <c r="M9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2" s="44" t="s">
        <v>3689</v>
      </c>
      <c r="O92" s="45"/>
      <c r="P92" s="4" t="s">
        <v>452</v>
      </c>
      <c r="Q92" s="4"/>
      <c r="R92" s="6"/>
      <c r="S92" s="6" t="s">
        <v>3690</v>
      </c>
      <c r="T92" s="6" t="e" vm="80">
        <v>#VALUE!</v>
      </c>
      <c r="U92" s="46" cm="1">
        <f t="array" aca="1" ref="U92" ca="1">IFERROR(_FV(Tableau1[[#This Row],[Code Excel]],"Capitalisation boursière",TRUE),"")</f>
        <v>2335298000</v>
      </c>
      <c r="V92" s="4" t="str" cm="1">
        <f t="array" aca="1" ref="V92" ca="1">IFERROR(_FV(Tableau1[[#This Row],[Code Excel]],"Industrie"),"")</f>
        <v>Residential &amp; Commercial REIT</v>
      </c>
      <c r="W92" s="4" t="s">
        <v>2083</v>
      </c>
      <c r="X92" s="4" t="str">
        <f ca="1">Tableau1[[#This Row],[Grand Secteur]]&amp;Tableau1[[#This Row],[Industrie]]</f>
        <v>ImmobilierResidential &amp; Commercial REIT</v>
      </c>
      <c r="Y92" s="23" cm="1">
        <f t="array" aca="1" ref="Y92" ca="1">IFERROR(_FV(Tableau1[[#This Row],[Code Excel]],"P/E",TRUE),"")</f>
        <v>36.058799999999998</v>
      </c>
      <c r="Z92" s="43" cm="1">
        <f t="array" aca="1" ref="Z92" ca="1">IFERROR(_FV(Tableau1[[#This Row],[Code Excel]],"Employés"),"")</f>
        <v>150</v>
      </c>
      <c r="AA92" s="49">
        <f ca="1">IFERROR(Tableau1[[#This Row],[Capitalisation boursière]]/Tableau1[[#This Row],[Employés]],"")</f>
        <v>15568653.333333334</v>
      </c>
      <c r="AB92" s="5" t="str">
        <f>IFERROR(Tableau1[[#This Row],[REX (2021)]]/Tableau1[[#This Row],[CA 2024]],"")</f>
        <v/>
      </c>
      <c r="AC92" s="9" t="str">
        <f>IFERROR(_xlfn.XLOOKUP(Tableau1[[#This Row],[Isin]]&amp;1&amp;2021,#REF!,Tableau3[Résultat d''exploitation]),"")</f>
        <v/>
      </c>
      <c r="AD92" s="9" t="str">
        <f>IFERROR(_xlfn.XLOOKUP(Tableau1[[#This Row],[Isin]]&amp;1&amp;2019,#REF!,Tableau3[Chiffre d''affaires]),"")</f>
        <v/>
      </c>
      <c r="AE92" s="9" t="str">
        <f>IFERROR(_xlfn.XLOOKUP(Tableau1[[#This Row],[Isin]]&amp;1&amp;2024,#REF!,Tableau3[Chiffre d''affaires]),"")</f>
        <v/>
      </c>
      <c r="AF92" s="8" t="str">
        <f>IFERROR(IF((Tableau1[[#This Row],[CA 2024]]-Tableau1[[#This Row],[CA 2019]])/Tableau1[[#This Row],[CA 2019]]=-1,"",(Tableau1[[#This Row],[CA 2024]]-Tableau1[[#This Row],[CA 2019]])/Tableau1[[#This Row],[CA 2019]]),"")</f>
        <v/>
      </c>
      <c r="AG92" s="9" t="str">
        <f>IFERROR(_xlfn.XLOOKUP(Tableau1[[#This Row],[Isin]]&amp;1&amp;2021,#REF!,Tableau3[EBE]),"")</f>
        <v/>
      </c>
      <c r="AH92" s="9" t="str">
        <f>IFERROR(_xlfn.XLOOKUP(Tableau1[[#This Row],[Isin]]&amp;1&amp;2022,#REF!,Tableau3[EBE]),"")</f>
        <v/>
      </c>
      <c r="AI92" s="43" t="s">
        <v>3431</v>
      </c>
      <c r="AJ92" s="43" t="s">
        <v>4322</v>
      </c>
      <c r="AK92" s="43" t="s">
        <v>3148</v>
      </c>
      <c r="AL92" s="43"/>
      <c r="AM92" s="43"/>
      <c r="AN92" s="9" t="str">
        <f>IFERROR(_xlfn.XLOOKUP(Tableau1[[#This Row],[Isin]]&amp;1&amp;2021,#REF!,Tableau3[Chiffre d''affaires]),"")</f>
        <v/>
      </c>
      <c r="AO92" s="43" cm="1">
        <f t="array" aca="1" ref="AO92" ca="1">_FV(Tableau1[[#This Row],[Code Excel]],"P/E",TRUE)</f>
        <v>36.058799999999998</v>
      </c>
      <c r="AP92" s="43" t="str">
        <f>IFERROR(_xlfn.XLOOKUP(Tableau1[[#This Row],[Isin]]&amp;1&amp;2023,#REF!,Tableau3[Résultat Net (PdG)]),"")</f>
        <v/>
      </c>
      <c r="AQ92" s="43">
        <f>IF(IFERROR(_xlfn.XLOOKUP(Tableau1[[#This Row],[Isin]]&amp;1&amp;2022,#REF!,Tableau3[Résultat Net (PdG)]),"")="",Tableau1[[#This Row],[RN Groupe 2022
Manuel]],IFERROR(_xlfn.XLOOKUP(Tableau1[[#This Row],[Isin]]&amp;1&amp;2022,#REF!,Tableau3[Résultat Net (PdG)]),""))</f>
        <v>0</v>
      </c>
      <c r="AR92" s="43"/>
      <c r="AS92" s="43">
        <f>IF(IFERROR(_xlfn.XLOOKUP(Tableau1[[#This Row],[Isin]]&amp;1&amp;2021,#REF!,Tableau3[Résultat Net (PdG)]),"")="",Tableau1[[#This Row],[RN Groupe 2021
Manuel]],IFERROR(_xlfn.XLOOKUP(Tableau1[[#This Row],[Isin]]&amp;1&amp;2021,#REF!,Tableau3[Résultat Net (PdG)]),""))</f>
        <v>0</v>
      </c>
      <c r="AT92" s="43"/>
      <c r="AU92" s="43" t="str">
        <f>IFERROR(_xlfn.XLOOKUP(Tableau1[[#This Row],[Isin]]&amp;1&amp;2020,#REF!,Tableau3[Résultat Net (PdG)]),"")</f>
        <v/>
      </c>
      <c r="AV92" s="43" t="str">
        <f>IFERROR(_xlfn.XLOOKUP(Tableau1[[#This Row],[Isin]]&amp;1&amp;2019,#REF!,Tableau3[Résultat Net (PdG)]),"")</f>
        <v/>
      </c>
      <c r="AW92" s="43" t="str">
        <f>IFERROR(_xlfn.XLOOKUP(Tableau1[[#This Row],[Isin]]&amp;1&amp;2018,#REF!,Tableau3[Résultat Net (PdG)]),"")</f>
        <v/>
      </c>
      <c r="AX92" s="43" t="str">
        <f>IFERROR(_xlfn.XLOOKUP(Tableau1[[#This Row],[Isin]]&amp;1&amp;2017,#REF!,Tableau3[Résultat Net (PdG)]),"")</f>
        <v/>
      </c>
      <c r="AY92" s="43" t="str">
        <f>IFERROR(_xlfn.XLOOKUP(Tableau1[[#This Row],[Isin]]&amp;1&amp;2016,#REF!,Tableau3[Résultat Net (PdG)]),"")</f>
        <v/>
      </c>
      <c r="AZ92" s="137" t="str">
        <f ca="1">IFERROR(Tableau1[[#This Row],[Capitalisation boursière]]/Tableau1[[#This Row],[RN Groupe 2023]],"")</f>
        <v/>
      </c>
      <c r="BA92" s="4" t="str" cm="1">
        <f t="array" aca="1" ref="BA92" ca="1">IFERROR(_FV(Tableau1[[#This Row],[Code Excel]],"Industrie"),"")</f>
        <v>Residential &amp; Commercial REIT</v>
      </c>
      <c r="BB92" s="43" t="s">
        <v>3482</v>
      </c>
      <c r="BC92" s="43" t="str">
        <f>IFERROR(_xlfn.XLOOKUP(Tableau1[[#This Row],[Isin]]&amp;1&amp;2016,#REF!,Tableau3[Capi]),"")</f>
        <v/>
      </c>
      <c r="BD92" s="43" t="str">
        <f>IFERROR(_xlfn.XLOOKUP(Tableau1[[#This Row],[Isin]]&amp;1&amp;2017,#REF!,Tableau3[Capi]),"")</f>
        <v/>
      </c>
      <c r="BE92" s="43" t="str">
        <f>IFERROR(_xlfn.XLOOKUP(Tableau1[[#This Row],[Isin]]&amp;1&amp;2018,#REF!,Tableau3[Capi]),"")</f>
        <v/>
      </c>
      <c r="BF92" s="43" t="str">
        <f>IFERROR(_xlfn.XLOOKUP(Tableau1[[#This Row],[Isin]]&amp;1&amp;2019,#REF!,Tableau3[Capi]),"")</f>
        <v/>
      </c>
      <c r="BG92" s="43" t="str">
        <f>IFERROR(_xlfn.XLOOKUP(Tableau1[[#This Row],[Isin]]&amp;1&amp;2020,#REF!,Tableau3[Capi]),"")</f>
        <v/>
      </c>
      <c r="BH92" s="43">
        <f>IF(IFERROR(_xlfn.XLOOKUP(Tableau1[[#This Row],[Isin]]&amp;1&amp;2021,#REF!,Tableau3[Capi]),"")="",Tableau1[[#This Row],[Capitalisation 2021
Manuel]],IFERROR(_xlfn.XLOOKUP(Tableau1[[#This Row],[Isin]]&amp;1&amp;2021,#REF!,Tableau3[Capi]),""))</f>
        <v>0</v>
      </c>
      <c r="BI92" s="43"/>
      <c r="BJ92" s="43">
        <f>IF(IFERROR(_xlfn.XLOOKUP(Tableau1[[#This Row],[Isin]]&amp;1&amp;2022,#REF!,Tableau3[Capi]),"")="",Tableau1[[#This Row],[Capitalisation 2022
Manuel]],IFERROR(_xlfn.XLOOKUP(Tableau1[[#This Row],[Isin]]&amp;1&amp;2022,#REF!,Tableau3[Capi]),""))</f>
        <v>0</v>
      </c>
      <c r="BK92" s="43"/>
      <c r="BL92" s="43">
        <f ca="1">Tableau1[[#This Row],[Capitalisation boursière]]</f>
        <v>2335298000</v>
      </c>
      <c r="BM92" s="162" t="str" cm="1">
        <f t="array" aca="1" ref="BM92" ca="1">_FV(Tableau1[[#This Row],[Code Excel]],"Description")</f>
        <v>Cofinimmo SA est une société d'investissement immobilier basée en Belgique. La société est principalement active dans l'acquisition, le développement et la gestion d'immeubles locatifs. Elle se concentre sur les immeubles locatifs tels que les bureaux, les immeubles de soins, les immeubles d'exploitation d'entreprises et les immeubles publics. Ses principaux segments comprennent l'immobilier de bureaux, les maisons de repos et les réseaux immobiliers de distribution. Elle se concentre principalement sur la fourniture de services tels que la gestion des installations, les patrouilles et la gestion des espaces de travail. Elle gère un portefeuille immobilier comprenant des bureaux situés principalement à Anvers et à Bruxelles, des immeubles de soins situés en Belgique et en Allemagne, dont Villa Sonnenmond, un opérateur d'établissements de soins infirmiers basé à Neustadt, des réseaux immobiliers de distribution, des services, des partenariats public-privé et du développement.</v>
      </c>
      <c r="BN92" s="43"/>
      <c r="BO92" s="43"/>
      <c r="BP92" s="43"/>
      <c r="BQ92" s="43"/>
      <c r="BR92" s="4"/>
      <c r="BS92" s="21"/>
      <c r="BT92" s="13"/>
      <c r="BU92" s="13"/>
      <c r="BV92" s="13"/>
      <c r="BW92" s="13"/>
      <c r="BX92" s="13"/>
      <c r="BY92" s="3"/>
      <c r="BZ92" s="58"/>
      <c r="CA92" s="59"/>
    </row>
    <row r="93" spans="3:82">
      <c r="C93" s="42"/>
      <c r="D93" s="42">
        <f>IF(Tableau1[[#This Row],[Isin]]="",99,Tableau1[[#This Row],[Intérêt]]+Tableau1[[#This Row],[Valeur d''intérêt]]+Tableau1[[#This Row],[N° Portefeuille]])</f>
        <v>30</v>
      </c>
      <c r="E93" s="42"/>
      <c r="F93" s="42">
        <f>IF(Tableau1[[#This Row],[Portefeuille]]="p",0,Tableau1[[#This Row],[F. Investissement
Niveau d''intérêt]]*10)</f>
        <v>30</v>
      </c>
      <c r="G93" s="42">
        <f>IF(Tableau1[[#This Row],[Portefeuille]]="p",3,0)</f>
        <v>0</v>
      </c>
      <c r="H93" s="42">
        <v>3</v>
      </c>
      <c r="I93" s="42">
        <v>4</v>
      </c>
      <c r="J93" s="42"/>
      <c r="K93" s="43"/>
      <c r="L93" s="16">
        <v>0</v>
      </c>
      <c r="M9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3" s="44" t="s">
        <v>3692</v>
      </c>
      <c r="O93" s="45"/>
      <c r="P93" s="4" t="s">
        <v>382</v>
      </c>
      <c r="Q93" s="4"/>
      <c r="R93" s="6"/>
      <c r="S93" s="6" t="s">
        <v>3693</v>
      </c>
      <c r="T93" s="6" t="e" vm="81">
        <v>#VALUE!</v>
      </c>
      <c r="U93" s="46" cm="1">
        <f t="array" aca="1" ref="U93" ca="1">IFERROR(_FV(Tableau1[[#This Row],[Code Excel]],"Capitalisation boursière",TRUE),"")</f>
        <v>37239600995</v>
      </c>
      <c r="V93" s="4" t="str" cm="1">
        <f t="array" aca="1" ref="V93" ca="1">IFERROR(_FV(Tableau1[[#This Row],[Code Excel]],"Industrie"),"")</f>
        <v>Software &amp; IT Services</v>
      </c>
      <c r="W93" s="4" t="s">
        <v>4333</v>
      </c>
      <c r="X93" s="4" t="str">
        <f ca="1">Tableau1[[#This Row],[Grand Secteur]]&amp;Tableau1[[#This Row],[Industrie]]</f>
        <v>Logiciels et TechnologieSoftware &amp; IT Services</v>
      </c>
      <c r="Y93" s="23" cm="1">
        <f t="array" aca="1" ref="Y93" ca="1">IFERROR(_FV(Tableau1[[#This Row],[Code Excel]],"P/E",TRUE),"")</f>
        <v>16.750599999999999</v>
      </c>
      <c r="Z93" s="43" cm="1">
        <f t="array" aca="1" ref="Z93" ca="1">IFERROR(_FV(Tableau1[[#This Row],[Code Excel]],"Employés"),"")</f>
        <v>336800</v>
      </c>
      <c r="AA93" s="49">
        <f ca="1">IFERROR(Tableau1[[#This Row],[Capitalisation boursière]]/Tableau1[[#This Row],[Employés]],"")</f>
        <v>110568.88656472684</v>
      </c>
      <c r="AB93" s="5" t="str">
        <f>IFERROR(Tableau1[[#This Row],[REX (2021)]]/Tableau1[[#This Row],[CA 2024]],"")</f>
        <v/>
      </c>
      <c r="AC93" s="9" t="str">
        <f>IFERROR(_xlfn.XLOOKUP(Tableau1[[#This Row],[Isin]]&amp;1&amp;2021,#REF!,Tableau3[Résultat d''exploitation]),"")</f>
        <v/>
      </c>
      <c r="AD93" s="9" t="str">
        <f>IFERROR(_xlfn.XLOOKUP(Tableau1[[#This Row],[Isin]]&amp;1&amp;2019,#REF!,Tableau3[Chiffre d''affaires]),"")</f>
        <v/>
      </c>
      <c r="AE93" s="9" t="str">
        <f>IFERROR(_xlfn.XLOOKUP(Tableau1[[#This Row],[Isin]]&amp;1&amp;2024,#REF!,Tableau3[Chiffre d''affaires]),"")</f>
        <v/>
      </c>
      <c r="AF93" s="8" t="str">
        <f>IFERROR(IF((Tableau1[[#This Row],[CA 2024]]-Tableau1[[#This Row],[CA 2019]])/Tableau1[[#This Row],[CA 2019]]=-1,"",(Tableau1[[#This Row],[CA 2024]]-Tableau1[[#This Row],[CA 2019]])/Tableau1[[#This Row],[CA 2019]]),"")</f>
        <v/>
      </c>
      <c r="AG93" s="9" t="str">
        <f>IFERROR(_xlfn.XLOOKUP(Tableau1[[#This Row],[Isin]]&amp;1&amp;2021,#REF!,Tableau3[EBE]),"")</f>
        <v/>
      </c>
      <c r="AH93" s="9" t="str">
        <f>IFERROR(_xlfn.XLOOKUP(Tableau1[[#This Row],[Isin]]&amp;1&amp;2022,#REF!,Tableau3[EBE]),"")</f>
        <v/>
      </c>
      <c r="AI93" s="43" t="s">
        <v>4324</v>
      </c>
      <c r="AJ93" s="43" t="s">
        <v>4334</v>
      </c>
      <c r="AK93" s="43" t="s">
        <v>3148</v>
      </c>
      <c r="AL93" s="43"/>
      <c r="AM93" s="43"/>
      <c r="AN93" s="9" t="str">
        <f>IFERROR(_xlfn.XLOOKUP(Tableau1[[#This Row],[Isin]]&amp;1&amp;2021,#REF!,Tableau3[Chiffre d''affaires]),"")</f>
        <v/>
      </c>
      <c r="AO93" s="43" cm="1">
        <f t="array" aca="1" ref="AO93" ca="1">_FV(Tableau1[[#This Row],[Code Excel]],"P/E",TRUE)</f>
        <v>16.750599999999999</v>
      </c>
      <c r="AP93" s="43" t="str">
        <f>IFERROR(_xlfn.XLOOKUP(Tableau1[[#This Row],[Isin]]&amp;1&amp;2023,#REF!,Tableau3[Résultat Net (PdG)]),"")</f>
        <v/>
      </c>
      <c r="AQ93" s="43">
        <f>IF(IFERROR(_xlfn.XLOOKUP(Tableau1[[#This Row],[Isin]]&amp;1&amp;2022,#REF!,Tableau3[Résultat Net (PdG)]),"")="",Tableau1[[#This Row],[RN Groupe 2022
Manuel]],IFERROR(_xlfn.XLOOKUP(Tableau1[[#This Row],[Isin]]&amp;1&amp;2022,#REF!,Tableau3[Résultat Net (PdG)]),""))</f>
        <v>0</v>
      </c>
      <c r="AR93" s="43"/>
      <c r="AS93" s="43">
        <f>IF(IFERROR(_xlfn.XLOOKUP(Tableau1[[#This Row],[Isin]]&amp;1&amp;2021,#REF!,Tableau3[Résultat Net (PdG)]),"")="",Tableau1[[#This Row],[RN Groupe 2021
Manuel]],IFERROR(_xlfn.XLOOKUP(Tableau1[[#This Row],[Isin]]&amp;1&amp;2021,#REF!,Tableau3[Résultat Net (PdG)]),""))</f>
        <v>0</v>
      </c>
      <c r="AT93" s="43"/>
      <c r="AU93" s="43" t="str">
        <f>IFERROR(_xlfn.XLOOKUP(Tableau1[[#This Row],[Isin]]&amp;1&amp;2020,#REF!,Tableau3[Résultat Net (PdG)]),"")</f>
        <v/>
      </c>
      <c r="AV93" s="43" t="str">
        <f>IFERROR(_xlfn.XLOOKUP(Tableau1[[#This Row],[Isin]]&amp;1&amp;2019,#REF!,Tableau3[Résultat Net (PdG)]),"")</f>
        <v/>
      </c>
      <c r="AW93" s="43" t="str">
        <f>IFERROR(_xlfn.XLOOKUP(Tableau1[[#This Row],[Isin]]&amp;1&amp;2018,#REF!,Tableau3[Résultat Net (PdG)]),"")</f>
        <v/>
      </c>
      <c r="AX93" s="43" t="str">
        <f>IFERROR(_xlfn.XLOOKUP(Tableau1[[#This Row],[Isin]]&amp;1&amp;2017,#REF!,Tableau3[Résultat Net (PdG)]),"")</f>
        <v/>
      </c>
      <c r="AY93" s="43" t="str">
        <f>IFERROR(_xlfn.XLOOKUP(Tableau1[[#This Row],[Isin]]&amp;1&amp;2016,#REF!,Tableau3[Résultat Net (PdG)]),"")</f>
        <v/>
      </c>
      <c r="AZ93" s="137" t="str">
        <f ca="1">IFERROR(Tableau1[[#This Row],[Capitalisation boursière]]/Tableau1[[#This Row],[RN Groupe 2023]],"")</f>
        <v/>
      </c>
      <c r="BA93" s="4" t="str" cm="1">
        <f t="array" aca="1" ref="BA93" ca="1">IFERROR(_FV(Tableau1[[#This Row],[Code Excel]],"Industrie"),"")</f>
        <v>Software &amp; IT Services</v>
      </c>
      <c r="BB93" s="43" t="s">
        <v>3491</v>
      </c>
      <c r="BC93" s="43" t="str">
        <f>IFERROR(_xlfn.XLOOKUP(Tableau1[[#This Row],[Isin]]&amp;1&amp;2016,#REF!,Tableau3[Capi]),"")</f>
        <v/>
      </c>
      <c r="BD93" s="43" t="str">
        <f>IFERROR(_xlfn.XLOOKUP(Tableau1[[#This Row],[Isin]]&amp;1&amp;2017,#REF!,Tableau3[Capi]),"")</f>
        <v/>
      </c>
      <c r="BE93" s="43" t="str">
        <f>IFERROR(_xlfn.XLOOKUP(Tableau1[[#This Row],[Isin]]&amp;1&amp;2018,#REF!,Tableau3[Capi]),"")</f>
        <v/>
      </c>
      <c r="BF93" s="43" t="str">
        <f>IFERROR(_xlfn.XLOOKUP(Tableau1[[#This Row],[Isin]]&amp;1&amp;2019,#REF!,Tableau3[Capi]),"")</f>
        <v/>
      </c>
      <c r="BG93" s="43" t="str">
        <f>IFERROR(_xlfn.XLOOKUP(Tableau1[[#This Row],[Isin]]&amp;1&amp;2020,#REF!,Tableau3[Capi]),"")</f>
        <v/>
      </c>
      <c r="BH93" s="43">
        <f>IF(IFERROR(_xlfn.XLOOKUP(Tableau1[[#This Row],[Isin]]&amp;1&amp;2021,#REF!,Tableau3[Capi]),"")="",Tableau1[[#This Row],[Capitalisation 2021
Manuel]],IFERROR(_xlfn.XLOOKUP(Tableau1[[#This Row],[Isin]]&amp;1&amp;2021,#REF!,Tableau3[Capi]),""))</f>
        <v>0</v>
      </c>
      <c r="BI93" s="43"/>
      <c r="BJ93" s="43">
        <f>IF(IFERROR(_xlfn.XLOOKUP(Tableau1[[#This Row],[Isin]]&amp;1&amp;2022,#REF!,Tableau3[Capi]),"")="",Tableau1[[#This Row],[Capitalisation 2022
Manuel]],IFERROR(_xlfn.XLOOKUP(Tableau1[[#This Row],[Isin]]&amp;1&amp;2022,#REF!,Tableau3[Capi]),""))</f>
        <v>0</v>
      </c>
      <c r="BK93" s="43"/>
      <c r="BL93" s="43">
        <f ca="1">Tableau1[[#This Row],[Capitalisation boursière]]</f>
        <v>37239600995</v>
      </c>
      <c r="BM93" s="162" t="str" cm="1">
        <f t="array" aca="1" ref="BM93" ca="1">_FV(Tableau1[[#This Row],[Code Excel]],"Description")</f>
        <v>Cognizant Technology solutions Corporation est une société de services professionnels. La Société opère dans quatre secteurs : les services financiers (FS), les sciences de la santé (HS), les produits et ressources (P&amp;R) et les communications, médias et technologie (CMT). Le segment FS comprend les banques, les marchés de capitaux, les paiements et les compagnies d'assurance. Son segment HS comprend des prestataires de soins de santé et des organismes payeurs, ainsi que des sociétés du secteur des sciences de la vie, notamment des sociétés pharmaceutiques, biotechnologiques et de dispositifs médicaux. Son segment P&amp;R comprend des fabricants, des constructeurs automobiles, des détaillants et des entreprises de voyages et d'hôtellerie, ainsi que des entreprises fournissant des services logistiques, énergétiques et utilitaires. Son segment CMT comprend des sociétés mondiales de communications, de médias et de divertissement, d'éducation, de services d'information et de technologie. Ses services comprennent les services et solutions numériques, le conseil, le développement d'applications, l'intégration de systèmes, l'ingénierie et l'assurance qualité, la maintenance des applications, ainsi que l'infrastructure et la sécurité.</v>
      </c>
      <c r="BN93" s="43"/>
      <c r="BO93" s="43"/>
      <c r="BP93" s="43"/>
      <c r="BQ93" s="43"/>
      <c r="BR93" s="4"/>
      <c r="BS93" s="21"/>
      <c r="BT93" s="13"/>
      <c r="BU93" s="13"/>
      <c r="BV93" s="13"/>
      <c r="BW93" s="13"/>
      <c r="BX93" s="13"/>
      <c r="BY93" s="3"/>
      <c r="BZ93" s="58"/>
      <c r="CA93" s="59"/>
    </row>
    <row r="94" spans="3:82">
      <c r="C94" s="43"/>
      <c r="D94" s="42">
        <f>IF(Tableau1[[#This Row],[Isin]]="",99,Tableau1[[#This Row],[Intérêt]]+Tableau1[[#This Row],[Valeur d''intérêt]]+Tableau1[[#This Row],[N° Portefeuille]])</f>
        <v>30</v>
      </c>
      <c r="E94" s="43"/>
      <c r="F94" s="42">
        <f>IF(Tableau1[[#This Row],[Portefeuille]]="p",0,Tableau1[[#This Row],[F. Investissement
Niveau d''intérêt]]*10)</f>
        <v>30</v>
      </c>
      <c r="G94" s="43">
        <f>IF(Tableau1[[#This Row],[Portefeuille]]="p",3,0)</f>
        <v>0</v>
      </c>
      <c r="H94" s="43">
        <v>3</v>
      </c>
      <c r="I94" s="43">
        <v>4</v>
      </c>
      <c r="J94" s="43"/>
      <c r="K94" s="43"/>
      <c r="L94" s="16">
        <v>0</v>
      </c>
      <c r="M9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4" s="44" t="s">
        <v>3695</v>
      </c>
      <c r="O94" s="45"/>
      <c r="P94" s="4" t="s">
        <v>382</v>
      </c>
      <c r="Q94" s="4"/>
      <c r="R94" s="6"/>
      <c r="S94" s="6" t="s">
        <v>3696</v>
      </c>
      <c r="T94" s="6" t="e" vm="82">
        <v>#VALUE!</v>
      </c>
      <c r="U94" s="46" cm="1">
        <f t="array" aca="1" ref="U94" ca="1">IFERROR(_FV(Tableau1[[#This Row],[Code Excel]],"Capitalisation boursière",TRUE),"")</f>
        <v>138461000000</v>
      </c>
      <c r="V94" s="4" t="str" cm="1">
        <f t="array" aca="1" ref="V94" ca="1">IFERROR(_FV(Tableau1[[#This Row],[Code Excel]],"Industrie"),"")</f>
        <v>Telecommunications Services</v>
      </c>
      <c r="W94" s="4" t="s">
        <v>2018</v>
      </c>
      <c r="X94" s="4" t="str">
        <f ca="1">Tableau1[[#This Row],[Grand Secteur]]&amp;Tableau1[[#This Row],[Industrie]]</f>
        <v>MédiaTelecommunications Services</v>
      </c>
      <c r="Y94" s="23" cm="1">
        <f t="array" aca="1" ref="Y94" ca="1">IFERROR(_FV(Tableau1[[#This Row],[Code Excel]],"P/E",TRUE),"")</f>
        <v>8.8134999999999994</v>
      </c>
      <c r="Z94" s="43" cm="1">
        <f t="array" aca="1" ref="Z94" ca="1">IFERROR(_FV(Tableau1[[#This Row],[Code Excel]],"Employés"),"")</f>
        <v>182000</v>
      </c>
      <c r="AA94" s="49">
        <f ca="1">IFERROR(Tableau1[[#This Row],[Capitalisation boursière]]/Tableau1[[#This Row],[Employés]],"")</f>
        <v>760774.72527472524</v>
      </c>
      <c r="AB94" s="5" t="str">
        <f>IFERROR(Tableau1[[#This Row],[REX (2021)]]/Tableau1[[#This Row],[CA 2024]],"")</f>
        <v/>
      </c>
      <c r="AC94" s="9" t="str">
        <f>IFERROR(_xlfn.XLOOKUP(Tableau1[[#This Row],[Isin]]&amp;1&amp;2021,#REF!,Tableau3[Résultat d''exploitation]),"")</f>
        <v/>
      </c>
      <c r="AD94" s="9" t="str">
        <f>IFERROR(_xlfn.XLOOKUP(Tableau1[[#This Row],[Isin]]&amp;1&amp;2019,#REF!,Tableau3[Chiffre d''affaires]),"")</f>
        <v/>
      </c>
      <c r="AE94" s="9" t="str">
        <f>IFERROR(_xlfn.XLOOKUP(Tableau1[[#This Row],[Isin]]&amp;1&amp;2024,#REF!,Tableau3[Chiffre d''affaires]),"")</f>
        <v/>
      </c>
      <c r="AF94" s="8" t="str">
        <f>IFERROR(IF((Tableau1[[#This Row],[CA 2024]]-Tableau1[[#This Row],[CA 2019]])/Tableau1[[#This Row],[CA 2019]]=-1,"",(Tableau1[[#This Row],[CA 2024]]-Tableau1[[#This Row],[CA 2019]])/Tableau1[[#This Row],[CA 2019]]),"")</f>
        <v/>
      </c>
      <c r="AG94" s="9" t="str">
        <f>IFERROR(_xlfn.XLOOKUP(Tableau1[[#This Row],[Isin]]&amp;1&amp;2021,#REF!,Tableau3[EBE]),"")</f>
        <v/>
      </c>
      <c r="AH94" s="9" t="str">
        <f>IFERROR(_xlfn.XLOOKUP(Tableau1[[#This Row],[Isin]]&amp;1&amp;2022,#REF!,Tableau3[EBE]),"")</f>
        <v/>
      </c>
      <c r="AI94" s="43" t="s">
        <v>3431</v>
      </c>
      <c r="AJ94" s="13" t="s">
        <v>3150</v>
      </c>
      <c r="AK94" s="43" t="s">
        <v>3431</v>
      </c>
      <c r="AL94" s="43"/>
      <c r="AM94" s="43"/>
      <c r="AN94" s="9" t="str">
        <f>IFERROR(_xlfn.XLOOKUP(Tableau1[[#This Row],[Isin]]&amp;1&amp;2021,#REF!,Tableau3[Chiffre d''affaires]),"")</f>
        <v/>
      </c>
      <c r="AO94" s="43" cm="1">
        <f t="array" aca="1" ref="AO94" ca="1">_FV(Tableau1[[#This Row],[Code Excel]],"P/E",TRUE)</f>
        <v>8.8134999999999994</v>
      </c>
      <c r="AP94" s="43" t="str">
        <f>IFERROR(_xlfn.XLOOKUP(Tableau1[[#This Row],[Isin]]&amp;1&amp;2023,#REF!,Tableau3[Résultat Net (PdG)]),"")</f>
        <v/>
      </c>
      <c r="AQ94" s="43">
        <f>IF(IFERROR(_xlfn.XLOOKUP(Tableau1[[#This Row],[Isin]]&amp;1&amp;2022,#REF!,Tableau3[Résultat Net (PdG)]),"")="",Tableau1[[#This Row],[RN Groupe 2022
Manuel]],IFERROR(_xlfn.XLOOKUP(Tableau1[[#This Row],[Isin]]&amp;1&amp;2022,#REF!,Tableau3[Résultat Net (PdG)]),""))</f>
        <v>0</v>
      </c>
      <c r="AR94" s="43"/>
      <c r="AS94" s="43">
        <f>IF(IFERROR(_xlfn.XLOOKUP(Tableau1[[#This Row],[Isin]]&amp;1&amp;2021,#REF!,Tableau3[Résultat Net (PdG)]),"")="",Tableau1[[#This Row],[RN Groupe 2021
Manuel]],IFERROR(_xlfn.XLOOKUP(Tableau1[[#This Row],[Isin]]&amp;1&amp;2021,#REF!,Tableau3[Résultat Net (PdG)]),""))</f>
        <v>0</v>
      </c>
      <c r="AT94" s="43"/>
      <c r="AU94" s="43" t="str">
        <f>IFERROR(_xlfn.XLOOKUP(Tableau1[[#This Row],[Isin]]&amp;1&amp;2020,#REF!,Tableau3[Résultat Net (PdG)]),"")</f>
        <v/>
      </c>
      <c r="AV94" s="43" t="str">
        <f>IFERROR(_xlfn.XLOOKUP(Tableau1[[#This Row],[Isin]]&amp;1&amp;2019,#REF!,Tableau3[Résultat Net (PdG)]),"")</f>
        <v/>
      </c>
      <c r="AW94" s="43" t="str">
        <f>IFERROR(_xlfn.XLOOKUP(Tableau1[[#This Row],[Isin]]&amp;1&amp;2018,#REF!,Tableau3[Résultat Net (PdG)]),"")</f>
        <v/>
      </c>
      <c r="AX94" s="43" t="str">
        <f>IFERROR(_xlfn.XLOOKUP(Tableau1[[#This Row],[Isin]]&amp;1&amp;2017,#REF!,Tableau3[Résultat Net (PdG)]),"")</f>
        <v/>
      </c>
      <c r="AY94" s="43" t="str">
        <f>IFERROR(_xlfn.XLOOKUP(Tableau1[[#This Row],[Isin]]&amp;1&amp;2016,#REF!,Tableau3[Résultat Net (PdG)]),"")</f>
        <v/>
      </c>
      <c r="AZ94" s="137" t="str">
        <f ca="1">IFERROR(Tableau1[[#This Row],[Capitalisation boursière]]/Tableau1[[#This Row],[RN Groupe 2023]],"")</f>
        <v/>
      </c>
      <c r="BA94" s="4" t="str" cm="1">
        <f t="array" aca="1" ref="BA94" ca="1">IFERROR(_FV(Tableau1[[#This Row],[Code Excel]],"Industrie"),"")</f>
        <v>Telecommunications Services</v>
      </c>
      <c r="BB94" s="43" t="s">
        <v>3491</v>
      </c>
      <c r="BC94" s="43" t="str">
        <f>IFERROR(_xlfn.XLOOKUP(Tableau1[[#This Row],[Isin]]&amp;1&amp;2016,#REF!,Tableau3[Capi]),"")</f>
        <v/>
      </c>
      <c r="BD94" s="43" t="str">
        <f>IFERROR(_xlfn.XLOOKUP(Tableau1[[#This Row],[Isin]]&amp;1&amp;2017,#REF!,Tableau3[Capi]),"")</f>
        <v/>
      </c>
      <c r="BE94" s="43" t="str">
        <f>IFERROR(_xlfn.XLOOKUP(Tableau1[[#This Row],[Isin]]&amp;1&amp;2018,#REF!,Tableau3[Capi]),"")</f>
        <v/>
      </c>
      <c r="BF94" s="43" t="str">
        <f>IFERROR(_xlfn.XLOOKUP(Tableau1[[#This Row],[Isin]]&amp;1&amp;2019,#REF!,Tableau3[Capi]),"")</f>
        <v/>
      </c>
      <c r="BG94" s="43" t="str">
        <f>IFERROR(_xlfn.XLOOKUP(Tableau1[[#This Row],[Isin]]&amp;1&amp;2020,#REF!,Tableau3[Capi]),"")</f>
        <v/>
      </c>
      <c r="BH94" s="43">
        <f>IF(IFERROR(_xlfn.XLOOKUP(Tableau1[[#This Row],[Isin]]&amp;1&amp;2021,#REF!,Tableau3[Capi]),"")="",Tableau1[[#This Row],[Capitalisation 2021
Manuel]],IFERROR(_xlfn.XLOOKUP(Tableau1[[#This Row],[Isin]]&amp;1&amp;2021,#REF!,Tableau3[Capi]),""))</f>
        <v>0</v>
      </c>
      <c r="BI94" s="43"/>
      <c r="BJ94" s="43">
        <f>IF(IFERROR(_xlfn.XLOOKUP(Tableau1[[#This Row],[Isin]]&amp;1&amp;2022,#REF!,Tableau3[Capi]),"")="",Tableau1[[#This Row],[Capitalisation 2022
Manuel]],IFERROR(_xlfn.XLOOKUP(Tableau1[[#This Row],[Isin]]&amp;1&amp;2022,#REF!,Tableau3[Capi]),""))</f>
        <v>0</v>
      </c>
      <c r="BK94" s="43"/>
      <c r="BL94" s="43">
        <f ca="1">Tableau1[[#This Row],[Capitalisation boursière]]</f>
        <v>138461000000</v>
      </c>
      <c r="BM94" s="162" t="str" cm="1">
        <f t="array" aca="1" ref="BM94" ca="1">_FV(Tableau1[[#This Row],[Code Excel]],"Description")</f>
        <v>Comcast Corporation est une société mondiale de médias et de technologie. Il fournit le haut débit, le sans fil et la vidéo via Xfinity, Comcast Business et Sky ; produit, distribue, et diffusez du divertissement, du sport et des informations via des marques telles que NBC, Telemundo, Universal, Peacock, et Sky ; et donne vie aux parcs à thème et aux attractions grâce à des destinations et des expériences universelles. Il opère à travers deux activités principales : connectivité et plateformes et contenu et expériences. Le segment connectivité et plateformes regroupe ses activités haut débit, sans fil, vidéo et voix filaire aux États-Unis, au Royaume-Uni et en Italie. Elle comprend également les activités de ses réseaux de télévision de divertissement Sky au Royaume-Uni et en Italie. Le segment Content &amp; Experiences regroupe des entreprises de médias et de divertissement qui produisent et distribuent du contenu de divertissement, de sport, d'actualités et d'autres contenus destinés au public, et qui possèdent et exploitent des parcs à thème et des attractions aux États-Unis et en Asie.</v>
      </c>
      <c r="BN94" s="43"/>
      <c r="BO94" s="43"/>
      <c r="BP94" s="43"/>
      <c r="BQ94" s="43"/>
      <c r="BR94" s="4"/>
      <c r="BS94" s="21"/>
      <c r="BT94" s="13"/>
      <c r="BU94" s="13"/>
      <c r="BV94" s="13"/>
      <c r="BW94" s="13"/>
      <c r="BX94" s="13"/>
      <c r="BZ94" s="58"/>
      <c r="CA94" s="59"/>
    </row>
    <row r="95" spans="3:82">
      <c r="C95" s="42"/>
      <c r="D95" s="42">
        <f>IF(Tableau1[[#This Row],[Isin]]="",99,Tableau1[[#This Row],[Intérêt]]+Tableau1[[#This Row],[Valeur d''intérêt]]+Tableau1[[#This Row],[N° Portefeuille]])</f>
        <v>30</v>
      </c>
      <c r="E95" s="42"/>
      <c r="F95" s="42">
        <f>IF(Tableau1[[#This Row],[Portefeuille]]="p",0,Tableau1[[#This Row],[F. Investissement
Niveau d''intérêt]]*10)</f>
        <v>30</v>
      </c>
      <c r="G95" s="42">
        <f>IF(Tableau1[[#This Row],[Portefeuille]]="p",3,0)</f>
        <v>0</v>
      </c>
      <c r="H95" s="42">
        <v>3</v>
      </c>
      <c r="I95" s="42">
        <v>4</v>
      </c>
      <c r="J95" s="42"/>
      <c r="K95" s="43"/>
      <c r="L95" s="16">
        <v>0</v>
      </c>
      <c r="M9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5" s="44" t="s">
        <v>3698</v>
      </c>
      <c r="O95" s="45"/>
      <c r="P95" s="4" t="s">
        <v>99</v>
      </c>
      <c r="Q95" s="4"/>
      <c r="R95" s="6"/>
      <c r="S95" s="6" t="s">
        <v>3699</v>
      </c>
      <c r="T95" s="6" t="e" vm="83">
        <v>#VALUE!</v>
      </c>
      <c r="U95" s="46" cm="1">
        <f t="array" aca="1" ref="U95" ca="1">IFERROR(_FV(Tableau1[[#This Row],[Code Excel]],"Capitalisation boursière",TRUE),"")</f>
        <v>85260820000</v>
      </c>
      <c r="V95" s="4" t="str" cm="1">
        <f t="array" aca="1" ref="V95" ca="1">IFERROR(_FV(Tableau1[[#This Row],[Code Excel]],"Industrie"),"")</f>
        <v>Textiles &amp; Apparel</v>
      </c>
      <c r="W95" s="4" t="s">
        <v>1315</v>
      </c>
      <c r="X95" s="4" t="str">
        <f ca="1">Tableau1[[#This Row],[Grand Secteur]]&amp;Tableau1[[#This Row],[Industrie]]</f>
        <v>Biens de consommationTextiles &amp; Apparel</v>
      </c>
      <c r="Y95" s="23" cm="1">
        <f t="array" aca="1" ref="Y95" ca="1">IFERROR(_FV(Tableau1[[#This Row],[Code Excel]],"P/E",TRUE),"")</f>
        <v>0</v>
      </c>
      <c r="Z95" s="43" cm="1">
        <f t="array" aca="1" ref="Z95" ca="1">IFERROR(_FV(Tableau1[[#This Row],[Code Excel]],"Employés"),"")</f>
        <v>37117</v>
      </c>
      <c r="AA95" s="46">
        <f ca="1">IFERROR(Tableau1[[#This Row],[Capitalisation boursière]]/Tableau1[[#This Row],[Employés]],"")</f>
        <v>2297082.7383678639</v>
      </c>
      <c r="AB95" s="5" t="str">
        <f>IFERROR(Tableau1[[#This Row],[REX (2021)]]/Tableau1[[#This Row],[CA 2024]],"")</f>
        <v/>
      </c>
      <c r="AC95" s="9" t="str">
        <f>IFERROR(_xlfn.XLOOKUP(Tableau1[[#This Row],[Isin]]&amp;1&amp;2021,#REF!,Tableau3[Résultat d''exploitation]),"")</f>
        <v/>
      </c>
      <c r="AD95" s="9" t="str">
        <f>IFERROR(_xlfn.XLOOKUP(Tableau1[[#This Row],[Isin]]&amp;1&amp;2019,#REF!,Tableau3[Chiffre d''affaires]),"")</f>
        <v/>
      </c>
      <c r="AE95" s="9" t="str">
        <f>IFERROR(_xlfn.XLOOKUP(Tableau1[[#This Row],[Isin]]&amp;1&amp;2024,#REF!,Tableau3[Chiffre d''affaires]),"")</f>
        <v/>
      </c>
      <c r="AF95" s="8" t="str">
        <f>IFERROR(IF((Tableau1[[#This Row],[CA 2024]]-Tableau1[[#This Row],[CA 2019]])/Tableau1[[#This Row],[CA 2019]]=-1,"",(Tableau1[[#This Row],[CA 2024]]-Tableau1[[#This Row],[CA 2019]])/Tableau1[[#This Row],[CA 2019]]),"")</f>
        <v/>
      </c>
      <c r="AG95" s="9" t="str">
        <f>IFERROR(_xlfn.XLOOKUP(Tableau1[[#This Row],[Isin]]&amp;1&amp;2021,#REF!,Tableau3[EBE]),"")</f>
        <v/>
      </c>
      <c r="AH95" s="9" t="str">
        <f>IFERROR(_xlfn.XLOOKUP(Tableau1[[#This Row],[Isin]]&amp;1&amp;2022,#REF!,Tableau3[EBE]),"")</f>
        <v/>
      </c>
      <c r="AI95" s="43" t="s">
        <v>4329</v>
      </c>
      <c r="AJ95" s="43" t="s">
        <v>4331</v>
      </c>
      <c r="AK95" s="43" t="s">
        <v>3431</v>
      </c>
      <c r="AL95" s="43"/>
      <c r="AM95" s="43"/>
      <c r="AN95" s="9" t="str">
        <f>IFERROR(_xlfn.XLOOKUP(Tableau1[[#This Row],[Isin]]&amp;1&amp;2021,#REF!,Tableau3[Chiffre d''affaires]),"")</f>
        <v/>
      </c>
      <c r="AO95" s="43" cm="1">
        <f t="array" aca="1" ref="AO95" ca="1">_FV(Tableau1[[#This Row],[Code Excel]],"P/E",TRUE)</f>
        <v>0</v>
      </c>
      <c r="AP95" s="43" t="str">
        <f>IFERROR(_xlfn.XLOOKUP(Tableau1[[#This Row],[Isin]]&amp;1&amp;2023,#REF!,Tableau3[Résultat Net (PdG)]),"")</f>
        <v/>
      </c>
      <c r="AQ95" s="43">
        <f>IF(IFERROR(_xlfn.XLOOKUP(Tableau1[[#This Row],[Isin]]&amp;1&amp;2022,#REF!,Tableau3[Résultat Net (PdG)]),"")="",Tableau1[[#This Row],[RN Groupe 2022
Manuel]],IFERROR(_xlfn.XLOOKUP(Tableau1[[#This Row],[Isin]]&amp;1&amp;2022,#REF!,Tableau3[Résultat Net (PdG)]),""))</f>
        <v>0</v>
      </c>
      <c r="AR95" s="43"/>
      <c r="AS95" s="43">
        <f>IF(IFERROR(_xlfn.XLOOKUP(Tableau1[[#This Row],[Isin]]&amp;1&amp;2021,#REF!,Tableau3[Résultat Net (PdG)]),"")="",Tableau1[[#This Row],[RN Groupe 2021
Manuel]],IFERROR(_xlfn.XLOOKUP(Tableau1[[#This Row],[Isin]]&amp;1&amp;2021,#REF!,Tableau3[Résultat Net (PdG)]),""))</f>
        <v>0</v>
      </c>
      <c r="AT95" s="43"/>
      <c r="AU95" s="43" t="str">
        <f>IFERROR(_xlfn.XLOOKUP(Tableau1[[#This Row],[Isin]]&amp;1&amp;2020,#REF!,Tableau3[Résultat Net (PdG)]),"")</f>
        <v/>
      </c>
      <c r="AV95" s="43" t="str">
        <f>IFERROR(_xlfn.XLOOKUP(Tableau1[[#This Row],[Isin]]&amp;1&amp;2019,#REF!,Tableau3[Résultat Net (PdG)]),"")</f>
        <v/>
      </c>
      <c r="AW95" s="43" t="str">
        <f>IFERROR(_xlfn.XLOOKUP(Tableau1[[#This Row],[Isin]]&amp;1&amp;2018,#REF!,Tableau3[Résultat Net (PdG)]),"")</f>
        <v/>
      </c>
      <c r="AX95" s="43" t="str">
        <f>IFERROR(_xlfn.XLOOKUP(Tableau1[[#This Row],[Isin]]&amp;1&amp;2017,#REF!,Tableau3[Résultat Net (PdG)]),"")</f>
        <v/>
      </c>
      <c r="AY95" s="43" t="str">
        <f>IFERROR(_xlfn.XLOOKUP(Tableau1[[#This Row],[Isin]]&amp;1&amp;2016,#REF!,Tableau3[Résultat Net (PdG)]),"")</f>
        <v/>
      </c>
      <c r="AZ95" s="137" t="str">
        <f ca="1">IFERROR(Tableau1[[#This Row],[Capitalisation boursière]]/Tableau1[[#This Row],[RN Groupe 2023]],"")</f>
        <v/>
      </c>
      <c r="BA95" s="4" t="str" cm="1">
        <f t="array" aca="1" ref="BA95" ca="1">IFERROR(_FV(Tableau1[[#This Row],[Code Excel]],"Industrie"),"")</f>
        <v>Textiles &amp; Apparel</v>
      </c>
      <c r="BB95" s="43" t="s">
        <v>3469</v>
      </c>
      <c r="BC95" s="43" t="str">
        <f>IFERROR(_xlfn.XLOOKUP(Tableau1[[#This Row],[Isin]]&amp;1&amp;2016,#REF!,Tableau3[Capi]),"")</f>
        <v/>
      </c>
      <c r="BD95" s="43" t="str">
        <f>IFERROR(_xlfn.XLOOKUP(Tableau1[[#This Row],[Isin]]&amp;1&amp;2017,#REF!,Tableau3[Capi]),"")</f>
        <v/>
      </c>
      <c r="BE95" s="43" t="str">
        <f>IFERROR(_xlfn.XLOOKUP(Tableau1[[#This Row],[Isin]]&amp;1&amp;2018,#REF!,Tableau3[Capi]),"")</f>
        <v/>
      </c>
      <c r="BF95" s="43" t="str">
        <f>IFERROR(_xlfn.XLOOKUP(Tableau1[[#This Row],[Isin]]&amp;1&amp;2019,#REF!,Tableau3[Capi]),"")</f>
        <v/>
      </c>
      <c r="BG95" s="43" t="str">
        <f>IFERROR(_xlfn.XLOOKUP(Tableau1[[#This Row],[Isin]]&amp;1&amp;2020,#REF!,Tableau3[Capi]),"")</f>
        <v/>
      </c>
      <c r="BH95" s="43">
        <f>IF(IFERROR(_xlfn.XLOOKUP(Tableau1[[#This Row],[Isin]]&amp;1&amp;2021,#REF!,Tableau3[Capi]),"")="",Tableau1[[#This Row],[Capitalisation 2021
Manuel]],IFERROR(_xlfn.XLOOKUP(Tableau1[[#This Row],[Isin]]&amp;1&amp;2021,#REF!,Tableau3[Capi]),""))</f>
        <v>0</v>
      </c>
      <c r="BI95" s="43"/>
      <c r="BJ95" s="43">
        <f>IF(IFERROR(_xlfn.XLOOKUP(Tableau1[[#This Row],[Isin]]&amp;1&amp;2022,#REF!,Tableau3[Capi]),"")="",Tableau1[[#This Row],[Capitalisation 2022
Manuel]],IFERROR(_xlfn.XLOOKUP(Tableau1[[#This Row],[Isin]]&amp;1&amp;2022,#REF!,Tableau3[Capi]),""))</f>
        <v>0</v>
      </c>
      <c r="BK95" s="43"/>
      <c r="BL95" s="43">
        <f ca="1">Tableau1[[#This Row],[Capitalisation boursière]]</f>
        <v>85260820000</v>
      </c>
      <c r="BM95" s="162" t="str" cm="1">
        <f t="array" aca="1" ref="BM95" ca="1">_FV(Tableau1[[#This Row],[Code Excel]],"Description")</f>
        <v>Compagnie Financière Richemont SA est une Société de bijoux basée en Suisse. Les segments de la société sont : Jewellery Maisons et Specialist Watchmakers. Le segment Jewellery Maisons comprend les entreprises, qui sont engagées dans la conception, la fabrication et la distribution de produits de joaillerie. Les activités sont les suivantes sont : Cartier, Van Cleef &amp; Arpels et Giampiero Bodino. Son segment Specialist Watchmakers comprend les entreprises dont l'activité principale consiste en la conception, la fabrication et la distribution de montres de précision. Les entreprises dans le segment Watchmakers comprennent Piaget, A. Lange &amp; Sohne, Jaeger-LeCoultre, Vacheron Constantin, Officine Panerai, IWC Schaffhausen, Baume &amp; Mercier et Roger Dubuis. Les autres segments opérant dans la société sont Montblanc, Alfred Dunhill, Chloé, Purdey, Shanghai Tang, Peter Millar, les sociétés d'immeubles de placement et d'autres entités manufacturières.</v>
      </c>
      <c r="BN95" s="43"/>
      <c r="BO95" s="43"/>
      <c r="BP95" s="43"/>
      <c r="BQ95" s="43"/>
      <c r="BR95" s="4"/>
      <c r="BS95" s="21"/>
      <c r="BT95" s="13"/>
      <c r="BU95" s="13"/>
      <c r="BV95" s="13"/>
      <c r="BW95" s="13"/>
      <c r="BX95" s="13"/>
      <c r="BY95" s="3"/>
      <c r="BZ95" s="58"/>
      <c r="CA95" s="59"/>
    </row>
    <row r="96" spans="3:82">
      <c r="C96" s="43"/>
      <c r="D96" s="42">
        <f>IF(Tableau1[[#This Row],[Isin]]="",99,Tableau1[[#This Row],[Intérêt]]+Tableau1[[#This Row],[Valeur d''intérêt]]+Tableau1[[#This Row],[N° Portefeuille]])</f>
        <v>30</v>
      </c>
      <c r="E96" s="43"/>
      <c r="F96" s="42">
        <f>IF(Tableau1[[#This Row],[Portefeuille]]="p",0,Tableau1[[#This Row],[F. Investissement
Niveau d''intérêt]]*10)</f>
        <v>30</v>
      </c>
      <c r="G96" s="43">
        <f>IF(Tableau1[[#This Row],[Portefeuille]]="p",3,0)</f>
        <v>0</v>
      </c>
      <c r="H96" s="43">
        <v>3</v>
      </c>
      <c r="I96" s="43">
        <v>4</v>
      </c>
      <c r="J96" s="43"/>
      <c r="K96" s="43"/>
      <c r="L96" s="16">
        <v>1</v>
      </c>
      <c r="M9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6" s="44" t="s">
        <v>1206</v>
      </c>
      <c r="O96" s="44" t="s">
        <v>4384</v>
      </c>
      <c r="P96" s="4" t="s">
        <v>564</v>
      </c>
      <c r="Q96" s="6" t="s">
        <v>85</v>
      </c>
      <c r="R96" s="6"/>
      <c r="S96" s="6" t="s">
        <v>1209</v>
      </c>
      <c r="T96" s="6" t="e" vm="84">
        <v>#VALUE!</v>
      </c>
      <c r="U96" s="46" cm="1">
        <f t="array" aca="1" ref="U96" ca="1">IFERROR(_FV(Tableau1[[#This Row],[Code Excel]],"Capitalisation boursière",TRUE),"")</f>
        <v>13352400000</v>
      </c>
      <c r="V96" s="4" t="str" cm="1">
        <f t="array" aca="1" ref="V96" ca="1">IFERROR(_FV(Tableau1[[#This Row],[Code Excel]],"Industrie"),"")</f>
        <v>Automobiles &amp; Auto Parts</v>
      </c>
      <c r="W96" s="4" t="s">
        <v>1224</v>
      </c>
      <c r="X96" s="4" t="str">
        <f ca="1">Tableau1[[#This Row],[Grand Secteur]]&amp;Tableau1[[#This Row],[Industrie]]</f>
        <v>AutomobileAutomobiles &amp; Auto Parts</v>
      </c>
      <c r="Y96" s="23" cm="1">
        <f t="array" aca="1" ref="Y96" ca="1">IFERROR(_FV(Tableau1[[#This Row],[Code Excel]],"P/E",TRUE),"")</f>
        <v>11.68</v>
      </c>
      <c r="Z96" s="43" cm="1">
        <f t="array" aca="1" ref="Z96" ca="1">IFERROR(_FV(Tableau1[[#This Row],[Code Excel]],"Employés"),"")</f>
        <v>190159</v>
      </c>
      <c r="AA96" s="46">
        <f ca="1">IFERROR(Tableau1[[#This Row],[Capitalisation boursière]]/Tableau1[[#This Row],[Employés]],"")</f>
        <v>70217.028907388027</v>
      </c>
      <c r="AB96" s="5" t="str">
        <f>IFERROR(Tableau1[[#This Row],[REX (2021)]]/Tableau1[[#This Row],[CA 2024]],"")</f>
        <v/>
      </c>
      <c r="AC96" s="9" t="str">
        <f>IFERROR(_xlfn.XLOOKUP(Tableau1[[#This Row],[Isin]]&amp;1&amp;2021,#REF!,Tableau3[Résultat d''exploitation]),"")</f>
        <v/>
      </c>
      <c r="AD96" s="9" t="str">
        <f>IFERROR(_xlfn.XLOOKUP(Tableau1[[#This Row],[Isin]]&amp;1&amp;2019,#REF!,Tableau3[Chiffre d''affaires]),"")</f>
        <v/>
      </c>
      <c r="AE96" s="9" t="str">
        <f>IFERROR(_xlfn.XLOOKUP(Tableau1[[#This Row],[Isin]]&amp;1&amp;2024,#REF!,Tableau3[Chiffre d''affaires]),"")</f>
        <v/>
      </c>
      <c r="AF96" s="8" t="str">
        <f>IFERROR(IF((Tableau1[[#This Row],[CA 2024]]-Tableau1[[#This Row],[CA 2019]])/Tableau1[[#This Row],[CA 2019]]=-1,"",(Tableau1[[#This Row],[CA 2024]]-Tableau1[[#This Row],[CA 2019]])/Tableau1[[#This Row],[CA 2019]]),"")</f>
        <v/>
      </c>
      <c r="AG96" s="9" t="str">
        <f>IFERROR(_xlfn.XLOOKUP(Tableau1[[#This Row],[Isin]]&amp;1&amp;2021,#REF!,Tableau3[EBE]),"")</f>
        <v/>
      </c>
      <c r="AH96" s="9" t="str">
        <f>IFERROR(_xlfn.XLOOKUP(Tableau1[[#This Row],[Isin]]&amp;1&amp;2022,#REF!,Tableau3[EBE]),"")</f>
        <v/>
      </c>
      <c r="AI96" s="43" t="s">
        <v>4329</v>
      </c>
      <c r="AJ96" s="43" t="s">
        <v>3150</v>
      </c>
      <c r="AK96" s="43" t="s">
        <v>3148</v>
      </c>
      <c r="AL96" s="43" t="s">
        <v>3149</v>
      </c>
      <c r="AM96" s="43"/>
      <c r="AN96" s="9" t="str">
        <f>IFERROR(_xlfn.XLOOKUP(Tableau1[[#This Row],[Isin]]&amp;1&amp;2021,#REF!,Tableau3[Chiffre d''affaires]),"")</f>
        <v/>
      </c>
      <c r="AO96" s="43" cm="1">
        <f t="array" aca="1" ref="AO96" ca="1">_FV(Tableau1[[#This Row],[Code Excel]],"P/E",TRUE)</f>
        <v>11.68</v>
      </c>
      <c r="AP96" s="43" t="str">
        <f>IFERROR(_xlfn.XLOOKUP(Tableau1[[#This Row],[Isin]]&amp;1&amp;2023,#REF!,Tableau3[Résultat Net (PdG)]),"")</f>
        <v/>
      </c>
      <c r="AQ96" s="43">
        <f>IF(IFERROR(_xlfn.XLOOKUP(Tableau1[[#This Row],[Isin]]&amp;1&amp;2022,#REF!,Tableau3[Résultat Net (PdG)]),"")="",Tableau1[[#This Row],[RN Groupe 2022
Manuel]],IFERROR(_xlfn.XLOOKUP(Tableau1[[#This Row],[Isin]]&amp;1&amp;2022,#REF!,Tableau3[Résultat Net (PdG)]),""))</f>
        <v>0</v>
      </c>
      <c r="AR96" s="43"/>
      <c r="AS96" s="43">
        <f>IF(IFERROR(_xlfn.XLOOKUP(Tableau1[[#This Row],[Isin]]&amp;1&amp;2021,#REF!,Tableau3[Résultat Net (PdG)]),"")="",Tableau1[[#This Row],[RN Groupe 2021
Manuel]],IFERROR(_xlfn.XLOOKUP(Tableau1[[#This Row],[Isin]]&amp;1&amp;2021,#REF!,Tableau3[Résultat Net (PdG)]),""))</f>
        <v>0</v>
      </c>
      <c r="AT96" s="43"/>
      <c r="AU96" s="43" t="str">
        <f>IFERROR(_xlfn.XLOOKUP(Tableau1[[#This Row],[Isin]]&amp;1&amp;2020,#REF!,Tableau3[Résultat Net (PdG)]),"")</f>
        <v/>
      </c>
      <c r="AV96" s="43" t="str">
        <f>IFERROR(_xlfn.XLOOKUP(Tableau1[[#This Row],[Isin]]&amp;1&amp;2019,#REF!,Tableau3[Résultat Net (PdG)]),"")</f>
        <v/>
      </c>
      <c r="AW96" s="43" t="str">
        <f>IFERROR(_xlfn.XLOOKUP(Tableau1[[#This Row],[Isin]]&amp;1&amp;2018,#REF!,Tableau3[Résultat Net (PdG)]),"")</f>
        <v/>
      </c>
      <c r="AX96" s="43" t="str">
        <f>IFERROR(_xlfn.XLOOKUP(Tableau1[[#This Row],[Isin]]&amp;1&amp;2017,#REF!,Tableau3[Résultat Net (PdG)]),"")</f>
        <v/>
      </c>
      <c r="AY96" s="43" t="str">
        <f>IFERROR(_xlfn.XLOOKUP(Tableau1[[#This Row],[Isin]]&amp;1&amp;2016,#REF!,Tableau3[Résultat Net (PdG)]),"")</f>
        <v/>
      </c>
      <c r="AZ96" s="137" t="str">
        <f ca="1">IFERROR(Tableau1[[#This Row],[Capitalisation boursière]]/Tableau1[[#This Row],[RN Groupe 2023]],"")</f>
        <v/>
      </c>
      <c r="BA96" s="4" t="str" cm="1">
        <f t="array" aca="1" ref="BA96" ca="1">IFERROR(_FV(Tableau1[[#This Row],[Code Excel]],"Industrie"),"")</f>
        <v>Automobiles &amp; Auto Parts</v>
      </c>
      <c r="BB96" s="43" t="s">
        <v>3487</v>
      </c>
      <c r="BC96" s="43" t="str">
        <f>IFERROR(_xlfn.XLOOKUP(Tableau1[[#This Row],[Isin]]&amp;1&amp;2016,#REF!,Tableau3[Capi]),"")</f>
        <v/>
      </c>
      <c r="BD96" s="43" t="str">
        <f>IFERROR(_xlfn.XLOOKUP(Tableau1[[#This Row],[Isin]]&amp;1&amp;2017,#REF!,Tableau3[Capi]),"")</f>
        <v/>
      </c>
      <c r="BE96" s="43" t="str">
        <f>IFERROR(_xlfn.XLOOKUP(Tableau1[[#This Row],[Isin]]&amp;1&amp;2018,#REF!,Tableau3[Capi]),"")</f>
        <v/>
      </c>
      <c r="BF96" s="43" t="str">
        <f>IFERROR(_xlfn.XLOOKUP(Tableau1[[#This Row],[Isin]]&amp;1&amp;2019,#REF!,Tableau3[Capi]),"")</f>
        <v/>
      </c>
      <c r="BG96" s="43" t="str">
        <f>IFERROR(_xlfn.XLOOKUP(Tableau1[[#This Row],[Isin]]&amp;1&amp;2020,#REF!,Tableau3[Capi]),"")</f>
        <v/>
      </c>
      <c r="BH96" s="43">
        <f>IF(IFERROR(_xlfn.XLOOKUP(Tableau1[[#This Row],[Isin]]&amp;1&amp;2021,#REF!,Tableau3[Capi]),"")="",Tableau1[[#This Row],[Capitalisation 2021
Manuel]],IFERROR(_xlfn.XLOOKUP(Tableau1[[#This Row],[Isin]]&amp;1&amp;2021,#REF!,Tableau3[Capi]),""))</f>
        <v>0</v>
      </c>
      <c r="BI96" s="43"/>
      <c r="BJ96" s="43">
        <f>IF(IFERROR(_xlfn.XLOOKUP(Tableau1[[#This Row],[Isin]]&amp;1&amp;2022,#REF!,Tableau3[Capi]),"")="",Tableau1[[#This Row],[Capitalisation 2022
Manuel]],IFERROR(_xlfn.XLOOKUP(Tableau1[[#This Row],[Isin]]&amp;1&amp;2022,#REF!,Tableau3[Capi]),""))</f>
        <v>0</v>
      </c>
      <c r="BK96" s="43"/>
      <c r="BL96" s="43">
        <f ca="1">Tableau1[[#This Row],[Capitalisation boursière]]</f>
        <v>13352400000</v>
      </c>
      <c r="BM96" s="162" t="str" cm="1">
        <f t="array" aca="1" ref="BM96" ca="1">_FV(Tableau1[[#This Row],[Code Excel]],"Description")</f>
        <v>Continental AG est une société basée en Allemagne qui propose des solutions de mobilité au secteur automobile. La Société opère dans quatre secteurs du groupe : automobile, pneus, ContiTech et Contract Manufacturing. Le secteur automobile propose des technologies pour la sécurité, le freinage, le châssis, le mouvement et les systèmes de contrôle de mouvement, qui est divisé en cinq secteurs d'activité : architecture et réseaux, mobilité autonome, sécurité et mouvement, logiciels et technologies centrales et expérience utilisateur. Le secteur des pneus offre des solutions dans la technologie des pneus, qui est divisé en cinq secteurs d'activité : équipement d'origine, remplacement APAC, remplacement EMEA, remplacement Amériques et pneus spéciaux. Le secteur du groupe ContiTech développe des produits et des systèmes en caoutchouc, plastique, métal et textile. Il est divisé en cinq secteurs d'activité : Industrial solutions Americas, Industrial solutions APAC, Industrial solutions EMEA, original Equipment solutions et surface solutions. Le secteur de la fabrication sous contrat s'occupe de la fabrication sous contrat.</v>
      </c>
      <c r="BN96" s="43"/>
      <c r="BO96" s="43"/>
      <c r="BP96" s="43"/>
      <c r="BQ96" s="43"/>
      <c r="BR96" s="4"/>
      <c r="BS96" s="21"/>
      <c r="BT96" s="13"/>
      <c r="BU96" s="13"/>
      <c r="BV96" s="13"/>
      <c r="BW96" s="13"/>
      <c r="BX96" s="13"/>
      <c r="BY96" s="3"/>
      <c r="BZ96" s="58"/>
      <c r="CA96" s="59"/>
    </row>
    <row r="97" spans="3:79">
      <c r="C97" s="42"/>
      <c r="D97" s="42">
        <f>IF(Tableau1[[#This Row],[Isin]]="",99,Tableau1[[#This Row],[Intérêt]]+Tableau1[[#This Row],[Valeur d''intérêt]]+Tableau1[[#This Row],[N° Portefeuille]])</f>
        <v>30</v>
      </c>
      <c r="E97" s="42"/>
      <c r="F97" s="42">
        <f>IF(Tableau1[[#This Row],[Portefeuille]]="p",0,Tableau1[[#This Row],[F. Investissement
Niveau d''intérêt]]*10)</f>
        <v>30</v>
      </c>
      <c r="G97" s="42">
        <f>IF(Tableau1[[#This Row],[Portefeuille]]="p",3,0)</f>
        <v>0</v>
      </c>
      <c r="H97" s="42">
        <v>3</v>
      </c>
      <c r="I97" s="42">
        <v>4</v>
      </c>
      <c r="J97" s="42"/>
      <c r="K97" s="43"/>
      <c r="L97" s="16">
        <v>0</v>
      </c>
      <c r="M9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7" s="44" t="s">
        <v>3702</v>
      </c>
      <c r="O97" s="45"/>
      <c r="P97" s="4" t="s">
        <v>382</v>
      </c>
      <c r="Q97" s="4"/>
      <c r="R97" s="6"/>
      <c r="S97" s="6" t="s">
        <v>3703</v>
      </c>
      <c r="T97" s="6" t="e" vm="85">
        <v>#VALUE!</v>
      </c>
      <c r="U97" s="46" cm="1">
        <f t="array" aca="1" ref="U97" ca="1">IFERROR(_FV(Tableau1[[#This Row],[Code Excel]],"Capitalisation boursière",TRUE),"")</f>
        <v>413411897649</v>
      </c>
      <c r="V97" s="4" t="str" cm="1">
        <f t="array" aca="1" ref="V97" ca="1">IFERROR(_FV(Tableau1[[#This Row],[Code Excel]],"Industrie"),"")</f>
        <v>Diversified Retail</v>
      </c>
      <c r="W97" s="4" t="s">
        <v>966</v>
      </c>
      <c r="X97" s="4" t="str">
        <f ca="1">Tableau1[[#This Row],[Grand Secteur]]&amp;Tableau1[[#This Row],[Industrie]]</f>
        <v>DistributionDiversified Retail</v>
      </c>
      <c r="Y97" s="23" cm="1">
        <f t="array" aca="1" ref="Y97" ca="1">IFERROR(_FV(Tableau1[[#This Row],[Code Excel]],"P/E",TRUE),"")</f>
        <v>54.036499999999997</v>
      </c>
      <c r="Z97" s="43" cm="1">
        <f t="array" aca="1" ref="Z97" ca="1">IFERROR(_FV(Tableau1[[#This Row],[Code Excel]],"Employés"),"")</f>
        <v>333000</v>
      </c>
      <c r="AA97" s="46">
        <f ca="1">IFERROR(Tableau1[[#This Row],[Capitalisation boursière]]/Tableau1[[#This Row],[Employés]],"")</f>
        <v>1241477.1701171172</v>
      </c>
      <c r="AB97" s="5" t="str">
        <f>IFERROR(Tableau1[[#This Row],[REX (2021)]]/Tableau1[[#This Row],[CA 2024]],"")</f>
        <v/>
      </c>
      <c r="AC97" s="9" t="str">
        <f>IFERROR(_xlfn.XLOOKUP(Tableau1[[#This Row],[Isin]]&amp;1&amp;2021,#REF!,Tableau3[Résultat d''exploitation]),"")</f>
        <v/>
      </c>
      <c r="AD97" s="9" t="str">
        <f>IFERROR(_xlfn.XLOOKUP(Tableau1[[#This Row],[Isin]]&amp;1&amp;2019,#REF!,Tableau3[Chiffre d''affaires]),"")</f>
        <v/>
      </c>
      <c r="AE97" s="9" t="str">
        <f>IFERROR(_xlfn.XLOOKUP(Tableau1[[#This Row],[Isin]]&amp;1&amp;2024,#REF!,Tableau3[Chiffre d''affaires]),"")</f>
        <v/>
      </c>
      <c r="AF97" s="8" t="str">
        <f>IFERROR(IF((Tableau1[[#This Row],[CA 2024]]-Tableau1[[#This Row],[CA 2019]])/Tableau1[[#This Row],[CA 2019]]=-1,"",(Tableau1[[#This Row],[CA 2024]]-Tableau1[[#This Row],[CA 2019]])/Tableau1[[#This Row],[CA 2019]]),"")</f>
        <v/>
      </c>
      <c r="AG97" s="9" t="str">
        <f>IFERROR(_xlfn.XLOOKUP(Tableau1[[#This Row],[Isin]]&amp;1&amp;2021,#REF!,Tableau3[EBE]),"")</f>
        <v/>
      </c>
      <c r="AH97" s="9" t="str">
        <f>IFERROR(_xlfn.XLOOKUP(Tableau1[[#This Row],[Isin]]&amp;1&amp;2022,#REF!,Tableau3[EBE]),"")</f>
        <v/>
      </c>
      <c r="AI97" s="43" t="s">
        <v>3419</v>
      </c>
      <c r="AJ97" s="43" t="s">
        <v>3150</v>
      </c>
      <c r="AK97" s="43" t="s">
        <v>3149</v>
      </c>
      <c r="AL97" s="43"/>
      <c r="AM97" s="43"/>
      <c r="AN97" s="9" t="str">
        <f>IFERROR(_xlfn.XLOOKUP(Tableau1[[#This Row],[Isin]]&amp;1&amp;2021,#REF!,Tableau3[Chiffre d''affaires]),"")</f>
        <v/>
      </c>
      <c r="AO97" s="43" cm="1">
        <f t="array" aca="1" ref="AO97" ca="1">_FV(Tableau1[[#This Row],[Code Excel]],"P/E",TRUE)</f>
        <v>54.036499999999997</v>
      </c>
      <c r="AP97" s="43" t="str">
        <f>IFERROR(_xlfn.XLOOKUP(Tableau1[[#This Row],[Isin]]&amp;1&amp;2023,#REF!,Tableau3[Résultat Net (PdG)]),"")</f>
        <v/>
      </c>
      <c r="AQ97" s="43">
        <f>IF(IFERROR(_xlfn.XLOOKUP(Tableau1[[#This Row],[Isin]]&amp;1&amp;2022,#REF!,Tableau3[Résultat Net (PdG)]),"")="",Tableau1[[#This Row],[RN Groupe 2022
Manuel]],IFERROR(_xlfn.XLOOKUP(Tableau1[[#This Row],[Isin]]&amp;1&amp;2022,#REF!,Tableau3[Résultat Net (PdG)]),""))</f>
        <v>0</v>
      </c>
      <c r="AR97" s="43"/>
      <c r="AS97" s="43">
        <f>IF(IFERROR(_xlfn.XLOOKUP(Tableau1[[#This Row],[Isin]]&amp;1&amp;2021,#REF!,Tableau3[Résultat Net (PdG)]),"")="",Tableau1[[#This Row],[RN Groupe 2021
Manuel]],IFERROR(_xlfn.XLOOKUP(Tableau1[[#This Row],[Isin]]&amp;1&amp;2021,#REF!,Tableau3[Résultat Net (PdG)]),""))</f>
        <v>0</v>
      </c>
      <c r="AT97" s="43"/>
      <c r="AU97" s="43" t="str">
        <f>IFERROR(_xlfn.XLOOKUP(Tableau1[[#This Row],[Isin]]&amp;1&amp;2020,#REF!,Tableau3[Résultat Net (PdG)]),"")</f>
        <v/>
      </c>
      <c r="AV97" s="43" t="str">
        <f>IFERROR(_xlfn.XLOOKUP(Tableau1[[#This Row],[Isin]]&amp;1&amp;2019,#REF!,Tableau3[Résultat Net (PdG)]),"")</f>
        <v/>
      </c>
      <c r="AW97" s="43" t="str">
        <f>IFERROR(_xlfn.XLOOKUP(Tableau1[[#This Row],[Isin]]&amp;1&amp;2018,#REF!,Tableau3[Résultat Net (PdG)]),"")</f>
        <v/>
      </c>
      <c r="AX97" s="43" t="str">
        <f>IFERROR(_xlfn.XLOOKUP(Tableau1[[#This Row],[Isin]]&amp;1&amp;2017,#REF!,Tableau3[Résultat Net (PdG)]),"")</f>
        <v/>
      </c>
      <c r="AY97" s="43" t="str">
        <f>IFERROR(_xlfn.XLOOKUP(Tableau1[[#This Row],[Isin]]&amp;1&amp;2016,#REF!,Tableau3[Résultat Net (PdG)]),"")</f>
        <v/>
      </c>
      <c r="AZ97" s="137" t="str">
        <f ca="1">IFERROR(Tableau1[[#This Row],[Capitalisation boursière]]/Tableau1[[#This Row],[RN Groupe 2023]],"")</f>
        <v/>
      </c>
      <c r="BA97" s="4" t="str" cm="1">
        <f t="array" aca="1" ref="BA97" ca="1">IFERROR(_FV(Tableau1[[#This Row],[Code Excel]],"Industrie"),"")</f>
        <v>Diversified Retail</v>
      </c>
      <c r="BB97" s="43" t="s">
        <v>3491</v>
      </c>
      <c r="BC97" s="43" t="str">
        <f>IFERROR(_xlfn.XLOOKUP(Tableau1[[#This Row],[Isin]]&amp;1&amp;2016,#REF!,Tableau3[Capi]),"")</f>
        <v/>
      </c>
      <c r="BD97" s="43" t="str">
        <f>IFERROR(_xlfn.XLOOKUP(Tableau1[[#This Row],[Isin]]&amp;1&amp;2017,#REF!,Tableau3[Capi]),"")</f>
        <v/>
      </c>
      <c r="BE97" s="43" t="str">
        <f>IFERROR(_xlfn.XLOOKUP(Tableau1[[#This Row],[Isin]]&amp;1&amp;2018,#REF!,Tableau3[Capi]),"")</f>
        <v/>
      </c>
      <c r="BF97" s="43" t="str">
        <f>IFERROR(_xlfn.XLOOKUP(Tableau1[[#This Row],[Isin]]&amp;1&amp;2019,#REF!,Tableau3[Capi]),"")</f>
        <v/>
      </c>
      <c r="BG97" s="43" t="str">
        <f>IFERROR(_xlfn.XLOOKUP(Tableau1[[#This Row],[Isin]]&amp;1&amp;2020,#REF!,Tableau3[Capi]),"")</f>
        <v/>
      </c>
      <c r="BH97" s="43">
        <f>IF(IFERROR(_xlfn.XLOOKUP(Tableau1[[#This Row],[Isin]]&amp;1&amp;2021,#REF!,Tableau3[Capi]),"")="",Tableau1[[#This Row],[Capitalisation 2021
Manuel]],IFERROR(_xlfn.XLOOKUP(Tableau1[[#This Row],[Isin]]&amp;1&amp;2021,#REF!,Tableau3[Capi]),""))</f>
        <v>0</v>
      </c>
      <c r="BI97" s="43"/>
      <c r="BJ97" s="43">
        <f>IF(IFERROR(_xlfn.XLOOKUP(Tableau1[[#This Row],[Isin]]&amp;1&amp;2022,#REF!,Tableau3[Capi]),"")="",Tableau1[[#This Row],[Capitalisation 2022
Manuel]],IFERROR(_xlfn.XLOOKUP(Tableau1[[#This Row],[Isin]]&amp;1&amp;2022,#REF!,Tableau3[Capi]),""))</f>
        <v>0</v>
      </c>
      <c r="BK97" s="43"/>
      <c r="BL97" s="43">
        <f ca="1">Tableau1[[#This Row],[Capitalisation boursière]]</f>
        <v>413411897649</v>
      </c>
      <c r="BM97" s="162" t="str" cm="1">
        <f t="array" aca="1" ref="BM97" ca="1">_FV(Tableau1[[#This Row],[Code Excel]],"Description")</f>
        <v>Costco Wholesale Corporation exploite des entrepôts de membres et des sites Web de commerce électronique. La Société exploite 861 entrepôts, dont 591 aux États-Unis et à Porto Rico, 107 au Canada, 40 au Mexique, 33 au Japon, 29 au Royaume-Uni, 18 en Corée, 15 en Australie, 14 à Taïwan, cinq en Chine, quatre en Espagne, deux en France, un en Islande, un en Nouvelle-Zélande et un en Suède. Elle exploite également des sites de commerce électronique aux États-Unis, au Canada, au Royaume-Uni, au Mexique, en Corée, Taïwan, Japon et Australie. Il offre un large choix de marchandises, la commodité des départements spécialisés et des services exclusifs aux membres. Elle opère dans trois secteurs : opérations aux États-Unis, opérations au Canada et autres opérations internationales. La Société offre des catégories de marchandises (aliments et articles divers, non alimentaires et aliments frais), des services auxiliaires d'entrepôt (essence, pharmacie, optique, aire de restauration, appareils auditifs et installation de pneus) et d'autres entreprises (commerce électronique, centres d'affaires, voyages et autres).</v>
      </c>
      <c r="BN97" s="43"/>
      <c r="BO97" s="43"/>
      <c r="BP97" s="43"/>
      <c r="BQ97" s="43"/>
      <c r="BR97" s="4"/>
      <c r="BS97" s="21"/>
      <c r="BT97" s="13"/>
      <c r="BU97" s="13"/>
      <c r="BV97" s="13"/>
      <c r="BW97" s="13"/>
      <c r="BX97" s="13"/>
      <c r="BY97" s="3"/>
      <c r="BZ97" s="58"/>
      <c r="CA97" s="59"/>
    </row>
    <row r="98" spans="3:79">
      <c r="C98" s="43"/>
      <c r="D98" s="42">
        <f>IF(Tableau1[[#This Row],[Isin]]="",99,Tableau1[[#This Row],[Intérêt]]+Tableau1[[#This Row],[Valeur d''intérêt]]+Tableau1[[#This Row],[N° Portefeuille]])</f>
        <v>30</v>
      </c>
      <c r="E98" s="43"/>
      <c r="F98" s="42">
        <f>IF(Tableau1[[#This Row],[Portefeuille]]="p",0,Tableau1[[#This Row],[F. Investissement
Niveau d''intérêt]]*10)</f>
        <v>30</v>
      </c>
      <c r="G98" s="43">
        <f>IF(Tableau1[[#This Row],[Portefeuille]]="p",3,0)</f>
        <v>0</v>
      </c>
      <c r="H98" s="43">
        <v>3</v>
      </c>
      <c r="I98" s="43">
        <v>4</v>
      </c>
      <c r="J98" s="43"/>
      <c r="K98" s="43"/>
      <c r="L98" s="16">
        <v>0</v>
      </c>
      <c r="M9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8" s="44" t="s">
        <v>3705</v>
      </c>
      <c r="O98" s="45"/>
      <c r="P98" s="4" t="s">
        <v>564</v>
      </c>
      <c r="Q98" s="4"/>
      <c r="R98" s="6"/>
      <c r="S98" s="6" t="s">
        <v>3706</v>
      </c>
      <c r="T98" s="6" t="e" vm="86">
        <v>#VALUE!</v>
      </c>
      <c r="U98" s="46" cm="1">
        <f t="array" aca="1" ref="U98" ca="1">IFERROR(_FV(Tableau1[[#This Row],[Code Excel]],"Capitalisation boursière",TRUE),"")</f>
        <v>11003580000</v>
      </c>
      <c r="V98" s="4" t="str" cm="1">
        <f t="array" aca="1" ref="V98" ca="1">IFERROR(_FV(Tableau1[[#This Row],[Code Excel]],"Industrie"),"")</f>
        <v>Chemicals</v>
      </c>
      <c r="W98" s="4" t="s">
        <v>2431</v>
      </c>
      <c r="X98" s="4" t="str">
        <f ca="1">Tableau1[[#This Row],[Grand Secteur]]&amp;Tableau1[[#This Row],[Industrie]]</f>
        <v>ChimieChemicals</v>
      </c>
      <c r="Y98" s="23" t="str" cm="1">
        <f t="array" ref="Y98">IFERROR(_FV(Tableau1[[#This Row],[Code Excel]],"P/E",TRUE),"")</f>
        <v/>
      </c>
      <c r="Z98" s="43" cm="1">
        <f t="array" aca="1" ref="Z98" ca="1">IFERROR(_FV(Tableau1[[#This Row],[Code Excel]],"Employés"),"")</f>
        <v>17503</v>
      </c>
      <c r="AA98" s="46">
        <f ca="1">IFERROR(Tableau1[[#This Row],[Capitalisation boursière]]/Tableau1[[#This Row],[Employés]],"")</f>
        <v>628668.22830371931</v>
      </c>
      <c r="AB98" s="5" t="str">
        <f>IFERROR(Tableau1[[#This Row],[REX (2021)]]/Tableau1[[#This Row],[CA 2024]],"")</f>
        <v/>
      </c>
      <c r="AC98" s="9" t="str">
        <f>IFERROR(_xlfn.XLOOKUP(Tableau1[[#This Row],[Isin]]&amp;1&amp;2021,#REF!,Tableau3[Résultat d''exploitation]),"")</f>
        <v/>
      </c>
      <c r="AD98" s="9" t="str">
        <f>IFERROR(_xlfn.XLOOKUP(Tableau1[[#This Row],[Isin]]&amp;1&amp;2019,#REF!,Tableau3[Chiffre d''affaires]),"")</f>
        <v/>
      </c>
      <c r="AE98" s="9" t="str">
        <f>IFERROR(_xlfn.XLOOKUP(Tableau1[[#This Row],[Isin]]&amp;1&amp;2024,#REF!,Tableau3[Chiffre d''affaires]),"")</f>
        <v/>
      </c>
      <c r="AF98" s="8" t="str">
        <f>IFERROR(IF((Tableau1[[#This Row],[CA 2024]]-Tableau1[[#This Row],[CA 2019]])/Tableau1[[#This Row],[CA 2019]]=-1,"",(Tableau1[[#This Row],[CA 2024]]-Tableau1[[#This Row],[CA 2019]])/Tableau1[[#This Row],[CA 2019]]),"")</f>
        <v/>
      </c>
      <c r="AG98" s="9" t="str">
        <f>IFERROR(_xlfn.XLOOKUP(Tableau1[[#This Row],[Isin]]&amp;1&amp;2021,#REF!,Tableau3[EBE]),"")</f>
        <v/>
      </c>
      <c r="AH98" s="9" t="str">
        <f>IFERROR(_xlfn.XLOOKUP(Tableau1[[#This Row],[Isin]]&amp;1&amp;2022,#REF!,Tableau3[EBE]),"")</f>
        <v/>
      </c>
      <c r="AI98" s="43" t="s">
        <v>4329</v>
      </c>
      <c r="AJ98" s="43" t="s">
        <v>3150</v>
      </c>
      <c r="AK98" s="43" t="s">
        <v>3148</v>
      </c>
      <c r="AL98" s="43"/>
      <c r="AM98" s="43"/>
      <c r="AN98" s="9" t="str">
        <f>IFERROR(_xlfn.XLOOKUP(Tableau1[[#This Row],[Isin]]&amp;1&amp;2021,#REF!,Tableau3[Chiffre d''affaires]),"")</f>
        <v/>
      </c>
      <c r="AO98" s="43" t="e" cm="1" vm="1">
        <f t="array" ref="AO98">_FV(Tableau1[[#This Row],[Code Excel]],"P/E",TRUE)</f>
        <v>#VALUE!</v>
      </c>
      <c r="AP98" s="43" t="str">
        <f>IFERROR(_xlfn.XLOOKUP(Tableau1[[#This Row],[Isin]]&amp;1&amp;2023,#REF!,Tableau3[Résultat Net (PdG)]),"")</f>
        <v/>
      </c>
      <c r="AQ98" s="43">
        <f>IF(IFERROR(_xlfn.XLOOKUP(Tableau1[[#This Row],[Isin]]&amp;1&amp;2022,#REF!,Tableau3[Résultat Net (PdG)]),"")="",Tableau1[[#This Row],[RN Groupe 2022
Manuel]],IFERROR(_xlfn.XLOOKUP(Tableau1[[#This Row],[Isin]]&amp;1&amp;2022,#REF!,Tableau3[Résultat Net (PdG)]),""))</f>
        <v>0</v>
      </c>
      <c r="AR98" s="43"/>
      <c r="AS98" s="43">
        <f>IF(IFERROR(_xlfn.XLOOKUP(Tableau1[[#This Row],[Isin]]&amp;1&amp;2021,#REF!,Tableau3[Résultat Net (PdG)]),"")="",Tableau1[[#This Row],[RN Groupe 2021
Manuel]],IFERROR(_xlfn.XLOOKUP(Tableau1[[#This Row],[Isin]]&amp;1&amp;2021,#REF!,Tableau3[Résultat Net (PdG)]),""))</f>
        <v>0</v>
      </c>
      <c r="AT98" s="43"/>
      <c r="AU98" s="43" t="str">
        <f>IFERROR(_xlfn.XLOOKUP(Tableau1[[#This Row],[Isin]]&amp;1&amp;2020,#REF!,Tableau3[Résultat Net (PdG)]),"")</f>
        <v/>
      </c>
      <c r="AV98" s="43" t="str">
        <f>IFERROR(_xlfn.XLOOKUP(Tableau1[[#This Row],[Isin]]&amp;1&amp;2019,#REF!,Tableau3[Résultat Net (PdG)]),"")</f>
        <v/>
      </c>
      <c r="AW98" s="43" t="str">
        <f>IFERROR(_xlfn.XLOOKUP(Tableau1[[#This Row],[Isin]]&amp;1&amp;2018,#REF!,Tableau3[Résultat Net (PdG)]),"")</f>
        <v/>
      </c>
      <c r="AX98" s="43" t="str">
        <f>IFERROR(_xlfn.XLOOKUP(Tableau1[[#This Row],[Isin]]&amp;1&amp;2017,#REF!,Tableau3[Résultat Net (PdG)]),"")</f>
        <v/>
      </c>
      <c r="AY98" s="43" t="str">
        <f>IFERROR(_xlfn.XLOOKUP(Tableau1[[#This Row],[Isin]]&amp;1&amp;2016,#REF!,Tableau3[Résultat Net (PdG)]),"")</f>
        <v/>
      </c>
      <c r="AZ98" s="137" t="str">
        <f ca="1">IFERROR(Tableau1[[#This Row],[Capitalisation boursière]]/Tableau1[[#This Row],[RN Groupe 2023]],"")</f>
        <v/>
      </c>
      <c r="BA98" s="4" t="str" cm="1">
        <f t="array" aca="1" ref="BA98" ca="1">IFERROR(_FV(Tableau1[[#This Row],[Code Excel]],"Industrie"),"")</f>
        <v>Chemicals</v>
      </c>
      <c r="BB98" s="43" t="s">
        <v>3487</v>
      </c>
      <c r="BC98" s="43" t="str">
        <f>IFERROR(_xlfn.XLOOKUP(Tableau1[[#This Row],[Isin]]&amp;1&amp;2016,#REF!,Tableau3[Capi]),"")</f>
        <v/>
      </c>
      <c r="BD98" s="43" t="str">
        <f>IFERROR(_xlfn.XLOOKUP(Tableau1[[#This Row],[Isin]]&amp;1&amp;2017,#REF!,Tableau3[Capi]),"")</f>
        <v/>
      </c>
      <c r="BE98" s="43" t="str">
        <f>IFERROR(_xlfn.XLOOKUP(Tableau1[[#This Row],[Isin]]&amp;1&amp;2018,#REF!,Tableau3[Capi]),"")</f>
        <v/>
      </c>
      <c r="BF98" s="43" t="str">
        <f>IFERROR(_xlfn.XLOOKUP(Tableau1[[#This Row],[Isin]]&amp;1&amp;2019,#REF!,Tableau3[Capi]),"")</f>
        <v/>
      </c>
      <c r="BG98" s="43" t="str">
        <f>IFERROR(_xlfn.XLOOKUP(Tableau1[[#This Row],[Isin]]&amp;1&amp;2020,#REF!,Tableau3[Capi]),"")</f>
        <v/>
      </c>
      <c r="BH98" s="43">
        <f>IF(IFERROR(_xlfn.XLOOKUP(Tableau1[[#This Row],[Isin]]&amp;1&amp;2021,#REF!,Tableau3[Capi]),"")="",Tableau1[[#This Row],[Capitalisation 2021
Manuel]],IFERROR(_xlfn.XLOOKUP(Tableau1[[#This Row],[Isin]]&amp;1&amp;2021,#REF!,Tableau3[Capi]),""))</f>
        <v>0</v>
      </c>
      <c r="BI98" s="43"/>
      <c r="BJ98" s="43">
        <f>IF(IFERROR(_xlfn.XLOOKUP(Tableau1[[#This Row],[Isin]]&amp;1&amp;2022,#REF!,Tableau3[Capi]),"")="",Tableau1[[#This Row],[Capitalisation 2022
Manuel]],IFERROR(_xlfn.XLOOKUP(Tableau1[[#This Row],[Isin]]&amp;1&amp;2022,#REF!,Tableau3[Capi]),""))</f>
        <v>0</v>
      </c>
      <c r="BK98" s="43"/>
      <c r="BL98" s="43">
        <f ca="1">Tableau1[[#This Row],[Capitalisation boursière]]</f>
        <v>11003580000</v>
      </c>
      <c r="BM98" s="162" t="str" cm="1">
        <f t="array" aca="1" ref="BM98" ca="1">_FV(Tableau1[[#This Row],[Code Excel]],"Description")</f>
        <v>Covestro AG est une entreprise allemande spécialisée dans la fabrication de matériaux polymères. La Société développe, produit et commercialise des polyuréthannes, des polycarbonates et des matières premières, ainsi que des revêtements, des adhésifs et d'autres spécialités. Les activités de la Société sont divisées en trois segments: les polyuréthanes, qui offrent des précurseurs, tels que la mousse de polyuréthane qui est flexible et principalement utilisée dans les industries du meuble et de l’automobile, et la mousse rigide utilisée comme matériau isolant dans le secteur de la construction et dans les chaînes de réfrigération; Polycarbonates, fournissant des polycarbonates plastiques sous forme de granulés, de matériaux composites et de produits semi-finis destinés aux secteurs de l'automobile, de la construction, des technologies médicales, de l'éclairage, ainsi que d’autres secteurs ; et le dernier segment regroupe les Revêtements, les Adhésifs et les Spécialités en produisant des précurseurs pour revêtements, adhésifs, mastics et spécialités, ainsi que des matériaux polymères et des dispersions aqueuses pour une utilisation dans l’automobile et le transport, la transformation du bois et le meuble, , ainsi que d’autres utilisations.</v>
      </c>
      <c r="BN98" s="43"/>
      <c r="BO98" s="43"/>
      <c r="BP98" s="43"/>
      <c r="BQ98" s="43"/>
      <c r="BR98" s="4"/>
      <c r="BS98" s="21"/>
      <c r="BT98" s="13"/>
      <c r="BU98" s="13"/>
      <c r="BV98" s="13"/>
      <c r="BW98" s="13"/>
      <c r="BX98" s="13"/>
      <c r="BY98" s="3"/>
      <c r="BZ98" s="58"/>
      <c r="CA98" s="59"/>
    </row>
    <row r="99" spans="3:79">
      <c r="C99" s="42"/>
      <c r="D99" s="42">
        <f>IF(Tableau1[[#This Row],[Isin]]="",99,Tableau1[[#This Row],[Intérêt]]+Tableau1[[#This Row],[Valeur d''intérêt]]+Tableau1[[#This Row],[N° Portefeuille]])</f>
        <v>30</v>
      </c>
      <c r="E99" s="42"/>
      <c r="F99" s="42">
        <f>IF(Tableau1[[#This Row],[Portefeuille]]="p",0,Tableau1[[#This Row],[F. Investissement
Niveau d''intérêt]]*10)</f>
        <v>30</v>
      </c>
      <c r="G99" s="42">
        <f>IF(Tableau1[[#This Row],[Portefeuille]]="p",3,0)</f>
        <v>0</v>
      </c>
      <c r="H99" s="42">
        <v>3</v>
      </c>
      <c r="I99" s="42">
        <v>4</v>
      </c>
      <c r="J99" s="42"/>
      <c r="K99" s="43"/>
      <c r="L99" s="16">
        <v>0</v>
      </c>
      <c r="M9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99" s="44" t="s">
        <v>3708</v>
      </c>
      <c r="O99" s="45"/>
      <c r="P99" s="4" t="s">
        <v>84</v>
      </c>
      <c r="Q99" s="4"/>
      <c r="R99" s="6"/>
      <c r="S99" s="6" t="s">
        <v>3709</v>
      </c>
      <c r="T99" s="6" t="e" vm="87">
        <v>#VALUE!</v>
      </c>
      <c r="U99" s="46" cm="1">
        <f t="array" aca="1" ref="U99" ca="1">IFERROR(_FV(Tableau1[[#This Row],[Code Excel]],"Capitalisation boursière",TRUE),"")</f>
        <v>5796096000</v>
      </c>
      <c r="V99" s="4" t="str" cm="1">
        <f t="array" aca="1" ref="V99" ca="1">IFERROR(_FV(Tableau1[[#This Row],[Code Excel]],"Industrie"),"")</f>
        <v>Residential &amp; Commercial REIT</v>
      </c>
      <c r="W99" s="4" t="s">
        <v>2083</v>
      </c>
      <c r="X99" s="4" t="str">
        <f ca="1">Tableau1[[#This Row],[Grand Secteur]]&amp;Tableau1[[#This Row],[Industrie]]</f>
        <v>ImmobilierResidential &amp; Commercial REIT</v>
      </c>
      <c r="Y99" s="23" cm="1">
        <f t="array" aca="1" ref="Y99" ca="1">IFERROR(_FV(Tableau1[[#This Row],[Code Excel]],"P/E",TRUE),"")</f>
        <v>85.456000000000003</v>
      </c>
      <c r="Z99" s="43" cm="1">
        <f t="array" aca="1" ref="Z99" ca="1">IFERROR(_FV(Tableau1[[#This Row],[Code Excel]],"Employés"),"")</f>
        <v>969</v>
      </c>
      <c r="AA99" s="49">
        <f ca="1">IFERROR(Tableau1[[#This Row],[Capitalisation boursière]]/Tableau1[[#This Row],[Employés]],"")</f>
        <v>5981523.2198142419</v>
      </c>
      <c r="AB99" s="5" t="str">
        <f>IFERROR(Tableau1[[#This Row],[REX (2021)]]/Tableau1[[#This Row],[CA 2024]],"")</f>
        <v/>
      </c>
      <c r="AC99" s="9" t="str">
        <f>IFERROR(_xlfn.XLOOKUP(Tableau1[[#This Row],[Isin]]&amp;1&amp;2021,#REF!,Tableau3[Résultat d''exploitation]),"")</f>
        <v/>
      </c>
      <c r="AD99" s="9" t="str">
        <f>IFERROR(_xlfn.XLOOKUP(Tableau1[[#This Row],[Isin]]&amp;1&amp;2019,#REF!,Tableau3[Chiffre d''affaires]),"")</f>
        <v/>
      </c>
      <c r="AE99" s="9" t="str">
        <f>IFERROR(_xlfn.XLOOKUP(Tableau1[[#This Row],[Isin]]&amp;1&amp;2024,#REF!,Tableau3[Chiffre d''affaires]),"")</f>
        <v/>
      </c>
      <c r="AF99" s="8" t="str">
        <f>IFERROR(IF((Tableau1[[#This Row],[CA 2024]]-Tableau1[[#This Row],[CA 2019]])/Tableau1[[#This Row],[CA 2019]]=-1,"",(Tableau1[[#This Row],[CA 2024]]-Tableau1[[#This Row],[CA 2019]])/Tableau1[[#This Row],[CA 2019]]),"")</f>
        <v/>
      </c>
      <c r="AG99" s="9" t="str">
        <f>IFERROR(_xlfn.XLOOKUP(Tableau1[[#This Row],[Isin]]&amp;1&amp;2021,#REF!,Tableau3[EBE]),"")</f>
        <v/>
      </c>
      <c r="AH99" s="9" t="str">
        <f>IFERROR(_xlfn.XLOOKUP(Tableau1[[#This Row],[Isin]]&amp;1&amp;2022,#REF!,Tableau3[EBE]),"")</f>
        <v/>
      </c>
      <c r="AI99" s="43" t="s">
        <v>3431</v>
      </c>
      <c r="AJ99" s="43" t="s">
        <v>4322</v>
      </c>
      <c r="AK99" s="43" t="s">
        <v>3148</v>
      </c>
      <c r="AL99" s="43"/>
      <c r="AM99" s="43"/>
      <c r="AN99" s="9" t="str">
        <f>IFERROR(_xlfn.XLOOKUP(Tableau1[[#This Row],[Isin]]&amp;1&amp;2021,#REF!,Tableau3[Chiffre d''affaires]),"")</f>
        <v/>
      </c>
      <c r="AO99" s="43" cm="1">
        <f t="array" aca="1" ref="AO99" ca="1">_FV(Tableau1[[#This Row],[Code Excel]],"P/E",TRUE)</f>
        <v>85.456000000000003</v>
      </c>
      <c r="AP99" s="43" t="str">
        <f>IFERROR(_xlfn.XLOOKUP(Tableau1[[#This Row],[Isin]]&amp;1&amp;2023,#REF!,Tableau3[Résultat Net (PdG)]),"")</f>
        <v/>
      </c>
      <c r="AQ99" s="43">
        <f>IF(IFERROR(_xlfn.XLOOKUP(Tableau1[[#This Row],[Isin]]&amp;1&amp;2022,#REF!,Tableau3[Résultat Net (PdG)]),"")="",Tableau1[[#This Row],[RN Groupe 2022
Manuel]],IFERROR(_xlfn.XLOOKUP(Tableau1[[#This Row],[Isin]]&amp;1&amp;2022,#REF!,Tableau3[Résultat Net (PdG)]),""))</f>
        <v>0</v>
      </c>
      <c r="AR99" s="43"/>
      <c r="AS99" s="43">
        <f>IF(IFERROR(_xlfn.XLOOKUP(Tableau1[[#This Row],[Isin]]&amp;1&amp;2021,#REF!,Tableau3[Résultat Net (PdG)]),"")="",Tableau1[[#This Row],[RN Groupe 2021
Manuel]],IFERROR(_xlfn.XLOOKUP(Tableau1[[#This Row],[Isin]]&amp;1&amp;2021,#REF!,Tableau3[Résultat Net (PdG)]),""))</f>
        <v>0</v>
      </c>
      <c r="AT99" s="43"/>
      <c r="AU99" s="43" t="str">
        <f>IFERROR(_xlfn.XLOOKUP(Tableau1[[#This Row],[Isin]]&amp;1&amp;2020,#REF!,Tableau3[Résultat Net (PdG)]),"")</f>
        <v/>
      </c>
      <c r="AV99" s="43" t="str">
        <f>IFERROR(_xlfn.XLOOKUP(Tableau1[[#This Row],[Isin]]&amp;1&amp;2019,#REF!,Tableau3[Résultat Net (PdG)]),"")</f>
        <v/>
      </c>
      <c r="AW99" s="43" t="str">
        <f>IFERROR(_xlfn.XLOOKUP(Tableau1[[#This Row],[Isin]]&amp;1&amp;2018,#REF!,Tableau3[Résultat Net (PdG)]),"")</f>
        <v/>
      </c>
      <c r="AX99" s="43" t="str">
        <f>IFERROR(_xlfn.XLOOKUP(Tableau1[[#This Row],[Isin]]&amp;1&amp;2017,#REF!,Tableau3[Résultat Net (PdG)]),"")</f>
        <v/>
      </c>
      <c r="AY99" s="43" t="str">
        <f>IFERROR(_xlfn.XLOOKUP(Tableau1[[#This Row],[Isin]]&amp;1&amp;2016,#REF!,Tableau3[Résultat Net (PdG)]),"")</f>
        <v/>
      </c>
      <c r="AZ99" s="137" t="str">
        <f ca="1">IFERROR(Tableau1[[#This Row],[Capitalisation boursière]]/Tableau1[[#This Row],[RN Groupe 2023]],"")</f>
        <v/>
      </c>
      <c r="BA99" s="4" t="str" cm="1">
        <f t="array" aca="1" ref="BA99" ca="1">IFERROR(_FV(Tableau1[[#This Row],[Code Excel]],"Industrie"),"")</f>
        <v>Residential &amp; Commercial REIT</v>
      </c>
      <c r="BB99" s="43" t="s">
        <v>3477</v>
      </c>
      <c r="BC99" s="43" t="str">
        <f>IFERROR(_xlfn.XLOOKUP(Tableau1[[#This Row],[Isin]]&amp;1&amp;2016,#REF!,Tableau3[Capi]),"")</f>
        <v/>
      </c>
      <c r="BD99" s="43" t="str">
        <f>IFERROR(_xlfn.XLOOKUP(Tableau1[[#This Row],[Isin]]&amp;1&amp;2017,#REF!,Tableau3[Capi]),"")</f>
        <v/>
      </c>
      <c r="BE99" s="43" t="str">
        <f>IFERROR(_xlfn.XLOOKUP(Tableau1[[#This Row],[Isin]]&amp;1&amp;2018,#REF!,Tableau3[Capi]),"")</f>
        <v/>
      </c>
      <c r="BF99" s="43" t="str">
        <f>IFERROR(_xlfn.XLOOKUP(Tableau1[[#This Row],[Isin]]&amp;1&amp;2019,#REF!,Tableau3[Capi]),"")</f>
        <v/>
      </c>
      <c r="BG99" s="43" t="str">
        <f>IFERROR(_xlfn.XLOOKUP(Tableau1[[#This Row],[Isin]]&amp;1&amp;2020,#REF!,Tableau3[Capi]),"")</f>
        <v/>
      </c>
      <c r="BH99" s="43">
        <f>IF(IFERROR(_xlfn.XLOOKUP(Tableau1[[#This Row],[Isin]]&amp;1&amp;2021,#REF!,Tableau3[Capi]),"")="",Tableau1[[#This Row],[Capitalisation 2021
Manuel]],IFERROR(_xlfn.XLOOKUP(Tableau1[[#This Row],[Isin]]&amp;1&amp;2021,#REF!,Tableau3[Capi]),""))</f>
        <v>0</v>
      </c>
      <c r="BI99" s="43"/>
      <c r="BJ99" s="43">
        <f>IF(IFERROR(_xlfn.XLOOKUP(Tableau1[[#This Row],[Isin]]&amp;1&amp;2022,#REF!,Tableau3[Capi]),"")="",Tableau1[[#This Row],[Capitalisation 2022
Manuel]],IFERROR(_xlfn.XLOOKUP(Tableau1[[#This Row],[Isin]]&amp;1&amp;2022,#REF!,Tableau3[Capi]),""))</f>
        <v>0</v>
      </c>
      <c r="BK99" s="43"/>
      <c r="BL99" s="43">
        <f ca="1">Tableau1[[#This Row],[Capitalisation boursière]]</f>
        <v>5796096000</v>
      </c>
      <c r="BM99" s="162" t="str" cm="1">
        <f t="array" aca="1" ref="BM99" ca="1">_FV(Tableau1[[#This Row],[Code Excel]],"Description")</f>
        <v>Covivio sa, anciennement foncière des régions sa, est une société de fiducie d'investissement immobilier basée en France avec un portefeuille diversifié d'actifs immobiliers de bureaux. La Société loue des biens immobiliers à des constructeurs et des sociétés de services, dont France Télécom, Thales, EDF, Accor, Dassault systèmes, SUEZ environnement, IBM et Eiffage. Les actifs de la Société sont constitués de bureaux en France et en Italie par l'intermédiaire de sa filiale Beni Stabili. Covivio sa est également active sur le marché immobilier du secteur des services via une participation dans foncière des murs, spécialisée dans les établissements de loisirs, de restauration et de santé. Par ailleurs, sa filiale foncière Europe logistique investit dans l'immobilier logistique en France et en Allemagne. La Société détient également un intérêt dans l'immobilier résidentiel via foncière Developpement logements. Elle opère également par l'intermédiaire d'autres filiales, telles que CB 21 et Urbis Park.</v>
      </c>
      <c r="BN99" s="43"/>
      <c r="BO99" s="43"/>
      <c r="BP99" s="43"/>
      <c r="BQ99" s="43"/>
      <c r="BR99" s="4"/>
      <c r="BS99" s="21"/>
      <c r="BT99" s="13"/>
      <c r="BU99" s="13"/>
      <c r="BV99" s="13"/>
      <c r="BW99" s="13"/>
      <c r="BX99" s="13"/>
      <c r="BY99" s="3"/>
      <c r="BZ99" s="58"/>
      <c r="CA99" s="59"/>
    </row>
    <row r="100" spans="3:79">
      <c r="C100" s="43"/>
      <c r="D100" s="42">
        <f>IF(Tableau1[[#This Row],[Isin]]="",99,Tableau1[[#This Row],[Intérêt]]+Tableau1[[#This Row],[Valeur d''intérêt]]+Tableau1[[#This Row],[N° Portefeuille]])</f>
        <v>30</v>
      </c>
      <c r="E100" s="43"/>
      <c r="F100" s="42">
        <f>IF(Tableau1[[#This Row],[Portefeuille]]="p",0,Tableau1[[#This Row],[F. Investissement
Niveau d''intérêt]]*10)</f>
        <v>30</v>
      </c>
      <c r="G100" s="43">
        <f>IF(Tableau1[[#This Row],[Portefeuille]]="p",3,0)</f>
        <v>0</v>
      </c>
      <c r="H100" s="43">
        <v>3</v>
      </c>
      <c r="I100" s="43">
        <v>4</v>
      </c>
      <c r="J100" s="43"/>
      <c r="K100" s="43"/>
      <c r="L100" s="16">
        <v>0</v>
      </c>
      <c r="M10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0" s="44" t="s">
        <v>3711</v>
      </c>
      <c r="O100" s="45"/>
      <c r="P100" s="4" t="s">
        <v>84</v>
      </c>
      <c r="Q100" s="4"/>
      <c r="R100" s="6"/>
      <c r="S100" s="6" t="s">
        <v>3333</v>
      </c>
      <c r="T100" s="6" t="e" vm="88">
        <v>#VALUE!</v>
      </c>
      <c r="U100" s="46" cm="1">
        <f t="array" aca="1" ref="U100" ca="1">IFERROR(_FV(Tableau1[[#This Row],[Code Excel]],"Capitalisation boursière",TRUE),"")</f>
        <v>51273910000</v>
      </c>
      <c r="V100" s="4" t="str" cm="1">
        <f t="array" aca="1" ref="V100" ca="1">IFERROR(_FV(Tableau1[[#This Row],[Code Excel]],"Industrie"),"")</f>
        <v>Banking Services</v>
      </c>
      <c r="W100" s="4" t="s">
        <v>4335</v>
      </c>
      <c r="X100" s="4" t="str">
        <f ca="1">Tableau1[[#This Row],[Grand Secteur]]&amp;Tableau1[[#This Row],[Industrie]]</f>
        <v>FinanceBanking Services</v>
      </c>
      <c r="Y100" s="23" cm="1">
        <f t="array" aca="1" ref="Y100" ca="1">IFERROR(_FV(Tableau1[[#This Row],[Code Excel]],"P/E",TRUE),"")</f>
        <v>8.0350000000000001</v>
      </c>
      <c r="Z100" s="43" cm="1">
        <f t="array" aca="1" ref="Z100" ca="1">IFERROR(_FV(Tableau1[[#This Row],[Code Excel]],"Employés"),"")</f>
        <v>80518</v>
      </c>
      <c r="AA100" s="49">
        <f ca="1">IFERROR(Tableau1[[#This Row],[Capitalisation boursière]]/Tableau1[[#This Row],[Employés]],"")</f>
        <v>636800.59117216023</v>
      </c>
      <c r="AB100" s="5" t="str">
        <f>IFERROR(Tableau1[[#This Row],[REX (2021)]]/Tableau1[[#This Row],[CA 2024]],"")</f>
        <v/>
      </c>
      <c r="AC100" s="9" t="str">
        <f>IFERROR(_xlfn.XLOOKUP(Tableau1[[#This Row],[Isin]]&amp;1&amp;2021,#REF!,Tableau3[Résultat d''exploitation]),"")</f>
        <v/>
      </c>
      <c r="AD100" s="9" t="str">
        <f>IFERROR(_xlfn.XLOOKUP(Tableau1[[#This Row],[Isin]]&amp;1&amp;2019,#REF!,Tableau3[Chiffre d''affaires]),"")</f>
        <v/>
      </c>
      <c r="AE100" s="9" t="str">
        <f>IFERROR(_xlfn.XLOOKUP(Tableau1[[#This Row],[Isin]]&amp;1&amp;2024,#REF!,Tableau3[Chiffre d''affaires]),"")</f>
        <v/>
      </c>
      <c r="AF100" s="8" t="str">
        <f>IFERROR(IF((Tableau1[[#This Row],[CA 2024]]-Tableau1[[#This Row],[CA 2019]])/Tableau1[[#This Row],[CA 2019]]=-1,"",(Tableau1[[#This Row],[CA 2024]]-Tableau1[[#This Row],[CA 2019]])/Tableau1[[#This Row],[CA 2019]]),"")</f>
        <v/>
      </c>
      <c r="AG100" s="9" t="str">
        <f>IFERROR(_xlfn.XLOOKUP(Tableau1[[#This Row],[Isin]]&amp;1&amp;2021,#REF!,Tableau3[EBE]),"")</f>
        <v/>
      </c>
      <c r="AH100" s="9" t="str">
        <f>IFERROR(_xlfn.XLOOKUP(Tableau1[[#This Row],[Isin]]&amp;1&amp;2022,#REF!,Tableau3[EBE]),"")</f>
        <v/>
      </c>
      <c r="AI100" s="43" t="s">
        <v>4343</v>
      </c>
      <c r="AJ100" s="43" t="s">
        <v>3150</v>
      </c>
      <c r="AK100" s="43" t="s">
        <v>3148</v>
      </c>
      <c r="AL100" s="43"/>
      <c r="AM100" s="43"/>
      <c r="AN100" s="9" t="str">
        <f>IFERROR(_xlfn.XLOOKUP(Tableau1[[#This Row],[Isin]]&amp;1&amp;2021,#REF!,Tableau3[Chiffre d''affaires]),"")</f>
        <v/>
      </c>
      <c r="AO100" s="43" cm="1">
        <f t="array" aca="1" ref="AO100" ca="1">_FV(Tableau1[[#This Row],[Code Excel]],"P/E",TRUE)</f>
        <v>8.0350000000000001</v>
      </c>
      <c r="AP100" s="43" t="str">
        <f>IFERROR(_xlfn.XLOOKUP(Tableau1[[#This Row],[Isin]]&amp;1&amp;2023,#REF!,Tableau3[Résultat Net (PdG)]),"")</f>
        <v/>
      </c>
      <c r="AQ100" s="43">
        <f>IF(IFERROR(_xlfn.XLOOKUP(Tableau1[[#This Row],[Isin]]&amp;1&amp;2022,#REF!,Tableau3[Résultat Net (PdG)]),"")="",Tableau1[[#This Row],[RN Groupe 2022
Manuel]],IFERROR(_xlfn.XLOOKUP(Tableau1[[#This Row],[Isin]]&amp;1&amp;2022,#REF!,Tableau3[Résultat Net (PdG)]),""))</f>
        <v>8100000000</v>
      </c>
      <c r="AR100" s="140">
        <v>8100000000</v>
      </c>
      <c r="AS100" s="43">
        <f>IF(IFERROR(_xlfn.XLOOKUP(Tableau1[[#This Row],[Isin]]&amp;1&amp;2021,#REF!,Tableau3[Résultat Net (PdG)]),"")="",Tableau1[[#This Row],[RN Groupe 2021
Manuel]],IFERROR(_xlfn.XLOOKUP(Tableau1[[#This Row],[Isin]]&amp;1&amp;2021,#REF!,Tableau3[Résultat Net (PdG)]),""))</f>
        <v>5844000000</v>
      </c>
      <c r="AT100" s="140">
        <v>5844000000</v>
      </c>
      <c r="AU100" s="43" t="str">
        <f>IFERROR(_xlfn.XLOOKUP(Tableau1[[#This Row],[Isin]]&amp;1&amp;2020,#REF!,Tableau3[Résultat Net (PdG)]),"")</f>
        <v/>
      </c>
      <c r="AV100" s="43" t="str">
        <f>IFERROR(_xlfn.XLOOKUP(Tableau1[[#This Row],[Isin]]&amp;1&amp;2019,#REF!,Tableau3[Résultat Net (PdG)]),"")</f>
        <v/>
      </c>
      <c r="AW100" s="43" t="str">
        <f>IFERROR(_xlfn.XLOOKUP(Tableau1[[#This Row],[Isin]]&amp;1&amp;2018,#REF!,Tableau3[Résultat Net (PdG)]),"")</f>
        <v/>
      </c>
      <c r="AX100" s="43" t="str">
        <f>IFERROR(_xlfn.XLOOKUP(Tableau1[[#This Row],[Isin]]&amp;1&amp;2017,#REF!,Tableau3[Résultat Net (PdG)]),"")</f>
        <v/>
      </c>
      <c r="AY100" s="43" t="str">
        <f>IFERROR(_xlfn.XLOOKUP(Tableau1[[#This Row],[Isin]]&amp;1&amp;2016,#REF!,Tableau3[Résultat Net (PdG)]),"")</f>
        <v/>
      </c>
      <c r="AZ100" s="137" t="str">
        <f ca="1">IFERROR(Tableau1[[#This Row],[Capitalisation boursière]]/Tableau1[[#This Row],[RN Groupe 2023]],"")</f>
        <v/>
      </c>
      <c r="BA100" s="4" t="str" cm="1">
        <f t="array" aca="1" ref="BA100" ca="1">IFERROR(_FV(Tableau1[[#This Row],[Code Excel]],"Industrie"),"")</f>
        <v>Banking Services</v>
      </c>
      <c r="BB100" s="43" t="s">
        <v>3518</v>
      </c>
      <c r="BC100" s="43" t="str">
        <f>IFERROR(_xlfn.XLOOKUP(Tableau1[[#This Row],[Isin]]&amp;1&amp;2016,#REF!,Tableau3[Capi]),"")</f>
        <v/>
      </c>
      <c r="BD100" s="43" t="str">
        <f>IFERROR(_xlfn.XLOOKUP(Tableau1[[#This Row],[Isin]]&amp;1&amp;2017,#REF!,Tableau3[Capi]),"")</f>
        <v/>
      </c>
      <c r="BE100" s="43" t="str">
        <f>IFERROR(_xlfn.XLOOKUP(Tableau1[[#This Row],[Isin]]&amp;1&amp;2018,#REF!,Tableau3[Capi]),"")</f>
        <v/>
      </c>
      <c r="BF100" s="43" t="str">
        <f>IFERROR(_xlfn.XLOOKUP(Tableau1[[#This Row],[Isin]]&amp;1&amp;2019,#REF!,Tableau3[Capi]),"")</f>
        <v/>
      </c>
      <c r="BG100" s="43" t="str">
        <f>IFERROR(_xlfn.XLOOKUP(Tableau1[[#This Row],[Isin]]&amp;1&amp;2020,#REF!,Tableau3[Capi]),"")</f>
        <v/>
      </c>
      <c r="BH100" s="43">
        <f>IF(IFERROR(_xlfn.XLOOKUP(Tableau1[[#This Row],[Isin]]&amp;1&amp;2021,#REF!,Tableau3[Capi]),"")="",Tableau1[[#This Row],[Capitalisation 2021
Manuel]],IFERROR(_xlfn.XLOOKUP(Tableau1[[#This Row],[Isin]]&amp;1&amp;2021,#REF!,Tableau3[Capi]),""))</f>
        <v>42605677500</v>
      </c>
      <c r="BI100" s="142">
        <v>42605677500</v>
      </c>
      <c r="BJ100" s="141">
        <f>IF(IFERROR(_xlfn.XLOOKUP(Tableau1[[#This Row],[Isin]]&amp;1&amp;2022,#REF!,Tableau3[Capi]),"")="",Tableau1[[#This Row],[Capitalisation 2022
Manuel]],IFERROR(_xlfn.XLOOKUP(Tableau1[[#This Row],[Isin]]&amp;1&amp;2022,#REF!,Tableau3[Capi]),""))</f>
        <v>35362766000</v>
      </c>
      <c r="BK100" s="142">
        <v>35362766000</v>
      </c>
      <c r="BL100" s="43">
        <f ca="1">Tableau1[[#This Row],[Capitalisation boursière]]</f>
        <v>51273910000</v>
      </c>
      <c r="BM100" s="162" t="str" cm="1">
        <f t="array" aca="1" ref="BM100" ca="1">_FV(Tableau1[[#This Row],[Code Excel]],"Description")</f>
        <v>Crédit Agricole SA est un groupe bancaire basé en France. La société exerce des activités de banque de détail en France (Crédit Lyonnais) et à l'étranger. Elle propose des services bancaires et d'assurance à travers un réseau de banques régionales, locales et d'agences. Elle propose des services de gestion d'actifs, d'assurance et de banque privée, d'actifs sous gestion. La société propose des activités telles que la finance, l'investissement et la banque de marché, le financement bancaire spécialisé, les opérations sur actions, le conseil en fusions et acquisitions, le capital investissement, etc. Son activité de banque de détail LCL est organisée en quatre lignes de métiers : la banque de détail aux particuliers, la banque de détail aux professionnels, la banque privée et la banque d'affaires. La société propose des produits et services financiers aux particuliers, aux professionnels, aux grandes entreprises et aux collectivités locales en France et à l'étranger.</v>
      </c>
      <c r="BN100" s="43"/>
      <c r="BO100" s="43"/>
      <c r="BP100" s="43"/>
      <c r="BQ100" s="43"/>
      <c r="BR100" s="4"/>
      <c r="BS100" s="21"/>
      <c r="BT100" s="13"/>
      <c r="BU100" s="13"/>
      <c r="BV100" s="13"/>
      <c r="BW100" s="13"/>
      <c r="BX100" s="13"/>
      <c r="BY100" s="3"/>
      <c r="BZ100" s="58"/>
      <c r="CA100" s="59"/>
    </row>
    <row r="101" spans="3:79">
      <c r="C101" s="42"/>
      <c r="D101" s="42">
        <f>IF(Tableau1[[#This Row],[Isin]]="",99,Tableau1[[#This Row],[Intérêt]]+Tableau1[[#This Row],[Valeur d''intérêt]]+Tableau1[[#This Row],[N° Portefeuille]])</f>
        <v>30</v>
      </c>
      <c r="E101" s="42"/>
      <c r="F101" s="42">
        <f>IF(Tableau1[[#This Row],[Portefeuille]]="p",0,Tableau1[[#This Row],[F. Investissement
Niveau d''intérêt]]*10)</f>
        <v>30</v>
      </c>
      <c r="G101" s="42">
        <f>IF(Tableau1[[#This Row],[Portefeuille]]="p",3,0)</f>
        <v>0</v>
      </c>
      <c r="H101" s="42">
        <v>3</v>
      </c>
      <c r="I101" s="42">
        <v>4</v>
      </c>
      <c r="J101" s="42"/>
      <c r="K101" s="43"/>
      <c r="L101" s="16">
        <v>1</v>
      </c>
      <c r="M10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1" s="44" t="s">
        <v>3713</v>
      </c>
      <c r="O101" s="44" t="s">
        <v>1224</v>
      </c>
      <c r="P101" s="4" t="s">
        <v>564</v>
      </c>
      <c r="Q101" s="6" t="s">
        <v>85</v>
      </c>
      <c r="R101" s="6"/>
      <c r="S101" s="6" t="s">
        <v>3714</v>
      </c>
      <c r="T101" s="6" t="e" vm="89">
        <v>#VALUE!</v>
      </c>
      <c r="U101" s="46" cm="1">
        <f t="array" aca="1" ref="U101" ca="1">IFERROR(_FV(Tableau1[[#This Row],[Code Excel]],"Capitalisation boursière",TRUE),"")</f>
        <v>29798000000</v>
      </c>
      <c r="V101" s="4" t="str" cm="1">
        <f t="array" aca="1" ref="V101" ca="1">IFERROR(_FV(Tableau1[[#This Row],[Code Excel]],"Industrie"),"")</f>
        <v>Machinery, Equipment &amp; Components</v>
      </c>
      <c r="W101" s="4" t="s">
        <v>1224</v>
      </c>
      <c r="X101" s="4" t="str">
        <f ca="1">Tableau1[[#This Row],[Grand Secteur]]&amp;Tableau1[[#This Row],[Industrie]]</f>
        <v>AutomobileMachinery, Equipment &amp; Components</v>
      </c>
      <c r="Y101" s="23" cm="1">
        <f t="array" aca="1" ref="Y101" ca="1">IFERROR(_FV(Tableau1[[#This Row],[Code Excel]],"P/E",TRUE),"")</f>
        <v>10.37</v>
      </c>
      <c r="Z101" s="43" cm="1">
        <f t="array" aca="1" ref="Z101" ca="1">IFERROR(_FV(Tableau1[[#This Row],[Code Excel]],"Employés"),"")</f>
        <v>102895</v>
      </c>
      <c r="AA101" s="46">
        <f ca="1">IFERROR(Tableau1[[#This Row],[Capitalisation boursière]]/Tableau1[[#This Row],[Employés]],"")</f>
        <v>289596.19029107341</v>
      </c>
      <c r="AB101" s="5" t="str">
        <f>IFERROR(Tableau1[[#This Row],[REX (2021)]]/Tableau1[[#This Row],[CA 2024]],"")</f>
        <v/>
      </c>
      <c r="AC101" s="9" t="str">
        <f>IFERROR(_xlfn.XLOOKUP(Tableau1[[#This Row],[Isin]]&amp;1&amp;2021,#REF!,Tableau3[Résultat d''exploitation]),"")</f>
        <v/>
      </c>
      <c r="AD101" s="9" t="str">
        <f>IFERROR(_xlfn.XLOOKUP(Tableau1[[#This Row],[Isin]]&amp;1&amp;2019,#REF!,Tableau3[Chiffre d''affaires]),"")</f>
        <v/>
      </c>
      <c r="AE101" s="9" t="str">
        <f>IFERROR(_xlfn.XLOOKUP(Tableau1[[#This Row],[Isin]]&amp;1&amp;2024,#REF!,Tableau3[Chiffre d''affaires]),"")</f>
        <v/>
      </c>
      <c r="AF101" s="8" t="str">
        <f>IFERROR(IF((Tableau1[[#This Row],[CA 2024]]-Tableau1[[#This Row],[CA 2019]])/Tableau1[[#This Row],[CA 2019]]=-1,"",(Tableau1[[#This Row],[CA 2024]]-Tableau1[[#This Row],[CA 2019]])/Tableau1[[#This Row],[CA 2019]]),"")</f>
        <v/>
      </c>
      <c r="AG101" s="9" t="str">
        <f>IFERROR(_xlfn.XLOOKUP(Tableau1[[#This Row],[Isin]]&amp;1&amp;2021,#REF!,Tableau3[EBE]),"")</f>
        <v/>
      </c>
      <c r="AH101" s="9" t="str">
        <f>IFERROR(_xlfn.XLOOKUP(Tableau1[[#This Row],[Isin]]&amp;1&amp;2022,#REF!,Tableau3[EBE]),"")</f>
        <v/>
      </c>
      <c r="AI101" s="43" t="s">
        <v>4329</v>
      </c>
      <c r="AJ101" s="43" t="s">
        <v>3150</v>
      </c>
      <c r="AK101" s="43" t="s">
        <v>3431</v>
      </c>
      <c r="AL101" s="43" t="s">
        <v>3149</v>
      </c>
      <c r="AM101" s="43"/>
      <c r="AN101" s="9" t="str">
        <f>IFERROR(_xlfn.XLOOKUP(Tableau1[[#This Row],[Isin]]&amp;1&amp;2021,#REF!,Tableau3[Chiffre d''affaires]),"")</f>
        <v/>
      </c>
      <c r="AO101" s="43" cm="1">
        <f t="array" aca="1" ref="AO101" ca="1">_FV(Tableau1[[#This Row],[Code Excel]],"P/E",TRUE)</f>
        <v>10.37</v>
      </c>
      <c r="AP101" s="43" t="str">
        <f>IFERROR(_xlfn.XLOOKUP(Tableau1[[#This Row],[Isin]]&amp;1&amp;2023,#REF!,Tableau3[Résultat Net (PdG)]),"")</f>
        <v/>
      </c>
      <c r="AQ101" s="43">
        <f>IF(IFERROR(_xlfn.XLOOKUP(Tableau1[[#This Row],[Isin]]&amp;1&amp;2022,#REF!,Tableau3[Résultat Net (PdG)]),"")="",Tableau1[[#This Row],[RN Groupe 2022
Manuel]],IFERROR(_xlfn.XLOOKUP(Tableau1[[#This Row],[Isin]]&amp;1&amp;2022,#REF!,Tableau3[Résultat Net (PdG)]),""))</f>
        <v>0</v>
      </c>
      <c r="AR101" s="43"/>
      <c r="AS101" s="43">
        <f>IF(IFERROR(_xlfn.XLOOKUP(Tableau1[[#This Row],[Isin]]&amp;1&amp;2021,#REF!,Tableau3[Résultat Net (PdG)]),"")="",Tableau1[[#This Row],[RN Groupe 2021
Manuel]],IFERROR(_xlfn.XLOOKUP(Tableau1[[#This Row],[Isin]]&amp;1&amp;2021,#REF!,Tableau3[Résultat Net (PdG)]),""))</f>
        <v>0</v>
      </c>
      <c r="AT101" s="43"/>
      <c r="AU101" s="43" t="str">
        <f>IFERROR(_xlfn.XLOOKUP(Tableau1[[#This Row],[Isin]]&amp;1&amp;2020,#REF!,Tableau3[Résultat Net (PdG)]),"")</f>
        <v/>
      </c>
      <c r="AV101" s="43" t="str">
        <f>IFERROR(_xlfn.XLOOKUP(Tableau1[[#This Row],[Isin]]&amp;1&amp;2019,#REF!,Tableau3[Résultat Net (PdG)]),"")</f>
        <v/>
      </c>
      <c r="AW101" s="43" t="str">
        <f>IFERROR(_xlfn.XLOOKUP(Tableau1[[#This Row],[Isin]]&amp;1&amp;2018,#REF!,Tableau3[Résultat Net (PdG)]),"")</f>
        <v/>
      </c>
      <c r="AX101" s="43" t="str">
        <f>IFERROR(_xlfn.XLOOKUP(Tableau1[[#This Row],[Isin]]&amp;1&amp;2017,#REF!,Tableau3[Résultat Net (PdG)]),"")</f>
        <v/>
      </c>
      <c r="AY101" s="43" t="str">
        <f>IFERROR(_xlfn.XLOOKUP(Tableau1[[#This Row],[Isin]]&amp;1&amp;2016,#REF!,Tableau3[Résultat Net (PdG)]),"")</f>
        <v/>
      </c>
      <c r="AZ101" s="137" t="str">
        <f ca="1">IFERROR(Tableau1[[#This Row],[Capitalisation boursière]]/Tableau1[[#This Row],[RN Groupe 2023]],"")</f>
        <v/>
      </c>
      <c r="BA101" s="4" t="str" cm="1">
        <f t="array" aca="1" ref="BA101" ca="1">IFERROR(_FV(Tableau1[[#This Row],[Code Excel]],"Industrie"),"")</f>
        <v>Machinery, Equipment &amp; Components</v>
      </c>
      <c r="BB101" s="43" t="s">
        <v>3487</v>
      </c>
      <c r="BC101" s="43" t="str">
        <f>IFERROR(_xlfn.XLOOKUP(Tableau1[[#This Row],[Isin]]&amp;1&amp;2016,#REF!,Tableau3[Capi]),"")</f>
        <v/>
      </c>
      <c r="BD101" s="43" t="str">
        <f>IFERROR(_xlfn.XLOOKUP(Tableau1[[#This Row],[Isin]]&amp;1&amp;2017,#REF!,Tableau3[Capi]),"")</f>
        <v/>
      </c>
      <c r="BE101" s="43" t="str">
        <f>IFERROR(_xlfn.XLOOKUP(Tableau1[[#This Row],[Isin]]&amp;1&amp;2018,#REF!,Tableau3[Capi]),"")</f>
        <v/>
      </c>
      <c r="BF101" s="43" t="str">
        <f>IFERROR(_xlfn.XLOOKUP(Tableau1[[#This Row],[Isin]]&amp;1&amp;2019,#REF!,Tableau3[Capi]),"")</f>
        <v/>
      </c>
      <c r="BG101" s="43" t="str">
        <f>IFERROR(_xlfn.XLOOKUP(Tableau1[[#This Row],[Isin]]&amp;1&amp;2020,#REF!,Tableau3[Capi]),"")</f>
        <v/>
      </c>
      <c r="BH101" s="43">
        <f>IF(IFERROR(_xlfn.XLOOKUP(Tableau1[[#This Row],[Isin]]&amp;1&amp;2021,#REF!,Tableau3[Capi]),"")="",Tableau1[[#This Row],[Capitalisation 2021
Manuel]],IFERROR(_xlfn.XLOOKUP(Tableau1[[#This Row],[Isin]]&amp;1&amp;2021,#REF!,Tableau3[Capi]),""))</f>
        <v>0</v>
      </c>
      <c r="BI101" s="43"/>
      <c r="BJ101" s="43">
        <f>IF(IFERROR(_xlfn.XLOOKUP(Tableau1[[#This Row],[Isin]]&amp;1&amp;2022,#REF!,Tableau3[Capi]),"")="",Tableau1[[#This Row],[Capitalisation 2022
Manuel]],IFERROR(_xlfn.XLOOKUP(Tableau1[[#This Row],[Isin]]&amp;1&amp;2022,#REF!,Tableau3[Capi]),""))</f>
        <v>0</v>
      </c>
      <c r="BK101" s="43"/>
      <c r="BL101" s="43">
        <f ca="1">Tableau1[[#This Row],[Capitalisation boursière]]</f>
        <v>29798000000</v>
      </c>
      <c r="BM101" s="162" t="str" cm="1">
        <f t="array" aca="1" ref="BM101" ca="1">_FV(Tableau1[[#This Row],[Code Excel]],"Description")</f>
        <v>Daimler Truck Holding AG est une société basée en Allemagne. La société divise ses activités en activités industrielles et services financiers. L'activité industrielle comprend les segments de véhicules Trucks North America, Mercedes-Benz, Trucks Asia, Daimler Buses et la réconciliation. Trucks Asia regroupe les activités commerciales de Mitsubishi Fuso Truck and Bus Corporation (MFTBC) basée au Japon et de Daimler India Commercial Vehicles (DICV) en Inde. Daimler Buses est un fournisseur de services complets d'autobus et de châssis avec un poids brut autorisé supérieur à huit tonnes. Le segment des services financiers offre aux clients un ensemble complet de véhicules, de produits de financement et de leasing et d'autres services. La société est la société mère du groupe Daimler Truck. Le groupe Daimler Truck réunit huit marques de véhicules sous son égide : Freightliner, Thomas Built Buses, Western Star, Mercedes-Benz, FUSO, BharatBenz, RIZON et Setra.</v>
      </c>
      <c r="BN101" s="43"/>
      <c r="BO101" s="43"/>
      <c r="BP101" s="43"/>
      <c r="BQ101" s="43"/>
      <c r="BR101" s="4"/>
      <c r="BS101" s="21"/>
      <c r="BT101" s="13"/>
      <c r="BU101" s="13"/>
      <c r="BV101" s="13"/>
      <c r="BW101" s="13"/>
      <c r="BX101" s="13"/>
      <c r="BY101" s="3"/>
      <c r="BZ101" s="58"/>
      <c r="CA101" s="59"/>
    </row>
    <row r="102" spans="3:79">
      <c r="C102" s="43"/>
      <c r="D102" s="42">
        <f>IF(Tableau1[[#This Row],[Isin]]="",99,Tableau1[[#This Row],[Intérêt]]+Tableau1[[#This Row],[Valeur d''intérêt]]+Tableau1[[#This Row],[N° Portefeuille]])</f>
        <v>30</v>
      </c>
      <c r="E102" s="43"/>
      <c r="F102" s="42">
        <f>IF(Tableau1[[#This Row],[Portefeuille]]="p",0,Tableau1[[#This Row],[F. Investissement
Niveau d''intérêt]]*10)</f>
        <v>30</v>
      </c>
      <c r="G102" s="43">
        <f>IF(Tableau1[[#This Row],[Portefeuille]]="p",3,0)</f>
        <v>0</v>
      </c>
      <c r="H102" s="43">
        <v>3</v>
      </c>
      <c r="I102" s="43">
        <v>4</v>
      </c>
      <c r="J102" s="43"/>
      <c r="K102" s="43"/>
      <c r="L102" s="16">
        <v>1</v>
      </c>
      <c r="M10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2" s="44" t="s">
        <v>1314</v>
      </c>
      <c r="O102" s="44" t="s">
        <v>1315</v>
      </c>
      <c r="P102" s="4" t="s">
        <v>84</v>
      </c>
      <c r="Q102" s="6" t="s">
        <v>85</v>
      </c>
      <c r="R102" s="6"/>
      <c r="S102" s="6" t="s">
        <v>1317</v>
      </c>
      <c r="T102" s="6" t="e" vm="90">
        <v>#VALUE!</v>
      </c>
      <c r="U102" s="46" cm="1">
        <f t="array" aca="1" ref="U102" ca="1">IFERROR(_FV(Tableau1[[#This Row],[Code Excel]],"Capitalisation boursière",TRUE),"")</f>
        <v>48126010000</v>
      </c>
      <c r="V102" s="4" t="str" cm="1">
        <f t="array" aca="1" ref="V102" ca="1">IFERROR(_FV(Tableau1[[#This Row],[Code Excel]],"Industrie"),"")</f>
        <v>Food &amp; Tobacco</v>
      </c>
      <c r="W102" s="4" t="s">
        <v>1315</v>
      </c>
      <c r="X102" s="4" t="str">
        <f ca="1">Tableau1[[#This Row],[Grand Secteur]]&amp;Tableau1[[#This Row],[Industrie]]</f>
        <v>Biens de consommationFood &amp; Tobacco</v>
      </c>
      <c r="Y102" s="23" cm="1">
        <f t="array" aca="1" ref="Y102" ca="1">IFERROR(_FV(Tableau1[[#This Row],[Code Excel]],"P/E",TRUE),"")</f>
        <v>22.569199999999999</v>
      </c>
      <c r="Z102" s="43" cm="1">
        <f t="array" aca="1" ref="Z102" ca="1">IFERROR(_FV(Tableau1[[#This Row],[Code Excel]],"Employés"),"")</f>
        <v>89528</v>
      </c>
      <c r="AA102" s="46">
        <f ca="1">IFERROR(Tableau1[[#This Row],[Capitalisation boursière]]/Tableau1[[#This Row],[Employés]],"")</f>
        <v>537552.60923956754</v>
      </c>
      <c r="AB102" s="5" t="str">
        <f>IFERROR(Tableau1[[#This Row],[REX (2021)]]/Tableau1[[#This Row],[CA 2024]],"")</f>
        <v/>
      </c>
      <c r="AC102" s="9" t="str">
        <f>IFERROR(_xlfn.XLOOKUP(Tableau1[[#This Row],[Isin]]&amp;1&amp;2021,#REF!,Tableau3[Résultat d''exploitation]),"")</f>
        <v/>
      </c>
      <c r="AD102" s="9" t="str">
        <f>IFERROR(_xlfn.XLOOKUP(Tableau1[[#This Row],[Isin]]&amp;1&amp;2019,#REF!,Tableau3[Chiffre d''affaires]),"")</f>
        <v/>
      </c>
      <c r="AE102" s="9" t="str">
        <f>IFERROR(_xlfn.XLOOKUP(Tableau1[[#This Row],[Isin]]&amp;1&amp;2024,#REF!,Tableau3[Chiffre d''affaires]),"")</f>
        <v/>
      </c>
      <c r="AF102" s="8" t="str">
        <f>IFERROR(IF((Tableau1[[#This Row],[CA 2024]]-Tableau1[[#This Row],[CA 2019]])/Tableau1[[#This Row],[CA 2019]]=-1,"",(Tableau1[[#This Row],[CA 2024]]-Tableau1[[#This Row],[CA 2019]])/Tableau1[[#This Row],[CA 2019]]),"")</f>
        <v/>
      </c>
      <c r="AG102" s="9" t="str">
        <f>IFERROR(_xlfn.XLOOKUP(Tableau1[[#This Row],[Isin]]&amp;1&amp;2021,#REF!,Tableau3[EBE]),"")</f>
        <v/>
      </c>
      <c r="AH102" s="9" t="str">
        <f>IFERROR(_xlfn.XLOOKUP(Tableau1[[#This Row],[Isin]]&amp;1&amp;2022,#REF!,Tableau3[EBE]),"")</f>
        <v/>
      </c>
      <c r="AI102" s="43" t="s">
        <v>3431</v>
      </c>
      <c r="AJ102" s="43" t="s">
        <v>3150</v>
      </c>
      <c r="AK102" s="43" t="s">
        <v>3149</v>
      </c>
      <c r="AL102" s="43" t="s">
        <v>3431</v>
      </c>
      <c r="AM102" s="43"/>
      <c r="AN102" s="9" t="str">
        <f>IFERROR(_xlfn.XLOOKUP(Tableau1[[#This Row],[Isin]]&amp;1&amp;2021,#REF!,Tableau3[Chiffre d''affaires]),"")</f>
        <v/>
      </c>
      <c r="AO102" s="43" cm="1">
        <f t="array" aca="1" ref="AO102" ca="1">_FV(Tableau1[[#This Row],[Code Excel]],"P/E",TRUE)</f>
        <v>22.569199999999999</v>
      </c>
      <c r="AP102" s="43" t="str">
        <f>IFERROR(_xlfn.XLOOKUP(Tableau1[[#This Row],[Isin]]&amp;1&amp;2023,#REF!,Tableau3[Résultat Net (PdG)]),"")</f>
        <v/>
      </c>
      <c r="AQ102" s="43">
        <f>IF(IFERROR(_xlfn.XLOOKUP(Tableau1[[#This Row],[Isin]]&amp;1&amp;2022,#REF!,Tableau3[Résultat Net (PdG)]),"")="",Tableau1[[#This Row],[RN Groupe 2022
Manuel]],IFERROR(_xlfn.XLOOKUP(Tableau1[[#This Row],[Isin]]&amp;1&amp;2022,#REF!,Tableau3[Résultat Net (PdG)]),""))</f>
        <v>959000000</v>
      </c>
      <c r="AR102" s="140">
        <v>959000000</v>
      </c>
      <c r="AS102" s="43">
        <f>IF(IFERROR(_xlfn.XLOOKUP(Tableau1[[#This Row],[Isin]]&amp;1&amp;2021,#REF!,Tableau3[Résultat Net (PdG)]),"")="",Tableau1[[#This Row],[RN Groupe 2021
Manuel]],IFERROR(_xlfn.XLOOKUP(Tableau1[[#This Row],[Isin]]&amp;1&amp;2021,#REF!,Tableau3[Résultat Net (PdG)]),""))</f>
        <v>773700000</v>
      </c>
      <c r="AT102" s="140">
        <v>773700000</v>
      </c>
      <c r="AU102" s="43" t="str">
        <f>IFERROR(_xlfn.XLOOKUP(Tableau1[[#This Row],[Isin]]&amp;1&amp;2020,#REF!,Tableau3[Résultat Net (PdG)]),"")</f>
        <v/>
      </c>
      <c r="AV102" s="43" t="str">
        <f>IFERROR(_xlfn.XLOOKUP(Tableau1[[#This Row],[Isin]]&amp;1&amp;2019,#REF!,Tableau3[Résultat Net (PdG)]),"")</f>
        <v/>
      </c>
      <c r="AW102" s="43" t="str">
        <f>IFERROR(_xlfn.XLOOKUP(Tableau1[[#This Row],[Isin]]&amp;1&amp;2018,#REF!,Tableau3[Résultat Net (PdG)]),"")</f>
        <v/>
      </c>
      <c r="AX102" s="43" t="str">
        <f>IFERROR(_xlfn.XLOOKUP(Tableau1[[#This Row],[Isin]]&amp;1&amp;2017,#REF!,Tableau3[Résultat Net (PdG)]),"")</f>
        <v/>
      </c>
      <c r="AY102" s="43" t="str">
        <f>IFERROR(_xlfn.XLOOKUP(Tableau1[[#This Row],[Isin]]&amp;1&amp;2016,#REF!,Tableau3[Résultat Net (PdG)]),"")</f>
        <v/>
      </c>
      <c r="AZ102" s="137" t="str">
        <f ca="1">IFERROR(Tableau1[[#This Row],[Capitalisation boursière]]/Tableau1[[#This Row],[RN Groupe 2023]],"")</f>
        <v/>
      </c>
      <c r="BA102" s="4" t="str" cm="1">
        <f t="array" aca="1" ref="BA102" ca="1">IFERROR(_FV(Tableau1[[#This Row],[Code Excel]],"Industrie"),"")</f>
        <v>Food &amp; Tobacco</v>
      </c>
      <c r="BB102" s="43" t="s">
        <v>3518</v>
      </c>
      <c r="BC102" s="43" t="str">
        <f>IFERROR(_xlfn.XLOOKUP(Tableau1[[#This Row],[Isin]]&amp;1&amp;2016,#REF!,Tableau3[Capi]),"")</f>
        <v/>
      </c>
      <c r="BD102" s="43" t="str">
        <f>IFERROR(_xlfn.XLOOKUP(Tableau1[[#This Row],[Isin]]&amp;1&amp;2017,#REF!,Tableau3[Capi]),"")</f>
        <v/>
      </c>
      <c r="BE102" s="43" t="str">
        <f>IFERROR(_xlfn.XLOOKUP(Tableau1[[#This Row],[Isin]]&amp;1&amp;2018,#REF!,Tableau3[Capi]),"")</f>
        <v/>
      </c>
      <c r="BF102" s="43" t="str">
        <f>IFERROR(_xlfn.XLOOKUP(Tableau1[[#This Row],[Isin]]&amp;1&amp;2019,#REF!,Tableau3[Capi]),"")</f>
        <v/>
      </c>
      <c r="BG102" s="43" t="str">
        <f>IFERROR(_xlfn.XLOOKUP(Tableau1[[#This Row],[Isin]]&amp;1&amp;2020,#REF!,Tableau3[Capi]),"")</f>
        <v/>
      </c>
      <c r="BH102" s="43">
        <f>IF(IFERROR(_xlfn.XLOOKUP(Tableau1[[#This Row],[Isin]]&amp;1&amp;2021,#REF!,Tableau3[Capi]),"")="",Tableau1[[#This Row],[Capitalisation 2021
Manuel]],IFERROR(_xlfn.XLOOKUP(Tableau1[[#This Row],[Isin]]&amp;1&amp;2021,#REF!,Tableau3[Capi]),""))</f>
        <v>0</v>
      </c>
      <c r="BI102" s="142"/>
      <c r="BJ102" s="141">
        <f>IF(IFERROR(_xlfn.XLOOKUP(Tableau1[[#This Row],[Isin]]&amp;1&amp;2022,#REF!,Tableau3[Capi]),"")="",Tableau1[[#This Row],[Capitalisation 2022
Manuel]],IFERROR(_xlfn.XLOOKUP(Tableau1[[#This Row],[Isin]]&amp;1&amp;2022,#REF!,Tableau3[Capi]),""))</f>
        <v>34230625000</v>
      </c>
      <c r="BK102" s="142">
        <v>34230625000</v>
      </c>
      <c r="BL102" s="43">
        <f ca="1">Tableau1[[#This Row],[Capitalisation boursière]]</f>
        <v>48126010000</v>
      </c>
      <c r="BM102" s="162" t="str" cm="1">
        <f t="array" aca="1" ref="BM102" ca="1">_FV(Tableau1[[#This Row],[Code Excel]],"Description")</f>
        <v>Danone SA est une entreprise mondiale d'alimentation et de boissons basée en France. Elle opère à travers quatre segments: Produits laitiers essentiels et produits à base de plantes (EDP), Eaux et Nutrition spécialisée, y compris Nutrition précoce et Nutrition médicale. EDP produit et distribue des produits laitiers fermentés frais et d'autres spécialités laitières, des produits et boissons à base de plantes, des crèmes à café et des produits biologiques ; Waters vend de l'eau en bouteille et de l'eau vendue en petits et grands contenants ; Early Life Nutrition propose des préparations pour bébés (laits infantiles, laits de suite, laits de croissance), des desserts à base de lait et de fruits, des céréales, des petits pots pour bébés et des aliments pour bébés prêts à l'emploi ; Advanced Medical Nutrition propose des produits de nutrition clinique pour adultes ou enfants à prendre par voie orale ou par sonde en cas de malnutrition liée à une maladie ou à d'autres causes. Le portefeuille de marques de la Société comprend Activia, Actimel, Alpro, Danette, Danonino, Danio, evian, Volvic, Nutrilon/Aptamil, Nutricia, et d'autres.</v>
      </c>
      <c r="BN102" s="43"/>
      <c r="BO102" s="43"/>
      <c r="BP102" s="43"/>
      <c r="BQ102" s="43"/>
      <c r="BR102" s="4"/>
      <c r="BS102" s="21"/>
      <c r="BT102" s="13"/>
      <c r="BU102" s="13"/>
      <c r="BV102" s="13"/>
      <c r="BW102" s="13"/>
      <c r="BX102" s="13"/>
      <c r="BY102" s="3"/>
      <c r="BZ102" s="58"/>
      <c r="CA102" s="59"/>
    </row>
    <row r="103" spans="3:79">
      <c r="C103" s="42"/>
      <c r="D103" s="42">
        <f>IF(Tableau1[[#This Row],[Isin]]="",99,Tableau1[[#This Row],[Intérêt]]+Tableau1[[#This Row],[Valeur d''intérêt]]+Tableau1[[#This Row],[N° Portefeuille]])</f>
        <v>30</v>
      </c>
      <c r="E103" s="42"/>
      <c r="F103" s="42">
        <f>IF(Tableau1[[#This Row],[Portefeuille]]="p",0,Tableau1[[#This Row],[F. Investissement
Niveau d''intérêt]]*10)</f>
        <v>30</v>
      </c>
      <c r="G103" s="42">
        <f>IF(Tableau1[[#This Row],[Portefeuille]]="p",3,0)</f>
        <v>0</v>
      </c>
      <c r="H103" s="42">
        <v>3</v>
      </c>
      <c r="I103" s="42">
        <v>4</v>
      </c>
      <c r="J103" s="42"/>
      <c r="K103" s="43"/>
      <c r="L103" s="16">
        <v>0</v>
      </c>
      <c r="M10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3" s="44" t="s">
        <v>3717</v>
      </c>
      <c r="O103" s="45"/>
      <c r="P103" s="4" t="s">
        <v>84</v>
      </c>
      <c r="Q103" s="4"/>
      <c r="R103" s="6"/>
      <c r="S103" s="6" t="s">
        <v>3718</v>
      </c>
      <c r="T103" s="6" t="e" vm="91">
        <v>#VALUE!</v>
      </c>
      <c r="U103" s="46" cm="1">
        <f t="array" aca="1" ref="U103" ca="1">IFERROR(_FV(Tableau1[[#This Row],[Code Excel]],"Capitalisation boursière",TRUE),"")</f>
        <v>24224680000</v>
      </c>
      <c r="V103" s="4" t="str" cm="1">
        <f t="array" aca="1" ref="V103" ca="1">IFERROR(_FV(Tableau1[[#This Row],[Code Excel]],"Industrie"),"")</f>
        <v>Aerospace &amp; Defense</v>
      </c>
      <c r="W103" s="4" t="str" cm="1">
        <f t="array" aca="1" ref="W103" ca="1">IFERROR(_FV(Tableau1[[#This Row],[Code Excel]],"Industrie"),"")</f>
        <v>Aerospace &amp; Defense</v>
      </c>
      <c r="X103" s="4" t="str">
        <f ca="1">Tableau1[[#This Row],[Grand Secteur]]&amp;Tableau1[[#This Row],[Industrie]]</f>
        <v>Aerospace &amp; DefenseAerospace &amp; Defense</v>
      </c>
      <c r="Y103" s="23" cm="1">
        <f t="array" aca="1" ref="Y103" ca="1">IFERROR(_FV(Tableau1[[#This Row],[Code Excel]],"P/E",TRUE),"")</f>
        <v>26.241099999999999</v>
      </c>
      <c r="Z103" s="43" cm="1">
        <f t="array" aca="1" ref="Z103" ca="1">IFERROR(_FV(Tableau1[[#This Row],[Code Excel]],"Employés"),"")</f>
        <v>14589</v>
      </c>
      <c r="AA103" s="46">
        <f ca="1">IFERROR(Tableau1[[#This Row],[Capitalisation boursière]]/Tableau1[[#This Row],[Employés]],"")</f>
        <v>1660475.7008705188</v>
      </c>
      <c r="AB103" s="5" t="str">
        <f>IFERROR(Tableau1[[#This Row],[REX (2021)]]/Tableau1[[#This Row],[CA 2024]],"")</f>
        <v/>
      </c>
      <c r="AC103" s="9" t="str">
        <f>IFERROR(_xlfn.XLOOKUP(Tableau1[[#This Row],[Isin]]&amp;1&amp;2021,#REF!,Tableau3[Résultat d''exploitation]),"")</f>
        <v/>
      </c>
      <c r="AD103" s="9" t="str">
        <f>IFERROR(_xlfn.XLOOKUP(Tableau1[[#This Row],[Isin]]&amp;1&amp;2019,#REF!,Tableau3[Chiffre d''affaires]),"")</f>
        <v/>
      </c>
      <c r="AE103" s="9" t="str">
        <f>IFERROR(_xlfn.XLOOKUP(Tableau1[[#This Row],[Isin]]&amp;1&amp;2024,#REF!,Tableau3[Chiffre d''affaires]),"")</f>
        <v/>
      </c>
      <c r="AF103" s="8" t="str">
        <f>IFERROR(IF((Tableau1[[#This Row],[CA 2024]]-Tableau1[[#This Row],[CA 2019]])/Tableau1[[#This Row],[CA 2019]]=-1,"",(Tableau1[[#This Row],[CA 2024]]-Tableau1[[#This Row],[CA 2019]])/Tableau1[[#This Row],[CA 2019]]),"")</f>
        <v/>
      </c>
      <c r="AG103" s="9" t="str">
        <f>IFERROR(_xlfn.XLOOKUP(Tableau1[[#This Row],[Isin]]&amp;1&amp;2021,#REF!,Tableau3[EBE]),"")</f>
        <v/>
      </c>
      <c r="AH103" s="9" t="str">
        <f>IFERROR(_xlfn.XLOOKUP(Tableau1[[#This Row],[Isin]]&amp;1&amp;2022,#REF!,Tableau3[EBE]),"")</f>
        <v/>
      </c>
      <c r="AI103" s="43" t="s">
        <v>4343</v>
      </c>
      <c r="AJ103" s="43" t="s">
        <v>4322</v>
      </c>
      <c r="AK103" s="43" t="s">
        <v>3431</v>
      </c>
      <c r="AL103" s="43"/>
      <c r="AM103" s="43"/>
      <c r="AN103" s="9" t="str">
        <f>IFERROR(_xlfn.XLOOKUP(Tableau1[[#This Row],[Isin]]&amp;1&amp;2021,#REF!,Tableau3[Chiffre d''affaires]),"")</f>
        <v/>
      </c>
      <c r="AO103" s="43" cm="1">
        <f t="array" aca="1" ref="AO103" ca="1">_FV(Tableau1[[#This Row],[Code Excel]],"P/E",TRUE)</f>
        <v>26.241099999999999</v>
      </c>
      <c r="AP103" s="43" t="str">
        <f>IFERROR(_xlfn.XLOOKUP(Tableau1[[#This Row],[Isin]]&amp;1&amp;2023,#REF!,Tableau3[Résultat Net (PdG)]),"")</f>
        <v/>
      </c>
      <c r="AQ103" s="43">
        <f>IF(IFERROR(_xlfn.XLOOKUP(Tableau1[[#This Row],[Isin]]&amp;1&amp;2022,#REF!,Tableau3[Résultat Net (PdG)]),"")="",Tableau1[[#This Row],[RN Groupe 2022
Manuel]],IFERROR(_xlfn.XLOOKUP(Tableau1[[#This Row],[Isin]]&amp;1&amp;2022,#REF!,Tableau3[Résultat Net (PdG)]),""))</f>
        <v>0</v>
      </c>
      <c r="AR103" s="43"/>
      <c r="AS103" s="43">
        <f>IF(IFERROR(_xlfn.XLOOKUP(Tableau1[[#This Row],[Isin]]&amp;1&amp;2021,#REF!,Tableau3[Résultat Net (PdG)]),"")="",Tableau1[[#This Row],[RN Groupe 2021
Manuel]],IFERROR(_xlfn.XLOOKUP(Tableau1[[#This Row],[Isin]]&amp;1&amp;2021,#REF!,Tableau3[Résultat Net (PdG)]),""))</f>
        <v>0</v>
      </c>
      <c r="AT103" s="43"/>
      <c r="AU103" s="43" t="str">
        <f>IFERROR(_xlfn.XLOOKUP(Tableau1[[#This Row],[Isin]]&amp;1&amp;2020,#REF!,Tableau3[Résultat Net (PdG)]),"")</f>
        <v/>
      </c>
      <c r="AV103" s="43" t="str">
        <f>IFERROR(_xlfn.XLOOKUP(Tableau1[[#This Row],[Isin]]&amp;1&amp;2019,#REF!,Tableau3[Résultat Net (PdG)]),"")</f>
        <v/>
      </c>
      <c r="AW103" s="43" t="str">
        <f>IFERROR(_xlfn.XLOOKUP(Tableau1[[#This Row],[Isin]]&amp;1&amp;2018,#REF!,Tableau3[Résultat Net (PdG)]),"")</f>
        <v/>
      </c>
      <c r="AX103" s="43" t="str">
        <f>IFERROR(_xlfn.XLOOKUP(Tableau1[[#This Row],[Isin]]&amp;1&amp;2017,#REF!,Tableau3[Résultat Net (PdG)]),"")</f>
        <v/>
      </c>
      <c r="AY103" s="43" t="str">
        <f>IFERROR(_xlfn.XLOOKUP(Tableau1[[#This Row],[Isin]]&amp;1&amp;2016,#REF!,Tableau3[Résultat Net (PdG)]),"")</f>
        <v/>
      </c>
      <c r="AZ103" s="137" t="str">
        <f ca="1">IFERROR(Tableau1[[#This Row],[Capitalisation boursière]]/Tableau1[[#This Row],[RN Groupe 2023]],"")</f>
        <v/>
      </c>
      <c r="BA103" s="4" t="str" cm="1">
        <f t="array" aca="1" ref="BA103" ca="1">IFERROR(_FV(Tableau1[[#This Row],[Code Excel]],"Industrie"),"")</f>
        <v>Aerospace &amp; Defense</v>
      </c>
      <c r="BB103" s="43" t="s">
        <v>3477</v>
      </c>
      <c r="BC103" s="43" t="str">
        <f>IFERROR(_xlfn.XLOOKUP(Tableau1[[#This Row],[Isin]]&amp;1&amp;2016,#REF!,Tableau3[Capi]),"")</f>
        <v/>
      </c>
      <c r="BD103" s="43" t="str">
        <f>IFERROR(_xlfn.XLOOKUP(Tableau1[[#This Row],[Isin]]&amp;1&amp;2017,#REF!,Tableau3[Capi]),"")</f>
        <v/>
      </c>
      <c r="BE103" s="43" t="str">
        <f>IFERROR(_xlfn.XLOOKUP(Tableau1[[#This Row],[Isin]]&amp;1&amp;2018,#REF!,Tableau3[Capi]),"")</f>
        <v/>
      </c>
      <c r="BF103" s="43" t="str">
        <f>IFERROR(_xlfn.XLOOKUP(Tableau1[[#This Row],[Isin]]&amp;1&amp;2019,#REF!,Tableau3[Capi]),"")</f>
        <v/>
      </c>
      <c r="BG103" s="43" t="str">
        <f>IFERROR(_xlfn.XLOOKUP(Tableau1[[#This Row],[Isin]]&amp;1&amp;2020,#REF!,Tableau3[Capi]),"")</f>
        <v/>
      </c>
      <c r="BH103" s="43">
        <f>IF(IFERROR(_xlfn.XLOOKUP(Tableau1[[#This Row],[Isin]]&amp;1&amp;2021,#REF!,Tableau3[Capi]),"")="",Tableau1[[#This Row],[Capitalisation 2021
Manuel]],IFERROR(_xlfn.XLOOKUP(Tableau1[[#This Row],[Isin]]&amp;1&amp;2021,#REF!,Tableau3[Capi]),""))</f>
        <v>0</v>
      </c>
      <c r="BI103" s="43"/>
      <c r="BJ103" s="43">
        <f>IF(IFERROR(_xlfn.XLOOKUP(Tableau1[[#This Row],[Isin]]&amp;1&amp;2022,#REF!,Tableau3[Capi]),"")="",Tableau1[[#This Row],[Capitalisation 2022
Manuel]],IFERROR(_xlfn.XLOOKUP(Tableau1[[#This Row],[Isin]]&amp;1&amp;2022,#REF!,Tableau3[Capi]),""))</f>
        <v>0</v>
      </c>
      <c r="BK103" s="43"/>
      <c r="BL103" s="43">
        <f ca="1">Tableau1[[#This Row],[Capitalisation boursière]]</f>
        <v>24224680000</v>
      </c>
      <c r="BM103" s="162" t="str" cm="1">
        <f t="array" aca="1" ref="BM103" ca="1">_FV(Tableau1[[#This Row],[Code Excel]],"Description")</f>
        <v>DASSAULT AVIATION S.A. est une société basée en France qui opère dans l'industrie de l'aviation civile et militaire mondiale. La société se spécialise dans la conception, la fabrication et la vente d'avions de combat et de jets d'affaires. Son portefeuille de produits comprend la famille Falcon pour le marché de l'aviation civile, ainsi que les avions Mirage 2000, Rafale et Neuron pour le secteur militaire. Elle offre également des pièces de rechange, des outils et un éventail de services tels que le support technique, l'entretien et la réparation des équipements et pièces du fuselage, entre autres. La société possède des bureaux en Europe, en Asie, en Amérique du Sud et au Moyen-Orient. DASSAULT AVIATION S.A. a un certain nombre de filiales, implantées en Europe et en Amérique du Nord, dont DFJ-Little Rock, Sogitec Industries, DFJ Wilmington Corp., DFJ Teterboro, Dassault Falcon Service - Le Bourget, Aero-Precision Repair &amp; Overhaul Co., Inc, Dassault Procurement Services Inc., Dassault Aircraft Services et Midway Aircraft Instruments Company.</v>
      </c>
      <c r="BN103" s="43"/>
      <c r="BO103" s="43"/>
      <c r="BP103" s="43"/>
      <c r="BQ103" s="43"/>
      <c r="BR103" s="4"/>
      <c r="BS103" s="21"/>
      <c r="BT103" s="13"/>
      <c r="BU103" s="13"/>
      <c r="BV103" s="13"/>
      <c r="BW103" s="13"/>
      <c r="BX103" s="13"/>
      <c r="BY103" s="3"/>
      <c r="BZ103" s="58"/>
      <c r="CA103" s="59"/>
    </row>
    <row r="104" spans="3:79">
      <c r="C104" s="43"/>
      <c r="D104" s="42">
        <f>IF(Tableau1[[#This Row],[Isin]]="",99,Tableau1[[#This Row],[Intérêt]]+Tableau1[[#This Row],[Valeur d''intérêt]]+Tableau1[[#This Row],[N° Portefeuille]])</f>
        <v>3</v>
      </c>
      <c r="E104" s="43"/>
      <c r="F104" s="42">
        <f>IF(Tableau1[[#This Row],[Portefeuille]]="p",0,Tableau1[[#This Row],[F. Investissement
Niveau d''intérêt]]*10)</f>
        <v>0</v>
      </c>
      <c r="G104" s="43">
        <f>IF(Tableau1[[#This Row],[Portefeuille]]="p",3,0)</f>
        <v>3</v>
      </c>
      <c r="H104" s="43">
        <v>1</v>
      </c>
      <c r="I104" s="43">
        <v>2</v>
      </c>
      <c r="J104" s="43"/>
      <c r="K104" s="43" t="s">
        <v>4362</v>
      </c>
      <c r="L104" s="16">
        <v>1</v>
      </c>
      <c r="M10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4" s="44" t="s">
        <v>3720</v>
      </c>
      <c r="O104" s="44" t="s">
        <v>751</v>
      </c>
      <c r="P104" s="4" t="s">
        <v>84</v>
      </c>
      <c r="Q104" s="6" t="s">
        <v>85</v>
      </c>
      <c r="R104" s="6"/>
      <c r="S104" s="6" t="s">
        <v>725</v>
      </c>
      <c r="T104" s="6" t="e" vm="92">
        <v>#VALUE!</v>
      </c>
      <c r="U104" s="46" cm="1">
        <f t="array" aca="1" ref="U104" ca="1">IFERROR(_FV(Tableau1[[#This Row],[Code Excel]],"Capitalisation boursière",TRUE),"")</f>
        <v>48424590000</v>
      </c>
      <c r="V104" s="4" t="str" cm="1">
        <f t="array" aca="1" ref="V104" ca="1">IFERROR(_FV(Tableau1[[#This Row],[Code Excel]],"Industrie"),"")</f>
        <v>Software &amp; IT Services</v>
      </c>
      <c r="W104" s="4" t="s">
        <v>4333</v>
      </c>
      <c r="X104" s="4" t="str">
        <f ca="1">Tableau1[[#This Row],[Grand Secteur]]&amp;Tableau1[[#This Row],[Industrie]]</f>
        <v>Logiciels et TechnologieSoftware &amp; IT Services</v>
      </c>
      <c r="Y104" s="23" cm="1">
        <f t="array" aca="1" ref="Y104" ca="1">IFERROR(_FV(Tableau1[[#This Row],[Code Excel]],"P/E",TRUE),"")</f>
        <v>39.545299999999997</v>
      </c>
      <c r="Z104" s="43" cm="1">
        <f t="array" aca="1" ref="Z104" ca="1">IFERROR(_FV(Tableau1[[#This Row],[Code Excel]],"Employés"),"")</f>
        <v>25000</v>
      </c>
      <c r="AA104" s="49">
        <f ca="1">IFERROR(Tableau1[[#This Row],[Capitalisation boursière]]/Tableau1[[#This Row],[Employés]],"")</f>
        <v>1936983.6</v>
      </c>
      <c r="AB104" s="5" t="str">
        <f>IFERROR(Tableau1[[#This Row],[REX (2021)]]/Tableau1[[#This Row],[CA 2024]],"")</f>
        <v/>
      </c>
      <c r="AC104" s="9" t="str">
        <f>IFERROR(_xlfn.XLOOKUP(Tableau1[[#This Row],[Isin]]&amp;1&amp;2021,#REF!,Tableau3[Résultat d''exploitation]),"")</f>
        <v/>
      </c>
      <c r="AD104" s="9" t="str">
        <f>IFERROR(_xlfn.XLOOKUP(Tableau1[[#This Row],[Isin]]&amp;1&amp;2019,#REF!,Tableau3[Chiffre d''affaires]),"")</f>
        <v/>
      </c>
      <c r="AE104" s="9" t="str">
        <f>IFERROR(_xlfn.XLOOKUP(Tableau1[[#This Row],[Isin]]&amp;1&amp;2024,#REF!,Tableau3[Chiffre d''affaires]),"")</f>
        <v/>
      </c>
      <c r="AF104" s="8" t="str">
        <f>IFERROR(IF((Tableau1[[#This Row],[CA 2024]]-Tableau1[[#This Row],[CA 2019]])/Tableau1[[#This Row],[CA 2019]]=-1,"",(Tableau1[[#This Row],[CA 2024]]-Tableau1[[#This Row],[CA 2019]])/Tableau1[[#This Row],[CA 2019]]),"")</f>
        <v/>
      </c>
      <c r="AG104" s="9" t="str">
        <f>IFERROR(_xlfn.XLOOKUP(Tableau1[[#This Row],[Isin]]&amp;1&amp;2021,#REF!,Tableau3[EBE]),"")</f>
        <v/>
      </c>
      <c r="AH104" s="9" t="str">
        <f>IFERROR(_xlfn.XLOOKUP(Tableau1[[#This Row],[Isin]]&amp;1&amp;2022,#REF!,Tableau3[EBE]),"")</f>
        <v/>
      </c>
      <c r="AI104" s="43" t="s">
        <v>4324</v>
      </c>
      <c r="AJ104" s="43" t="s">
        <v>4334</v>
      </c>
      <c r="AK104" s="43" t="s">
        <v>3148</v>
      </c>
      <c r="AL104" s="43" t="s">
        <v>3149</v>
      </c>
      <c r="AM104" s="43"/>
      <c r="AN104" s="9" t="str">
        <f>IFERROR(_xlfn.XLOOKUP(Tableau1[[#This Row],[Isin]]&amp;1&amp;2021,#REF!,Tableau3[Chiffre d''affaires]),"")</f>
        <v/>
      </c>
      <c r="AO104" s="43" cm="1">
        <f t="array" aca="1" ref="AO104" ca="1">_FV(Tableau1[[#This Row],[Code Excel]],"P/E",TRUE)</f>
        <v>39.545299999999997</v>
      </c>
      <c r="AP104" s="43" t="str">
        <f>IFERROR(_xlfn.XLOOKUP(Tableau1[[#This Row],[Isin]]&amp;1&amp;2023,#REF!,Tableau3[Résultat Net (PdG)]),"")</f>
        <v/>
      </c>
      <c r="AQ104" s="43">
        <f>IF(IFERROR(_xlfn.XLOOKUP(Tableau1[[#This Row],[Isin]]&amp;1&amp;2022,#REF!,Tableau3[Résultat Net (PdG)]),"")="",Tableau1[[#This Row],[RN Groupe 2022
Manuel]],IFERROR(_xlfn.XLOOKUP(Tableau1[[#This Row],[Isin]]&amp;1&amp;2022,#REF!,Tableau3[Résultat Net (PdG)]),""))</f>
        <v>0</v>
      </c>
      <c r="AR104" s="140"/>
      <c r="AS104" s="43">
        <f>IF(IFERROR(_xlfn.XLOOKUP(Tableau1[[#This Row],[Isin]]&amp;1&amp;2021,#REF!,Tableau3[Résultat Net (PdG)]),"")="",Tableau1[[#This Row],[RN Groupe 2021
Manuel]],IFERROR(_xlfn.XLOOKUP(Tableau1[[#This Row],[Isin]]&amp;1&amp;2021,#REF!,Tableau3[Résultat Net (PdG)]),""))</f>
        <v>0</v>
      </c>
      <c r="AT104" s="140"/>
      <c r="AU104" s="43" t="str">
        <f>IFERROR(_xlfn.XLOOKUP(Tableau1[[#This Row],[Isin]]&amp;1&amp;2020,#REF!,Tableau3[Résultat Net (PdG)]),"")</f>
        <v/>
      </c>
      <c r="AV104" s="43" t="str">
        <f>IFERROR(_xlfn.XLOOKUP(Tableau1[[#This Row],[Isin]]&amp;1&amp;2019,#REF!,Tableau3[Résultat Net (PdG)]),"")</f>
        <v/>
      </c>
      <c r="AW104" s="43" t="str">
        <f>IFERROR(_xlfn.XLOOKUP(Tableau1[[#This Row],[Isin]]&amp;1&amp;2018,#REF!,Tableau3[Résultat Net (PdG)]),"")</f>
        <v/>
      </c>
      <c r="AX104" s="43" t="str">
        <f>IFERROR(_xlfn.XLOOKUP(Tableau1[[#This Row],[Isin]]&amp;1&amp;2017,#REF!,Tableau3[Résultat Net (PdG)]),"")</f>
        <v/>
      </c>
      <c r="AY104" s="43" t="str">
        <f>IFERROR(_xlfn.XLOOKUP(Tableau1[[#This Row],[Isin]]&amp;1&amp;2016,#REF!,Tableau3[Résultat Net (PdG)]),"")</f>
        <v/>
      </c>
      <c r="AZ104" s="137" t="str">
        <f ca="1">IFERROR(Tableau1[[#This Row],[Capitalisation boursière]]/Tableau1[[#This Row],[RN Groupe 2023]],"")</f>
        <v/>
      </c>
      <c r="BA104" s="4" t="str" cm="1">
        <f t="array" aca="1" ref="BA104" ca="1">IFERROR(_FV(Tableau1[[#This Row],[Code Excel]],"Industrie"),"")</f>
        <v>Software &amp; IT Services</v>
      </c>
      <c r="BB104" s="43" t="s">
        <v>3518</v>
      </c>
      <c r="BC104" s="43" t="str">
        <f>IFERROR(_xlfn.XLOOKUP(Tableau1[[#This Row],[Isin]]&amp;1&amp;2016,#REF!,Tableau3[Capi]),"")</f>
        <v/>
      </c>
      <c r="BD104" s="43" t="str">
        <f>IFERROR(_xlfn.XLOOKUP(Tableau1[[#This Row],[Isin]]&amp;1&amp;2017,#REF!,Tableau3[Capi]),"")</f>
        <v/>
      </c>
      <c r="BE104" s="43" t="str">
        <f>IFERROR(_xlfn.XLOOKUP(Tableau1[[#This Row],[Isin]]&amp;1&amp;2018,#REF!,Tableau3[Capi]),"")</f>
        <v/>
      </c>
      <c r="BF104" s="43" t="str">
        <f>IFERROR(_xlfn.XLOOKUP(Tableau1[[#This Row],[Isin]]&amp;1&amp;2019,#REF!,Tableau3[Capi]),"")</f>
        <v/>
      </c>
      <c r="BG104" s="43" t="str">
        <f>IFERROR(_xlfn.XLOOKUP(Tableau1[[#This Row],[Isin]]&amp;1&amp;2020,#REF!,Tableau3[Capi]),"")</f>
        <v/>
      </c>
      <c r="BH104" s="43">
        <f>IF(IFERROR(_xlfn.XLOOKUP(Tableau1[[#This Row],[Isin]]&amp;1&amp;2021,#REF!,Tableau3[Capi]),"")="",Tableau1[[#This Row],[Capitalisation 2021
Manuel]],IFERROR(_xlfn.XLOOKUP(Tableau1[[#This Row],[Isin]]&amp;1&amp;2021,#REF!,Tableau3[Capi]),""))</f>
        <v>0</v>
      </c>
      <c r="BI104" s="142"/>
      <c r="BJ104" s="141">
        <f>IF(IFERROR(_xlfn.XLOOKUP(Tableau1[[#This Row],[Isin]]&amp;1&amp;2022,#REF!,Tableau3[Capi]),"")="",Tableau1[[#This Row],[Capitalisation 2022
Manuel]],IFERROR(_xlfn.XLOOKUP(Tableau1[[#This Row],[Isin]]&amp;1&amp;2022,#REF!,Tableau3[Capi]),""))</f>
        <v>0</v>
      </c>
      <c r="BK104" s="142"/>
      <c r="BL104" s="43">
        <f ca="1">Tableau1[[#This Row],[Capitalisation boursière]]</f>
        <v>48424590000</v>
      </c>
      <c r="BM104" s="162" t="str" cm="1">
        <f t="array" aca="1" ref="BM104" ca="1">_FV(Tableau1[[#This Row],[Code Excel]],"Description")</f>
        <v>Dassault systèmes se est une société française de logiciels qui propose différents types de solutions tridimensionnelles (3D). Son produit, 3DEXPERIENCE, est une plate-forme d'expérience métier structurée en quatre quadrants regroupant douze marques : applications sociales et collaboratives (dont ENOVIA, 3DEXCITE, CENTRIC PLM), applications de modélisation 3D (dont SOLIDWORKS, CATIA, GEOVIA, BIOVIA), applications de simulation (dont 3DVIA, DELMIA, SIMULIA) et applications de renseignement (dont NETVIBES, EXALEAD, MEDIADATA). La structure de la société est divisée en trois secteurs : industries manufacturières (transport et mobilité ; aérospatiale et défense ; Marine et Offshore ; équipement industriel ; haute technologie; maison et mode de vie ; biens de consommation emballés et vente au détail) Sciences de la vie et soins de santé (Sciences de la vie) - (Sciences de la vie) infrastructures et villes (énergie et matériaux ; construction, villes et territoires ; services aux entreprises).</v>
      </c>
      <c r="BN104" s="43"/>
      <c r="BO104" s="43"/>
      <c r="BP104" s="43"/>
      <c r="BQ104" s="43"/>
      <c r="BR104" s="4"/>
      <c r="BS104" s="21"/>
      <c r="BT104" s="13"/>
      <c r="BU104" s="13"/>
      <c r="BV104" s="13"/>
      <c r="BW104" s="13"/>
      <c r="BX104" s="13"/>
      <c r="BY104" s="3"/>
      <c r="BZ104" s="58"/>
      <c r="CA104" s="59"/>
    </row>
    <row r="105" spans="3:79">
      <c r="C105" s="42"/>
      <c r="D105" s="42">
        <f>IF(Tableau1[[#This Row],[Isin]]="",99,Tableau1[[#This Row],[Intérêt]]+Tableau1[[#This Row],[Valeur d''intérêt]]+Tableau1[[#This Row],[N° Portefeuille]])</f>
        <v>20</v>
      </c>
      <c r="E105" s="42"/>
      <c r="F105" s="42">
        <f>IF(Tableau1[[#This Row],[Portefeuille]]="p",0,Tableau1[[#This Row],[F. Investissement
Niveau d''intérêt]]*10)</f>
        <v>20</v>
      </c>
      <c r="G105" s="42">
        <f>IF(Tableau1[[#This Row],[Portefeuille]]="p",3,0)</f>
        <v>0</v>
      </c>
      <c r="H105" s="42">
        <v>2</v>
      </c>
      <c r="I105" s="42">
        <v>2</v>
      </c>
      <c r="J105" s="42"/>
      <c r="K105" s="43"/>
      <c r="L105" s="16">
        <v>1</v>
      </c>
      <c r="M10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5" s="44" t="s">
        <v>3241</v>
      </c>
      <c r="O105" s="44" t="s">
        <v>4385</v>
      </c>
      <c r="P105" s="4" t="s">
        <v>382</v>
      </c>
      <c r="Q105" s="6" t="s">
        <v>803</v>
      </c>
      <c r="R105" s="6"/>
      <c r="S105" s="6" t="s">
        <v>805</v>
      </c>
      <c r="T105" s="6" t="e" vm="93">
        <v>#VALUE!</v>
      </c>
      <c r="U105" s="51" cm="1">
        <f t="array" aca="1" ref="U105" ca="1">IFERROR(_FV(Tableau1[[#This Row],[Code Excel]],"Capitalisation boursière",TRUE),"")</f>
        <v>33433200560</v>
      </c>
      <c r="V105" s="4" t="str" cm="1">
        <f t="array" aca="1" ref="V105" ca="1">IFERROR(_FV(Tableau1[[#This Row],[Code Excel]],"Industrie"),"")</f>
        <v>Software &amp; IT Services</v>
      </c>
      <c r="W105" s="4" t="s">
        <v>4333</v>
      </c>
      <c r="X105" s="4" t="str">
        <f ca="1">Tableau1[[#This Row],[Grand Secteur]]&amp;Tableau1[[#This Row],[Industrie]]</f>
        <v>Logiciels et TechnologieSoftware &amp; IT Services</v>
      </c>
      <c r="Y105" s="23" cm="1">
        <f t="array" aca="1" ref="Y105" ca="1">IFERROR(_FV(Tableau1[[#This Row],[Code Excel]],"P/E",TRUE),"")</f>
        <v>188.0856</v>
      </c>
      <c r="Z105" s="43" cm="1">
        <f t="array" aca="1" ref="Z105" ca="1">IFERROR(_FV(Tableau1[[#This Row],[Code Excel]],"Employés"),"")</f>
        <v>6500</v>
      </c>
      <c r="AA105" s="49">
        <f ca="1">IFERROR(Tableau1[[#This Row],[Capitalisation boursière]]/Tableau1[[#This Row],[Employés]],"")</f>
        <v>5143569.3169230772</v>
      </c>
      <c r="AB105" s="5" t="str">
        <f>IFERROR(Tableau1[[#This Row],[REX (2021)]]/Tableau1[[#This Row],[CA 2024]],"")</f>
        <v/>
      </c>
      <c r="AC105" s="9" t="str">
        <f>IFERROR(_xlfn.XLOOKUP(Tableau1[[#This Row],[Isin]]&amp;1&amp;2021,#REF!,Tableau3[Résultat d''exploitation]),"")</f>
        <v/>
      </c>
      <c r="AD105" s="9" t="str">
        <f>IFERROR(_xlfn.XLOOKUP(Tableau1[[#This Row],[Isin]]&amp;1&amp;2019,#REF!,Tableau3[Chiffre d''affaires]),"")</f>
        <v/>
      </c>
      <c r="AE105" s="9" t="str">
        <f>IFERROR(_xlfn.XLOOKUP(Tableau1[[#This Row],[Isin]]&amp;1&amp;2024,#REF!,Tableau3[Chiffre d''affaires]),"")</f>
        <v/>
      </c>
      <c r="AF105" s="8" t="str">
        <f>IFERROR(IF((Tableau1[[#This Row],[CA 2024]]-Tableau1[[#This Row],[CA 2019]])/Tableau1[[#This Row],[CA 2019]]=-1,"",(Tableau1[[#This Row],[CA 2024]]-Tableau1[[#This Row],[CA 2019]])/Tableau1[[#This Row],[CA 2019]]),"")</f>
        <v/>
      </c>
      <c r="AG105" s="9" t="str">
        <f>IFERROR(_xlfn.XLOOKUP(Tableau1[[#This Row],[Isin]]&amp;1&amp;2021,#REF!,Tableau3[EBE]),"")</f>
        <v/>
      </c>
      <c r="AH105" s="9" t="str">
        <f>IFERROR(_xlfn.XLOOKUP(Tableau1[[#This Row],[Isin]]&amp;1&amp;2022,#REF!,Tableau3[EBE]),"")</f>
        <v/>
      </c>
      <c r="AI105" s="43" t="s">
        <v>4324</v>
      </c>
      <c r="AJ105" s="43" t="s">
        <v>4334</v>
      </c>
      <c r="AK105" s="43" t="s">
        <v>3148</v>
      </c>
      <c r="AL105" s="43" t="s">
        <v>3431</v>
      </c>
      <c r="AM105" s="43"/>
      <c r="AN105" s="9" t="str">
        <f>IFERROR(_xlfn.XLOOKUP(Tableau1[[#This Row],[Isin]]&amp;1&amp;2021,#REF!,Tableau3[Chiffre d''affaires]),"")</f>
        <v/>
      </c>
      <c r="AO105" s="43" cm="1">
        <f t="array" aca="1" ref="AO105" ca="1">_FV(Tableau1[[#This Row],[Code Excel]],"P/E",TRUE)</f>
        <v>188.0856</v>
      </c>
      <c r="AP105" s="43" t="str">
        <f>IFERROR(_xlfn.XLOOKUP(Tableau1[[#This Row],[Isin]]&amp;1&amp;2023,#REF!,Tableau3[Résultat Net (PdG)]),"")</f>
        <v/>
      </c>
      <c r="AQ105" s="43">
        <f>IF(IFERROR(_xlfn.XLOOKUP(Tableau1[[#This Row],[Isin]]&amp;1&amp;2022,#REF!,Tableau3[Résultat Net (PdG)]),"")="",Tableau1[[#This Row],[RN Groupe 2022
Manuel]],IFERROR(_xlfn.XLOOKUP(Tableau1[[#This Row],[Isin]]&amp;1&amp;2022,#REF!,Tableau3[Résultat Net (PdG)]),""))</f>
        <v>0</v>
      </c>
      <c r="AR105" s="43"/>
      <c r="AS105" s="43">
        <f>IF(IFERROR(_xlfn.XLOOKUP(Tableau1[[#This Row],[Isin]]&amp;1&amp;2021,#REF!,Tableau3[Résultat Net (PdG)]),"")="",Tableau1[[#This Row],[RN Groupe 2021
Manuel]],IFERROR(_xlfn.XLOOKUP(Tableau1[[#This Row],[Isin]]&amp;1&amp;2021,#REF!,Tableau3[Résultat Net (PdG)]),""))</f>
        <v>0</v>
      </c>
      <c r="AT105" s="43"/>
      <c r="AU105" s="43" t="str">
        <f>IFERROR(_xlfn.XLOOKUP(Tableau1[[#This Row],[Isin]]&amp;1&amp;2020,#REF!,Tableau3[Résultat Net (PdG)]),"")</f>
        <v/>
      </c>
      <c r="AV105" s="43" t="str">
        <f>IFERROR(_xlfn.XLOOKUP(Tableau1[[#This Row],[Isin]]&amp;1&amp;2019,#REF!,Tableau3[Résultat Net (PdG)]),"")</f>
        <v/>
      </c>
      <c r="AW105" s="43" t="str">
        <f>IFERROR(_xlfn.XLOOKUP(Tableau1[[#This Row],[Isin]]&amp;1&amp;2018,#REF!,Tableau3[Résultat Net (PdG)]),"")</f>
        <v/>
      </c>
      <c r="AX105" s="43" t="str">
        <f>IFERROR(_xlfn.XLOOKUP(Tableau1[[#This Row],[Isin]]&amp;1&amp;2017,#REF!,Tableau3[Résultat Net (PdG)]),"")</f>
        <v/>
      </c>
      <c r="AY105" s="43" t="str">
        <f>IFERROR(_xlfn.XLOOKUP(Tableau1[[#This Row],[Isin]]&amp;1&amp;2016,#REF!,Tableau3[Résultat Net (PdG)]),"")</f>
        <v/>
      </c>
      <c r="AZ105" s="137" t="str">
        <f ca="1">IFERROR(Tableau1[[#This Row],[Capitalisation boursière]]/Tableau1[[#This Row],[RN Groupe 2023]],"")</f>
        <v/>
      </c>
      <c r="BA105" s="4" t="str" cm="1">
        <f t="array" aca="1" ref="BA105" ca="1">IFERROR(_FV(Tableau1[[#This Row],[Code Excel]],"Industrie"),"")</f>
        <v>Software &amp; IT Services</v>
      </c>
      <c r="BB105" s="43" t="e">
        <v>#N/A</v>
      </c>
      <c r="BC105" s="43" t="str">
        <f>IFERROR(_xlfn.XLOOKUP(Tableau1[[#This Row],[Isin]]&amp;1&amp;2016,#REF!,Tableau3[Capi]),"")</f>
        <v/>
      </c>
      <c r="BD105" s="43" t="str">
        <f>IFERROR(_xlfn.XLOOKUP(Tableau1[[#This Row],[Isin]]&amp;1&amp;2017,#REF!,Tableau3[Capi]),"")</f>
        <v/>
      </c>
      <c r="BE105" s="43" t="str">
        <f>IFERROR(_xlfn.XLOOKUP(Tableau1[[#This Row],[Isin]]&amp;1&amp;2018,#REF!,Tableau3[Capi]),"")</f>
        <v/>
      </c>
      <c r="BF105" s="43" t="str">
        <f>IFERROR(_xlfn.XLOOKUP(Tableau1[[#This Row],[Isin]]&amp;1&amp;2019,#REF!,Tableau3[Capi]),"")</f>
        <v/>
      </c>
      <c r="BG105" s="43" t="str">
        <f>IFERROR(_xlfn.XLOOKUP(Tableau1[[#This Row],[Isin]]&amp;1&amp;2020,#REF!,Tableau3[Capi]),"")</f>
        <v/>
      </c>
      <c r="BH105" s="43">
        <f>IF(IFERROR(_xlfn.XLOOKUP(Tableau1[[#This Row],[Isin]]&amp;1&amp;2021,#REF!,Tableau3[Capi]),"")="",Tableau1[[#This Row],[Capitalisation 2021
Manuel]],IFERROR(_xlfn.XLOOKUP(Tableau1[[#This Row],[Isin]]&amp;1&amp;2021,#REF!,Tableau3[Capi]),""))</f>
        <v>0</v>
      </c>
      <c r="BI105" s="43"/>
      <c r="BJ105" s="43">
        <f>IF(IFERROR(_xlfn.XLOOKUP(Tableau1[[#This Row],[Isin]]&amp;1&amp;2022,#REF!,Tableau3[Capi]),"")="",Tableau1[[#This Row],[Capitalisation 2022
Manuel]],IFERROR(_xlfn.XLOOKUP(Tableau1[[#This Row],[Isin]]&amp;1&amp;2022,#REF!,Tableau3[Capi]),""))</f>
        <v>0</v>
      </c>
      <c r="BK105" s="43"/>
      <c r="BL105" s="43">
        <f ca="1">Tableau1[[#This Row],[Capitalisation boursière]]</f>
        <v>33433200560</v>
      </c>
      <c r="BM105" s="162" t="str" cm="1">
        <f t="array" aca="1" ref="BM105" ca="1">_FV(Tableau1[[#This Row],[Code Excel]],"Description")</f>
        <v>Datadog, Inc. est la plateforme d'observabilité et de sécurité pour les applications cloud. La plate-forme SaaS (Software as a Service) de l'entreprise intègre et automatise la surveillance de l'infrastructure, la surveillance des performances des applications, la gestion des journaux, la surveillance des utilisateurs réels et diverses autres fonctionnalités afin de fournir une observabilité et une sécurité unifiées et en temps réel à l'ensemble de la pile technologique de ses clients. Sa plate-forme est composée de produits pouvant être utilisés individuellement ou en tant que solution unifiée et comprend une place de marché où les clients peuvent accéder aux produits construits par ses partenaires sur la plate-forme Datadog. Les produits de la société comprennent la surveillance de l'infrastructure, la surveillance des performances applicatives (APM), la gestion des journaux, la surveillance de l'expérience numérique, le profileur continu, la surveillance des bases de données, surveillance du réseau, gestion des incidents, pipelines d'observabilité, gestion des coûts du cloud, surveillance du service universel, gestion de la sécurité dans le cloud, gestion de la sécurité des applications, visibilité ci et autres.</v>
      </c>
      <c r="BN105" s="43"/>
      <c r="BO105" s="43"/>
      <c r="BP105" s="43"/>
      <c r="BQ105" s="43"/>
      <c r="BR105" s="4"/>
      <c r="BS105" s="21"/>
      <c r="BT105" s="13"/>
      <c r="BU105" s="13"/>
      <c r="BV105" s="13"/>
      <c r="BW105" s="13"/>
      <c r="BX105" s="13"/>
      <c r="BY105" s="3"/>
      <c r="BZ105" s="58"/>
      <c r="CA105" s="59"/>
    </row>
    <row r="106" spans="3:79">
      <c r="C106" s="43"/>
      <c r="D106" s="42">
        <f>IF(Tableau1[[#This Row],[Isin]]="",99,Tableau1[[#This Row],[Intérêt]]+Tableau1[[#This Row],[Valeur d''intérêt]]+Tableau1[[#This Row],[N° Portefeuille]])</f>
        <v>20</v>
      </c>
      <c r="E106" s="43"/>
      <c r="F106" s="42">
        <f>IF(Tableau1[[#This Row],[Portefeuille]]="p",0,Tableau1[[#This Row],[F. Investissement
Niveau d''intérêt]]*10)</f>
        <v>20</v>
      </c>
      <c r="G106" s="43">
        <f>IF(Tableau1[[#This Row],[Portefeuille]]="p",3,0)</f>
        <v>0</v>
      </c>
      <c r="H106" s="43">
        <v>2</v>
      </c>
      <c r="I106" s="43">
        <v>1</v>
      </c>
      <c r="J106" s="43"/>
      <c r="K106" s="43"/>
      <c r="L106" s="16">
        <v>1</v>
      </c>
      <c r="M10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6" s="44" t="s">
        <v>3733</v>
      </c>
      <c r="O106" s="44" t="s">
        <v>4386</v>
      </c>
      <c r="P106" s="4" t="s">
        <v>382</v>
      </c>
      <c r="Q106" s="6" t="s">
        <v>383</v>
      </c>
      <c r="R106" s="6"/>
      <c r="S106" s="6" t="s">
        <v>1902</v>
      </c>
      <c r="T106" s="6" t="e" vm="94">
        <v>#VALUE!</v>
      </c>
      <c r="U106" s="51" cm="1">
        <f t="array" aca="1" ref="U106" ca="1">IFERROR(_FV(Tableau1[[#This Row],[Code Excel]],"Capitalisation boursière",TRUE),"")</f>
        <v>126291600000</v>
      </c>
      <c r="V106" s="4" t="str" cm="1">
        <f t="array" aca="1" ref="V106" ca="1">IFERROR(_FV(Tableau1[[#This Row],[Code Excel]],"Industrie"),"")</f>
        <v>Machinery, Equipment &amp; Components</v>
      </c>
      <c r="W106" s="4" t="s">
        <v>4380</v>
      </c>
      <c r="X106" s="4" t="str">
        <f ca="1">Tableau1[[#This Row],[Grand Secteur]]&amp;Tableau1[[#This Row],[Industrie]]</f>
        <v>MachinesMachinery, Equipment &amp; Components</v>
      </c>
      <c r="Y106" s="23" cm="1">
        <f t="array" aca="1" ref="Y106" ca="1">IFERROR(_FV(Tableau1[[#This Row],[Code Excel]],"P/E",TRUE),"")</f>
        <v>20.555099999999999</v>
      </c>
      <c r="Z106" s="43" cm="1">
        <f t="array" aca="1" ref="Z106" ca="1">IFERROR(_FV(Tableau1[[#This Row],[Code Excel]],"Employés"),"")</f>
        <v>75800</v>
      </c>
      <c r="AA106" s="49">
        <f ca="1">IFERROR(Tableau1[[#This Row],[Capitalisation boursière]]/Tableau1[[#This Row],[Employés]],"")</f>
        <v>1666116.0949868073</v>
      </c>
      <c r="AB106" s="5" t="str">
        <f>IFERROR(Tableau1[[#This Row],[REX (2021)]]/Tableau1[[#This Row],[CA 2024]],"")</f>
        <v/>
      </c>
      <c r="AC106" s="9" t="str">
        <f>IFERROR(_xlfn.XLOOKUP(Tableau1[[#This Row],[Isin]]&amp;1&amp;2021,#REF!,Tableau3[Résultat d''exploitation]),"")</f>
        <v/>
      </c>
      <c r="AD106" s="9" t="str">
        <f>IFERROR(_xlfn.XLOOKUP(Tableau1[[#This Row],[Isin]]&amp;1&amp;2019,#REF!,Tableau3[Chiffre d''affaires]),"")</f>
        <v/>
      </c>
      <c r="AE106" s="9" t="str">
        <f>IFERROR(_xlfn.XLOOKUP(Tableau1[[#This Row],[Isin]]&amp;1&amp;2024,#REF!,Tableau3[Chiffre d''affaires]),"")</f>
        <v/>
      </c>
      <c r="AF106" s="8" t="str">
        <f>IFERROR(IF((Tableau1[[#This Row],[CA 2024]]-Tableau1[[#This Row],[CA 2019]])/Tableau1[[#This Row],[CA 2019]]=-1,"",(Tableau1[[#This Row],[CA 2024]]-Tableau1[[#This Row],[CA 2019]])/Tableau1[[#This Row],[CA 2019]]),"")</f>
        <v/>
      </c>
      <c r="AG106" s="9" t="str">
        <f>IFERROR(_xlfn.XLOOKUP(Tableau1[[#This Row],[Isin]]&amp;1&amp;2021,#REF!,Tableau3[EBE]),"")</f>
        <v/>
      </c>
      <c r="AH106" s="9" t="str">
        <f>IFERROR(_xlfn.XLOOKUP(Tableau1[[#This Row],[Isin]]&amp;1&amp;2022,#REF!,Tableau3[EBE]),"")</f>
        <v/>
      </c>
      <c r="AI106" s="43" t="s">
        <v>4329</v>
      </c>
      <c r="AJ106" s="43" t="s">
        <v>4322</v>
      </c>
      <c r="AK106" s="43" t="s">
        <v>3431</v>
      </c>
      <c r="AL106" s="43" t="s">
        <v>3148</v>
      </c>
      <c r="AM106" s="43"/>
      <c r="AN106" s="9" t="str">
        <f>IFERROR(_xlfn.XLOOKUP(Tableau1[[#This Row],[Isin]]&amp;1&amp;2021,#REF!,Tableau3[Chiffre d''affaires]),"")</f>
        <v/>
      </c>
      <c r="AO106" s="43" cm="1">
        <f t="array" aca="1" ref="AO106" ca="1">_FV(Tableau1[[#This Row],[Code Excel]],"P/E",TRUE)</f>
        <v>20.555099999999999</v>
      </c>
      <c r="AP106" s="43" t="str">
        <f>IFERROR(_xlfn.XLOOKUP(Tableau1[[#This Row],[Isin]]&amp;1&amp;2023,#REF!,Tableau3[Résultat Net (PdG)]),"")</f>
        <v/>
      </c>
      <c r="AQ106" s="43">
        <f>IF(IFERROR(_xlfn.XLOOKUP(Tableau1[[#This Row],[Isin]]&amp;1&amp;2022,#REF!,Tableau3[Résultat Net (PdG)]),"")="",Tableau1[[#This Row],[RN Groupe 2022
Manuel]],IFERROR(_xlfn.XLOOKUP(Tableau1[[#This Row],[Isin]]&amp;1&amp;2022,#REF!,Tableau3[Résultat Net (PdG)]),""))</f>
        <v>0</v>
      </c>
      <c r="AR106" s="43"/>
      <c r="AS106" s="43">
        <f>IF(IFERROR(_xlfn.XLOOKUP(Tableau1[[#This Row],[Isin]]&amp;1&amp;2021,#REF!,Tableau3[Résultat Net (PdG)]),"")="",Tableau1[[#This Row],[RN Groupe 2021
Manuel]],IFERROR(_xlfn.XLOOKUP(Tableau1[[#This Row],[Isin]]&amp;1&amp;2021,#REF!,Tableau3[Résultat Net (PdG)]),""))</f>
        <v>0</v>
      </c>
      <c r="AT106" s="43"/>
      <c r="AU106" s="43" t="str">
        <f>IFERROR(_xlfn.XLOOKUP(Tableau1[[#This Row],[Isin]]&amp;1&amp;2020,#REF!,Tableau3[Résultat Net (PdG)]),"")</f>
        <v/>
      </c>
      <c r="AV106" s="43" t="str">
        <f>IFERROR(_xlfn.XLOOKUP(Tableau1[[#This Row],[Isin]]&amp;1&amp;2019,#REF!,Tableau3[Résultat Net (PdG)]),"")</f>
        <v/>
      </c>
      <c r="AW106" s="43" t="str">
        <f>IFERROR(_xlfn.XLOOKUP(Tableau1[[#This Row],[Isin]]&amp;1&amp;2018,#REF!,Tableau3[Résultat Net (PdG)]),"")</f>
        <v/>
      </c>
      <c r="AX106" s="43" t="str">
        <f>IFERROR(_xlfn.XLOOKUP(Tableau1[[#This Row],[Isin]]&amp;1&amp;2017,#REF!,Tableau3[Résultat Net (PdG)]),"")</f>
        <v/>
      </c>
      <c r="AY106" s="43" t="str">
        <f>IFERROR(_xlfn.XLOOKUP(Tableau1[[#This Row],[Isin]]&amp;1&amp;2016,#REF!,Tableau3[Résultat Net (PdG)]),"")</f>
        <v/>
      </c>
      <c r="AZ106" s="137" t="str">
        <f ca="1">IFERROR(Tableau1[[#This Row],[Capitalisation boursière]]/Tableau1[[#This Row],[RN Groupe 2023]],"")</f>
        <v/>
      </c>
      <c r="BA106" s="4" t="str" cm="1">
        <f t="array" aca="1" ref="BA106" ca="1">IFERROR(_FV(Tableau1[[#This Row],[Code Excel]],"Industrie"),"")</f>
        <v>Machinery, Equipment &amp; Components</v>
      </c>
      <c r="BB106" s="43" t="s">
        <v>3474</v>
      </c>
      <c r="BC106" s="43" t="str">
        <f>IFERROR(_xlfn.XLOOKUP(Tableau1[[#This Row],[Isin]]&amp;1&amp;2016,#REF!,Tableau3[Capi]),"")</f>
        <v/>
      </c>
      <c r="BD106" s="43" t="str">
        <f>IFERROR(_xlfn.XLOOKUP(Tableau1[[#This Row],[Isin]]&amp;1&amp;2017,#REF!,Tableau3[Capi]),"")</f>
        <v/>
      </c>
      <c r="BE106" s="43" t="str">
        <f>IFERROR(_xlfn.XLOOKUP(Tableau1[[#This Row],[Isin]]&amp;1&amp;2018,#REF!,Tableau3[Capi]),"")</f>
        <v/>
      </c>
      <c r="BF106" s="43" t="str">
        <f>IFERROR(_xlfn.XLOOKUP(Tableau1[[#This Row],[Isin]]&amp;1&amp;2019,#REF!,Tableau3[Capi]),"")</f>
        <v/>
      </c>
      <c r="BG106" s="43" t="str">
        <f>IFERROR(_xlfn.XLOOKUP(Tableau1[[#This Row],[Isin]]&amp;1&amp;2020,#REF!,Tableau3[Capi]),"")</f>
        <v/>
      </c>
      <c r="BH106" s="43">
        <f>IF(IFERROR(_xlfn.XLOOKUP(Tableau1[[#This Row],[Isin]]&amp;1&amp;2021,#REF!,Tableau3[Capi]),"")="",Tableau1[[#This Row],[Capitalisation 2021
Manuel]],IFERROR(_xlfn.XLOOKUP(Tableau1[[#This Row],[Isin]]&amp;1&amp;2021,#REF!,Tableau3[Capi]),""))</f>
        <v>0</v>
      </c>
      <c r="BI106" s="43"/>
      <c r="BJ106" s="43">
        <f>IF(IFERROR(_xlfn.XLOOKUP(Tableau1[[#This Row],[Isin]]&amp;1&amp;2022,#REF!,Tableau3[Capi]),"")="",Tableau1[[#This Row],[Capitalisation 2022
Manuel]],IFERROR(_xlfn.XLOOKUP(Tableau1[[#This Row],[Isin]]&amp;1&amp;2022,#REF!,Tableau3[Capi]),""))</f>
        <v>0</v>
      </c>
      <c r="BK106" s="43"/>
      <c r="BL106" s="43">
        <f ca="1">Tableau1[[#This Row],[Capitalisation boursière]]</f>
        <v>126291600000</v>
      </c>
      <c r="BM106" s="162" t="str" cm="1">
        <f t="array" aca="1" ref="BM106" ca="1">_FV(Tableau1[[#This Row],[Code Excel]],"Description")</f>
        <v>Deere &amp; Company est engagée dans la livraison de matériel agricole, de construction et forestier. La Société définit, développe et fournit des solutions globales d'équipement et de technologie. Ses segments comprennent la production et l'agriculture de précision (APP), la petite agriculture et le gazon (SAT), la construction et la foresterie (CF) et les services financiers (FS). Le segment PPA fournit des solutions pour les producteurs à grande échelle de production de gros grains, de petits grains, de coton et de canne à sucre. SAT segment fournit des solutions pour les producteurs laitiers et de bétail, les producteurs de cultures à forte valeur ajoutée et les clients de gazon et de services publics. CF segment propose une gamme de machines et de solutions technologiques organisées le long des systèmes de production de terrassement, de foresterie et de construction routière. Le secteur FS finance les ventes et les locations par les concessionnaires John Deere de matériel de production et d'agriculture de précision neuf et d'occasion, de matériel SAT et de matériel de construction et forestier. Ses produits technologiques incluent le tracteur John Deere Autonomous 8R et la pelle rétro E-Power.</v>
      </c>
      <c r="BN106" s="43"/>
      <c r="BO106" s="43"/>
      <c r="BP106" s="43"/>
      <c r="BQ106" s="43"/>
      <c r="BR106" s="4"/>
      <c r="BS106" s="21"/>
      <c r="BT106" s="13"/>
      <c r="BU106" s="13"/>
      <c r="BV106" s="13"/>
      <c r="BW106" s="13"/>
      <c r="BX106" s="13"/>
      <c r="BY106" s="3"/>
      <c r="BZ106" s="58"/>
      <c r="CA106" s="59"/>
    </row>
    <row r="107" spans="3:79">
      <c r="C107" s="42"/>
      <c r="D107" s="42">
        <f>IF(Tableau1[[#This Row],[Isin]]="",99,Tableau1[[#This Row],[Intérêt]]+Tableau1[[#This Row],[Valeur d''intérêt]]+Tableau1[[#This Row],[N° Portefeuille]])</f>
        <v>30</v>
      </c>
      <c r="E107" s="42"/>
      <c r="F107" s="42">
        <f>IF(Tableau1[[#This Row],[Portefeuille]]="p",0,Tableau1[[#This Row],[F. Investissement
Niveau d''intérêt]]*10)</f>
        <v>30</v>
      </c>
      <c r="G107" s="42">
        <f>IF(Tableau1[[#This Row],[Portefeuille]]="p",3,0)</f>
        <v>0</v>
      </c>
      <c r="H107" s="42">
        <v>3</v>
      </c>
      <c r="I107" s="42">
        <v>4</v>
      </c>
      <c r="J107" s="42"/>
      <c r="K107" s="43"/>
      <c r="L107" s="16">
        <v>0</v>
      </c>
      <c r="M10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7" s="44" t="s">
        <v>3735</v>
      </c>
      <c r="O107" s="45"/>
      <c r="P107" s="4" t="s">
        <v>564</v>
      </c>
      <c r="Q107" s="4"/>
      <c r="R107" s="6"/>
      <c r="S107" s="6" t="s">
        <v>3736</v>
      </c>
      <c r="T107" s="6" t="e" vm="95">
        <v>#VALUE!</v>
      </c>
      <c r="U107" s="46" cm="1">
        <f t="array" aca="1" ref="U107" ca="1">IFERROR(_FV(Tableau1[[#This Row],[Code Excel]],"Capitalisation boursière",TRUE),"")</f>
        <v>6633590000</v>
      </c>
      <c r="V107" s="4" t="str" cm="1">
        <f t="array" aca="1" ref="V107" ca="1">IFERROR(_FV(Tableau1[[#This Row],[Code Excel]],"Industrie"),"")</f>
        <v>Software &amp; IT Services</v>
      </c>
      <c r="W107" s="4" t="s">
        <v>4333</v>
      </c>
      <c r="X107" s="4" t="str">
        <f ca="1">Tableau1[[#This Row],[Grand Secteur]]&amp;Tableau1[[#This Row],[Industrie]]</f>
        <v>Logiciels et TechnologieSoftware &amp; IT Services</v>
      </c>
      <c r="Y107" s="23" t="str" cm="1">
        <f t="array" ref="Y107">IFERROR(_FV(Tableau1[[#This Row],[Code Excel]],"P/E",TRUE),"")</f>
        <v/>
      </c>
      <c r="Z107" s="43" cm="1">
        <f t="array" aca="1" ref="Z107" ca="1">IFERROR(_FV(Tableau1[[#This Row],[Code Excel]],"Employés"),"")</f>
        <v>43292</v>
      </c>
      <c r="AA107" s="49">
        <f ca="1">IFERROR(Tableau1[[#This Row],[Capitalisation boursière]]/Tableau1[[#This Row],[Employés]],"")</f>
        <v>153229.00304906219</v>
      </c>
      <c r="AB107" s="5" t="str">
        <f>IFERROR(Tableau1[[#This Row],[REX (2021)]]/Tableau1[[#This Row],[CA 2024]],"")</f>
        <v/>
      </c>
      <c r="AC107" s="9" t="str">
        <f>IFERROR(_xlfn.XLOOKUP(Tableau1[[#This Row],[Isin]]&amp;1&amp;2021,#REF!,Tableau3[Résultat d''exploitation]),"")</f>
        <v/>
      </c>
      <c r="AD107" s="9" t="str">
        <f>IFERROR(_xlfn.XLOOKUP(Tableau1[[#This Row],[Isin]]&amp;1&amp;2019,#REF!,Tableau3[Chiffre d''affaires]),"")</f>
        <v/>
      </c>
      <c r="AE107" s="9" t="str">
        <f>IFERROR(_xlfn.XLOOKUP(Tableau1[[#This Row],[Isin]]&amp;1&amp;2024,#REF!,Tableau3[Chiffre d''affaires]),"")</f>
        <v/>
      </c>
      <c r="AF107" s="8" t="str">
        <f>IFERROR(IF((Tableau1[[#This Row],[CA 2024]]-Tableau1[[#This Row],[CA 2019]])/Tableau1[[#This Row],[CA 2019]]=-1,"",(Tableau1[[#This Row],[CA 2024]]-Tableau1[[#This Row],[CA 2019]])/Tableau1[[#This Row],[CA 2019]]),"")</f>
        <v/>
      </c>
      <c r="AG107" s="9" t="str">
        <f>IFERROR(_xlfn.XLOOKUP(Tableau1[[#This Row],[Isin]]&amp;1&amp;2021,#REF!,Tableau3[EBE]),"")</f>
        <v/>
      </c>
      <c r="AH107" s="9" t="str">
        <f>IFERROR(_xlfn.XLOOKUP(Tableau1[[#This Row],[Isin]]&amp;1&amp;2022,#REF!,Tableau3[EBE]),"")</f>
        <v/>
      </c>
      <c r="AI107" s="43" t="s">
        <v>4324</v>
      </c>
      <c r="AJ107" s="43" t="s">
        <v>4334</v>
      </c>
      <c r="AK107" s="43" t="s">
        <v>3148</v>
      </c>
      <c r="AL107" s="43"/>
      <c r="AM107" s="43"/>
      <c r="AN107" s="9" t="str">
        <f>IFERROR(_xlfn.XLOOKUP(Tableau1[[#This Row],[Isin]]&amp;1&amp;2021,#REF!,Tableau3[Chiffre d''affaires]),"")</f>
        <v/>
      </c>
      <c r="AO107" s="43" t="e" cm="1" vm="1">
        <f t="array" ref="AO107">_FV(Tableau1[[#This Row],[Code Excel]],"P/E",TRUE)</f>
        <v>#VALUE!</v>
      </c>
      <c r="AP107" s="43" t="str">
        <f>IFERROR(_xlfn.XLOOKUP(Tableau1[[#This Row],[Isin]]&amp;1&amp;2023,#REF!,Tableau3[Résultat Net (PdG)]),"")</f>
        <v/>
      </c>
      <c r="AQ107" s="43">
        <f>IF(IFERROR(_xlfn.XLOOKUP(Tableau1[[#This Row],[Isin]]&amp;1&amp;2022,#REF!,Tableau3[Résultat Net (PdG)]),"")="",Tableau1[[#This Row],[RN Groupe 2022
Manuel]],IFERROR(_xlfn.XLOOKUP(Tableau1[[#This Row],[Isin]]&amp;1&amp;2022,#REF!,Tableau3[Résultat Net (PdG)]),""))</f>
        <v>0</v>
      </c>
      <c r="AR107" s="43"/>
      <c r="AS107" s="43">
        <f>IF(IFERROR(_xlfn.XLOOKUP(Tableau1[[#This Row],[Isin]]&amp;1&amp;2021,#REF!,Tableau3[Résultat Net (PdG)]),"")="",Tableau1[[#This Row],[RN Groupe 2021
Manuel]],IFERROR(_xlfn.XLOOKUP(Tableau1[[#This Row],[Isin]]&amp;1&amp;2021,#REF!,Tableau3[Résultat Net (PdG)]),""))</f>
        <v>0</v>
      </c>
      <c r="AT107" s="43"/>
      <c r="AU107" s="43" t="str">
        <f>IFERROR(_xlfn.XLOOKUP(Tableau1[[#This Row],[Isin]]&amp;1&amp;2020,#REF!,Tableau3[Résultat Net (PdG)]),"")</f>
        <v/>
      </c>
      <c r="AV107" s="43" t="str">
        <f>IFERROR(_xlfn.XLOOKUP(Tableau1[[#This Row],[Isin]]&amp;1&amp;2019,#REF!,Tableau3[Résultat Net (PdG)]),"")</f>
        <v/>
      </c>
      <c r="AW107" s="43" t="str">
        <f>IFERROR(_xlfn.XLOOKUP(Tableau1[[#This Row],[Isin]]&amp;1&amp;2018,#REF!,Tableau3[Résultat Net (PdG)]),"")</f>
        <v/>
      </c>
      <c r="AX107" s="43" t="str">
        <f>IFERROR(_xlfn.XLOOKUP(Tableau1[[#This Row],[Isin]]&amp;1&amp;2017,#REF!,Tableau3[Résultat Net (PdG)]),"")</f>
        <v/>
      </c>
      <c r="AY107" s="43" t="str">
        <f>IFERROR(_xlfn.XLOOKUP(Tableau1[[#This Row],[Isin]]&amp;1&amp;2016,#REF!,Tableau3[Résultat Net (PdG)]),"")</f>
        <v/>
      </c>
      <c r="AZ107" s="137" t="str">
        <f ca="1">IFERROR(Tableau1[[#This Row],[Capitalisation boursière]]/Tableau1[[#This Row],[RN Groupe 2023]],"")</f>
        <v/>
      </c>
      <c r="BA107" s="4" t="str" cm="1">
        <f t="array" aca="1" ref="BA107" ca="1">IFERROR(_FV(Tableau1[[#This Row],[Code Excel]],"Industrie"),"")</f>
        <v>Software &amp; IT Services</v>
      </c>
      <c r="BB107" s="43" t="s">
        <v>3487</v>
      </c>
      <c r="BC107" s="43" t="str">
        <f>IFERROR(_xlfn.XLOOKUP(Tableau1[[#This Row],[Isin]]&amp;1&amp;2016,#REF!,Tableau3[Capi]),"")</f>
        <v/>
      </c>
      <c r="BD107" s="43" t="str">
        <f>IFERROR(_xlfn.XLOOKUP(Tableau1[[#This Row],[Isin]]&amp;1&amp;2017,#REF!,Tableau3[Capi]),"")</f>
        <v/>
      </c>
      <c r="BE107" s="43" t="str">
        <f>IFERROR(_xlfn.XLOOKUP(Tableau1[[#This Row],[Isin]]&amp;1&amp;2018,#REF!,Tableau3[Capi]),"")</f>
        <v/>
      </c>
      <c r="BF107" s="43" t="str">
        <f>IFERROR(_xlfn.XLOOKUP(Tableau1[[#This Row],[Isin]]&amp;1&amp;2019,#REF!,Tableau3[Capi]),"")</f>
        <v/>
      </c>
      <c r="BG107" s="43" t="str">
        <f>IFERROR(_xlfn.XLOOKUP(Tableau1[[#This Row],[Isin]]&amp;1&amp;2020,#REF!,Tableau3[Capi]),"")</f>
        <v/>
      </c>
      <c r="BH107" s="43">
        <f>IF(IFERROR(_xlfn.XLOOKUP(Tableau1[[#This Row],[Isin]]&amp;1&amp;2021,#REF!,Tableau3[Capi]),"")="",Tableau1[[#This Row],[Capitalisation 2021
Manuel]],IFERROR(_xlfn.XLOOKUP(Tableau1[[#This Row],[Isin]]&amp;1&amp;2021,#REF!,Tableau3[Capi]),""))</f>
        <v>0</v>
      </c>
      <c r="BI107" s="43"/>
      <c r="BJ107" s="43">
        <f>IF(IFERROR(_xlfn.XLOOKUP(Tableau1[[#This Row],[Isin]]&amp;1&amp;2022,#REF!,Tableau3[Capi]),"")="",Tableau1[[#This Row],[Capitalisation 2022
Manuel]],IFERROR(_xlfn.XLOOKUP(Tableau1[[#This Row],[Isin]]&amp;1&amp;2022,#REF!,Tableau3[Capi]),""))</f>
        <v>0</v>
      </c>
      <c r="BK107" s="43"/>
      <c r="BL107" s="43">
        <f ca="1">Tableau1[[#This Row],[Capitalisation boursière]]</f>
        <v>6633590000</v>
      </c>
      <c r="BM107" s="162" t="str" cm="1">
        <f t="array" aca="1" ref="BM107" ca="1">_FV(Tableau1[[#This Row],[Code Excel]],"Description")</f>
        <v>Delivery Hero SE est une société basée en Allemagne, qui est principalement engagée dans l’industrie de la commande alimentaire en ligne. La Société fonctionne comme un fournisseur de services de livraison de nourriture en ligne des restaurants et des cafés. La Société propose des pizzas, des hamburgers, des aliments biologiques, une cuisine végétalienne et des plats Asiatiques, entre autres. Son portefeuille de marques comprend Foodpanda, PedidosYa, Clickdelivery, Talabat, Yemeksepeti, Donesi, Hungerstation, Carriage, Otlob, Mjam et d’autres. La Société opère à l’échelle mondiale, sur le territoire de plus de 40 pays, comprenant l’Europe, le Moyen-Orient, l’Afrique du Nord, l’Asie et les Amériques. Les services de la Société sont disponibles en version Web et application mobile.</v>
      </c>
      <c r="BN107" s="43"/>
      <c r="BO107" s="43"/>
      <c r="BP107" s="43"/>
      <c r="BQ107" s="43"/>
      <c r="BR107" s="4"/>
      <c r="BS107" s="21"/>
      <c r="BT107" s="13"/>
      <c r="BU107" s="13"/>
      <c r="BV107" s="13"/>
      <c r="BW107" s="13"/>
      <c r="BX107" s="13"/>
      <c r="BY107" s="3"/>
      <c r="BZ107" s="58"/>
      <c r="CA107" s="59"/>
    </row>
    <row r="108" spans="3:79">
      <c r="C108" s="43"/>
      <c r="D108" s="42">
        <f>IF(Tableau1[[#This Row],[Isin]]="",99,Tableau1[[#This Row],[Intérêt]]+Tableau1[[#This Row],[Valeur d''intérêt]]+Tableau1[[#This Row],[N° Portefeuille]])</f>
        <v>10</v>
      </c>
      <c r="E108" s="43"/>
      <c r="F108" s="42">
        <f>IF(Tableau1[[#This Row],[Portefeuille]]="p",0,Tableau1[[#This Row],[F. Investissement
Niveau d''intérêt]]*10)</f>
        <v>10</v>
      </c>
      <c r="G108" s="43">
        <f>IF(Tableau1[[#This Row],[Portefeuille]]="p",3,0)</f>
        <v>0</v>
      </c>
      <c r="H108" s="43">
        <v>1</v>
      </c>
      <c r="I108" s="43">
        <v>2</v>
      </c>
      <c r="J108" s="43" t="s">
        <v>4357</v>
      </c>
      <c r="K108" s="43"/>
      <c r="L108" s="16">
        <v>1</v>
      </c>
      <c r="M10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8" s="44" t="s">
        <v>3245</v>
      </c>
      <c r="O108" s="44" t="s">
        <v>4378</v>
      </c>
      <c r="P108" s="4" t="s">
        <v>452</v>
      </c>
      <c r="Q108" s="6" t="s">
        <v>85</v>
      </c>
      <c r="R108" s="6" t="s">
        <v>4387</v>
      </c>
      <c r="S108" s="6" t="s">
        <v>454</v>
      </c>
      <c r="T108" s="6" t="e" vm="96">
        <v>#VALUE!</v>
      </c>
      <c r="U108" s="46" cm="1">
        <f t="array" aca="1" ref="U108" ca="1">IFERROR(_FV(Tableau1[[#This Row],[Code Excel]],"Capitalisation boursière",TRUE),"")</f>
        <v>3382015000</v>
      </c>
      <c r="V108" s="4" t="str" cm="1">
        <f t="array" aca="1" ref="V108" ca="1">IFERROR(_FV(Tableau1[[#This Row],[Code Excel]],"Industrie"),"")</f>
        <v>Construction &amp; Engineering</v>
      </c>
      <c r="W108" s="4" t="s">
        <v>1926</v>
      </c>
      <c r="X108" s="4" t="str">
        <f ca="1">Tableau1[[#This Row],[Grand Secteur]]&amp;Tableau1[[#This Row],[Industrie]]</f>
        <v>ConstructionConstruction &amp; Engineering</v>
      </c>
      <c r="Y108" s="23" cm="1">
        <f t="array" aca="1" ref="Y108" ca="1">IFERROR(_FV(Tableau1[[#This Row],[Code Excel]],"P/E",TRUE),"")</f>
        <v>11.7233</v>
      </c>
      <c r="Z108" s="43" cm="1">
        <f t="array" aca="1" ref="Z108" ca="1">IFERROR(_FV(Tableau1[[#This Row],[Code Excel]],"Employés"),"")</f>
        <v>5822</v>
      </c>
      <c r="AA108" s="49">
        <f ca="1">IFERROR(Tableau1[[#This Row],[Capitalisation boursière]]/Tableau1[[#This Row],[Employés]],"")</f>
        <v>580902.61078667128</v>
      </c>
      <c r="AB108" s="5" t="str">
        <f>IFERROR(Tableau1[[#This Row],[REX (2021)]]/Tableau1[[#This Row],[CA 2024]],"")</f>
        <v/>
      </c>
      <c r="AC108" s="9" t="str">
        <f>IFERROR(_xlfn.XLOOKUP(Tableau1[[#This Row],[Isin]]&amp;1&amp;2021,#REF!,Tableau3[Résultat d''exploitation]),"")</f>
        <v/>
      </c>
      <c r="AD108" s="9" t="str">
        <f>IFERROR(_xlfn.XLOOKUP(Tableau1[[#This Row],[Isin]]&amp;1&amp;2019,#REF!,Tableau3[Chiffre d''affaires]),"")</f>
        <v/>
      </c>
      <c r="AE108" s="9" t="str">
        <f>IFERROR(_xlfn.XLOOKUP(Tableau1[[#This Row],[Isin]]&amp;1&amp;2024,#REF!,Tableau3[Chiffre d''affaires]),"")</f>
        <v/>
      </c>
      <c r="AF108" s="8" t="str">
        <f>IFERROR(IF((Tableau1[[#This Row],[CA 2024]]-Tableau1[[#This Row],[CA 2019]])/Tableau1[[#This Row],[CA 2019]]=-1,"",(Tableau1[[#This Row],[CA 2024]]-Tableau1[[#This Row],[CA 2019]])/Tableau1[[#This Row],[CA 2019]]),"")</f>
        <v/>
      </c>
      <c r="AG108" s="9" t="str">
        <f>IFERROR(_xlfn.XLOOKUP(Tableau1[[#This Row],[Isin]]&amp;1&amp;2021,#REF!,Tableau3[EBE]),"")</f>
        <v/>
      </c>
      <c r="AH108" s="9" t="str">
        <f>IFERROR(_xlfn.XLOOKUP(Tableau1[[#This Row],[Isin]]&amp;1&amp;2022,#REF!,Tableau3[EBE]),"")</f>
        <v/>
      </c>
      <c r="AI108" s="43" t="s">
        <v>4329</v>
      </c>
      <c r="AJ108" s="13" t="s">
        <v>4325</v>
      </c>
      <c r="AK108" s="43" t="s">
        <v>3419</v>
      </c>
      <c r="AL108" s="43" t="s">
        <v>3149</v>
      </c>
      <c r="AM108" s="43"/>
      <c r="AN108" s="9" t="str">
        <f>IFERROR(_xlfn.XLOOKUP(Tableau1[[#This Row],[Isin]]&amp;1&amp;2021,#REF!,Tableau3[Chiffre d''affaires]),"")</f>
        <v/>
      </c>
      <c r="AO108" s="43" cm="1">
        <f t="array" aca="1" ref="AO108" ca="1">_FV(Tableau1[[#This Row],[Code Excel]],"P/E",TRUE)</f>
        <v>11.7233</v>
      </c>
      <c r="AP108" s="43" t="str">
        <f>IFERROR(_xlfn.XLOOKUP(Tableau1[[#This Row],[Isin]]&amp;1&amp;2023,#REF!,Tableau3[Résultat Net (PdG)]),"")</f>
        <v/>
      </c>
      <c r="AQ108" s="43">
        <f>IF(IFERROR(_xlfn.XLOOKUP(Tableau1[[#This Row],[Isin]]&amp;1&amp;2022,#REF!,Tableau3[Résultat Net (PdG)]),"")="",Tableau1[[#This Row],[RN Groupe 2022
Manuel]],IFERROR(_xlfn.XLOOKUP(Tableau1[[#This Row],[Isin]]&amp;1&amp;2022,#REF!,Tableau3[Résultat Net (PdG)]),""))</f>
        <v>0</v>
      </c>
      <c r="AR108" s="43"/>
      <c r="AS108" s="43">
        <f>IF(IFERROR(_xlfn.XLOOKUP(Tableau1[[#This Row],[Isin]]&amp;1&amp;2021,#REF!,Tableau3[Résultat Net (PdG)]),"")="",Tableau1[[#This Row],[RN Groupe 2021
Manuel]],IFERROR(_xlfn.XLOOKUP(Tableau1[[#This Row],[Isin]]&amp;1&amp;2021,#REF!,Tableau3[Résultat Net (PdG)]),""))</f>
        <v>0</v>
      </c>
      <c r="AT108" s="43"/>
      <c r="AU108" s="43" t="str">
        <f>IFERROR(_xlfn.XLOOKUP(Tableau1[[#This Row],[Isin]]&amp;1&amp;2020,#REF!,Tableau3[Résultat Net (PdG)]),"")</f>
        <v/>
      </c>
      <c r="AV108" s="43" t="str">
        <f>IFERROR(_xlfn.XLOOKUP(Tableau1[[#This Row],[Isin]]&amp;1&amp;2019,#REF!,Tableau3[Résultat Net (PdG)]),"")</f>
        <v/>
      </c>
      <c r="AW108" s="43" t="str">
        <f>IFERROR(_xlfn.XLOOKUP(Tableau1[[#This Row],[Isin]]&amp;1&amp;2018,#REF!,Tableau3[Résultat Net (PdG)]),"")</f>
        <v/>
      </c>
      <c r="AX108" s="43" t="str">
        <f>IFERROR(_xlfn.XLOOKUP(Tableau1[[#This Row],[Isin]]&amp;1&amp;2017,#REF!,Tableau3[Résultat Net (PdG)]),"")</f>
        <v/>
      </c>
      <c r="AY108" s="43" t="str">
        <f>IFERROR(_xlfn.XLOOKUP(Tableau1[[#This Row],[Isin]]&amp;1&amp;2016,#REF!,Tableau3[Résultat Net (PdG)]),"")</f>
        <v/>
      </c>
      <c r="AZ108" s="137" t="str">
        <f ca="1">IFERROR(Tableau1[[#This Row],[Capitalisation boursière]]/Tableau1[[#This Row],[RN Groupe 2023]],"")</f>
        <v/>
      </c>
      <c r="BA108" s="4" t="str" cm="1">
        <f t="array" aca="1" ref="BA108" ca="1">IFERROR(_FV(Tableau1[[#This Row],[Code Excel]],"Industrie"),"")</f>
        <v>Construction &amp; Engineering</v>
      </c>
      <c r="BB108" s="43" t="e">
        <v>#N/A</v>
      </c>
      <c r="BC108" s="43" t="str">
        <f>IFERROR(_xlfn.XLOOKUP(Tableau1[[#This Row],[Isin]]&amp;1&amp;2016,#REF!,Tableau3[Capi]),"")</f>
        <v/>
      </c>
      <c r="BD108" s="43" t="str">
        <f>IFERROR(_xlfn.XLOOKUP(Tableau1[[#This Row],[Isin]]&amp;1&amp;2017,#REF!,Tableau3[Capi]),"")</f>
        <v/>
      </c>
      <c r="BE108" s="43" t="str">
        <f>IFERROR(_xlfn.XLOOKUP(Tableau1[[#This Row],[Isin]]&amp;1&amp;2018,#REF!,Tableau3[Capi]),"")</f>
        <v/>
      </c>
      <c r="BF108" s="43" t="str">
        <f>IFERROR(_xlfn.XLOOKUP(Tableau1[[#This Row],[Isin]]&amp;1&amp;2019,#REF!,Tableau3[Capi]),"")</f>
        <v/>
      </c>
      <c r="BG108" s="43" t="str">
        <f>IFERROR(_xlfn.XLOOKUP(Tableau1[[#This Row],[Isin]]&amp;1&amp;2020,#REF!,Tableau3[Capi]),"")</f>
        <v/>
      </c>
      <c r="BH108" s="43">
        <f>IF(IFERROR(_xlfn.XLOOKUP(Tableau1[[#This Row],[Isin]]&amp;1&amp;2021,#REF!,Tableau3[Capi]),"")="",Tableau1[[#This Row],[Capitalisation 2021
Manuel]],IFERROR(_xlfn.XLOOKUP(Tableau1[[#This Row],[Isin]]&amp;1&amp;2021,#REF!,Tableau3[Capi]),""))</f>
        <v>0</v>
      </c>
      <c r="BI108" s="43"/>
      <c r="BJ108" s="43">
        <f>IF(IFERROR(_xlfn.XLOOKUP(Tableau1[[#This Row],[Isin]]&amp;1&amp;2022,#REF!,Tableau3[Capi]),"")="",Tableau1[[#This Row],[Capitalisation 2022
Manuel]],IFERROR(_xlfn.XLOOKUP(Tableau1[[#This Row],[Isin]]&amp;1&amp;2022,#REF!,Tableau3[Capi]),""))</f>
        <v>0</v>
      </c>
      <c r="BK108" s="43"/>
      <c r="BL108" s="43">
        <f ca="1">Tableau1[[#This Row],[Capitalisation boursière]]</f>
        <v>3382015000</v>
      </c>
      <c r="BM108" s="162" t="str" cm="1">
        <f t="array" aca="1" ref="BM108" ca="1">_FV(Tableau1[[#This Row],[Code Excel]],"Description")</f>
        <v>DEME Group NV est une société basée en Belgique qui fournit des services d'ingénierie. La société fournit des solutions marines durables mondiales. Son activité s'organise autour de quatre segments, tels que DEME Offshore Energy, DEME Dredging &amp; Infra, DEME Environmental et DEME Concessions. Elle offre des services d'ingénierie et de sous-traitance à l'échelle mondiale dans les secteurs des énergies renouvelables et non renouvelables offshore. La société est impliquée dans l'ensemble du périmètre de l'équilibre de l'usine pour les parcs éoliens offshore qui comprend l'ingénierie, l'approvisionnement, la construction et l'installation de fondations, de turbines, d'inter -câbles de réseau, câbles d'exportation et sous-stations. Il fournit une grande variété d'activités de dragage dans le monde entier, y compris le dragage d'investissement et d'entretien, la remise en état des terres, la construction de ports, la protection des côtes et les travaux de rechargement des plages. Elle offre des solutions pour l'assainissement des sols et le réaménagement des friches industrielles, ainsi que le dragage environnemental et le traitement des sédiments.</v>
      </c>
      <c r="BN108" s="43"/>
      <c r="BO108" s="43"/>
      <c r="BP108" s="43"/>
      <c r="BQ108" s="43"/>
      <c r="BR108" s="4"/>
      <c r="BS108" s="21"/>
      <c r="BT108" s="13"/>
      <c r="BU108" s="13"/>
      <c r="BV108" s="13"/>
      <c r="BW108" s="13"/>
      <c r="BX108" s="13"/>
      <c r="BY108" s="3"/>
      <c r="BZ108" s="58"/>
      <c r="CA108" s="59"/>
    </row>
    <row r="109" spans="3:79">
      <c r="C109" s="42"/>
      <c r="D109" s="42">
        <f>IF(Tableau1[[#This Row],[Isin]]="",99,Tableau1[[#This Row],[Intérêt]]+Tableau1[[#This Row],[Valeur d''intérêt]]+Tableau1[[#This Row],[N° Portefeuille]])</f>
        <v>30</v>
      </c>
      <c r="E109" s="42"/>
      <c r="F109" s="42">
        <f>IF(Tableau1[[#This Row],[Portefeuille]]="p",0,Tableau1[[#This Row],[F. Investissement
Niveau d''intérêt]]*10)</f>
        <v>30</v>
      </c>
      <c r="G109" s="42">
        <f>IF(Tableau1[[#This Row],[Portefeuille]]="p",3,0)</f>
        <v>0</v>
      </c>
      <c r="H109" s="42">
        <v>3</v>
      </c>
      <c r="I109" s="42">
        <v>4</v>
      </c>
      <c r="J109" s="42"/>
      <c r="K109" s="43"/>
      <c r="L109" s="16">
        <v>0</v>
      </c>
      <c r="M10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09" s="44" t="s">
        <v>3739</v>
      </c>
      <c r="O109" s="45"/>
      <c r="P109" s="4" t="s">
        <v>84</v>
      </c>
      <c r="Q109" s="4"/>
      <c r="R109" s="6"/>
      <c r="S109" s="6" t="s">
        <v>3740</v>
      </c>
      <c r="T109" s="6" t="e" vm="97">
        <v>#VALUE!</v>
      </c>
      <c r="U109" s="46" cm="1">
        <f t="array" aca="1" ref="U109" ca="1">IFERROR(_FV(Tableau1[[#This Row],[Code Excel]],"Capitalisation boursière",TRUE),"")</f>
        <v>906174700</v>
      </c>
      <c r="V109" s="4" t="str" cm="1">
        <f t="array" aca="1" ref="V109" ca="1">IFERROR(_FV(Tableau1[[#This Row],[Code Excel]],"Industrie"),"")</f>
        <v>Professional &amp; Commercial Services</v>
      </c>
      <c r="W109" s="4" t="s">
        <v>2918</v>
      </c>
      <c r="X109" s="4" t="str">
        <f ca="1">Tableau1[[#This Row],[Grand Secteur]]&amp;Tableau1[[#This Row],[Industrie]]</f>
        <v>B to BProfessional &amp; Commercial Services</v>
      </c>
      <c r="Y109" s="23" cm="1">
        <f t="array" aca="1" ref="Y109" ca="1">IFERROR(_FV(Tableau1[[#This Row],[Code Excel]],"P/E",TRUE),"")</f>
        <v>12.116400000000001</v>
      </c>
      <c r="Z109" s="43" cm="1">
        <f t="array" aca="1" ref="Z109" ca="1">IFERROR(_FV(Tableau1[[#This Row],[Code Excel]],"Employés"),"")</f>
        <v>5561</v>
      </c>
      <c r="AA109" s="46">
        <f ca="1">IFERROR(Tableau1[[#This Row],[Capitalisation boursière]]/Tableau1[[#This Row],[Employés]],"")</f>
        <v>162951.75328178387</v>
      </c>
      <c r="AB109" s="5" t="str">
        <f>IFERROR(Tableau1[[#This Row],[REX (2021)]]/Tableau1[[#This Row],[CA 2024]],"")</f>
        <v/>
      </c>
      <c r="AC109" s="9" t="str">
        <f>IFERROR(_xlfn.XLOOKUP(Tableau1[[#This Row],[Isin]]&amp;1&amp;2021,#REF!,Tableau3[Résultat d''exploitation]),"")</f>
        <v/>
      </c>
      <c r="AD109" s="9" t="str">
        <f>IFERROR(_xlfn.XLOOKUP(Tableau1[[#This Row],[Isin]]&amp;1&amp;2019,#REF!,Tableau3[Chiffre d''affaires]),"")</f>
        <v/>
      </c>
      <c r="AE109" s="9" t="str">
        <f>IFERROR(_xlfn.XLOOKUP(Tableau1[[#This Row],[Isin]]&amp;1&amp;2024,#REF!,Tableau3[Chiffre d''affaires]),"")</f>
        <v/>
      </c>
      <c r="AF109" s="8" t="str">
        <f>IFERROR(IF((Tableau1[[#This Row],[CA 2024]]-Tableau1[[#This Row],[CA 2019]])/Tableau1[[#This Row],[CA 2019]]=-1,"",(Tableau1[[#This Row],[CA 2024]]-Tableau1[[#This Row],[CA 2019]])/Tableau1[[#This Row],[CA 2019]]),"")</f>
        <v/>
      </c>
      <c r="AG109" s="9" t="str">
        <f>IFERROR(_xlfn.XLOOKUP(Tableau1[[#This Row],[Isin]]&amp;1&amp;2021,#REF!,Tableau3[EBE]),"")</f>
        <v/>
      </c>
      <c r="AH109" s="9" t="str">
        <f>IFERROR(_xlfn.XLOOKUP(Tableau1[[#This Row],[Isin]]&amp;1&amp;2022,#REF!,Tableau3[EBE]),"")</f>
        <v/>
      </c>
      <c r="AI109" s="43" t="s">
        <v>3419</v>
      </c>
      <c r="AJ109" s="43" t="s">
        <v>4322</v>
      </c>
      <c r="AK109" s="43" t="s">
        <v>3431</v>
      </c>
      <c r="AL109" s="43"/>
      <c r="AM109" s="43"/>
      <c r="AN109" s="9" t="str">
        <f>IFERROR(_xlfn.XLOOKUP(Tableau1[[#This Row],[Isin]]&amp;1&amp;2021,#REF!,Tableau3[Chiffre d''affaires]),"")</f>
        <v/>
      </c>
      <c r="AO109" s="43" cm="1">
        <f t="array" aca="1" ref="AO109" ca="1">_FV(Tableau1[[#This Row],[Code Excel]],"P/E",TRUE)</f>
        <v>12.116400000000001</v>
      </c>
      <c r="AP109" s="43" t="str">
        <f>IFERROR(_xlfn.XLOOKUP(Tableau1[[#This Row],[Isin]]&amp;1&amp;2023,#REF!,Tableau3[Résultat Net (PdG)]),"")</f>
        <v/>
      </c>
      <c r="AQ109" s="43">
        <f>IF(IFERROR(_xlfn.XLOOKUP(Tableau1[[#This Row],[Isin]]&amp;1&amp;2022,#REF!,Tableau3[Résultat Net (PdG)]),"")="",Tableau1[[#This Row],[RN Groupe 2022
Manuel]],IFERROR(_xlfn.XLOOKUP(Tableau1[[#This Row],[Isin]]&amp;1&amp;2022,#REF!,Tableau3[Résultat Net (PdG)]),""))</f>
        <v>0</v>
      </c>
      <c r="AR109" s="43"/>
      <c r="AS109" s="43">
        <f>IF(IFERROR(_xlfn.XLOOKUP(Tableau1[[#This Row],[Isin]]&amp;1&amp;2021,#REF!,Tableau3[Résultat Net (PdG)]),"")="",Tableau1[[#This Row],[RN Groupe 2021
Manuel]],IFERROR(_xlfn.XLOOKUP(Tableau1[[#This Row],[Isin]]&amp;1&amp;2021,#REF!,Tableau3[Résultat Net (PdG)]),""))</f>
        <v>0</v>
      </c>
      <c r="AT109" s="43"/>
      <c r="AU109" s="43" t="str">
        <f>IFERROR(_xlfn.XLOOKUP(Tableau1[[#This Row],[Isin]]&amp;1&amp;2020,#REF!,Tableau3[Résultat Net (PdG)]),"")</f>
        <v/>
      </c>
      <c r="AV109" s="43" t="str">
        <f>IFERROR(_xlfn.XLOOKUP(Tableau1[[#This Row],[Isin]]&amp;1&amp;2019,#REF!,Tableau3[Résultat Net (PdG)]),"")</f>
        <v/>
      </c>
      <c r="AW109" s="43" t="str">
        <f>IFERROR(_xlfn.XLOOKUP(Tableau1[[#This Row],[Isin]]&amp;1&amp;2018,#REF!,Tableau3[Résultat Net (PdG)]),"")</f>
        <v/>
      </c>
      <c r="AX109" s="43" t="str">
        <f>IFERROR(_xlfn.XLOOKUP(Tableau1[[#This Row],[Isin]]&amp;1&amp;2017,#REF!,Tableau3[Résultat Net (PdG)]),"")</f>
        <v/>
      </c>
      <c r="AY109" s="43" t="str">
        <f>IFERROR(_xlfn.XLOOKUP(Tableau1[[#This Row],[Isin]]&amp;1&amp;2016,#REF!,Tableau3[Résultat Net (PdG)]),"")</f>
        <v/>
      </c>
      <c r="AZ109" s="137" t="str">
        <f ca="1">IFERROR(Tableau1[[#This Row],[Capitalisation boursière]]/Tableau1[[#This Row],[RN Groupe 2023]],"")</f>
        <v/>
      </c>
      <c r="BA109" s="4" t="str" cm="1">
        <f t="array" aca="1" ref="BA109" ca="1">IFERROR(_FV(Tableau1[[#This Row],[Code Excel]],"Industrie"),"")</f>
        <v>Professional &amp; Commercial Services</v>
      </c>
      <c r="BB109" s="43" t="s">
        <v>3477</v>
      </c>
      <c r="BC109" s="43" t="str">
        <f>IFERROR(_xlfn.XLOOKUP(Tableau1[[#This Row],[Isin]]&amp;1&amp;2016,#REF!,Tableau3[Capi]),"")</f>
        <v/>
      </c>
      <c r="BD109" s="43" t="str">
        <f>IFERROR(_xlfn.XLOOKUP(Tableau1[[#This Row],[Isin]]&amp;1&amp;2017,#REF!,Tableau3[Capi]),"")</f>
        <v/>
      </c>
      <c r="BE109" s="43" t="str">
        <f>IFERROR(_xlfn.XLOOKUP(Tableau1[[#This Row],[Isin]]&amp;1&amp;2018,#REF!,Tableau3[Capi]),"")</f>
        <v/>
      </c>
      <c r="BF109" s="43" t="str">
        <f>IFERROR(_xlfn.XLOOKUP(Tableau1[[#This Row],[Isin]]&amp;1&amp;2019,#REF!,Tableau3[Capi]),"")</f>
        <v/>
      </c>
      <c r="BG109" s="43" t="str">
        <f>IFERROR(_xlfn.XLOOKUP(Tableau1[[#This Row],[Isin]]&amp;1&amp;2020,#REF!,Tableau3[Capi]),"")</f>
        <v/>
      </c>
      <c r="BH109" s="43">
        <f>IF(IFERROR(_xlfn.XLOOKUP(Tableau1[[#This Row],[Isin]]&amp;1&amp;2021,#REF!,Tableau3[Capi]),"")="",Tableau1[[#This Row],[Capitalisation 2021
Manuel]],IFERROR(_xlfn.XLOOKUP(Tableau1[[#This Row],[Isin]]&amp;1&amp;2021,#REF!,Tableau3[Capi]),""))</f>
        <v>0</v>
      </c>
      <c r="BI109" s="43"/>
      <c r="BJ109" s="43">
        <f>IF(IFERROR(_xlfn.XLOOKUP(Tableau1[[#This Row],[Isin]]&amp;1&amp;2022,#REF!,Tableau3[Capi]),"")="",Tableau1[[#This Row],[Capitalisation 2022
Manuel]],IFERROR(_xlfn.XLOOKUP(Tableau1[[#This Row],[Isin]]&amp;1&amp;2022,#REF!,Tableau3[Capi]),""))</f>
        <v>0</v>
      </c>
      <c r="BK109" s="43"/>
      <c r="BL109" s="43">
        <f ca="1">Tableau1[[#This Row],[Capitalisation boursière]]</f>
        <v>906174700</v>
      </c>
      <c r="BM109" s="162" t="str" cm="1">
        <f t="array" aca="1" ref="BM109" ca="1">_FV(Tableau1[[#This Row],[Code Excel]],"Description")</f>
        <v>Derichebourg SA est un opérateur mondial basé en France qui s'engage dans les services environnementaux, d'entreprise et aéroportuaires. Les activités de la Société peuvent être divisées en deux branches distinctes : la division Environnement et la division Multiservices. Les services environnementaux comprennent le recyclage, la gestion des déchets et l'élimination des déchets industriels produits par les fabricants, les collectivités et les particuliers. La division multiservices joue un rôle important sur le marché européen des services aux entreprises et aux collectivités qui se concentrent sur le cœur de métier, améliorent l'organisation et contrôlent les coûts.</v>
      </c>
      <c r="BN109" s="43"/>
      <c r="BO109" s="43"/>
      <c r="BP109" s="43"/>
      <c r="BQ109" s="43"/>
      <c r="BR109" s="4"/>
      <c r="BS109" s="21"/>
      <c r="BT109" s="13"/>
      <c r="BU109" s="13"/>
      <c r="BV109" s="13"/>
      <c r="BW109" s="13"/>
      <c r="BX109" s="13"/>
      <c r="BY109" s="3"/>
      <c r="BZ109" s="58"/>
      <c r="CA109" s="59"/>
    </row>
    <row r="110" spans="3:79">
      <c r="C110" s="43"/>
      <c r="D110" s="42">
        <f>IF(Tableau1[[#This Row],[Isin]]="",99,Tableau1[[#This Row],[Intérêt]]+Tableau1[[#This Row],[Valeur d''intérêt]]+Tableau1[[#This Row],[N° Portefeuille]])</f>
        <v>30</v>
      </c>
      <c r="E110" s="43"/>
      <c r="F110" s="42">
        <f>IF(Tableau1[[#This Row],[Portefeuille]]="p",0,Tableau1[[#This Row],[F. Investissement
Niveau d''intérêt]]*10)</f>
        <v>30</v>
      </c>
      <c r="G110" s="43">
        <f>IF(Tableau1[[#This Row],[Portefeuille]]="p",3,0)</f>
        <v>0</v>
      </c>
      <c r="H110" s="43">
        <v>3</v>
      </c>
      <c r="I110" s="43">
        <v>4</v>
      </c>
      <c r="J110" s="43"/>
      <c r="K110" s="43"/>
      <c r="L110" s="16">
        <v>0</v>
      </c>
      <c r="M11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0" s="44" t="s">
        <v>3742</v>
      </c>
      <c r="O110" s="45"/>
      <c r="P110" s="4" t="s">
        <v>564</v>
      </c>
      <c r="Q110" s="4"/>
      <c r="R110" s="6"/>
      <c r="S110" s="6" t="s">
        <v>3743</v>
      </c>
      <c r="T110" s="6" t="e" vm="98">
        <v>#VALUE!</v>
      </c>
      <c r="U110" s="46" cm="1">
        <f t="array" aca="1" ref="U110" ca="1">IFERROR(_FV(Tableau1[[#This Row],[Code Excel]],"Capitalisation boursière",TRUE),"")</f>
        <v>43221990000</v>
      </c>
      <c r="V110" s="4" t="str" cm="1">
        <f t="array" aca="1" ref="V110" ca="1">IFERROR(_FV(Tableau1[[#This Row],[Code Excel]],"Industrie"),"")</f>
        <v>Banking Services</v>
      </c>
      <c r="W110" s="4" t="s">
        <v>4335</v>
      </c>
      <c r="X110" s="4" t="str">
        <f ca="1">Tableau1[[#This Row],[Grand Secteur]]&amp;Tableau1[[#This Row],[Industrie]]</f>
        <v>FinanceBanking Services</v>
      </c>
      <c r="Y110" s="23" cm="1">
        <f t="array" aca="1" ref="Y110" ca="1">IFERROR(_FV(Tableau1[[#This Row],[Code Excel]],"P/E",TRUE),"")</f>
        <v>14.55</v>
      </c>
      <c r="Z110" s="43" cm="1">
        <f t="array" aca="1" ref="Z110" ca="1">IFERROR(_FV(Tableau1[[#This Row],[Code Excel]],"Employés"),"")</f>
        <v>89753</v>
      </c>
      <c r="AA110" s="60">
        <f ca="1">IFERROR(Tableau1[[#This Row],[Capitalisation boursière]]/Tableau1[[#This Row],[Employés]],"")</f>
        <v>481565.96436887904</v>
      </c>
      <c r="AB110" s="5" t="str">
        <f>IFERROR(Tableau1[[#This Row],[REX (2021)]]/Tableau1[[#This Row],[CA 2024]],"")</f>
        <v/>
      </c>
      <c r="AC110" s="9" t="str">
        <f>IFERROR(_xlfn.XLOOKUP(Tableau1[[#This Row],[Isin]]&amp;1&amp;2021,#REF!,Tableau3[Résultat d''exploitation]),"")</f>
        <v/>
      </c>
      <c r="AD110" s="9" t="str">
        <f>IFERROR(_xlfn.XLOOKUP(Tableau1[[#This Row],[Isin]]&amp;1&amp;2019,#REF!,Tableau3[Chiffre d''affaires]),"")</f>
        <v/>
      </c>
      <c r="AE110" s="9" t="str">
        <f>IFERROR(_xlfn.XLOOKUP(Tableau1[[#This Row],[Isin]]&amp;1&amp;2024,#REF!,Tableau3[Chiffre d''affaires]),"")</f>
        <v/>
      </c>
      <c r="AF110" s="8" t="str">
        <f>IFERROR(IF((Tableau1[[#This Row],[CA 2024]]-Tableau1[[#This Row],[CA 2019]])/Tableau1[[#This Row],[CA 2019]]=-1,"",(Tableau1[[#This Row],[CA 2024]]-Tableau1[[#This Row],[CA 2019]])/Tableau1[[#This Row],[CA 2019]]),"")</f>
        <v/>
      </c>
      <c r="AG110" s="9" t="str">
        <f>IFERROR(_xlfn.XLOOKUP(Tableau1[[#This Row],[Isin]]&amp;1&amp;2021,#REF!,Tableau3[EBE]),"")</f>
        <v/>
      </c>
      <c r="AH110" s="9" t="str">
        <f>IFERROR(_xlfn.XLOOKUP(Tableau1[[#This Row],[Isin]]&amp;1&amp;2022,#REF!,Tableau3[EBE]),"")</f>
        <v/>
      </c>
      <c r="AI110" s="43" t="s">
        <v>4343</v>
      </c>
      <c r="AJ110" s="43" t="s">
        <v>3150</v>
      </c>
      <c r="AK110" s="43" t="s">
        <v>3148</v>
      </c>
      <c r="AL110" s="43"/>
      <c r="AM110" s="43"/>
      <c r="AN110" s="9" t="str">
        <f>IFERROR(_xlfn.XLOOKUP(Tableau1[[#This Row],[Isin]]&amp;1&amp;2021,#REF!,Tableau3[Chiffre d''affaires]),"")</f>
        <v/>
      </c>
      <c r="AO110" s="43" cm="1">
        <f t="array" aca="1" ref="AO110" ca="1">_FV(Tableau1[[#This Row],[Code Excel]],"P/E",TRUE)</f>
        <v>14.55</v>
      </c>
      <c r="AP110" s="43" t="str">
        <f>IFERROR(_xlfn.XLOOKUP(Tableau1[[#This Row],[Isin]]&amp;1&amp;2023,#REF!,Tableau3[Résultat Net (PdG)]),"")</f>
        <v/>
      </c>
      <c r="AQ110" s="43">
        <f>IF(IFERROR(_xlfn.XLOOKUP(Tableau1[[#This Row],[Isin]]&amp;1&amp;2022,#REF!,Tableau3[Résultat Net (PdG)]),"")="",Tableau1[[#This Row],[RN Groupe 2022
Manuel]],IFERROR(_xlfn.XLOOKUP(Tableau1[[#This Row],[Isin]]&amp;1&amp;2022,#REF!,Tableau3[Résultat Net (PdG)]),""))</f>
        <v>0</v>
      </c>
      <c r="AR110" s="43"/>
      <c r="AS110" s="43">
        <f>IF(IFERROR(_xlfn.XLOOKUP(Tableau1[[#This Row],[Isin]]&amp;1&amp;2021,#REF!,Tableau3[Résultat Net (PdG)]),"")="",Tableau1[[#This Row],[RN Groupe 2021
Manuel]],IFERROR(_xlfn.XLOOKUP(Tableau1[[#This Row],[Isin]]&amp;1&amp;2021,#REF!,Tableau3[Résultat Net (PdG)]),""))</f>
        <v>0</v>
      </c>
      <c r="AT110" s="43"/>
      <c r="AU110" s="43" t="str">
        <f>IFERROR(_xlfn.XLOOKUP(Tableau1[[#This Row],[Isin]]&amp;1&amp;2020,#REF!,Tableau3[Résultat Net (PdG)]),"")</f>
        <v/>
      </c>
      <c r="AV110" s="43" t="str">
        <f>IFERROR(_xlfn.XLOOKUP(Tableau1[[#This Row],[Isin]]&amp;1&amp;2019,#REF!,Tableau3[Résultat Net (PdG)]),"")</f>
        <v/>
      </c>
      <c r="AW110" s="43" t="str">
        <f>IFERROR(_xlfn.XLOOKUP(Tableau1[[#This Row],[Isin]]&amp;1&amp;2018,#REF!,Tableau3[Résultat Net (PdG)]),"")</f>
        <v/>
      </c>
      <c r="AX110" s="43" t="str">
        <f>IFERROR(_xlfn.XLOOKUP(Tableau1[[#This Row],[Isin]]&amp;1&amp;2017,#REF!,Tableau3[Résultat Net (PdG)]),"")</f>
        <v/>
      </c>
      <c r="AY110" s="43" t="str">
        <f>IFERROR(_xlfn.XLOOKUP(Tableau1[[#This Row],[Isin]]&amp;1&amp;2016,#REF!,Tableau3[Résultat Net (PdG)]),"")</f>
        <v/>
      </c>
      <c r="AZ110" s="137" t="str">
        <f ca="1">IFERROR(Tableau1[[#This Row],[Capitalisation boursière]]/Tableau1[[#This Row],[RN Groupe 2023]],"")</f>
        <v/>
      </c>
      <c r="BA110" s="4" t="str" cm="1">
        <f t="array" aca="1" ref="BA110" ca="1">IFERROR(_FV(Tableau1[[#This Row],[Code Excel]],"Industrie"),"")</f>
        <v>Banking Services</v>
      </c>
      <c r="BB110" s="43" t="s">
        <v>3487</v>
      </c>
      <c r="BC110" s="43" t="str">
        <f>IFERROR(_xlfn.XLOOKUP(Tableau1[[#This Row],[Isin]]&amp;1&amp;2016,#REF!,Tableau3[Capi]),"")</f>
        <v/>
      </c>
      <c r="BD110" s="43" t="str">
        <f>IFERROR(_xlfn.XLOOKUP(Tableau1[[#This Row],[Isin]]&amp;1&amp;2017,#REF!,Tableau3[Capi]),"")</f>
        <v/>
      </c>
      <c r="BE110" s="43" t="str">
        <f>IFERROR(_xlfn.XLOOKUP(Tableau1[[#This Row],[Isin]]&amp;1&amp;2018,#REF!,Tableau3[Capi]),"")</f>
        <v/>
      </c>
      <c r="BF110" s="43" t="str">
        <f>IFERROR(_xlfn.XLOOKUP(Tableau1[[#This Row],[Isin]]&amp;1&amp;2019,#REF!,Tableau3[Capi]),"")</f>
        <v/>
      </c>
      <c r="BG110" s="43" t="str">
        <f>IFERROR(_xlfn.XLOOKUP(Tableau1[[#This Row],[Isin]]&amp;1&amp;2020,#REF!,Tableau3[Capi]),"")</f>
        <v/>
      </c>
      <c r="BH110" s="43">
        <f>IF(IFERROR(_xlfn.XLOOKUP(Tableau1[[#This Row],[Isin]]&amp;1&amp;2021,#REF!,Tableau3[Capi]),"")="",Tableau1[[#This Row],[Capitalisation 2021
Manuel]],IFERROR(_xlfn.XLOOKUP(Tableau1[[#This Row],[Isin]]&amp;1&amp;2021,#REF!,Tableau3[Capi]),""))</f>
        <v>0</v>
      </c>
      <c r="BI110" s="43"/>
      <c r="BJ110" s="43">
        <f>IF(IFERROR(_xlfn.XLOOKUP(Tableau1[[#This Row],[Isin]]&amp;1&amp;2022,#REF!,Tableau3[Capi]),"")="",Tableau1[[#This Row],[Capitalisation 2022
Manuel]],IFERROR(_xlfn.XLOOKUP(Tableau1[[#This Row],[Isin]]&amp;1&amp;2022,#REF!,Tableau3[Capi]),""))</f>
        <v>0</v>
      </c>
      <c r="BK110" s="43"/>
      <c r="BL110" s="43">
        <f ca="1">Tableau1[[#This Row],[Capitalisation boursière]]</f>
        <v>43221990000</v>
      </c>
      <c r="BM110" s="162" t="str" cm="1">
        <f t="array" aca="1" ref="BM110" ca="1">_FV(Tableau1[[#This Row],[Code Excel]],"Description")</f>
        <v>Deutsche Bank AG est une banque et holding pour ses filiales. La Société offre une gamme de services tels que des produits et services financiers, d’investissement et connexes à des particuliers, des entreprises et des clients institutionnels. Elle opère par l’intermédiaire de quatre divisions commerciales : Corporate Bank, Investment Bank, Private Bank et Asset Management. Corporate Bank se concentre principalement sur le service aux clients des entreprises et agit en tant que fournisseur spécialisé de services aux institutions financières, offrant des services de banque correspondante, de fiducie et d’agence ainsi que des services de valeurs mobilières. Investment Bank regroupe les activités de la société dans le domaine des titres à revenu fixe et des devises (FIC) ainsi que celles de l’origination et du conseil, ainsi que de Deutsche Bank Research. La division Banque privée est axée sur les particuliers et les clients privés, les personnes fortunées, les entrepreneurs et les familles. Asset Management opère sous la marque DWS et sert une clientèle diversifiée d’investisseurs institutionnels et particuliers dans le monde entier.</v>
      </c>
      <c r="BN110" s="43"/>
      <c r="BO110" s="43"/>
      <c r="BP110" s="43"/>
      <c r="BQ110" s="43"/>
      <c r="BR110" s="4"/>
      <c r="BS110" s="21"/>
      <c r="BT110" s="13"/>
      <c r="BU110" s="13"/>
      <c r="BV110" s="13"/>
      <c r="BW110" s="13"/>
      <c r="BX110" s="13"/>
      <c r="BY110" s="3"/>
      <c r="BZ110" s="58"/>
      <c r="CA110" s="59"/>
    </row>
    <row r="111" spans="3:79">
      <c r="C111" s="42"/>
      <c r="D111" s="42">
        <f>IF(Tableau1[[#This Row],[Isin]]="",99,Tableau1[[#This Row],[Intérêt]]+Tableau1[[#This Row],[Valeur d''intérêt]]+Tableau1[[#This Row],[N° Portefeuille]])</f>
        <v>30</v>
      </c>
      <c r="E111" s="42"/>
      <c r="F111" s="42">
        <f>IF(Tableau1[[#This Row],[Portefeuille]]="p",0,Tableau1[[#This Row],[F. Investissement
Niveau d''intérêt]]*10)</f>
        <v>30</v>
      </c>
      <c r="G111" s="42">
        <f>IF(Tableau1[[#This Row],[Portefeuille]]="p",3,0)</f>
        <v>0</v>
      </c>
      <c r="H111" s="42">
        <v>3</v>
      </c>
      <c r="I111" s="42">
        <v>3</v>
      </c>
      <c r="J111" s="42"/>
      <c r="K111" s="43"/>
      <c r="L111" s="16">
        <v>1</v>
      </c>
      <c r="M11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1" s="44" t="s">
        <v>3745</v>
      </c>
      <c r="O111" s="44" t="s">
        <v>4388</v>
      </c>
      <c r="P111" s="4" t="s">
        <v>564</v>
      </c>
      <c r="Q111" s="6" t="s">
        <v>85</v>
      </c>
      <c r="R111" s="6"/>
      <c r="S111" s="6" t="s">
        <v>2365</v>
      </c>
      <c r="T111" s="6" t="e" vm="99">
        <v>#VALUE!</v>
      </c>
      <c r="U111" s="46" cm="1">
        <f t="array" aca="1" ref="U111" ca="1">IFERROR(_FV(Tableau1[[#This Row],[Code Excel]],"Capitalisation boursière",TRUE),"")</f>
        <v>51142280000</v>
      </c>
      <c r="V111" s="4" t="str" cm="1">
        <f t="array" aca="1" ref="V111" ca="1">IFERROR(_FV(Tableau1[[#This Row],[Code Excel]],"Industrie"),"")</f>
        <v>Investment Banking &amp; Investment Services</v>
      </c>
      <c r="W111" s="4" t="s">
        <v>4335</v>
      </c>
      <c r="X111" s="4" t="str">
        <f ca="1">Tableau1[[#This Row],[Grand Secteur]]&amp;Tableau1[[#This Row],[Industrie]]</f>
        <v>FinanceInvestment Banking &amp; Investment Services</v>
      </c>
      <c r="Y111" s="23" cm="1">
        <f t="array" aca="1" ref="Y111" ca="1">IFERROR(_FV(Tableau1[[#This Row],[Code Excel]],"P/E",TRUE),"")</f>
        <v>25.36</v>
      </c>
      <c r="Z111" s="43" cm="1">
        <f t="array" aca="1" ref="Z111" ca="1">IFERROR(_FV(Tableau1[[#This Row],[Code Excel]],"Employés"),"")</f>
        <v>15495</v>
      </c>
      <c r="AA111" s="49">
        <f ca="1">IFERROR(Tableau1[[#This Row],[Capitalisation boursière]]/Tableau1[[#This Row],[Employés]],"")</f>
        <v>3300566.6343981931</v>
      </c>
      <c r="AB111" s="5" t="str">
        <f>IFERROR(Tableau1[[#This Row],[REX (2021)]]/Tableau1[[#This Row],[CA 2024]],"")</f>
        <v/>
      </c>
      <c r="AC111" s="9" t="str">
        <f>IFERROR(_xlfn.XLOOKUP(Tableau1[[#This Row],[Isin]]&amp;1&amp;2021,#REF!,Tableau3[Résultat d''exploitation]),"")</f>
        <v/>
      </c>
      <c r="AD111" s="9" t="str">
        <f>IFERROR(_xlfn.XLOOKUP(Tableau1[[#This Row],[Isin]]&amp;1&amp;2019,#REF!,Tableau3[Chiffre d''affaires]),"")</f>
        <v/>
      </c>
      <c r="AE111" s="9" t="str">
        <f>IFERROR(_xlfn.XLOOKUP(Tableau1[[#This Row],[Isin]]&amp;1&amp;2024,#REF!,Tableau3[Chiffre d''affaires]),"")</f>
        <v/>
      </c>
      <c r="AF111" s="8" t="str">
        <f>IFERROR(IF((Tableau1[[#This Row],[CA 2024]]-Tableau1[[#This Row],[CA 2019]])/Tableau1[[#This Row],[CA 2019]]=-1,"",(Tableau1[[#This Row],[CA 2024]]-Tableau1[[#This Row],[CA 2019]])/Tableau1[[#This Row],[CA 2019]]),"")</f>
        <v/>
      </c>
      <c r="AG111" s="9" t="str">
        <f>IFERROR(_xlfn.XLOOKUP(Tableau1[[#This Row],[Isin]]&amp;1&amp;2021,#REF!,Tableau3[EBE]),"")</f>
        <v/>
      </c>
      <c r="AH111" s="9" t="str">
        <f>IFERROR(_xlfn.XLOOKUP(Tableau1[[#This Row],[Isin]]&amp;1&amp;2022,#REF!,Tableau3[EBE]),"")</f>
        <v/>
      </c>
      <c r="AI111" s="43" t="s">
        <v>4343</v>
      </c>
      <c r="AJ111" s="43" t="s">
        <v>4356</v>
      </c>
      <c r="AK111" s="43" t="s">
        <v>3419</v>
      </c>
      <c r="AL111" s="43" t="s">
        <v>3149</v>
      </c>
      <c r="AM111" s="43"/>
      <c r="AN111" s="9" t="str">
        <f>IFERROR(_xlfn.XLOOKUP(Tableau1[[#This Row],[Isin]]&amp;1&amp;2021,#REF!,Tableau3[Chiffre d''affaires]),"")</f>
        <v/>
      </c>
      <c r="AO111" s="43" cm="1">
        <f t="array" aca="1" ref="AO111" ca="1">_FV(Tableau1[[#This Row],[Code Excel]],"P/E",TRUE)</f>
        <v>25.36</v>
      </c>
      <c r="AP111" s="43" t="str">
        <f>IFERROR(_xlfn.XLOOKUP(Tableau1[[#This Row],[Isin]]&amp;1&amp;2023,#REF!,Tableau3[Résultat Net (PdG)]),"")</f>
        <v/>
      </c>
      <c r="AQ111" s="43">
        <f>IF(IFERROR(_xlfn.XLOOKUP(Tableau1[[#This Row],[Isin]]&amp;1&amp;2022,#REF!,Tableau3[Résultat Net (PdG)]),"")="",Tableau1[[#This Row],[RN Groupe 2022
Manuel]],IFERROR(_xlfn.XLOOKUP(Tableau1[[#This Row],[Isin]]&amp;1&amp;2022,#REF!,Tableau3[Résultat Net (PdG)]),""))</f>
        <v>0</v>
      </c>
      <c r="AR111" s="43"/>
      <c r="AS111" s="43">
        <f>IF(IFERROR(_xlfn.XLOOKUP(Tableau1[[#This Row],[Isin]]&amp;1&amp;2021,#REF!,Tableau3[Résultat Net (PdG)]),"")="",Tableau1[[#This Row],[RN Groupe 2021
Manuel]],IFERROR(_xlfn.XLOOKUP(Tableau1[[#This Row],[Isin]]&amp;1&amp;2021,#REF!,Tableau3[Résultat Net (PdG)]),""))</f>
        <v>0</v>
      </c>
      <c r="AT111" s="43"/>
      <c r="AU111" s="43" t="str">
        <f>IFERROR(_xlfn.XLOOKUP(Tableau1[[#This Row],[Isin]]&amp;1&amp;2020,#REF!,Tableau3[Résultat Net (PdG)]),"")</f>
        <v/>
      </c>
      <c r="AV111" s="43" t="str">
        <f>IFERROR(_xlfn.XLOOKUP(Tableau1[[#This Row],[Isin]]&amp;1&amp;2019,#REF!,Tableau3[Résultat Net (PdG)]),"")</f>
        <v/>
      </c>
      <c r="AW111" s="43" t="str">
        <f>IFERROR(_xlfn.XLOOKUP(Tableau1[[#This Row],[Isin]]&amp;1&amp;2018,#REF!,Tableau3[Résultat Net (PdG)]),"")</f>
        <v/>
      </c>
      <c r="AX111" s="43" t="str">
        <f>IFERROR(_xlfn.XLOOKUP(Tableau1[[#This Row],[Isin]]&amp;1&amp;2017,#REF!,Tableau3[Résultat Net (PdG)]),"")</f>
        <v/>
      </c>
      <c r="AY111" s="43" t="str">
        <f>IFERROR(_xlfn.XLOOKUP(Tableau1[[#This Row],[Isin]]&amp;1&amp;2016,#REF!,Tableau3[Résultat Net (PdG)]),"")</f>
        <v/>
      </c>
      <c r="AZ111" s="137" t="str">
        <f ca="1">IFERROR(Tableau1[[#This Row],[Capitalisation boursière]]/Tableau1[[#This Row],[RN Groupe 2023]],"")</f>
        <v/>
      </c>
      <c r="BA111" s="4" t="str" cm="1">
        <f t="array" aca="1" ref="BA111" ca="1">IFERROR(_FV(Tableau1[[#This Row],[Code Excel]],"Industrie"),"")</f>
        <v>Investment Banking &amp; Investment Services</v>
      </c>
      <c r="BB111" s="43" t="s">
        <v>3487</v>
      </c>
      <c r="BC111" s="43" t="str">
        <f>IFERROR(_xlfn.XLOOKUP(Tableau1[[#This Row],[Isin]]&amp;1&amp;2016,#REF!,Tableau3[Capi]),"")</f>
        <v/>
      </c>
      <c r="BD111" s="43" t="str">
        <f>IFERROR(_xlfn.XLOOKUP(Tableau1[[#This Row],[Isin]]&amp;1&amp;2017,#REF!,Tableau3[Capi]),"")</f>
        <v/>
      </c>
      <c r="BE111" s="43" t="str">
        <f>IFERROR(_xlfn.XLOOKUP(Tableau1[[#This Row],[Isin]]&amp;1&amp;2018,#REF!,Tableau3[Capi]),"")</f>
        <v/>
      </c>
      <c r="BF111" s="43" t="str">
        <f>IFERROR(_xlfn.XLOOKUP(Tableau1[[#This Row],[Isin]]&amp;1&amp;2019,#REF!,Tableau3[Capi]),"")</f>
        <v/>
      </c>
      <c r="BG111" s="43" t="str">
        <f>IFERROR(_xlfn.XLOOKUP(Tableau1[[#This Row],[Isin]]&amp;1&amp;2020,#REF!,Tableau3[Capi]),"")</f>
        <v/>
      </c>
      <c r="BH111" s="43">
        <f>IF(IFERROR(_xlfn.XLOOKUP(Tableau1[[#This Row],[Isin]]&amp;1&amp;2021,#REF!,Tableau3[Capi]),"")="",Tableau1[[#This Row],[Capitalisation 2021
Manuel]],IFERROR(_xlfn.XLOOKUP(Tableau1[[#This Row],[Isin]]&amp;1&amp;2021,#REF!,Tableau3[Capi]),""))</f>
        <v>0</v>
      </c>
      <c r="BI111" s="43"/>
      <c r="BJ111" s="43">
        <f>IF(IFERROR(_xlfn.XLOOKUP(Tableau1[[#This Row],[Isin]]&amp;1&amp;2022,#REF!,Tableau3[Capi]),"")="",Tableau1[[#This Row],[Capitalisation 2022
Manuel]],IFERROR(_xlfn.XLOOKUP(Tableau1[[#This Row],[Isin]]&amp;1&amp;2022,#REF!,Tableau3[Capi]),""))</f>
        <v>0</v>
      </c>
      <c r="BK111" s="43"/>
      <c r="BL111" s="43">
        <f ca="1">Tableau1[[#This Row],[Capitalisation boursière]]</f>
        <v>51142280000</v>
      </c>
      <c r="BM111" s="162" t="str" cm="1">
        <f t="array" aca="1" ref="BM111" ca="1">_FV(Tableau1[[#This Row],[Code Excel]],"Description")</f>
        <v>Deutsche Boerse AG est une société de bourse basée en Allemagne. La société fournit des infrastructures pour les marchés financiers dans le monde entier. Elle offre également une large gamme de produits et services le long de la chaîne de valeur des transactions sur les marchés financiers. Les activités de la société se déroulent dans quatre segments : Solutions de gestion des investissements, Trading et compensation, Services de fonds et Services de valeurs mobilières. Solutions de gestion des investissements fournit des produits axés sur les données, des familles d'indices et des solutions de logiciel en tant que service (SaaS). Le segment de négociation et de compensation organise et exploite des marchés réglementés pour les valeurs mobilières, les produits dérivés, les matières premières, les devises et autres classes d'actifs. Le secteur des services de fonds tend à externaliser les opérations de distribution de fonds. Le secteur des services de valeurs mobilières offre une gamme de services de titres à revenu fixe</v>
      </c>
      <c r="BN111" s="43"/>
      <c r="BO111" s="43"/>
      <c r="BP111" s="43"/>
      <c r="BQ111" s="43"/>
      <c r="BR111" s="4"/>
      <c r="BS111" s="21"/>
      <c r="BT111" s="13"/>
      <c r="BU111" s="13"/>
      <c r="BV111" s="13"/>
      <c r="BW111" s="13"/>
      <c r="BX111" s="13"/>
      <c r="BY111" s="3"/>
      <c r="BZ111" s="58"/>
      <c r="CA111" s="59"/>
    </row>
    <row r="112" spans="3:79">
      <c r="C112" s="43"/>
      <c r="D112" s="42">
        <f>IF(Tableau1[[#This Row],[Isin]]="",99,Tableau1[[#This Row],[Intérêt]]+Tableau1[[#This Row],[Valeur d''intérêt]]+Tableau1[[#This Row],[N° Portefeuille]])</f>
        <v>30</v>
      </c>
      <c r="E112" s="43"/>
      <c r="F112" s="42">
        <f>IF(Tableau1[[#This Row],[Portefeuille]]="p",0,Tableau1[[#This Row],[F. Investissement
Niveau d''intérêt]]*10)</f>
        <v>30</v>
      </c>
      <c r="G112" s="43">
        <f>IF(Tableau1[[#This Row],[Portefeuille]]="p",3,0)</f>
        <v>0</v>
      </c>
      <c r="H112" s="43">
        <v>3</v>
      </c>
      <c r="I112" s="43">
        <v>4</v>
      </c>
      <c r="J112" s="43"/>
      <c r="K112" s="43"/>
      <c r="L112" s="16">
        <v>0</v>
      </c>
      <c r="M11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2" s="44" t="s">
        <v>3747</v>
      </c>
      <c r="O112" s="45"/>
      <c r="P112" s="4" t="s">
        <v>564</v>
      </c>
      <c r="Q112" s="4"/>
      <c r="R112" s="6"/>
      <c r="S112" s="6" t="s">
        <v>3748</v>
      </c>
      <c r="T112" s="6" t="e" vm="100">
        <v>#VALUE!</v>
      </c>
      <c r="U112" s="46" cm="1">
        <f t="array" aca="1" ref="U112" ca="1">IFERROR(_FV(Tableau1[[#This Row],[Code Excel]],"Capitalisation boursière",TRUE),"")</f>
        <v>170187800000</v>
      </c>
      <c r="V112" s="4" t="str" cm="1">
        <f t="array" aca="1" ref="V112" ca="1">IFERROR(_FV(Tableau1[[#This Row],[Code Excel]],"Industrie"),"")</f>
        <v>Telecommunications Services</v>
      </c>
      <c r="W112" s="4" t="s">
        <v>1737</v>
      </c>
      <c r="X112" s="4" t="str">
        <f ca="1">Tableau1[[#This Row],[Grand Secteur]]&amp;Tableau1[[#This Row],[Industrie]]</f>
        <v>TélécommunicationTelecommunications Services</v>
      </c>
      <c r="Y112" s="23" cm="1">
        <f t="array" aca="1" ref="Y112" ca="1">IFERROR(_FV(Tableau1[[#This Row],[Code Excel]],"P/E",TRUE),"")</f>
        <v>14.72</v>
      </c>
      <c r="Z112" s="43" cm="1">
        <f t="array" aca="1" ref="Z112" ca="1">IFERROR(_FV(Tableau1[[#This Row],[Code Excel]],"Employés"),"")</f>
        <v>198194</v>
      </c>
      <c r="AA112" s="49">
        <f ca="1">IFERROR(Tableau1[[#This Row],[Capitalisation boursière]]/Tableau1[[#This Row],[Employés]],"")</f>
        <v>858692.99776986183</v>
      </c>
      <c r="AB112" s="5" t="str">
        <f>IFERROR(Tableau1[[#This Row],[REX (2021)]]/Tableau1[[#This Row],[CA 2024]],"")</f>
        <v/>
      </c>
      <c r="AC112" s="9" t="str">
        <f>IFERROR(_xlfn.XLOOKUP(Tableau1[[#This Row],[Isin]]&amp;1&amp;2021,#REF!,Tableau3[Résultat d''exploitation]),"")</f>
        <v/>
      </c>
      <c r="AD112" s="9" t="str">
        <f>IFERROR(_xlfn.XLOOKUP(Tableau1[[#This Row],[Isin]]&amp;1&amp;2019,#REF!,Tableau3[Chiffre d''affaires]),"")</f>
        <v/>
      </c>
      <c r="AE112" s="9" t="str">
        <f>IFERROR(_xlfn.XLOOKUP(Tableau1[[#This Row],[Isin]]&amp;1&amp;2024,#REF!,Tableau3[Chiffre d''affaires]),"")</f>
        <v/>
      </c>
      <c r="AF112" s="8" t="str">
        <f>IFERROR(IF((Tableau1[[#This Row],[CA 2024]]-Tableau1[[#This Row],[CA 2019]])/Tableau1[[#This Row],[CA 2019]]=-1,"",(Tableau1[[#This Row],[CA 2024]]-Tableau1[[#This Row],[CA 2019]])/Tableau1[[#This Row],[CA 2019]]),"")</f>
        <v/>
      </c>
      <c r="AG112" s="9" t="str">
        <f>IFERROR(_xlfn.XLOOKUP(Tableau1[[#This Row],[Isin]]&amp;1&amp;2021,#REF!,Tableau3[EBE]),"")</f>
        <v/>
      </c>
      <c r="AH112" s="9" t="str">
        <f>IFERROR(_xlfn.XLOOKUP(Tableau1[[#This Row],[Isin]]&amp;1&amp;2022,#REF!,Tableau3[EBE]),"")</f>
        <v/>
      </c>
      <c r="AI112" s="13" t="s">
        <v>4324</v>
      </c>
      <c r="AJ112" s="43" t="s">
        <v>4376</v>
      </c>
      <c r="AK112" s="43" t="s">
        <v>4377</v>
      </c>
      <c r="AL112" s="43"/>
      <c r="AM112" s="43"/>
      <c r="AN112" s="9" t="str">
        <f>IFERROR(_xlfn.XLOOKUP(Tableau1[[#This Row],[Isin]]&amp;1&amp;2021,#REF!,Tableau3[Chiffre d''affaires]),"")</f>
        <v/>
      </c>
      <c r="AO112" s="43" cm="1">
        <f t="array" aca="1" ref="AO112" ca="1">_FV(Tableau1[[#This Row],[Code Excel]],"P/E",TRUE)</f>
        <v>14.72</v>
      </c>
      <c r="AP112" s="43" t="str">
        <f>IFERROR(_xlfn.XLOOKUP(Tableau1[[#This Row],[Isin]]&amp;1&amp;2023,#REF!,Tableau3[Résultat Net (PdG)]),"")</f>
        <v/>
      </c>
      <c r="AQ112" s="43">
        <f>IF(IFERROR(_xlfn.XLOOKUP(Tableau1[[#This Row],[Isin]]&amp;1&amp;2022,#REF!,Tableau3[Résultat Net (PdG)]),"")="",Tableau1[[#This Row],[RN Groupe 2022
Manuel]],IFERROR(_xlfn.XLOOKUP(Tableau1[[#This Row],[Isin]]&amp;1&amp;2022,#REF!,Tableau3[Résultat Net (PdG)]),""))</f>
        <v>0</v>
      </c>
      <c r="AR112" s="43"/>
      <c r="AS112" s="43">
        <f>IF(IFERROR(_xlfn.XLOOKUP(Tableau1[[#This Row],[Isin]]&amp;1&amp;2021,#REF!,Tableau3[Résultat Net (PdG)]),"")="",Tableau1[[#This Row],[RN Groupe 2021
Manuel]],IFERROR(_xlfn.XLOOKUP(Tableau1[[#This Row],[Isin]]&amp;1&amp;2021,#REF!,Tableau3[Résultat Net (PdG)]),""))</f>
        <v>0</v>
      </c>
      <c r="AT112" s="43"/>
      <c r="AU112" s="43" t="str">
        <f>IFERROR(_xlfn.XLOOKUP(Tableau1[[#This Row],[Isin]]&amp;1&amp;2020,#REF!,Tableau3[Résultat Net (PdG)]),"")</f>
        <v/>
      </c>
      <c r="AV112" s="43" t="str">
        <f>IFERROR(_xlfn.XLOOKUP(Tableau1[[#This Row],[Isin]]&amp;1&amp;2019,#REF!,Tableau3[Résultat Net (PdG)]),"")</f>
        <v/>
      </c>
      <c r="AW112" s="43" t="str">
        <f>IFERROR(_xlfn.XLOOKUP(Tableau1[[#This Row],[Isin]]&amp;1&amp;2018,#REF!,Tableau3[Résultat Net (PdG)]),"")</f>
        <v/>
      </c>
      <c r="AX112" s="43" t="str">
        <f>IFERROR(_xlfn.XLOOKUP(Tableau1[[#This Row],[Isin]]&amp;1&amp;2017,#REF!,Tableau3[Résultat Net (PdG)]),"")</f>
        <v/>
      </c>
      <c r="AY112" s="43" t="str">
        <f>IFERROR(_xlfn.XLOOKUP(Tableau1[[#This Row],[Isin]]&amp;1&amp;2016,#REF!,Tableau3[Résultat Net (PdG)]),"")</f>
        <v/>
      </c>
      <c r="AZ112" s="137" t="str">
        <f ca="1">IFERROR(Tableau1[[#This Row],[Capitalisation boursière]]/Tableau1[[#This Row],[RN Groupe 2023]],"")</f>
        <v/>
      </c>
      <c r="BA112" s="4" t="str" cm="1">
        <f t="array" aca="1" ref="BA112" ca="1">IFERROR(_FV(Tableau1[[#This Row],[Code Excel]],"Industrie"),"")</f>
        <v>Telecommunications Services</v>
      </c>
      <c r="BB112" s="43" t="s">
        <v>3487</v>
      </c>
      <c r="BC112" s="43" t="str">
        <f>IFERROR(_xlfn.XLOOKUP(Tableau1[[#This Row],[Isin]]&amp;1&amp;2016,#REF!,Tableau3[Capi]),"")</f>
        <v/>
      </c>
      <c r="BD112" s="43" t="str">
        <f>IFERROR(_xlfn.XLOOKUP(Tableau1[[#This Row],[Isin]]&amp;1&amp;2017,#REF!,Tableau3[Capi]),"")</f>
        <v/>
      </c>
      <c r="BE112" s="43" t="str">
        <f>IFERROR(_xlfn.XLOOKUP(Tableau1[[#This Row],[Isin]]&amp;1&amp;2018,#REF!,Tableau3[Capi]),"")</f>
        <v/>
      </c>
      <c r="BF112" s="43" t="str">
        <f>IFERROR(_xlfn.XLOOKUP(Tableau1[[#This Row],[Isin]]&amp;1&amp;2019,#REF!,Tableau3[Capi]),"")</f>
        <v/>
      </c>
      <c r="BG112" s="43" t="str">
        <f>IFERROR(_xlfn.XLOOKUP(Tableau1[[#This Row],[Isin]]&amp;1&amp;2020,#REF!,Tableau3[Capi]),"")</f>
        <v/>
      </c>
      <c r="BH112" s="43">
        <f>IF(IFERROR(_xlfn.XLOOKUP(Tableau1[[#This Row],[Isin]]&amp;1&amp;2021,#REF!,Tableau3[Capi]),"")="",Tableau1[[#This Row],[Capitalisation 2021
Manuel]],IFERROR(_xlfn.XLOOKUP(Tableau1[[#This Row],[Isin]]&amp;1&amp;2021,#REF!,Tableau3[Capi]),""))</f>
        <v>0</v>
      </c>
      <c r="BI112" s="43"/>
      <c r="BJ112" s="43">
        <f>IF(IFERROR(_xlfn.XLOOKUP(Tableau1[[#This Row],[Isin]]&amp;1&amp;2022,#REF!,Tableau3[Capi]),"")="",Tableau1[[#This Row],[Capitalisation 2022
Manuel]],IFERROR(_xlfn.XLOOKUP(Tableau1[[#This Row],[Isin]]&amp;1&amp;2022,#REF!,Tableau3[Capi]),""))</f>
        <v>0</v>
      </c>
      <c r="BK112" s="43"/>
      <c r="BL112" s="43">
        <f ca="1">Tableau1[[#This Row],[Capitalisation boursière]]</f>
        <v>170187800000</v>
      </c>
      <c r="BM112" s="162" t="str" cm="1">
        <f t="array" aca="1" ref="BM112" ca="1">_FV(Tableau1[[#This Row],[Code Excel]],"Description")</f>
        <v>Deutsche Telekom AG est une société basée en Allemagne qui fournit des services de technologie de l'information (TI) et de télécommunications. Les segments opérationnels de la société comprennent l'Allemagne, qui comprend les activités de réseau fixe et mobile en Allemagne; États-Unis, qui se compose d'activités mobiles sur le marché américain; L'Europe, constituée d'opérations sur réseau fixe et mobile des entreprises nationales dans divers pays européens, tels que la Grèce, la Roumanie, la Hongrie, la Pologne, la République tchèque, la Croatie, la Slovaquie, l'Autriche, l'Albanie, la Macédoine et le Monténégro; les Solutions systèmes, qui exploite des systèmes de technologies de l'information et de la communication (TIC) pour les sociétés multinationales et les institutions du secteur public; Développement du groupe, comprenant les entités T-Mobile Netherlands et Deutsche Funkturm (DFMG) et sa participation au capital de Stroeer SE &amp; Co. KGaA, et du siège du groupe et des services de groupe, qui comprend les opérations du siège du service et de diverses autres filiales de la société .</v>
      </c>
      <c r="BN112" s="43"/>
      <c r="BO112" s="43"/>
      <c r="BP112" s="43"/>
      <c r="BQ112" s="43"/>
      <c r="BR112" s="4"/>
      <c r="BS112" s="21"/>
      <c r="BT112" s="13"/>
      <c r="BU112" s="13"/>
      <c r="BV112" s="13"/>
      <c r="BW112" s="13"/>
      <c r="BX112" s="13"/>
      <c r="BY112" s="3"/>
      <c r="BZ112" s="58"/>
      <c r="CA112" s="59"/>
    </row>
    <row r="113" spans="3:79">
      <c r="C113" s="42"/>
      <c r="D113" s="42">
        <f>IF(Tableau1[[#This Row],[Isin]]="",99,Tableau1[[#This Row],[Intérêt]]+Tableau1[[#This Row],[Valeur d''intérêt]]+Tableau1[[#This Row],[N° Portefeuille]])</f>
        <v>30</v>
      </c>
      <c r="E113" s="42"/>
      <c r="F113" s="42">
        <f>IF(Tableau1[[#This Row],[Portefeuille]]="p",0,Tableau1[[#This Row],[F. Investissement
Niveau d''intérêt]]*10)</f>
        <v>30</v>
      </c>
      <c r="G113" s="42">
        <f>IF(Tableau1[[#This Row],[Portefeuille]]="p",3,0)</f>
        <v>0</v>
      </c>
      <c r="H113" s="42">
        <v>3</v>
      </c>
      <c r="I113" s="42">
        <v>4</v>
      </c>
      <c r="J113" s="42"/>
      <c r="K113" s="43"/>
      <c r="L113" s="16">
        <v>1</v>
      </c>
      <c r="M11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3" s="44" t="s">
        <v>3750</v>
      </c>
      <c r="O113" s="44" t="s">
        <v>381</v>
      </c>
      <c r="P113" s="4" t="s">
        <v>382</v>
      </c>
      <c r="Q113" s="6" t="s">
        <v>383</v>
      </c>
      <c r="R113" s="6"/>
      <c r="S113" s="6" t="s">
        <v>385</v>
      </c>
      <c r="T113" s="6" t="e" vm="101">
        <v>#VALUE!</v>
      </c>
      <c r="U113" s="51" cm="1">
        <f t="array" aca="1" ref="U113" ca="1">IFERROR(_FV(Tableau1[[#This Row],[Code Excel]],"Capitalisation boursière",TRUE),"")</f>
        <v>1480075000</v>
      </c>
      <c r="V113" s="4" t="str" cm="1">
        <f t="array" aca="1" ref="V113" ca="1">IFERROR(_FV(Tableau1[[#This Row],[Code Excel]],"Industrie"),"")</f>
        <v>Oil &amp; Gas Related Equipment and Services</v>
      </c>
      <c r="W113" s="4" t="s">
        <v>371</v>
      </c>
      <c r="X113" s="4" t="str">
        <f ca="1">Tableau1[[#This Row],[Grand Secteur]]&amp;Tableau1[[#This Row],[Industrie]]</f>
        <v>EnergieOil &amp; Gas Related Equipment and Services</v>
      </c>
      <c r="Y113" s="23" t="str" cm="1">
        <f t="array" ref="Y113">IFERROR(_FV(Tableau1[[#This Row],[Code Excel]],"P/E",TRUE),"")</f>
        <v/>
      </c>
      <c r="Z113" s="43" cm="1">
        <f t="array" aca="1" ref="Z113" ca="1">IFERROR(_FV(Tableau1[[#This Row],[Code Excel]],"Employés"),"")</f>
        <v>2140</v>
      </c>
      <c r="AA113" s="46">
        <f ca="1">IFERROR(Tableau1[[#This Row],[Capitalisation boursière]]/Tableau1[[#This Row],[Employés]],"")</f>
        <v>691623.83177570091</v>
      </c>
      <c r="AB113" s="5" t="str">
        <f>IFERROR(Tableau1[[#This Row],[REX (2021)]]/Tableau1[[#This Row],[CA 2024]],"")</f>
        <v/>
      </c>
      <c r="AC113" s="9" t="str">
        <f>IFERROR(_xlfn.XLOOKUP(Tableau1[[#This Row],[Isin]]&amp;1&amp;2021,#REF!,Tableau3[Résultat d''exploitation]),"")</f>
        <v/>
      </c>
      <c r="AD113" s="9" t="str">
        <f>IFERROR(_xlfn.XLOOKUP(Tableau1[[#This Row],[Isin]]&amp;1&amp;2019,#REF!,Tableau3[Chiffre d''affaires]),"")</f>
        <v/>
      </c>
      <c r="AE113" s="9" t="str">
        <f>IFERROR(_xlfn.XLOOKUP(Tableau1[[#This Row],[Isin]]&amp;1&amp;2024,#REF!,Tableau3[Chiffre d''affaires]),"")</f>
        <v/>
      </c>
      <c r="AF113" s="8" t="str">
        <f>IFERROR(IF((Tableau1[[#This Row],[CA 2024]]-Tableau1[[#This Row],[CA 2019]])/Tableau1[[#This Row],[CA 2019]]=-1,"",(Tableau1[[#This Row],[CA 2024]]-Tableau1[[#This Row],[CA 2019]])/Tableau1[[#This Row],[CA 2019]]),"")</f>
        <v/>
      </c>
      <c r="AG113" s="9" t="str">
        <f>IFERROR(_xlfn.XLOOKUP(Tableau1[[#This Row],[Isin]]&amp;1&amp;2021,#REF!,Tableau3[EBE]),"")</f>
        <v/>
      </c>
      <c r="AH113" s="9" t="str">
        <f>IFERROR(_xlfn.XLOOKUP(Tableau1[[#This Row],[Isin]]&amp;1&amp;2022,#REF!,Tableau3[EBE]),"")</f>
        <v/>
      </c>
      <c r="AI113" s="43" t="s">
        <v>4343</v>
      </c>
      <c r="AJ113" s="43" t="s">
        <v>3150</v>
      </c>
      <c r="AK113" s="43" t="s">
        <v>3419</v>
      </c>
      <c r="AL113" s="43" t="s">
        <v>3149</v>
      </c>
      <c r="AM113" s="43"/>
      <c r="AN113" s="9" t="str">
        <f>IFERROR(_xlfn.XLOOKUP(Tableau1[[#This Row],[Isin]]&amp;1&amp;2021,#REF!,Tableau3[Chiffre d''affaires]),"")</f>
        <v/>
      </c>
      <c r="AO113" s="43" t="e" cm="1" vm="1">
        <f t="array" ref="AO113">_FV(Tableau1[[#This Row],[Code Excel]],"P/E",TRUE)</f>
        <v>#VALUE!</v>
      </c>
      <c r="AP113" s="43" t="str">
        <f>IFERROR(_xlfn.XLOOKUP(Tableau1[[#This Row],[Isin]]&amp;1&amp;2023,#REF!,Tableau3[Résultat Net (PdG)]),"")</f>
        <v/>
      </c>
      <c r="AQ113" s="43">
        <f>IF(IFERROR(_xlfn.XLOOKUP(Tableau1[[#This Row],[Isin]]&amp;1&amp;2022,#REF!,Tableau3[Résultat Net (PdG)]),"")="",Tableau1[[#This Row],[RN Groupe 2022
Manuel]],IFERROR(_xlfn.XLOOKUP(Tableau1[[#This Row],[Isin]]&amp;1&amp;2022,#REF!,Tableau3[Résultat Net (PdG)]),""))</f>
        <v>0</v>
      </c>
      <c r="AR113" s="43"/>
      <c r="AS113" s="43">
        <f>IF(IFERROR(_xlfn.XLOOKUP(Tableau1[[#This Row],[Isin]]&amp;1&amp;2021,#REF!,Tableau3[Résultat Net (PdG)]),"")="",Tableau1[[#This Row],[RN Groupe 2021
Manuel]],IFERROR(_xlfn.XLOOKUP(Tableau1[[#This Row],[Isin]]&amp;1&amp;2021,#REF!,Tableau3[Résultat Net (PdG)]),""))</f>
        <v>0</v>
      </c>
      <c r="AT113" s="43"/>
      <c r="AU113" s="43" t="str">
        <f>IFERROR(_xlfn.XLOOKUP(Tableau1[[#This Row],[Isin]]&amp;1&amp;2020,#REF!,Tableau3[Résultat Net (PdG)]),"")</f>
        <v/>
      </c>
      <c r="AV113" s="43" t="str">
        <f>IFERROR(_xlfn.XLOOKUP(Tableau1[[#This Row],[Isin]]&amp;1&amp;2019,#REF!,Tableau3[Résultat Net (PdG)]),"")</f>
        <v/>
      </c>
      <c r="AW113" s="43" t="str">
        <f>IFERROR(_xlfn.XLOOKUP(Tableau1[[#This Row],[Isin]]&amp;1&amp;2018,#REF!,Tableau3[Résultat Net (PdG)]),"")</f>
        <v/>
      </c>
      <c r="AX113" s="43" t="str">
        <f>IFERROR(_xlfn.XLOOKUP(Tableau1[[#This Row],[Isin]]&amp;1&amp;2017,#REF!,Tableau3[Résultat Net (PdG)]),"")</f>
        <v/>
      </c>
      <c r="AY113" s="43" t="str">
        <f>IFERROR(_xlfn.XLOOKUP(Tableau1[[#This Row],[Isin]]&amp;1&amp;2016,#REF!,Tableau3[Résultat Net (PdG)]),"")</f>
        <v/>
      </c>
      <c r="AZ113" s="137" t="str">
        <f ca="1">IFERROR(Tableau1[[#This Row],[Capitalisation boursière]]/Tableau1[[#This Row],[RN Groupe 2023]],"")</f>
        <v/>
      </c>
      <c r="BA113" s="4" t="s">
        <v>371</v>
      </c>
      <c r="BB113" s="43" t="e">
        <v>#N/A</v>
      </c>
      <c r="BC113" s="43" t="str">
        <f>IFERROR(_xlfn.XLOOKUP(Tableau1[[#This Row],[Isin]]&amp;1&amp;2016,#REF!,Tableau3[Capi]),"")</f>
        <v/>
      </c>
      <c r="BD113" s="43" t="str">
        <f>IFERROR(_xlfn.XLOOKUP(Tableau1[[#This Row],[Isin]]&amp;1&amp;2017,#REF!,Tableau3[Capi]),"")</f>
        <v/>
      </c>
      <c r="BE113" s="43" t="str">
        <f>IFERROR(_xlfn.XLOOKUP(Tableau1[[#This Row],[Isin]]&amp;1&amp;2018,#REF!,Tableau3[Capi]),"")</f>
        <v/>
      </c>
      <c r="BF113" s="43" t="str">
        <f>IFERROR(_xlfn.XLOOKUP(Tableau1[[#This Row],[Isin]]&amp;1&amp;2019,#REF!,Tableau3[Capi]),"")</f>
        <v/>
      </c>
      <c r="BG113" s="43" t="str">
        <f>IFERROR(_xlfn.XLOOKUP(Tableau1[[#This Row],[Isin]]&amp;1&amp;2020,#REF!,Tableau3[Capi]),"")</f>
        <v/>
      </c>
      <c r="BH113" s="43">
        <f>IF(IFERROR(_xlfn.XLOOKUP(Tableau1[[#This Row],[Isin]]&amp;1&amp;2021,#REF!,Tableau3[Capi]),"")="",Tableau1[[#This Row],[Capitalisation 2021
Manuel]],IFERROR(_xlfn.XLOOKUP(Tableau1[[#This Row],[Isin]]&amp;1&amp;2021,#REF!,Tableau3[Capi]),""))</f>
        <v>0</v>
      </c>
      <c r="BI113" s="43"/>
      <c r="BJ113" s="43">
        <f>IF(IFERROR(_xlfn.XLOOKUP(Tableau1[[#This Row],[Isin]]&amp;1&amp;2022,#REF!,Tableau3[Capi]),"")="",Tableau1[[#This Row],[Capitalisation 2022
Manuel]],IFERROR(_xlfn.XLOOKUP(Tableau1[[#This Row],[Isin]]&amp;1&amp;2022,#REF!,Tableau3[Capi]),""))</f>
        <v>0</v>
      </c>
      <c r="BK113" s="43"/>
      <c r="BL113" s="43">
        <f ca="1">Tableau1[[#This Row],[Capitalisation boursière]]</f>
        <v>1480075000</v>
      </c>
      <c r="BM113" s="162" t="str" cm="1">
        <f t="array" aca="1" ref="BM113" ca="1">_FV(Tableau1[[#This Row],[Code Excel]],"Description")</f>
        <v>Diamond Offshore Drilling, Inc. provides offshore drilling services. The Company provides contract drilling services to the energy industry around the globe with a fleet of approximately 13 offshore drilling rigs, consisting of four owned drill ships, seven owned semisubmersible rigs and two managed rigs. The Company also provides management and marketing services. It provides offshore drilling services to a customer base that includes independent oil and gas companies and government-owned oil companies. The Company's fleet enables it to offer services in the floater market on a worldwide basis. The principal markets for its offshore contract drilling services are the Gulf of Mexico, including the United States, and Mexico; Canada; South America, principally offshore Brazil; Australia and Southeast Asia; Europe, principally offshore the United Kingdom; East and West Africa, and the Mediterranean. Its semisubmersible rigs include Ocean Apex, Ocean Onyx, Ocean Valiant and Ocean Patriot.</v>
      </c>
      <c r="BN113" s="43"/>
      <c r="BO113" s="43"/>
      <c r="BP113" s="43"/>
      <c r="BQ113" s="43"/>
      <c r="BR113" s="4"/>
      <c r="BS113" s="21"/>
      <c r="BT113" s="13"/>
      <c r="BU113" s="13"/>
      <c r="BV113" s="13"/>
      <c r="BW113" s="13"/>
      <c r="BX113" s="13"/>
      <c r="BY113" s="3"/>
      <c r="BZ113" s="58"/>
      <c r="CA113" s="59"/>
    </row>
    <row r="114" spans="3:79">
      <c r="C114" s="43"/>
      <c r="D114" s="42">
        <f>IF(Tableau1[[#This Row],[Isin]]="",99,Tableau1[[#This Row],[Intérêt]]+Tableau1[[#This Row],[Valeur d''intérêt]]+Tableau1[[#This Row],[N° Portefeuille]])</f>
        <v>30</v>
      </c>
      <c r="E114" s="43"/>
      <c r="F114" s="42">
        <f>IF(Tableau1[[#This Row],[Portefeuille]]="p",0,Tableau1[[#This Row],[F. Investissement
Niveau d''intérêt]]*10)</f>
        <v>30</v>
      </c>
      <c r="G114" s="43">
        <f>IF(Tableau1[[#This Row],[Portefeuille]]="p",3,0)</f>
        <v>0</v>
      </c>
      <c r="H114" s="43">
        <v>3</v>
      </c>
      <c r="I114" s="43">
        <v>4</v>
      </c>
      <c r="J114" s="43"/>
      <c r="K114" s="43"/>
      <c r="L114" s="16">
        <v>0</v>
      </c>
      <c r="M11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4" s="44" t="s">
        <v>3752</v>
      </c>
      <c r="O114" s="45"/>
      <c r="P114" s="4" t="s">
        <v>564</v>
      </c>
      <c r="Q114" s="4"/>
      <c r="R114" s="6"/>
      <c r="S114" s="6" t="s">
        <v>3753</v>
      </c>
      <c r="T114" s="6" t="e" vm="102">
        <v>#VALUE!</v>
      </c>
      <c r="U114" s="46" cm="1">
        <f t="array" aca="1" ref="U114" ca="1">IFERROR(_FV(Tableau1[[#This Row],[Code Excel]],"Capitalisation boursière",TRUE),"")</f>
        <v>36595470000</v>
      </c>
      <c r="V114" s="4" t="str" cm="1">
        <f t="array" aca="1" ref="V114" ca="1">IFERROR(_FV(Tableau1[[#This Row],[Code Excel]],"Industrie"),"")</f>
        <v>Multiline Utilities</v>
      </c>
      <c r="W114" s="4" t="s">
        <v>371</v>
      </c>
      <c r="X114" s="4" t="str">
        <f ca="1">Tableau1[[#This Row],[Grand Secteur]]&amp;Tableau1[[#This Row],[Industrie]]</f>
        <v>EnergieMultiline Utilities</v>
      </c>
      <c r="Y114" s="23" cm="1">
        <f t="array" aca="1" ref="Y114" ca="1">IFERROR(_FV(Tableau1[[#This Row],[Code Excel]],"P/E",TRUE),"")</f>
        <v>7.79</v>
      </c>
      <c r="Z114" s="43" cm="1">
        <f t="array" aca="1" ref="Z114" ca="1">IFERROR(_FV(Tableau1[[#This Row],[Code Excel]],"Employés"),"")</f>
        <v>76566</v>
      </c>
      <c r="AA114" s="46">
        <f ca="1">IFERROR(Tableau1[[#This Row],[Capitalisation boursière]]/Tableau1[[#This Row],[Employés]],"")</f>
        <v>477959.79938876262</v>
      </c>
      <c r="AB114" s="5" t="str">
        <f>IFERROR(Tableau1[[#This Row],[REX (2021)]]/Tableau1[[#This Row],[CA 2024]],"")</f>
        <v/>
      </c>
      <c r="AC114" s="9" t="str">
        <f>IFERROR(_xlfn.XLOOKUP(Tableau1[[#This Row],[Isin]]&amp;1&amp;2021,#REF!,Tableau3[Résultat d''exploitation]),"")</f>
        <v/>
      </c>
      <c r="AD114" s="9" t="str">
        <f>IFERROR(_xlfn.XLOOKUP(Tableau1[[#This Row],[Isin]]&amp;1&amp;2019,#REF!,Tableau3[Chiffre d''affaires]),"")</f>
        <v/>
      </c>
      <c r="AE114" s="9" t="str">
        <f>IFERROR(_xlfn.XLOOKUP(Tableau1[[#This Row],[Isin]]&amp;1&amp;2024,#REF!,Tableau3[Chiffre d''affaires]),"")</f>
        <v/>
      </c>
      <c r="AF114" s="8" t="str">
        <f>IFERROR(IF((Tableau1[[#This Row],[CA 2024]]-Tableau1[[#This Row],[CA 2019]])/Tableau1[[#This Row],[CA 2019]]=-1,"",(Tableau1[[#This Row],[CA 2024]]-Tableau1[[#This Row],[CA 2019]])/Tableau1[[#This Row],[CA 2019]]),"")</f>
        <v/>
      </c>
      <c r="AG114" s="9" t="str">
        <f>IFERROR(_xlfn.XLOOKUP(Tableau1[[#This Row],[Isin]]&amp;1&amp;2021,#REF!,Tableau3[EBE]),"")</f>
        <v/>
      </c>
      <c r="AH114" s="9" t="str">
        <f>IFERROR(_xlfn.XLOOKUP(Tableau1[[#This Row],[Isin]]&amp;1&amp;2022,#REF!,Tableau3[EBE]),"")</f>
        <v/>
      </c>
      <c r="AI114" s="43" t="s">
        <v>4343</v>
      </c>
      <c r="AJ114" s="43" t="s">
        <v>3150</v>
      </c>
      <c r="AK114" s="43" t="s">
        <v>3419</v>
      </c>
      <c r="AL114" s="43"/>
      <c r="AM114" s="43"/>
      <c r="AN114" s="9" t="str">
        <f>IFERROR(_xlfn.XLOOKUP(Tableau1[[#This Row],[Isin]]&amp;1&amp;2021,#REF!,Tableau3[Chiffre d''affaires]),"")</f>
        <v/>
      </c>
      <c r="AO114" s="43" cm="1">
        <f t="array" aca="1" ref="AO114" ca="1">_FV(Tableau1[[#This Row],[Code Excel]],"P/E",TRUE)</f>
        <v>7.79</v>
      </c>
      <c r="AP114" s="43" t="str">
        <f>IFERROR(_xlfn.XLOOKUP(Tableau1[[#This Row],[Isin]]&amp;1&amp;2023,#REF!,Tableau3[Résultat Net (PdG)]),"")</f>
        <v/>
      </c>
      <c r="AQ114" s="43">
        <f>IF(IFERROR(_xlfn.XLOOKUP(Tableau1[[#This Row],[Isin]]&amp;1&amp;2022,#REF!,Tableau3[Résultat Net (PdG)]),"")="",Tableau1[[#This Row],[RN Groupe 2022
Manuel]],IFERROR(_xlfn.XLOOKUP(Tableau1[[#This Row],[Isin]]&amp;1&amp;2022,#REF!,Tableau3[Résultat Net (PdG)]),""))</f>
        <v>0</v>
      </c>
      <c r="AR114" s="43"/>
      <c r="AS114" s="43">
        <f>IF(IFERROR(_xlfn.XLOOKUP(Tableau1[[#This Row],[Isin]]&amp;1&amp;2021,#REF!,Tableau3[Résultat Net (PdG)]),"")="",Tableau1[[#This Row],[RN Groupe 2021
Manuel]],IFERROR(_xlfn.XLOOKUP(Tableau1[[#This Row],[Isin]]&amp;1&amp;2021,#REF!,Tableau3[Résultat Net (PdG)]),""))</f>
        <v>0</v>
      </c>
      <c r="AT114" s="43"/>
      <c r="AU114" s="43" t="str">
        <f>IFERROR(_xlfn.XLOOKUP(Tableau1[[#This Row],[Isin]]&amp;1&amp;2020,#REF!,Tableau3[Résultat Net (PdG)]),"")</f>
        <v/>
      </c>
      <c r="AV114" s="43" t="str">
        <f>IFERROR(_xlfn.XLOOKUP(Tableau1[[#This Row],[Isin]]&amp;1&amp;2019,#REF!,Tableau3[Résultat Net (PdG)]),"")</f>
        <v/>
      </c>
      <c r="AW114" s="43" t="str">
        <f>IFERROR(_xlfn.XLOOKUP(Tableau1[[#This Row],[Isin]]&amp;1&amp;2018,#REF!,Tableau3[Résultat Net (PdG)]),"")</f>
        <v/>
      </c>
      <c r="AX114" s="43" t="str">
        <f>IFERROR(_xlfn.XLOOKUP(Tableau1[[#This Row],[Isin]]&amp;1&amp;2017,#REF!,Tableau3[Résultat Net (PdG)]),"")</f>
        <v/>
      </c>
      <c r="AY114" s="43" t="str">
        <f>IFERROR(_xlfn.XLOOKUP(Tableau1[[#This Row],[Isin]]&amp;1&amp;2016,#REF!,Tableau3[Résultat Net (PdG)]),"")</f>
        <v/>
      </c>
      <c r="AZ114" s="137" t="str">
        <f ca="1">IFERROR(Tableau1[[#This Row],[Capitalisation boursière]]/Tableau1[[#This Row],[RN Groupe 2023]],"")</f>
        <v/>
      </c>
      <c r="BA114" s="4" t="s">
        <v>371</v>
      </c>
      <c r="BB114" s="43" t="s">
        <v>3487</v>
      </c>
      <c r="BC114" s="43" t="str">
        <f>IFERROR(_xlfn.XLOOKUP(Tableau1[[#This Row],[Isin]]&amp;1&amp;2016,#REF!,Tableau3[Capi]),"")</f>
        <v/>
      </c>
      <c r="BD114" s="43" t="str">
        <f>IFERROR(_xlfn.XLOOKUP(Tableau1[[#This Row],[Isin]]&amp;1&amp;2017,#REF!,Tableau3[Capi]),"")</f>
        <v/>
      </c>
      <c r="BE114" s="43" t="str">
        <f>IFERROR(_xlfn.XLOOKUP(Tableau1[[#This Row],[Isin]]&amp;1&amp;2018,#REF!,Tableau3[Capi]),"")</f>
        <v/>
      </c>
      <c r="BF114" s="43" t="str">
        <f>IFERROR(_xlfn.XLOOKUP(Tableau1[[#This Row],[Isin]]&amp;1&amp;2019,#REF!,Tableau3[Capi]),"")</f>
        <v/>
      </c>
      <c r="BG114" s="43" t="str">
        <f>IFERROR(_xlfn.XLOOKUP(Tableau1[[#This Row],[Isin]]&amp;1&amp;2020,#REF!,Tableau3[Capi]),"")</f>
        <v/>
      </c>
      <c r="BH114" s="43">
        <f>IF(IFERROR(_xlfn.XLOOKUP(Tableau1[[#This Row],[Isin]]&amp;1&amp;2021,#REF!,Tableau3[Capi]),"")="",Tableau1[[#This Row],[Capitalisation 2021
Manuel]],IFERROR(_xlfn.XLOOKUP(Tableau1[[#This Row],[Isin]]&amp;1&amp;2021,#REF!,Tableau3[Capi]),""))</f>
        <v>0</v>
      </c>
      <c r="BI114" s="43"/>
      <c r="BJ114" s="43">
        <f>IF(IFERROR(_xlfn.XLOOKUP(Tableau1[[#This Row],[Isin]]&amp;1&amp;2022,#REF!,Tableau3[Capi]),"")="",Tableau1[[#This Row],[Capitalisation 2022
Manuel]],IFERROR(_xlfn.XLOOKUP(Tableau1[[#This Row],[Isin]]&amp;1&amp;2022,#REF!,Tableau3[Capi]),""))</f>
        <v>0</v>
      </c>
      <c r="BK114" s="43"/>
      <c r="BL114" s="43">
        <f ca="1">Tableau1[[#This Row],[Capitalisation boursière]]</f>
        <v>36595470000</v>
      </c>
      <c r="BM114" s="162" t="str" cm="1">
        <f t="array" aca="1" ref="BM114" ca="1">_FV(Tableau1[[#This Row],[Code Excel]],"Description")</f>
        <v>E.ON SE est une entreprise énergétique basée en Allemagne. Les activités commerciales de la société sont divisées en quatre segments principaux : les réseaux d'énergie, les solutions clients, l'innogy et les énergies renouvelables. Le segment Réseaux énergétiques comprend ses réseaux de distribution d'électricité et de gaz et les activités connexes. Le segment Customer Solutions sert de plate-forme pour travailler avec ses clients afin de façonner la transition énergétique de l'Europe, en fournissant de l'électricité, du gaz et de la chaleur. Le segment Innogy comprend les activités de réseau et de vente, ainsi que les fonctions d'entreprise et les services internes du groupe innogy. Le secteur des énergies renouvelables construit, exploite et gère des actifs de production éolienne et solaire. De plus, elle possède une activité nucléaire en Allemagne, qui est exploitée par sa filiale PreussenElektra et n'est pas une activité stratégique. Les clients de la Société sont des particuliers, des petites et moyennes entreprises, des entreprises industrielles et commerciales et publiques.</v>
      </c>
      <c r="BN114" s="43"/>
      <c r="BO114" s="43"/>
      <c r="BP114" s="43"/>
      <c r="BQ114" s="43"/>
      <c r="BR114" s="4"/>
      <c r="BS114" s="21"/>
      <c r="BT114" s="13"/>
      <c r="BU114" s="13"/>
      <c r="BV114" s="13"/>
      <c r="BW114" s="13"/>
      <c r="BX114" s="13"/>
      <c r="BY114" s="3"/>
      <c r="BZ114" s="58"/>
      <c r="CA114" s="59"/>
    </row>
    <row r="115" spans="3:79">
      <c r="C115" s="42"/>
      <c r="D115" s="42">
        <f>IF(Tableau1[[#This Row],[Isin]]="",99,Tableau1[[#This Row],[Intérêt]]+Tableau1[[#This Row],[Valeur d''intérêt]]+Tableau1[[#This Row],[N° Portefeuille]])</f>
        <v>3</v>
      </c>
      <c r="E115" s="42"/>
      <c r="F115" s="42">
        <f>IF(Tableau1[[#This Row],[Portefeuille]]="p",0,Tableau1[[#This Row],[F. Investissement
Niveau d''intérêt]]*10)</f>
        <v>0</v>
      </c>
      <c r="G115" s="42">
        <f>IF(Tableau1[[#This Row],[Portefeuille]]="p",3,0)</f>
        <v>3</v>
      </c>
      <c r="H115" s="42">
        <v>1</v>
      </c>
      <c r="I115" s="42">
        <v>2</v>
      </c>
      <c r="J115" s="42"/>
      <c r="K115" s="43" t="s">
        <v>4362</v>
      </c>
      <c r="L115" s="16">
        <v>1</v>
      </c>
      <c r="M11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5" s="44" t="s">
        <v>3756</v>
      </c>
      <c r="O115" s="44" t="s">
        <v>4340</v>
      </c>
      <c r="P115" s="4" t="s">
        <v>47</v>
      </c>
      <c r="Q115" s="6" t="s">
        <v>48</v>
      </c>
      <c r="R115" s="6"/>
      <c r="S115" s="6" t="s">
        <v>52</v>
      </c>
      <c r="T115" s="6" t="e" vm="103">
        <v>#VALUE!</v>
      </c>
      <c r="U115" s="55" cm="1">
        <f t="array" aca="1" ref="U115" ca="1">IFERROR(_FV(Tableau1[[#This Row],[Code Excel]],"Capitalisation boursière",TRUE),"")</f>
        <v>3483056000</v>
      </c>
      <c r="V115" s="4" t="str" cm="1">
        <f t="array" aca="1" ref="V115" ca="1">IFERROR(_FV(Tableau1[[#This Row],[Code Excel]],"Industrie"),"")</f>
        <v>Passenger Transportation Services</v>
      </c>
      <c r="W115" s="4" t="s">
        <v>4337</v>
      </c>
      <c r="X115" s="4" t="str">
        <f ca="1">Tableau1[[#This Row],[Grand Secteur]]&amp;Tableau1[[#This Row],[Industrie]]</f>
        <v>TransportPassenger Transportation Services</v>
      </c>
      <c r="Y115" s="23" cm="1">
        <f t="array" aca="1" ref="Y115" ca="1">IFERROR(_FV(Tableau1[[#This Row],[Code Excel]],"P/E",TRUE),"")</f>
        <v>7.5963000000000003</v>
      </c>
      <c r="Z115" s="43" cm="1">
        <f t="array" aca="1" ref="Z115" ca="1">IFERROR(_FV(Tableau1[[#This Row],[Code Excel]],"Employés"),"")</f>
        <v>17639</v>
      </c>
      <c r="AA115" s="49">
        <f ca="1">IFERROR(Tableau1[[#This Row],[Capitalisation boursière]]/Tableau1[[#This Row],[Employés]],"")</f>
        <v>197463.34826237315</v>
      </c>
      <c r="AB115" s="5" t="str">
        <f>IFERROR(Tableau1[[#This Row],[REX (2021)]]/Tableau1[[#This Row],[CA 2024]],"")</f>
        <v/>
      </c>
      <c r="AC115" s="9" t="str">
        <f>IFERROR(_xlfn.XLOOKUP(Tableau1[[#This Row],[Isin]]&amp;1&amp;2021,#REF!,Tableau3[Résultat d''exploitation]),"")</f>
        <v/>
      </c>
      <c r="AD115" s="9" t="str">
        <f>IFERROR(_xlfn.XLOOKUP(Tableau1[[#This Row],[Isin]]&amp;1&amp;2019,#REF!,Tableau3[Chiffre d''affaires]),"")</f>
        <v/>
      </c>
      <c r="AE115" s="9" t="str">
        <f>IFERROR(_xlfn.XLOOKUP(Tableau1[[#This Row],[Isin]]&amp;1&amp;2024,#REF!,Tableau3[Chiffre d''affaires]),"")</f>
        <v/>
      </c>
      <c r="AF115" s="8" t="str">
        <f>IFERROR(IF((Tableau1[[#This Row],[CA 2024]]-Tableau1[[#This Row],[CA 2019]])/Tableau1[[#This Row],[CA 2019]]=-1,"",(Tableau1[[#This Row],[CA 2024]]-Tableau1[[#This Row],[CA 2019]])/Tableau1[[#This Row],[CA 2019]]),"")</f>
        <v/>
      </c>
      <c r="AG115" s="9" t="str">
        <f>IFERROR(_xlfn.XLOOKUP(Tableau1[[#This Row],[Isin]]&amp;1&amp;2021,#REF!,Tableau3[EBE]),"")</f>
        <v/>
      </c>
      <c r="AH115" s="9" t="str">
        <f>IFERROR(_xlfn.XLOOKUP(Tableau1[[#This Row],[Isin]]&amp;1&amp;2022,#REF!,Tableau3[EBE]),"")</f>
        <v/>
      </c>
      <c r="AI115" s="43" t="s">
        <v>3431</v>
      </c>
      <c r="AJ115" s="43" t="s">
        <v>4322</v>
      </c>
      <c r="AK115" s="43" t="s">
        <v>4338</v>
      </c>
      <c r="AL115" s="43" t="s">
        <v>3419</v>
      </c>
      <c r="AM115" s="43"/>
      <c r="AN115" s="9" t="str">
        <f>IFERROR(_xlfn.XLOOKUP(Tableau1[[#This Row],[Isin]]&amp;1&amp;2021,#REF!,Tableau3[Chiffre d''affaires]),"")</f>
        <v/>
      </c>
      <c r="AO115" s="43" cm="1">
        <f t="array" aca="1" ref="AO115" ca="1">_FV(Tableau1[[#This Row],[Code Excel]],"P/E",TRUE)</f>
        <v>7.5963000000000003</v>
      </c>
      <c r="AP115" s="43" t="str">
        <f>IFERROR(_xlfn.XLOOKUP(Tableau1[[#This Row],[Isin]]&amp;1&amp;2023,#REF!,Tableau3[Résultat Net (PdG)]),"")</f>
        <v/>
      </c>
      <c r="AQ115" s="43">
        <f>IF(IFERROR(_xlfn.XLOOKUP(Tableau1[[#This Row],[Isin]]&amp;1&amp;2022,#REF!,Tableau3[Résultat Net (PdG)]),"")="",Tableau1[[#This Row],[RN Groupe 2022
Manuel]],IFERROR(_xlfn.XLOOKUP(Tableau1[[#This Row],[Isin]]&amp;1&amp;2022,#REF!,Tableau3[Résultat Net (PdG)]),""))</f>
        <v>0</v>
      </c>
      <c r="AR115" s="43"/>
      <c r="AS115" s="43">
        <f>IF(IFERROR(_xlfn.XLOOKUP(Tableau1[[#This Row],[Isin]]&amp;1&amp;2021,#REF!,Tableau3[Résultat Net (PdG)]),"")="",Tableau1[[#This Row],[RN Groupe 2021
Manuel]],IFERROR(_xlfn.XLOOKUP(Tableau1[[#This Row],[Isin]]&amp;1&amp;2021,#REF!,Tableau3[Résultat Net (PdG)]),""))</f>
        <v>0</v>
      </c>
      <c r="AT115" s="43"/>
      <c r="AU115" s="43" t="str">
        <f>IFERROR(_xlfn.XLOOKUP(Tableau1[[#This Row],[Isin]]&amp;1&amp;2020,#REF!,Tableau3[Résultat Net (PdG)]),"")</f>
        <v/>
      </c>
      <c r="AV115" s="43" t="str">
        <f>IFERROR(_xlfn.XLOOKUP(Tableau1[[#This Row],[Isin]]&amp;1&amp;2019,#REF!,Tableau3[Résultat Net (PdG)]),"")</f>
        <v/>
      </c>
      <c r="AW115" s="43" t="str">
        <f>IFERROR(_xlfn.XLOOKUP(Tableau1[[#This Row],[Isin]]&amp;1&amp;2018,#REF!,Tableau3[Résultat Net (PdG)]),"")</f>
        <v/>
      </c>
      <c r="AX115" s="43" t="str">
        <f>IFERROR(_xlfn.XLOOKUP(Tableau1[[#This Row],[Isin]]&amp;1&amp;2017,#REF!,Tableau3[Résultat Net (PdG)]),"")</f>
        <v/>
      </c>
      <c r="AY115" s="43" t="str">
        <f>IFERROR(_xlfn.XLOOKUP(Tableau1[[#This Row],[Isin]]&amp;1&amp;2016,#REF!,Tableau3[Résultat Net (PdG)]),"")</f>
        <v/>
      </c>
      <c r="AZ115" s="137" t="str">
        <f ca="1">IFERROR(Tableau1[[#This Row],[Capitalisation boursière]]/Tableau1[[#This Row],[RN Groupe 2023]],"")</f>
        <v/>
      </c>
      <c r="BA115" s="4" t="str" cm="1">
        <f t="array" aca="1" ref="BA115" ca="1">IFERROR(_FV(Tableau1[[#This Row],[Code Excel]],"Industrie"),"")</f>
        <v>Passenger Transportation Services</v>
      </c>
      <c r="BB115" s="43" t="e">
        <v>#N/A</v>
      </c>
      <c r="BC115" s="43" t="str">
        <f>IFERROR(_xlfn.XLOOKUP(Tableau1[[#This Row],[Isin]]&amp;1&amp;2016,#REF!,Tableau3[Capi]),"")</f>
        <v/>
      </c>
      <c r="BD115" s="43" t="str">
        <f>IFERROR(_xlfn.XLOOKUP(Tableau1[[#This Row],[Isin]]&amp;1&amp;2017,#REF!,Tableau3[Capi]),"")</f>
        <v/>
      </c>
      <c r="BE115" s="43" t="str">
        <f>IFERROR(_xlfn.XLOOKUP(Tableau1[[#This Row],[Isin]]&amp;1&amp;2018,#REF!,Tableau3[Capi]),"")</f>
        <v/>
      </c>
      <c r="BF115" s="43" t="str">
        <f>IFERROR(_xlfn.XLOOKUP(Tableau1[[#This Row],[Isin]]&amp;1&amp;2019,#REF!,Tableau3[Capi]),"")</f>
        <v/>
      </c>
      <c r="BG115" s="43" t="str">
        <f>IFERROR(_xlfn.XLOOKUP(Tableau1[[#This Row],[Isin]]&amp;1&amp;2020,#REF!,Tableau3[Capi]),"")</f>
        <v/>
      </c>
      <c r="BH115" s="43">
        <f>IF(IFERROR(_xlfn.XLOOKUP(Tableau1[[#This Row],[Isin]]&amp;1&amp;2021,#REF!,Tableau3[Capi]),"")="",Tableau1[[#This Row],[Capitalisation 2021
Manuel]],IFERROR(_xlfn.XLOOKUP(Tableau1[[#This Row],[Isin]]&amp;1&amp;2021,#REF!,Tableau3[Capi]),""))</f>
        <v>0</v>
      </c>
      <c r="BI115" s="43"/>
      <c r="BJ115" s="43">
        <f>IF(IFERROR(_xlfn.XLOOKUP(Tableau1[[#This Row],[Isin]]&amp;1&amp;2022,#REF!,Tableau3[Capi]),"")="",Tableau1[[#This Row],[Capitalisation 2022
Manuel]],IFERROR(_xlfn.XLOOKUP(Tableau1[[#This Row],[Isin]]&amp;1&amp;2022,#REF!,Tableau3[Capi]),""))</f>
        <v>0</v>
      </c>
      <c r="BK115" s="43"/>
      <c r="BL115" s="43">
        <f ca="1">Tableau1[[#This Row],[Capitalisation boursière]]</f>
        <v>3483056000</v>
      </c>
      <c r="BM115" s="162" t="str" cm="1">
        <f t="array" aca="1" ref="BM115" ca="1">_FV(Tableau1[[#This Row],[Code Excel]],"Description")</f>
        <v>EasyJet Plc est une société holding basée au Royaume-Uni qui fournit des vols et des vacances à forfait, principalement en Europe. La Société opère dans deux segments : les activités aériennes et les activités de vacances. Le segment commercial des compagnies aériennes exploite son réseau de routes. Le secteur vacances vend des forfaits vacances. Sa flotte comprend A319, A320, A320 NEO et A321 NEO. Il relie les entreprises, les familles et les vacanciers à travers le Royaume-Uni, la France, l'Allemagne, l'Italie et d'autres destinations européennes. Elle vend des sièges via son propre site Web, www.easyjet.com et sa plateforme easyJet Worldwide, son application mobile, ses systèmes de distribution mondiaux, ses outils de réservation en ligne, ses agrégateurs de contenu et ses tour-opérateurs. Il permet aux passagers de réserver des vols sur les itinéraires aériens européens. Sa flotte totale comprend plus de 336 appareils, exploitant 1024 routes dans 36 pays et 155 aéroports. Ses filiales comprennent easyJet Airline Company Limited, easyJet Sterling Limited et d'autres.</v>
      </c>
      <c r="BN115" s="43"/>
      <c r="BO115" s="43"/>
      <c r="BP115" s="43"/>
      <c r="BQ115" s="43"/>
      <c r="BR115" s="4"/>
      <c r="BS115" s="21"/>
      <c r="BT115" s="13"/>
      <c r="BU115" s="13"/>
      <c r="BV115" s="13"/>
      <c r="BW115" s="13"/>
      <c r="BX115" s="13"/>
      <c r="BY115" s="3"/>
      <c r="BZ115" s="58"/>
      <c r="CA115" s="59"/>
    </row>
    <row r="116" spans="3:79">
      <c r="C116" s="43"/>
      <c r="D116" s="42">
        <f>IF(Tableau1[[#This Row],[Isin]]="",99,Tableau1[[#This Row],[Intérêt]]+Tableau1[[#This Row],[Valeur d''intérêt]]+Tableau1[[#This Row],[N° Portefeuille]])</f>
        <v>20</v>
      </c>
      <c r="E116" s="43"/>
      <c r="F116" s="42">
        <f>IF(Tableau1[[#This Row],[Portefeuille]]="p",0,Tableau1[[#This Row],[F. Investissement
Niveau d''intérêt]]*10)</f>
        <v>20</v>
      </c>
      <c r="G116" s="43">
        <f>IF(Tableau1[[#This Row],[Portefeuille]]="p",3,0)</f>
        <v>0</v>
      </c>
      <c r="H116" s="43">
        <v>2</v>
      </c>
      <c r="I116" s="43">
        <v>2</v>
      </c>
      <c r="J116" s="43"/>
      <c r="K116" s="43"/>
      <c r="L116" s="16">
        <v>1</v>
      </c>
      <c r="M11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6" s="44" t="s">
        <v>2395</v>
      </c>
      <c r="O116" s="44" t="s">
        <v>4389</v>
      </c>
      <c r="P116" s="4" t="s">
        <v>84</v>
      </c>
      <c r="Q116" s="6" t="s">
        <v>85</v>
      </c>
      <c r="R116" s="6"/>
      <c r="S116" s="6" t="s">
        <v>2397</v>
      </c>
      <c r="T116" s="6" t="e" vm="104">
        <v>#VALUE!</v>
      </c>
      <c r="U116" s="46" cm="1">
        <f t="array" aca="1" ref="U116" ca="1">IFERROR(_FV(Tableau1[[#This Row],[Code Excel]],"Capitalisation boursière",TRUE),"")</f>
        <v>7487327000</v>
      </c>
      <c r="V116" s="4" t="str" cm="1">
        <f t="array" aca="1" ref="V116" ca="1">IFERROR(_FV(Tableau1[[#This Row],[Code Excel]],"Industrie"),"")</f>
        <v>Professional &amp; Commercial Services</v>
      </c>
      <c r="W116" s="4" t="s">
        <v>2918</v>
      </c>
      <c r="X116" s="4" t="str">
        <f ca="1">Tableau1[[#This Row],[Grand Secteur]]&amp;Tableau1[[#This Row],[Industrie]]</f>
        <v>B to BProfessional &amp; Commercial Services</v>
      </c>
      <c r="Y116" s="23" cm="1">
        <f t="array" aca="1" ref="Y116" ca="1">IFERROR(_FV(Tableau1[[#This Row],[Code Excel]],"P/E",TRUE),"")</f>
        <v>14.985300000000001</v>
      </c>
      <c r="Z116" s="43" cm="1">
        <f t="array" aca="1" ref="Z116" ca="1">IFERROR(_FV(Tableau1[[#This Row],[Code Excel]],"Employés"),"")</f>
        <v>12507</v>
      </c>
      <c r="AA116" s="46">
        <f ca="1">IFERROR(Tableau1[[#This Row],[Capitalisation boursière]]/Tableau1[[#This Row],[Employés]],"")</f>
        <v>598650.91548732715</v>
      </c>
      <c r="AB116" s="5" t="str">
        <f>IFERROR(Tableau1[[#This Row],[REX (2021)]]/Tableau1[[#This Row],[CA 2024]],"")</f>
        <v/>
      </c>
      <c r="AC116" s="9" t="str">
        <f>IFERROR(_xlfn.XLOOKUP(Tableau1[[#This Row],[Isin]]&amp;1&amp;2021,#REF!,Tableau3[Résultat d''exploitation]),"")</f>
        <v/>
      </c>
      <c r="AD116" s="9" t="str">
        <f>IFERROR(_xlfn.XLOOKUP(Tableau1[[#This Row],[Isin]]&amp;1&amp;2019,#REF!,Tableau3[Chiffre d''affaires]),"")</f>
        <v/>
      </c>
      <c r="AE116" s="9" t="str">
        <f>IFERROR(_xlfn.XLOOKUP(Tableau1[[#This Row],[Isin]]&amp;1&amp;2024,#REF!,Tableau3[Chiffre d''affaires]),"")</f>
        <v/>
      </c>
      <c r="AF116" s="8" t="str">
        <f>IFERROR(IF((Tableau1[[#This Row],[CA 2024]]-Tableau1[[#This Row],[CA 2019]])/Tableau1[[#This Row],[CA 2019]]=-1,"",(Tableau1[[#This Row],[CA 2024]]-Tableau1[[#This Row],[CA 2019]])/Tableau1[[#This Row],[CA 2019]]),"")</f>
        <v/>
      </c>
      <c r="AG116" s="9" t="str">
        <f>IFERROR(_xlfn.XLOOKUP(Tableau1[[#This Row],[Isin]]&amp;1&amp;2021,#REF!,Tableau3[EBE]),"")</f>
        <v/>
      </c>
      <c r="AH116" s="9" t="str">
        <f>IFERROR(_xlfn.XLOOKUP(Tableau1[[#This Row],[Isin]]&amp;1&amp;2022,#REF!,Tableau3[EBE]),"")</f>
        <v/>
      </c>
      <c r="AI116" s="43" t="s">
        <v>4343</v>
      </c>
      <c r="AJ116" s="43" t="s">
        <v>4348</v>
      </c>
      <c r="AK116" s="43" t="s">
        <v>3431</v>
      </c>
      <c r="AL116" s="43" t="s">
        <v>3149</v>
      </c>
      <c r="AM116" s="43"/>
      <c r="AN116" s="9" t="str">
        <f>IFERROR(_xlfn.XLOOKUP(Tableau1[[#This Row],[Isin]]&amp;1&amp;2021,#REF!,Tableau3[Chiffre d''affaires]),"")</f>
        <v/>
      </c>
      <c r="AO116" s="43" cm="1">
        <f t="array" aca="1" ref="AO116" ca="1">_FV(Tableau1[[#This Row],[Code Excel]],"P/E",TRUE)</f>
        <v>14.985300000000001</v>
      </c>
      <c r="AP116" s="43" t="str">
        <f>IFERROR(_xlfn.XLOOKUP(Tableau1[[#This Row],[Isin]]&amp;1&amp;2023,#REF!,Tableau3[Résultat Net (PdG)]),"")</f>
        <v/>
      </c>
      <c r="AQ116" s="43">
        <f>IF(IFERROR(_xlfn.XLOOKUP(Tableau1[[#This Row],[Isin]]&amp;1&amp;2022,#REF!,Tableau3[Résultat Net (PdG)]),"")="",Tableau1[[#This Row],[RN Groupe 2022
Manuel]],IFERROR(_xlfn.XLOOKUP(Tableau1[[#This Row],[Isin]]&amp;1&amp;2022,#REF!,Tableau3[Résultat Net (PdG)]),""))</f>
        <v>0</v>
      </c>
      <c r="AR116" s="43"/>
      <c r="AS116" s="43">
        <f>IF(IFERROR(_xlfn.XLOOKUP(Tableau1[[#This Row],[Isin]]&amp;1&amp;2021,#REF!,Tableau3[Résultat Net (PdG)]),"")="",Tableau1[[#This Row],[RN Groupe 2021
Manuel]],IFERROR(_xlfn.XLOOKUP(Tableau1[[#This Row],[Isin]]&amp;1&amp;2021,#REF!,Tableau3[Résultat Net (PdG)]),""))</f>
        <v>0</v>
      </c>
      <c r="AT116" s="43"/>
      <c r="AU116" s="43" t="str">
        <f>IFERROR(_xlfn.XLOOKUP(Tableau1[[#This Row],[Isin]]&amp;1&amp;2020,#REF!,Tableau3[Résultat Net (PdG)]),"")</f>
        <v/>
      </c>
      <c r="AV116" s="43" t="str">
        <f>IFERROR(_xlfn.XLOOKUP(Tableau1[[#This Row],[Isin]]&amp;1&amp;2019,#REF!,Tableau3[Résultat Net (PdG)]),"")</f>
        <v/>
      </c>
      <c r="AW116" s="43" t="str">
        <f>IFERROR(_xlfn.XLOOKUP(Tableau1[[#This Row],[Isin]]&amp;1&amp;2018,#REF!,Tableau3[Résultat Net (PdG)]),"")</f>
        <v/>
      </c>
      <c r="AX116" s="43" t="str">
        <f>IFERROR(_xlfn.XLOOKUP(Tableau1[[#This Row],[Isin]]&amp;1&amp;2017,#REF!,Tableau3[Résultat Net (PdG)]),"")</f>
        <v/>
      </c>
      <c r="AY116" s="43" t="str">
        <f>IFERROR(_xlfn.XLOOKUP(Tableau1[[#This Row],[Isin]]&amp;1&amp;2016,#REF!,Tableau3[Résultat Net (PdG)]),"")</f>
        <v/>
      </c>
      <c r="AZ116" s="137" t="str">
        <f ca="1">IFERROR(Tableau1[[#This Row],[Capitalisation boursière]]/Tableau1[[#This Row],[RN Groupe 2023]],"")</f>
        <v/>
      </c>
      <c r="BA116" s="4" t="str" cm="1">
        <f t="array" aca="1" ref="BA116" ca="1">IFERROR(_FV(Tableau1[[#This Row],[Code Excel]],"Industrie"),"")</f>
        <v>Professional &amp; Commercial Services</v>
      </c>
      <c r="BB116" s="43" t="s">
        <v>3477</v>
      </c>
      <c r="BC116" s="43" t="str">
        <f>IFERROR(_xlfn.XLOOKUP(Tableau1[[#This Row],[Isin]]&amp;1&amp;2016,#REF!,Tableau3[Capi]),"")</f>
        <v/>
      </c>
      <c r="BD116" s="43" t="str">
        <f>IFERROR(_xlfn.XLOOKUP(Tableau1[[#This Row],[Isin]]&amp;1&amp;2017,#REF!,Tableau3[Capi]),"")</f>
        <v/>
      </c>
      <c r="BE116" s="43" t="str">
        <f>IFERROR(_xlfn.XLOOKUP(Tableau1[[#This Row],[Isin]]&amp;1&amp;2018,#REF!,Tableau3[Capi]),"")</f>
        <v/>
      </c>
      <c r="BF116" s="43" t="str">
        <f>IFERROR(_xlfn.XLOOKUP(Tableau1[[#This Row],[Isin]]&amp;1&amp;2019,#REF!,Tableau3[Capi]),"")</f>
        <v/>
      </c>
      <c r="BG116" s="43" t="str">
        <f>IFERROR(_xlfn.XLOOKUP(Tableau1[[#This Row],[Isin]]&amp;1&amp;2020,#REF!,Tableau3[Capi]),"")</f>
        <v/>
      </c>
      <c r="BH116" s="43">
        <f>IF(IFERROR(_xlfn.XLOOKUP(Tableau1[[#This Row],[Isin]]&amp;1&amp;2021,#REF!,Tableau3[Capi]),"")="",Tableau1[[#This Row],[Capitalisation 2021
Manuel]],IFERROR(_xlfn.XLOOKUP(Tableau1[[#This Row],[Isin]]&amp;1&amp;2021,#REF!,Tableau3[Capi]),""))</f>
        <v>0</v>
      </c>
      <c r="BI116" s="43"/>
      <c r="BJ116" s="43">
        <f>IF(IFERROR(_xlfn.XLOOKUP(Tableau1[[#This Row],[Isin]]&amp;1&amp;2022,#REF!,Tableau3[Capi]),"")="",Tableau1[[#This Row],[Capitalisation 2022
Manuel]],IFERROR(_xlfn.XLOOKUP(Tableau1[[#This Row],[Isin]]&amp;1&amp;2022,#REF!,Tableau3[Capi]),""))</f>
        <v>0</v>
      </c>
      <c r="BK116" s="43"/>
      <c r="BL116" s="43">
        <f ca="1">Tableau1[[#This Row],[Capitalisation boursière]]</f>
        <v>7487327000</v>
      </c>
      <c r="BM116" s="162" t="str" cm="1">
        <f t="array" aca="1" ref="BM116" ca="1">_FV(Tableau1[[#This Row],[Code Excel]],"Description")</f>
        <v>Edenred se, anciennement New services Holding sa, est une société française spécialisée dans la fourniture de bons de services prépayés aux entreprises. Il conçoit et gère des solutions qui améliorent l'efficacité des organisations et le pouvoir d'achat des individus. En veillant à ce que les fonds alloués soient utilisés spécifiquement comme prévu, les solutions de la Société permettent à ses clients de gérer plus efficacement leurs avantages sociaux (tels que ticket Restaurant, ticket Alimentacion, ticket Universal Employment Service Voucher (CESU) et Childcare Vouchers, entre autres), le processus de gestion des dépenses (ticket car, ticket Clean Way et Repom, entre autres) et des programmes d'incitation et de récompenses (tels que ticket compliments, ticket Kadeos, entre autres). Edenred sa accompagne également les institutions publiques dans la gestion de leurs programmes sociaux. La Société opère également par l'intermédiaire de Vasa Slovensko et est présente dans plus de 40 pays en Amérique, en Europe, en Afrique et en Asie. Il opère également par le biais de l'UTA.</v>
      </c>
      <c r="BN116" s="43"/>
      <c r="BO116" s="43"/>
      <c r="BP116" s="43"/>
      <c r="BQ116" s="43"/>
      <c r="BR116" s="4"/>
      <c r="BS116" s="21"/>
      <c r="BT116" s="13"/>
      <c r="BU116" s="13"/>
      <c r="BV116" s="13"/>
      <c r="BW116" s="13"/>
      <c r="BX116" s="13"/>
      <c r="BY116" s="3"/>
      <c r="BZ116" s="58"/>
      <c r="CA116" s="59"/>
    </row>
    <row r="117" spans="3:79">
      <c r="C117" s="42"/>
      <c r="D117" s="42">
        <f>IF(Tableau1[[#This Row],[Isin]]="",99,Tableau1[[#This Row],[Intérêt]]+Tableau1[[#This Row],[Valeur d''intérêt]]+Tableau1[[#This Row],[N° Portefeuille]])</f>
        <v>30</v>
      </c>
      <c r="E117" s="42"/>
      <c r="F117" s="42">
        <f>IF(Tableau1[[#This Row],[Portefeuille]]="p",0,Tableau1[[#This Row],[F. Investissement
Niveau d''intérêt]]*10)</f>
        <v>30</v>
      </c>
      <c r="G117" s="42">
        <f>IF(Tableau1[[#This Row],[Portefeuille]]="p",3,0)</f>
        <v>0</v>
      </c>
      <c r="H117" s="42">
        <v>3</v>
      </c>
      <c r="I117" s="42">
        <v>3</v>
      </c>
      <c r="J117" s="42"/>
      <c r="K117" s="43"/>
      <c r="L117" s="16">
        <v>1</v>
      </c>
      <c r="M11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7" s="44" t="s">
        <v>3759</v>
      </c>
      <c r="O117" s="44" t="s">
        <v>4390</v>
      </c>
      <c r="P117" s="4" t="s">
        <v>84</v>
      </c>
      <c r="Q117" s="6" t="s">
        <v>85</v>
      </c>
      <c r="R117" s="6"/>
      <c r="S117" s="6" t="s">
        <v>320</v>
      </c>
      <c r="T117" s="6" t="e" vm="105">
        <v>#VALUE!</v>
      </c>
      <c r="U117" s="46" cm="1">
        <f t="array" aca="1" ref="U117" ca="1">IFERROR(_FV(Tableau1[[#This Row],[Code Excel]],"Capitalisation boursière",TRUE),"")</f>
        <v>48011200000</v>
      </c>
      <c r="V117" s="4" t="str" cm="1">
        <f t="array" aca="1" ref="V117" ca="1">IFERROR(_FV(Tableau1[[#This Row],[Code Excel]],"Industrie"),"")</f>
        <v>Multiline Utilities</v>
      </c>
      <c r="W117" s="4" t="s">
        <v>371</v>
      </c>
      <c r="X117" s="4" t="str">
        <f ca="1">Tableau1[[#This Row],[Grand Secteur]]&amp;Tableau1[[#This Row],[Industrie]]</f>
        <v>EnergieMultiline Utilities</v>
      </c>
      <c r="Y117" s="23" cm="1">
        <f t="array" aca="1" ref="Y117" ca="1">IFERROR(_FV(Tableau1[[#This Row],[Code Excel]],"P/E",TRUE),"")</f>
        <v>0</v>
      </c>
      <c r="Z117" s="43" cm="1">
        <f t="array" aca="1" ref="Z117" ca="1">IFERROR(_FV(Tableau1[[#This Row],[Code Excel]],"Employés"),"")</f>
        <v>165028</v>
      </c>
      <c r="AA117" s="46">
        <f ca="1">IFERROR(Tableau1[[#This Row],[Capitalisation boursière]]/Tableau1[[#This Row],[Employés]],"")</f>
        <v>290927.6001648205</v>
      </c>
      <c r="AB117" s="5" t="str">
        <f>IFERROR(Tableau1[[#This Row],[REX (2021)]]/Tableau1[[#This Row],[CA 2024]],"")</f>
        <v/>
      </c>
      <c r="AC117" s="9" t="str">
        <f>IFERROR(_xlfn.XLOOKUP(Tableau1[[#This Row],[Isin]]&amp;1&amp;2021,#REF!,Tableau3[Résultat d''exploitation]),"")</f>
        <v/>
      </c>
      <c r="AD117" s="9" t="str">
        <f>IFERROR(_xlfn.XLOOKUP(Tableau1[[#This Row],[Isin]]&amp;1&amp;2019,#REF!,Tableau3[Chiffre d''affaires]),"")</f>
        <v/>
      </c>
      <c r="AE117" s="9" t="str">
        <f>IFERROR(_xlfn.XLOOKUP(Tableau1[[#This Row],[Isin]]&amp;1&amp;2024,#REF!,Tableau3[Chiffre d''affaires]),"")</f>
        <v/>
      </c>
      <c r="AF117" s="8" t="str">
        <f>IFERROR(IF((Tableau1[[#This Row],[CA 2024]]-Tableau1[[#This Row],[CA 2019]])/Tableau1[[#This Row],[CA 2019]]=-1,"",(Tableau1[[#This Row],[CA 2024]]-Tableau1[[#This Row],[CA 2019]])/Tableau1[[#This Row],[CA 2019]]),"")</f>
        <v/>
      </c>
      <c r="AG117" s="9" t="str">
        <f>IFERROR(_xlfn.XLOOKUP(Tableau1[[#This Row],[Isin]]&amp;1&amp;2021,#REF!,Tableau3[EBE]),"")</f>
        <v/>
      </c>
      <c r="AH117" s="9" t="str">
        <f>IFERROR(_xlfn.XLOOKUP(Tableau1[[#This Row],[Isin]]&amp;1&amp;2022,#REF!,Tableau3[EBE]),"")</f>
        <v/>
      </c>
      <c r="AI117" s="43" t="s">
        <v>4343</v>
      </c>
      <c r="AJ117" s="43" t="s">
        <v>3150</v>
      </c>
      <c r="AK117" s="43" t="s">
        <v>3419</v>
      </c>
      <c r="AL117" s="43" t="s">
        <v>3149</v>
      </c>
      <c r="AM117" s="43"/>
      <c r="AN117" s="9" t="str">
        <f>IFERROR(_xlfn.XLOOKUP(Tableau1[[#This Row],[Isin]]&amp;1&amp;2021,#REF!,Tableau3[Chiffre d''affaires]),"")</f>
        <v/>
      </c>
      <c r="AO117" s="43" cm="1">
        <f t="array" aca="1" ref="AO117" ca="1">_FV(Tableau1[[#This Row],[Code Excel]],"P/E",TRUE)</f>
        <v>0</v>
      </c>
      <c r="AP117" s="43" t="str">
        <f>IFERROR(_xlfn.XLOOKUP(Tableau1[[#This Row],[Isin]]&amp;1&amp;2023,#REF!,Tableau3[Résultat Net (PdG)]),"")</f>
        <v/>
      </c>
      <c r="AQ117" s="43">
        <f>IF(IFERROR(_xlfn.XLOOKUP(Tableau1[[#This Row],[Isin]]&amp;1&amp;2022,#REF!,Tableau3[Résultat Net (PdG)]),"")="",Tableau1[[#This Row],[RN Groupe 2022
Manuel]],IFERROR(_xlfn.XLOOKUP(Tableau1[[#This Row],[Isin]]&amp;1&amp;2022,#REF!,Tableau3[Résultat Net (PdG)]),""))</f>
        <v>0</v>
      </c>
      <c r="AR117" s="43"/>
      <c r="AS117" s="43">
        <f>IF(IFERROR(_xlfn.XLOOKUP(Tableau1[[#This Row],[Isin]]&amp;1&amp;2021,#REF!,Tableau3[Résultat Net (PdG)]),"")="",Tableau1[[#This Row],[RN Groupe 2021
Manuel]],IFERROR(_xlfn.XLOOKUP(Tableau1[[#This Row],[Isin]]&amp;1&amp;2021,#REF!,Tableau3[Résultat Net (PdG)]),""))</f>
        <v>0</v>
      </c>
      <c r="AT117" s="43"/>
      <c r="AU117" s="43" t="str">
        <f>IFERROR(_xlfn.XLOOKUP(Tableau1[[#This Row],[Isin]]&amp;1&amp;2020,#REF!,Tableau3[Résultat Net (PdG)]),"")</f>
        <v/>
      </c>
      <c r="AV117" s="43" t="str">
        <f>IFERROR(_xlfn.XLOOKUP(Tableau1[[#This Row],[Isin]]&amp;1&amp;2019,#REF!,Tableau3[Résultat Net (PdG)]),"")</f>
        <v/>
      </c>
      <c r="AW117" s="43" t="str">
        <f>IFERROR(_xlfn.XLOOKUP(Tableau1[[#This Row],[Isin]]&amp;1&amp;2018,#REF!,Tableau3[Résultat Net (PdG)]),"")</f>
        <v/>
      </c>
      <c r="AX117" s="43" t="str">
        <f>IFERROR(_xlfn.XLOOKUP(Tableau1[[#This Row],[Isin]]&amp;1&amp;2017,#REF!,Tableau3[Résultat Net (PdG)]),"")</f>
        <v/>
      </c>
      <c r="AY117" s="43" t="str">
        <f>IFERROR(_xlfn.XLOOKUP(Tableau1[[#This Row],[Isin]]&amp;1&amp;2016,#REF!,Tableau3[Résultat Net (PdG)]),"")</f>
        <v/>
      </c>
      <c r="AZ117" s="137" t="str">
        <f ca="1">IFERROR(Tableau1[[#This Row],[Capitalisation boursière]]/Tableau1[[#This Row],[RN Groupe 2023]],"")</f>
        <v/>
      </c>
      <c r="BA117" s="4" t="s">
        <v>371</v>
      </c>
      <c r="BB117" s="43" t="s">
        <v>3477</v>
      </c>
      <c r="BC117" s="43" t="str">
        <f>IFERROR(_xlfn.XLOOKUP(Tableau1[[#This Row],[Isin]]&amp;1&amp;2016,#REF!,Tableau3[Capi]),"")</f>
        <v/>
      </c>
      <c r="BD117" s="43" t="str">
        <f>IFERROR(_xlfn.XLOOKUP(Tableau1[[#This Row],[Isin]]&amp;1&amp;2017,#REF!,Tableau3[Capi]),"")</f>
        <v/>
      </c>
      <c r="BE117" s="43" t="str">
        <f>IFERROR(_xlfn.XLOOKUP(Tableau1[[#This Row],[Isin]]&amp;1&amp;2018,#REF!,Tableau3[Capi]),"")</f>
        <v/>
      </c>
      <c r="BF117" s="43" t="str">
        <f>IFERROR(_xlfn.XLOOKUP(Tableau1[[#This Row],[Isin]]&amp;1&amp;2019,#REF!,Tableau3[Capi]),"")</f>
        <v/>
      </c>
      <c r="BG117" s="43" t="str">
        <f>IFERROR(_xlfn.XLOOKUP(Tableau1[[#This Row],[Isin]]&amp;1&amp;2020,#REF!,Tableau3[Capi]),"")</f>
        <v/>
      </c>
      <c r="BH117" s="43">
        <f>IF(IFERROR(_xlfn.XLOOKUP(Tableau1[[#This Row],[Isin]]&amp;1&amp;2021,#REF!,Tableau3[Capi]),"")="",Tableau1[[#This Row],[Capitalisation 2021
Manuel]],IFERROR(_xlfn.XLOOKUP(Tableau1[[#This Row],[Isin]]&amp;1&amp;2021,#REF!,Tableau3[Capi]),""))</f>
        <v>0</v>
      </c>
      <c r="BI117" s="43"/>
      <c r="BJ117" s="43">
        <f>IF(IFERROR(_xlfn.XLOOKUP(Tableau1[[#This Row],[Isin]]&amp;1&amp;2022,#REF!,Tableau3[Capi]),"")="",Tableau1[[#This Row],[Capitalisation 2022
Manuel]],IFERROR(_xlfn.XLOOKUP(Tableau1[[#This Row],[Isin]]&amp;1&amp;2022,#REF!,Tableau3[Capi]),""))</f>
        <v>0</v>
      </c>
      <c r="BK117" s="43"/>
      <c r="BL117" s="43">
        <f ca="1">Tableau1[[#This Row],[Capitalisation boursière]]</f>
        <v>48011200000</v>
      </c>
      <c r="BM117" s="162" t="str" cm="1">
        <f t="array" aca="1" ref="BM117" ca="1">_FV(Tableau1[[#This Row],[Code Excel]],"Description")</f>
        <v xml:space="preserve">Electricite de France SA (EDF SA) is a France-based electricity producer, marketer and distributor. The Company generates energy using nuclear technology, as well as thermal, hydroelectric and other renewable sources. It is involved in energy generation and energy sales to industries, local authorities and residential consumers. In addition, EDF SA manages low and medium-voltage public distribution network and involves in electricity transmission network. It also provides energy services, such as district heating and thermal energy services. The group is present in France, Belgium, the United States, Poland, Italy, China, Vietnam and other countries worldwide. The Company has such subsidiaries Dalkia (including Citelum), under Dalkia's brand and SINOP Energy Company, among others. </v>
      </c>
      <c r="BN117" s="43"/>
      <c r="BO117" s="43"/>
      <c r="BP117" s="43"/>
      <c r="BQ117" s="43"/>
      <c r="BR117" s="4"/>
      <c r="BS117" s="21"/>
      <c r="BT117" s="13"/>
      <c r="BU117" s="13"/>
      <c r="BV117" s="13"/>
      <c r="BW117" s="13"/>
      <c r="BX117" s="13"/>
      <c r="BY117" s="3"/>
      <c r="BZ117" s="58"/>
      <c r="CA117" s="59"/>
    </row>
    <row r="118" spans="3:79">
      <c r="C118" s="43"/>
      <c r="D118" s="42">
        <f>IF(Tableau1[[#This Row],[Isin]]="",99,Tableau1[[#This Row],[Intérêt]]+Tableau1[[#This Row],[Valeur d''intérêt]]+Tableau1[[#This Row],[N° Portefeuille]])</f>
        <v>20</v>
      </c>
      <c r="E118" s="43"/>
      <c r="F118" s="42">
        <f>IF(Tableau1[[#This Row],[Portefeuille]]="p",0,Tableau1[[#This Row],[F. Investissement
Niveau d''intérêt]]*10)</f>
        <v>20</v>
      </c>
      <c r="G118" s="43">
        <f>IF(Tableau1[[#This Row],[Portefeuille]]="p",3,0)</f>
        <v>0</v>
      </c>
      <c r="H118" s="43">
        <v>2</v>
      </c>
      <c r="I118" s="43">
        <v>2</v>
      </c>
      <c r="J118" s="43"/>
      <c r="K118" s="43"/>
      <c r="L118" s="16">
        <v>1</v>
      </c>
      <c r="M11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8" s="44" t="s">
        <v>1947</v>
      </c>
      <c r="O118" s="44" t="s">
        <v>1926</v>
      </c>
      <c r="P118" s="4" t="s">
        <v>84</v>
      </c>
      <c r="Q118" s="6" t="s">
        <v>85</v>
      </c>
      <c r="R118" s="6"/>
      <c r="S118" s="6" t="s">
        <v>1950</v>
      </c>
      <c r="T118" s="6" t="e" vm="106">
        <v>#VALUE!</v>
      </c>
      <c r="U118" s="46" cm="1">
        <f t="array" aca="1" ref="U118" ca="1">IFERROR(_FV(Tableau1[[#This Row],[Code Excel]],"Capitalisation boursière",TRUE),"")</f>
        <v>10784900000</v>
      </c>
      <c r="V118" s="4" t="str" cm="1">
        <f t="array" aca="1" ref="V118" ca="1">IFERROR(_FV(Tableau1[[#This Row],[Code Excel]],"Industrie"),"")</f>
        <v>Construction &amp; Engineering</v>
      </c>
      <c r="W118" s="4" t="s">
        <v>1926</v>
      </c>
      <c r="X118" s="4" t="str">
        <f ca="1">Tableau1[[#This Row],[Grand Secteur]]&amp;Tableau1[[#This Row],[Industrie]]</f>
        <v>ConstructionConstruction &amp; Engineering</v>
      </c>
      <c r="Y118" s="23" cm="1">
        <f t="array" aca="1" ref="Y118" ca="1">IFERROR(_FV(Tableau1[[#This Row],[Code Excel]],"P/E",TRUE),"")</f>
        <v>9.6449999999999996</v>
      </c>
      <c r="Z118" s="43" cm="1">
        <f t="array" aca="1" ref="Z118" ca="1">IFERROR(_FV(Tableau1[[#This Row],[Code Excel]],"Employés"),"")</f>
        <v>81817</v>
      </c>
      <c r="AA118" s="46">
        <f ca="1">IFERROR(Tableau1[[#This Row],[Capitalisation boursière]]/Tableau1[[#This Row],[Employés]],"")</f>
        <v>131817.34847281128</v>
      </c>
      <c r="AB118" s="5" t="str">
        <f>IFERROR(Tableau1[[#This Row],[REX (2021)]]/Tableau1[[#This Row],[CA 2024]],"")</f>
        <v/>
      </c>
      <c r="AC118" s="9" t="str">
        <f>IFERROR(_xlfn.XLOOKUP(Tableau1[[#This Row],[Isin]]&amp;1&amp;2021,#REF!,Tableau3[Résultat d''exploitation]),"")</f>
        <v/>
      </c>
      <c r="AD118" s="9" t="str">
        <f>IFERROR(_xlfn.XLOOKUP(Tableau1[[#This Row],[Isin]]&amp;1&amp;2019,#REF!,Tableau3[Chiffre d''affaires]),"")</f>
        <v/>
      </c>
      <c r="AE118" s="9" t="str">
        <f>IFERROR(_xlfn.XLOOKUP(Tableau1[[#This Row],[Isin]]&amp;1&amp;2024,#REF!,Tableau3[Chiffre d''affaires]),"")</f>
        <v/>
      </c>
      <c r="AF118" s="8" t="str">
        <f>IFERROR(IF((Tableau1[[#This Row],[CA 2024]]-Tableau1[[#This Row],[CA 2019]])/Tableau1[[#This Row],[CA 2019]]=-1,"",(Tableau1[[#This Row],[CA 2024]]-Tableau1[[#This Row],[CA 2019]])/Tableau1[[#This Row],[CA 2019]]),"")</f>
        <v/>
      </c>
      <c r="AG118" s="9" t="str">
        <f>IFERROR(_xlfn.XLOOKUP(Tableau1[[#This Row],[Isin]]&amp;1&amp;2021,#REF!,Tableau3[EBE]),"")</f>
        <v/>
      </c>
      <c r="AH118" s="9" t="str">
        <f>IFERROR(_xlfn.XLOOKUP(Tableau1[[#This Row],[Isin]]&amp;1&amp;2022,#REF!,Tableau3[EBE]),"")</f>
        <v/>
      </c>
      <c r="AI118" s="43" t="s">
        <v>4329</v>
      </c>
      <c r="AJ118" s="43" t="s">
        <v>4322</v>
      </c>
      <c r="AK118" s="43" t="s">
        <v>3431</v>
      </c>
      <c r="AL118" s="43" t="s">
        <v>3148</v>
      </c>
      <c r="AM118" s="43"/>
      <c r="AN118" s="9" t="str">
        <f>IFERROR(_xlfn.XLOOKUP(Tableau1[[#This Row],[Isin]]&amp;1&amp;2021,#REF!,Tableau3[Chiffre d''affaires]),"")</f>
        <v/>
      </c>
      <c r="AO118" s="43" cm="1">
        <f t="array" aca="1" ref="AO118" ca="1">_FV(Tableau1[[#This Row],[Code Excel]],"P/E",TRUE)</f>
        <v>9.6449999999999996</v>
      </c>
      <c r="AP118" s="43" t="str">
        <f>IFERROR(_xlfn.XLOOKUP(Tableau1[[#This Row],[Isin]]&amp;1&amp;2023,#REF!,Tableau3[Résultat Net (PdG)]),"")</f>
        <v/>
      </c>
      <c r="AQ118" s="43">
        <f>IF(IFERROR(_xlfn.XLOOKUP(Tableau1[[#This Row],[Isin]]&amp;1&amp;2022,#REF!,Tableau3[Résultat Net (PdG)]),"")="",Tableau1[[#This Row],[RN Groupe 2022
Manuel]],IFERROR(_xlfn.XLOOKUP(Tableau1[[#This Row],[Isin]]&amp;1&amp;2022,#REF!,Tableau3[Résultat Net (PdG)]),""))</f>
        <v>0</v>
      </c>
      <c r="AR118" s="43"/>
      <c r="AS118" s="43">
        <f>IF(IFERROR(_xlfn.XLOOKUP(Tableau1[[#This Row],[Isin]]&amp;1&amp;2021,#REF!,Tableau3[Résultat Net (PdG)]),"")="",Tableau1[[#This Row],[RN Groupe 2021
Manuel]],IFERROR(_xlfn.XLOOKUP(Tableau1[[#This Row],[Isin]]&amp;1&amp;2021,#REF!,Tableau3[Résultat Net (PdG)]),""))</f>
        <v>0</v>
      </c>
      <c r="AT118" s="43"/>
      <c r="AU118" s="43" t="str">
        <f>IFERROR(_xlfn.XLOOKUP(Tableau1[[#This Row],[Isin]]&amp;1&amp;2020,#REF!,Tableau3[Résultat Net (PdG)]),"")</f>
        <v/>
      </c>
      <c r="AV118" s="43" t="str">
        <f>IFERROR(_xlfn.XLOOKUP(Tableau1[[#This Row],[Isin]]&amp;1&amp;2019,#REF!,Tableau3[Résultat Net (PdG)]),"")</f>
        <v/>
      </c>
      <c r="AW118" s="43" t="str">
        <f>IFERROR(_xlfn.XLOOKUP(Tableau1[[#This Row],[Isin]]&amp;1&amp;2018,#REF!,Tableau3[Résultat Net (PdG)]),"")</f>
        <v/>
      </c>
      <c r="AX118" s="43" t="str">
        <f>IFERROR(_xlfn.XLOOKUP(Tableau1[[#This Row],[Isin]]&amp;1&amp;2017,#REF!,Tableau3[Résultat Net (PdG)]),"")</f>
        <v/>
      </c>
      <c r="AY118" s="43" t="str">
        <f>IFERROR(_xlfn.XLOOKUP(Tableau1[[#This Row],[Isin]]&amp;1&amp;2016,#REF!,Tableau3[Résultat Net (PdG)]),"")</f>
        <v/>
      </c>
      <c r="AZ118" s="137" t="str">
        <f ca="1">IFERROR(Tableau1[[#This Row],[Capitalisation boursière]]/Tableau1[[#This Row],[RN Groupe 2023]],"")</f>
        <v/>
      </c>
      <c r="BA118" s="4" t="str" cm="1">
        <f t="array" aca="1" ref="BA118" ca="1">IFERROR(_FV(Tableau1[[#This Row],[Code Excel]],"Industrie"),"")</f>
        <v>Construction &amp; Engineering</v>
      </c>
      <c r="BB118" s="43" t="s">
        <v>3477</v>
      </c>
      <c r="BC118" s="43" t="str">
        <f>IFERROR(_xlfn.XLOOKUP(Tableau1[[#This Row],[Isin]]&amp;1&amp;2016,#REF!,Tableau3[Capi]),"")</f>
        <v/>
      </c>
      <c r="BD118" s="43" t="str">
        <f>IFERROR(_xlfn.XLOOKUP(Tableau1[[#This Row],[Isin]]&amp;1&amp;2017,#REF!,Tableau3[Capi]),"")</f>
        <v/>
      </c>
      <c r="BE118" s="43" t="str">
        <f>IFERROR(_xlfn.XLOOKUP(Tableau1[[#This Row],[Isin]]&amp;1&amp;2018,#REF!,Tableau3[Capi]),"")</f>
        <v/>
      </c>
      <c r="BF118" s="43" t="str">
        <f>IFERROR(_xlfn.XLOOKUP(Tableau1[[#This Row],[Isin]]&amp;1&amp;2019,#REF!,Tableau3[Capi]),"")</f>
        <v/>
      </c>
      <c r="BG118" s="43" t="str">
        <f>IFERROR(_xlfn.XLOOKUP(Tableau1[[#This Row],[Isin]]&amp;1&amp;2020,#REF!,Tableau3[Capi]),"")</f>
        <v/>
      </c>
      <c r="BH118" s="43">
        <f>IF(IFERROR(_xlfn.XLOOKUP(Tableau1[[#This Row],[Isin]]&amp;1&amp;2021,#REF!,Tableau3[Capi]),"")="",Tableau1[[#This Row],[Capitalisation 2021
Manuel]],IFERROR(_xlfn.XLOOKUP(Tableau1[[#This Row],[Isin]]&amp;1&amp;2021,#REF!,Tableau3[Capi]),""))</f>
        <v>0</v>
      </c>
      <c r="BI118" s="43"/>
      <c r="BJ118" s="43">
        <f>IF(IFERROR(_xlfn.XLOOKUP(Tableau1[[#This Row],[Isin]]&amp;1&amp;2022,#REF!,Tableau3[Capi]),"")="",Tableau1[[#This Row],[Capitalisation 2022
Manuel]],IFERROR(_xlfn.XLOOKUP(Tableau1[[#This Row],[Isin]]&amp;1&amp;2022,#REF!,Tableau3[Capi]),""))</f>
        <v>0</v>
      </c>
      <c r="BK118" s="43"/>
      <c r="BL118" s="43">
        <f ca="1">Tableau1[[#This Row],[Capitalisation boursière]]</f>
        <v>10784900000</v>
      </c>
      <c r="BM118" s="162" t="str" cm="1">
        <f t="array" aca="1" ref="BM118" ca="1">_FV(Tableau1[[#This Row],[Code Excel]],"Description")</f>
        <v>Eiffage sa est une société française qui fournit des services de groupe construction et concessions. Elle mène des activités à travers cinq divisions telles que la construction et l'entretien d'infrastructures de transport et de génie civil : routes, autoroutes, ponts, chemins de fer, etc En outre, le groupe produit et commercialise des agrégats, des revêtements et des liants ; conception, construction, et maintenance d'installations électriques, climatiques et mécaniques ; construction et rénovation de bâtiments : maisons, bureaux, centres commerciaux, parkings, stades, prisons, hôpitaux, etc De plus, la Société développe une activité de développement immobilier ; construction et gestion sous concession d'infrastructures et de structures ; et autres.</v>
      </c>
      <c r="BN118" s="43"/>
      <c r="BO118" s="43"/>
      <c r="BP118" s="43"/>
      <c r="BQ118" s="43"/>
      <c r="BR118" s="4"/>
      <c r="BS118" s="21"/>
      <c r="BT118" s="13"/>
      <c r="BU118" s="13"/>
      <c r="BV118" s="13"/>
      <c r="BW118" s="13"/>
      <c r="BX118" s="13"/>
      <c r="BY118" s="3"/>
      <c r="BZ118" s="58"/>
      <c r="CA118" s="59"/>
    </row>
    <row r="119" spans="3:79">
      <c r="C119" s="42"/>
      <c r="D119" s="42">
        <f>IF(Tableau1[[#This Row],[Isin]]="",99,Tableau1[[#This Row],[Intérêt]]+Tableau1[[#This Row],[Valeur d''intérêt]]+Tableau1[[#This Row],[N° Portefeuille]])</f>
        <v>30</v>
      </c>
      <c r="E119" s="42"/>
      <c r="F119" s="42">
        <f>IF(Tableau1[[#This Row],[Portefeuille]]="p",0,Tableau1[[#This Row],[F. Investissement
Niveau d''intérêt]]*10)</f>
        <v>30</v>
      </c>
      <c r="G119" s="42">
        <f>IF(Tableau1[[#This Row],[Portefeuille]]="p",3,0)</f>
        <v>0</v>
      </c>
      <c r="H119" s="42">
        <v>3</v>
      </c>
      <c r="I119" s="42">
        <v>4</v>
      </c>
      <c r="J119" s="42"/>
      <c r="K119" s="43"/>
      <c r="L119" s="16">
        <v>0</v>
      </c>
      <c r="M11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19" s="44" t="s">
        <v>3762</v>
      </c>
      <c r="O119" s="45"/>
      <c r="P119" s="4" t="s">
        <v>382</v>
      </c>
      <c r="Q119" s="4"/>
      <c r="R119" s="6"/>
      <c r="S119" s="6" t="s">
        <v>3763</v>
      </c>
      <c r="T119" s="6" t="e" vm="107">
        <v>#VALUE!</v>
      </c>
      <c r="U119" s="46" cm="1">
        <f t="array" aca="1" ref="U119" ca="1">IFERROR(_FV(Tableau1[[#This Row],[Code Excel]],"Capitalisation boursière",TRUE),"")</f>
        <v>37474204704</v>
      </c>
      <c r="V119" s="4" t="str" cm="1">
        <f t="array" aca="1" ref="V119" ca="1">IFERROR(_FV(Tableau1[[#This Row],[Code Excel]],"Industrie"),"")</f>
        <v>Software &amp; IT Services</v>
      </c>
      <c r="W119" s="4" t="s">
        <v>4333</v>
      </c>
      <c r="X119" s="4" t="str">
        <f ca="1">Tableau1[[#This Row],[Grand Secteur]]&amp;Tableau1[[#This Row],[Industrie]]</f>
        <v>Logiciels et TechnologieSoftware &amp; IT Services</v>
      </c>
      <c r="Y119" s="23" cm="1">
        <f t="array" aca="1" ref="Y119" ca="1">IFERROR(_FV(Tableau1[[#This Row],[Code Excel]],"P/E",TRUE),"")</f>
        <v>36.57</v>
      </c>
      <c r="Z119" s="43" cm="1">
        <f t="array" aca="1" ref="Z119" ca="1">IFERROR(_FV(Tableau1[[#This Row],[Code Excel]],"Employés"),"")</f>
        <v>13700</v>
      </c>
      <c r="AA119" s="49">
        <f ca="1">IFERROR(Tableau1[[#This Row],[Capitalisation boursière]]/Tableau1[[#This Row],[Employés]],"")</f>
        <v>2735343.4090510947</v>
      </c>
      <c r="AB119" s="5" t="str">
        <f>IFERROR(Tableau1[[#This Row],[REX (2021)]]/Tableau1[[#This Row],[CA 2024]],"")</f>
        <v/>
      </c>
      <c r="AC119" s="9" t="str">
        <f>IFERROR(_xlfn.XLOOKUP(Tableau1[[#This Row],[Isin]]&amp;1&amp;2021,#REF!,Tableau3[Résultat d''exploitation]),"")</f>
        <v/>
      </c>
      <c r="AD119" s="9" t="str">
        <f>IFERROR(_xlfn.XLOOKUP(Tableau1[[#This Row],[Isin]]&amp;1&amp;2019,#REF!,Tableau3[Chiffre d''affaires]),"")</f>
        <v/>
      </c>
      <c r="AE119" s="9" t="str">
        <f>IFERROR(_xlfn.XLOOKUP(Tableau1[[#This Row],[Isin]]&amp;1&amp;2024,#REF!,Tableau3[Chiffre d''affaires]),"")</f>
        <v/>
      </c>
      <c r="AF119" s="8" t="str">
        <f>IFERROR(IF((Tableau1[[#This Row],[CA 2024]]-Tableau1[[#This Row],[CA 2019]])/Tableau1[[#This Row],[CA 2019]]=-1,"",(Tableau1[[#This Row],[CA 2024]]-Tableau1[[#This Row],[CA 2019]])/Tableau1[[#This Row],[CA 2019]]),"")</f>
        <v/>
      </c>
      <c r="AG119" s="9" t="str">
        <f>IFERROR(_xlfn.XLOOKUP(Tableau1[[#This Row],[Isin]]&amp;1&amp;2021,#REF!,Tableau3[EBE]),"")</f>
        <v/>
      </c>
      <c r="AH119" s="9" t="str">
        <f>IFERROR(_xlfn.XLOOKUP(Tableau1[[#This Row],[Isin]]&amp;1&amp;2022,#REF!,Tableau3[EBE]),"")</f>
        <v/>
      </c>
      <c r="AI119" s="43" t="s">
        <v>4324</v>
      </c>
      <c r="AJ119" s="43" t="s">
        <v>4334</v>
      </c>
      <c r="AK119" s="43" t="s">
        <v>3148</v>
      </c>
      <c r="AL119" s="43"/>
      <c r="AM119" s="43"/>
      <c r="AN119" s="9" t="str">
        <f>IFERROR(_xlfn.XLOOKUP(Tableau1[[#This Row],[Isin]]&amp;1&amp;2021,#REF!,Tableau3[Chiffre d''affaires]),"")</f>
        <v/>
      </c>
      <c r="AO119" s="43" cm="1">
        <f t="array" aca="1" ref="AO119" ca="1">_FV(Tableau1[[#This Row],[Code Excel]],"P/E",TRUE)</f>
        <v>36.57</v>
      </c>
      <c r="AP119" s="43" t="str">
        <f>IFERROR(_xlfn.XLOOKUP(Tableau1[[#This Row],[Isin]]&amp;1&amp;2023,#REF!,Tableau3[Résultat Net (PdG)]),"")</f>
        <v/>
      </c>
      <c r="AQ119" s="43">
        <f>IF(IFERROR(_xlfn.XLOOKUP(Tableau1[[#This Row],[Isin]]&amp;1&amp;2022,#REF!,Tableau3[Résultat Net (PdG)]),"")="",Tableau1[[#This Row],[RN Groupe 2022
Manuel]],IFERROR(_xlfn.XLOOKUP(Tableau1[[#This Row],[Isin]]&amp;1&amp;2022,#REF!,Tableau3[Résultat Net (PdG)]),""))</f>
        <v>0</v>
      </c>
      <c r="AR119" s="43"/>
      <c r="AS119" s="43">
        <f>IF(IFERROR(_xlfn.XLOOKUP(Tableau1[[#This Row],[Isin]]&amp;1&amp;2021,#REF!,Tableau3[Résultat Net (PdG)]),"")="",Tableau1[[#This Row],[RN Groupe 2021
Manuel]],IFERROR(_xlfn.XLOOKUP(Tableau1[[#This Row],[Isin]]&amp;1&amp;2021,#REF!,Tableau3[Résultat Net (PdG)]),""))</f>
        <v>0</v>
      </c>
      <c r="AT119" s="43"/>
      <c r="AU119" s="43" t="str">
        <f>IFERROR(_xlfn.XLOOKUP(Tableau1[[#This Row],[Isin]]&amp;1&amp;2020,#REF!,Tableau3[Résultat Net (PdG)]),"")</f>
        <v/>
      </c>
      <c r="AV119" s="43" t="str">
        <f>IFERROR(_xlfn.XLOOKUP(Tableau1[[#This Row],[Isin]]&amp;1&amp;2019,#REF!,Tableau3[Résultat Net (PdG)]),"")</f>
        <v/>
      </c>
      <c r="AW119" s="43" t="str">
        <f>IFERROR(_xlfn.XLOOKUP(Tableau1[[#This Row],[Isin]]&amp;1&amp;2018,#REF!,Tableau3[Résultat Net (PdG)]),"")</f>
        <v/>
      </c>
      <c r="AX119" s="43" t="str">
        <f>IFERROR(_xlfn.XLOOKUP(Tableau1[[#This Row],[Isin]]&amp;1&amp;2017,#REF!,Tableau3[Résultat Net (PdG)]),"")</f>
        <v/>
      </c>
      <c r="AY119" s="43" t="str">
        <f>IFERROR(_xlfn.XLOOKUP(Tableau1[[#This Row],[Isin]]&amp;1&amp;2016,#REF!,Tableau3[Résultat Net (PdG)]),"")</f>
        <v/>
      </c>
      <c r="AZ119" s="137" t="str">
        <f ca="1">IFERROR(Tableau1[[#This Row],[Capitalisation boursière]]/Tableau1[[#This Row],[RN Groupe 2023]],"")</f>
        <v/>
      </c>
      <c r="BA119" s="4" t="str" cm="1">
        <f t="array" aca="1" ref="BA119" ca="1">IFERROR(_FV(Tableau1[[#This Row],[Code Excel]],"Industrie"),"")</f>
        <v>Software &amp; IT Services</v>
      </c>
      <c r="BB119" s="43" t="s">
        <v>3491</v>
      </c>
      <c r="BC119" s="43" t="str">
        <f>IFERROR(_xlfn.XLOOKUP(Tableau1[[#This Row],[Isin]]&amp;1&amp;2016,#REF!,Tableau3[Capi]),"")</f>
        <v/>
      </c>
      <c r="BD119" s="43" t="str">
        <f>IFERROR(_xlfn.XLOOKUP(Tableau1[[#This Row],[Isin]]&amp;1&amp;2017,#REF!,Tableau3[Capi]),"")</f>
        <v/>
      </c>
      <c r="BE119" s="43" t="str">
        <f>IFERROR(_xlfn.XLOOKUP(Tableau1[[#This Row],[Isin]]&amp;1&amp;2018,#REF!,Tableau3[Capi]),"")</f>
        <v/>
      </c>
      <c r="BF119" s="43" t="str">
        <f>IFERROR(_xlfn.XLOOKUP(Tableau1[[#This Row],[Isin]]&amp;1&amp;2019,#REF!,Tableau3[Capi]),"")</f>
        <v/>
      </c>
      <c r="BG119" s="43" t="str">
        <f>IFERROR(_xlfn.XLOOKUP(Tableau1[[#This Row],[Isin]]&amp;1&amp;2020,#REF!,Tableau3[Capi]),"")</f>
        <v/>
      </c>
      <c r="BH119" s="43">
        <f>IF(IFERROR(_xlfn.XLOOKUP(Tableau1[[#This Row],[Isin]]&amp;1&amp;2021,#REF!,Tableau3[Capi]),"")="",Tableau1[[#This Row],[Capitalisation 2021
Manuel]],IFERROR(_xlfn.XLOOKUP(Tableau1[[#This Row],[Isin]]&amp;1&amp;2021,#REF!,Tableau3[Capi]),""))</f>
        <v>0</v>
      </c>
      <c r="BI119" s="43"/>
      <c r="BJ119" s="43">
        <f>IF(IFERROR(_xlfn.XLOOKUP(Tableau1[[#This Row],[Isin]]&amp;1&amp;2022,#REF!,Tableau3[Capi]),"")="",Tableau1[[#This Row],[Capitalisation 2022
Manuel]],IFERROR(_xlfn.XLOOKUP(Tableau1[[#This Row],[Isin]]&amp;1&amp;2022,#REF!,Tableau3[Capi]),""))</f>
        <v>0</v>
      </c>
      <c r="BK119" s="43"/>
      <c r="BL119" s="43">
        <f ca="1">Tableau1[[#This Row],[Capitalisation boursière]]</f>
        <v>37474204704</v>
      </c>
      <c r="BM119" s="162" t="str" cm="1">
        <f t="array" aca="1" ref="BM119" ca="1">_FV(Tableau1[[#This Row],[Code Excel]],"Description")</f>
        <v>Electronic Arts Inc. est une société de divertissement interactif numérique. La Société développe, commercialise, publie et fournit des jeux, du contenu et des services auxquels les consommateurs peuvent jouer sur une gamme de plates-formes, notamment des consoles de jeux, des ordinateurs personnels (PC), des téléphones mobiles et des tablettes. Son portefeuille comprend des marques qu'il détient à 100%, telles que Apex Legends, Battlefield et Les Sims, ou des licences d'autres, telles que Madden NFL, Star Wars et les plus de 300 licences de son écosystème de football mondial. La société développe et publie des jeux et des services dans divers genres, tels que le sport, la course, le jeu de tir à la première personne, l'action, le jeu de rôle et la simulation. La Société commercialise et vend ses jeux et services par l'intermédiaire de canaux de vente au détail et de canaux de distribution numériques. La Société propose également des services en direct, notamment du contenu, des offres d'abonnement et la vente de ses jeux de base et de ses jeux gratuits.</v>
      </c>
      <c r="BN119" s="43"/>
      <c r="BO119" s="43"/>
      <c r="BP119" s="43"/>
      <c r="BQ119" s="43"/>
      <c r="BR119" s="4"/>
      <c r="BS119" s="21"/>
      <c r="BT119" s="13"/>
      <c r="BU119" s="13"/>
      <c r="BV119" s="13"/>
      <c r="BW119" s="13"/>
      <c r="BX119" s="13"/>
      <c r="BY119" s="3"/>
      <c r="BZ119" s="58"/>
      <c r="CA119" s="59"/>
    </row>
    <row r="120" spans="3:79">
      <c r="C120" s="43"/>
      <c r="D120" s="42">
        <f>IF(Tableau1[[#This Row],[Isin]]="",99,Tableau1[[#This Row],[Intérêt]]+Tableau1[[#This Row],[Valeur d''intérêt]]+Tableau1[[#This Row],[N° Portefeuille]])</f>
        <v>30</v>
      </c>
      <c r="E120" s="43"/>
      <c r="F120" s="42">
        <f>IF(Tableau1[[#This Row],[Portefeuille]]="p",0,Tableau1[[#This Row],[F. Investissement
Niveau d''intérêt]]*10)</f>
        <v>30</v>
      </c>
      <c r="G120" s="43">
        <f>IF(Tableau1[[#This Row],[Portefeuille]]="p",3,0)</f>
        <v>0</v>
      </c>
      <c r="H120" s="43">
        <v>3</v>
      </c>
      <c r="I120" s="43">
        <v>4</v>
      </c>
      <c r="J120" s="43"/>
      <c r="K120" s="43"/>
      <c r="L120" s="16">
        <v>0</v>
      </c>
      <c r="M12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0" s="44" t="s">
        <v>3765</v>
      </c>
      <c r="O120" s="45"/>
      <c r="P120" s="4" t="s">
        <v>382</v>
      </c>
      <c r="Q120" s="4"/>
      <c r="R120" s="6"/>
      <c r="S120" s="6" t="s">
        <v>3766</v>
      </c>
      <c r="T120" s="6" t="e" vm="108">
        <v>#VALUE!</v>
      </c>
      <c r="U120" s="46" cm="1">
        <f t="array" aca="1" ref="U120" ca="1">IFERROR(_FV(Tableau1[[#This Row],[Code Excel]],"Capitalisation boursière",TRUE),"")</f>
        <v>760856146458</v>
      </c>
      <c r="V120" s="4" t="str" cm="1">
        <f t="array" aca="1" ref="V120" ca="1">IFERROR(_FV(Tableau1[[#This Row],[Code Excel]],"Industrie"),"")</f>
        <v>Pharmaceuticals</v>
      </c>
      <c r="W120" s="4" t="s">
        <v>1586</v>
      </c>
      <c r="X120" s="4" t="str">
        <f ca="1">Tableau1[[#This Row],[Grand Secteur]]&amp;Tableau1[[#This Row],[Industrie]]</f>
        <v>SantéPharmaceuticals</v>
      </c>
      <c r="Y120" s="23" cm="1">
        <f t="array" aca="1" ref="Y120" ca="1">IFERROR(_FV(Tableau1[[#This Row],[Code Excel]],"P/E",TRUE),"")</f>
        <v>70.117099999999994</v>
      </c>
      <c r="Z120" s="43" cm="1">
        <f t="array" aca="1" ref="Z120" ca="1">IFERROR(_FV(Tableau1[[#This Row],[Code Excel]],"Employés"),"")</f>
        <v>47000</v>
      </c>
      <c r="AA120" s="49">
        <f ca="1">IFERROR(Tableau1[[#This Row],[Capitalisation boursière]]/Tableau1[[#This Row],[Employés]],"")</f>
        <v>16188428.648042554</v>
      </c>
      <c r="AB120" s="5" t="str">
        <f>IFERROR(Tableau1[[#This Row],[REX (2021)]]/Tableau1[[#This Row],[CA 2024]],"")</f>
        <v/>
      </c>
      <c r="AC120" s="9" t="str">
        <f>IFERROR(_xlfn.XLOOKUP(Tableau1[[#This Row],[Isin]]&amp;1&amp;2021,#REF!,Tableau3[Résultat d''exploitation]),"")</f>
        <v/>
      </c>
      <c r="AD120" s="9" t="str">
        <f>IFERROR(_xlfn.XLOOKUP(Tableau1[[#This Row],[Isin]]&amp;1&amp;2019,#REF!,Tableau3[Chiffre d''affaires]),"")</f>
        <v/>
      </c>
      <c r="AE120" s="9" t="str">
        <f>IFERROR(_xlfn.XLOOKUP(Tableau1[[#This Row],[Isin]]&amp;1&amp;2024,#REF!,Tableau3[Chiffre d''affaires]),"")</f>
        <v/>
      </c>
      <c r="AF120" s="8" t="str">
        <f>IFERROR(IF((Tableau1[[#This Row],[CA 2024]]-Tableau1[[#This Row],[CA 2019]])/Tableau1[[#This Row],[CA 2019]]=-1,"",(Tableau1[[#This Row],[CA 2024]]-Tableau1[[#This Row],[CA 2019]])/Tableau1[[#This Row],[CA 2019]]),"")</f>
        <v/>
      </c>
      <c r="AG120" s="9" t="str">
        <f>IFERROR(_xlfn.XLOOKUP(Tableau1[[#This Row],[Isin]]&amp;1&amp;2021,#REF!,Tableau3[EBE]),"")</f>
        <v/>
      </c>
      <c r="AH120" s="9" t="str">
        <f>IFERROR(_xlfn.XLOOKUP(Tableau1[[#This Row],[Isin]]&amp;1&amp;2022,#REF!,Tableau3[EBE]),"")</f>
        <v/>
      </c>
      <c r="AI120" s="13" t="s">
        <v>4324</v>
      </c>
      <c r="AJ120" s="13" t="s">
        <v>4325</v>
      </c>
      <c r="AK120" s="13" t="s">
        <v>3148</v>
      </c>
      <c r="AL120" s="43"/>
      <c r="AM120" s="43"/>
      <c r="AN120" s="9" t="str">
        <f>IFERROR(_xlfn.XLOOKUP(Tableau1[[#This Row],[Isin]]&amp;1&amp;2021,#REF!,Tableau3[Chiffre d''affaires]),"")</f>
        <v/>
      </c>
      <c r="AO120" s="43" cm="1">
        <f t="array" aca="1" ref="AO120" ca="1">_FV(Tableau1[[#This Row],[Code Excel]],"P/E",TRUE)</f>
        <v>70.117099999999994</v>
      </c>
      <c r="AP120" s="43" t="str">
        <f>IFERROR(_xlfn.XLOOKUP(Tableau1[[#This Row],[Isin]]&amp;1&amp;2023,#REF!,Tableau3[Résultat Net (PdG)]),"")</f>
        <v/>
      </c>
      <c r="AQ120" s="43">
        <f>IF(IFERROR(_xlfn.XLOOKUP(Tableau1[[#This Row],[Isin]]&amp;1&amp;2022,#REF!,Tableau3[Résultat Net (PdG)]),"")="",Tableau1[[#This Row],[RN Groupe 2022
Manuel]],IFERROR(_xlfn.XLOOKUP(Tableau1[[#This Row],[Isin]]&amp;1&amp;2022,#REF!,Tableau3[Résultat Net (PdG)]),""))</f>
        <v>0</v>
      </c>
      <c r="AR120" s="43"/>
      <c r="AS120" s="43">
        <f>IF(IFERROR(_xlfn.XLOOKUP(Tableau1[[#This Row],[Isin]]&amp;1&amp;2021,#REF!,Tableau3[Résultat Net (PdG)]),"")="",Tableau1[[#This Row],[RN Groupe 2021
Manuel]],IFERROR(_xlfn.XLOOKUP(Tableau1[[#This Row],[Isin]]&amp;1&amp;2021,#REF!,Tableau3[Résultat Net (PdG)]),""))</f>
        <v>0</v>
      </c>
      <c r="AT120" s="43"/>
      <c r="AU120" s="43" t="str">
        <f>IFERROR(_xlfn.XLOOKUP(Tableau1[[#This Row],[Isin]]&amp;1&amp;2020,#REF!,Tableau3[Résultat Net (PdG)]),"")</f>
        <v/>
      </c>
      <c r="AV120" s="43" t="str">
        <f>IFERROR(_xlfn.XLOOKUP(Tableau1[[#This Row],[Isin]]&amp;1&amp;2019,#REF!,Tableau3[Résultat Net (PdG)]),"")</f>
        <v/>
      </c>
      <c r="AW120" s="43" t="str">
        <f>IFERROR(_xlfn.XLOOKUP(Tableau1[[#This Row],[Isin]]&amp;1&amp;2018,#REF!,Tableau3[Résultat Net (PdG)]),"")</f>
        <v/>
      </c>
      <c r="AX120" s="43" t="str">
        <f>IFERROR(_xlfn.XLOOKUP(Tableau1[[#This Row],[Isin]]&amp;1&amp;2017,#REF!,Tableau3[Résultat Net (PdG)]),"")</f>
        <v/>
      </c>
      <c r="AY120" s="43" t="str">
        <f>IFERROR(_xlfn.XLOOKUP(Tableau1[[#This Row],[Isin]]&amp;1&amp;2016,#REF!,Tableau3[Résultat Net (PdG)]),"")</f>
        <v/>
      </c>
      <c r="AZ120" s="137" t="str">
        <f ca="1">IFERROR(Tableau1[[#This Row],[Capitalisation boursière]]/Tableau1[[#This Row],[RN Groupe 2023]],"")</f>
        <v/>
      </c>
      <c r="BA120" s="4" t="str" cm="1">
        <f t="array" aca="1" ref="BA120" ca="1">IFERROR(_FV(Tableau1[[#This Row],[Code Excel]],"Industrie"),"")</f>
        <v>Pharmaceuticals</v>
      </c>
      <c r="BB120" s="43" t="s">
        <v>3474</v>
      </c>
      <c r="BC120" s="43" t="str">
        <f>IFERROR(_xlfn.XLOOKUP(Tableau1[[#This Row],[Isin]]&amp;1&amp;2016,#REF!,Tableau3[Capi]),"")</f>
        <v/>
      </c>
      <c r="BD120" s="43" t="str">
        <f>IFERROR(_xlfn.XLOOKUP(Tableau1[[#This Row],[Isin]]&amp;1&amp;2017,#REF!,Tableau3[Capi]),"")</f>
        <v/>
      </c>
      <c r="BE120" s="43" t="str">
        <f>IFERROR(_xlfn.XLOOKUP(Tableau1[[#This Row],[Isin]]&amp;1&amp;2018,#REF!,Tableau3[Capi]),"")</f>
        <v/>
      </c>
      <c r="BF120" s="43" t="str">
        <f>IFERROR(_xlfn.XLOOKUP(Tableau1[[#This Row],[Isin]]&amp;1&amp;2019,#REF!,Tableau3[Capi]),"")</f>
        <v/>
      </c>
      <c r="BG120" s="43" t="str">
        <f>IFERROR(_xlfn.XLOOKUP(Tableau1[[#This Row],[Isin]]&amp;1&amp;2020,#REF!,Tableau3[Capi]),"")</f>
        <v/>
      </c>
      <c r="BH120" s="43">
        <f>IF(IFERROR(_xlfn.XLOOKUP(Tableau1[[#This Row],[Isin]]&amp;1&amp;2021,#REF!,Tableau3[Capi]),"")="",Tableau1[[#This Row],[Capitalisation 2021
Manuel]],IFERROR(_xlfn.XLOOKUP(Tableau1[[#This Row],[Isin]]&amp;1&amp;2021,#REF!,Tableau3[Capi]),""))</f>
        <v>0</v>
      </c>
      <c r="BI120" s="43"/>
      <c r="BJ120" s="43">
        <f>IF(IFERROR(_xlfn.XLOOKUP(Tableau1[[#This Row],[Isin]]&amp;1&amp;2022,#REF!,Tableau3[Capi]),"")="",Tableau1[[#This Row],[Capitalisation 2022
Manuel]],IFERROR(_xlfn.XLOOKUP(Tableau1[[#This Row],[Isin]]&amp;1&amp;2022,#REF!,Tableau3[Capi]),""))</f>
        <v>0</v>
      </c>
      <c r="BK120" s="43"/>
      <c r="BL120" s="43">
        <f ca="1">Tableau1[[#This Row],[Capitalisation boursière]]</f>
        <v>760856146458</v>
      </c>
      <c r="BM120" s="162" t="str" cm="1">
        <f t="array" aca="1" ref="BM120" ca="1">_FV(Tableau1[[#This Row],[Code Excel]],"Description")</f>
        <v>Eli Lilly and Company est engagée dans des activités de fabrication de médicaments. La Société découvre, développe, fabrique et commercialise des produits dans le segment des produits pharmaceutiques à usage humain. Son diabète, l'obésité et d'autres produits cardiométaboliques comprennent Basaglar, Humalog, Humulin, Jardiance, Mounjaro, Trulicity et Zepbound. Ses produits oncologiques incluent Alimta, Cyramza, Erbitux, Jaypirca, Retevmo, Tyvyt et Verzenio. Ses produits immunologiques comprennent Ebglyss, Olumiant, Omvoh et Taltz. Ses produits en neurosciences incluent Cymbalta et Emgality. Ses autres produits et thérapies comprennent Cialis et Forteo. La Société fabrique et distribue ses produits par l'intermédiaire d'installations situées aux États-Unis (É.-U.), y compris à Porto Rico, ainsi qu'en Europe et en Asie. La Société, par l'intermédiaire de sa filiale POINT Biopharma Global Inc, est engagée dans la découverte, le développement et la fabrication de produits radiopharmaceutiques, ainsi que dans le développement de radioligands cliniques et précliniques pour le traitement du cancer.</v>
      </c>
      <c r="BN120" s="43"/>
      <c r="BO120" s="43"/>
      <c r="BP120" s="43"/>
      <c r="BQ120" s="43"/>
      <c r="BR120" s="4"/>
      <c r="BS120" s="21"/>
      <c r="BT120" s="13"/>
      <c r="BU120" s="13"/>
      <c r="BV120" s="13"/>
      <c r="BW120" s="13"/>
      <c r="BX120" s="13"/>
      <c r="BY120" s="3"/>
      <c r="BZ120" s="58"/>
      <c r="CA120" s="59"/>
    </row>
    <row r="121" spans="3:79">
      <c r="C121" s="42"/>
      <c r="D121" s="42">
        <f>IF(Tableau1[[#This Row],[Isin]]="",99,Tableau1[[#This Row],[Intérêt]]+Tableau1[[#This Row],[Valeur d''intérêt]]+Tableau1[[#This Row],[N° Portefeuille]])</f>
        <v>30</v>
      </c>
      <c r="E121" s="42"/>
      <c r="F121" s="42">
        <f>IF(Tableau1[[#This Row],[Portefeuille]]="p",0,Tableau1[[#This Row],[F. Investissement
Niveau d''intérêt]]*10)</f>
        <v>30</v>
      </c>
      <c r="G121" s="42">
        <f>IF(Tableau1[[#This Row],[Portefeuille]]="p",3,0)</f>
        <v>0</v>
      </c>
      <c r="H121" s="42">
        <v>3</v>
      </c>
      <c r="I121" s="42">
        <v>4</v>
      </c>
      <c r="J121" s="42"/>
      <c r="K121" s="43"/>
      <c r="L121" s="16">
        <v>0</v>
      </c>
      <c r="M12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1" s="44" t="s">
        <v>3768</v>
      </c>
      <c r="O121" s="45"/>
      <c r="P121" s="4" t="s">
        <v>452</v>
      </c>
      <c r="Q121" s="4"/>
      <c r="R121" s="6"/>
      <c r="S121" s="6" t="s">
        <v>3769</v>
      </c>
      <c r="T121" s="6" t="e" vm="109">
        <v>#VALUE!</v>
      </c>
      <c r="U121" s="46" cm="1">
        <f t="array" aca="1" ref="U121" ca="1">IFERROR(_FV(Tableau1[[#This Row],[Code Excel]],"Capitalisation boursière",TRUE),"")</f>
        <v>8916686000</v>
      </c>
      <c r="V121" s="4" t="str" cm="1">
        <f t="array" aca="1" ref="V121" ca="1">IFERROR(_FV(Tableau1[[#This Row],[Code Excel]],"Industrie"),"")</f>
        <v>Electrical Utilities &amp; IPPs</v>
      </c>
      <c r="W121" s="4" t="s">
        <v>371</v>
      </c>
      <c r="X121" s="4" t="str">
        <f ca="1">Tableau1[[#This Row],[Grand Secteur]]&amp;Tableau1[[#This Row],[Industrie]]</f>
        <v>EnergieElectrical Utilities &amp; IPPs</v>
      </c>
      <c r="Y121" s="23" cm="1">
        <f t="array" aca="1" ref="Y121" ca="1">IFERROR(_FV(Tableau1[[#This Row],[Code Excel]],"P/E",TRUE),"")</f>
        <v>15.8948</v>
      </c>
      <c r="Z121" s="43" cm="1">
        <f t="array" aca="1" ref="Z121" ca="1">IFERROR(_FV(Tableau1[[#This Row],[Code Excel]],"Employés"),"")</f>
        <v>4020</v>
      </c>
      <c r="AA121" s="46">
        <f ca="1">IFERROR(Tableau1[[#This Row],[Capitalisation boursière]]/Tableau1[[#This Row],[Employés]],"")</f>
        <v>2218081.0945273633</v>
      </c>
      <c r="AB121" s="5" t="str">
        <f>IFERROR(Tableau1[[#This Row],[REX (2021)]]/Tableau1[[#This Row],[CA 2024]],"")</f>
        <v/>
      </c>
      <c r="AC121" s="9" t="str">
        <f>IFERROR(_xlfn.XLOOKUP(Tableau1[[#This Row],[Isin]]&amp;1&amp;2021,#REF!,Tableau3[Résultat d''exploitation]),"")</f>
        <v/>
      </c>
      <c r="AD121" s="9" t="str">
        <f>IFERROR(_xlfn.XLOOKUP(Tableau1[[#This Row],[Isin]]&amp;1&amp;2019,#REF!,Tableau3[Chiffre d''affaires]),"")</f>
        <v/>
      </c>
      <c r="AE121" s="9" t="str">
        <f>IFERROR(_xlfn.XLOOKUP(Tableau1[[#This Row],[Isin]]&amp;1&amp;2024,#REF!,Tableau3[Chiffre d''affaires]),"")</f>
        <v/>
      </c>
      <c r="AF121" s="8" t="str">
        <f>IFERROR(IF((Tableau1[[#This Row],[CA 2024]]-Tableau1[[#This Row],[CA 2019]])/Tableau1[[#This Row],[CA 2019]]=-1,"",(Tableau1[[#This Row],[CA 2024]]-Tableau1[[#This Row],[CA 2019]])/Tableau1[[#This Row],[CA 2019]]),"")</f>
        <v/>
      </c>
      <c r="AG121" s="9" t="str">
        <f>IFERROR(_xlfn.XLOOKUP(Tableau1[[#This Row],[Isin]]&amp;1&amp;2021,#REF!,Tableau3[EBE]),"")</f>
        <v/>
      </c>
      <c r="AH121" s="9" t="str">
        <f>IFERROR(_xlfn.XLOOKUP(Tableau1[[#This Row],[Isin]]&amp;1&amp;2022,#REF!,Tableau3[EBE]),"")</f>
        <v/>
      </c>
      <c r="AI121" s="43" t="s">
        <v>4343</v>
      </c>
      <c r="AJ121" s="43" t="s">
        <v>3150</v>
      </c>
      <c r="AK121" s="43" t="s">
        <v>3419</v>
      </c>
      <c r="AL121" s="43"/>
      <c r="AM121" s="43"/>
      <c r="AN121" s="9" t="str">
        <f>IFERROR(_xlfn.XLOOKUP(Tableau1[[#This Row],[Isin]]&amp;1&amp;2021,#REF!,Tableau3[Chiffre d''affaires]),"")</f>
        <v/>
      </c>
      <c r="AO121" s="43" cm="1">
        <f t="array" aca="1" ref="AO121" ca="1">_FV(Tableau1[[#This Row],[Code Excel]],"P/E",TRUE)</f>
        <v>15.8948</v>
      </c>
      <c r="AP121" s="43" t="str">
        <f>IFERROR(_xlfn.XLOOKUP(Tableau1[[#This Row],[Isin]]&amp;1&amp;2023,#REF!,Tableau3[Résultat Net (PdG)]),"")</f>
        <v/>
      </c>
      <c r="AQ121" s="43">
        <f>IF(IFERROR(_xlfn.XLOOKUP(Tableau1[[#This Row],[Isin]]&amp;1&amp;2022,#REF!,Tableau3[Résultat Net (PdG)]),"")="",Tableau1[[#This Row],[RN Groupe 2022
Manuel]],IFERROR(_xlfn.XLOOKUP(Tableau1[[#This Row],[Isin]]&amp;1&amp;2022,#REF!,Tableau3[Résultat Net (PdG)]),""))</f>
        <v>0</v>
      </c>
      <c r="AR121" s="43"/>
      <c r="AS121" s="43">
        <f>IF(IFERROR(_xlfn.XLOOKUP(Tableau1[[#This Row],[Isin]]&amp;1&amp;2021,#REF!,Tableau3[Résultat Net (PdG)]),"")="",Tableau1[[#This Row],[RN Groupe 2021
Manuel]],IFERROR(_xlfn.XLOOKUP(Tableau1[[#This Row],[Isin]]&amp;1&amp;2021,#REF!,Tableau3[Résultat Net (PdG)]),""))</f>
        <v>0</v>
      </c>
      <c r="AT121" s="43"/>
      <c r="AU121" s="43" t="str">
        <f>IFERROR(_xlfn.XLOOKUP(Tableau1[[#This Row],[Isin]]&amp;1&amp;2020,#REF!,Tableau3[Résultat Net (PdG)]),"")</f>
        <v/>
      </c>
      <c r="AV121" s="43" t="str">
        <f>IFERROR(_xlfn.XLOOKUP(Tableau1[[#This Row],[Isin]]&amp;1&amp;2019,#REF!,Tableau3[Résultat Net (PdG)]),"")</f>
        <v/>
      </c>
      <c r="AW121" s="43" t="str">
        <f>IFERROR(_xlfn.XLOOKUP(Tableau1[[#This Row],[Isin]]&amp;1&amp;2018,#REF!,Tableau3[Résultat Net (PdG)]),"")</f>
        <v/>
      </c>
      <c r="AX121" s="43" t="str">
        <f>IFERROR(_xlfn.XLOOKUP(Tableau1[[#This Row],[Isin]]&amp;1&amp;2017,#REF!,Tableau3[Résultat Net (PdG)]),"")</f>
        <v/>
      </c>
      <c r="AY121" s="43" t="str">
        <f>IFERROR(_xlfn.XLOOKUP(Tableau1[[#This Row],[Isin]]&amp;1&amp;2016,#REF!,Tableau3[Résultat Net (PdG)]),"")</f>
        <v/>
      </c>
      <c r="AZ121" s="137" t="str">
        <f ca="1">IFERROR(Tableau1[[#This Row],[Capitalisation boursière]]/Tableau1[[#This Row],[RN Groupe 2023]],"")</f>
        <v/>
      </c>
      <c r="BA121" s="4" t="s">
        <v>371</v>
      </c>
      <c r="BB121" s="43" t="s">
        <v>3482</v>
      </c>
      <c r="BC121" s="43" t="str">
        <f>IFERROR(_xlfn.XLOOKUP(Tableau1[[#This Row],[Isin]]&amp;1&amp;2016,#REF!,Tableau3[Capi]),"")</f>
        <v/>
      </c>
      <c r="BD121" s="43" t="str">
        <f>IFERROR(_xlfn.XLOOKUP(Tableau1[[#This Row],[Isin]]&amp;1&amp;2017,#REF!,Tableau3[Capi]),"")</f>
        <v/>
      </c>
      <c r="BE121" s="43" t="str">
        <f>IFERROR(_xlfn.XLOOKUP(Tableau1[[#This Row],[Isin]]&amp;1&amp;2018,#REF!,Tableau3[Capi]),"")</f>
        <v/>
      </c>
      <c r="BF121" s="43" t="str">
        <f>IFERROR(_xlfn.XLOOKUP(Tableau1[[#This Row],[Isin]]&amp;1&amp;2019,#REF!,Tableau3[Capi]),"")</f>
        <v/>
      </c>
      <c r="BG121" s="43" t="str">
        <f>IFERROR(_xlfn.XLOOKUP(Tableau1[[#This Row],[Isin]]&amp;1&amp;2020,#REF!,Tableau3[Capi]),"")</f>
        <v/>
      </c>
      <c r="BH121" s="43">
        <f>IF(IFERROR(_xlfn.XLOOKUP(Tableau1[[#This Row],[Isin]]&amp;1&amp;2021,#REF!,Tableau3[Capi]),"")="",Tableau1[[#This Row],[Capitalisation 2021
Manuel]],IFERROR(_xlfn.XLOOKUP(Tableau1[[#This Row],[Isin]]&amp;1&amp;2021,#REF!,Tableau3[Capi]),""))</f>
        <v>0</v>
      </c>
      <c r="BI121" s="43"/>
      <c r="BJ121" s="43">
        <f>IF(IFERROR(_xlfn.XLOOKUP(Tableau1[[#This Row],[Isin]]&amp;1&amp;2022,#REF!,Tableau3[Capi]),"")="",Tableau1[[#This Row],[Capitalisation 2022
Manuel]],IFERROR(_xlfn.XLOOKUP(Tableau1[[#This Row],[Isin]]&amp;1&amp;2022,#REF!,Tableau3[Capi]),""))</f>
        <v>0</v>
      </c>
      <c r="BK121" s="43"/>
      <c r="BL121" s="43">
        <f ca="1">Tableau1[[#This Row],[Capitalisation boursière]]</f>
        <v>8916686000</v>
      </c>
      <c r="BM121" s="162" t="str" cm="1">
        <f t="array" aca="1" ref="BM121" ca="1">_FV(Tableau1[[#This Row],[Code Excel]],"Description")</f>
        <v>Elia Group SA, anciennement Elia System Operator SA, est un gestionnaire de réseau de transport d'électricité à haute tension basé en Belgique. La Société transporte de l'électricité sur son réseau haute tension depuis des générateurs jusqu'aux grands consommateurs industriels ainsi qu'aux distributeurs, qui alimentent à leur tour les ménages et les entreprises belges. Il est attribué par le gestionnaire du réseau de transport d'électricité belge sous des licences délivrées par le gouvernement fédéral et les gouvernements régionaux. Ses formes de grille sont la connexion entre la France et les marchés d'Europe du Nord. La Société opère à travers de nombreuses filiales et entités affiliées en Belgique, en Allemagne, au Luxembourg, aux Pays-Bas et en France, entre autres. Il est actif via Elia Grid International.</v>
      </c>
      <c r="BN121" s="43"/>
      <c r="BO121" s="43"/>
      <c r="BP121" s="43"/>
      <c r="BQ121" s="43"/>
      <c r="BR121" s="4"/>
      <c r="BS121" s="21"/>
      <c r="BT121" s="13"/>
      <c r="BU121" s="13"/>
      <c r="BV121" s="13"/>
      <c r="BW121" s="13"/>
      <c r="BX121" s="13"/>
      <c r="BY121" s="3"/>
      <c r="BZ121" s="58"/>
      <c r="CA121" s="59"/>
    </row>
    <row r="122" spans="3:79">
      <c r="C122" s="43"/>
      <c r="D122" s="42">
        <f>IF(Tableau1[[#This Row],[Isin]]="",99,Tableau1[[#This Row],[Intérêt]]+Tableau1[[#This Row],[Valeur d''intérêt]]+Tableau1[[#This Row],[N° Portefeuille]])</f>
        <v>30</v>
      </c>
      <c r="E122" s="43"/>
      <c r="F122" s="42">
        <f>IF(Tableau1[[#This Row],[Portefeuille]]="p",0,Tableau1[[#This Row],[F. Investissement
Niveau d''intérêt]]*10)</f>
        <v>30</v>
      </c>
      <c r="G122" s="43">
        <f>IF(Tableau1[[#This Row],[Portefeuille]]="p",3,0)</f>
        <v>0</v>
      </c>
      <c r="H122" s="43">
        <v>3</v>
      </c>
      <c r="I122" s="43">
        <v>4</v>
      </c>
      <c r="J122" s="43"/>
      <c r="K122" s="43"/>
      <c r="L122" s="16">
        <v>1</v>
      </c>
      <c r="M12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2" s="44" t="s">
        <v>3771</v>
      </c>
      <c r="O122" s="44" t="s">
        <v>130</v>
      </c>
      <c r="P122" s="4" t="s">
        <v>84</v>
      </c>
      <c r="Q122" s="6" t="s">
        <v>85</v>
      </c>
      <c r="R122" s="6"/>
      <c r="S122" s="6" t="s">
        <v>134</v>
      </c>
      <c r="T122" s="6" t="e" vm="110">
        <v>#VALUE!</v>
      </c>
      <c r="U122" s="46" cm="1">
        <f t="array" aca="1" ref="U122" ca="1">IFERROR(_FV(Tableau1[[#This Row],[Code Excel]],"Capitalisation boursière",TRUE),"")</f>
        <v>652796800</v>
      </c>
      <c r="V122" s="4" t="str" cm="1">
        <f t="array" aca="1" ref="V122" ca="1">IFERROR(_FV(Tableau1[[#This Row],[Code Excel]],"Industrie"),"")</f>
        <v>Hotels &amp; Entertainment Services</v>
      </c>
      <c r="W122" s="4" t="str" cm="1">
        <f t="array" aca="1" ref="W122" ca="1">IFERROR(_FV(Tableau1[[#This Row],[Code Excel]],"Industrie"),"")</f>
        <v>Hotels &amp; Entertainment Services</v>
      </c>
      <c r="X122" s="4" t="str">
        <f ca="1">Tableau1[[#This Row],[Grand Secteur]]&amp;Tableau1[[#This Row],[Industrie]]</f>
        <v>Hotels &amp; Entertainment ServicesHotels &amp; Entertainment Services</v>
      </c>
      <c r="Y122" s="23" t="str" cm="1">
        <f t="array" ref="Y122">IFERROR(_FV(Tableau1[[#This Row],[Code Excel]],"P/E",TRUE),"")</f>
        <v/>
      </c>
      <c r="Z122" s="43" cm="1">
        <f t="array" aca="1" ref="Z122" ca="1">IFERROR(_FV(Tableau1[[#This Row],[Code Excel]],"Employés"),"")</f>
        <v>133156</v>
      </c>
      <c r="AA122" s="49">
        <f ca="1">IFERROR(Tableau1[[#This Row],[Capitalisation boursière]]/Tableau1[[#This Row],[Employés]],"")</f>
        <v>4902.4963201057408</v>
      </c>
      <c r="AB122" s="5" t="str">
        <f>IFERROR(Tableau1[[#This Row],[REX (2021)]]/Tableau1[[#This Row],[CA 2024]],"")</f>
        <v/>
      </c>
      <c r="AC122" s="9" t="str">
        <f>IFERROR(_xlfn.XLOOKUP(Tableau1[[#This Row],[Isin]]&amp;1&amp;2021,#REF!,Tableau3[Résultat d''exploitation]),"")</f>
        <v/>
      </c>
      <c r="AD122" s="9" t="str">
        <f>IFERROR(_xlfn.XLOOKUP(Tableau1[[#This Row],[Isin]]&amp;1&amp;2019,#REF!,Tableau3[Chiffre d''affaires]),"")</f>
        <v/>
      </c>
      <c r="AE122" s="9" t="str">
        <f>IFERROR(_xlfn.XLOOKUP(Tableau1[[#This Row],[Isin]]&amp;1&amp;2024,#REF!,Tableau3[Chiffre d''affaires]),"")</f>
        <v/>
      </c>
      <c r="AF122" s="8" t="str">
        <f>IFERROR(IF((Tableau1[[#This Row],[CA 2024]]-Tableau1[[#This Row],[CA 2019]])/Tableau1[[#This Row],[CA 2019]]=-1,"",(Tableau1[[#This Row],[CA 2024]]-Tableau1[[#This Row],[CA 2019]])/Tableau1[[#This Row],[CA 2019]]),"")</f>
        <v/>
      </c>
      <c r="AG122" s="9" t="str">
        <f>IFERROR(_xlfn.XLOOKUP(Tableau1[[#This Row],[Isin]]&amp;1&amp;2021,#REF!,Tableau3[EBE]),"")</f>
        <v/>
      </c>
      <c r="AH122" s="9" t="str">
        <f>IFERROR(_xlfn.XLOOKUP(Tableau1[[#This Row],[Isin]]&amp;1&amp;2022,#REF!,Tableau3[EBE]),"")</f>
        <v/>
      </c>
      <c r="AI122" s="43" t="s">
        <v>3419</v>
      </c>
      <c r="AJ122" s="43" t="s">
        <v>4326</v>
      </c>
      <c r="AK122" s="43" t="s">
        <v>4327</v>
      </c>
      <c r="AL122" s="43" t="s">
        <v>3419</v>
      </c>
      <c r="AM122" s="43"/>
      <c r="AN122" s="9" t="str">
        <f>IFERROR(_xlfn.XLOOKUP(Tableau1[[#This Row],[Isin]]&amp;1&amp;2021,#REF!,Tableau3[Chiffre d''affaires]),"")</f>
        <v/>
      </c>
      <c r="AO122" s="43" t="e" cm="1" vm="1">
        <f t="array" ref="AO122">_FV(Tableau1[[#This Row],[Code Excel]],"P/E",TRUE)</f>
        <v>#VALUE!</v>
      </c>
      <c r="AP122" s="43" t="str">
        <f>IFERROR(_xlfn.XLOOKUP(Tableau1[[#This Row],[Isin]]&amp;1&amp;2023,#REF!,Tableau3[Résultat Net (PdG)]),"")</f>
        <v/>
      </c>
      <c r="AQ122" s="43">
        <f>IF(IFERROR(_xlfn.XLOOKUP(Tableau1[[#This Row],[Isin]]&amp;1&amp;2022,#REF!,Tableau3[Résultat Net (PdG)]),"")="",Tableau1[[#This Row],[RN Groupe 2022
Manuel]],IFERROR(_xlfn.XLOOKUP(Tableau1[[#This Row],[Isin]]&amp;1&amp;2022,#REF!,Tableau3[Résultat Net (PdG)]),""))</f>
        <v>0</v>
      </c>
      <c r="AR122" s="43"/>
      <c r="AS122" s="43">
        <f>IF(IFERROR(_xlfn.XLOOKUP(Tableau1[[#This Row],[Isin]]&amp;1&amp;2021,#REF!,Tableau3[Résultat Net (PdG)]),"")="",Tableau1[[#This Row],[RN Groupe 2021
Manuel]],IFERROR(_xlfn.XLOOKUP(Tableau1[[#This Row],[Isin]]&amp;1&amp;2021,#REF!,Tableau3[Résultat Net (PdG)]),""))</f>
        <v>0</v>
      </c>
      <c r="AT122" s="43"/>
      <c r="AU122" s="43" t="str">
        <f>IFERROR(_xlfn.XLOOKUP(Tableau1[[#This Row],[Isin]]&amp;1&amp;2020,#REF!,Tableau3[Résultat Net (PdG)]),"")</f>
        <v/>
      </c>
      <c r="AV122" s="43" t="str">
        <f>IFERROR(_xlfn.XLOOKUP(Tableau1[[#This Row],[Isin]]&amp;1&amp;2019,#REF!,Tableau3[Résultat Net (PdG)]),"")</f>
        <v/>
      </c>
      <c r="AW122" s="43" t="str">
        <f>IFERROR(_xlfn.XLOOKUP(Tableau1[[#This Row],[Isin]]&amp;1&amp;2018,#REF!,Tableau3[Résultat Net (PdG)]),"")</f>
        <v/>
      </c>
      <c r="AX122" s="43" t="str">
        <f>IFERROR(_xlfn.XLOOKUP(Tableau1[[#This Row],[Isin]]&amp;1&amp;2017,#REF!,Tableau3[Résultat Net (PdG)]),"")</f>
        <v/>
      </c>
      <c r="AY122" s="43" t="str">
        <f>IFERROR(_xlfn.XLOOKUP(Tableau1[[#This Row],[Isin]]&amp;1&amp;2016,#REF!,Tableau3[Résultat Net (PdG)]),"")</f>
        <v/>
      </c>
      <c r="AZ122" s="137" t="str">
        <f ca="1">IFERROR(Tableau1[[#This Row],[Capitalisation boursière]]/Tableau1[[#This Row],[RN Groupe 2023]],"")</f>
        <v/>
      </c>
      <c r="BA122" s="4" t="str" cm="1">
        <f t="array" aca="1" ref="BA122" ca="1">IFERROR(_FV(Tableau1[[#This Row],[Code Excel]],"Industrie"),"")</f>
        <v>Hotels &amp; Entertainment Services</v>
      </c>
      <c r="BB122" s="43" t="s">
        <v>3477</v>
      </c>
      <c r="BC122" s="43" t="str">
        <f>IFERROR(_xlfn.XLOOKUP(Tableau1[[#This Row],[Isin]]&amp;1&amp;2016,#REF!,Tableau3[Capi]),"")</f>
        <v/>
      </c>
      <c r="BD122" s="43" t="str">
        <f>IFERROR(_xlfn.XLOOKUP(Tableau1[[#This Row],[Isin]]&amp;1&amp;2017,#REF!,Tableau3[Capi]),"")</f>
        <v/>
      </c>
      <c r="BE122" s="43" t="str">
        <f>IFERROR(_xlfn.XLOOKUP(Tableau1[[#This Row],[Isin]]&amp;1&amp;2018,#REF!,Tableau3[Capi]),"")</f>
        <v/>
      </c>
      <c r="BF122" s="43" t="str">
        <f>IFERROR(_xlfn.XLOOKUP(Tableau1[[#This Row],[Isin]]&amp;1&amp;2019,#REF!,Tableau3[Capi]),"")</f>
        <v/>
      </c>
      <c r="BG122" s="43" t="str">
        <f>IFERROR(_xlfn.XLOOKUP(Tableau1[[#This Row],[Isin]]&amp;1&amp;2020,#REF!,Tableau3[Capi]),"")</f>
        <v/>
      </c>
      <c r="BH122" s="43">
        <f>IF(IFERROR(_xlfn.XLOOKUP(Tableau1[[#This Row],[Isin]]&amp;1&amp;2021,#REF!,Tableau3[Capi]),"")="",Tableau1[[#This Row],[Capitalisation 2021
Manuel]],IFERROR(_xlfn.XLOOKUP(Tableau1[[#This Row],[Isin]]&amp;1&amp;2021,#REF!,Tableau3[Capi]),""))</f>
        <v>0</v>
      </c>
      <c r="BI122" s="43"/>
      <c r="BJ122" s="43">
        <f>IF(IFERROR(_xlfn.XLOOKUP(Tableau1[[#This Row],[Isin]]&amp;1&amp;2022,#REF!,Tableau3[Capi]),"")="",Tableau1[[#This Row],[Capitalisation 2022
Manuel]],IFERROR(_xlfn.XLOOKUP(Tableau1[[#This Row],[Isin]]&amp;1&amp;2022,#REF!,Tableau3[Capi]),""))</f>
        <v>0</v>
      </c>
      <c r="BK122" s="43"/>
      <c r="BL122" s="43">
        <f ca="1">Tableau1[[#This Row],[Capitalisation boursière]]</f>
        <v>652796800</v>
      </c>
      <c r="BM122" s="162" t="str" cm="1">
        <f t="array" aca="1" ref="BM122" ca="1">_FV(Tableau1[[#This Row],[Code Excel]],"Description")</f>
        <v>Elior Group SA est une société basée en France, opérant en tant qu'opérateur dans le secteur des services de restauration et de soutien. La Société couvre un certain nombre de secteurs dans les domaines des affaires, de l’éducation, ainsi que de la santé, entre autres. Le modèle du groupe Elior repose sur trois activités principales : restauration collective, restauration en concession et services d'assistance. Les activités s'organisent autour de deux marques commerciales principales: Elior, qui regroupe des offres de restauration dédiées aux professionnels et aux entreprises, et Elior Services, qui englobe des solutions de nettoyage destinées notamment aux établissements de santé et aux environnements industriels sensibles, ainsi que des services de gestion d’installations.</v>
      </c>
      <c r="BN122" s="43"/>
      <c r="BO122" s="43"/>
      <c r="BP122" s="43"/>
      <c r="BQ122" s="43"/>
      <c r="BR122" s="4"/>
      <c r="BS122" s="21"/>
      <c r="BT122" s="13"/>
      <c r="BU122" s="13"/>
      <c r="BV122" s="13"/>
      <c r="BW122" s="13"/>
      <c r="BX122" s="13"/>
      <c r="BY122" s="3"/>
      <c r="BZ122" s="58"/>
      <c r="CA122" s="59"/>
    </row>
    <row r="123" spans="3:79">
      <c r="C123" s="42"/>
      <c r="D123" s="42">
        <f>IF(Tableau1[[#This Row],[Isin]]="",99,Tableau1[[#This Row],[Intérêt]]+Tableau1[[#This Row],[Valeur d''intérêt]]+Tableau1[[#This Row],[N° Portefeuille]])</f>
        <v>20</v>
      </c>
      <c r="E123" s="42"/>
      <c r="F123" s="42">
        <f>IF(Tableau1[[#This Row],[Portefeuille]]="p",0,Tableau1[[#This Row],[F. Investissement
Niveau d''intérêt]]*10)</f>
        <v>20</v>
      </c>
      <c r="G123" s="42">
        <f>IF(Tableau1[[#This Row],[Portefeuille]]="p",3,0)</f>
        <v>0</v>
      </c>
      <c r="H123" s="42">
        <v>2</v>
      </c>
      <c r="I123" s="42">
        <v>2</v>
      </c>
      <c r="J123" s="42" t="s">
        <v>4357</v>
      </c>
      <c r="K123" s="43"/>
      <c r="L123" s="16">
        <v>1</v>
      </c>
      <c r="M12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3" s="44" t="s">
        <v>3250</v>
      </c>
      <c r="O123" s="44" t="s">
        <v>4391</v>
      </c>
      <c r="P123" s="4" t="s">
        <v>84</v>
      </c>
      <c r="Q123" s="6" t="s">
        <v>85</v>
      </c>
      <c r="R123" s="6"/>
      <c r="S123" s="6" t="s">
        <v>537</v>
      </c>
      <c r="T123" s="6" t="e" vm="111">
        <v>#VALUE!</v>
      </c>
      <c r="U123" s="46" cm="1">
        <f t="array" aca="1" ref="U123" ca="1">IFERROR(_FV(Tableau1[[#This Row],[Code Excel]],"Capitalisation boursière",TRUE),"")</f>
        <v>4946287000</v>
      </c>
      <c r="V123" s="4" t="str" cm="1">
        <f t="array" aca="1" ref="V123" ca="1">IFERROR(_FV(Tableau1[[#This Row],[Code Excel]],"Industrie"),"")</f>
        <v>Professional &amp; Commercial Services</v>
      </c>
      <c r="W123" s="4" t="s">
        <v>2918</v>
      </c>
      <c r="X123" s="4" t="str">
        <f ca="1">Tableau1[[#This Row],[Grand Secteur]]&amp;Tableau1[[#This Row],[Industrie]]</f>
        <v>B to BProfessional &amp; Commercial Services</v>
      </c>
      <c r="Y123" s="23" cm="1">
        <f t="array" aca="1" ref="Y123" ca="1">IFERROR(_FV(Tableau1[[#This Row],[Code Excel]],"P/E",TRUE),"")</f>
        <v>14.3306</v>
      </c>
      <c r="Z123" s="43" cm="1">
        <f t="array" aca="1" ref="Z123" ca="1">IFERROR(_FV(Tableau1[[#This Row],[Code Excel]],"Employés"),"")</f>
        <v>56757</v>
      </c>
      <c r="AA123" s="46">
        <f ca="1">IFERROR(Tableau1[[#This Row],[Capitalisation boursière]]/Tableau1[[#This Row],[Employés]],"")</f>
        <v>87148.492696936068</v>
      </c>
      <c r="AB123" s="5" t="str">
        <f>IFERROR(Tableau1[[#This Row],[REX (2021)]]/Tableau1[[#This Row],[CA 2024]],"")</f>
        <v/>
      </c>
      <c r="AC123" s="9" t="str">
        <f>IFERROR(_xlfn.XLOOKUP(Tableau1[[#This Row],[Isin]]&amp;1&amp;2021,#REF!,Tableau3[Résultat d''exploitation]),"")</f>
        <v/>
      </c>
      <c r="AD123" s="9" t="str">
        <f>IFERROR(_xlfn.XLOOKUP(Tableau1[[#This Row],[Isin]]&amp;1&amp;2019,#REF!,Tableau3[Chiffre d''affaires]),"")</f>
        <v/>
      </c>
      <c r="AE123" s="9" t="str">
        <f>IFERROR(_xlfn.XLOOKUP(Tableau1[[#This Row],[Isin]]&amp;1&amp;2024,#REF!,Tableau3[Chiffre d''affaires]),"")</f>
        <v/>
      </c>
      <c r="AF123" s="8" t="str">
        <f>IFERROR(IF((Tableau1[[#This Row],[CA 2024]]-Tableau1[[#This Row],[CA 2019]])/Tableau1[[#This Row],[CA 2019]]=-1,"",(Tableau1[[#This Row],[CA 2024]]-Tableau1[[#This Row],[CA 2019]])/Tableau1[[#This Row],[CA 2019]]),"")</f>
        <v/>
      </c>
      <c r="AG123" s="9" t="str">
        <f>IFERROR(_xlfn.XLOOKUP(Tableau1[[#This Row],[Isin]]&amp;1&amp;2021,#REF!,Tableau3[EBE]),"")</f>
        <v/>
      </c>
      <c r="AH123" s="9" t="str">
        <f>IFERROR(_xlfn.XLOOKUP(Tableau1[[#This Row],[Isin]]&amp;1&amp;2022,#REF!,Tableau3[EBE]),"")</f>
        <v/>
      </c>
      <c r="AI123" s="43" t="s">
        <v>3419</v>
      </c>
      <c r="AJ123" s="43" t="s">
        <v>4322</v>
      </c>
      <c r="AK123" s="43" t="s">
        <v>3431</v>
      </c>
      <c r="AL123" s="43" t="s">
        <v>3149</v>
      </c>
      <c r="AM123" s="43"/>
      <c r="AN123" s="9" t="str">
        <f>IFERROR(_xlfn.XLOOKUP(Tableau1[[#This Row],[Isin]]&amp;1&amp;2021,#REF!,Tableau3[Chiffre d''affaires]),"")</f>
        <v/>
      </c>
      <c r="AO123" s="43" cm="1">
        <f t="array" aca="1" ref="AO123" ca="1">_FV(Tableau1[[#This Row],[Code Excel]],"P/E",TRUE)</f>
        <v>14.3306</v>
      </c>
      <c r="AP123" s="43" t="str">
        <f>IFERROR(_xlfn.XLOOKUP(Tableau1[[#This Row],[Isin]]&amp;1&amp;2023,#REF!,Tableau3[Résultat Net (PdG)]),"")</f>
        <v/>
      </c>
      <c r="AQ123" s="43">
        <f>IF(IFERROR(_xlfn.XLOOKUP(Tableau1[[#This Row],[Isin]]&amp;1&amp;2022,#REF!,Tableau3[Résultat Net (PdG)]),"")="",Tableau1[[#This Row],[RN Groupe 2022
Manuel]],IFERROR(_xlfn.XLOOKUP(Tableau1[[#This Row],[Isin]]&amp;1&amp;2022,#REF!,Tableau3[Résultat Net (PdG)]),""))</f>
        <v>0</v>
      </c>
      <c r="AR123" s="43"/>
      <c r="AS123" s="43">
        <f>IF(IFERROR(_xlfn.XLOOKUP(Tableau1[[#This Row],[Isin]]&amp;1&amp;2021,#REF!,Tableau3[Résultat Net (PdG)]),"")="",Tableau1[[#This Row],[RN Groupe 2021
Manuel]],IFERROR(_xlfn.XLOOKUP(Tableau1[[#This Row],[Isin]]&amp;1&amp;2021,#REF!,Tableau3[Résultat Net (PdG)]),""))</f>
        <v>0</v>
      </c>
      <c r="AT123" s="43"/>
      <c r="AU123" s="43" t="str">
        <f>IFERROR(_xlfn.XLOOKUP(Tableau1[[#This Row],[Isin]]&amp;1&amp;2020,#REF!,Tableau3[Résultat Net (PdG)]),"")</f>
        <v/>
      </c>
      <c r="AV123" s="43" t="str">
        <f>IFERROR(_xlfn.XLOOKUP(Tableau1[[#This Row],[Isin]]&amp;1&amp;2019,#REF!,Tableau3[Résultat Net (PdG)]),"")</f>
        <v/>
      </c>
      <c r="AW123" s="43" t="str">
        <f>IFERROR(_xlfn.XLOOKUP(Tableau1[[#This Row],[Isin]]&amp;1&amp;2018,#REF!,Tableau3[Résultat Net (PdG)]),"")</f>
        <v/>
      </c>
      <c r="AX123" s="43" t="str">
        <f>IFERROR(_xlfn.XLOOKUP(Tableau1[[#This Row],[Isin]]&amp;1&amp;2017,#REF!,Tableau3[Résultat Net (PdG)]),"")</f>
        <v/>
      </c>
      <c r="AY123" s="43" t="str">
        <f>IFERROR(_xlfn.XLOOKUP(Tableau1[[#This Row],[Isin]]&amp;1&amp;2016,#REF!,Tableau3[Résultat Net (PdG)]),"")</f>
        <v/>
      </c>
      <c r="AZ123" s="137" t="str">
        <f ca="1">IFERROR(Tableau1[[#This Row],[Capitalisation boursière]]/Tableau1[[#This Row],[RN Groupe 2023]],"")</f>
        <v/>
      </c>
      <c r="BA123" s="4" t="str" cm="1">
        <f t="array" aca="1" ref="BA123" ca="1">IFERROR(_FV(Tableau1[[#This Row],[Code Excel]],"Industrie"),"")</f>
        <v>Professional &amp; Commercial Services</v>
      </c>
      <c r="BB123" s="43" t="s">
        <v>3477</v>
      </c>
      <c r="BC123" s="43" t="str">
        <f>IFERROR(_xlfn.XLOOKUP(Tableau1[[#This Row],[Isin]]&amp;1&amp;2016,#REF!,Tableau3[Capi]),"")</f>
        <v/>
      </c>
      <c r="BD123" s="43" t="str">
        <f>IFERROR(_xlfn.XLOOKUP(Tableau1[[#This Row],[Isin]]&amp;1&amp;2017,#REF!,Tableau3[Capi]),"")</f>
        <v/>
      </c>
      <c r="BE123" s="43" t="str">
        <f>IFERROR(_xlfn.XLOOKUP(Tableau1[[#This Row],[Isin]]&amp;1&amp;2018,#REF!,Tableau3[Capi]),"")</f>
        <v/>
      </c>
      <c r="BF123" s="43" t="str">
        <f>IFERROR(_xlfn.XLOOKUP(Tableau1[[#This Row],[Isin]]&amp;1&amp;2019,#REF!,Tableau3[Capi]),"")</f>
        <v/>
      </c>
      <c r="BG123" s="43" t="str">
        <f>IFERROR(_xlfn.XLOOKUP(Tableau1[[#This Row],[Isin]]&amp;1&amp;2020,#REF!,Tableau3[Capi]),"")</f>
        <v/>
      </c>
      <c r="BH123" s="43">
        <f>IF(IFERROR(_xlfn.XLOOKUP(Tableau1[[#This Row],[Isin]]&amp;1&amp;2021,#REF!,Tableau3[Capi]),"")="",Tableau1[[#This Row],[Capitalisation 2021
Manuel]],IFERROR(_xlfn.XLOOKUP(Tableau1[[#This Row],[Isin]]&amp;1&amp;2021,#REF!,Tableau3[Capi]),""))</f>
        <v>0</v>
      </c>
      <c r="BI123" s="43"/>
      <c r="BJ123" s="43">
        <f>IF(IFERROR(_xlfn.XLOOKUP(Tableau1[[#This Row],[Isin]]&amp;1&amp;2022,#REF!,Tableau3[Capi]),"")="",Tableau1[[#This Row],[Capitalisation 2022
Manuel]],IFERROR(_xlfn.XLOOKUP(Tableau1[[#This Row],[Isin]]&amp;1&amp;2022,#REF!,Tableau3[Capi]),""))</f>
        <v>0</v>
      </c>
      <c r="BK123" s="43"/>
      <c r="BL123" s="43">
        <f ca="1">Tableau1[[#This Row],[Capitalisation boursière]]</f>
        <v>4946287000</v>
      </c>
      <c r="BM123" s="162" t="str" cm="1">
        <f t="array" aca="1" ref="BM123" ca="1">_FV(Tableau1[[#This Row],[Code Excel]],"Description")</f>
        <v>Elis sa est une entreprise française qui propose de nombreux services dans les domaines de la propreté, de l'image, de l'hygiène et du bien-être. La Société propose la location et l'entretien de linge plat, de vêtements professionnels, ainsi que des appareils d'hygiène et des services de bien-être. Ses services de linge de maison comprennent : tabliers, torchons et serviettes de verre ; linge de maison pour hôtels et restaurants ; linge de maison pour salons de beauté et spas, installations de coiffure et de fitness, ainsi que linge pour établissements de soins de santé. Elle offre ses services de vêtements à : hôtels, restaurants et réceptions et salons de beauté et spas, entre autres. Il propose également des accessoires et consommables pour les opérateurs de salle blanche. Elle fournit des solutions sanitaires pour le lavage des mains et les distributeurs de papier toilette, entre autres. Elle dessert les secteurs de l'hôtellerie, de la restauration, de la santé, de l'industrie, du commerce de détail et des services, grâce à son réseau et ses centres de distribution en Europe et en Amérique du Sud. Elle opère par l'intermédiaire de Lavebras et Berendsen plc.</v>
      </c>
      <c r="BN123" s="43"/>
      <c r="BO123" s="43"/>
      <c r="BP123" s="43"/>
      <c r="BQ123" s="43"/>
      <c r="BR123" s="4"/>
      <c r="BS123" s="21"/>
      <c r="BT123" s="13"/>
      <c r="BU123" s="13"/>
      <c r="BV123" s="13"/>
      <c r="BW123" s="13"/>
      <c r="BX123" s="13"/>
      <c r="BY123" s="3"/>
      <c r="BZ123" s="58"/>
      <c r="CA123" s="59"/>
    </row>
    <row r="124" spans="3:79">
      <c r="C124" s="43"/>
      <c r="D124" s="42">
        <f>IF(Tableau1[[#This Row],[Isin]]="",99,Tableau1[[#This Row],[Intérêt]]+Tableau1[[#This Row],[Valeur d''intérêt]]+Tableau1[[#This Row],[N° Portefeuille]])</f>
        <v>20</v>
      </c>
      <c r="E124" s="43"/>
      <c r="F124" s="42">
        <f>IF(Tableau1[[#This Row],[Portefeuille]]="p",0,Tableau1[[#This Row],[F. Investissement
Niveau d''intérêt]]*10)</f>
        <v>20</v>
      </c>
      <c r="G124" s="43">
        <f>IF(Tableau1[[#This Row],[Portefeuille]]="p",3,0)</f>
        <v>0</v>
      </c>
      <c r="H124" s="43">
        <v>2</v>
      </c>
      <c r="I124" s="43">
        <v>4</v>
      </c>
      <c r="J124" s="43"/>
      <c r="K124" s="43"/>
      <c r="L124" s="16">
        <v>1</v>
      </c>
      <c r="M12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4" s="44" t="s">
        <v>370</v>
      </c>
      <c r="O124" s="44" t="s">
        <v>371</v>
      </c>
      <c r="P124" s="4" t="s">
        <v>84</v>
      </c>
      <c r="Q124" s="6" t="s">
        <v>85</v>
      </c>
      <c r="R124" s="6"/>
      <c r="S124" s="6" t="s">
        <v>374</v>
      </c>
      <c r="T124" s="6" t="e" vm="112">
        <v>#VALUE!</v>
      </c>
      <c r="U124" s="46" cm="1">
        <f t="array" aca="1" ref="U124" ca="1">IFERROR(_FV(Tableau1[[#This Row],[Code Excel]],"Capitalisation boursière",TRUE),"")</f>
        <v>43981250000</v>
      </c>
      <c r="V124" s="4" t="str" cm="1">
        <f t="array" aca="1" ref="V124" ca="1">IFERROR(_FV(Tableau1[[#This Row],[Code Excel]],"Industrie"),"")</f>
        <v>Multiline Utilities</v>
      </c>
      <c r="W124" s="4" t="s">
        <v>371</v>
      </c>
      <c r="X124" s="4" t="str">
        <f ca="1">Tableau1[[#This Row],[Grand Secteur]]&amp;Tableau1[[#This Row],[Industrie]]</f>
        <v>EnergieMultiline Utilities</v>
      </c>
      <c r="Y124" s="23" cm="1">
        <f t="array" aca="1" ref="Y124" ca="1">IFERROR(_FV(Tableau1[[#This Row],[Code Excel]],"P/E",TRUE),"")</f>
        <v>10.8612</v>
      </c>
      <c r="Z124" s="43" cm="1">
        <f t="array" aca="1" ref="Z124" ca="1">IFERROR(_FV(Tableau1[[#This Row],[Code Excel]],"Employés"),"")</f>
        <v>98000</v>
      </c>
      <c r="AA124" s="46">
        <f ca="1">IFERROR(Tableau1[[#This Row],[Capitalisation boursière]]/Tableau1[[#This Row],[Employés]],"")</f>
        <v>448788.26530612243</v>
      </c>
      <c r="AB124" s="5" t="str">
        <f>IFERROR(Tableau1[[#This Row],[REX (2021)]]/Tableau1[[#This Row],[CA 2024]],"")</f>
        <v/>
      </c>
      <c r="AC124" s="9" t="str">
        <f>IFERROR(_xlfn.XLOOKUP(Tableau1[[#This Row],[Isin]]&amp;1&amp;2021,#REF!,Tableau3[Résultat d''exploitation]),"")</f>
        <v/>
      </c>
      <c r="AD124" s="9" t="str">
        <f>IFERROR(_xlfn.XLOOKUP(Tableau1[[#This Row],[Isin]]&amp;1&amp;2019,#REF!,Tableau3[Chiffre d''affaires]),"")</f>
        <v/>
      </c>
      <c r="AE124" s="9" t="str">
        <f>IFERROR(_xlfn.XLOOKUP(Tableau1[[#This Row],[Isin]]&amp;1&amp;2024,#REF!,Tableau3[Chiffre d''affaires]),"")</f>
        <v/>
      </c>
      <c r="AF124" s="8" t="str">
        <f>IFERROR(IF((Tableau1[[#This Row],[CA 2024]]-Tableau1[[#This Row],[CA 2019]])/Tableau1[[#This Row],[CA 2019]]=-1,"",(Tableau1[[#This Row],[CA 2024]]-Tableau1[[#This Row],[CA 2019]])/Tableau1[[#This Row],[CA 2019]]),"")</f>
        <v/>
      </c>
      <c r="AG124" s="9" t="str">
        <f>IFERROR(_xlfn.XLOOKUP(Tableau1[[#This Row],[Isin]]&amp;1&amp;2021,#REF!,Tableau3[EBE]),"")</f>
        <v/>
      </c>
      <c r="AH124" s="9" t="str">
        <f>IFERROR(_xlfn.XLOOKUP(Tableau1[[#This Row],[Isin]]&amp;1&amp;2022,#REF!,Tableau3[EBE]),"")</f>
        <v/>
      </c>
      <c r="AI124" s="43" t="s">
        <v>4343</v>
      </c>
      <c r="AJ124" s="43" t="s">
        <v>3150</v>
      </c>
      <c r="AK124" s="43" t="s">
        <v>3419</v>
      </c>
      <c r="AL124" s="43" t="s">
        <v>3149</v>
      </c>
      <c r="AM124" s="43"/>
      <c r="AN124" s="9" t="str">
        <f>IFERROR(_xlfn.XLOOKUP(Tableau1[[#This Row],[Isin]]&amp;1&amp;2021,#REF!,Tableau3[Chiffre d''affaires]),"")</f>
        <v/>
      </c>
      <c r="AO124" s="43" cm="1">
        <f t="array" aca="1" ref="AO124" ca="1">_FV(Tableau1[[#This Row],[Code Excel]],"P/E",TRUE)</f>
        <v>10.8612</v>
      </c>
      <c r="AP124" s="43" t="str">
        <f>IFERROR(_xlfn.XLOOKUP(Tableau1[[#This Row],[Isin]]&amp;1&amp;2023,#REF!,Tableau3[Résultat Net (PdG)]),"")</f>
        <v/>
      </c>
      <c r="AQ124" s="43">
        <f>IF(IFERROR(_xlfn.XLOOKUP(Tableau1[[#This Row],[Isin]]&amp;1&amp;2022,#REF!,Tableau3[Résultat Net (PdG)]),"")="",Tableau1[[#This Row],[RN Groupe 2022
Manuel]],IFERROR(_xlfn.XLOOKUP(Tableau1[[#This Row],[Isin]]&amp;1&amp;2022,#REF!,Tableau3[Résultat Net (PdG)]),""))</f>
        <v>5200000000</v>
      </c>
      <c r="AR124" s="140">
        <v>5200000000</v>
      </c>
      <c r="AS124" s="43">
        <f>IF(IFERROR(_xlfn.XLOOKUP(Tableau1[[#This Row],[Isin]]&amp;1&amp;2021,#REF!,Tableau3[Résultat Net (PdG)]),"")="",Tableau1[[#This Row],[RN Groupe 2021
Manuel]],IFERROR(_xlfn.XLOOKUP(Tableau1[[#This Row],[Isin]]&amp;1&amp;2021,#REF!,Tableau3[Résultat Net (PdG)]),""))</f>
        <v>3661000000</v>
      </c>
      <c r="AT124" s="140">
        <v>3661000000</v>
      </c>
      <c r="AU124" s="43" t="str">
        <f>IFERROR(_xlfn.XLOOKUP(Tableau1[[#This Row],[Isin]]&amp;1&amp;2020,#REF!,Tableau3[Résultat Net (PdG)]),"")</f>
        <v/>
      </c>
      <c r="AV124" s="43" t="str">
        <f>IFERROR(_xlfn.XLOOKUP(Tableau1[[#This Row],[Isin]]&amp;1&amp;2019,#REF!,Tableau3[Résultat Net (PdG)]),"")</f>
        <v/>
      </c>
      <c r="AW124" s="43" t="str">
        <f>IFERROR(_xlfn.XLOOKUP(Tableau1[[#This Row],[Isin]]&amp;1&amp;2018,#REF!,Tableau3[Résultat Net (PdG)]),"")</f>
        <v/>
      </c>
      <c r="AX124" s="43" t="str">
        <f>IFERROR(_xlfn.XLOOKUP(Tableau1[[#This Row],[Isin]]&amp;1&amp;2017,#REF!,Tableau3[Résultat Net (PdG)]),"")</f>
        <v/>
      </c>
      <c r="AY124" s="43" t="str">
        <f>IFERROR(_xlfn.XLOOKUP(Tableau1[[#This Row],[Isin]]&amp;1&amp;2016,#REF!,Tableau3[Résultat Net (PdG)]),"")</f>
        <v/>
      </c>
      <c r="AZ124" s="137" t="str">
        <f ca="1">IFERROR(Tableau1[[#This Row],[Capitalisation boursière]]/Tableau1[[#This Row],[RN Groupe 2023]],"")</f>
        <v/>
      </c>
      <c r="BA124" s="4" t="s">
        <v>371</v>
      </c>
      <c r="BB124" s="43" t="s">
        <v>3518</v>
      </c>
      <c r="BC124" s="43" t="str">
        <f>IFERROR(_xlfn.XLOOKUP(Tableau1[[#This Row],[Isin]]&amp;1&amp;2016,#REF!,Tableau3[Capi]),"")</f>
        <v/>
      </c>
      <c r="BD124" s="43" t="str">
        <f>IFERROR(_xlfn.XLOOKUP(Tableau1[[#This Row],[Isin]]&amp;1&amp;2017,#REF!,Tableau3[Capi]),"")</f>
        <v/>
      </c>
      <c r="BE124" s="43" t="str">
        <f>IFERROR(_xlfn.XLOOKUP(Tableau1[[#This Row],[Isin]]&amp;1&amp;2018,#REF!,Tableau3[Capi]),"")</f>
        <v/>
      </c>
      <c r="BF124" s="43" t="str">
        <f>IFERROR(_xlfn.XLOOKUP(Tableau1[[#This Row],[Isin]]&amp;1&amp;2019,#REF!,Tableau3[Capi]),"")</f>
        <v/>
      </c>
      <c r="BG124" s="43" t="str">
        <f>IFERROR(_xlfn.XLOOKUP(Tableau1[[#This Row],[Isin]]&amp;1&amp;2020,#REF!,Tableau3[Capi]),"")</f>
        <v/>
      </c>
      <c r="BH124" s="43">
        <f>IF(IFERROR(_xlfn.XLOOKUP(Tableau1[[#This Row],[Isin]]&amp;1&amp;2021,#REF!,Tableau3[Capi]),"")="",Tableau1[[#This Row],[Capitalisation 2021
Manuel]],IFERROR(_xlfn.XLOOKUP(Tableau1[[#This Row],[Isin]]&amp;1&amp;2021,#REF!,Tableau3[Capi]),""))</f>
        <v>34439472000</v>
      </c>
      <c r="BI124" s="142">
        <v>34439472000</v>
      </c>
      <c r="BJ124" s="141">
        <f>IF(IFERROR(_xlfn.XLOOKUP(Tableau1[[#This Row],[Isin]]&amp;1&amp;2022,#REF!,Tableau3[Capi]),"")="",Tableau1[[#This Row],[Capitalisation 2022
Manuel]],IFERROR(_xlfn.XLOOKUP(Tableau1[[#This Row],[Isin]]&amp;1&amp;2022,#REF!,Tableau3[Capi]),""))</f>
        <v>34495753000</v>
      </c>
      <c r="BK124" s="142">
        <v>34495753000</v>
      </c>
      <c r="BL124" s="43">
        <f ca="1">Tableau1[[#This Row],[Capitalisation boursière]]</f>
        <v>43981250000</v>
      </c>
      <c r="BM124" s="162" t="str" cm="1">
        <f t="array" aca="1" ref="BM124" ca="1">_FV(Tableau1[[#This Row],[Code Excel]],"Description")</f>
        <v>ENGIE sa est un groupe mondial d'énergie et de services basé en France. Elle opère dans les secteurs d'activité suivants : infrastructures, énergies renouvelables, solutions énergétiques, FlexGen et commerce de détail, nucléaire et autres. La Société développe des solutions intégrées pour accompagner les entreprises et les collectivités locales dans la transition zéro carbone. Elle intervient dans la chaîne de valeur du gaz et de l'électricité (hydrogène, gaz naturel et biogaz) en amont de l'approvisionnement des clients. Les énergies renouvelables couvrent à la fois la production et la commercialisation de l'électricité produite à partir de toutes les sources d'énergie renouvelables. La Société produit et commercialise de l'électricité à partir d'autres sources d'énergie, comme le gaz et le charbon. Il comprend également approvisionnement qui combine les activités d'achats-vente en gros et les activités d'affaires aux clients solutions client et nucléaire, dédié aux activités nucléaires.</v>
      </c>
      <c r="BN124" s="43"/>
      <c r="BO124" s="43"/>
      <c r="BP124" s="43"/>
      <c r="BQ124" s="43"/>
      <c r="BR124" s="4"/>
      <c r="BS124" s="21"/>
      <c r="BT124" s="13"/>
      <c r="BU124" s="13"/>
      <c r="BV124" s="13"/>
      <c r="BW124" s="13"/>
      <c r="BX124" s="13"/>
      <c r="BY124" s="3"/>
      <c r="BZ124" s="58"/>
      <c r="CA124" s="59"/>
    </row>
    <row r="125" spans="3:79">
      <c r="C125" s="43"/>
      <c r="D125" s="42">
        <f>IF(Tableau1[[#This Row],[Isin]]="",99,Tableau1[[#This Row],[Intérêt]]+Tableau1[[#This Row],[Valeur d''intérêt]]+Tableau1[[#This Row],[N° Portefeuille]])</f>
        <v>0</v>
      </c>
      <c r="E125" s="43"/>
      <c r="F125" s="42">
        <f>IF(Tableau1[[#This Row],[Portefeuille]]="p",0,Tableau1[[#This Row],[F. Investissement
Niveau d''intérêt]]*10)</f>
        <v>0</v>
      </c>
      <c r="G125" s="43">
        <f>IF(Tableau1[[#This Row],[Portefeuille]]="p",3,0)</f>
        <v>0</v>
      </c>
      <c r="H125" s="42"/>
      <c r="I125" s="43"/>
      <c r="J125" s="43"/>
      <c r="K125" s="43"/>
      <c r="L125" s="16"/>
      <c r="M12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5" s="64" t="s">
        <v>3776</v>
      </c>
      <c r="O125" s="68"/>
      <c r="P125" s="4"/>
      <c r="Q125" s="4"/>
      <c r="R125" s="6"/>
      <c r="S125" s="6" t="s">
        <v>3777</v>
      </c>
      <c r="T125" s="4" t="e" vm="113">
        <v>#VALUE!</v>
      </c>
      <c r="U125" s="46" cm="1">
        <f t="array" aca="1" ref="U125" ca="1">IFERROR(_FV(Tableau1[[#This Row],[Code Excel]],"Capitalisation boursière",TRUE),"")</f>
        <v>388787600000</v>
      </c>
      <c r="V125" s="4" t="str" cm="1">
        <f t="array" aca="1" ref="V125" ca="1">IFERROR(_FV(Tableau1[[#This Row],[Code Excel]],"Industrie"),"")</f>
        <v>Investment Banking &amp; Investment Services</v>
      </c>
      <c r="X125" s="4" t="str">
        <f ca="1">Tableau1[[#This Row],[Grand Secteur]]&amp;Tableau1[[#This Row],[Industrie]]</f>
        <v>Investment Banking &amp; Investment Services</v>
      </c>
      <c r="Y125" s="65" cm="1">
        <f t="array" aca="1" ref="Y125" ca="1">IFERROR(_FV(Tableau1[[#This Row],[Code Excel]],"P/E",TRUE),"")</f>
        <v>41.58</v>
      </c>
      <c r="Z125" s="43" cm="1">
        <f t="array" aca="1" ref="Z125" ca="1">IFERROR(_FV(Tableau1[[#This Row],[Code Excel]],"Employés"),"")</f>
        <v>1941</v>
      </c>
      <c r="AA125" s="49">
        <f ca="1">IFERROR(Tableau1[[#This Row],[Capitalisation boursière]]/Tableau1[[#This Row],[Employés]],"")</f>
        <v>200302730.55126223</v>
      </c>
      <c r="AB125" s="5" t="str">
        <f>IFERROR(Tableau1[[#This Row],[REX (2021)]]/Tableau1[[#This Row],[CA 2024]],"")</f>
        <v/>
      </c>
      <c r="AC125" s="43" t="str">
        <f>IFERROR(_xlfn.XLOOKUP(Tableau1[[#This Row],[Isin]]&amp;1&amp;2021,#REF!,Tableau3[Résultat d''exploitation]),"")</f>
        <v/>
      </c>
      <c r="AD125" s="43" t="str">
        <f>IFERROR(_xlfn.XLOOKUP(Tableau1[[#This Row],[Isin]]&amp;1&amp;2019,#REF!,Tableau3[Chiffre d''affaires]),"")</f>
        <v/>
      </c>
      <c r="AE125" s="43" t="str">
        <f>IFERROR(_xlfn.XLOOKUP(Tableau1[[#This Row],[Isin]]&amp;1&amp;2024,#REF!,Tableau3[Chiffre d''affaires]),"")</f>
        <v/>
      </c>
      <c r="AF125" s="297" t="str">
        <f>IFERROR(IF((Tableau1[[#This Row],[CA 2024]]-Tableau1[[#This Row],[CA 2019]])/Tableau1[[#This Row],[CA 2019]]=-1,"",(Tableau1[[#This Row],[CA 2024]]-Tableau1[[#This Row],[CA 2019]])/Tableau1[[#This Row],[CA 2019]]),"")</f>
        <v/>
      </c>
      <c r="AG125" s="9" t="str">
        <f>IFERROR(_xlfn.XLOOKUP(Tableau1[[#This Row],[Isin]]&amp;1&amp;2021,#REF!,Tableau3[EBE]),"")</f>
        <v/>
      </c>
      <c r="AH125" s="9" t="str">
        <f>IFERROR(_xlfn.XLOOKUP(Tableau1[[#This Row],[Isin]]&amp;1&amp;2022,#REF!,Tableau3[EBE]),"")</f>
        <v/>
      </c>
      <c r="AI125" s="43"/>
      <c r="AJ125" s="43"/>
      <c r="AK125" s="43"/>
      <c r="AL125" s="43"/>
      <c r="AM125" s="43"/>
      <c r="AN125" s="43" t="str">
        <f>IFERROR(_xlfn.XLOOKUP(Tableau1[[#This Row],[Isin]]&amp;1&amp;2021,#REF!,Tableau3[Chiffre d''affaires]),"")</f>
        <v/>
      </c>
      <c r="AO125" s="43" cm="1">
        <f t="array" aca="1" ref="AO125" ca="1">_FV(Tableau1[[#This Row],[Code Excel]],"P/E",TRUE)</f>
        <v>41.58</v>
      </c>
      <c r="AP125" s="43" t="str">
        <f>IFERROR(_xlfn.XLOOKUP(Tableau1[[#This Row],[Isin]]&amp;1&amp;2023,#REF!,Tableau3[Résultat Net (PdG)]),"")</f>
        <v/>
      </c>
      <c r="AQ125" s="43">
        <f>IF(IFERROR(_xlfn.XLOOKUP(Tableau1[[#This Row],[Isin]]&amp;1&amp;2022,#REF!,Tableau3[Résultat Net (PdG)]),"")="",Tableau1[[#This Row],[RN Groupe 2022
Manuel]],IFERROR(_xlfn.XLOOKUP(Tableau1[[#This Row],[Isin]]&amp;1&amp;2022,#REF!,Tableau3[Résultat Net (PdG)]),""))</f>
        <v>0</v>
      </c>
      <c r="AR125" s="43"/>
      <c r="AS125" s="43">
        <f>IF(IFERROR(_xlfn.XLOOKUP(Tableau1[[#This Row],[Isin]]&amp;1&amp;2021,#REF!,Tableau3[Résultat Net (PdG)]),"")="",Tableau1[[#This Row],[RN Groupe 2021
Manuel]],IFERROR(_xlfn.XLOOKUP(Tableau1[[#This Row],[Isin]]&amp;1&amp;2021,#REF!,Tableau3[Résultat Net (PdG)]),""))</f>
        <v>0</v>
      </c>
      <c r="AT125" s="43"/>
      <c r="AU125" s="43"/>
      <c r="AV125" s="43"/>
      <c r="AW125" s="43"/>
      <c r="AX125" s="43"/>
      <c r="AY125" s="43" t="str">
        <f>IFERROR(_xlfn.XLOOKUP(Tableau1[[#This Row],[Isin]]&amp;1&amp;2016,#REF!,Tableau3[Résultat Net (PdG)]),"")</f>
        <v/>
      </c>
      <c r="AZ125" s="137" t="str">
        <f ca="1">IFERROR(Tableau1[[#This Row],[Capitalisation boursière]]/Tableau1[[#This Row],[RN Groupe 2023]],"")</f>
        <v/>
      </c>
      <c r="BA125" s="43" t="str" cm="1">
        <f t="array" aca="1" ref="BA125" ca="1">IFERROR(_FV(Tableau1[[#This Row],[Code Excel]],"Industrie"),"")</f>
        <v>Investment Banking &amp; Investment Services</v>
      </c>
      <c r="BB125" s="43"/>
      <c r="BC125" s="43" t="str">
        <f>IFERROR(_xlfn.XLOOKUP(Tableau1[[#This Row],[Isin]]&amp;1&amp;2016,#REF!,Tableau3[Capi]),"")</f>
        <v/>
      </c>
      <c r="BD125" s="43" t="str">
        <f>IFERROR(_xlfn.XLOOKUP(Tableau1[[#This Row],[Isin]]&amp;1&amp;2017,#REF!,Tableau3[Capi]),"")</f>
        <v/>
      </c>
      <c r="BE125" s="43" t="str">
        <f>IFERROR(_xlfn.XLOOKUP(Tableau1[[#This Row],[Isin]]&amp;1&amp;2018,#REF!,Tableau3[Capi]),"")</f>
        <v/>
      </c>
      <c r="BF125" s="43" t="str">
        <f>IFERROR(_xlfn.XLOOKUP(Tableau1[[#This Row],[Isin]]&amp;1&amp;2019,#REF!,Tableau3[Capi]),"")</f>
        <v/>
      </c>
      <c r="BG125" s="43" t="str">
        <f>IFERROR(_xlfn.XLOOKUP(Tableau1[[#This Row],[Isin]]&amp;1&amp;2020,#REF!,Tableau3[Capi]),"")</f>
        <v/>
      </c>
      <c r="BH125" s="43">
        <f>IF(IFERROR(_xlfn.XLOOKUP(Tableau1[[#This Row],[Isin]]&amp;1&amp;2021,#REF!,Tableau3[Capi]),"")="",Tableau1[[#This Row],[Capitalisation 2021
Manuel]],IFERROR(_xlfn.XLOOKUP(Tableau1[[#This Row],[Isin]]&amp;1&amp;2021,#REF!,Tableau3[Capi]),""))</f>
        <v>0</v>
      </c>
      <c r="BI125" s="43"/>
      <c r="BJ125" s="43">
        <f>IF(IFERROR(_xlfn.XLOOKUP(Tableau1[[#This Row],[Isin]]&amp;1&amp;2022,#REF!,Tableau3[Capi]),"")="",Tableau1[[#This Row],[Capitalisation 2022
Manuel]],IFERROR(_xlfn.XLOOKUP(Tableau1[[#This Row],[Isin]]&amp;1&amp;2022,#REF!,Tableau3[Capi]),""))</f>
        <v>0</v>
      </c>
      <c r="BK125" s="43"/>
      <c r="BL125" s="43">
        <f ca="1">Tableau1[[#This Row],[Capitalisation boursière]]</f>
        <v>388787600000</v>
      </c>
      <c r="BM125" s="162" t="str" cm="1">
        <f t="array" aca="1" ref="BM125" ca="1">_FV(Tableau1[[#This Row],[Code Excel]],"Description")</f>
        <v>EQT AB est une société d'investissement mondiale différenciée basée en Suède. La Société gère et conseille une gamme de fonds d'investissement spécialisés et d'autres véhicules d'investissement qui investissent à travers le monde. Il comprend trois segments d'activité: Private Capital, Real Assets et Credit. Le secteur d'activité Private Capital investit dans des entreprises de taille moyenne à grande en Europe et aux États-Unis, en Chine et en Asie du Sud-Est, des entreprises axées sur la technologie dans tous les secteurs et des entreprises publiques. Le segment d'activité Real Assets investit dans les infrastructures et les activités immobilières. Credit offrent une plateforme d'investissement.</v>
      </c>
      <c r="BN125" s="43"/>
      <c r="BO125" s="43"/>
      <c r="BP125" s="43"/>
      <c r="BQ125" s="43"/>
      <c r="BR125" s="4"/>
      <c r="BS125" s="21"/>
      <c r="BT125" s="13"/>
      <c r="BU125" s="13"/>
      <c r="BV125" s="13"/>
      <c r="BW125" s="13"/>
      <c r="BX125" s="13"/>
      <c r="BY125" s="3"/>
      <c r="BZ125" s="58"/>
      <c r="CA125" s="59"/>
    </row>
    <row r="126" spans="3:79">
      <c r="C126" s="42"/>
      <c r="D126" s="42">
        <f>IF(Tableau1[[#This Row],[Isin]]="",99,Tableau1[[#This Row],[Intérêt]]+Tableau1[[#This Row],[Valeur d''intérêt]]+Tableau1[[#This Row],[N° Portefeuille]])</f>
        <v>30</v>
      </c>
      <c r="E126" s="42"/>
      <c r="F126" s="42">
        <f>IF(Tableau1[[#This Row],[Portefeuille]]="p",0,Tableau1[[#This Row],[F. Investissement
Niveau d''intérêt]]*10)</f>
        <v>30</v>
      </c>
      <c r="G126" s="42">
        <f>IF(Tableau1[[#This Row],[Portefeuille]]="p",3,0)</f>
        <v>0</v>
      </c>
      <c r="H126" s="42">
        <v>3</v>
      </c>
      <c r="I126" s="42">
        <v>4</v>
      </c>
      <c r="J126" s="42"/>
      <c r="K126" s="43"/>
      <c r="L126" s="16">
        <v>0</v>
      </c>
      <c r="M12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6" s="44" t="s">
        <v>3779</v>
      </c>
      <c r="O126" s="45"/>
      <c r="P126" s="4" t="s">
        <v>84</v>
      </c>
      <c r="Q126" s="4"/>
      <c r="R126" s="6"/>
      <c r="S126" s="6" t="s">
        <v>3780</v>
      </c>
      <c r="T126" s="6" t="e" vm="114">
        <v>#VALUE!</v>
      </c>
      <c r="U126" s="46" cm="1">
        <f t="array" aca="1" ref="U126" ca="1">IFERROR(_FV(Tableau1[[#This Row],[Code Excel]],"Capitalisation boursière",TRUE),"")</f>
        <v>1498138000</v>
      </c>
      <c r="V126" s="4" t="str" cm="1">
        <f t="array" aca="1" ref="V126" ca="1">IFERROR(_FV(Tableau1[[#This Row],[Code Excel]],"Industrie"),"")</f>
        <v>Metals &amp; Mining</v>
      </c>
      <c r="W126" s="4" t="s">
        <v>371</v>
      </c>
      <c r="X126" s="4" t="str">
        <f ca="1">Tableau1[[#This Row],[Grand Secteur]]&amp;Tableau1[[#This Row],[Industrie]]</f>
        <v>EnergieMetals &amp; Mining</v>
      </c>
      <c r="Y126" s="23" cm="1">
        <f t="array" aca="1" ref="Y126" ca="1">IFERROR(_FV(Tableau1[[#This Row],[Code Excel]],"P/E",TRUE),"")</f>
        <v>104.2</v>
      </c>
      <c r="Z126" s="43" cm="1">
        <f t="array" aca="1" ref="Z126" ca="1">IFERROR(_FV(Tableau1[[#This Row],[Code Excel]],"Employés"),"")</f>
        <v>8993</v>
      </c>
      <c r="AA126" s="46">
        <f ca="1">IFERROR(Tableau1[[#This Row],[Capitalisation boursière]]/Tableau1[[#This Row],[Employés]],"")</f>
        <v>166589.34727009895</v>
      </c>
      <c r="AB126" s="5" t="str">
        <f>IFERROR(Tableau1[[#This Row],[REX (2021)]]/Tableau1[[#This Row],[CA 2024]],"")</f>
        <v/>
      </c>
      <c r="AC126" s="9" t="str">
        <f>IFERROR(_xlfn.XLOOKUP(Tableau1[[#This Row],[Isin]]&amp;1&amp;2021,#REF!,Tableau3[Résultat d''exploitation]),"")</f>
        <v/>
      </c>
      <c r="AD126" s="9" t="str">
        <f>IFERROR(_xlfn.XLOOKUP(Tableau1[[#This Row],[Isin]]&amp;1&amp;2019,#REF!,Tableau3[Chiffre d''affaires]),"")</f>
        <v/>
      </c>
      <c r="AE126" s="9" t="str">
        <f>IFERROR(_xlfn.XLOOKUP(Tableau1[[#This Row],[Isin]]&amp;1&amp;2024,#REF!,Tableau3[Chiffre d''affaires]),"")</f>
        <v/>
      </c>
      <c r="AF126" s="8" t="str">
        <f>IFERROR(IF((Tableau1[[#This Row],[CA 2024]]-Tableau1[[#This Row],[CA 2019]])/Tableau1[[#This Row],[CA 2019]]=-1,"",(Tableau1[[#This Row],[CA 2024]]-Tableau1[[#This Row],[CA 2019]])/Tableau1[[#This Row],[CA 2019]]),"")</f>
        <v/>
      </c>
      <c r="AG126" s="9" t="str">
        <f>IFERROR(_xlfn.XLOOKUP(Tableau1[[#This Row],[Isin]]&amp;1&amp;2021,#REF!,Tableau3[EBE]),"")</f>
        <v/>
      </c>
      <c r="AH126" s="9" t="str">
        <f>IFERROR(_xlfn.XLOOKUP(Tableau1[[#This Row],[Isin]]&amp;1&amp;2022,#REF!,Tableau3[EBE]),"")</f>
        <v/>
      </c>
      <c r="AI126" s="43" t="s">
        <v>4343</v>
      </c>
      <c r="AJ126" s="43" t="s">
        <v>3150</v>
      </c>
      <c r="AK126" s="43" t="s">
        <v>3419</v>
      </c>
      <c r="AL126" s="43"/>
      <c r="AM126" s="43"/>
      <c r="AN126" s="9" t="str">
        <f>IFERROR(_xlfn.XLOOKUP(Tableau1[[#This Row],[Isin]]&amp;1&amp;2021,#REF!,Tableau3[Chiffre d''affaires]),"")</f>
        <v/>
      </c>
      <c r="AO126" s="43" cm="1">
        <f t="array" aca="1" ref="AO126" ca="1">_FV(Tableau1[[#This Row],[Code Excel]],"P/E",TRUE)</f>
        <v>104.2</v>
      </c>
      <c r="AP126" s="43" t="str">
        <f>IFERROR(_xlfn.XLOOKUP(Tableau1[[#This Row],[Isin]]&amp;1&amp;2023,#REF!,Tableau3[Résultat Net (PdG)]),"")</f>
        <v/>
      </c>
      <c r="AQ126" s="43">
        <f>IF(IFERROR(_xlfn.XLOOKUP(Tableau1[[#This Row],[Isin]]&amp;1&amp;2022,#REF!,Tableau3[Résultat Net (PdG)]),"")="",Tableau1[[#This Row],[RN Groupe 2022
Manuel]],IFERROR(_xlfn.XLOOKUP(Tableau1[[#This Row],[Isin]]&amp;1&amp;2022,#REF!,Tableau3[Résultat Net (PdG)]),""))</f>
        <v>0</v>
      </c>
      <c r="AR126" s="43"/>
      <c r="AS126" s="43">
        <f>IF(IFERROR(_xlfn.XLOOKUP(Tableau1[[#This Row],[Isin]]&amp;1&amp;2021,#REF!,Tableau3[Résultat Net (PdG)]),"")="",Tableau1[[#This Row],[RN Groupe 2021
Manuel]],IFERROR(_xlfn.XLOOKUP(Tableau1[[#This Row],[Isin]]&amp;1&amp;2021,#REF!,Tableau3[Résultat Net (PdG)]),""))</f>
        <v>0</v>
      </c>
      <c r="AT126" s="43"/>
      <c r="AU126" s="43" t="str">
        <f>IFERROR(_xlfn.XLOOKUP(Tableau1[[#This Row],[Isin]]&amp;1&amp;2020,#REF!,Tableau3[Résultat Net (PdG)]),"")</f>
        <v/>
      </c>
      <c r="AV126" s="43" t="str">
        <f>IFERROR(_xlfn.XLOOKUP(Tableau1[[#This Row],[Isin]]&amp;1&amp;2019,#REF!,Tableau3[Résultat Net (PdG)]),"")</f>
        <v/>
      </c>
      <c r="AW126" s="43" t="str">
        <f>IFERROR(_xlfn.XLOOKUP(Tableau1[[#This Row],[Isin]]&amp;1&amp;2018,#REF!,Tableau3[Résultat Net (PdG)]),"")</f>
        <v/>
      </c>
      <c r="AX126" s="43" t="str">
        <f>IFERROR(_xlfn.XLOOKUP(Tableau1[[#This Row],[Isin]]&amp;1&amp;2017,#REF!,Tableau3[Résultat Net (PdG)]),"")</f>
        <v/>
      </c>
      <c r="AY126" s="43" t="str">
        <f>IFERROR(_xlfn.XLOOKUP(Tableau1[[#This Row],[Isin]]&amp;1&amp;2016,#REF!,Tableau3[Résultat Net (PdG)]),"")</f>
        <v/>
      </c>
      <c r="AZ126" s="137" t="str">
        <f ca="1">IFERROR(Tableau1[[#This Row],[Capitalisation boursière]]/Tableau1[[#This Row],[RN Groupe 2023]],"")</f>
        <v/>
      </c>
      <c r="BA126" s="4" t="s">
        <v>371</v>
      </c>
      <c r="BB126" s="43" t="s">
        <v>3477</v>
      </c>
      <c r="BC126" s="43" t="str">
        <f>IFERROR(_xlfn.XLOOKUP(Tableau1[[#This Row],[Isin]]&amp;1&amp;2016,#REF!,Tableau3[Capi]),"")</f>
        <v/>
      </c>
      <c r="BD126" s="43" t="str">
        <f>IFERROR(_xlfn.XLOOKUP(Tableau1[[#This Row],[Isin]]&amp;1&amp;2017,#REF!,Tableau3[Capi]),"")</f>
        <v/>
      </c>
      <c r="BE126" s="43" t="str">
        <f>IFERROR(_xlfn.XLOOKUP(Tableau1[[#This Row],[Isin]]&amp;1&amp;2018,#REF!,Tableau3[Capi]),"")</f>
        <v/>
      </c>
      <c r="BF126" s="43" t="str">
        <f>IFERROR(_xlfn.XLOOKUP(Tableau1[[#This Row],[Isin]]&amp;1&amp;2019,#REF!,Tableau3[Capi]),"")</f>
        <v/>
      </c>
      <c r="BG126" s="43" t="str">
        <f>IFERROR(_xlfn.XLOOKUP(Tableau1[[#This Row],[Isin]]&amp;1&amp;2020,#REF!,Tableau3[Capi]),"")</f>
        <v/>
      </c>
      <c r="BH126" s="43">
        <f>IF(IFERROR(_xlfn.XLOOKUP(Tableau1[[#This Row],[Isin]]&amp;1&amp;2021,#REF!,Tableau3[Capi]),"")="",Tableau1[[#This Row],[Capitalisation 2021
Manuel]],IFERROR(_xlfn.XLOOKUP(Tableau1[[#This Row],[Isin]]&amp;1&amp;2021,#REF!,Tableau3[Capi]),""))</f>
        <v>0</v>
      </c>
      <c r="BI126" s="43"/>
      <c r="BJ126" s="43">
        <f>IF(IFERROR(_xlfn.XLOOKUP(Tableau1[[#This Row],[Isin]]&amp;1&amp;2022,#REF!,Tableau3[Capi]),"")="",Tableau1[[#This Row],[Capitalisation 2022
Manuel]],IFERROR(_xlfn.XLOOKUP(Tableau1[[#This Row],[Isin]]&amp;1&amp;2022,#REF!,Tableau3[Capi]),""))</f>
        <v>0</v>
      </c>
      <c r="BK126" s="43"/>
      <c r="BL126" s="43">
        <f ca="1">Tableau1[[#This Row],[Capitalisation boursière]]</f>
        <v>1498138000</v>
      </c>
      <c r="BM126" s="162" t="str" cm="1">
        <f t="array" aca="1" ref="BM126" ca="1">_FV(Tableau1[[#This Row],[Code Excel]],"Description")</f>
        <v>ERAMET S.A. est une société métallurgique et minière intégrée basée en France. Les activités de la Société sont réparties sur trois pôles d'activités : Le pôle Nickel, qui se consacre à la production de minerai de nickel en Nouvelle-Calédonie (exploitation minière), le traitement de minerai pour produire le ferro-nickel, le nickel de haute pureté, la production de dérivés chimiques du nickel et la fabrication de carbure de tungstène et de poudres de cobalt ; le pôle Manganèse, qui se consacre à la production de minerai de manganèse et le frittage, le traitement de minerai pour produire des alliages de manganèse, la production de chrome de haute pureté et des durcisseurs pour la production d'aluminium, la collecte et le recyclage des catalyseurs utilisés par les raffineries de pétrole, l'extraction et la valorisation du métal ; et le pôle Alliages, qui se consacre à la production de pièces forgées en matrice fermée en titane, aluminium, aciers et alliages à base de nickel sur presses de grande puissance, la production d'aciers rapides, d'aciers spéciaux de hautes performances, d'alliages à base de nickel et d'aciers à outils, entre autres.</v>
      </c>
      <c r="BN126" s="43"/>
      <c r="BO126" s="43"/>
      <c r="BP126" s="43"/>
      <c r="BQ126" s="43"/>
      <c r="BR126" s="4"/>
      <c r="BS126" s="21"/>
      <c r="BT126" s="13"/>
      <c r="BU126" s="13"/>
      <c r="BV126" s="13"/>
      <c r="BW126" s="13"/>
      <c r="BX126" s="13"/>
      <c r="BY126" s="3"/>
      <c r="BZ126" s="58"/>
      <c r="CA126" s="59"/>
    </row>
    <row r="127" spans="3:79">
      <c r="C127" s="43"/>
      <c r="D127" s="42">
        <f>IF(Tableau1[[#This Row],[Isin]]="",99,Tableau1[[#This Row],[Intérêt]]+Tableau1[[#This Row],[Valeur d''intérêt]]+Tableau1[[#This Row],[N° Portefeuille]])</f>
        <v>30</v>
      </c>
      <c r="E127" s="43"/>
      <c r="F127" s="42">
        <f>IF(Tableau1[[#This Row],[Portefeuille]]="p",0,Tableau1[[#This Row],[F. Investissement
Niveau d''intérêt]]*10)</f>
        <v>30</v>
      </c>
      <c r="G127" s="43">
        <f>IF(Tableau1[[#This Row],[Portefeuille]]="p",3,0)</f>
        <v>0</v>
      </c>
      <c r="H127" s="42">
        <v>3</v>
      </c>
      <c r="I127" s="43">
        <v>4</v>
      </c>
      <c r="J127" s="43"/>
      <c r="K127" s="43"/>
      <c r="L127" s="16">
        <v>1</v>
      </c>
      <c r="M12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7" s="44" t="s">
        <v>3782</v>
      </c>
      <c r="O127" s="44" t="s">
        <v>751</v>
      </c>
      <c r="P127" s="4" t="s">
        <v>196</v>
      </c>
      <c r="Q127" s="6" t="s">
        <v>85</v>
      </c>
      <c r="R127" s="6"/>
      <c r="S127" s="6" t="s">
        <v>1450</v>
      </c>
      <c r="T127" s="6" t="e" vm="115">
        <v>#VALUE!</v>
      </c>
      <c r="U127" s="46" cm="1">
        <f t="array" aca="1" ref="U127" ca="1">IFERROR(_FV(Tableau1[[#This Row],[Code Excel]],"Capitalisation boursière",TRUE),"")</f>
        <v>941589600</v>
      </c>
      <c r="V127" s="4" t="str" cm="1">
        <f t="array" aca="1" ref="V127" ca="1">IFERROR(_FV(Tableau1[[#This Row],[Code Excel]],"Industrie"),"")</f>
        <v>Software &amp; IT Services</v>
      </c>
      <c r="W127" s="4" t="s">
        <v>4333</v>
      </c>
      <c r="X127" s="4" t="str">
        <f ca="1">Tableau1[[#This Row],[Grand Secteur]]&amp;Tableau1[[#This Row],[Industrie]]</f>
        <v>Logiciels et TechnologieSoftware &amp; IT Services</v>
      </c>
      <c r="Y127" s="23" cm="1">
        <f t="array" aca="1" ref="Y127" ca="1">IFERROR(_FV(Tableau1[[#This Row],[Code Excel]],"P/E",TRUE),"")</f>
        <v>69.058300000000003</v>
      </c>
      <c r="Z127" s="43" cm="1">
        <f t="array" aca="1" ref="Z127" ca="1">IFERROR(_FV(Tableau1[[#This Row],[Code Excel]],"Employés"),"")</f>
        <v>985</v>
      </c>
      <c r="AA127" s="49">
        <f ca="1">IFERROR(Tableau1[[#This Row],[Capitalisation boursière]]/Tableau1[[#This Row],[Employés]],"")</f>
        <v>955928.52791878174</v>
      </c>
      <c r="AB127" s="5" t="str">
        <f>IFERROR(Tableau1[[#This Row],[REX (2021)]]/Tableau1[[#This Row],[CA 2024]],"")</f>
        <v/>
      </c>
      <c r="AC127" s="9" t="str">
        <f>IFERROR(_xlfn.XLOOKUP(Tableau1[[#This Row],[Isin]]&amp;1&amp;2021,#REF!,Tableau3[Résultat d''exploitation]),"")</f>
        <v/>
      </c>
      <c r="AD127" s="9" t="str">
        <f>IFERROR(_xlfn.XLOOKUP(Tableau1[[#This Row],[Isin]]&amp;1&amp;2019,#REF!,Tableau3[Chiffre d''affaires]),"")</f>
        <v/>
      </c>
      <c r="AE127" s="9" t="str">
        <f>IFERROR(_xlfn.XLOOKUP(Tableau1[[#This Row],[Isin]]&amp;1&amp;2024,#REF!,Tableau3[Chiffre d''affaires]),"")</f>
        <v/>
      </c>
      <c r="AF127" s="8" t="str">
        <f>IFERROR(IF((Tableau1[[#This Row],[CA 2024]]-Tableau1[[#This Row],[CA 2019]])/Tableau1[[#This Row],[CA 2019]]=-1,"",(Tableau1[[#This Row],[CA 2024]]-Tableau1[[#This Row],[CA 2019]])/Tableau1[[#This Row],[CA 2019]]),"")</f>
        <v/>
      </c>
      <c r="AG127" s="9" t="str">
        <f>IFERROR(_xlfn.XLOOKUP(Tableau1[[#This Row],[Isin]]&amp;1&amp;2021,#REF!,Tableau3[EBE]),"")</f>
        <v/>
      </c>
      <c r="AH127" s="9" t="str">
        <f>IFERROR(_xlfn.XLOOKUP(Tableau1[[#This Row],[Isin]]&amp;1&amp;2022,#REF!,Tableau3[EBE]),"")</f>
        <v/>
      </c>
      <c r="AI127" s="43" t="s">
        <v>4324</v>
      </c>
      <c r="AJ127" s="43" t="s">
        <v>4334</v>
      </c>
      <c r="AK127" s="43" t="s">
        <v>3148</v>
      </c>
      <c r="AL127" s="43" t="s">
        <v>3149</v>
      </c>
      <c r="AM127" s="43"/>
      <c r="AN127" s="9" t="str">
        <f>IFERROR(_xlfn.XLOOKUP(Tableau1[[#This Row],[Isin]]&amp;1&amp;2021,#REF!,Tableau3[Chiffre d''affaires]),"")</f>
        <v/>
      </c>
      <c r="AO127" s="43" cm="1">
        <f t="array" aca="1" ref="AO127" ca="1">_FV(Tableau1[[#This Row],[Code Excel]],"P/E",TRUE)</f>
        <v>69.058300000000003</v>
      </c>
      <c r="AP127" s="43" t="str">
        <f>IFERROR(_xlfn.XLOOKUP(Tableau1[[#This Row],[Isin]]&amp;1&amp;2023,#REF!,Tableau3[Résultat Net (PdG)]),"")</f>
        <v/>
      </c>
      <c r="AQ127" s="43">
        <f>IF(IFERROR(_xlfn.XLOOKUP(Tableau1[[#This Row],[Isin]]&amp;1&amp;2022,#REF!,Tableau3[Résultat Net (PdG)]),"")="",Tableau1[[#This Row],[RN Groupe 2022
Manuel]],IFERROR(_xlfn.XLOOKUP(Tableau1[[#This Row],[Isin]]&amp;1&amp;2022,#REF!,Tableau3[Résultat Net (PdG)]),""))</f>
        <v>0</v>
      </c>
      <c r="AR127" s="43"/>
      <c r="AS127" s="43">
        <f>IF(IFERROR(_xlfn.XLOOKUP(Tableau1[[#This Row],[Isin]]&amp;1&amp;2021,#REF!,Tableau3[Résultat Net (PdG)]),"")="",Tableau1[[#This Row],[RN Groupe 2021
Manuel]],IFERROR(_xlfn.XLOOKUP(Tableau1[[#This Row],[Isin]]&amp;1&amp;2021,#REF!,Tableau3[Résultat Net (PdG)]),""))</f>
        <v>0</v>
      </c>
      <c r="AT127" s="43"/>
      <c r="AU127" s="43" t="str">
        <f>IFERROR(_xlfn.XLOOKUP(Tableau1[[#This Row],[Isin]]&amp;1&amp;2020,#REF!,Tableau3[Résultat Net (PdG)]),"")</f>
        <v/>
      </c>
      <c r="AV127" s="43" t="str">
        <f>IFERROR(_xlfn.XLOOKUP(Tableau1[[#This Row],[Isin]]&amp;1&amp;2019,#REF!,Tableau3[Résultat Net (PdG)]),"")</f>
        <v/>
      </c>
      <c r="AW127" s="43" t="str">
        <f>IFERROR(_xlfn.XLOOKUP(Tableau1[[#This Row],[Isin]]&amp;1&amp;2018,#REF!,Tableau3[Résultat Net (PdG)]),"")</f>
        <v/>
      </c>
      <c r="AX127" s="43" t="str">
        <f>IFERROR(_xlfn.XLOOKUP(Tableau1[[#This Row],[Isin]]&amp;1&amp;2017,#REF!,Tableau3[Résultat Net (PdG)]),"")</f>
        <v/>
      </c>
      <c r="AY127" s="43" t="str">
        <f>IFERROR(_xlfn.XLOOKUP(Tableau1[[#This Row],[Isin]]&amp;1&amp;2016,#REF!,Tableau3[Résultat Net (PdG)]),"")</f>
        <v/>
      </c>
      <c r="AZ127" s="137" t="str">
        <f ca="1">IFERROR(Tableau1[[#This Row],[Capitalisation boursière]]/Tableau1[[#This Row],[RN Groupe 2023]],"")</f>
        <v/>
      </c>
      <c r="BA127" s="4" t="str" cm="1">
        <f t="array" aca="1" ref="BA127" ca="1">IFERROR(_FV(Tableau1[[#This Row],[Code Excel]],"Industrie"),"")</f>
        <v>Software &amp; IT Services</v>
      </c>
      <c r="BB127" s="43" t="e">
        <v>#N/A</v>
      </c>
      <c r="BC127" s="43" t="str">
        <f>IFERROR(_xlfn.XLOOKUP(Tableau1[[#This Row],[Isin]]&amp;1&amp;2016,#REF!,Tableau3[Capi]),"")</f>
        <v/>
      </c>
      <c r="BD127" s="43" t="str">
        <f>IFERROR(_xlfn.XLOOKUP(Tableau1[[#This Row],[Isin]]&amp;1&amp;2017,#REF!,Tableau3[Capi]),"")</f>
        <v/>
      </c>
      <c r="BE127" s="43" t="str">
        <f>IFERROR(_xlfn.XLOOKUP(Tableau1[[#This Row],[Isin]]&amp;1&amp;2018,#REF!,Tableau3[Capi]),"")</f>
        <v/>
      </c>
      <c r="BF127" s="43" t="str">
        <f>IFERROR(_xlfn.XLOOKUP(Tableau1[[#This Row],[Isin]]&amp;1&amp;2019,#REF!,Tableau3[Capi]),"")</f>
        <v/>
      </c>
      <c r="BG127" s="43" t="str">
        <f>IFERROR(_xlfn.XLOOKUP(Tableau1[[#This Row],[Isin]]&amp;1&amp;2020,#REF!,Tableau3[Capi]),"")</f>
        <v/>
      </c>
      <c r="BH127" s="43">
        <f>IF(IFERROR(_xlfn.XLOOKUP(Tableau1[[#This Row],[Isin]]&amp;1&amp;2021,#REF!,Tableau3[Capi]),"")="",Tableau1[[#This Row],[Capitalisation 2021
Manuel]],IFERROR(_xlfn.XLOOKUP(Tableau1[[#This Row],[Isin]]&amp;1&amp;2021,#REF!,Tableau3[Capi]),""))</f>
        <v>0</v>
      </c>
      <c r="BI127" s="43"/>
      <c r="BJ127" s="43">
        <f>IF(IFERROR(_xlfn.XLOOKUP(Tableau1[[#This Row],[Isin]]&amp;1&amp;2022,#REF!,Tableau3[Capi]),"")="",Tableau1[[#This Row],[Capitalisation 2022
Manuel]],IFERROR(_xlfn.XLOOKUP(Tableau1[[#This Row],[Isin]]&amp;1&amp;2022,#REF!,Tableau3[Capi]),""))</f>
        <v>0</v>
      </c>
      <c r="BK127" s="43"/>
      <c r="BL127" s="43">
        <f ca="1">Tableau1[[#This Row],[Capitalisation boursière]]</f>
        <v>941589600</v>
      </c>
      <c r="BM127" s="162" t="str" cm="1">
        <f t="array" aca="1" ref="BM127" ca="1">_FV(Tableau1[[#This Row],[Code Excel]],"Description")</f>
        <v>ESI Group SA is a France-based technology company. The Company specializes in the design, development and marketing of software packages designed for performing virtual testing (digital simulations for prototypes, manufacturing processes and product behavior). It offers services such as, sales of licenses and maintenance, provision of services, engineering, consulting, training services, among others. The Company provides virtual prototyping software for scientific, engineering, construction, automotive and land transportation, aerospace, defense, naval and heavy industry for consumers and workers, adaptable and business models. Its software evaluates the performance of proposed designs in the early phases of the project with the goal of identifying and eliminating design flaws. It is present in more than 18 countries around the world. The Company ESI Group SA is the subsidiary of Keysight Technologies Inc.</v>
      </c>
      <c r="BN127" s="43"/>
      <c r="BO127" s="43"/>
      <c r="BP127" s="43"/>
      <c r="BQ127" s="43"/>
      <c r="BR127" s="4"/>
      <c r="BS127" s="21"/>
      <c r="BT127" s="13"/>
      <c r="BU127" s="13"/>
      <c r="BV127" s="13"/>
      <c r="BW127" s="13"/>
      <c r="BX127" s="13"/>
      <c r="BY127" s="3"/>
      <c r="BZ127" s="58"/>
      <c r="CA127" s="59"/>
    </row>
    <row r="128" spans="3:79">
      <c r="C128" s="42"/>
      <c r="D128" s="42">
        <f>IF(Tableau1[[#This Row],[Isin]]="",99,Tableau1[[#This Row],[Intérêt]]+Tableau1[[#This Row],[Valeur d''intérêt]]+Tableau1[[#This Row],[N° Portefeuille]])</f>
        <v>20</v>
      </c>
      <c r="E128" s="42"/>
      <c r="F128" s="42">
        <f>IF(Tableau1[[#This Row],[Portefeuille]]="p",0,Tableau1[[#This Row],[F. Investissement
Niveau d''intérêt]]*10)</f>
        <v>20</v>
      </c>
      <c r="G128" s="42">
        <f>IF(Tableau1[[#This Row],[Portefeuille]]="p",3,0)</f>
        <v>0</v>
      </c>
      <c r="H128" s="42">
        <v>2</v>
      </c>
      <c r="I128" s="42">
        <v>2</v>
      </c>
      <c r="J128" s="42"/>
      <c r="K128" s="43"/>
      <c r="L128" s="16">
        <v>1</v>
      </c>
      <c r="M12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8" s="44" t="s">
        <v>3784</v>
      </c>
      <c r="O128" s="44" t="s">
        <v>4392</v>
      </c>
      <c r="P128" s="4" t="s">
        <v>84</v>
      </c>
      <c r="Q128" s="6" t="s">
        <v>85</v>
      </c>
      <c r="R128" s="6"/>
      <c r="S128" s="6" t="s">
        <v>1514</v>
      </c>
      <c r="T128" s="6" t="e" vm="116">
        <v>#VALUE!</v>
      </c>
      <c r="U128" s="46" cm="1">
        <f t="array" aca="1" ref="U128" ca="1">IFERROR(_FV(Tableau1[[#This Row],[Code Excel]],"Capitalisation boursière",TRUE),"")</f>
        <v>121971400000</v>
      </c>
      <c r="V128" s="4" t="str" cm="1">
        <f t="array" aca="1" ref="V128" ca="1">IFERROR(_FV(Tableau1[[#This Row],[Code Excel]],"Industrie"),"")</f>
        <v>Healthcare Equipment &amp; Supplies</v>
      </c>
      <c r="W128" s="4" t="s">
        <v>1315</v>
      </c>
      <c r="X128" s="4" t="str">
        <f ca="1">Tableau1[[#This Row],[Grand Secteur]]&amp;Tableau1[[#This Row],[Industrie]]</f>
        <v>Biens de consommationHealthcare Equipment &amp; Supplies</v>
      </c>
      <c r="Y128" s="23" cm="1">
        <f t="array" aca="1" ref="Y128" ca="1">IFERROR(_FV(Tableau1[[#This Row],[Code Excel]],"P/E",TRUE),"")</f>
        <v>51.266300000000001</v>
      </c>
      <c r="Z128" s="43" cm="1">
        <f t="array" aca="1" ref="Z128" ca="1">IFERROR(_FV(Tableau1[[#This Row],[Code Excel]],"Employés"),"")</f>
        <v>196754</v>
      </c>
      <c r="AA128" s="46">
        <f ca="1">IFERROR(Tableau1[[#This Row],[Capitalisation boursière]]/Tableau1[[#This Row],[Employés]],"")</f>
        <v>619918.27358020679</v>
      </c>
      <c r="AB128" s="5" t="str">
        <f>IFERROR(Tableau1[[#This Row],[REX (2021)]]/Tableau1[[#This Row],[CA 2024]],"")</f>
        <v/>
      </c>
      <c r="AC128" s="9" t="str">
        <f>IFERROR(_xlfn.XLOOKUP(Tableau1[[#This Row],[Isin]]&amp;1&amp;2021,#REF!,Tableau3[Résultat d''exploitation]),"")</f>
        <v/>
      </c>
      <c r="AD128" s="9" t="str">
        <f>IFERROR(_xlfn.XLOOKUP(Tableau1[[#This Row],[Isin]]&amp;1&amp;2019,#REF!,Tableau3[Chiffre d''affaires]),"")</f>
        <v/>
      </c>
      <c r="AE128" s="9" t="str">
        <f>IFERROR(_xlfn.XLOOKUP(Tableau1[[#This Row],[Isin]]&amp;1&amp;2024,#REF!,Tableau3[Chiffre d''affaires]),"")</f>
        <v/>
      </c>
      <c r="AF128" s="8" t="str">
        <f>IFERROR(IF((Tableau1[[#This Row],[CA 2024]]-Tableau1[[#This Row],[CA 2019]])/Tableau1[[#This Row],[CA 2019]]=-1,"",(Tableau1[[#This Row],[CA 2024]]-Tableau1[[#This Row],[CA 2019]])/Tableau1[[#This Row],[CA 2019]]),"")</f>
        <v/>
      </c>
      <c r="AG128" s="9" t="str">
        <f>IFERROR(_xlfn.XLOOKUP(Tableau1[[#This Row],[Isin]]&amp;1&amp;2021,#REF!,Tableau3[EBE]),"")</f>
        <v/>
      </c>
      <c r="AH128" s="9" t="str">
        <f>IFERROR(_xlfn.XLOOKUP(Tableau1[[#This Row],[Isin]]&amp;1&amp;2022,#REF!,Tableau3[EBE]),"")</f>
        <v/>
      </c>
      <c r="AI128" s="43" t="s">
        <v>4329</v>
      </c>
      <c r="AJ128" s="43" t="s">
        <v>4331</v>
      </c>
      <c r="AK128" s="43" t="s">
        <v>3431</v>
      </c>
      <c r="AL128" s="43" t="s">
        <v>3149</v>
      </c>
      <c r="AM128" s="43"/>
      <c r="AN128" s="9" t="str">
        <f>IFERROR(_xlfn.XLOOKUP(Tableau1[[#This Row],[Isin]]&amp;1&amp;2021,#REF!,Tableau3[Chiffre d''affaires]),"")</f>
        <v/>
      </c>
      <c r="AO128" s="43" cm="1">
        <f t="array" aca="1" ref="AO128" ca="1">_FV(Tableau1[[#This Row],[Code Excel]],"P/E",TRUE)</f>
        <v>51.266300000000001</v>
      </c>
      <c r="AP128" s="43" t="str">
        <f>IFERROR(_xlfn.XLOOKUP(Tableau1[[#This Row],[Isin]]&amp;1&amp;2023,#REF!,Tableau3[Résultat Net (PdG)]),"")</f>
        <v/>
      </c>
      <c r="AQ128" s="43">
        <f>IF(IFERROR(_xlfn.XLOOKUP(Tableau1[[#This Row],[Isin]]&amp;1&amp;2022,#REF!,Tableau3[Résultat Net (PdG)]),"")="",Tableau1[[#This Row],[RN Groupe 2022
Manuel]],IFERROR(_xlfn.XLOOKUP(Tableau1[[#This Row],[Isin]]&amp;1&amp;2022,#REF!,Tableau3[Résultat Net (PdG)]),""))</f>
        <v>2100000000</v>
      </c>
      <c r="AR128" s="140">
        <v>2100000000</v>
      </c>
      <c r="AS128" s="43">
        <f>IF(IFERROR(_xlfn.XLOOKUP(Tableau1[[#This Row],[Isin]]&amp;1&amp;2021,#REF!,Tableau3[Résultat Net (PdG)]),"")="",Tableau1[[#This Row],[RN Groupe 2021
Manuel]],IFERROR(_xlfn.XLOOKUP(Tableau1[[#This Row],[Isin]]&amp;1&amp;2021,#REF!,Tableau3[Résultat Net (PdG)]),""))</f>
        <v>0</v>
      </c>
      <c r="AT128" s="140"/>
      <c r="AU128" s="43" t="str">
        <f>IFERROR(_xlfn.XLOOKUP(Tableau1[[#This Row],[Isin]]&amp;1&amp;2020,#REF!,Tableau3[Résultat Net (PdG)]),"")</f>
        <v/>
      </c>
      <c r="AV128" s="43" t="str">
        <f>IFERROR(_xlfn.XLOOKUP(Tableau1[[#This Row],[Isin]]&amp;1&amp;2019,#REF!,Tableau3[Résultat Net (PdG)]),"")</f>
        <v/>
      </c>
      <c r="AW128" s="43" t="str">
        <f>IFERROR(_xlfn.XLOOKUP(Tableau1[[#This Row],[Isin]]&amp;1&amp;2018,#REF!,Tableau3[Résultat Net (PdG)]),"")</f>
        <v/>
      </c>
      <c r="AX128" s="43" t="str">
        <f>IFERROR(_xlfn.XLOOKUP(Tableau1[[#This Row],[Isin]]&amp;1&amp;2017,#REF!,Tableau3[Résultat Net (PdG)]),"")</f>
        <v/>
      </c>
      <c r="AY128" s="43" t="str">
        <f>IFERROR(_xlfn.XLOOKUP(Tableau1[[#This Row],[Isin]]&amp;1&amp;2016,#REF!,Tableau3[Résultat Net (PdG)]),"")</f>
        <v/>
      </c>
      <c r="AZ128" s="137" t="str">
        <f ca="1">IFERROR(Tableau1[[#This Row],[Capitalisation boursière]]/Tableau1[[#This Row],[RN Groupe 2023]],"")</f>
        <v/>
      </c>
      <c r="BA128" s="4" t="str" cm="1">
        <f t="array" aca="1" ref="BA128" ca="1">IFERROR(_FV(Tableau1[[#This Row],[Code Excel]],"Industrie"),"")</f>
        <v>Healthcare Equipment &amp; Supplies</v>
      </c>
      <c r="BB128" s="43" t="s">
        <v>3518</v>
      </c>
      <c r="BC128" s="43" t="str">
        <f>IFERROR(_xlfn.XLOOKUP(Tableau1[[#This Row],[Isin]]&amp;1&amp;2016,#REF!,Tableau3[Capi]),"")</f>
        <v/>
      </c>
      <c r="BD128" s="43" t="str">
        <f>IFERROR(_xlfn.XLOOKUP(Tableau1[[#This Row],[Isin]]&amp;1&amp;2017,#REF!,Tableau3[Capi]),"")</f>
        <v/>
      </c>
      <c r="BE128" s="43" t="str">
        <f>IFERROR(_xlfn.XLOOKUP(Tableau1[[#This Row],[Isin]]&amp;1&amp;2018,#REF!,Tableau3[Capi]),"")</f>
        <v/>
      </c>
      <c r="BF128" s="43" t="str">
        <f>IFERROR(_xlfn.XLOOKUP(Tableau1[[#This Row],[Isin]]&amp;1&amp;2019,#REF!,Tableau3[Capi]),"")</f>
        <v/>
      </c>
      <c r="BG128" s="43" t="str">
        <f>IFERROR(_xlfn.XLOOKUP(Tableau1[[#This Row],[Isin]]&amp;1&amp;2020,#REF!,Tableau3[Capi]),"")</f>
        <v/>
      </c>
      <c r="BH128" s="43">
        <f>IF(IFERROR(_xlfn.XLOOKUP(Tableau1[[#This Row],[Isin]]&amp;1&amp;2021,#REF!,Tableau3[Capi]),"")="",Tableau1[[#This Row],[Capitalisation 2021
Manuel]],IFERROR(_xlfn.XLOOKUP(Tableau1[[#This Row],[Isin]]&amp;1&amp;2021,#REF!,Tableau3[Capi]),""))</f>
        <v>66875731000</v>
      </c>
      <c r="BI128" s="142">
        <v>66875731000</v>
      </c>
      <c r="BJ128" s="141">
        <f>IF(IFERROR(_xlfn.XLOOKUP(Tableau1[[#This Row],[Isin]]&amp;1&amp;2022,#REF!,Tableau3[Capi]),"")="",Tableau1[[#This Row],[Capitalisation 2022
Manuel]],IFERROR(_xlfn.XLOOKUP(Tableau1[[#This Row],[Isin]]&amp;1&amp;2022,#REF!,Tableau3[Capi]),""))</f>
        <v>74438619000</v>
      </c>
      <c r="BK128" s="142">
        <v>74438619000</v>
      </c>
      <c r="BL128" s="43">
        <f ca="1">Tableau1[[#This Row],[Capitalisation boursière]]</f>
        <v>121971400000</v>
      </c>
      <c r="BM128" s="162" t="str" cm="1">
        <f t="array" aca="1" ref="BM128" ca="1">_FV(Tableau1[[#This Row],[Code Excel]],"Description")</f>
        <v>EssilorLuxottica sa est une société ophtalmique basée en France. La Société conçoit, distribue, fabrique et commercialise une gamme de verres, montures et lunettes de soleil pour améliorer et protéger la vue. Elle développe et commercialise également des équipements pour laboratoires et instruments de prescription, ainsi que des services pour les professionnels de la vue. Elle opère sur trois segments : les lentilles et les instruments optiques, qui comprennent les lentilles correctrices, les instruments optiques destinés aux opticiens et aux optométristes ; les équipements, qui comprennent les machines et consommables utilisés par les usines et les laboratoires de prescription ; et les lunettes de soleil et lecteurs, qui comprennent les lunettes de lecture et les lunettes de soleil sans prescription. Les actifs d'EssilorLuxottica comprennent des marques reconnues, telles que Ray-Ban et Oakley pour les lunettes, Varilux et transitions pour les technologies optiques ophtalmiques, et Sunglass Hut et Lenscrafters pour les réseaux de distribution internationaux.</v>
      </c>
      <c r="BN128" s="43"/>
      <c r="BO128" s="43"/>
      <c r="BP128" s="43"/>
      <c r="BQ128" s="43"/>
      <c r="BR128" s="4"/>
      <c r="BS128" s="21"/>
      <c r="BT128" s="13"/>
      <c r="BU128" s="13"/>
      <c r="BV128" s="13"/>
      <c r="BW128" s="13"/>
      <c r="BX128" s="13"/>
      <c r="BY128" s="3"/>
      <c r="BZ128" s="58"/>
      <c r="CA128" s="59"/>
    </row>
    <row r="129" spans="3:79">
      <c r="C129" s="43"/>
      <c r="D129" s="42">
        <f>IF(Tableau1[[#This Row],[Isin]]="",99,Tableau1[[#This Row],[Intérêt]]+Tableau1[[#This Row],[Valeur d''intérêt]]+Tableau1[[#This Row],[N° Portefeuille]])</f>
        <v>30</v>
      </c>
      <c r="E129" s="43"/>
      <c r="F129" s="42">
        <f>IF(Tableau1[[#This Row],[Portefeuille]]="p",0,Tableau1[[#This Row],[F. Investissement
Niveau d''intérêt]]*10)</f>
        <v>30</v>
      </c>
      <c r="G129" s="43">
        <f>IF(Tableau1[[#This Row],[Portefeuille]]="p",3,0)</f>
        <v>0</v>
      </c>
      <c r="H129" s="42">
        <v>3</v>
      </c>
      <c r="I129" s="43">
        <v>4</v>
      </c>
      <c r="J129" s="43"/>
      <c r="K129" s="43"/>
      <c r="L129" s="16">
        <v>0</v>
      </c>
      <c r="M12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29" s="44" t="s">
        <v>3786</v>
      </c>
      <c r="O129" s="45"/>
      <c r="P129" s="4" t="s">
        <v>452</v>
      </c>
      <c r="Q129" s="4"/>
      <c r="R129" s="6"/>
      <c r="S129" s="6" t="s">
        <v>3787</v>
      </c>
      <c r="T129" s="6" t="e" vm="117">
        <v>#VALUE!</v>
      </c>
      <c r="U129" s="46" cm="1">
        <f t="array" aca="1" ref="U129" ca="1">IFERROR(_FV(Tableau1[[#This Row],[Code Excel]],"Capitalisation boursière",TRUE),"")</f>
        <v>4715979000</v>
      </c>
      <c r="V129" s="4" t="str" cm="1">
        <f t="array" aca="1" ref="V129" ca="1">IFERROR(_FV(Tableau1[[#This Row],[Code Excel]],"Industrie"),"")</f>
        <v>Food &amp; Drug Retailing</v>
      </c>
      <c r="W129" s="4" t="s">
        <v>966</v>
      </c>
      <c r="X129" s="4" t="str">
        <f ca="1">Tableau1[[#This Row],[Grand Secteur]]&amp;Tableau1[[#This Row],[Industrie]]</f>
        <v>DistributionFood &amp; Drug Retailing</v>
      </c>
      <c r="Y129" s="23" cm="1">
        <f t="array" aca="1" ref="Y129" ca="1">IFERROR(_FV(Tableau1[[#This Row],[Code Excel]],"P/E",TRUE),"")</f>
        <v>12.9824</v>
      </c>
      <c r="Z129" s="43" cm="1">
        <f t="array" aca="1" ref="Z129" ca="1">IFERROR(_FV(Tableau1[[#This Row],[Code Excel]],"Employés"),"")</f>
        <v>32837</v>
      </c>
      <c r="AA129" s="46">
        <f ca="1">IFERROR(Tableau1[[#This Row],[Capitalisation boursière]]/Tableau1[[#This Row],[Employés]],"")</f>
        <v>143617.83963212231</v>
      </c>
      <c r="AB129" s="5" t="str">
        <f>IFERROR(Tableau1[[#This Row],[REX (2021)]]/Tableau1[[#This Row],[CA 2024]],"")</f>
        <v/>
      </c>
      <c r="AC129" s="9" t="str">
        <f>IFERROR(_xlfn.XLOOKUP(Tableau1[[#This Row],[Isin]]&amp;1&amp;2021,#REF!,Tableau3[Résultat d''exploitation]),"")</f>
        <v/>
      </c>
      <c r="AD129" s="9" t="str">
        <f>IFERROR(_xlfn.XLOOKUP(Tableau1[[#This Row],[Isin]]&amp;1&amp;2019,#REF!,Tableau3[Chiffre d''affaires]),"")</f>
        <v/>
      </c>
      <c r="AE129" s="9" t="str">
        <f>IFERROR(_xlfn.XLOOKUP(Tableau1[[#This Row],[Isin]]&amp;1&amp;2024,#REF!,Tableau3[Chiffre d''affaires]),"")</f>
        <v/>
      </c>
      <c r="AF129" s="8" t="str">
        <f>IFERROR(IF((Tableau1[[#This Row],[CA 2024]]-Tableau1[[#This Row],[CA 2019]])/Tableau1[[#This Row],[CA 2019]]=-1,"",(Tableau1[[#This Row],[CA 2024]]-Tableau1[[#This Row],[CA 2019]])/Tableau1[[#This Row],[CA 2019]]),"")</f>
        <v/>
      </c>
      <c r="AG129" s="9" t="str">
        <f>IFERROR(_xlfn.XLOOKUP(Tableau1[[#This Row],[Isin]]&amp;1&amp;2021,#REF!,Tableau3[EBE]),"")</f>
        <v/>
      </c>
      <c r="AH129" s="9" t="str">
        <f>IFERROR(_xlfn.XLOOKUP(Tableau1[[#This Row],[Isin]]&amp;1&amp;2022,#REF!,Tableau3[EBE]),"")</f>
        <v/>
      </c>
      <c r="AI129" s="43" t="s">
        <v>3419</v>
      </c>
      <c r="AJ129" s="43" t="s">
        <v>3150</v>
      </c>
      <c r="AK129" s="43" t="s">
        <v>3149</v>
      </c>
      <c r="AL129" s="43"/>
      <c r="AM129" s="43"/>
      <c r="AN129" s="9" t="str">
        <f>IFERROR(_xlfn.XLOOKUP(Tableau1[[#This Row],[Isin]]&amp;1&amp;2021,#REF!,Tableau3[Chiffre d''affaires]),"")</f>
        <v/>
      </c>
      <c r="AO129" s="43" cm="1">
        <f t="array" aca="1" ref="AO129" ca="1">_FV(Tableau1[[#This Row],[Code Excel]],"P/E",TRUE)</f>
        <v>12.9824</v>
      </c>
      <c r="AP129" s="43" t="str">
        <f>IFERROR(_xlfn.XLOOKUP(Tableau1[[#This Row],[Isin]]&amp;1&amp;2023,#REF!,Tableau3[Résultat Net (PdG)]),"")</f>
        <v/>
      </c>
      <c r="AQ129" s="43">
        <f>IF(IFERROR(_xlfn.XLOOKUP(Tableau1[[#This Row],[Isin]]&amp;1&amp;2022,#REF!,Tableau3[Résultat Net (PdG)]),"")="",Tableau1[[#This Row],[RN Groupe 2022
Manuel]],IFERROR(_xlfn.XLOOKUP(Tableau1[[#This Row],[Isin]]&amp;1&amp;2022,#REF!,Tableau3[Résultat Net (PdG)]),""))</f>
        <v>0</v>
      </c>
      <c r="AR129" s="43"/>
      <c r="AS129" s="43">
        <f>IF(IFERROR(_xlfn.XLOOKUP(Tableau1[[#This Row],[Isin]]&amp;1&amp;2021,#REF!,Tableau3[Résultat Net (PdG)]),"")="",Tableau1[[#This Row],[RN Groupe 2021
Manuel]],IFERROR(_xlfn.XLOOKUP(Tableau1[[#This Row],[Isin]]&amp;1&amp;2021,#REF!,Tableau3[Résultat Net (PdG)]),""))</f>
        <v>0</v>
      </c>
      <c r="AT129" s="43"/>
      <c r="AU129" s="43" t="str">
        <f>IFERROR(_xlfn.XLOOKUP(Tableau1[[#This Row],[Isin]]&amp;1&amp;2020,#REF!,Tableau3[Résultat Net (PdG)]),"")</f>
        <v/>
      </c>
      <c r="AV129" s="43" t="str">
        <f>IFERROR(_xlfn.XLOOKUP(Tableau1[[#This Row],[Isin]]&amp;1&amp;2019,#REF!,Tableau3[Résultat Net (PdG)]),"")</f>
        <v/>
      </c>
      <c r="AW129" s="43" t="str">
        <f>IFERROR(_xlfn.XLOOKUP(Tableau1[[#This Row],[Isin]]&amp;1&amp;2018,#REF!,Tableau3[Résultat Net (PdG)]),"")</f>
        <v/>
      </c>
      <c r="AX129" s="43" t="str">
        <f>IFERROR(_xlfn.XLOOKUP(Tableau1[[#This Row],[Isin]]&amp;1&amp;2017,#REF!,Tableau3[Résultat Net (PdG)]),"")</f>
        <v/>
      </c>
      <c r="AY129" s="43" t="str">
        <f>IFERROR(_xlfn.XLOOKUP(Tableau1[[#This Row],[Isin]]&amp;1&amp;2016,#REF!,Tableau3[Résultat Net (PdG)]),"")</f>
        <v/>
      </c>
      <c r="AZ129" s="137" t="str">
        <f ca="1">IFERROR(Tableau1[[#This Row],[Capitalisation boursière]]/Tableau1[[#This Row],[RN Groupe 2023]],"")</f>
        <v/>
      </c>
      <c r="BA129" s="4" t="str" cm="1">
        <f t="array" aca="1" ref="BA129" ca="1">IFERROR(_FV(Tableau1[[#This Row],[Code Excel]],"Industrie"),"")</f>
        <v>Food &amp; Drug Retailing</v>
      </c>
      <c r="BB129" s="43" t="s">
        <v>3482</v>
      </c>
      <c r="BC129" s="43" t="str">
        <f>IFERROR(_xlfn.XLOOKUP(Tableau1[[#This Row],[Isin]]&amp;1&amp;2016,#REF!,Tableau3[Capi]),"")</f>
        <v/>
      </c>
      <c r="BD129" s="43" t="str">
        <f>IFERROR(_xlfn.XLOOKUP(Tableau1[[#This Row],[Isin]]&amp;1&amp;2017,#REF!,Tableau3[Capi]),"")</f>
        <v/>
      </c>
      <c r="BE129" s="43" t="str">
        <f>IFERROR(_xlfn.XLOOKUP(Tableau1[[#This Row],[Isin]]&amp;1&amp;2018,#REF!,Tableau3[Capi]),"")</f>
        <v/>
      </c>
      <c r="BF129" s="43" t="str">
        <f>IFERROR(_xlfn.XLOOKUP(Tableau1[[#This Row],[Isin]]&amp;1&amp;2019,#REF!,Tableau3[Capi]),"")</f>
        <v/>
      </c>
      <c r="BG129" s="43" t="str">
        <f>IFERROR(_xlfn.XLOOKUP(Tableau1[[#This Row],[Isin]]&amp;1&amp;2020,#REF!,Tableau3[Capi]),"")</f>
        <v/>
      </c>
      <c r="BH129" s="43">
        <f>IF(IFERROR(_xlfn.XLOOKUP(Tableau1[[#This Row],[Isin]]&amp;1&amp;2021,#REF!,Tableau3[Capi]),"")="",Tableau1[[#This Row],[Capitalisation 2021
Manuel]],IFERROR(_xlfn.XLOOKUP(Tableau1[[#This Row],[Isin]]&amp;1&amp;2021,#REF!,Tableau3[Capi]),""))</f>
        <v>0</v>
      </c>
      <c r="BI129" s="43"/>
      <c r="BJ129" s="43">
        <f>IF(IFERROR(_xlfn.XLOOKUP(Tableau1[[#This Row],[Isin]]&amp;1&amp;2022,#REF!,Tableau3[Capi]),"")="",Tableau1[[#This Row],[Capitalisation 2022
Manuel]],IFERROR(_xlfn.XLOOKUP(Tableau1[[#This Row],[Isin]]&amp;1&amp;2022,#REF!,Tableau3[Capi]),""))</f>
        <v>0</v>
      </c>
      <c r="BK129" s="43"/>
      <c r="BL129" s="43">
        <f ca="1">Tableau1[[#This Row],[Capitalisation boursière]]</f>
        <v>4715979000</v>
      </c>
      <c r="BM129" s="162" t="str" cm="1">
        <f t="array" aca="1" ref="BM129" ca="1">_FV(Tableau1[[#This Row],[Code Excel]],"Description")</f>
        <v>Colruyt Group NV, anciennement Etablissementen Franz Colruyt NV est une société belge spécialisée dans la vente au détail et la vente en gros de produits alimentaires. La division commerce de détail de la Société comprend la fourniture directe de produits aux clients de détail opérant par l'intermédiaire des marques Colruyt, DreamBaby, bio-Planet, Dreamland et ColliShop, entre autres. Elle dispose d'un portefeuille de formats alimentaires et non alimentaires, en Belgique, en France et au Luxembourg. La Société possède également une division des activités corporatives, qui combine les services de soutien, les processus et les systèmes et l'administration centrale, entre autres.</v>
      </c>
      <c r="BN129" s="43"/>
      <c r="BO129" s="43"/>
      <c r="BP129" s="43"/>
      <c r="BQ129" s="43"/>
      <c r="BR129" s="4"/>
      <c r="BS129" s="21"/>
      <c r="BT129" s="13"/>
      <c r="BU129" s="13"/>
      <c r="BV129" s="13"/>
      <c r="BW129" s="13"/>
      <c r="BX129" s="13"/>
      <c r="BY129" s="3"/>
      <c r="BZ129" s="58"/>
      <c r="CA129" s="59"/>
    </row>
    <row r="130" spans="3:79">
      <c r="C130" s="42"/>
      <c r="D130" s="42">
        <f>IF(Tableau1[[#This Row],[Isin]]="",99,Tableau1[[#This Row],[Intérêt]]+Tableau1[[#This Row],[Valeur d''intérêt]]+Tableau1[[#This Row],[N° Portefeuille]])</f>
        <v>3</v>
      </c>
      <c r="E130" s="42"/>
      <c r="F130" s="42">
        <f>IF(Tableau1[[#This Row],[Portefeuille]]="p",0,Tableau1[[#This Row],[F. Investissement
Niveau d''intérêt]]*10)</f>
        <v>0</v>
      </c>
      <c r="G130" s="42">
        <f>IF(Tableau1[[#This Row],[Portefeuille]]="p",3,0)</f>
        <v>3</v>
      </c>
      <c r="H130" s="42">
        <v>1</v>
      </c>
      <c r="I130" s="42">
        <v>1</v>
      </c>
      <c r="J130" s="42" t="s">
        <v>4357</v>
      </c>
      <c r="K130" s="43" t="s">
        <v>4362</v>
      </c>
      <c r="L130" s="16">
        <v>1</v>
      </c>
      <c r="M13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0" s="44" t="s">
        <v>997</v>
      </c>
      <c r="O130" s="44" t="s">
        <v>2188</v>
      </c>
      <c r="P130" s="4" t="s">
        <v>84</v>
      </c>
      <c r="Q130" s="6" t="s">
        <v>85</v>
      </c>
      <c r="R130" s="6"/>
      <c r="S130" s="6" t="s">
        <v>1000</v>
      </c>
      <c r="T130" s="6" t="e" vm="118">
        <v>#VALUE!</v>
      </c>
      <c r="U130" s="46" cm="1">
        <f t="array" aca="1" ref="U130" ca="1">IFERROR(_FV(Tableau1[[#This Row],[Code Excel]],"Capitalisation boursière",TRUE),"")</f>
        <v>5192743000</v>
      </c>
      <c r="V130" s="4" t="str" cm="1">
        <f t="array" aca="1" ref="V130" ca="1">IFERROR(_FV(Tableau1[[#This Row],[Code Excel]],"Industrie"),"")</f>
        <v>Investment Banking &amp; Investment Services</v>
      </c>
      <c r="W130" s="4" t="s">
        <v>2188</v>
      </c>
      <c r="X130" s="4" t="str">
        <f ca="1">Tableau1[[#This Row],[Grand Secteur]]&amp;Tableau1[[#This Row],[Industrie]]</f>
        <v>HoldingInvestment Banking &amp; Investment Services</v>
      </c>
      <c r="Y130" s="23" cm="1">
        <f t="array" aca="1" ref="Y130" ca="1">IFERROR(_FV(Tableau1[[#This Row],[Code Excel]],"P/E",TRUE),"")</f>
        <v>0</v>
      </c>
      <c r="Z130" s="43" cm="1">
        <f t="array" aca="1" ref="Z130" ca="1">IFERROR(_FV(Tableau1[[#This Row],[Code Excel]],"Employés"),"")</f>
        <v>445</v>
      </c>
      <c r="AA130" s="49">
        <f ca="1">IFERROR(Tableau1[[#This Row],[Capitalisation boursière]]/Tableau1[[#This Row],[Employés]],"")</f>
        <v>11669085.393258426</v>
      </c>
      <c r="AB130" s="5" t="str">
        <f>IFERROR(Tableau1[[#This Row],[REX (2021)]]/Tableau1[[#This Row],[CA 2024]],"")</f>
        <v/>
      </c>
      <c r="AC130" s="9" t="str">
        <f>IFERROR(_xlfn.XLOOKUP(Tableau1[[#This Row],[Isin]]&amp;1&amp;2021,#REF!,Tableau3[Résultat d''exploitation]),"")</f>
        <v/>
      </c>
      <c r="AD130" s="9" t="str">
        <f>IFERROR(_xlfn.XLOOKUP(Tableau1[[#This Row],[Isin]]&amp;1&amp;2019,#REF!,Tableau3[Chiffre d''affaires]),"")</f>
        <v/>
      </c>
      <c r="AE130" s="9" t="str">
        <f>IFERROR(_xlfn.XLOOKUP(Tableau1[[#This Row],[Isin]]&amp;1&amp;2024,#REF!,Tableau3[Chiffre d''affaires]),"")</f>
        <v/>
      </c>
      <c r="AF130" s="8" t="str">
        <f>IFERROR(IF((Tableau1[[#This Row],[CA 2024]]-Tableau1[[#This Row],[CA 2019]])/Tableau1[[#This Row],[CA 2019]]=-1,"",(Tableau1[[#This Row],[CA 2024]]-Tableau1[[#This Row],[CA 2019]])/Tableau1[[#This Row],[CA 2019]]),"")</f>
        <v/>
      </c>
      <c r="AG130" s="9" t="str">
        <f>IFERROR(_xlfn.XLOOKUP(Tableau1[[#This Row],[Isin]]&amp;1&amp;2021,#REF!,Tableau3[EBE]),"")</f>
        <v/>
      </c>
      <c r="AH130" s="9" t="str">
        <f>IFERROR(_xlfn.XLOOKUP(Tableau1[[#This Row],[Isin]]&amp;1&amp;2022,#REF!,Tableau3[EBE]),"")</f>
        <v/>
      </c>
      <c r="AI130" s="43" t="s">
        <v>4343</v>
      </c>
      <c r="AJ130" s="43" t="s">
        <v>4330</v>
      </c>
      <c r="AK130" s="43" t="s">
        <v>3419</v>
      </c>
      <c r="AL130" s="43" t="s">
        <v>3149</v>
      </c>
      <c r="AM130" s="43"/>
      <c r="AN130" s="9" t="str">
        <f>IFERROR(_xlfn.XLOOKUP(Tableau1[[#This Row],[Isin]]&amp;1&amp;2021,#REF!,Tableau3[Chiffre d''affaires]),"")</f>
        <v/>
      </c>
      <c r="AO130" s="43" cm="1">
        <f t="array" aca="1" ref="AO130" ca="1">_FV(Tableau1[[#This Row],[Code Excel]],"P/E",TRUE)</f>
        <v>0</v>
      </c>
      <c r="AP130" s="43" t="str">
        <f>IFERROR(_xlfn.XLOOKUP(Tableau1[[#This Row],[Isin]]&amp;1&amp;2023,#REF!,Tableau3[Résultat Net (PdG)]),"")</f>
        <v/>
      </c>
      <c r="AQ130" s="43">
        <f>IF(IFERROR(_xlfn.XLOOKUP(Tableau1[[#This Row],[Isin]]&amp;1&amp;2022,#REF!,Tableau3[Résultat Net (PdG)]),"")="",Tableau1[[#This Row],[RN Groupe 2022
Manuel]],IFERROR(_xlfn.XLOOKUP(Tableau1[[#This Row],[Isin]]&amp;1&amp;2022,#REF!,Tableau3[Résultat Net (PdG)]),""))</f>
        <v>0</v>
      </c>
      <c r="AR130" s="43"/>
      <c r="AS130" s="43">
        <f>IF(IFERROR(_xlfn.XLOOKUP(Tableau1[[#This Row],[Isin]]&amp;1&amp;2021,#REF!,Tableau3[Résultat Net (PdG)]),"")="",Tableau1[[#This Row],[RN Groupe 2021
Manuel]],IFERROR(_xlfn.XLOOKUP(Tableau1[[#This Row],[Isin]]&amp;1&amp;2021,#REF!,Tableau3[Résultat Net (PdG)]),""))</f>
        <v>0</v>
      </c>
      <c r="AT130" s="43"/>
      <c r="AU130" s="43" t="str">
        <f>IFERROR(_xlfn.XLOOKUP(Tableau1[[#This Row],[Isin]]&amp;1&amp;2020,#REF!,Tableau3[Résultat Net (PdG)]),"")</f>
        <v/>
      </c>
      <c r="AV130" s="43" t="str">
        <f>IFERROR(_xlfn.XLOOKUP(Tableau1[[#This Row],[Isin]]&amp;1&amp;2019,#REF!,Tableau3[Résultat Net (PdG)]),"")</f>
        <v/>
      </c>
      <c r="AW130" s="43" t="str">
        <f>IFERROR(_xlfn.XLOOKUP(Tableau1[[#This Row],[Isin]]&amp;1&amp;2018,#REF!,Tableau3[Résultat Net (PdG)]),"")</f>
        <v/>
      </c>
      <c r="AX130" s="43" t="str">
        <f>IFERROR(_xlfn.XLOOKUP(Tableau1[[#This Row],[Isin]]&amp;1&amp;2017,#REF!,Tableau3[Résultat Net (PdG)]),"")</f>
        <v/>
      </c>
      <c r="AY130" s="43" t="str">
        <f>IFERROR(_xlfn.XLOOKUP(Tableau1[[#This Row],[Isin]]&amp;1&amp;2016,#REF!,Tableau3[Résultat Net (PdG)]),"")</f>
        <v/>
      </c>
      <c r="AZ130" s="137" t="str">
        <f ca="1">IFERROR(Tableau1[[#This Row],[Capitalisation boursière]]/Tableau1[[#This Row],[RN Groupe 2023]],"")</f>
        <v/>
      </c>
      <c r="BA130" s="4" t="str" cm="1">
        <f t="array" aca="1" ref="BA130" ca="1">IFERROR(_FV(Tableau1[[#This Row],[Code Excel]],"Industrie"),"")</f>
        <v>Investment Banking &amp; Investment Services</v>
      </c>
      <c r="BB130" s="43" t="s">
        <v>3477</v>
      </c>
      <c r="BC130" s="43" t="str">
        <f>IFERROR(_xlfn.XLOOKUP(Tableau1[[#This Row],[Isin]]&amp;1&amp;2016,#REF!,Tableau3[Capi]),"")</f>
        <v/>
      </c>
      <c r="BD130" s="43" t="str">
        <f>IFERROR(_xlfn.XLOOKUP(Tableau1[[#This Row],[Isin]]&amp;1&amp;2017,#REF!,Tableau3[Capi]),"")</f>
        <v/>
      </c>
      <c r="BE130" s="43" t="str">
        <f>IFERROR(_xlfn.XLOOKUP(Tableau1[[#This Row],[Isin]]&amp;1&amp;2018,#REF!,Tableau3[Capi]),"")</f>
        <v/>
      </c>
      <c r="BF130" s="43" t="str">
        <f>IFERROR(_xlfn.XLOOKUP(Tableau1[[#This Row],[Isin]]&amp;1&amp;2019,#REF!,Tableau3[Capi]),"")</f>
        <v/>
      </c>
      <c r="BG130" s="43" t="str">
        <f>IFERROR(_xlfn.XLOOKUP(Tableau1[[#This Row],[Isin]]&amp;1&amp;2020,#REF!,Tableau3[Capi]),"")</f>
        <v/>
      </c>
      <c r="BH130" s="43">
        <f>IF(IFERROR(_xlfn.XLOOKUP(Tableau1[[#This Row],[Isin]]&amp;1&amp;2021,#REF!,Tableau3[Capi]),"")="",Tableau1[[#This Row],[Capitalisation 2021
Manuel]],IFERROR(_xlfn.XLOOKUP(Tableau1[[#This Row],[Isin]]&amp;1&amp;2021,#REF!,Tableau3[Capi]),""))</f>
        <v>0</v>
      </c>
      <c r="BI130" s="43"/>
      <c r="BJ130" s="43">
        <f>IF(IFERROR(_xlfn.XLOOKUP(Tableau1[[#This Row],[Isin]]&amp;1&amp;2022,#REF!,Tableau3[Capi]),"")="",Tableau1[[#This Row],[Capitalisation 2022
Manuel]],IFERROR(_xlfn.XLOOKUP(Tableau1[[#This Row],[Isin]]&amp;1&amp;2022,#REF!,Tableau3[Capi]),""))</f>
        <v>0</v>
      </c>
      <c r="BK130" s="43"/>
      <c r="BL130" s="43">
        <f ca="1">Tableau1[[#This Row],[Capitalisation boursière]]</f>
        <v>5192743000</v>
      </c>
      <c r="BM130" s="162" t="str" cm="1">
        <f t="array" aca="1" ref="BM130" ca="1">_FV(Tableau1[[#This Row],[Code Excel]],"Description")</f>
        <v>Eurazeo SE est une société d'investissement basée en France. La Société opère à travers plusieurs divisions d'investissement : Eurazeo Capital avec des investissements dans Iberchem, Albingia et Europcar Mobility Group ; Eurazeo PME ; Eurazeo Growth avec des investissements dans Doctolib et PayFit ; Eurazeo Brands avec des investissements dans les biens de consommation et la distribution, notamment dans la beauté avec Pat McGrath Labs, la mode avec Bandier, la maison avec Herschel Supply, les loisirs, le bien-être, ou les entreprises alimentaires avec Q Mixers ; Eurazeo Patrimoine avec des investissements dans l'immobilier et les infrastructures. Elle possède un portefeuille diversifié de plus de 35 milliards d'euros d'actifs sous gestion dans tous les secteurs d'activité, dont environ 24,2 milliards d'euros provenant de tiers, investis dans plus de 600 entreprises de taille moyenne. La Société est présente dans 12 bureaux en Europe, en Asie et aux États-Unis. Son approche de la création de valeur repose sur une croissance durable.</v>
      </c>
      <c r="BN130" s="43"/>
      <c r="BO130" s="43"/>
      <c r="BP130" s="43"/>
      <c r="BQ130" s="43"/>
      <c r="BR130" s="4"/>
      <c r="BS130" s="21"/>
      <c r="BT130" s="13"/>
      <c r="BU130" s="13"/>
      <c r="BV130" s="13"/>
      <c r="BW130" s="13"/>
      <c r="BX130" s="13"/>
      <c r="BY130" s="3"/>
      <c r="BZ130" s="58"/>
      <c r="CA130" s="59"/>
    </row>
    <row r="131" spans="3:79">
      <c r="C131" s="43"/>
      <c r="D131" s="42">
        <f>IF(Tableau1[[#This Row],[Isin]]="",99,Tableau1[[#This Row],[Intérêt]]+Tableau1[[#This Row],[Valeur d''intérêt]]+Tableau1[[#This Row],[N° Portefeuille]])</f>
        <v>30</v>
      </c>
      <c r="E131" s="43"/>
      <c r="F131" s="42">
        <f>IF(Tableau1[[#This Row],[Portefeuille]]="p",0,Tableau1[[#This Row],[F. Investissement
Niveau d''intérêt]]*10)</f>
        <v>30</v>
      </c>
      <c r="G131" s="43">
        <f>IF(Tableau1[[#This Row],[Portefeuille]]="p",3,0)</f>
        <v>0</v>
      </c>
      <c r="H131" s="42">
        <v>3</v>
      </c>
      <c r="I131" s="43">
        <v>4</v>
      </c>
      <c r="J131" s="43"/>
      <c r="K131" s="43"/>
      <c r="L131" s="16">
        <v>1</v>
      </c>
      <c r="M13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1" s="44" t="s">
        <v>3790</v>
      </c>
      <c r="O131" s="45"/>
      <c r="P131" s="4" t="s">
        <v>84</v>
      </c>
      <c r="Q131" s="4"/>
      <c r="R131" s="6"/>
      <c r="S131" s="6" t="s">
        <v>3060</v>
      </c>
      <c r="T131" s="6" t="e" vm="119">
        <v>#VALUE!</v>
      </c>
      <c r="U131" s="46" cm="1">
        <f t="array" aca="1" ref="U131" ca="1">IFERROR(_FV(Tableau1[[#This Row],[Code Excel]],"Capitalisation boursière",TRUE),"")</f>
        <v>9631690000</v>
      </c>
      <c r="V131" s="4" t="str" cm="1">
        <f t="array" aca="1" ref="V131" ca="1">IFERROR(_FV(Tableau1[[#This Row],[Code Excel]],"Industrie"),"")</f>
        <v>Healthcare Providers &amp; Services</v>
      </c>
      <c r="W131" s="4" t="s">
        <v>1586</v>
      </c>
      <c r="X131" s="4" t="str">
        <f ca="1">Tableau1[[#This Row],[Grand Secteur]]&amp;Tableau1[[#This Row],[Industrie]]</f>
        <v>SantéHealthcare Providers &amp; Services</v>
      </c>
      <c r="Y131" s="23" cm="1">
        <f t="array" aca="1" ref="Y131" ca="1">IFERROR(_FV(Tableau1[[#This Row],[Code Excel]],"P/E",TRUE),"")</f>
        <v>26.985700000000001</v>
      </c>
      <c r="Z131" s="43" cm="1">
        <f t="array" aca="1" ref="Z131" ca="1">IFERROR(_FV(Tableau1[[#This Row],[Code Excel]],"Employés"),"")</f>
        <v>62696</v>
      </c>
      <c r="AA131" s="49">
        <f ca="1">IFERROR(Tableau1[[#This Row],[Capitalisation boursière]]/Tableau1[[#This Row],[Employés]],"")</f>
        <v>153625.27114967463</v>
      </c>
      <c r="AB131" s="5" t="str">
        <f>IFERROR(Tableau1[[#This Row],[REX (2021)]]/Tableau1[[#This Row],[CA 2024]],"")</f>
        <v/>
      </c>
      <c r="AC131" s="9" t="str">
        <f>IFERROR(_xlfn.XLOOKUP(Tableau1[[#This Row],[Isin]]&amp;1&amp;2021,#REF!,Tableau3[Résultat d''exploitation]),"")</f>
        <v/>
      </c>
      <c r="AD131" s="9" t="str">
        <f>IFERROR(_xlfn.XLOOKUP(Tableau1[[#This Row],[Isin]]&amp;1&amp;2019,#REF!,Tableau3[Chiffre d''affaires]),"")</f>
        <v/>
      </c>
      <c r="AE131" s="9" t="str">
        <f>IFERROR(_xlfn.XLOOKUP(Tableau1[[#This Row],[Isin]]&amp;1&amp;2024,#REF!,Tableau3[Chiffre d''affaires]),"")</f>
        <v/>
      </c>
      <c r="AF131" s="8" t="str">
        <f>IFERROR(IF((Tableau1[[#This Row],[CA 2024]]-Tableau1[[#This Row],[CA 2019]])/Tableau1[[#This Row],[CA 2019]]=-1,"",(Tableau1[[#This Row],[CA 2024]]-Tableau1[[#This Row],[CA 2019]])/Tableau1[[#This Row],[CA 2019]]),"")</f>
        <v/>
      </c>
      <c r="AG131" s="9" t="str">
        <f>IFERROR(_xlfn.XLOOKUP(Tableau1[[#This Row],[Isin]]&amp;1&amp;2021,#REF!,Tableau3[EBE]),"")</f>
        <v/>
      </c>
      <c r="AH131" s="9" t="str">
        <f>IFERROR(_xlfn.XLOOKUP(Tableau1[[#This Row],[Isin]]&amp;1&amp;2022,#REF!,Tableau3[EBE]),"")</f>
        <v/>
      </c>
      <c r="AI131" s="13" t="s">
        <v>4324</v>
      </c>
      <c r="AJ131" s="13" t="s">
        <v>4325</v>
      </c>
      <c r="AK131" s="13" t="s">
        <v>3148</v>
      </c>
      <c r="AL131" s="43"/>
      <c r="AM131" s="43"/>
      <c r="AN131" s="9" t="str">
        <f>IFERROR(_xlfn.XLOOKUP(Tableau1[[#This Row],[Isin]]&amp;1&amp;2021,#REF!,Tableau3[Chiffre d''affaires]),"")</f>
        <v/>
      </c>
      <c r="AO131" s="43" cm="1">
        <f t="array" aca="1" ref="AO131" ca="1">_FV(Tableau1[[#This Row],[Code Excel]],"P/E",TRUE)</f>
        <v>26.985700000000001</v>
      </c>
      <c r="AP131" s="43" t="str">
        <f>IFERROR(_xlfn.XLOOKUP(Tableau1[[#This Row],[Isin]]&amp;1&amp;2023,#REF!,Tableau3[Résultat Net (PdG)]),"")</f>
        <v/>
      </c>
      <c r="AQ131" s="43">
        <f>IF(IFERROR(_xlfn.XLOOKUP(Tableau1[[#This Row],[Isin]]&amp;1&amp;2022,#REF!,Tableau3[Résultat Net (PdG)]),"")="",Tableau1[[#This Row],[RN Groupe 2022
Manuel]],IFERROR(_xlfn.XLOOKUP(Tableau1[[#This Row],[Isin]]&amp;1&amp;2022,#REF!,Tableau3[Résultat Net (PdG)]),""))</f>
        <v>606000000</v>
      </c>
      <c r="AR131" s="140">
        <v>606000000</v>
      </c>
      <c r="AS131" s="43">
        <f>IF(IFERROR(_xlfn.XLOOKUP(Tableau1[[#This Row],[Isin]]&amp;1&amp;2021,#REF!,Tableau3[Résultat Net (PdG)]),"")="",Tableau1[[#This Row],[RN Groupe 2021
Manuel]],IFERROR(_xlfn.XLOOKUP(Tableau1[[#This Row],[Isin]]&amp;1&amp;2021,#REF!,Tableau3[Résultat Net (PdG)]),""))</f>
        <v>782600000</v>
      </c>
      <c r="AT131" s="140">
        <v>782600000</v>
      </c>
      <c r="AU131" s="43" t="str">
        <f>IFERROR(_xlfn.XLOOKUP(Tableau1[[#This Row],[Isin]]&amp;1&amp;2020,#REF!,Tableau3[Résultat Net (PdG)]),"")</f>
        <v/>
      </c>
      <c r="AV131" s="43" t="str">
        <f>IFERROR(_xlfn.XLOOKUP(Tableau1[[#This Row],[Isin]]&amp;1&amp;2019,#REF!,Tableau3[Résultat Net (PdG)]),"")</f>
        <v/>
      </c>
      <c r="AW131" s="43" t="str">
        <f>IFERROR(_xlfn.XLOOKUP(Tableau1[[#This Row],[Isin]]&amp;1&amp;2018,#REF!,Tableau3[Résultat Net (PdG)]),"")</f>
        <v/>
      </c>
      <c r="AX131" s="43" t="str">
        <f>IFERROR(_xlfn.XLOOKUP(Tableau1[[#This Row],[Isin]]&amp;1&amp;2017,#REF!,Tableau3[Résultat Net (PdG)]),"")</f>
        <v/>
      </c>
      <c r="AY131" s="43" t="str">
        <f>IFERROR(_xlfn.XLOOKUP(Tableau1[[#This Row],[Isin]]&amp;1&amp;2016,#REF!,Tableau3[Résultat Net (PdG)]),"")</f>
        <v/>
      </c>
      <c r="AZ131" s="137" t="str">
        <f ca="1">IFERROR(Tableau1[[#This Row],[Capitalisation boursière]]/Tableau1[[#This Row],[RN Groupe 2023]],"")</f>
        <v/>
      </c>
      <c r="BA131" s="4" t="str" cm="1">
        <f t="array" aca="1" ref="BA131" ca="1">IFERROR(_FV(Tableau1[[#This Row],[Code Excel]],"Industrie"),"")</f>
        <v>Healthcare Providers &amp; Services</v>
      </c>
      <c r="BB131" s="43" t="s">
        <v>3518</v>
      </c>
      <c r="BC131" s="43" t="str">
        <f>IFERROR(_xlfn.XLOOKUP(Tableau1[[#This Row],[Isin]]&amp;1&amp;2016,#REF!,Tableau3[Capi]),"")</f>
        <v/>
      </c>
      <c r="BD131" s="43" t="str">
        <f>IFERROR(_xlfn.XLOOKUP(Tableau1[[#This Row],[Isin]]&amp;1&amp;2017,#REF!,Tableau3[Capi]),"")</f>
        <v/>
      </c>
      <c r="BE131" s="43" t="str">
        <f>IFERROR(_xlfn.XLOOKUP(Tableau1[[#This Row],[Isin]]&amp;1&amp;2018,#REF!,Tableau3[Capi]),"")</f>
        <v/>
      </c>
      <c r="BF131" s="43" t="str">
        <f>IFERROR(_xlfn.XLOOKUP(Tableau1[[#This Row],[Isin]]&amp;1&amp;2019,#REF!,Tableau3[Capi]),"")</f>
        <v/>
      </c>
      <c r="BG131" s="43" t="str">
        <f>IFERROR(_xlfn.XLOOKUP(Tableau1[[#This Row],[Isin]]&amp;1&amp;2020,#REF!,Tableau3[Capi]),"")</f>
        <v/>
      </c>
      <c r="BH131" s="43">
        <f>IF(IFERROR(_xlfn.XLOOKUP(Tableau1[[#This Row],[Isin]]&amp;1&amp;2021,#REF!,Tableau3[Capi]),"")="",Tableau1[[#This Row],[Capitalisation 2021
Manuel]],IFERROR(_xlfn.XLOOKUP(Tableau1[[#This Row],[Isin]]&amp;1&amp;2021,#REF!,Tableau3[Capi]),""))</f>
        <v>16566908000</v>
      </c>
      <c r="BI131" s="142">
        <v>16566908000</v>
      </c>
      <c r="BJ131" s="141">
        <f>IF(IFERROR(_xlfn.XLOOKUP(Tableau1[[#This Row],[Isin]]&amp;1&amp;2022,#REF!,Tableau3[Capi]),"")="",Tableau1[[#This Row],[Capitalisation 2022
Manuel]],IFERROR(_xlfn.XLOOKUP(Tableau1[[#This Row],[Isin]]&amp;1&amp;2022,#REF!,Tableau3[Capi]),""))</f>
        <v>11168543000</v>
      </c>
      <c r="BK131" s="142">
        <v>11168543000</v>
      </c>
      <c r="BL131" s="43">
        <f ca="1">Tableau1[[#This Row],[Capitalisation boursière]]</f>
        <v>9631690000</v>
      </c>
      <c r="BM131" s="162" t="str" cm="1">
        <f t="array" aca="1" ref="BM131" ca="1">_FV(Tableau1[[#This Row],[Code Excel]],"Description")</f>
        <v>Eurofins Scientific SE est une société luxembourgeoise active dans le secteur des services de soutien aux entreprises. La société fait partie d'un groupe international de laboratoires fournissant une gamme de services d'essais analytiques aux industries pharmaceutiques, alimentaires, environnementales et des produits de consommation ainsi qu'aux gouvernements. Elle opère par l'intermédiaire de plusieurs filiales, telles que VRL Laboratories aux États-Unis, Institut Nehring GmbH en Allemagne, Agfirst Bay of Plenty, un laboratoire d'essai de maturité des fruits en Nouvelle-Zélande et Megalab SA, un laboratoire de diagnostic clinique en Espagne.</v>
      </c>
      <c r="BN131" s="43"/>
      <c r="BO131" s="43"/>
      <c r="BP131" s="43"/>
      <c r="BQ131" s="43"/>
      <c r="BR131" s="4"/>
      <c r="BS131" s="21"/>
      <c r="BT131" s="13"/>
      <c r="BU131" s="13"/>
      <c r="BV131" s="13"/>
      <c r="BW131" s="13"/>
      <c r="BX131" s="13"/>
      <c r="BY131" s="3"/>
      <c r="BZ131" s="58"/>
      <c r="CA131" s="59"/>
    </row>
    <row r="132" spans="3:79">
      <c r="C132" s="42"/>
      <c r="D132" s="42">
        <f>IF(Tableau1[[#This Row],[Isin]]="",99,Tableau1[[#This Row],[Intérêt]]+Tableau1[[#This Row],[Valeur d''intérêt]]+Tableau1[[#This Row],[N° Portefeuille]])</f>
        <v>20</v>
      </c>
      <c r="E132" s="42"/>
      <c r="F132" s="42">
        <f>IF(Tableau1[[#This Row],[Portefeuille]]="p",0,Tableau1[[#This Row],[F. Investissement
Niveau d''intérêt]]*10)</f>
        <v>20</v>
      </c>
      <c r="G132" s="42">
        <f>IF(Tableau1[[#This Row],[Portefeuille]]="p",3,0)</f>
        <v>0</v>
      </c>
      <c r="H132" s="42">
        <v>2</v>
      </c>
      <c r="I132" s="42">
        <v>1</v>
      </c>
      <c r="J132" s="42" t="s">
        <v>4357</v>
      </c>
      <c r="K132" s="43"/>
      <c r="L132" s="16">
        <v>1</v>
      </c>
      <c r="M13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2" s="44" t="s">
        <v>2338</v>
      </c>
      <c r="O132" s="44" t="s">
        <v>4388</v>
      </c>
      <c r="P132" s="4" t="s">
        <v>84</v>
      </c>
      <c r="Q132" s="6" t="s">
        <v>85</v>
      </c>
      <c r="R132" s="6"/>
      <c r="S132" s="6" t="s">
        <v>2341</v>
      </c>
      <c r="T132" s="6" t="e" vm="120">
        <v>#VALUE!</v>
      </c>
      <c r="U132" s="46" cm="1">
        <f t="array" aca="1" ref="U132" ca="1">IFERROR(_FV(Tableau1[[#This Row],[Code Excel]],"Capitalisation boursière",TRUE),"")</f>
        <v>13800780000</v>
      </c>
      <c r="V132" s="4" t="str" cm="1">
        <f t="array" aca="1" ref="V132" ca="1">IFERROR(_FV(Tableau1[[#This Row],[Code Excel]],"Industrie"),"")</f>
        <v>Investment Banking &amp; Investment Services</v>
      </c>
      <c r="W132" s="4" t="s">
        <v>4335</v>
      </c>
      <c r="X132" s="4" t="str">
        <f ca="1">Tableau1[[#This Row],[Grand Secteur]]&amp;Tableau1[[#This Row],[Industrie]]</f>
        <v>FinanceInvestment Banking &amp; Investment Services</v>
      </c>
      <c r="Y132" s="23" cm="1">
        <f t="array" aca="1" ref="Y132" ca="1">IFERROR(_FV(Tableau1[[#This Row],[Code Excel]],"P/E",TRUE),"")</f>
        <v>23.418299999999999</v>
      </c>
      <c r="Z132" s="43" cm="1">
        <f t="array" aca="1" ref="Z132" ca="1">IFERROR(_FV(Tableau1[[#This Row],[Code Excel]],"Employés"),"")</f>
        <v>2297</v>
      </c>
      <c r="AA132" s="49">
        <f ca="1">IFERROR(Tableau1[[#This Row],[Capitalisation boursière]]/Tableau1[[#This Row],[Employés]],"")</f>
        <v>6008175.881584676</v>
      </c>
      <c r="AB132" s="5" t="str">
        <f>IFERROR(Tableau1[[#This Row],[REX (2021)]]/Tableau1[[#This Row],[CA 2024]],"")</f>
        <v/>
      </c>
      <c r="AC132" s="9" t="str">
        <f>IFERROR(_xlfn.XLOOKUP(Tableau1[[#This Row],[Isin]]&amp;1&amp;2021,#REF!,Tableau3[Résultat d''exploitation]),"")</f>
        <v/>
      </c>
      <c r="AD132" s="9" t="str">
        <f>IFERROR(_xlfn.XLOOKUP(Tableau1[[#This Row],[Isin]]&amp;1&amp;2019,#REF!,Tableau3[Chiffre d''affaires]),"")</f>
        <v/>
      </c>
      <c r="AE132" s="9" t="str">
        <f>IFERROR(_xlfn.XLOOKUP(Tableau1[[#This Row],[Isin]]&amp;1&amp;2024,#REF!,Tableau3[Chiffre d''affaires]),"")</f>
        <v/>
      </c>
      <c r="AF132" s="8" t="str">
        <f>IFERROR(IF((Tableau1[[#This Row],[CA 2024]]-Tableau1[[#This Row],[CA 2019]])/Tableau1[[#This Row],[CA 2019]]=-1,"",(Tableau1[[#This Row],[CA 2024]]-Tableau1[[#This Row],[CA 2019]])/Tableau1[[#This Row],[CA 2019]]),"")</f>
        <v/>
      </c>
      <c r="AG132" s="9" t="str">
        <f>IFERROR(_xlfn.XLOOKUP(Tableau1[[#This Row],[Isin]]&amp;1&amp;2021,#REF!,Tableau3[EBE]),"")</f>
        <v/>
      </c>
      <c r="AH132" s="9" t="str">
        <f>IFERROR(_xlfn.XLOOKUP(Tableau1[[#This Row],[Isin]]&amp;1&amp;2022,#REF!,Tableau3[EBE]),"")</f>
        <v/>
      </c>
      <c r="AI132" s="43" t="s">
        <v>4343</v>
      </c>
      <c r="AJ132" s="43" t="s">
        <v>4356</v>
      </c>
      <c r="AK132" s="43" t="s">
        <v>3419</v>
      </c>
      <c r="AL132" s="43" t="s">
        <v>3149</v>
      </c>
      <c r="AM132" s="43"/>
      <c r="AN132" s="9" t="str">
        <f>IFERROR(_xlfn.XLOOKUP(Tableau1[[#This Row],[Isin]]&amp;1&amp;2021,#REF!,Tableau3[Chiffre d''affaires]),"")</f>
        <v/>
      </c>
      <c r="AO132" s="43" cm="1">
        <f t="array" aca="1" ref="AO132" ca="1">_FV(Tableau1[[#This Row],[Code Excel]],"P/E",TRUE)</f>
        <v>23.418299999999999</v>
      </c>
      <c r="AP132" s="43" t="str">
        <f>IFERROR(_xlfn.XLOOKUP(Tableau1[[#This Row],[Isin]]&amp;1&amp;2023,#REF!,Tableau3[Résultat Net (PdG)]),"")</f>
        <v/>
      </c>
      <c r="AQ132" s="43">
        <f>IF(IFERROR(_xlfn.XLOOKUP(Tableau1[[#This Row],[Isin]]&amp;1&amp;2022,#REF!,Tableau3[Résultat Net (PdG)]),"")="",Tableau1[[#This Row],[RN Groupe 2022
Manuel]],IFERROR(_xlfn.XLOOKUP(Tableau1[[#This Row],[Isin]]&amp;1&amp;2022,#REF!,Tableau3[Résultat Net (PdG)]),""))</f>
        <v>0</v>
      </c>
      <c r="AR132" s="43"/>
      <c r="AS132" s="43">
        <f>IF(IFERROR(_xlfn.XLOOKUP(Tableau1[[#This Row],[Isin]]&amp;1&amp;2021,#REF!,Tableau3[Résultat Net (PdG)]),"")="",Tableau1[[#This Row],[RN Groupe 2021
Manuel]],IFERROR(_xlfn.XLOOKUP(Tableau1[[#This Row],[Isin]]&amp;1&amp;2021,#REF!,Tableau3[Résultat Net (PdG)]),""))</f>
        <v>0</v>
      </c>
      <c r="AT132" s="43"/>
      <c r="AU132" s="43" t="str">
        <f>IFERROR(_xlfn.XLOOKUP(Tableau1[[#This Row],[Isin]]&amp;1&amp;2020,#REF!,Tableau3[Résultat Net (PdG)]),"")</f>
        <v/>
      </c>
      <c r="AV132" s="43" t="str">
        <f>IFERROR(_xlfn.XLOOKUP(Tableau1[[#This Row],[Isin]]&amp;1&amp;2019,#REF!,Tableau3[Résultat Net (PdG)]),"")</f>
        <v/>
      </c>
      <c r="AW132" s="43" t="str">
        <f>IFERROR(_xlfn.XLOOKUP(Tableau1[[#This Row],[Isin]]&amp;1&amp;2018,#REF!,Tableau3[Résultat Net (PdG)]),"")</f>
        <v/>
      </c>
      <c r="AX132" s="43" t="str">
        <f>IFERROR(_xlfn.XLOOKUP(Tableau1[[#This Row],[Isin]]&amp;1&amp;2017,#REF!,Tableau3[Résultat Net (PdG)]),"")</f>
        <v/>
      </c>
      <c r="AY132" s="43" t="str">
        <f>IFERROR(_xlfn.XLOOKUP(Tableau1[[#This Row],[Isin]]&amp;1&amp;2016,#REF!,Tableau3[Résultat Net (PdG)]),"")</f>
        <v/>
      </c>
      <c r="AZ132" s="137" t="str">
        <f ca="1">IFERROR(Tableau1[[#This Row],[Capitalisation boursière]]/Tableau1[[#This Row],[RN Groupe 2023]],"")</f>
        <v/>
      </c>
      <c r="BA132" s="4" t="str" cm="1">
        <f t="array" aca="1" ref="BA132" ca="1">IFERROR(_FV(Tableau1[[#This Row],[Code Excel]],"Industrie"),"")</f>
        <v>Investment Banking &amp; Investment Services</v>
      </c>
      <c r="BB132" s="43" t="s">
        <v>3477</v>
      </c>
      <c r="BC132" s="43" t="str">
        <f>IFERROR(_xlfn.XLOOKUP(Tableau1[[#This Row],[Isin]]&amp;1&amp;2016,#REF!,Tableau3[Capi]),"")</f>
        <v/>
      </c>
      <c r="BD132" s="43" t="str">
        <f>IFERROR(_xlfn.XLOOKUP(Tableau1[[#This Row],[Isin]]&amp;1&amp;2017,#REF!,Tableau3[Capi]),"")</f>
        <v/>
      </c>
      <c r="BE132" s="43" t="str">
        <f>IFERROR(_xlfn.XLOOKUP(Tableau1[[#This Row],[Isin]]&amp;1&amp;2018,#REF!,Tableau3[Capi]),"")</f>
        <v/>
      </c>
      <c r="BF132" s="43" t="str">
        <f>IFERROR(_xlfn.XLOOKUP(Tableau1[[#This Row],[Isin]]&amp;1&amp;2019,#REF!,Tableau3[Capi]),"")</f>
        <v/>
      </c>
      <c r="BG132" s="43" t="str">
        <f>IFERROR(_xlfn.XLOOKUP(Tableau1[[#This Row],[Isin]]&amp;1&amp;2020,#REF!,Tableau3[Capi]),"")</f>
        <v/>
      </c>
      <c r="BH132" s="43">
        <f>IF(IFERROR(_xlfn.XLOOKUP(Tableau1[[#This Row],[Isin]]&amp;1&amp;2021,#REF!,Tableau3[Capi]),"")="",Tableau1[[#This Row],[Capitalisation 2021
Manuel]],IFERROR(_xlfn.XLOOKUP(Tableau1[[#This Row],[Isin]]&amp;1&amp;2021,#REF!,Tableau3[Capi]),""))</f>
        <v>0</v>
      </c>
      <c r="BI132" s="43"/>
      <c r="BJ132" s="43">
        <f>IF(IFERROR(_xlfn.XLOOKUP(Tableau1[[#This Row],[Isin]]&amp;1&amp;2022,#REF!,Tableau3[Capi]),"")="",Tableau1[[#This Row],[Capitalisation 2022
Manuel]],IFERROR(_xlfn.XLOOKUP(Tableau1[[#This Row],[Isin]]&amp;1&amp;2022,#REF!,Tableau3[Capi]),""))</f>
        <v>0</v>
      </c>
      <c r="BK132" s="43"/>
      <c r="BL132" s="43">
        <f ca="1">Tableau1[[#This Row],[Capitalisation boursière]]</f>
        <v>13800780000</v>
      </c>
      <c r="BM132" s="162" t="str" cm="1">
        <f t="array" aca="1" ref="BM132" ca="1">_FV(Tableau1[[#This Row],[Code Excel]],"Description")</f>
        <v>Euronext NV est une société basée aux Pays-Bas qui est la société mère du groupe d’échange paneuropéen Euronext. Euronext propose une gamme diversifiée de produits et services, combinant les marchés actions, titres à revenu fixe et dérivés à Amsterdam, Bruxelles, Dublin, Lisbonne, Londres et Paris. Les activités de la Société comprennent la cotation, le cash trading, le trading sur dérivés, les données et indices de marché, les solutions post-trade et de marché, entre autres. Les marchés réglementés d’Euronext constituent une plate-forme de cotation pour les entreprises qui souhaitent lever des capitaux et entrer dans la zone euro. Il fournit une plate-forme de négociation électronique, qui permet aux investisseurs de passer des ordres directement avec la bourse. La société vend des données en temps réel, historiques et de référence générées par l’activité sur les marchés Euronext. Il calcule et publie également un portefeuille de plus de 500 indices de référence, dont l’indice AEX-Index et l’indice CAC 40. La Société offre des solutions et des services technologiques aux opérateurs d’échanges et de marchés.</v>
      </c>
      <c r="BN132" s="43"/>
      <c r="BO132" s="43"/>
      <c r="BP132" s="43"/>
      <c r="BQ132" s="43"/>
      <c r="BR132" s="4"/>
      <c r="BS132" s="21"/>
      <c r="BT132" s="13"/>
      <c r="BU132" s="13"/>
      <c r="BV132" s="13"/>
      <c r="BW132" s="13"/>
      <c r="BX132" s="13"/>
      <c r="BY132" s="3"/>
      <c r="BZ132" s="58"/>
      <c r="CA132" s="59"/>
    </row>
    <row r="133" spans="3:79">
      <c r="C133" s="43"/>
      <c r="D133" s="42">
        <f>IF(Tableau1[[#This Row],[Isin]]="",99,Tableau1[[#This Row],[Intérêt]]+Tableau1[[#This Row],[Valeur d''intérêt]]+Tableau1[[#This Row],[N° Portefeuille]])</f>
        <v>30</v>
      </c>
      <c r="E133" s="43"/>
      <c r="F133" s="42">
        <f>IF(Tableau1[[#This Row],[Portefeuille]]="p",0,Tableau1[[#This Row],[F. Investissement
Niveau d''intérêt]]*10)</f>
        <v>30</v>
      </c>
      <c r="G133" s="43">
        <f>IF(Tableau1[[#This Row],[Portefeuille]]="p",3,0)</f>
        <v>0</v>
      </c>
      <c r="H133" s="42">
        <v>3</v>
      </c>
      <c r="I133" s="43">
        <v>4</v>
      </c>
      <c r="J133" s="43"/>
      <c r="K133" s="43"/>
      <c r="L133" s="16">
        <v>1</v>
      </c>
      <c r="M13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3" s="44" t="s">
        <v>3793</v>
      </c>
      <c r="O133" s="44" t="s">
        <v>2109</v>
      </c>
      <c r="P133" s="4" t="s">
        <v>84</v>
      </c>
      <c r="Q133" s="6" t="s">
        <v>85</v>
      </c>
      <c r="R133" s="6"/>
      <c r="S133" s="6" t="s">
        <v>2107</v>
      </c>
      <c r="T133" s="6" t="e" vm="121">
        <v>#VALUE!</v>
      </c>
      <c r="U133" s="46" cm="1">
        <f t="array" aca="1" ref="U133" ca="1">IFERROR(_FV(Tableau1[[#This Row],[Code Excel]],"Capitalisation boursière",TRUE),"")</f>
        <v>2552961000</v>
      </c>
      <c r="V133" s="4" t="str" cm="1">
        <f t="array" aca="1" ref="V133" ca="1">IFERROR(_FV(Tableau1[[#This Row],[Code Excel]],"Industrie"),"")</f>
        <v>Passenger Transportation Services</v>
      </c>
      <c r="W133" s="4" t="s">
        <v>4337</v>
      </c>
      <c r="X133" s="4" t="str">
        <f ca="1">Tableau1[[#This Row],[Grand Secteur]]&amp;Tableau1[[#This Row],[Industrie]]</f>
        <v>TransportPassenger Transportation Services</v>
      </c>
      <c r="Y133" s="23" cm="1">
        <f t="array" aca="1" ref="Y133" ca="1">IFERROR(_FV(Tableau1[[#This Row],[Code Excel]],"P/E",TRUE),"")</f>
        <v>25.707100000000001</v>
      </c>
      <c r="Z133" s="43" cm="1">
        <f t="array" aca="1" ref="Z133" ca="1">IFERROR(_FV(Tableau1[[#This Row],[Code Excel]],"Employés"),"")</f>
        <v>7876</v>
      </c>
      <c r="AA133" s="49">
        <f ca="1">IFERROR(Tableau1[[#This Row],[Capitalisation boursière]]/Tableau1[[#This Row],[Employés]],"")</f>
        <v>324144.36262061959</v>
      </c>
      <c r="AB133" s="5" t="str">
        <f>IFERROR(Tableau1[[#This Row],[REX (2021)]]/Tableau1[[#This Row],[CA 2024]],"")</f>
        <v/>
      </c>
      <c r="AC133" s="9" t="str">
        <f>IFERROR(_xlfn.XLOOKUP(Tableau1[[#This Row],[Isin]]&amp;1&amp;2021,#REF!,Tableau3[Résultat d''exploitation]),"")</f>
        <v/>
      </c>
      <c r="AD133" s="9" t="str">
        <f>IFERROR(_xlfn.XLOOKUP(Tableau1[[#This Row],[Isin]]&amp;1&amp;2019,#REF!,Tableau3[Chiffre d''affaires]),"")</f>
        <v/>
      </c>
      <c r="AE133" s="9" t="str">
        <f>IFERROR(_xlfn.XLOOKUP(Tableau1[[#This Row],[Isin]]&amp;1&amp;2024,#REF!,Tableau3[Chiffre d''affaires]),"")</f>
        <v/>
      </c>
      <c r="AF133" s="8" t="str">
        <f>IFERROR(IF((Tableau1[[#This Row],[CA 2024]]-Tableau1[[#This Row],[CA 2019]])/Tableau1[[#This Row],[CA 2019]]=-1,"",(Tableau1[[#This Row],[CA 2024]]-Tableau1[[#This Row],[CA 2019]])/Tableau1[[#This Row],[CA 2019]]),"")</f>
        <v/>
      </c>
      <c r="AG133" s="9" t="str">
        <f>IFERROR(_xlfn.XLOOKUP(Tableau1[[#This Row],[Isin]]&amp;1&amp;2021,#REF!,Tableau3[EBE]),"")</f>
        <v/>
      </c>
      <c r="AH133" s="9" t="str">
        <f>IFERROR(_xlfn.XLOOKUP(Tableau1[[#This Row],[Isin]]&amp;1&amp;2022,#REF!,Tableau3[EBE]),"")</f>
        <v/>
      </c>
      <c r="AI133" s="43" t="s">
        <v>3431</v>
      </c>
      <c r="AJ133" s="43" t="s">
        <v>3150</v>
      </c>
      <c r="AK133" s="43" t="s">
        <v>4377</v>
      </c>
      <c r="AL133" s="43" t="s">
        <v>3149</v>
      </c>
      <c r="AM133" s="43"/>
      <c r="AN133" s="9" t="str">
        <f>IFERROR(_xlfn.XLOOKUP(Tableau1[[#This Row],[Isin]]&amp;1&amp;2021,#REF!,Tableau3[Chiffre d''affaires]),"")</f>
        <v/>
      </c>
      <c r="AO133" s="43" cm="1">
        <f t="array" aca="1" ref="AO133" ca="1">_FV(Tableau1[[#This Row],[Code Excel]],"P/E",TRUE)</f>
        <v>25.707100000000001</v>
      </c>
      <c r="AP133" s="43" t="str">
        <f>IFERROR(_xlfn.XLOOKUP(Tableau1[[#This Row],[Isin]]&amp;1&amp;2023,#REF!,Tableau3[Résultat Net (PdG)]),"")</f>
        <v/>
      </c>
      <c r="AQ133" s="43">
        <f>IF(IFERROR(_xlfn.XLOOKUP(Tableau1[[#This Row],[Isin]]&amp;1&amp;2022,#REF!,Tableau3[Résultat Net (PdG)]),"")="",Tableau1[[#This Row],[RN Groupe 2022
Manuel]],IFERROR(_xlfn.XLOOKUP(Tableau1[[#This Row],[Isin]]&amp;1&amp;2022,#REF!,Tableau3[Résultat Net (PdG)]),""))</f>
        <v>0</v>
      </c>
      <c r="AR133" s="43"/>
      <c r="AS133" s="43">
        <f>IF(IFERROR(_xlfn.XLOOKUP(Tableau1[[#This Row],[Isin]]&amp;1&amp;2021,#REF!,Tableau3[Résultat Net (PdG)]),"")="",Tableau1[[#This Row],[RN Groupe 2021
Manuel]],IFERROR(_xlfn.XLOOKUP(Tableau1[[#This Row],[Isin]]&amp;1&amp;2021,#REF!,Tableau3[Résultat Net (PdG)]),""))</f>
        <v>0</v>
      </c>
      <c r="AT133" s="43"/>
      <c r="AU133" s="43" t="str">
        <f>IFERROR(_xlfn.XLOOKUP(Tableau1[[#This Row],[Isin]]&amp;1&amp;2020,#REF!,Tableau3[Résultat Net (PdG)]),"")</f>
        <v/>
      </c>
      <c r="AV133" s="43" t="str">
        <f>IFERROR(_xlfn.XLOOKUP(Tableau1[[#This Row],[Isin]]&amp;1&amp;2019,#REF!,Tableau3[Résultat Net (PdG)]),"")</f>
        <v/>
      </c>
      <c r="AW133" s="43" t="str">
        <f>IFERROR(_xlfn.XLOOKUP(Tableau1[[#This Row],[Isin]]&amp;1&amp;2018,#REF!,Tableau3[Résultat Net (PdG)]),"")</f>
        <v/>
      </c>
      <c r="AX133" s="43" t="str">
        <f>IFERROR(_xlfn.XLOOKUP(Tableau1[[#This Row],[Isin]]&amp;1&amp;2017,#REF!,Tableau3[Résultat Net (PdG)]),"")</f>
        <v/>
      </c>
      <c r="AY133" s="43" t="str">
        <f>IFERROR(_xlfn.XLOOKUP(Tableau1[[#This Row],[Isin]]&amp;1&amp;2016,#REF!,Tableau3[Résultat Net (PdG)]),"")</f>
        <v/>
      </c>
      <c r="AZ133" s="137" t="str">
        <f ca="1">IFERROR(Tableau1[[#This Row],[Capitalisation boursière]]/Tableau1[[#This Row],[RN Groupe 2023]],"")</f>
        <v/>
      </c>
      <c r="BA133" s="4" t="str" cm="1">
        <f t="array" aca="1" ref="BA133" ca="1">IFERROR(_FV(Tableau1[[#This Row],[Code Excel]],"Industrie"),"")</f>
        <v>Passenger Transportation Services</v>
      </c>
      <c r="BB133" s="43" t="s">
        <v>3477</v>
      </c>
      <c r="BC133" s="43" t="str">
        <f>IFERROR(_xlfn.XLOOKUP(Tableau1[[#This Row],[Isin]]&amp;1&amp;2016,#REF!,Tableau3[Capi]),"")</f>
        <v/>
      </c>
      <c r="BD133" s="43" t="str">
        <f>IFERROR(_xlfn.XLOOKUP(Tableau1[[#This Row],[Isin]]&amp;1&amp;2017,#REF!,Tableau3[Capi]),"")</f>
        <v/>
      </c>
      <c r="BE133" s="43" t="str">
        <f>IFERROR(_xlfn.XLOOKUP(Tableau1[[#This Row],[Isin]]&amp;1&amp;2018,#REF!,Tableau3[Capi]),"")</f>
        <v/>
      </c>
      <c r="BF133" s="43" t="str">
        <f>IFERROR(_xlfn.XLOOKUP(Tableau1[[#This Row],[Isin]]&amp;1&amp;2019,#REF!,Tableau3[Capi]),"")</f>
        <v/>
      </c>
      <c r="BG133" s="43" t="str">
        <f>IFERROR(_xlfn.XLOOKUP(Tableau1[[#This Row],[Isin]]&amp;1&amp;2020,#REF!,Tableau3[Capi]),"")</f>
        <v/>
      </c>
      <c r="BH133" s="43">
        <f>IF(IFERROR(_xlfn.XLOOKUP(Tableau1[[#This Row],[Isin]]&amp;1&amp;2021,#REF!,Tableau3[Capi]),"")="",Tableau1[[#This Row],[Capitalisation 2021
Manuel]],IFERROR(_xlfn.XLOOKUP(Tableau1[[#This Row],[Isin]]&amp;1&amp;2021,#REF!,Tableau3[Capi]),""))</f>
        <v>0</v>
      </c>
      <c r="BI133" s="43"/>
      <c r="BJ133" s="43">
        <f>IF(IFERROR(_xlfn.XLOOKUP(Tableau1[[#This Row],[Isin]]&amp;1&amp;2022,#REF!,Tableau3[Capi]),"")="",Tableau1[[#This Row],[Capitalisation 2022
Manuel]],IFERROR(_xlfn.XLOOKUP(Tableau1[[#This Row],[Isin]]&amp;1&amp;2022,#REF!,Tableau3[Capi]),""))</f>
        <v>0</v>
      </c>
      <c r="BK133" s="43"/>
      <c r="BL133" s="43">
        <f ca="1">Tableau1[[#This Row],[Capitalisation boursière]]</f>
        <v>2552961000</v>
      </c>
      <c r="BM133" s="162" t="str" cm="1">
        <f t="array" aca="1" ref="BM133" ca="1">_FV(Tableau1[[#This Row],[Code Excel]],"Description")</f>
        <v>Europcar Mobility Group SA, formerly known as Europcar Groupe SA, is a France-based company that specializes in the car rental business. The Company is active in over 100 countries through its own operations, franchisees and partnerships. The Company's main markets are Germany, the United Kingdom, France, Italy, Spain, Australia and New Zealand, Portugal, Belgium, Germany and Austria. Its car rental services are aimed at business customers, as well as leisure customers. The Company also has partnerships with EasyJet, Accor, AAdvantage (American Airlines' travel awards program), Delta, American Express Company and Taxeo, a FinTech startup. In addition, through Bluemove, it offers carsharing services through a mobile application. It operates through Brunel, a London-based ride-hailing business and GuidaMi by Ubeeqo and Buchbinder Group.</v>
      </c>
      <c r="BN133" s="43"/>
      <c r="BO133" s="43"/>
      <c r="BP133" s="43"/>
      <c r="BQ133" s="43"/>
      <c r="BR133" s="4"/>
      <c r="BS133" s="21"/>
      <c r="BT133" s="13"/>
      <c r="BU133" s="13"/>
      <c r="BV133" s="13"/>
      <c r="BW133" s="13"/>
      <c r="BX133" s="13"/>
      <c r="BY133" s="3"/>
      <c r="BZ133" s="58"/>
      <c r="CA133" s="59"/>
    </row>
    <row r="134" spans="3:79">
      <c r="C134" s="42"/>
      <c r="D134" s="42">
        <f>IF(Tableau1[[#This Row],[Isin]]="",99,Tableau1[[#This Row],[Intérêt]]+Tableau1[[#This Row],[Valeur d''intérêt]]+Tableau1[[#This Row],[N° Portefeuille]])</f>
        <v>30</v>
      </c>
      <c r="E134" s="42"/>
      <c r="F134" s="42">
        <f>IF(Tableau1[[#This Row],[Portefeuille]]="p",0,Tableau1[[#This Row],[F. Investissement
Niveau d''intérêt]]*10)</f>
        <v>30</v>
      </c>
      <c r="G134" s="42">
        <f>IF(Tableau1[[#This Row],[Portefeuille]]="p",3,0)</f>
        <v>0</v>
      </c>
      <c r="H134" s="42">
        <v>3</v>
      </c>
      <c r="I134" s="42">
        <v>4</v>
      </c>
      <c r="J134" s="42"/>
      <c r="K134" s="43"/>
      <c r="L134" s="16">
        <v>1</v>
      </c>
      <c r="M13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4" s="44" t="s">
        <v>1072</v>
      </c>
      <c r="O134" s="44" t="s">
        <v>1073</v>
      </c>
      <c r="P134" s="4" t="s">
        <v>84</v>
      </c>
      <c r="Q134" s="6" t="s">
        <v>85</v>
      </c>
      <c r="R134" s="6"/>
      <c r="S134" s="6" t="s">
        <v>1075</v>
      </c>
      <c r="T134" s="6" t="e" vm="122">
        <v>#VALUE!</v>
      </c>
      <c r="U134" s="46" cm="1">
        <f t="array" aca="1" ref="U134" ca="1">IFERROR(_FV(Tableau1[[#This Row],[Code Excel]],"Capitalisation boursière",TRUE),"")</f>
        <v>1932075000</v>
      </c>
      <c r="V134" s="4" t="str" cm="1">
        <f t="array" aca="1" ref="V134" ca="1">IFERROR(_FV(Tableau1[[#This Row],[Code Excel]],"Industrie"),"")</f>
        <v>Telecommunications Services</v>
      </c>
      <c r="W134" s="4" t="s">
        <v>1737</v>
      </c>
      <c r="X134" s="4" t="str">
        <f ca="1">Tableau1[[#This Row],[Grand Secteur]]&amp;Tableau1[[#This Row],[Industrie]]</f>
        <v>TélécommunicationTelecommunications Services</v>
      </c>
      <c r="Y134" s="23" cm="1">
        <f t="array" aca="1" ref="Y134" ca="1">IFERROR(_FV(Tableau1[[#This Row],[Code Excel]],"P/E",TRUE),"")</f>
        <v>0</v>
      </c>
      <c r="Z134" s="43" cm="1">
        <f t="array" aca="1" ref="Z134" ca="1">IFERROR(_FV(Tableau1[[#This Row],[Code Excel]],"Employés"),"")</f>
        <v>1514</v>
      </c>
      <c r="AA134" s="49">
        <f ca="1">IFERROR(Tableau1[[#This Row],[Capitalisation boursière]]/Tableau1[[#This Row],[Employés]],"")</f>
        <v>1276139.3659180978</v>
      </c>
      <c r="AB134" s="5" t="str">
        <f>IFERROR(Tableau1[[#This Row],[REX (2021)]]/Tableau1[[#This Row],[CA 2024]],"")</f>
        <v/>
      </c>
      <c r="AC134" s="9" t="str">
        <f>IFERROR(_xlfn.XLOOKUP(Tableau1[[#This Row],[Isin]]&amp;1&amp;2021,#REF!,Tableau3[Résultat d''exploitation]),"")</f>
        <v/>
      </c>
      <c r="AD134" s="9" t="str">
        <f>IFERROR(_xlfn.XLOOKUP(Tableau1[[#This Row],[Isin]]&amp;1&amp;2019,#REF!,Tableau3[Chiffre d''affaires]),"")</f>
        <v/>
      </c>
      <c r="AE134" s="9" t="str">
        <f>IFERROR(_xlfn.XLOOKUP(Tableau1[[#This Row],[Isin]]&amp;1&amp;2024,#REF!,Tableau3[Chiffre d''affaires]),"")</f>
        <v/>
      </c>
      <c r="AF134" s="8" t="str">
        <f>IFERROR(IF((Tableau1[[#This Row],[CA 2024]]-Tableau1[[#This Row],[CA 2019]])/Tableau1[[#This Row],[CA 2019]]=-1,"",(Tableau1[[#This Row],[CA 2024]]-Tableau1[[#This Row],[CA 2019]])/Tableau1[[#This Row],[CA 2019]]),"")</f>
        <v/>
      </c>
      <c r="AG134" s="9" t="str">
        <f>IFERROR(_xlfn.XLOOKUP(Tableau1[[#This Row],[Isin]]&amp;1&amp;2021,#REF!,Tableau3[EBE]),"")</f>
        <v/>
      </c>
      <c r="AH134" s="9" t="str">
        <f>IFERROR(_xlfn.XLOOKUP(Tableau1[[#This Row],[Isin]]&amp;1&amp;2022,#REF!,Tableau3[EBE]),"")</f>
        <v/>
      </c>
      <c r="AI134" s="13" t="s">
        <v>4324</v>
      </c>
      <c r="AJ134" s="43" t="s">
        <v>4376</v>
      </c>
      <c r="AK134" s="43" t="s">
        <v>4377</v>
      </c>
      <c r="AL134" s="43" t="s">
        <v>3149</v>
      </c>
      <c r="AM134" s="43"/>
      <c r="AN134" s="9" t="str">
        <f>IFERROR(_xlfn.XLOOKUP(Tableau1[[#This Row],[Isin]]&amp;1&amp;2021,#REF!,Tableau3[Chiffre d''affaires]),"")</f>
        <v/>
      </c>
      <c r="AO134" s="43" cm="1">
        <f t="array" aca="1" ref="AO134" ca="1">_FV(Tableau1[[#This Row],[Code Excel]],"P/E",TRUE)</f>
        <v>0</v>
      </c>
      <c r="AP134" s="43" t="str">
        <f>IFERROR(_xlfn.XLOOKUP(Tableau1[[#This Row],[Isin]]&amp;1&amp;2023,#REF!,Tableau3[Résultat Net (PdG)]),"")</f>
        <v/>
      </c>
      <c r="AQ134" s="43">
        <f>IF(IFERROR(_xlfn.XLOOKUP(Tableau1[[#This Row],[Isin]]&amp;1&amp;2022,#REF!,Tableau3[Résultat Net (PdG)]),"")="",Tableau1[[#This Row],[RN Groupe 2022
Manuel]],IFERROR(_xlfn.XLOOKUP(Tableau1[[#This Row],[Isin]]&amp;1&amp;2022,#REF!,Tableau3[Résultat Net (PdG)]),""))</f>
        <v>0</v>
      </c>
      <c r="AR134" s="43"/>
      <c r="AS134" s="43">
        <f>IF(IFERROR(_xlfn.XLOOKUP(Tableau1[[#This Row],[Isin]]&amp;1&amp;2021,#REF!,Tableau3[Résultat Net (PdG)]),"")="",Tableau1[[#This Row],[RN Groupe 2021
Manuel]],IFERROR(_xlfn.XLOOKUP(Tableau1[[#This Row],[Isin]]&amp;1&amp;2021,#REF!,Tableau3[Résultat Net (PdG)]),""))</f>
        <v>0</v>
      </c>
      <c r="AT134" s="43"/>
      <c r="AU134" s="43" t="str">
        <f>IFERROR(_xlfn.XLOOKUP(Tableau1[[#This Row],[Isin]]&amp;1&amp;2020,#REF!,Tableau3[Résultat Net (PdG)]),"")</f>
        <v/>
      </c>
      <c r="AV134" s="43" t="str">
        <f>IFERROR(_xlfn.XLOOKUP(Tableau1[[#This Row],[Isin]]&amp;1&amp;2019,#REF!,Tableau3[Résultat Net (PdG)]),"")</f>
        <v/>
      </c>
      <c r="AW134" s="43" t="str">
        <f>IFERROR(_xlfn.XLOOKUP(Tableau1[[#This Row],[Isin]]&amp;1&amp;2018,#REF!,Tableau3[Résultat Net (PdG)]),"")</f>
        <v/>
      </c>
      <c r="AX134" s="43" t="str">
        <f>IFERROR(_xlfn.XLOOKUP(Tableau1[[#This Row],[Isin]]&amp;1&amp;2017,#REF!,Tableau3[Résultat Net (PdG)]),"")</f>
        <v/>
      </c>
      <c r="AY134" s="43" t="str">
        <f>IFERROR(_xlfn.XLOOKUP(Tableau1[[#This Row],[Isin]]&amp;1&amp;2016,#REF!,Tableau3[Résultat Net (PdG)]),"")</f>
        <v/>
      </c>
      <c r="AZ134" s="137" t="str">
        <f ca="1">IFERROR(Tableau1[[#This Row],[Capitalisation boursière]]/Tableau1[[#This Row],[RN Groupe 2023]],"")</f>
        <v/>
      </c>
      <c r="BA134" s="4" t="str" cm="1">
        <f t="array" aca="1" ref="BA134" ca="1">IFERROR(_FV(Tableau1[[#This Row],[Code Excel]],"Industrie"),"")</f>
        <v>Telecommunications Services</v>
      </c>
      <c r="BB134" s="43" t="s">
        <v>3477</v>
      </c>
      <c r="BC134" s="43" t="str">
        <f>IFERROR(_xlfn.XLOOKUP(Tableau1[[#This Row],[Isin]]&amp;1&amp;2016,#REF!,Tableau3[Capi]),"")</f>
        <v/>
      </c>
      <c r="BD134" s="43" t="str">
        <f>IFERROR(_xlfn.XLOOKUP(Tableau1[[#This Row],[Isin]]&amp;1&amp;2017,#REF!,Tableau3[Capi]),"")</f>
        <v/>
      </c>
      <c r="BE134" s="43" t="str">
        <f>IFERROR(_xlfn.XLOOKUP(Tableau1[[#This Row],[Isin]]&amp;1&amp;2018,#REF!,Tableau3[Capi]),"")</f>
        <v/>
      </c>
      <c r="BF134" s="43" t="str">
        <f>IFERROR(_xlfn.XLOOKUP(Tableau1[[#This Row],[Isin]]&amp;1&amp;2019,#REF!,Tableau3[Capi]),"")</f>
        <v/>
      </c>
      <c r="BG134" s="43" t="str">
        <f>IFERROR(_xlfn.XLOOKUP(Tableau1[[#This Row],[Isin]]&amp;1&amp;2020,#REF!,Tableau3[Capi]),"")</f>
        <v/>
      </c>
      <c r="BH134" s="43">
        <f>IF(IFERROR(_xlfn.XLOOKUP(Tableau1[[#This Row],[Isin]]&amp;1&amp;2021,#REF!,Tableau3[Capi]),"")="",Tableau1[[#This Row],[Capitalisation 2021
Manuel]],IFERROR(_xlfn.XLOOKUP(Tableau1[[#This Row],[Isin]]&amp;1&amp;2021,#REF!,Tableau3[Capi]),""))</f>
        <v>0</v>
      </c>
      <c r="BI134" s="43"/>
      <c r="BJ134" s="43">
        <f>IF(IFERROR(_xlfn.XLOOKUP(Tableau1[[#This Row],[Isin]]&amp;1&amp;2022,#REF!,Tableau3[Capi]),"")="",Tableau1[[#This Row],[Capitalisation 2022
Manuel]],IFERROR(_xlfn.XLOOKUP(Tableau1[[#This Row],[Isin]]&amp;1&amp;2022,#REF!,Tableau3[Capi]),""))</f>
        <v>0</v>
      </c>
      <c r="BK134" s="43"/>
      <c r="BL134" s="43">
        <f ca="1">Tableau1[[#This Row],[Capitalisation boursière]]</f>
        <v>1932075000</v>
      </c>
      <c r="BM134" s="162" t="str" cm="1">
        <f t="array" aca="1" ref="BM134" ca="1">_FV(Tableau1[[#This Row],[Code Excel]],"Description")</f>
        <v>Eutelsat Communications sa est un opérateur mondial de télécommunications par satellite basé en France, spécialisé dans la fourniture de services de connectivité et de vidéo dans le monde entier. La Société fournit un opérateur de satellites GEO-LEO entièrement intégré, avec une flotte de 35 satellites géostationnaires et une constellation en orbite basse (LEO) composée de plus de 600 satellites. Elle répond aux besoins de ses clients présents dans quatre segments de marché clés : la vidéo, où elle distribue plus de 6 500 chaînes de télévision, et les marchés à forte croissance de la connectivité mobile, de la connectivité fixe et des services à domicile. gouvernements. La richesse incomparable de ses ressources en orbite et de son infrastructure au sol permet à Eutelsat Communications de répondre aux besoins de ses clients dans le monde entier grâce à des solutions intégrées.</v>
      </c>
      <c r="BN134" s="43"/>
      <c r="BO134" s="43"/>
      <c r="BP134" s="43"/>
      <c r="BQ134" s="43"/>
      <c r="BR134" s="4"/>
      <c r="BS134" s="21"/>
      <c r="BT134" s="13"/>
      <c r="BU134" s="13"/>
      <c r="BV134" s="13"/>
      <c r="BW134" s="13"/>
      <c r="BX134" s="13"/>
      <c r="BY134" s="3"/>
      <c r="BZ134" s="58"/>
      <c r="CA134" s="59"/>
    </row>
    <row r="135" spans="3:79">
      <c r="C135" s="43"/>
      <c r="D135" s="42">
        <f>IF(Tableau1[[#This Row],[Isin]]="",99,Tableau1[[#This Row],[Intérêt]]+Tableau1[[#This Row],[Valeur d''intérêt]]+Tableau1[[#This Row],[N° Portefeuille]])</f>
        <v>30</v>
      </c>
      <c r="E135" s="43"/>
      <c r="F135" s="42">
        <f>IF(Tableau1[[#This Row],[Portefeuille]]="p",0,Tableau1[[#This Row],[F. Investissement
Niveau d''intérêt]]*10)</f>
        <v>30</v>
      </c>
      <c r="G135" s="43">
        <f>IF(Tableau1[[#This Row],[Portefeuille]]="p",3,0)</f>
        <v>0</v>
      </c>
      <c r="H135" s="42">
        <v>3</v>
      </c>
      <c r="I135" s="43">
        <v>4</v>
      </c>
      <c r="J135" s="43"/>
      <c r="K135" s="43"/>
      <c r="L135" s="16">
        <v>0</v>
      </c>
      <c r="M13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5" s="44" t="s">
        <v>3796</v>
      </c>
      <c r="O135" s="45"/>
      <c r="P135" s="4" t="s">
        <v>382</v>
      </c>
      <c r="Q135" s="4"/>
      <c r="R135" s="6"/>
      <c r="S135" s="6" t="s">
        <v>3797</v>
      </c>
      <c r="T135" s="6" t="e" vm="123">
        <v>#VALUE!</v>
      </c>
      <c r="U135" s="46" cm="1">
        <f t="array" aca="1" ref="U135" ca="1">IFERROR(_FV(Tableau1[[#This Row],[Code Excel]],"Capitalisation boursière",TRUE),"")</f>
        <v>518874719940</v>
      </c>
      <c r="V135" s="4" t="str" cm="1">
        <f t="array" aca="1" ref="V135" ca="1">IFERROR(_FV(Tableau1[[#This Row],[Code Excel]],"Industrie"),"")</f>
        <v>Oil &amp; Gas</v>
      </c>
      <c r="W135" s="4" t="s">
        <v>371</v>
      </c>
      <c r="X135" s="4" t="str">
        <f ca="1">Tableau1[[#This Row],[Grand Secteur]]&amp;Tableau1[[#This Row],[Industrie]]</f>
        <v>EnergieOil &amp; Gas</v>
      </c>
      <c r="Y135" s="23" cm="1">
        <f t="array" aca="1" ref="Y135" ca="1">IFERROR(_FV(Tableau1[[#This Row],[Code Excel]],"P/E",TRUE),"")</f>
        <v>15.2432</v>
      </c>
      <c r="Z135" s="43" cm="1">
        <f t="array" aca="1" ref="Z135" ca="1">IFERROR(_FV(Tableau1[[#This Row],[Code Excel]],"Employés"),"")</f>
        <v>61000</v>
      </c>
      <c r="AA135" s="46">
        <f ca="1">IFERROR(Tableau1[[#This Row],[Capitalisation boursière]]/Tableau1[[#This Row],[Employés]],"")</f>
        <v>8506142.949836066</v>
      </c>
      <c r="AB135" s="5" t="str">
        <f>IFERROR(Tableau1[[#This Row],[REX (2021)]]/Tableau1[[#This Row],[CA 2024]],"")</f>
        <v/>
      </c>
      <c r="AC135" s="9" t="str">
        <f>IFERROR(_xlfn.XLOOKUP(Tableau1[[#This Row],[Isin]]&amp;1&amp;2021,#REF!,Tableau3[Résultat d''exploitation]),"")</f>
        <v/>
      </c>
      <c r="AD135" s="9" t="str">
        <f>IFERROR(_xlfn.XLOOKUP(Tableau1[[#This Row],[Isin]]&amp;1&amp;2019,#REF!,Tableau3[Chiffre d''affaires]),"")</f>
        <v/>
      </c>
      <c r="AE135" s="9" t="str">
        <f>IFERROR(_xlfn.XLOOKUP(Tableau1[[#This Row],[Isin]]&amp;1&amp;2024,#REF!,Tableau3[Chiffre d''affaires]),"")</f>
        <v/>
      </c>
      <c r="AF135" s="8" t="str">
        <f>IFERROR(IF((Tableau1[[#This Row],[CA 2024]]-Tableau1[[#This Row],[CA 2019]])/Tableau1[[#This Row],[CA 2019]]=-1,"",(Tableau1[[#This Row],[CA 2024]]-Tableau1[[#This Row],[CA 2019]])/Tableau1[[#This Row],[CA 2019]]),"")</f>
        <v/>
      </c>
      <c r="AG135" s="9" t="str">
        <f>IFERROR(_xlfn.XLOOKUP(Tableau1[[#This Row],[Isin]]&amp;1&amp;2021,#REF!,Tableau3[EBE]),"")</f>
        <v/>
      </c>
      <c r="AH135" s="9" t="str">
        <f>IFERROR(_xlfn.XLOOKUP(Tableau1[[#This Row],[Isin]]&amp;1&amp;2022,#REF!,Tableau3[EBE]),"")</f>
        <v/>
      </c>
      <c r="AI135" s="43" t="s">
        <v>4343</v>
      </c>
      <c r="AJ135" s="43" t="s">
        <v>3150</v>
      </c>
      <c r="AK135" s="43" t="s">
        <v>3419</v>
      </c>
      <c r="AL135" s="43"/>
      <c r="AM135" s="43"/>
      <c r="AN135" s="9" t="str">
        <f>IFERROR(_xlfn.XLOOKUP(Tableau1[[#This Row],[Isin]]&amp;1&amp;2021,#REF!,Tableau3[Chiffre d''affaires]),"")</f>
        <v/>
      </c>
      <c r="AO135" s="43" cm="1">
        <f t="array" aca="1" ref="AO135" ca="1">_FV(Tableau1[[#This Row],[Code Excel]],"P/E",TRUE)</f>
        <v>15.2432</v>
      </c>
      <c r="AP135" s="43" t="str">
        <f>IFERROR(_xlfn.XLOOKUP(Tableau1[[#This Row],[Isin]]&amp;1&amp;2023,#REF!,Tableau3[Résultat Net (PdG)]),"")</f>
        <v/>
      </c>
      <c r="AQ135" s="43">
        <f>IF(IFERROR(_xlfn.XLOOKUP(Tableau1[[#This Row],[Isin]]&amp;1&amp;2022,#REF!,Tableau3[Résultat Net (PdG)]),"")="",Tableau1[[#This Row],[RN Groupe 2022
Manuel]],IFERROR(_xlfn.XLOOKUP(Tableau1[[#This Row],[Isin]]&amp;1&amp;2022,#REF!,Tableau3[Résultat Net (PdG)]),""))</f>
        <v>0</v>
      </c>
      <c r="AR135" s="43"/>
      <c r="AS135" s="43">
        <f>IF(IFERROR(_xlfn.XLOOKUP(Tableau1[[#This Row],[Isin]]&amp;1&amp;2021,#REF!,Tableau3[Résultat Net (PdG)]),"")="",Tableau1[[#This Row],[RN Groupe 2021
Manuel]],IFERROR(_xlfn.XLOOKUP(Tableau1[[#This Row],[Isin]]&amp;1&amp;2021,#REF!,Tableau3[Résultat Net (PdG)]),""))</f>
        <v>0</v>
      </c>
      <c r="AT135" s="43"/>
      <c r="AU135" s="43" t="str">
        <f>IFERROR(_xlfn.XLOOKUP(Tableau1[[#This Row],[Isin]]&amp;1&amp;2020,#REF!,Tableau3[Résultat Net (PdG)]),"")</f>
        <v/>
      </c>
      <c r="AV135" s="43" t="str">
        <f>IFERROR(_xlfn.XLOOKUP(Tableau1[[#This Row],[Isin]]&amp;1&amp;2019,#REF!,Tableau3[Résultat Net (PdG)]),"")</f>
        <v/>
      </c>
      <c r="AW135" s="43" t="str">
        <f>IFERROR(_xlfn.XLOOKUP(Tableau1[[#This Row],[Isin]]&amp;1&amp;2018,#REF!,Tableau3[Résultat Net (PdG)]),"")</f>
        <v/>
      </c>
      <c r="AX135" s="43" t="str">
        <f>IFERROR(_xlfn.XLOOKUP(Tableau1[[#This Row],[Isin]]&amp;1&amp;2017,#REF!,Tableau3[Résultat Net (PdG)]),"")</f>
        <v/>
      </c>
      <c r="AY135" s="43" t="str">
        <f>IFERROR(_xlfn.XLOOKUP(Tableau1[[#This Row],[Isin]]&amp;1&amp;2016,#REF!,Tableau3[Résultat Net (PdG)]),"")</f>
        <v/>
      </c>
      <c r="AZ135" s="137" t="str">
        <f ca="1">IFERROR(Tableau1[[#This Row],[Capitalisation boursière]]/Tableau1[[#This Row],[RN Groupe 2023]],"")</f>
        <v/>
      </c>
      <c r="BA135" s="4" t="s">
        <v>371</v>
      </c>
      <c r="BB135" s="43" t="s">
        <v>3474</v>
      </c>
      <c r="BC135" s="43" t="str">
        <f>IFERROR(_xlfn.XLOOKUP(Tableau1[[#This Row],[Isin]]&amp;1&amp;2016,#REF!,Tableau3[Capi]),"")</f>
        <v/>
      </c>
      <c r="BD135" s="43" t="str">
        <f>IFERROR(_xlfn.XLOOKUP(Tableau1[[#This Row],[Isin]]&amp;1&amp;2017,#REF!,Tableau3[Capi]),"")</f>
        <v/>
      </c>
      <c r="BE135" s="43" t="str">
        <f>IFERROR(_xlfn.XLOOKUP(Tableau1[[#This Row],[Isin]]&amp;1&amp;2018,#REF!,Tableau3[Capi]),"")</f>
        <v/>
      </c>
      <c r="BF135" s="43" t="str">
        <f>IFERROR(_xlfn.XLOOKUP(Tableau1[[#This Row],[Isin]]&amp;1&amp;2019,#REF!,Tableau3[Capi]),"")</f>
        <v/>
      </c>
      <c r="BG135" s="43" t="str">
        <f>IFERROR(_xlfn.XLOOKUP(Tableau1[[#This Row],[Isin]]&amp;1&amp;2020,#REF!,Tableau3[Capi]),"")</f>
        <v/>
      </c>
      <c r="BH135" s="43">
        <f>IF(IFERROR(_xlfn.XLOOKUP(Tableau1[[#This Row],[Isin]]&amp;1&amp;2021,#REF!,Tableau3[Capi]),"")="",Tableau1[[#This Row],[Capitalisation 2021
Manuel]],IFERROR(_xlfn.XLOOKUP(Tableau1[[#This Row],[Isin]]&amp;1&amp;2021,#REF!,Tableau3[Capi]),""))</f>
        <v>0</v>
      </c>
      <c r="BI135" s="43"/>
      <c r="BJ135" s="43">
        <f>IF(IFERROR(_xlfn.XLOOKUP(Tableau1[[#This Row],[Isin]]&amp;1&amp;2022,#REF!,Tableau3[Capi]),"")="",Tableau1[[#This Row],[Capitalisation 2022
Manuel]],IFERROR(_xlfn.XLOOKUP(Tableau1[[#This Row],[Isin]]&amp;1&amp;2022,#REF!,Tableau3[Capi]),""))</f>
        <v>0</v>
      </c>
      <c r="BK135" s="43"/>
      <c r="BL135" s="43">
        <f ca="1">Tableau1[[#This Row],[Capitalisation boursière]]</f>
        <v>518874719940</v>
      </c>
      <c r="BM135" s="162" t="str" cm="1">
        <f t="array" aca="1" ref="BM135" ca="1">_FV(Tableau1[[#This Row],[Code Excel]],"Description")</f>
        <v>Exxon Mobil Corporation est une société internationale spécialisée dans l'énergie et la pétrochimie. Les principales activités de la Société comprennent l'exploration et la production de pétrole brut et de gaz naturel ; la fabrication, le commerce, le transport et la vente de pétrole brut, de gaz naturel, de produits pétroliers, de produits pétrochimiques et de divers produits spécialisés ; et la poursuite d'occasions d'affaires à faibles émissions, notamment le captage et le stockage du carbone, l'hydrogène, les combustibles à faibles émissions et le lithium. Ses segments comprennent les produits en amont, les produits énergétiques, les produits chimiques et les produits spécialisés. Le segment amont explore et produit du pétrole brut et du gaz naturel. Les segments produits énergétiques, produits chimiques et produits spécialisés fabriquent et vendent des produits pétroliers et pétrochimiques. Les produits énergétiques comprennent les combustibles, les aromatiques, les catalyseurs et les licences. Ses produits chimiques se composent d'oléfines, de polyoléfines et d'intermédiaires. Ses produits spécialisés comprennent des lubrifiants finis, des synthétiques, des élastomères et des résines.</v>
      </c>
      <c r="BN135" s="43"/>
      <c r="BO135" s="43"/>
      <c r="BP135" s="43"/>
      <c r="BQ135" s="43"/>
      <c r="BR135" s="4"/>
      <c r="BS135" s="21"/>
      <c r="BT135" s="13"/>
      <c r="BU135" s="13"/>
      <c r="BV135" s="13"/>
      <c r="BW135" s="13"/>
      <c r="BX135" s="13"/>
      <c r="BY135" s="3"/>
      <c r="BZ135" s="58"/>
      <c r="CA135" s="59"/>
    </row>
    <row r="136" spans="3:79">
      <c r="C136" s="42"/>
      <c r="D136" s="42">
        <f>IF(Tableau1[[#This Row],[Isin]]="",99,Tableau1[[#This Row],[Intérêt]]+Tableau1[[#This Row],[Valeur d''intérêt]]+Tableau1[[#This Row],[N° Portefeuille]])</f>
        <v>30</v>
      </c>
      <c r="E136" s="42"/>
      <c r="F136" s="42">
        <f>IF(Tableau1[[#This Row],[Portefeuille]]="p",0,Tableau1[[#This Row],[F. Investissement
Niveau d''intérêt]]*10)</f>
        <v>30</v>
      </c>
      <c r="G136" s="42">
        <f>IF(Tableau1[[#This Row],[Portefeuille]]="p",3,0)</f>
        <v>0</v>
      </c>
      <c r="H136" s="42">
        <v>3</v>
      </c>
      <c r="I136" s="42">
        <v>4</v>
      </c>
      <c r="J136" s="42"/>
      <c r="K136" s="43"/>
      <c r="L136" s="16">
        <v>1</v>
      </c>
      <c r="M13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6" s="44" t="s">
        <v>2473</v>
      </c>
      <c r="O136" s="44" t="s">
        <v>2474</v>
      </c>
      <c r="P136" s="4" t="s">
        <v>47</v>
      </c>
      <c r="Q136" s="6" t="s">
        <v>383</v>
      </c>
      <c r="R136" s="6"/>
      <c r="S136" s="6" t="s">
        <v>2476</v>
      </c>
      <c r="T136" s="6" t="e" vm="124">
        <v>#VALUE!</v>
      </c>
      <c r="U136" s="51" cm="1">
        <f t="array" aca="1" ref="U136" ca="1">IFERROR(_FV(Tableau1[[#This Row],[Code Excel]],"Capitalisation boursière",TRUE),"")</f>
        <v>350</v>
      </c>
      <c r="V136" s="4" t="str" cm="1">
        <f t="array" aca="1" ref="V136" ca="1">IFERROR(_FV(Tableau1[[#This Row],[Code Excel]],"Industrie"),"")</f>
        <v>Software &amp; IT Services</v>
      </c>
      <c r="W136" s="4" t="s">
        <v>4333</v>
      </c>
      <c r="X136" s="4" t="str">
        <f ca="1">Tableau1[[#This Row],[Grand Secteur]]&amp;Tableau1[[#This Row],[Industrie]]</f>
        <v>Logiciels et TechnologieSoftware &amp; IT Services</v>
      </c>
      <c r="Y136" s="23" cm="1">
        <f t="array" aca="1" ref="Y136" ca="1">IFERROR(_FV(Tableau1[[#This Row],[Code Excel]],"P/E",TRUE),"")</f>
        <v>0</v>
      </c>
      <c r="Z136" s="43" cm="1">
        <f t="array" aca="1" ref="Z136" ca="1">IFERROR(_FV(Tableau1[[#This Row],[Code Excel]],"Employés"),"")</f>
        <v>6728</v>
      </c>
      <c r="AA136" s="49">
        <f ca="1">IFERROR(Tableau1[[#This Row],[Capitalisation boursière]]/Tableau1[[#This Row],[Employés]],"")</f>
        <v>5.2021403091557672E-2</v>
      </c>
      <c r="AB136" s="5" t="str">
        <f>IFERROR(Tableau1[[#This Row],[REX (2021)]]/Tableau1[[#This Row],[CA 2024]],"")</f>
        <v/>
      </c>
      <c r="AC136" s="9" t="str">
        <f>IFERROR(_xlfn.XLOOKUP(Tableau1[[#This Row],[Isin]]&amp;1&amp;2021,#REF!,Tableau3[Résultat d''exploitation]),"")</f>
        <v/>
      </c>
      <c r="AD136" s="9" t="str">
        <f>IFERROR(_xlfn.XLOOKUP(Tableau1[[#This Row],[Isin]]&amp;1&amp;2019,#REF!,Tableau3[Chiffre d''affaires]),"")</f>
        <v/>
      </c>
      <c r="AE136" s="9" t="str">
        <f>IFERROR(_xlfn.XLOOKUP(Tableau1[[#This Row],[Isin]]&amp;1&amp;2024,#REF!,Tableau3[Chiffre d''affaires]),"")</f>
        <v/>
      </c>
      <c r="AF136" s="8" t="str">
        <f>IFERROR(IF((Tableau1[[#This Row],[CA 2024]]-Tableau1[[#This Row],[CA 2019]])/Tableau1[[#This Row],[CA 2019]]=-1,"",(Tableau1[[#This Row],[CA 2024]]-Tableau1[[#This Row],[CA 2019]])/Tableau1[[#This Row],[CA 2019]]),"")</f>
        <v/>
      </c>
      <c r="AG136" s="9" t="str">
        <f>IFERROR(_xlfn.XLOOKUP(Tableau1[[#This Row],[Isin]]&amp;1&amp;2021,#REF!,Tableau3[EBE]),"")</f>
        <v/>
      </c>
      <c r="AH136" s="9" t="str">
        <f>IFERROR(_xlfn.XLOOKUP(Tableau1[[#This Row],[Isin]]&amp;1&amp;2022,#REF!,Tableau3[EBE]),"")</f>
        <v/>
      </c>
      <c r="AI136" s="43" t="s">
        <v>4343</v>
      </c>
      <c r="AJ136" s="43" t="s">
        <v>4334</v>
      </c>
      <c r="AK136" s="43" t="s">
        <v>3148</v>
      </c>
      <c r="AL136" s="43" t="s">
        <v>3431</v>
      </c>
      <c r="AM136" s="43"/>
      <c r="AN136" s="9" t="str">
        <f>IFERROR(_xlfn.XLOOKUP(Tableau1[[#This Row],[Isin]]&amp;1&amp;2021,#REF!,Tableau3[Chiffre d''affaires]),"")</f>
        <v/>
      </c>
      <c r="AO136" s="43" cm="1">
        <f t="array" aca="1" ref="AO136" ca="1">_FV(Tableau1[[#This Row],[Code Excel]],"P/E",TRUE)</f>
        <v>0</v>
      </c>
      <c r="AP136" s="43" t="str">
        <f>IFERROR(_xlfn.XLOOKUP(Tableau1[[#This Row],[Isin]]&amp;1&amp;2023,#REF!,Tableau3[Résultat Net (PdG)]),"")</f>
        <v/>
      </c>
      <c r="AQ136" s="43">
        <f>IF(IFERROR(_xlfn.XLOOKUP(Tableau1[[#This Row],[Isin]]&amp;1&amp;2022,#REF!,Tableau3[Résultat Net (PdG)]),"")="",Tableau1[[#This Row],[RN Groupe 2022
Manuel]],IFERROR(_xlfn.XLOOKUP(Tableau1[[#This Row],[Isin]]&amp;1&amp;2022,#REF!,Tableau3[Résultat Net (PdG)]),""))</f>
        <v>0</v>
      </c>
      <c r="AR136" s="43"/>
      <c r="AS136" s="43">
        <f>IF(IFERROR(_xlfn.XLOOKUP(Tableau1[[#This Row],[Isin]]&amp;1&amp;2021,#REF!,Tableau3[Résultat Net (PdG)]),"")="",Tableau1[[#This Row],[RN Groupe 2021
Manuel]],IFERROR(_xlfn.XLOOKUP(Tableau1[[#This Row],[Isin]]&amp;1&amp;2021,#REF!,Tableau3[Résultat Net (PdG)]),""))</f>
        <v>0</v>
      </c>
      <c r="AT136" s="43"/>
      <c r="AU136" s="43" t="str">
        <f>IFERROR(_xlfn.XLOOKUP(Tableau1[[#This Row],[Isin]]&amp;1&amp;2020,#REF!,Tableau3[Résultat Net (PdG)]),"")</f>
        <v/>
      </c>
      <c r="AV136" s="43" t="str">
        <f>IFERROR(_xlfn.XLOOKUP(Tableau1[[#This Row],[Isin]]&amp;1&amp;2019,#REF!,Tableau3[Résultat Net (PdG)]),"")</f>
        <v/>
      </c>
      <c r="AW136" s="43" t="str">
        <f>IFERROR(_xlfn.XLOOKUP(Tableau1[[#This Row],[Isin]]&amp;1&amp;2018,#REF!,Tableau3[Résultat Net (PdG)]),"")</f>
        <v/>
      </c>
      <c r="AX136" s="43" t="str">
        <f>IFERROR(_xlfn.XLOOKUP(Tableau1[[#This Row],[Isin]]&amp;1&amp;2017,#REF!,Tableau3[Résultat Net (PdG)]),"")</f>
        <v/>
      </c>
      <c r="AY136" s="43" t="str">
        <f>IFERROR(_xlfn.XLOOKUP(Tableau1[[#This Row],[Isin]]&amp;1&amp;2016,#REF!,Tableau3[Résultat Net (PdG)]),"")</f>
        <v/>
      </c>
      <c r="AZ136" s="137" t="str">
        <f ca="1">IFERROR(Tableau1[[#This Row],[Capitalisation boursière]]/Tableau1[[#This Row],[RN Groupe 2023]],"")</f>
        <v/>
      </c>
      <c r="BA136" s="4" t="str" cm="1">
        <f t="array" aca="1" ref="BA136" ca="1">IFERROR(_FV(Tableau1[[#This Row],[Code Excel]],"Industrie"),"")</f>
        <v>Software &amp; IT Services</v>
      </c>
      <c r="BB136" s="43" t="e">
        <v>#N/A</v>
      </c>
      <c r="BC136" s="43" t="str">
        <f>IFERROR(_xlfn.XLOOKUP(Tableau1[[#This Row],[Isin]]&amp;1&amp;2016,#REF!,Tableau3[Capi]),"")</f>
        <v/>
      </c>
      <c r="BD136" s="43" t="str">
        <f>IFERROR(_xlfn.XLOOKUP(Tableau1[[#This Row],[Isin]]&amp;1&amp;2017,#REF!,Tableau3[Capi]),"")</f>
        <v/>
      </c>
      <c r="BE136" s="43" t="str">
        <f>IFERROR(_xlfn.XLOOKUP(Tableau1[[#This Row],[Isin]]&amp;1&amp;2018,#REF!,Tableau3[Capi]),"")</f>
        <v/>
      </c>
      <c r="BF136" s="43" t="str">
        <f>IFERROR(_xlfn.XLOOKUP(Tableau1[[#This Row],[Isin]]&amp;1&amp;2019,#REF!,Tableau3[Capi]),"")</f>
        <v/>
      </c>
      <c r="BG136" s="43" t="str">
        <f>IFERROR(_xlfn.XLOOKUP(Tableau1[[#This Row],[Isin]]&amp;1&amp;2020,#REF!,Tableau3[Capi]),"")</f>
        <v/>
      </c>
      <c r="BH136" s="43">
        <f>IF(IFERROR(_xlfn.XLOOKUP(Tableau1[[#This Row],[Isin]]&amp;1&amp;2021,#REF!,Tableau3[Capi]),"")="",Tableau1[[#This Row],[Capitalisation 2021
Manuel]],IFERROR(_xlfn.XLOOKUP(Tableau1[[#This Row],[Isin]]&amp;1&amp;2021,#REF!,Tableau3[Capi]),""))</f>
        <v>0</v>
      </c>
      <c r="BI136" s="43"/>
      <c r="BJ136" s="43">
        <f>IF(IFERROR(_xlfn.XLOOKUP(Tableau1[[#This Row],[Isin]]&amp;1&amp;2022,#REF!,Tableau3[Capi]),"")="",Tableau1[[#This Row],[Capitalisation 2022
Manuel]],IFERROR(_xlfn.XLOOKUP(Tableau1[[#This Row],[Isin]]&amp;1&amp;2022,#REF!,Tableau3[Capi]),""))</f>
        <v>0</v>
      </c>
      <c r="BK136" s="43"/>
      <c r="BL136" s="43">
        <f ca="1">Tableau1[[#This Row],[Capitalisation boursière]]</f>
        <v>350</v>
      </c>
      <c r="BM136" s="162" t="str" cm="1">
        <f t="array" aca="1" ref="BM136" ca="1">_FV(Tableau1[[#This Row],[Code Excel]],"Description")</f>
        <v>Farfetch Limited exploite un marché mondial pour l'industrie de la mode de luxe. La Société met en relation des clients dans plus de 190 pays et territoires avec des articles de plus de 50 pays et plus de 1 400 marques, boutiques et grands magasins du monde entier. Ses activités dans le segment plateforme numérique comprennent le marché Farfetch, FPS, BrownsFashion.com, StadiumGoods.com, VioletGrey.com, Luxclusif, Farfetch future Retail et tout autre canal de vente en ligne exploité par la Société, y compris les sites Web respectifs des marques du portefeuille New Guards. Le segment de la plateforme numérique comprend également les ventes directes aux consommateurs de produits personnels, appelées ventes par première partie. Son segment Brand Platform comprend la production et la distribution en gros de marques détenues et licenciées par New Guards et comprend les opérations de magasins franchisés. Son segment in-Store couvre les activités des magasins qu'elle exploite, notamment Browns, Stadium Goods, Violet Grey et certaines marques du portefeuille New Guards.</v>
      </c>
      <c r="BN136" s="43"/>
      <c r="BO136" s="43"/>
      <c r="BP136" s="43"/>
      <c r="BQ136" s="43"/>
      <c r="BR136" s="4"/>
      <c r="BS136" s="21"/>
      <c r="BT136" s="13"/>
      <c r="BU136" s="13"/>
      <c r="BV136" s="13"/>
      <c r="BW136" s="13"/>
      <c r="BX136" s="13"/>
      <c r="BY136" s="3"/>
      <c r="BZ136" s="58"/>
      <c r="CA136" s="59"/>
    </row>
    <row r="137" spans="3:79">
      <c r="C137" s="43"/>
      <c r="D137" s="42">
        <f>IF(Tableau1[[#This Row],[Isin]]="",99,Tableau1[[#This Row],[Intérêt]]+Tableau1[[#This Row],[Valeur d''intérêt]]+Tableau1[[#This Row],[N° Portefeuille]])</f>
        <v>30</v>
      </c>
      <c r="E137" s="43"/>
      <c r="F137" s="42">
        <f>IF(Tableau1[[#This Row],[Portefeuille]]="p",0,Tableau1[[#This Row],[F. Investissement
Niveau d''intérêt]]*10)</f>
        <v>30</v>
      </c>
      <c r="G137" s="43">
        <f>IF(Tableau1[[#This Row],[Portefeuille]]="p",3,0)</f>
        <v>0</v>
      </c>
      <c r="H137" s="42">
        <v>3</v>
      </c>
      <c r="I137" s="43">
        <v>4</v>
      </c>
      <c r="J137" s="43"/>
      <c r="K137" s="43"/>
      <c r="L137" s="16">
        <v>1</v>
      </c>
      <c r="M13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7" s="44" t="s">
        <v>4393</v>
      </c>
      <c r="O137" s="44" t="s">
        <v>1224</v>
      </c>
      <c r="P137" s="4" t="s">
        <v>619</v>
      </c>
      <c r="Q137" s="6" t="s">
        <v>85</v>
      </c>
      <c r="R137" s="6" t="s">
        <v>4394</v>
      </c>
      <c r="S137" s="6" t="s">
        <v>819</v>
      </c>
      <c r="T137" s="6"/>
      <c r="U137" s="46" t="str" cm="1">
        <f t="array" ref="U137">IFERROR(_FV(Tableau1[[#This Row],[Code Excel]],"Capitalisation boursière",TRUE),"")</f>
        <v/>
      </c>
      <c r="V137" s="4" t="str" cm="1">
        <f t="array" ref="V137">IFERROR(_FV(Tableau1[[#This Row],[Code Excel]],"Industrie"),"")</f>
        <v/>
      </c>
      <c r="W137" s="4"/>
      <c r="X137" s="4" t="str">
        <f>Tableau1[[#This Row],[Grand Secteur]]&amp;Tableau1[[#This Row],[Industrie]]</f>
        <v/>
      </c>
      <c r="Y137" s="23" t="str" cm="1">
        <f t="array" ref="Y137">IFERROR(_FV(Tableau1[[#This Row],[Code Excel]],"P/E",TRUE),"")</f>
        <v/>
      </c>
      <c r="Z137" s="43" t="str" cm="1">
        <f t="array" ref="Z137">IFERROR(_FV(Tableau1[[#This Row],[Code Excel]],"Employés"),"")</f>
        <v/>
      </c>
      <c r="AA137" s="49" t="str">
        <f>IFERROR(Tableau1[[#This Row],[Capitalisation boursière]]/Tableau1[[#This Row],[Employés]],"")</f>
        <v/>
      </c>
      <c r="AB137" s="5" t="str">
        <f>IFERROR(Tableau1[[#This Row],[REX (2021)]]/Tableau1[[#This Row],[CA 2024]],"")</f>
        <v/>
      </c>
      <c r="AC137" s="9" t="str">
        <f>IFERROR(_xlfn.XLOOKUP(Tableau1[[#This Row],[Isin]]&amp;1&amp;2021,#REF!,Tableau3[Résultat d''exploitation]),"")</f>
        <v/>
      </c>
      <c r="AD137" s="9" t="str">
        <f>IFERROR(_xlfn.XLOOKUP(Tableau1[[#This Row],[Isin]]&amp;1&amp;2019,#REF!,Tableau3[Chiffre d''affaires]),"")</f>
        <v/>
      </c>
      <c r="AE137" s="9" t="str">
        <f>IFERROR(_xlfn.XLOOKUP(Tableau1[[#This Row],[Isin]]&amp;1&amp;2024,#REF!,Tableau3[Chiffre d''affaires]),"")</f>
        <v/>
      </c>
      <c r="AF137" s="8" t="str">
        <f>IFERROR(IF((Tableau1[[#This Row],[CA 2024]]-Tableau1[[#This Row],[CA 2019]])/Tableau1[[#This Row],[CA 2019]]=-1,"",(Tableau1[[#This Row],[CA 2024]]-Tableau1[[#This Row],[CA 2019]])/Tableau1[[#This Row],[CA 2019]]),"")</f>
        <v/>
      </c>
      <c r="AG137" s="9" t="str">
        <f>IFERROR(_xlfn.XLOOKUP(Tableau1[[#This Row],[Isin]]&amp;1&amp;2021,#REF!,Tableau3[EBE]),"")</f>
        <v/>
      </c>
      <c r="AH137" s="9" t="str">
        <f>IFERROR(_xlfn.XLOOKUP(Tableau1[[#This Row],[Isin]]&amp;1&amp;2022,#REF!,Tableau3[EBE]),"")</f>
        <v/>
      </c>
      <c r="AI137" s="43"/>
      <c r="AJ137" s="43"/>
      <c r="AK137" s="43"/>
      <c r="AL137" s="43"/>
      <c r="AM137" s="43"/>
      <c r="AN137" s="9" t="str">
        <f>IFERROR(_xlfn.XLOOKUP(Tableau1[[#This Row],[Isin]]&amp;1&amp;2021,#REF!,Tableau3[Chiffre d''affaires]),"")</f>
        <v/>
      </c>
      <c r="AO137" s="43" t="e" cm="1" vm="1">
        <f t="array" ref="AO137">_FV(Tableau1[[#This Row],[Code Excel]],"P/E",TRUE)</f>
        <v>#VALUE!</v>
      </c>
      <c r="AP137" s="43" t="str">
        <f>IFERROR(_xlfn.XLOOKUP(Tableau1[[#This Row],[Isin]]&amp;1&amp;2023,#REF!,Tableau3[Résultat Net (PdG)]),"")</f>
        <v/>
      </c>
      <c r="AQ137" s="43">
        <f>IF(IFERROR(_xlfn.XLOOKUP(Tableau1[[#This Row],[Isin]]&amp;1&amp;2022,#REF!,Tableau3[Résultat Net (PdG)]),"")="",Tableau1[[#This Row],[RN Groupe 2022
Manuel]],IFERROR(_xlfn.XLOOKUP(Tableau1[[#This Row],[Isin]]&amp;1&amp;2022,#REF!,Tableau3[Résultat Net (PdG)]),""))</f>
        <v>0</v>
      </c>
      <c r="AR137" s="43"/>
      <c r="AS137" s="43">
        <f>IF(IFERROR(_xlfn.XLOOKUP(Tableau1[[#This Row],[Isin]]&amp;1&amp;2021,#REF!,Tableau3[Résultat Net (PdG)]),"")="",Tableau1[[#This Row],[RN Groupe 2021
Manuel]],IFERROR(_xlfn.XLOOKUP(Tableau1[[#This Row],[Isin]]&amp;1&amp;2021,#REF!,Tableau3[Résultat Net (PdG)]),""))</f>
        <v>0</v>
      </c>
      <c r="AT137" s="43"/>
      <c r="AU137" s="43" t="str">
        <f>IFERROR(_xlfn.XLOOKUP(Tableau1[[#This Row],[Isin]]&amp;1&amp;2020,#REF!,Tableau3[Résultat Net (PdG)]),"")</f>
        <v/>
      </c>
      <c r="AV137" s="43" t="str">
        <f>IFERROR(_xlfn.XLOOKUP(Tableau1[[#This Row],[Isin]]&amp;1&amp;2019,#REF!,Tableau3[Résultat Net (PdG)]),"")</f>
        <v/>
      </c>
      <c r="AW137" s="43" t="str">
        <f>IFERROR(_xlfn.XLOOKUP(Tableau1[[#This Row],[Isin]]&amp;1&amp;2018,#REF!,Tableau3[Résultat Net (PdG)]),"")</f>
        <v/>
      </c>
      <c r="AX137" s="43" t="str">
        <f>IFERROR(_xlfn.XLOOKUP(Tableau1[[#This Row],[Isin]]&amp;1&amp;2017,#REF!,Tableau3[Résultat Net (PdG)]),"")</f>
        <v/>
      </c>
      <c r="AY137" s="43" t="str">
        <f>IFERROR(_xlfn.XLOOKUP(Tableau1[[#This Row],[Isin]]&amp;1&amp;2016,#REF!,Tableau3[Résultat Net (PdG)]),"")</f>
        <v/>
      </c>
      <c r="AZ137" s="137" t="str">
        <f>IFERROR(Tableau1[[#This Row],[Capitalisation boursière]]/Tableau1[[#This Row],[RN Groupe 2023]],"")</f>
        <v/>
      </c>
      <c r="BA137" s="4" t="str" cm="1">
        <f t="array" ref="BA137">IFERROR(_FV(Tableau1[[#This Row],[Code Excel]],"Industrie"),"")</f>
        <v/>
      </c>
      <c r="BB137" s="43" t="e">
        <v>#N/A</v>
      </c>
      <c r="BC137" s="43" t="str">
        <f>IFERROR(_xlfn.XLOOKUP(Tableau1[[#This Row],[Isin]]&amp;1&amp;2016,#REF!,Tableau3[Capi]),"")</f>
        <v/>
      </c>
      <c r="BD137" s="43" t="str">
        <f>IFERROR(_xlfn.XLOOKUP(Tableau1[[#This Row],[Isin]]&amp;1&amp;2017,#REF!,Tableau3[Capi]),"")</f>
        <v/>
      </c>
      <c r="BE137" s="43" t="str">
        <f>IFERROR(_xlfn.XLOOKUP(Tableau1[[#This Row],[Isin]]&amp;1&amp;2018,#REF!,Tableau3[Capi]),"")</f>
        <v/>
      </c>
      <c r="BF137" s="43" t="str">
        <f>IFERROR(_xlfn.XLOOKUP(Tableau1[[#This Row],[Isin]]&amp;1&amp;2019,#REF!,Tableau3[Capi]),"")</f>
        <v/>
      </c>
      <c r="BG137" s="43" t="str">
        <f>IFERROR(_xlfn.XLOOKUP(Tableau1[[#This Row],[Isin]]&amp;1&amp;2020,#REF!,Tableau3[Capi]),"")</f>
        <v/>
      </c>
      <c r="BH137" s="43">
        <f>IF(IFERROR(_xlfn.XLOOKUP(Tableau1[[#This Row],[Isin]]&amp;1&amp;2021,#REF!,Tableau3[Capi]),"")="",Tableau1[[#This Row],[Capitalisation 2021
Manuel]],IFERROR(_xlfn.XLOOKUP(Tableau1[[#This Row],[Isin]]&amp;1&amp;2021,#REF!,Tableau3[Capi]),""))</f>
        <v>0</v>
      </c>
      <c r="BI137" s="43"/>
      <c r="BJ137" s="43">
        <f>IF(IFERROR(_xlfn.XLOOKUP(Tableau1[[#This Row],[Isin]]&amp;1&amp;2022,#REF!,Tableau3[Capi]),"")="",Tableau1[[#This Row],[Capitalisation 2022
Manuel]],IFERROR(_xlfn.XLOOKUP(Tableau1[[#This Row],[Isin]]&amp;1&amp;2022,#REF!,Tableau3[Capi]),""))</f>
        <v>0</v>
      </c>
      <c r="BK137" s="43"/>
      <c r="BL137" s="43" t="str">
        <f>Tableau1[[#This Row],[Capitalisation boursière]]</f>
        <v/>
      </c>
      <c r="BM137" s="162" t="e" cm="1" vm="2">
        <f t="array" ref="BM137">_FV(Tableau1[[#This Row],[Code Excel]],"Description")</f>
        <v>#VALUE!</v>
      </c>
      <c r="BN137" s="43"/>
      <c r="BO137" s="43"/>
      <c r="BP137" s="43"/>
      <c r="BQ137" s="43"/>
      <c r="BR137" s="4"/>
      <c r="BS137" s="21"/>
      <c r="BT137" s="13"/>
      <c r="BU137" s="13"/>
      <c r="BV137" s="13"/>
      <c r="BW137" s="13"/>
      <c r="BX137" s="13"/>
      <c r="BY137" s="3"/>
      <c r="BZ137" s="58"/>
      <c r="CA137" s="59"/>
    </row>
    <row r="138" spans="3:79">
      <c r="C138" s="42"/>
      <c r="D138" s="42">
        <f>IF(Tableau1[[#This Row],[Isin]]="",99,Tableau1[[#This Row],[Intérêt]]+Tableau1[[#This Row],[Valeur d''intérêt]]+Tableau1[[#This Row],[N° Portefeuille]])</f>
        <v>30</v>
      </c>
      <c r="E138" s="42"/>
      <c r="F138" s="42">
        <f>IF(Tableau1[[#This Row],[Portefeuille]]="p",0,Tableau1[[#This Row],[F. Investissement
Niveau d''intérêt]]*10)</f>
        <v>30</v>
      </c>
      <c r="G138" s="42">
        <f>IF(Tableau1[[#This Row],[Portefeuille]]="p",3,0)</f>
        <v>0</v>
      </c>
      <c r="H138" s="42">
        <v>3</v>
      </c>
      <c r="I138" s="42">
        <v>4</v>
      </c>
      <c r="J138" s="42"/>
      <c r="K138" s="43"/>
      <c r="L138" s="16">
        <v>1</v>
      </c>
      <c r="M13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8" s="44" t="s">
        <v>3800</v>
      </c>
      <c r="O138" s="44" t="s">
        <v>1395</v>
      </c>
      <c r="P138" s="4" t="s">
        <v>84</v>
      </c>
      <c r="Q138" s="6" t="s">
        <v>85</v>
      </c>
      <c r="R138" s="6"/>
      <c r="S138" s="6" t="s">
        <v>1375</v>
      </c>
      <c r="T138" s="6" t="e" vm="125">
        <v>#VALUE!</v>
      </c>
      <c r="U138" s="46" cm="1">
        <f t="array" aca="1" ref="U138" ca="1">IFERROR(_FV(Tableau1[[#This Row],[Code Excel]],"Capitalisation boursière",TRUE),"")</f>
        <v>387960300</v>
      </c>
      <c r="V138" s="4" t="str" cm="1">
        <f t="array" aca="1" ref="V138" ca="1">IFERROR(_FV(Tableau1[[#This Row],[Code Excel]],"Industrie"),"")</f>
        <v>Aerospace &amp; Defense</v>
      </c>
      <c r="W138" s="4" t="str" cm="1">
        <f t="array" aca="1" ref="W138" ca="1">IFERROR(_FV(Tableau1[[#This Row],[Code Excel]],"Industrie"),"")</f>
        <v>Aerospace &amp; Defense</v>
      </c>
      <c r="X138" s="4" t="str">
        <f ca="1">Tableau1[[#This Row],[Grand Secteur]]&amp;Tableau1[[#This Row],[Industrie]]</f>
        <v>Aerospace &amp; DefenseAerospace &amp; Defense</v>
      </c>
      <c r="Y138" s="23" t="str" cm="1">
        <f t="array" ref="Y138">IFERROR(_FV(Tableau1[[#This Row],[Code Excel]],"P/E",TRUE),"")</f>
        <v/>
      </c>
      <c r="Z138" s="43" cm="1">
        <f t="array" aca="1" ref="Z138" ca="1">IFERROR(_FV(Tableau1[[#This Row],[Code Excel]],"Employés"),"")</f>
        <v>2964</v>
      </c>
      <c r="AA138" s="46">
        <f ca="1">IFERROR(Tableau1[[#This Row],[Capitalisation boursière]]/Tableau1[[#This Row],[Employés]],"")</f>
        <v>130890.78947368421</v>
      </c>
      <c r="AB138" s="5" t="str">
        <f>IFERROR(Tableau1[[#This Row],[REX (2021)]]/Tableau1[[#This Row],[CA 2024]],"")</f>
        <v/>
      </c>
      <c r="AC138" s="9" t="str">
        <f>IFERROR(_xlfn.XLOOKUP(Tableau1[[#This Row],[Isin]]&amp;1&amp;2021,#REF!,Tableau3[Résultat d''exploitation]),"")</f>
        <v/>
      </c>
      <c r="AD138" s="9" t="str">
        <f>IFERROR(_xlfn.XLOOKUP(Tableau1[[#This Row],[Isin]]&amp;1&amp;2019,#REF!,Tableau3[Chiffre d''affaires]),"")</f>
        <v/>
      </c>
      <c r="AE138" s="9" t="str">
        <f>IFERROR(_xlfn.XLOOKUP(Tableau1[[#This Row],[Isin]]&amp;1&amp;2024,#REF!,Tableau3[Chiffre d''affaires]),"")</f>
        <v/>
      </c>
      <c r="AF138" s="8" t="str">
        <f>IFERROR(IF((Tableau1[[#This Row],[CA 2024]]-Tableau1[[#This Row],[CA 2019]])/Tableau1[[#This Row],[CA 2019]]=-1,"",(Tableau1[[#This Row],[CA 2024]]-Tableau1[[#This Row],[CA 2019]])/Tableau1[[#This Row],[CA 2019]]),"")</f>
        <v/>
      </c>
      <c r="AG138" s="9" t="str">
        <f>IFERROR(_xlfn.XLOOKUP(Tableau1[[#This Row],[Isin]]&amp;1&amp;2021,#REF!,Tableau3[EBE]),"")</f>
        <v/>
      </c>
      <c r="AH138" s="9" t="str">
        <f>IFERROR(_xlfn.XLOOKUP(Tableau1[[#This Row],[Isin]]&amp;1&amp;2022,#REF!,Tableau3[EBE]),"")</f>
        <v/>
      </c>
      <c r="AI138" s="43" t="s">
        <v>4343</v>
      </c>
      <c r="AJ138" s="43" t="s">
        <v>4322</v>
      </c>
      <c r="AK138" s="43" t="s">
        <v>3431</v>
      </c>
      <c r="AL138" s="43" t="s">
        <v>4338</v>
      </c>
      <c r="AM138" s="43"/>
      <c r="AN138" s="9" t="str">
        <f>IFERROR(_xlfn.XLOOKUP(Tableau1[[#This Row],[Isin]]&amp;1&amp;2021,#REF!,Tableau3[Chiffre d''affaires]),"")</f>
        <v/>
      </c>
      <c r="AO138" s="43" t="e" cm="1" vm="1">
        <f t="array" ref="AO138">_FV(Tableau1[[#This Row],[Code Excel]],"P/E",TRUE)</f>
        <v>#VALUE!</v>
      </c>
      <c r="AP138" s="43" t="str">
        <f>IFERROR(_xlfn.XLOOKUP(Tableau1[[#This Row],[Isin]]&amp;1&amp;2023,#REF!,Tableau3[Résultat Net (PdG)]),"")</f>
        <v/>
      </c>
      <c r="AQ138" s="43">
        <f>IF(IFERROR(_xlfn.XLOOKUP(Tableau1[[#This Row],[Isin]]&amp;1&amp;2022,#REF!,Tableau3[Résultat Net (PdG)]),"")="",Tableau1[[#This Row],[RN Groupe 2022
Manuel]],IFERROR(_xlfn.XLOOKUP(Tableau1[[#This Row],[Isin]]&amp;1&amp;2022,#REF!,Tableau3[Résultat Net (PdG)]),""))</f>
        <v>0</v>
      </c>
      <c r="AR138" s="43"/>
      <c r="AS138" s="43">
        <f>IF(IFERROR(_xlfn.XLOOKUP(Tableau1[[#This Row],[Isin]]&amp;1&amp;2021,#REF!,Tableau3[Résultat Net (PdG)]),"")="",Tableau1[[#This Row],[RN Groupe 2021
Manuel]],IFERROR(_xlfn.XLOOKUP(Tableau1[[#This Row],[Isin]]&amp;1&amp;2021,#REF!,Tableau3[Résultat Net (PdG)]),""))</f>
        <v>0</v>
      </c>
      <c r="AT138" s="43"/>
      <c r="AU138" s="43" t="str">
        <f>IFERROR(_xlfn.XLOOKUP(Tableau1[[#This Row],[Isin]]&amp;1&amp;2020,#REF!,Tableau3[Résultat Net (PdG)]),"")</f>
        <v/>
      </c>
      <c r="AV138" s="43" t="str">
        <f>IFERROR(_xlfn.XLOOKUP(Tableau1[[#This Row],[Isin]]&amp;1&amp;2019,#REF!,Tableau3[Résultat Net (PdG)]),"")</f>
        <v/>
      </c>
      <c r="AW138" s="43" t="str">
        <f>IFERROR(_xlfn.XLOOKUP(Tableau1[[#This Row],[Isin]]&amp;1&amp;2018,#REF!,Tableau3[Résultat Net (PdG)]),"")</f>
        <v/>
      </c>
      <c r="AX138" s="43" t="str">
        <f>IFERROR(_xlfn.XLOOKUP(Tableau1[[#This Row],[Isin]]&amp;1&amp;2017,#REF!,Tableau3[Résultat Net (PdG)]),"")</f>
        <v/>
      </c>
      <c r="AY138" s="43" t="str">
        <f>IFERROR(_xlfn.XLOOKUP(Tableau1[[#This Row],[Isin]]&amp;1&amp;2016,#REF!,Tableau3[Résultat Net (PdG)]),"")</f>
        <v/>
      </c>
      <c r="AZ138" s="137" t="str">
        <f ca="1">IFERROR(Tableau1[[#This Row],[Capitalisation boursière]]/Tableau1[[#This Row],[RN Groupe 2023]],"")</f>
        <v/>
      </c>
      <c r="BA138" s="4" t="str" cm="1">
        <f t="array" aca="1" ref="BA138" ca="1">IFERROR(_FV(Tableau1[[#This Row],[Code Excel]],"Industrie"),"")</f>
        <v>Aerospace &amp; Defense</v>
      </c>
      <c r="BB138" s="43" t="e">
        <v>#N/A</v>
      </c>
      <c r="BC138" s="43" t="str">
        <f>IFERROR(_xlfn.XLOOKUP(Tableau1[[#This Row],[Isin]]&amp;1&amp;2016,#REF!,Tableau3[Capi]),"")</f>
        <v/>
      </c>
      <c r="BD138" s="43" t="str">
        <f>IFERROR(_xlfn.XLOOKUP(Tableau1[[#This Row],[Isin]]&amp;1&amp;2017,#REF!,Tableau3[Capi]),"")</f>
        <v/>
      </c>
      <c r="BE138" s="43" t="str">
        <f>IFERROR(_xlfn.XLOOKUP(Tableau1[[#This Row],[Isin]]&amp;1&amp;2018,#REF!,Tableau3[Capi]),"")</f>
        <v/>
      </c>
      <c r="BF138" s="43" t="str">
        <f>IFERROR(_xlfn.XLOOKUP(Tableau1[[#This Row],[Isin]]&amp;1&amp;2019,#REF!,Tableau3[Capi]),"")</f>
        <v/>
      </c>
      <c r="BG138" s="43" t="str">
        <f>IFERROR(_xlfn.XLOOKUP(Tableau1[[#This Row],[Isin]]&amp;1&amp;2020,#REF!,Tableau3[Capi]),"")</f>
        <v/>
      </c>
      <c r="BH138" s="43">
        <f>IF(IFERROR(_xlfn.XLOOKUP(Tableau1[[#This Row],[Isin]]&amp;1&amp;2021,#REF!,Tableau3[Capi]),"")="",Tableau1[[#This Row],[Capitalisation 2021
Manuel]],IFERROR(_xlfn.XLOOKUP(Tableau1[[#This Row],[Isin]]&amp;1&amp;2021,#REF!,Tableau3[Capi]),""))</f>
        <v>0</v>
      </c>
      <c r="BI138" s="43"/>
      <c r="BJ138" s="43">
        <f>IF(IFERROR(_xlfn.XLOOKUP(Tableau1[[#This Row],[Isin]]&amp;1&amp;2022,#REF!,Tableau3[Capi]),"")="",Tableau1[[#This Row],[Capitalisation 2022
Manuel]],IFERROR(_xlfn.XLOOKUP(Tableau1[[#This Row],[Isin]]&amp;1&amp;2022,#REF!,Tableau3[Capi]),""))</f>
        <v>0</v>
      </c>
      <c r="BK138" s="43"/>
      <c r="BL138" s="43">
        <f ca="1">Tableau1[[#This Row],[Capitalisation boursière]]</f>
        <v>387960300</v>
      </c>
      <c r="BM138" s="162" t="str" cm="1">
        <f t="array" aca="1" ref="BM138" ca="1">_FV(Tableau1[[#This Row],[Code Excel]],"Description")</f>
        <v>FIGEAC AERO S.A., anciennement Figeac Aero SARL, est une société basée en France spécialisée dans la fabrication de pièces et de composants pour l'industrie aéronautique. Elle offre une gamme de produits et de services tels que la conception, la fabrication et l'assemblage de sous-ensembles ; la fabrication de pièces de structure, allant des petits accessoires aux grands panneaux ; la fourniture de pièces de moteur, comme le tour vertical et les lames, et le fraisage de l'aluminium et des matériaux durs ; et la production de pièces de précision, tels que les trains d'atterrissage et les inverseurs de poussée. Les clients de la Société comprennent Airbus, Embraer, ATR, Boeing, Bombardier, Eurocopter et Gulfstream, entre autres. Elle est une filiale de Figeac Aero Group qui comprend les entreprises engagées dans la fourniture de produits et services liés à l'aéronautique. Elle opère à travers le Groupe Sonaca et PECISS, une société de services de technologie industrielle basée en Tunisie.</v>
      </c>
      <c r="BN138" s="43"/>
      <c r="BO138" s="43"/>
      <c r="BP138" s="43"/>
      <c r="BQ138" s="43"/>
      <c r="BR138" s="4"/>
      <c r="BS138" s="21"/>
      <c r="BT138" s="13"/>
      <c r="BU138" s="13"/>
      <c r="BV138" s="13"/>
      <c r="BW138" s="13"/>
      <c r="BX138" s="13"/>
      <c r="BY138" s="3"/>
      <c r="BZ138" s="58"/>
      <c r="CA138" s="59"/>
    </row>
    <row r="139" spans="3:79">
      <c r="C139" s="43"/>
      <c r="D139" s="42">
        <f>IF(Tableau1[[#This Row],[Isin]]="",99,Tableau1[[#This Row],[Intérêt]]+Tableau1[[#This Row],[Valeur d''intérêt]]+Tableau1[[#This Row],[N° Portefeuille]])</f>
        <v>30</v>
      </c>
      <c r="E139" s="43"/>
      <c r="F139" s="42">
        <f>IF(Tableau1[[#This Row],[Portefeuille]]="p",0,Tableau1[[#This Row],[F. Investissement
Niveau d''intérêt]]*10)</f>
        <v>30</v>
      </c>
      <c r="G139" s="43">
        <f>IF(Tableau1[[#This Row],[Portefeuille]]="p",3,0)</f>
        <v>0</v>
      </c>
      <c r="H139" s="42">
        <v>3</v>
      </c>
      <c r="I139" s="43">
        <v>4</v>
      </c>
      <c r="J139" s="43"/>
      <c r="K139" s="43"/>
      <c r="L139" s="16">
        <v>0</v>
      </c>
      <c r="M13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39" s="44" t="s">
        <v>3802</v>
      </c>
      <c r="O139" s="45"/>
      <c r="P139" s="4" t="s">
        <v>84</v>
      </c>
      <c r="Q139" s="4"/>
      <c r="R139" s="6"/>
      <c r="S139" s="6" t="s">
        <v>3803</v>
      </c>
      <c r="T139" s="6" t="e" vm="126">
        <v>#VALUE!</v>
      </c>
      <c r="U139" s="46" cm="1">
        <f t="array" aca="1" ref="U139" ca="1">IFERROR(_FV(Tableau1[[#This Row],[Code Excel]],"Capitalisation boursière",TRUE),"")</f>
        <v>838520600</v>
      </c>
      <c r="V139" s="4" t="str" cm="1">
        <f t="array" aca="1" ref="V139" ca="1">IFERROR(_FV(Tableau1[[#This Row],[Code Excel]],"Industrie"),"")</f>
        <v>Specialty Retailers</v>
      </c>
      <c r="W139" s="4" t="s">
        <v>966</v>
      </c>
      <c r="X139" s="4" t="str">
        <f ca="1">Tableau1[[#This Row],[Grand Secteur]]&amp;Tableau1[[#This Row],[Industrie]]</f>
        <v>DistributionSpecialty Retailers</v>
      </c>
      <c r="Y139" s="23" cm="1">
        <f t="array" aca="1" ref="Y139" ca="1">IFERROR(_FV(Tableau1[[#This Row],[Code Excel]],"P/E",TRUE),"")</f>
        <v>27.289400000000001</v>
      </c>
      <c r="Z139" s="43" cm="1">
        <f t="array" aca="1" ref="Z139" ca="1">IFERROR(_FV(Tableau1[[#This Row],[Code Excel]],"Employés"),"")</f>
        <v>29666</v>
      </c>
      <c r="AA139" s="46">
        <f ca="1">IFERROR(Tableau1[[#This Row],[Capitalisation boursière]]/Tableau1[[#This Row],[Employés]],"")</f>
        <v>28265.374502797815</v>
      </c>
      <c r="AB139" s="5" t="str">
        <f>IFERROR(Tableau1[[#This Row],[REX (2021)]]/Tableau1[[#This Row],[CA 2024]],"")</f>
        <v/>
      </c>
      <c r="AC139" s="9" t="str">
        <f>IFERROR(_xlfn.XLOOKUP(Tableau1[[#This Row],[Isin]]&amp;1&amp;2021,#REF!,Tableau3[Résultat d''exploitation]),"")</f>
        <v/>
      </c>
      <c r="AD139" s="9" t="str">
        <f>IFERROR(_xlfn.XLOOKUP(Tableau1[[#This Row],[Isin]]&amp;1&amp;2019,#REF!,Tableau3[Chiffre d''affaires]),"")</f>
        <v/>
      </c>
      <c r="AE139" s="9" t="str">
        <f>IFERROR(_xlfn.XLOOKUP(Tableau1[[#This Row],[Isin]]&amp;1&amp;2024,#REF!,Tableau3[Chiffre d''affaires]),"")</f>
        <v/>
      </c>
      <c r="AF139" s="8" t="str">
        <f>IFERROR(IF((Tableau1[[#This Row],[CA 2024]]-Tableau1[[#This Row],[CA 2019]])/Tableau1[[#This Row],[CA 2019]]=-1,"",(Tableau1[[#This Row],[CA 2024]]-Tableau1[[#This Row],[CA 2019]])/Tableau1[[#This Row],[CA 2019]]),"")</f>
        <v/>
      </c>
      <c r="AG139" s="9" t="str">
        <f>IFERROR(_xlfn.XLOOKUP(Tableau1[[#This Row],[Isin]]&amp;1&amp;2021,#REF!,Tableau3[EBE]),"")</f>
        <v/>
      </c>
      <c r="AH139" s="9" t="str">
        <f>IFERROR(_xlfn.XLOOKUP(Tableau1[[#This Row],[Isin]]&amp;1&amp;2022,#REF!,Tableau3[EBE]),"")</f>
        <v/>
      </c>
      <c r="AI139" s="43" t="s">
        <v>3419</v>
      </c>
      <c r="AJ139" s="43" t="s">
        <v>3150</v>
      </c>
      <c r="AK139" s="43" t="s">
        <v>3149</v>
      </c>
      <c r="AL139" s="43"/>
      <c r="AM139" s="43"/>
      <c r="AN139" s="9" t="str">
        <f>IFERROR(_xlfn.XLOOKUP(Tableau1[[#This Row],[Isin]]&amp;1&amp;2021,#REF!,Tableau3[Chiffre d''affaires]),"")</f>
        <v/>
      </c>
      <c r="AO139" s="43" cm="1">
        <f t="array" aca="1" ref="AO139" ca="1">_FV(Tableau1[[#This Row],[Code Excel]],"P/E",TRUE)</f>
        <v>27.289400000000001</v>
      </c>
      <c r="AP139" s="43" t="str">
        <f>IFERROR(_xlfn.XLOOKUP(Tableau1[[#This Row],[Isin]]&amp;1&amp;2023,#REF!,Tableau3[Résultat Net (PdG)]),"")</f>
        <v/>
      </c>
      <c r="AQ139" s="43">
        <f>IF(IFERROR(_xlfn.XLOOKUP(Tableau1[[#This Row],[Isin]]&amp;1&amp;2022,#REF!,Tableau3[Résultat Net (PdG)]),"")="",Tableau1[[#This Row],[RN Groupe 2022
Manuel]],IFERROR(_xlfn.XLOOKUP(Tableau1[[#This Row],[Isin]]&amp;1&amp;2022,#REF!,Tableau3[Résultat Net (PdG)]),""))</f>
        <v>0</v>
      </c>
      <c r="AR139" s="43"/>
      <c r="AS139" s="43">
        <f>IF(IFERROR(_xlfn.XLOOKUP(Tableau1[[#This Row],[Isin]]&amp;1&amp;2021,#REF!,Tableau3[Résultat Net (PdG)]),"")="",Tableau1[[#This Row],[RN Groupe 2021
Manuel]],IFERROR(_xlfn.XLOOKUP(Tableau1[[#This Row],[Isin]]&amp;1&amp;2021,#REF!,Tableau3[Résultat Net (PdG)]),""))</f>
        <v>0</v>
      </c>
      <c r="AT139" s="43"/>
      <c r="AU139" s="43" t="str">
        <f>IFERROR(_xlfn.XLOOKUP(Tableau1[[#This Row],[Isin]]&amp;1&amp;2020,#REF!,Tableau3[Résultat Net (PdG)]),"")</f>
        <v/>
      </c>
      <c r="AV139" s="43" t="str">
        <f>IFERROR(_xlfn.XLOOKUP(Tableau1[[#This Row],[Isin]]&amp;1&amp;2019,#REF!,Tableau3[Résultat Net (PdG)]),"")</f>
        <v/>
      </c>
      <c r="AW139" s="43" t="str">
        <f>IFERROR(_xlfn.XLOOKUP(Tableau1[[#This Row],[Isin]]&amp;1&amp;2018,#REF!,Tableau3[Résultat Net (PdG)]),"")</f>
        <v/>
      </c>
      <c r="AX139" s="43" t="str">
        <f>IFERROR(_xlfn.XLOOKUP(Tableau1[[#This Row],[Isin]]&amp;1&amp;2017,#REF!,Tableau3[Résultat Net (PdG)]),"")</f>
        <v/>
      </c>
      <c r="AY139" s="43" t="str">
        <f>IFERROR(_xlfn.XLOOKUP(Tableau1[[#This Row],[Isin]]&amp;1&amp;2016,#REF!,Tableau3[Résultat Net (PdG)]),"")</f>
        <v/>
      </c>
      <c r="AZ139" s="137" t="str">
        <f ca="1">IFERROR(Tableau1[[#This Row],[Capitalisation boursière]]/Tableau1[[#This Row],[RN Groupe 2023]],"")</f>
        <v/>
      </c>
      <c r="BA139" s="4" t="str" cm="1">
        <f t="array" aca="1" ref="BA139" ca="1">IFERROR(_FV(Tableau1[[#This Row],[Code Excel]],"Industrie"),"")</f>
        <v>Specialty Retailers</v>
      </c>
      <c r="BB139" s="43" t="s">
        <v>3477</v>
      </c>
      <c r="BC139" s="43" t="str">
        <f>IFERROR(_xlfn.XLOOKUP(Tableau1[[#This Row],[Isin]]&amp;1&amp;2016,#REF!,Tableau3[Capi]),"")</f>
        <v/>
      </c>
      <c r="BD139" s="43" t="str">
        <f>IFERROR(_xlfn.XLOOKUP(Tableau1[[#This Row],[Isin]]&amp;1&amp;2017,#REF!,Tableau3[Capi]),"")</f>
        <v/>
      </c>
      <c r="BE139" s="43" t="str">
        <f>IFERROR(_xlfn.XLOOKUP(Tableau1[[#This Row],[Isin]]&amp;1&amp;2018,#REF!,Tableau3[Capi]),"")</f>
        <v/>
      </c>
      <c r="BF139" s="43" t="str">
        <f>IFERROR(_xlfn.XLOOKUP(Tableau1[[#This Row],[Isin]]&amp;1&amp;2019,#REF!,Tableau3[Capi]),"")</f>
        <v/>
      </c>
      <c r="BG139" s="43" t="str">
        <f>IFERROR(_xlfn.XLOOKUP(Tableau1[[#This Row],[Isin]]&amp;1&amp;2020,#REF!,Tableau3[Capi]),"")</f>
        <v/>
      </c>
      <c r="BH139" s="43">
        <f>IF(IFERROR(_xlfn.XLOOKUP(Tableau1[[#This Row],[Isin]]&amp;1&amp;2021,#REF!,Tableau3[Capi]),"")="",Tableau1[[#This Row],[Capitalisation 2021
Manuel]],IFERROR(_xlfn.XLOOKUP(Tableau1[[#This Row],[Isin]]&amp;1&amp;2021,#REF!,Tableau3[Capi]),""))</f>
        <v>0</v>
      </c>
      <c r="BI139" s="43"/>
      <c r="BJ139" s="43">
        <f>IF(IFERROR(_xlfn.XLOOKUP(Tableau1[[#This Row],[Isin]]&amp;1&amp;2022,#REF!,Tableau3[Capi]),"")="",Tableau1[[#This Row],[Capitalisation 2022
Manuel]],IFERROR(_xlfn.XLOOKUP(Tableau1[[#This Row],[Isin]]&amp;1&amp;2022,#REF!,Tableau3[Capi]),""))</f>
        <v>0</v>
      </c>
      <c r="BK139" s="43"/>
      <c r="BL139" s="43">
        <f ca="1">Tableau1[[#This Row],[Capitalisation boursière]]</f>
        <v>838520600</v>
      </c>
      <c r="BM139" s="162" t="str" cm="1">
        <f t="array" aca="1" ref="BM139" ca="1">_FV(Tableau1[[#This Row],[Code Excel]],"Description")</f>
        <v>Fnac Darty sa, anciennement Groupe Fnac sa, est une société basée en France. La Société est un détaillant de produits culturels, de loisirs et technologiques destinés au grand public en magasin et sur Internet, en France et dans le monde entier : Espagne, Portugal, Brésil, Belgique, Suisse et Maroc. Elle poursuit son élan dans l'économie de la réparation à travers sa filiale NSF. Fnac Darty sa propose à ses clients deux produits tels que : des produits éditoriaux (musique, vidéo, livres et papeterie, jeux vidéo) et des produits techniques (photo, télévision (TV)-vidéo, audio, ordinateurs, entre autres). Le téléphone, la réservation de billets et les activités de voyage complètent l'offre.</v>
      </c>
      <c r="BN139" s="43"/>
      <c r="BO139" s="43"/>
      <c r="BP139" s="43"/>
      <c r="BQ139" s="43"/>
      <c r="BR139" s="4"/>
      <c r="BS139" s="21"/>
      <c r="BT139" s="13"/>
      <c r="BU139" s="13"/>
      <c r="BV139" s="13"/>
      <c r="BW139" s="13"/>
      <c r="BX139" s="13"/>
      <c r="BY139" s="3"/>
      <c r="BZ139" s="58"/>
      <c r="CA139" s="59"/>
    </row>
    <row r="140" spans="3:79">
      <c r="C140" s="42"/>
      <c r="D140" s="42">
        <f>IF(Tableau1[[#This Row],[Isin]]="",99,Tableau1[[#This Row],[Intérêt]]+Tableau1[[#This Row],[Valeur d''intérêt]]+Tableau1[[#This Row],[N° Portefeuille]])</f>
        <v>30</v>
      </c>
      <c r="E140" s="42"/>
      <c r="F140" s="42">
        <f>IF(Tableau1[[#This Row],[Portefeuille]]="p",0,Tableau1[[#This Row],[F. Investissement
Niveau d''intérêt]]*10)</f>
        <v>30</v>
      </c>
      <c r="G140" s="42">
        <f>IF(Tableau1[[#This Row],[Portefeuille]]="p",3,0)</f>
        <v>0</v>
      </c>
      <c r="H140" s="42">
        <v>3</v>
      </c>
      <c r="I140" s="42">
        <v>3</v>
      </c>
      <c r="J140" s="42" t="s">
        <v>4357</v>
      </c>
      <c r="K140" s="43"/>
      <c r="L140" s="16">
        <v>1</v>
      </c>
      <c r="M14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0" s="44" t="s">
        <v>3806</v>
      </c>
      <c r="O140" s="44" t="s">
        <v>4395</v>
      </c>
      <c r="P140" s="4" t="s">
        <v>84</v>
      </c>
      <c r="Q140" s="6" t="s">
        <v>85</v>
      </c>
      <c r="R140" s="6"/>
      <c r="S140" s="6" t="s">
        <v>1251</v>
      </c>
      <c r="T140" s="6" t="e" vm="127">
        <v>#VALUE!</v>
      </c>
      <c r="U140" s="46" cm="1">
        <f t="array" aca="1" ref="U140" ca="1">IFERROR(_FV(Tableau1[[#This Row],[Code Excel]],"Capitalisation boursière",TRUE),"")</f>
        <v>1565284000</v>
      </c>
      <c r="V140" s="4" t="str" cm="1">
        <f t="array" aca="1" ref="V140" ca="1">IFERROR(_FV(Tableau1[[#This Row],[Code Excel]],"Industrie"),"")</f>
        <v>Automobiles &amp; Auto Parts</v>
      </c>
      <c r="W140" s="4" t="s">
        <v>1224</v>
      </c>
      <c r="X140" s="4" t="str">
        <f ca="1">Tableau1[[#This Row],[Grand Secteur]]&amp;Tableau1[[#This Row],[Industrie]]</f>
        <v>AutomobileAutomobiles &amp; Auto Parts</v>
      </c>
      <c r="Y140" s="23" cm="1">
        <f t="array" aca="1" ref="Y140" ca="1">IFERROR(_FV(Tableau1[[#This Row],[Code Excel]],"P/E",TRUE),"")</f>
        <v>0</v>
      </c>
      <c r="Z140" s="43" cm="1">
        <f t="array" aca="1" ref="Z140" ca="1">IFERROR(_FV(Tableau1[[#This Row],[Code Excel]],"Employés"),"")</f>
        <v>153462</v>
      </c>
      <c r="AA140" s="46">
        <f ca="1">IFERROR(Tableau1[[#This Row],[Capitalisation boursière]]/Tableau1[[#This Row],[Employés]],"")</f>
        <v>10199.814937899937</v>
      </c>
      <c r="AB140" s="5" t="str">
        <f>IFERROR(Tableau1[[#This Row],[REX (2021)]]/Tableau1[[#This Row],[CA 2024]],"")</f>
        <v/>
      </c>
      <c r="AC140" s="9" t="str">
        <f>IFERROR(_xlfn.XLOOKUP(Tableau1[[#This Row],[Isin]]&amp;1&amp;2021,#REF!,Tableau3[Résultat d''exploitation]),"")</f>
        <v/>
      </c>
      <c r="AD140" s="9" t="str">
        <f>IFERROR(_xlfn.XLOOKUP(Tableau1[[#This Row],[Isin]]&amp;1&amp;2019,#REF!,Tableau3[Chiffre d''affaires]),"")</f>
        <v/>
      </c>
      <c r="AE140" s="9" t="str">
        <f>IFERROR(_xlfn.XLOOKUP(Tableau1[[#This Row],[Isin]]&amp;1&amp;2024,#REF!,Tableau3[Chiffre d''affaires]),"")</f>
        <v/>
      </c>
      <c r="AF140" s="8" t="str">
        <f>IFERROR(IF((Tableau1[[#This Row],[CA 2024]]-Tableau1[[#This Row],[CA 2019]])/Tableau1[[#This Row],[CA 2019]]=-1,"",(Tableau1[[#This Row],[CA 2024]]-Tableau1[[#This Row],[CA 2019]])/Tableau1[[#This Row],[CA 2019]]),"")</f>
        <v/>
      </c>
      <c r="AG140" s="9" t="str">
        <f>IFERROR(_xlfn.XLOOKUP(Tableau1[[#This Row],[Isin]]&amp;1&amp;2021,#REF!,Tableau3[EBE]),"")</f>
        <v/>
      </c>
      <c r="AH140" s="9" t="str">
        <f>IFERROR(_xlfn.XLOOKUP(Tableau1[[#This Row],[Isin]]&amp;1&amp;2022,#REF!,Tableau3[EBE]),"")</f>
        <v/>
      </c>
      <c r="AI140" s="43" t="s">
        <v>4329</v>
      </c>
      <c r="AJ140" s="43" t="s">
        <v>3150</v>
      </c>
      <c r="AK140" s="43" t="s">
        <v>3148</v>
      </c>
      <c r="AL140" s="43" t="s">
        <v>3149</v>
      </c>
      <c r="AM140" s="43"/>
      <c r="AN140" s="9" t="str">
        <f>IFERROR(_xlfn.XLOOKUP(Tableau1[[#This Row],[Isin]]&amp;1&amp;2021,#REF!,Tableau3[Chiffre d''affaires]),"")</f>
        <v/>
      </c>
      <c r="AO140" s="43" cm="1">
        <f t="array" aca="1" ref="AO140" ca="1">_FV(Tableau1[[#This Row],[Code Excel]],"P/E",TRUE)</f>
        <v>0</v>
      </c>
      <c r="AP140" s="43" t="str">
        <f>IFERROR(_xlfn.XLOOKUP(Tableau1[[#This Row],[Isin]]&amp;1&amp;2023,#REF!,Tableau3[Résultat Net (PdG)]),"")</f>
        <v/>
      </c>
      <c r="AQ140" s="43">
        <f>IF(IFERROR(_xlfn.XLOOKUP(Tableau1[[#This Row],[Isin]]&amp;1&amp;2022,#REF!,Tableau3[Résultat Net (PdG)]),"")="",Tableau1[[#This Row],[RN Groupe 2022
Manuel]],IFERROR(_xlfn.XLOOKUP(Tableau1[[#This Row],[Isin]]&amp;1&amp;2022,#REF!,Tableau3[Résultat Net (PdG)]),""))</f>
        <v>0</v>
      </c>
      <c r="AR140" s="43"/>
      <c r="AS140" s="43">
        <f>IF(IFERROR(_xlfn.XLOOKUP(Tableau1[[#This Row],[Isin]]&amp;1&amp;2021,#REF!,Tableau3[Résultat Net (PdG)]),"")="",Tableau1[[#This Row],[RN Groupe 2021
Manuel]],IFERROR(_xlfn.XLOOKUP(Tableau1[[#This Row],[Isin]]&amp;1&amp;2021,#REF!,Tableau3[Résultat Net (PdG)]),""))</f>
        <v>0</v>
      </c>
      <c r="AT140" s="43"/>
      <c r="AU140" s="43" t="str">
        <f>IFERROR(_xlfn.XLOOKUP(Tableau1[[#This Row],[Isin]]&amp;1&amp;2020,#REF!,Tableau3[Résultat Net (PdG)]),"")</f>
        <v/>
      </c>
      <c r="AV140" s="43" t="str">
        <f>IFERROR(_xlfn.XLOOKUP(Tableau1[[#This Row],[Isin]]&amp;1&amp;2019,#REF!,Tableau3[Résultat Net (PdG)]),"")</f>
        <v/>
      </c>
      <c r="AW140" s="43" t="str">
        <f>IFERROR(_xlfn.XLOOKUP(Tableau1[[#This Row],[Isin]]&amp;1&amp;2018,#REF!,Tableau3[Résultat Net (PdG)]),"")</f>
        <v/>
      </c>
      <c r="AX140" s="43" t="str">
        <f>IFERROR(_xlfn.XLOOKUP(Tableau1[[#This Row],[Isin]]&amp;1&amp;2017,#REF!,Tableau3[Résultat Net (PdG)]),"")</f>
        <v/>
      </c>
      <c r="AY140" s="43" t="str">
        <f>IFERROR(_xlfn.XLOOKUP(Tableau1[[#This Row],[Isin]]&amp;1&amp;2016,#REF!,Tableau3[Résultat Net (PdG)]),"")</f>
        <v/>
      </c>
      <c r="AZ140" s="137" t="str">
        <f ca="1">IFERROR(Tableau1[[#This Row],[Capitalisation boursière]]/Tableau1[[#This Row],[RN Groupe 2023]],"")</f>
        <v/>
      </c>
      <c r="BA140" s="4" t="str" cm="1">
        <f t="array" aca="1" ref="BA140" ca="1">IFERROR(_FV(Tableau1[[#This Row],[Code Excel]],"Industrie"),"")</f>
        <v>Automobiles &amp; Auto Parts</v>
      </c>
      <c r="BB140" s="43" t="s">
        <v>3477</v>
      </c>
      <c r="BC140" s="43" t="str">
        <f>IFERROR(_xlfn.XLOOKUP(Tableau1[[#This Row],[Isin]]&amp;1&amp;2016,#REF!,Tableau3[Capi]),"")</f>
        <v/>
      </c>
      <c r="BD140" s="43" t="str">
        <f>IFERROR(_xlfn.XLOOKUP(Tableau1[[#This Row],[Isin]]&amp;1&amp;2017,#REF!,Tableau3[Capi]),"")</f>
        <v/>
      </c>
      <c r="BE140" s="43" t="str">
        <f>IFERROR(_xlfn.XLOOKUP(Tableau1[[#This Row],[Isin]]&amp;1&amp;2018,#REF!,Tableau3[Capi]),"")</f>
        <v/>
      </c>
      <c r="BF140" s="43" t="str">
        <f>IFERROR(_xlfn.XLOOKUP(Tableau1[[#This Row],[Isin]]&amp;1&amp;2019,#REF!,Tableau3[Capi]),"")</f>
        <v/>
      </c>
      <c r="BG140" s="43" t="str">
        <f>IFERROR(_xlfn.XLOOKUP(Tableau1[[#This Row],[Isin]]&amp;1&amp;2020,#REF!,Tableau3[Capi]),"")</f>
        <v/>
      </c>
      <c r="BH140" s="43">
        <f>IF(IFERROR(_xlfn.XLOOKUP(Tableau1[[#This Row],[Isin]]&amp;1&amp;2021,#REF!,Tableau3[Capi]),"")="",Tableau1[[#This Row],[Capitalisation 2021
Manuel]],IFERROR(_xlfn.XLOOKUP(Tableau1[[#This Row],[Isin]]&amp;1&amp;2021,#REF!,Tableau3[Capi]),""))</f>
        <v>0</v>
      </c>
      <c r="BI140" s="43"/>
      <c r="BJ140" s="43">
        <f>IF(IFERROR(_xlfn.XLOOKUP(Tableau1[[#This Row],[Isin]]&amp;1&amp;2022,#REF!,Tableau3[Capi]),"")="",Tableau1[[#This Row],[Capitalisation 2022
Manuel]],IFERROR(_xlfn.XLOOKUP(Tableau1[[#This Row],[Isin]]&amp;1&amp;2022,#REF!,Tableau3[Capi]),""))</f>
        <v>0</v>
      </c>
      <c r="BK140" s="43"/>
      <c r="BL140" s="43">
        <f ca="1">Tableau1[[#This Row],[Capitalisation boursière]]</f>
        <v>1565284000</v>
      </c>
      <c r="BM140" s="162" t="str" cm="1">
        <f t="array" aca="1" ref="BM140" ca="1">_FV(Tableau1[[#This Row],[Code Excel]],"Description")</f>
        <v>Forvia se anciennement Faurecia se est un équipementier automobile basé en France. La société présente ses activités dans quatre secteurs principaux : Faurecia Seating, Faurecia Interiors, Faurecia Clarion Electronics et Faurecia Clean Mobility. Faurecia Seating développe des systèmes de sièges qui optimisent le confort et la sécurité des utilisateurs. Elle développe également des solutions pour le confort thermique et postural, la santé et le bien-être et la sécurité avancée. Le segment Faurecia Interiors développe des systèmes intérieurs complets, y compris des tableaux de bord, des panneaux de porte, des consoles centrales ainsi que des surfaces intelligentes, des solutions pour des interfaces homme-machine intuitives et un confort et une qualité de l'air personnalisés dans l'habitacle. Le segment Faurecia Clarion Electronics développe et produit des systèmes d'infodivertissement embarqués, des systèmes sonores entièrement numériques, une assistance avancée à la conduite, des services de connectivité et de cloud pour les clients du monde entier. Le segment mobilité propre de Faurecia développe des solutions pour conduire la mobilité et l'industrie vers zéro émission.</v>
      </c>
      <c r="BN140" s="43"/>
      <c r="BO140" s="43"/>
      <c r="BP140" s="43"/>
      <c r="BQ140" s="43"/>
      <c r="BR140" s="4"/>
      <c r="BS140" s="21"/>
      <c r="BT140" s="13"/>
      <c r="BU140" s="13"/>
      <c r="BV140" s="13"/>
      <c r="BW140" s="13"/>
      <c r="BX140" s="13"/>
      <c r="BY140" s="3"/>
      <c r="BZ140" s="58"/>
      <c r="CA140" s="59"/>
    </row>
    <row r="141" spans="3:79">
      <c r="C141" s="43"/>
      <c r="D141" s="42">
        <f>IF(Tableau1[[#This Row],[Isin]]="",99,Tableau1[[#This Row],[Intérêt]]+Tableau1[[#This Row],[Valeur d''intérêt]]+Tableau1[[#This Row],[N° Portefeuille]])</f>
        <v>30</v>
      </c>
      <c r="E141" s="43"/>
      <c r="F141" s="42">
        <f>IF(Tableau1[[#This Row],[Portefeuille]]="p",0,Tableau1[[#This Row],[F. Investissement
Niveau d''intérêt]]*10)</f>
        <v>30</v>
      </c>
      <c r="G141" s="43">
        <f>IF(Tableau1[[#This Row],[Portefeuille]]="p",3,0)</f>
        <v>0</v>
      </c>
      <c r="H141" s="42">
        <v>3</v>
      </c>
      <c r="I141" s="43">
        <v>4</v>
      </c>
      <c r="J141" s="43"/>
      <c r="K141" s="43"/>
      <c r="L141" s="16">
        <v>0</v>
      </c>
      <c r="M14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1" s="44" t="s">
        <v>3808</v>
      </c>
      <c r="O141" s="45"/>
      <c r="P141" s="4" t="s">
        <v>564</v>
      </c>
      <c r="Q141" s="4"/>
      <c r="R141" s="6"/>
      <c r="S141" s="6" t="s">
        <v>3809</v>
      </c>
      <c r="T141" s="6" t="e" vm="128">
        <v>#VALUE!</v>
      </c>
      <c r="U141" s="46" cm="1">
        <f t="array" aca="1" ref="U141" ca="1">IFERROR(_FV(Tableau1[[#This Row],[Code Excel]],"Capitalisation boursière",TRUE),"")</f>
        <v>13482350000</v>
      </c>
      <c r="V141" s="4" t="str" cm="1">
        <f t="array" aca="1" ref="V141" ca="1">IFERROR(_FV(Tableau1[[#This Row],[Code Excel]],"Industrie"),"")</f>
        <v>Healthcare Providers &amp; Services</v>
      </c>
      <c r="W141" s="4" t="s">
        <v>1586</v>
      </c>
      <c r="X141" s="4" t="str">
        <f ca="1">Tableau1[[#This Row],[Grand Secteur]]&amp;Tableau1[[#This Row],[Industrie]]</f>
        <v>SantéHealthcare Providers &amp; Services</v>
      </c>
      <c r="Y141" s="23" cm="1">
        <f t="array" aca="1" ref="Y141" ca="1">IFERROR(_FV(Tableau1[[#This Row],[Code Excel]],"P/E",TRUE),"")</f>
        <v>24.67</v>
      </c>
      <c r="Z141" s="43" cm="1">
        <f t="array" aca="1" ref="Z141" ca="1">IFERROR(_FV(Tableau1[[#This Row],[Code Excel]],"Employés"),"")</f>
        <v>111513</v>
      </c>
      <c r="AA141" s="49">
        <f ca="1">IFERROR(Tableau1[[#This Row],[Capitalisation boursière]]/Tableau1[[#This Row],[Employés]],"")</f>
        <v>120903.84080779819</v>
      </c>
      <c r="AB141" s="5" t="str">
        <f>IFERROR(Tableau1[[#This Row],[REX (2021)]]/Tableau1[[#This Row],[CA 2024]],"")</f>
        <v/>
      </c>
      <c r="AC141" s="9" t="str">
        <f>IFERROR(_xlfn.XLOOKUP(Tableau1[[#This Row],[Isin]]&amp;1&amp;2021,#REF!,Tableau3[Résultat d''exploitation]),"")</f>
        <v/>
      </c>
      <c r="AD141" s="9" t="str">
        <f>IFERROR(_xlfn.XLOOKUP(Tableau1[[#This Row],[Isin]]&amp;1&amp;2019,#REF!,Tableau3[Chiffre d''affaires]),"")</f>
        <v/>
      </c>
      <c r="AE141" s="9" t="str">
        <f>IFERROR(_xlfn.XLOOKUP(Tableau1[[#This Row],[Isin]]&amp;1&amp;2024,#REF!,Tableau3[Chiffre d''affaires]),"")</f>
        <v/>
      </c>
      <c r="AF141" s="8" t="str">
        <f>IFERROR(IF((Tableau1[[#This Row],[CA 2024]]-Tableau1[[#This Row],[CA 2019]])/Tableau1[[#This Row],[CA 2019]]=-1,"",(Tableau1[[#This Row],[CA 2024]]-Tableau1[[#This Row],[CA 2019]])/Tableau1[[#This Row],[CA 2019]]),"")</f>
        <v/>
      </c>
      <c r="AG141" s="9" t="str">
        <f>IFERROR(_xlfn.XLOOKUP(Tableau1[[#This Row],[Isin]]&amp;1&amp;2021,#REF!,Tableau3[EBE]),"")</f>
        <v/>
      </c>
      <c r="AH141" s="9" t="str">
        <f>IFERROR(_xlfn.XLOOKUP(Tableau1[[#This Row],[Isin]]&amp;1&amp;2022,#REF!,Tableau3[EBE]),"")</f>
        <v/>
      </c>
      <c r="AI141" s="13" t="s">
        <v>4324</v>
      </c>
      <c r="AJ141" s="13" t="s">
        <v>4325</v>
      </c>
      <c r="AK141" s="13" t="s">
        <v>3148</v>
      </c>
      <c r="AL141" s="43"/>
      <c r="AM141" s="43"/>
      <c r="AN141" s="9" t="str">
        <f>IFERROR(_xlfn.XLOOKUP(Tableau1[[#This Row],[Isin]]&amp;1&amp;2021,#REF!,Tableau3[Chiffre d''affaires]),"")</f>
        <v/>
      </c>
      <c r="AO141" s="43" cm="1">
        <f t="array" aca="1" ref="AO141" ca="1">_FV(Tableau1[[#This Row],[Code Excel]],"P/E",TRUE)</f>
        <v>24.67</v>
      </c>
      <c r="AP141" s="43" t="str">
        <f>IFERROR(_xlfn.XLOOKUP(Tableau1[[#This Row],[Isin]]&amp;1&amp;2023,#REF!,Tableau3[Résultat Net (PdG)]),"")</f>
        <v/>
      </c>
      <c r="AQ141" s="43">
        <f>IF(IFERROR(_xlfn.XLOOKUP(Tableau1[[#This Row],[Isin]]&amp;1&amp;2022,#REF!,Tableau3[Résultat Net (PdG)]),"")="",Tableau1[[#This Row],[RN Groupe 2022
Manuel]],IFERROR(_xlfn.XLOOKUP(Tableau1[[#This Row],[Isin]]&amp;1&amp;2022,#REF!,Tableau3[Résultat Net (PdG)]),""))</f>
        <v>0</v>
      </c>
      <c r="AR141" s="43"/>
      <c r="AS141" s="43">
        <f>IF(IFERROR(_xlfn.XLOOKUP(Tableau1[[#This Row],[Isin]]&amp;1&amp;2021,#REF!,Tableau3[Résultat Net (PdG)]),"")="",Tableau1[[#This Row],[RN Groupe 2021
Manuel]],IFERROR(_xlfn.XLOOKUP(Tableau1[[#This Row],[Isin]]&amp;1&amp;2021,#REF!,Tableau3[Résultat Net (PdG)]),""))</f>
        <v>0</v>
      </c>
      <c r="AT141" s="43"/>
      <c r="AU141" s="43" t="str">
        <f>IFERROR(_xlfn.XLOOKUP(Tableau1[[#This Row],[Isin]]&amp;1&amp;2020,#REF!,Tableau3[Résultat Net (PdG)]),"")</f>
        <v/>
      </c>
      <c r="AV141" s="43" t="str">
        <f>IFERROR(_xlfn.XLOOKUP(Tableau1[[#This Row],[Isin]]&amp;1&amp;2019,#REF!,Tableau3[Résultat Net (PdG)]),"")</f>
        <v/>
      </c>
      <c r="AW141" s="43" t="str">
        <f>IFERROR(_xlfn.XLOOKUP(Tableau1[[#This Row],[Isin]]&amp;1&amp;2018,#REF!,Tableau3[Résultat Net (PdG)]),"")</f>
        <v/>
      </c>
      <c r="AX141" s="43" t="str">
        <f>IFERROR(_xlfn.XLOOKUP(Tableau1[[#This Row],[Isin]]&amp;1&amp;2017,#REF!,Tableau3[Résultat Net (PdG)]),"")</f>
        <v/>
      </c>
      <c r="AY141" s="43" t="str">
        <f>IFERROR(_xlfn.XLOOKUP(Tableau1[[#This Row],[Isin]]&amp;1&amp;2016,#REF!,Tableau3[Résultat Net (PdG)]),"")</f>
        <v/>
      </c>
      <c r="AZ141" s="137" t="str">
        <f ca="1">IFERROR(Tableau1[[#This Row],[Capitalisation boursière]]/Tableau1[[#This Row],[RN Groupe 2023]],"")</f>
        <v/>
      </c>
      <c r="BA141" s="4" t="str" cm="1">
        <f t="array" aca="1" ref="BA141" ca="1">IFERROR(_FV(Tableau1[[#This Row],[Code Excel]],"Industrie"),"")</f>
        <v>Healthcare Providers &amp; Services</v>
      </c>
      <c r="BB141" s="43" t="s">
        <v>3487</v>
      </c>
      <c r="BC141" s="43" t="str">
        <f>IFERROR(_xlfn.XLOOKUP(Tableau1[[#This Row],[Isin]]&amp;1&amp;2016,#REF!,Tableau3[Capi]),"")</f>
        <v/>
      </c>
      <c r="BD141" s="43" t="str">
        <f>IFERROR(_xlfn.XLOOKUP(Tableau1[[#This Row],[Isin]]&amp;1&amp;2017,#REF!,Tableau3[Capi]),"")</f>
        <v/>
      </c>
      <c r="BE141" s="43" t="str">
        <f>IFERROR(_xlfn.XLOOKUP(Tableau1[[#This Row],[Isin]]&amp;1&amp;2018,#REF!,Tableau3[Capi]),"")</f>
        <v/>
      </c>
      <c r="BF141" s="43" t="str">
        <f>IFERROR(_xlfn.XLOOKUP(Tableau1[[#This Row],[Isin]]&amp;1&amp;2019,#REF!,Tableau3[Capi]),"")</f>
        <v/>
      </c>
      <c r="BG141" s="43" t="str">
        <f>IFERROR(_xlfn.XLOOKUP(Tableau1[[#This Row],[Isin]]&amp;1&amp;2020,#REF!,Tableau3[Capi]),"")</f>
        <v/>
      </c>
      <c r="BH141" s="43">
        <f>IF(IFERROR(_xlfn.XLOOKUP(Tableau1[[#This Row],[Isin]]&amp;1&amp;2021,#REF!,Tableau3[Capi]),"")="",Tableau1[[#This Row],[Capitalisation 2021
Manuel]],IFERROR(_xlfn.XLOOKUP(Tableau1[[#This Row],[Isin]]&amp;1&amp;2021,#REF!,Tableau3[Capi]),""))</f>
        <v>0</v>
      </c>
      <c r="BI141" s="43"/>
      <c r="BJ141" s="43">
        <f>IF(IFERROR(_xlfn.XLOOKUP(Tableau1[[#This Row],[Isin]]&amp;1&amp;2022,#REF!,Tableau3[Capi]),"")="",Tableau1[[#This Row],[Capitalisation 2022
Manuel]],IFERROR(_xlfn.XLOOKUP(Tableau1[[#This Row],[Isin]]&amp;1&amp;2022,#REF!,Tableau3[Capi]),""))</f>
        <v>0</v>
      </c>
      <c r="BK141" s="43"/>
      <c r="BL141" s="43">
        <f ca="1">Tableau1[[#This Row],[Capitalisation boursière]]</f>
        <v>13482350000</v>
      </c>
      <c r="BM141" s="162" t="str" cm="1">
        <f t="array" aca="1" ref="BM141" ca="1">_FV(Tableau1[[#This Row],[Code Excel]],"Description")</f>
        <v>Fresenius Medical Care AG, anciennement Fresenius Medical Care AG &amp; Co. KGaA est une société basée en Allemagne, qui est un institut de dialyse rénale. La Société fournit des soins de dialyse et des services connexes aux personnes souffrant d'insuffisance rénale terminale (IRT), ainsi que d'autres services de santé. La Société développe et fabrique également une grande variété de produits de soins de santé, y compris des produits de dialyse et non dialysés. Ses produits de dialyse comprennent des machines d'hémodialyse, des cycleurs péritonéaux, des dialyseurs, des solutions péritonéales et des granulés, des lignées sanguines, des produits pharmaceutiques rénaux et des systèmes de traitement de l'eau. Ses produits non dialysés comprennent des produits cardiopulmonaires aigus et des produits d'aphérèse. La Société fournit aux cliniques de dialyse qu'elle possède, exploite ou gère une vaste gamme de produits, et vend des produits de dialyse à d'autres fournisseurs de services de dialyse.</v>
      </c>
      <c r="BN141" s="43"/>
      <c r="BO141" s="43"/>
      <c r="BP141" s="43"/>
      <c r="BQ141" s="43"/>
      <c r="BR141" s="4"/>
      <c r="BS141" s="21"/>
      <c r="BT141" s="13"/>
      <c r="BU141" s="13"/>
      <c r="BV141" s="13"/>
      <c r="BW141" s="13"/>
      <c r="BX141" s="13"/>
      <c r="BY141" s="3"/>
      <c r="BZ141" s="58"/>
      <c r="CA141" s="59"/>
    </row>
    <row r="142" spans="3:79">
      <c r="C142" s="42"/>
      <c r="D142" s="42">
        <f>IF(Tableau1[[#This Row],[Isin]]="",99,Tableau1[[#This Row],[Intérêt]]+Tableau1[[#This Row],[Valeur d''intérêt]]+Tableau1[[#This Row],[N° Portefeuille]])</f>
        <v>30</v>
      </c>
      <c r="E142" s="42"/>
      <c r="F142" s="42">
        <f>IF(Tableau1[[#This Row],[Portefeuille]]="p",0,Tableau1[[#This Row],[F. Investissement
Niveau d''intérêt]]*10)</f>
        <v>30</v>
      </c>
      <c r="G142" s="42">
        <f>IF(Tableau1[[#This Row],[Portefeuille]]="p",3,0)</f>
        <v>0</v>
      </c>
      <c r="H142" s="42">
        <v>3</v>
      </c>
      <c r="I142" s="42">
        <v>4</v>
      </c>
      <c r="J142" s="42"/>
      <c r="K142" s="43"/>
      <c r="L142" s="16">
        <v>0</v>
      </c>
      <c r="M14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2" s="44" t="s">
        <v>3812</v>
      </c>
      <c r="O142" s="45"/>
      <c r="P142" s="4" t="s">
        <v>564</v>
      </c>
      <c r="Q142" s="4"/>
      <c r="R142" s="6"/>
      <c r="S142" s="6" t="s">
        <v>3813</v>
      </c>
      <c r="T142" s="6" t="e" vm="129">
        <v>#VALUE!</v>
      </c>
      <c r="U142" s="46" cm="1">
        <f t="array" aca="1" ref="U142" ca="1">IFERROR(_FV(Tableau1[[#This Row],[Code Excel]],"Capitalisation boursière",TRUE),"")</f>
        <v>22535120000</v>
      </c>
      <c r="V142" s="4" t="str" cm="1">
        <f t="array" aca="1" ref="V142" ca="1">IFERROR(_FV(Tableau1[[#This Row],[Code Excel]],"Industrie"),"")</f>
        <v>Healthcare Providers &amp; Services</v>
      </c>
      <c r="W142" s="4" t="s">
        <v>1586</v>
      </c>
      <c r="X142" s="4" t="str">
        <f ca="1">Tableau1[[#This Row],[Grand Secteur]]&amp;Tableau1[[#This Row],[Industrie]]</f>
        <v>SantéHealthcare Providers &amp; Services</v>
      </c>
      <c r="Y142" s="23" cm="1">
        <f t="array" aca="1" ref="Y142" ca="1">IFERROR(_FV(Tableau1[[#This Row],[Code Excel]],"P/E",TRUE),"")</f>
        <v>25.72</v>
      </c>
      <c r="Z142" s="43" cm="1">
        <f t="array" aca="1" ref="Z142" ca="1">IFERROR(_FV(Tableau1[[#This Row],[Code Excel]],"Employés"),"")</f>
        <v>177091</v>
      </c>
      <c r="AA142" s="49">
        <f ca="1">IFERROR(Tableau1[[#This Row],[Capitalisation boursière]]/Tableau1[[#This Row],[Employés]],"")</f>
        <v>127251.63898786499</v>
      </c>
      <c r="AB142" s="5" t="str">
        <f>IFERROR(Tableau1[[#This Row],[REX (2021)]]/Tableau1[[#This Row],[CA 2024]],"")</f>
        <v/>
      </c>
      <c r="AC142" s="9" t="str">
        <f>IFERROR(_xlfn.XLOOKUP(Tableau1[[#This Row],[Isin]]&amp;1&amp;2021,#REF!,Tableau3[Résultat d''exploitation]),"")</f>
        <v/>
      </c>
      <c r="AD142" s="9" t="str">
        <f>IFERROR(_xlfn.XLOOKUP(Tableau1[[#This Row],[Isin]]&amp;1&amp;2019,#REF!,Tableau3[Chiffre d''affaires]),"")</f>
        <v/>
      </c>
      <c r="AE142" s="9" t="str">
        <f>IFERROR(_xlfn.XLOOKUP(Tableau1[[#This Row],[Isin]]&amp;1&amp;2024,#REF!,Tableau3[Chiffre d''affaires]),"")</f>
        <v/>
      </c>
      <c r="AF142" s="8" t="str">
        <f>IFERROR(IF((Tableau1[[#This Row],[CA 2024]]-Tableau1[[#This Row],[CA 2019]])/Tableau1[[#This Row],[CA 2019]]=-1,"",(Tableau1[[#This Row],[CA 2024]]-Tableau1[[#This Row],[CA 2019]])/Tableau1[[#This Row],[CA 2019]]),"")</f>
        <v/>
      </c>
      <c r="AG142" s="9" t="str">
        <f>IFERROR(_xlfn.XLOOKUP(Tableau1[[#This Row],[Isin]]&amp;1&amp;2021,#REF!,Tableau3[EBE]),"")</f>
        <v/>
      </c>
      <c r="AH142" s="9" t="str">
        <f>IFERROR(_xlfn.XLOOKUP(Tableau1[[#This Row],[Isin]]&amp;1&amp;2022,#REF!,Tableau3[EBE]),"")</f>
        <v/>
      </c>
      <c r="AI142" s="13" t="s">
        <v>4324</v>
      </c>
      <c r="AJ142" s="13" t="s">
        <v>4325</v>
      </c>
      <c r="AK142" s="13" t="s">
        <v>3148</v>
      </c>
      <c r="AL142" s="43"/>
      <c r="AM142" s="43"/>
      <c r="AN142" s="9" t="str">
        <f>IFERROR(_xlfn.XLOOKUP(Tableau1[[#This Row],[Isin]]&amp;1&amp;2021,#REF!,Tableau3[Chiffre d''affaires]),"")</f>
        <v/>
      </c>
      <c r="AO142" s="43" cm="1">
        <f t="array" aca="1" ref="AO142" ca="1">_FV(Tableau1[[#This Row],[Code Excel]],"P/E",TRUE)</f>
        <v>25.72</v>
      </c>
      <c r="AP142" s="43" t="str">
        <f>IFERROR(_xlfn.XLOOKUP(Tableau1[[#This Row],[Isin]]&amp;1&amp;2023,#REF!,Tableau3[Résultat Net (PdG)]),"")</f>
        <v/>
      </c>
      <c r="AQ142" s="43">
        <f>IF(IFERROR(_xlfn.XLOOKUP(Tableau1[[#This Row],[Isin]]&amp;1&amp;2022,#REF!,Tableau3[Résultat Net (PdG)]),"")="",Tableau1[[#This Row],[RN Groupe 2022
Manuel]],IFERROR(_xlfn.XLOOKUP(Tableau1[[#This Row],[Isin]]&amp;1&amp;2022,#REF!,Tableau3[Résultat Net (PdG)]),""))</f>
        <v>0</v>
      </c>
      <c r="AR142" s="43"/>
      <c r="AS142" s="43">
        <f>IF(IFERROR(_xlfn.XLOOKUP(Tableau1[[#This Row],[Isin]]&amp;1&amp;2021,#REF!,Tableau3[Résultat Net (PdG)]),"")="",Tableau1[[#This Row],[RN Groupe 2021
Manuel]],IFERROR(_xlfn.XLOOKUP(Tableau1[[#This Row],[Isin]]&amp;1&amp;2021,#REF!,Tableau3[Résultat Net (PdG)]),""))</f>
        <v>0</v>
      </c>
      <c r="AT142" s="43"/>
      <c r="AU142" s="43" t="str">
        <f>IFERROR(_xlfn.XLOOKUP(Tableau1[[#This Row],[Isin]]&amp;1&amp;2020,#REF!,Tableau3[Résultat Net (PdG)]),"")</f>
        <v/>
      </c>
      <c r="AV142" s="43" t="str">
        <f>IFERROR(_xlfn.XLOOKUP(Tableau1[[#This Row],[Isin]]&amp;1&amp;2019,#REF!,Tableau3[Résultat Net (PdG)]),"")</f>
        <v/>
      </c>
      <c r="AW142" s="43" t="str">
        <f>IFERROR(_xlfn.XLOOKUP(Tableau1[[#This Row],[Isin]]&amp;1&amp;2018,#REF!,Tableau3[Résultat Net (PdG)]),"")</f>
        <v/>
      </c>
      <c r="AX142" s="43" t="str">
        <f>IFERROR(_xlfn.XLOOKUP(Tableau1[[#This Row],[Isin]]&amp;1&amp;2017,#REF!,Tableau3[Résultat Net (PdG)]),"")</f>
        <v/>
      </c>
      <c r="AY142" s="43" t="str">
        <f>IFERROR(_xlfn.XLOOKUP(Tableau1[[#This Row],[Isin]]&amp;1&amp;2016,#REF!,Tableau3[Résultat Net (PdG)]),"")</f>
        <v/>
      </c>
      <c r="AZ142" s="137" t="str">
        <f ca="1">IFERROR(Tableau1[[#This Row],[Capitalisation boursière]]/Tableau1[[#This Row],[RN Groupe 2023]],"")</f>
        <v/>
      </c>
      <c r="BA142" s="4" t="str" cm="1">
        <f t="array" aca="1" ref="BA142" ca="1">IFERROR(_FV(Tableau1[[#This Row],[Code Excel]],"Industrie"),"")</f>
        <v>Healthcare Providers &amp; Services</v>
      </c>
      <c r="BB142" s="43" t="s">
        <v>3487</v>
      </c>
      <c r="BC142" s="43" t="str">
        <f>IFERROR(_xlfn.XLOOKUP(Tableau1[[#This Row],[Isin]]&amp;1&amp;2016,#REF!,Tableau3[Capi]),"")</f>
        <v/>
      </c>
      <c r="BD142" s="43" t="str">
        <f>IFERROR(_xlfn.XLOOKUP(Tableau1[[#This Row],[Isin]]&amp;1&amp;2017,#REF!,Tableau3[Capi]),"")</f>
        <v/>
      </c>
      <c r="BE142" s="43" t="str">
        <f>IFERROR(_xlfn.XLOOKUP(Tableau1[[#This Row],[Isin]]&amp;1&amp;2018,#REF!,Tableau3[Capi]),"")</f>
        <v/>
      </c>
      <c r="BF142" s="43" t="str">
        <f>IFERROR(_xlfn.XLOOKUP(Tableau1[[#This Row],[Isin]]&amp;1&amp;2019,#REF!,Tableau3[Capi]),"")</f>
        <v/>
      </c>
      <c r="BG142" s="43" t="str">
        <f>IFERROR(_xlfn.XLOOKUP(Tableau1[[#This Row],[Isin]]&amp;1&amp;2020,#REF!,Tableau3[Capi]),"")</f>
        <v/>
      </c>
      <c r="BH142" s="43">
        <f>IF(IFERROR(_xlfn.XLOOKUP(Tableau1[[#This Row],[Isin]]&amp;1&amp;2021,#REF!,Tableau3[Capi]),"")="",Tableau1[[#This Row],[Capitalisation 2021
Manuel]],IFERROR(_xlfn.XLOOKUP(Tableau1[[#This Row],[Isin]]&amp;1&amp;2021,#REF!,Tableau3[Capi]),""))</f>
        <v>0</v>
      </c>
      <c r="BI142" s="43"/>
      <c r="BJ142" s="43">
        <f>IF(IFERROR(_xlfn.XLOOKUP(Tableau1[[#This Row],[Isin]]&amp;1&amp;2022,#REF!,Tableau3[Capi]),"")="",Tableau1[[#This Row],[Capitalisation 2022
Manuel]],IFERROR(_xlfn.XLOOKUP(Tableau1[[#This Row],[Isin]]&amp;1&amp;2022,#REF!,Tableau3[Capi]),""))</f>
        <v>0</v>
      </c>
      <c r="BK142" s="43"/>
      <c r="BL142" s="43">
        <f ca="1">Tableau1[[#This Row],[Capitalisation boursière]]</f>
        <v>22535120000</v>
      </c>
      <c r="BM142" s="162" t="str" cm="1">
        <f t="array" aca="1" ref="BM142" ca="1">_FV(Tableau1[[#This Row],[Code Excel]],"Description")</f>
        <v>Fresenius SE &amp; Co KGaA est une entreprise de soins de santé basée en Allemagne. La Société possède des divisions opérationnelles, Fresenius Kabi et Fresenius Helios, ainsi que des participations, Fresenius Vamed et Fresenius Medical Care. Fresenius Kabi propose des produits de santé pour les patients atteints de maladies graves et chroniques, des médicaments essentiels et des technologies médicales pour la perfusion, la transfusion et la nutrition clinique. Son portefeuille de produits comprend des médicaments génériques administrés par voie intraveineuse, des thérapies de perfusion et de la nutrition clinique. Fresenius Helios est un opérateur hospitalier privé qui gère des cliniques, des établissements médicaux, des centres de réadaptation et autres. Fresenius Vamed fournit des services pour les hôpitaux et autres établissements de soins de santé, tels que la prévention, la construction, les services et la gestion opérationnelle. Fresenius Medical Care propose des produits et des services tout au long de la chaîne de valeur de la dialyse et est un fournisseur de produits de dialyse tels que les appareils de dialyse, les dialyseurs et les accessoires jetables associés.</v>
      </c>
      <c r="BN142" s="43"/>
      <c r="BO142" s="43"/>
      <c r="BP142" s="43"/>
      <c r="BQ142" s="43"/>
      <c r="BR142" s="4"/>
      <c r="BS142" s="21"/>
      <c r="BT142" s="13"/>
      <c r="BU142" s="13"/>
      <c r="BV142" s="13"/>
      <c r="BW142" s="13"/>
      <c r="BX142" s="13"/>
      <c r="BY142" s="3"/>
      <c r="BZ142" s="58"/>
      <c r="CA142" s="59"/>
    </row>
    <row r="143" spans="3:79">
      <c r="C143" s="43"/>
      <c r="D143" s="42">
        <f>IF(Tableau1[[#This Row],[Isin]]="",99,Tableau1[[#This Row],[Intérêt]]+Tableau1[[#This Row],[Valeur d''intérêt]]+Tableau1[[#This Row],[N° Portefeuille]])</f>
        <v>30</v>
      </c>
      <c r="E143" s="43"/>
      <c r="F143" s="42">
        <f>IF(Tableau1[[#This Row],[Portefeuille]]="p",0,Tableau1[[#This Row],[F. Investissement
Niveau d''intérêt]]*10)</f>
        <v>30</v>
      </c>
      <c r="G143" s="43">
        <f>IF(Tableau1[[#This Row],[Portefeuille]]="p",3,0)</f>
        <v>0</v>
      </c>
      <c r="H143" s="42">
        <v>3</v>
      </c>
      <c r="I143" s="43">
        <v>4</v>
      </c>
      <c r="J143" s="43"/>
      <c r="K143" s="43"/>
      <c r="L143" s="16">
        <v>0</v>
      </c>
      <c r="M14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3" s="44" t="s">
        <v>3815</v>
      </c>
      <c r="O143" s="45"/>
      <c r="P143" s="4" t="s">
        <v>452</v>
      </c>
      <c r="Q143" s="4"/>
      <c r="R143" s="6"/>
      <c r="S143" s="6" t="s">
        <v>3816</v>
      </c>
      <c r="T143" s="6" t="e" vm="130">
        <v>#VALUE!</v>
      </c>
      <c r="U143" s="46" cm="1">
        <f t="array" aca="1" ref="U143" ca="1">IFERROR(_FV(Tableau1[[#This Row],[Code Excel]],"Capitalisation boursière",TRUE),"")</f>
        <v>1548581000</v>
      </c>
      <c r="V143" s="4" t="str" cm="1">
        <f t="array" aca="1" ref="V143" ca="1">IFERROR(_FV(Tableau1[[#This Row],[Code Excel]],"Industrie"),"")</f>
        <v>Biotechnology &amp; Medical Research</v>
      </c>
      <c r="W143" s="4" t="s">
        <v>1586</v>
      </c>
      <c r="X143" s="4" t="str">
        <f ca="1">Tableau1[[#This Row],[Grand Secteur]]&amp;Tableau1[[#This Row],[Industrie]]</f>
        <v>SantéBiotechnology &amp; Medical Research</v>
      </c>
      <c r="Y143" s="23" cm="1">
        <f t="array" aca="1" ref="Y143" ca="1">IFERROR(_FV(Tableau1[[#This Row],[Code Excel]],"P/E",TRUE),"")</f>
        <v>0</v>
      </c>
      <c r="Z143" s="43" cm="1">
        <f t="array" aca="1" ref="Z143" ca="1">IFERROR(_FV(Tableau1[[#This Row],[Code Excel]],"Employés"),"")</f>
        <v>704</v>
      </c>
      <c r="AA143" s="49">
        <f ca="1">IFERROR(Tableau1[[#This Row],[Capitalisation boursière]]/Tableau1[[#This Row],[Employés]],"")</f>
        <v>2199688.9204545454</v>
      </c>
      <c r="AB143" s="5" t="str">
        <f>IFERROR(Tableau1[[#This Row],[REX (2021)]]/Tableau1[[#This Row],[CA 2024]],"")</f>
        <v/>
      </c>
      <c r="AC143" s="9" t="str">
        <f>IFERROR(_xlfn.XLOOKUP(Tableau1[[#This Row],[Isin]]&amp;1&amp;2021,#REF!,Tableau3[Résultat d''exploitation]),"")</f>
        <v/>
      </c>
      <c r="AD143" s="9" t="str">
        <f>IFERROR(_xlfn.XLOOKUP(Tableau1[[#This Row],[Isin]]&amp;1&amp;2019,#REF!,Tableau3[Chiffre d''affaires]),"")</f>
        <v/>
      </c>
      <c r="AE143" s="9" t="str">
        <f>IFERROR(_xlfn.XLOOKUP(Tableau1[[#This Row],[Isin]]&amp;1&amp;2024,#REF!,Tableau3[Chiffre d''affaires]),"")</f>
        <v/>
      </c>
      <c r="AF143" s="8" t="str">
        <f>IFERROR(IF((Tableau1[[#This Row],[CA 2024]]-Tableau1[[#This Row],[CA 2019]])/Tableau1[[#This Row],[CA 2019]]=-1,"",(Tableau1[[#This Row],[CA 2024]]-Tableau1[[#This Row],[CA 2019]])/Tableau1[[#This Row],[CA 2019]]),"")</f>
        <v/>
      </c>
      <c r="AG143" s="9" t="str">
        <f>IFERROR(_xlfn.XLOOKUP(Tableau1[[#This Row],[Isin]]&amp;1&amp;2021,#REF!,Tableau3[EBE]),"")</f>
        <v/>
      </c>
      <c r="AH143" s="9" t="str">
        <f>IFERROR(_xlfn.XLOOKUP(Tableau1[[#This Row],[Isin]]&amp;1&amp;2022,#REF!,Tableau3[EBE]),"")</f>
        <v/>
      </c>
      <c r="AI143" s="13" t="s">
        <v>4324</v>
      </c>
      <c r="AJ143" s="13" t="s">
        <v>4325</v>
      </c>
      <c r="AK143" s="13" t="s">
        <v>3148</v>
      </c>
      <c r="AL143" s="43"/>
      <c r="AM143" s="43"/>
      <c r="AN143" s="9" t="str">
        <f>IFERROR(_xlfn.XLOOKUP(Tableau1[[#This Row],[Isin]]&amp;1&amp;2021,#REF!,Tableau3[Chiffre d''affaires]),"")</f>
        <v/>
      </c>
      <c r="AO143" s="43" cm="1">
        <f t="array" aca="1" ref="AO143" ca="1">_FV(Tableau1[[#This Row],[Code Excel]],"P/E",TRUE)</f>
        <v>0</v>
      </c>
      <c r="AP143" s="43" t="str">
        <f>IFERROR(_xlfn.XLOOKUP(Tableau1[[#This Row],[Isin]]&amp;1&amp;2023,#REF!,Tableau3[Résultat Net (PdG)]),"")</f>
        <v/>
      </c>
      <c r="AQ143" s="43">
        <f>IF(IFERROR(_xlfn.XLOOKUP(Tableau1[[#This Row],[Isin]]&amp;1&amp;2022,#REF!,Tableau3[Résultat Net (PdG)]),"")="",Tableau1[[#This Row],[RN Groupe 2022
Manuel]],IFERROR(_xlfn.XLOOKUP(Tableau1[[#This Row],[Isin]]&amp;1&amp;2022,#REF!,Tableau3[Résultat Net (PdG)]),""))</f>
        <v>0</v>
      </c>
      <c r="AR143" s="43"/>
      <c r="AS143" s="43">
        <f>IF(IFERROR(_xlfn.XLOOKUP(Tableau1[[#This Row],[Isin]]&amp;1&amp;2021,#REF!,Tableau3[Résultat Net (PdG)]),"")="",Tableau1[[#This Row],[RN Groupe 2021
Manuel]],IFERROR(_xlfn.XLOOKUP(Tableau1[[#This Row],[Isin]]&amp;1&amp;2021,#REF!,Tableau3[Résultat Net (PdG)]),""))</f>
        <v>0</v>
      </c>
      <c r="AT143" s="43"/>
      <c r="AU143" s="43" t="str">
        <f>IFERROR(_xlfn.XLOOKUP(Tableau1[[#This Row],[Isin]]&amp;1&amp;2020,#REF!,Tableau3[Résultat Net (PdG)]),"")</f>
        <v/>
      </c>
      <c r="AV143" s="43" t="str">
        <f>IFERROR(_xlfn.XLOOKUP(Tableau1[[#This Row],[Isin]]&amp;1&amp;2019,#REF!,Tableau3[Résultat Net (PdG)]),"")</f>
        <v/>
      </c>
      <c r="AW143" s="43" t="str">
        <f>IFERROR(_xlfn.XLOOKUP(Tableau1[[#This Row],[Isin]]&amp;1&amp;2018,#REF!,Tableau3[Résultat Net (PdG)]),"")</f>
        <v/>
      </c>
      <c r="AX143" s="43" t="str">
        <f>IFERROR(_xlfn.XLOOKUP(Tableau1[[#This Row],[Isin]]&amp;1&amp;2017,#REF!,Tableau3[Résultat Net (PdG)]),"")</f>
        <v/>
      </c>
      <c r="AY143" s="43" t="str">
        <f>IFERROR(_xlfn.XLOOKUP(Tableau1[[#This Row],[Isin]]&amp;1&amp;2016,#REF!,Tableau3[Résultat Net (PdG)]),"")</f>
        <v/>
      </c>
      <c r="AZ143" s="137" t="str">
        <f ca="1">IFERROR(Tableau1[[#This Row],[Capitalisation boursière]]/Tableau1[[#This Row],[RN Groupe 2023]],"")</f>
        <v/>
      </c>
      <c r="BA143" s="4" t="str" cm="1">
        <f t="array" aca="1" ref="BA143" ca="1">IFERROR(_FV(Tableau1[[#This Row],[Code Excel]],"Industrie"),"")</f>
        <v>Biotechnology &amp; Medical Research</v>
      </c>
      <c r="BB143" s="43" t="s">
        <v>3482</v>
      </c>
      <c r="BC143" s="43" t="str">
        <f>IFERROR(_xlfn.XLOOKUP(Tableau1[[#This Row],[Isin]]&amp;1&amp;2016,#REF!,Tableau3[Capi]),"")</f>
        <v/>
      </c>
      <c r="BD143" s="43" t="str">
        <f>IFERROR(_xlfn.XLOOKUP(Tableau1[[#This Row],[Isin]]&amp;1&amp;2017,#REF!,Tableau3[Capi]),"")</f>
        <v/>
      </c>
      <c r="BE143" s="43" t="str">
        <f>IFERROR(_xlfn.XLOOKUP(Tableau1[[#This Row],[Isin]]&amp;1&amp;2018,#REF!,Tableau3[Capi]),"")</f>
        <v/>
      </c>
      <c r="BF143" s="43" t="str">
        <f>IFERROR(_xlfn.XLOOKUP(Tableau1[[#This Row],[Isin]]&amp;1&amp;2019,#REF!,Tableau3[Capi]),"")</f>
        <v/>
      </c>
      <c r="BG143" s="43" t="str">
        <f>IFERROR(_xlfn.XLOOKUP(Tableau1[[#This Row],[Isin]]&amp;1&amp;2020,#REF!,Tableau3[Capi]),"")</f>
        <v/>
      </c>
      <c r="BH143" s="43">
        <f>IF(IFERROR(_xlfn.XLOOKUP(Tableau1[[#This Row],[Isin]]&amp;1&amp;2021,#REF!,Tableau3[Capi]),"")="",Tableau1[[#This Row],[Capitalisation 2021
Manuel]],IFERROR(_xlfn.XLOOKUP(Tableau1[[#This Row],[Isin]]&amp;1&amp;2021,#REF!,Tableau3[Capi]),""))</f>
        <v>0</v>
      </c>
      <c r="BI143" s="43"/>
      <c r="BJ143" s="43">
        <f>IF(IFERROR(_xlfn.XLOOKUP(Tableau1[[#This Row],[Isin]]&amp;1&amp;2022,#REF!,Tableau3[Capi]),"")="",Tableau1[[#This Row],[Capitalisation 2022
Manuel]],IFERROR(_xlfn.XLOOKUP(Tableau1[[#This Row],[Isin]]&amp;1&amp;2022,#REF!,Tableau3[Capi]),""))</f>
        <v>0</v>
      </c>
      <c r="BK143" s="43"/>
      <c r="BL143" s="43">
        <f ca="1">Tableau1[[#This Row],[Capitalisation boursière]]</f>
        <v>1548581000</v>
      </c>
      <c r="BM143" s="162" t="str" cm="1">
        <f t="array" aca="1" ref="BM143" ca="1">_FV(Tableau1[[#This Row],[Code Excel]],"Description")</f>
        <v>Galapagos NV est une société belge de biotechnologie de stade clinique. La Société est engagée dans la découverte et le développement de médicaments à petites molécules avec des modes d'action. Son pipeline comprend des études précliniques de phase 3, 2, 1 et des programmes de découverte de petites molécules et d'anticorps dans la mucoviscidose, l'inflammation et d'autres indications. La Société se concentre sur le développement d'un portefeuille de thérapies au stade clinique pour l'amélioration des paradigmes de traitement existants. Il développe des médicaments transformationnels dans des domaines où les besoins sont élevés non satisfaits en combinant la science interne et externe dans le but d'ajouter des années de vie et d'améliorer la vie des patients à travers le monde. Il découvre quelles protéines sont impliquées dans la cause de maladies telles que, rhumatoïde, arthrite, maladie intestinale inflammatoire et fibrose. La Société a acquis CellPoint et AboundBio afin de développer une thérapie cellulaire, qui est un traitement transformateur potentiel de différents types de cancer.</v>
      </c>
      <c r="BN143" s="43"/>
      <c r="BO143" s="43"/>
      <c r="BP143" s="43"/>
      <c r="BQ143" s="43"/>
      <c r="BR143" s="4"/>
      <c r="BS143" s="21"/>
      <c r="BT143" s="13"/>
      <c r="BU143" s="13"/>
      <c r="BV143" s="13"/>
      <c r="BW143" s="13"/>
      <c r="BX143" s="13"/>
      <c r="BY143" s="3"/>
      <c r="BZ143" s="58"/>
      <c r="CA143" s="59"/>
    </row>
    <row r="144" spans="3:79">
      <c r="C144" s="42"/>
      <c r="D144" s="42">
        <f>IF(Tableau1[[#This Row],[Isin]]="",99,Tableau1[[#This Row],[Intérêt]]+Tableau1[[#This Row],[Valeur d''intérêt]]+Tableau1[[#This Row],[N° Portefeuille]])</f>
        <v>30</v>
      </c>
      <c r="E144" s="42"/>
      <c r="F144" s="42">
        <f>IF(Tableau1[[#This Row],[Portefeuille]]="p",0,Tableau1[[#This Row],[F. Investissement
Niveau d''intérêt]]*10)</f>
        <v>30</v>
      </c>
      <c r="G144" s="42">
        <f>IF(Tableau1[[#This Row],[Portefeuille]]="p",3,0)</f>
        <v>0</v>
      </c>
      <c r="H144" s="42">
        <v>3</v>
      </c>
      <c r="I144" s="42">
        <v>4</v>
      </c>
      <c r="J144" s="42"/>
      <c r="K144" s="43"/>
      <c r="L144" s="16">
        <v>0</v>
      </c>
      <c r="M14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4" s="44" t="s">
        <v>3818</v>
      </c>
      <c r="O144" s="45"/>
      <c r="P144" s="4" t="s">
        <v>84</v>
      </c>
      <c r="Q144" s="4"/>
      <c r="R144" s="6"/>
      <c r="S144" s="6" t="s">
        <v>3819</v>
      </c>
      <c r="T144" s="6" t="e" vm="131">
        <v>#VALUE!</v>
      </c>
      <c r="U144" s="46" cm="1">
        <f t="array" aca="1" ref="U144" ca="1">IFERROR(_FV(Tableau1[[#This Row],[Code Excel]],"Capitalisation boursière",TRUE),"")</f>
        <v>6703125000</v>
      </c>
      <c r="V144" s="4" t="str" cm="1">
        <f t="array" aca="1" ref="V144" ca="1">IFERROR(_FV(Tableau1[[#This Row],[Code Excel]],"Industrie"),"")</f>
        <v>Residential &amp; Commercial REIT</v>
      </c>
      <c r="W144" s="4" t="s">
        <v>2083</v>
      </c>
      <c r="X144" s="4" t="str">
        <f ca="1">Tableau1[[#This Row],[Grand Secteur]]&amp;Tableau1[[#This Row],[Industrie]]</f>
        <v>ImmobilierResidential &amp; Commercial REIT</v>
      </c>
      <c r="Y144" s="23" cm="1">
        <f t="array" aca="1" ref="Y144" ca="1">IFERROR(_FV(Tableau1[[#This Row],[Code Excel]],"P/E",TRUE),"")</f>
        <v>20.709499999999998</v>
      </c>
      <c r="Z144" s="43" cm="1">
        <f t="array" aca="1" ref="Z144" ca="1">IFERROR(_FV(Tableau1[[#This Row],[Code Excel]],"Employés"),"")</f>
        <v>473</v>
      </c>
      <c r="AA144" s="49">
        <f ca="1">IFERROR(Tableau1[[#This Row],[Capitalisation boursière]]/Tableau1[[#This Row],[Employés]],"")</f>
        <v>14171511.627906976</v>
      </c>
      <c r="AB144" s="5" t="str">
        <f>IFERROR(Tableau1[[#This Row],[REX (2021)]]/Tableau1[[#This Row],[CA 2024]],"")</f>
        <v/>
      </c>
      <c r="AC144" s="9" t="str">
        <f>IFERROR(_xlfn.XLOOKUP(Tableau1[[#This Row],[Isin]]&amp;1&amp;2021,#REF!,Tableau3[Résultat d''exploitation]),"")</f>
        <v/>
      </c>
      <c r="AD144" s="9" t="str">
        <f>IFERROR(_xlfn.XLOOKUP(Tableau1[[#This Row],[Isin]]&amp;1&amp;2019,#REF!,Tableau3[Chiffre d''affaires]),"")</f>
        <v/>
      </c>
      <c r="AE144" s="9" t="str">
        <f>IFERROR(_xlfn.XLOOKUP(Tableau1[[#This Row],[Isin]]&amp;1&amp;2024,#REF!,Tableau3[Chiffre d''affaires]),"")</f>
        <v/>
      </c>
      <c r="AF144" s="8" t="str">
        <f>IFERROR(IF((Tableau1[[#This Row],[CA 2024]]-Tableau1[[#This Row],[CA 2019]])/Tableau1[[#This Row],[CA 2019]]=-1,"",(Tableau1[[#This Row],[CA 2024]]-Tableau1[[#This Row],[CA 2019]])/Tableau1[[#This Row],[CA 2019]]),"")</f>
        <v/>
      </c>
      <c r="AG144" s="9" t="str">
        <f>IFERROR(_xlfn.XLOOKUP(Tableau1[[#This Row],[Isin]]&amp;1&amp;2021,#REF!,Tableau3[EBE]),"")</f>
        <v/>
      </c>
      <c r="AH144" s="9" t="str">
        <f>IFERROR(_xlfn.XLOOKUP(Tableau1[[#This Row],[Isin]]&amp;1&amp;2022,#REF!,Tableau3[EBE]),"")</f>
        <v/>
      </c>
      <c r="AI144" s="43" t="s">
        <v>3431</v>
      </c>
      <c r="AJ144" s="43" t="s">
        <v>4322</v>
      </c>
      <c r="AK144" s="43" t="s">
        <v>3148</v>
      </c>
      <c r="AL144" s="43"/>
      <c r="AM144" s="43"/>
      <c r="AN144" s="9" t="str">
        <f>IFERROR(_xlfn.XLOOKUP(Tableau1[[#This Row],[Isin]]&amp;1&amp;2021,#REF!,Tableau3[Chiffre d''affaires]),"")</f>
        <v/>
      </c>
      <c r="AO144" s="43" cm="1">
        <f t="array" aca="1" ref="AO144" ca="1">_FV(Tableau1[[#This Row],[Code Excel]],"P/E",TRUE)</f>
        <v>20.709499999999998</v>
      </c>
      <c r="AP144" s="43" t="str">
        <f>IFERROR(_xlfn.XLOOKUP(Tableau1[[#This Row],[Isin]]&amp;1&amp;2023,#REF!,Tableau3[Résultat Net (PdG)]),"")</f>
        <v/>
      </c>
      <c r="AQ144" s="43">
        <f>IF(IFERROR(_xlfn.XLOOKUP(Tableau1[[#This Row],[Isin]]&amp;1&amp;2022,#REF!,Tableau3[Résultat Net (PdG)]),"")="",Tableau1[[#This Row],[RN Groupe 2022
Manuel]],IFERROR(_xlfn.XLOOKUP(Tableau1[[#This Row],[Isin]]&amp;1&amp;2022,#REF!,Tableau3[Résultat Net (PdG)]),""))</f>
        <v>0</v>
      </c>
      <c r="AR144" s="43"/>
      <c r="AS144" s="43">
        <f>IF(IFERROR(_xlfn.XLOOKUP(Tableau1[[#This Row],[Isin]]&amp;1&amp;2021,#REF!,Tableau3[Résultat Net (PdG)]),"")="",Tableau1[[#This Row],[RN Groupe 2021
Manuel]],IFERROR(_xlfn.XLOOKUP(Tableau1[[#This Row],[Isin]]&amp;1&amp;2021,#REF!,Tableau3[Résultat Net (PdG)]),""))</f>
        <v>0</v>
      </c>
      <c r="AT144" s="43"/>
      <c r="AU144" s="43" t="str">
        <f>IFERROR(_xlfn.XLOOKUP(Tableau1[[#This Row],[Isin]]&amp;1&amp;2020,#REF!,Tableau3[Résultat Net (PdG)]),"")</f>
        <v/>
      </c>
      <c r="AV144" s="43" t="str">
        <f>IFERROR(_xlfn.XLOOKUP(Tableau1[[#This Row],[Isin]]&amp;1&amp;2019,#REF!,Tableau3[Résultat Net (PdG)]),"")</f>
        <v/>
      </c>
      <c r="AW144" s="43" t="str">
        <f>IFERROR(_xlfn.XLOOKUP(Tableau1[[#This Row],[Isin]]&amp;1&amp;2018,#REF!,Tableau3[Résultat Net (PdG)]),"")</f>
        <v/>
      </c>
      <c r="AX144" s="43" t="str">
        <f>IFERROR(_xlfn.XLOOKUP(Tableau1[[#This Row],[Isin]]&amp;1&amp;2017,#REF!,Tableau3[Résultat Net (PdG)]),"")</f>
        <v/>
      </c>
      <c r="AY144" s="43" t="str">
        <f>IFERROR(_xlfn.XLOOKUP(Tableau1[[#This Row],[Isin]]&amp;1&amp;2016,#REF!,Tableau3[Résultat Net (PdG)]),"")</f>
        <v/>
      </c>
      <c r="AZ144" s="137" t="str">
        <f ca="1">IFERROR(Tableau1[[#This Row],[Capitalisation boursière]]/Tableau1[[#This Row],[RN Groupe 2023]],"")</f>
        <v/>
      </c>
      <c r="BA144" s="4" t="str" cm="1">
        <f t="array" aca="1" ref="BA144" ca="1">IFERROR(_FV(Tableau1[[#This Row],[Code Excel]],"Industrie"),"")</f>
        <v>Residential &amp; Commercial REIT</v>
      </c>
      <c r="BB144" s="43" t="s">
        <v>3477</v>
      </c>
      <c r="BC144" s="43" t="str">
        <f>IFERROR(_xlfn.XLOOKUP(Tableau1[[#This Row],[Isin]]&amp;1&amp;2016,#REF!,Tableau3[Capi]),"")</f>
        <v/>
      </c>
      <c r="BD144" s="43" t="str">
        <f>IFERROR(_xlfn.XLOOKUP(Tableau1[[#This Row],[Isin]]&amp;1&amp;2017,#REF!,Tableau3[Capi]),"")</f>
        <v/>
      </c>
      <c r="BE144" s="43" t="str">
        <f>IFERROR(_xlfn.XLOOKUP(Tableau1[[#This Row],[Isin]]&amp;1&amp;2018,#REF!,Tableau3[Capi]),"")</f>
        <v/>
      </c>
      <c r="BF144" s="43" t="str">
        <f>IFERROR(_xlfn.XLOOKUP(Tableau1[[#This Row],[Isin]]&amp;1&amp;2019,#REF!,Tableau3[Capi]),"")</f>
        <v/>
      </c>
      <c r="BG144" s="43" t="str">
        <f>IFERROR(_xlfn.XLOOKUP(Tableau1[[#This Row],[Isin]]&amp;1&amp;2020,#REF!,Tableau3[Capi]),"")</f>
        <v/>
      </c>
      <c r="BH144" s="43">
        <f>IF(IFERROR(_xlfn.XLOOKUP(Tableau1[[#This Row],[Isin]]&amp;1&amp;2021,#REF!,Tableau3[Capi]),"")="",Tableau1[[#This Row],[Capitalisation 2021
Manuel]],IFERROR(_xlfn.XLOOKUP(Tableau1[[#This Row],[Isin]]&amp;1&amp;2021,#REF!,Tableau3[Capi]),""))</f>
        <v>0</v>
      </c>
      <c r="BI144" s="43"/>
      <c r="BJ144" s="43">
        <f>IF(IFERROR(_xlfn.XLOOKUP(Tableau1[[#This Row],[Isin]]&amp;1&amp;2022,#REF!,Tableau3[Capi]),"")="",Tableau1[[#This Row],[Capitalisation 2022
Manuel]],IFERROR(_xlfn.XLOOKUP(Tableau1[[#This Row],[Isin]]&amp;1&amp;2022,#REF!,Tableau3[Capi]),""))</f>
        <v>0</v>
      </c>
      <c r="BK144" s="43"/>
      <c r="BL144" s="43">
        <f ca="1">Tableau1[[#This Row],[Capitalisation boursière]]</f>
        <v>6703125000</v>
      </c>
      <c r="BM144" s="162" t="str" cm="1">
        <f t="array" aca="1" ref="BM144" ca="1">_FV(Tableau1[[#This Row],[Code Excel]],"Description")</f>
        <v>Gecina sa est une société basée en France qui est engagée dans des sociétés immobilières. La Société fournit un revenu locatif brut par type d'actif, comme les bureaux et les entreprises, le logement et la résidence étudiante. ITS propose 6 000 unités de logement en opération sont situées dans le centre de Paris et en région parisienne. La Société fournit des bureaux et des commerces, des logements, des résidences étudiantes. Elle sert les clients en créant des produits sur mesure avec de nouveaux espaces et agiles.</v>
      </c>
      <c r="BN144" s="43"/>
      <c r="BO144" s="43"/>
      <c r="BP144" s="43"/>
      <c r="BQ144" s="43"/>
      <c r="BR144" s="4"/>
      <c r="BS144" s="21"/>
      <c r="BT144" s="13"/>
      <c r="BU144" s="13"/>
      <c r="BV144" s="13"/>
      <c r="BW144" s="13"/>
      <c r="BX144" s="13"/>
      <c r="BY144" s="3"/>
      <c r="BZ144" s="58"/>
      <c r="CA144" s="59"/>
    </row>
    <row r="145" spans="3:83">
      <c r="C145" s="42"/>
      <c r="D145" s="42">
        <f>IF(Tableau1[[#This Row],[Isin]]="",99,Tableau1[[#This Row],[Intérêt]]+Tableau1[[#This Row],[Valeur d''intérêt]]+Tableau1[[#This Row],[N° Portefeuille]])</f>
        <v>20</v>
      </c>
      <c r="E145" s="42"/>
      <c r="F145" s="42">
        <f>IF(Tableau1[[#This Row],[Portefeuille]]="p",0,Tableau1[[#This Row],[F. Investissement
Niveau d''intérêt]]*10)</f>
        <v>20</v>
      </c>
      <c r="G145" s="42">
        <f>IF(Tableau1[[#This Row],[Portefeuille]]="p",3,0)</f>
        <v>0</v>
      </c>
      <c r="H145" s="42">
        <v>2</v>
      </c>
      <c r="I145" s="42">
        <v>2</v>
      </c>
      <c r="J145" s="42"/>
      <c r="K145" s="43"/>
      <c r="L145" s="16">
        <v>1</v>
      </c>
      <c r="M14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5" s="44" t="s">
        <v>3822</v>
      </c>
      <c r="O145" s="44" t="s">
        <v>4396</v>
      </c>
      <c r="P145" s="4" t="s">
        <v>382</v>
      </c>
      <c r="Q145" s="6" t="s">
        <v>383</v>
      </c>
      <c r="R145" s="6"/>
      <c r="S145" s="6" t="s">
        <v>1569</v>
      </c>
      <c r="T145" s="6" t="e" vm="132">
        <v>#VALUE!</v>
      </c>
      <c r="U145" s="46" cm="1">
        <f t="array" aca="1" ref="U145" ca="1">IFERROR(_FV(Tableau1[[#This Row],[Code Excel]],"Capitalisation boursière",TRUE),"")</f>
        <v>36675323660</v>
      </c>
      <c r="V145" s="4" t="str" cm="1">
        <f t="array" aca="1" ref="V145" ca="1">IFERROR(_FV(Tableau1[[#This Row],[Code Excel]],"Industrie"),"")</f>
        <v>Healthcare Equipment &amp; Supplies</v>
      </c>
      <c r="W145" s="4" t="s">
        <v>1586</v>
      </c>
      <c r="X145" s="4" t="str">
        <f ca="1">Tableau1[[#This Row],[Grand Secteur]]&amp;Tableau1[[#This Row],[Industrie]]</f>
        <v>SantéHealthcare Equipment &amp; Supplies</v>
      </c>
      <c r="Y145" s="23" cm="1">
        <f t="array" aca="1" ref="Y145" ca="1">IFERROR(_FV(Tableau1[[#This Row],[Code Excel]],"P/E",TRUE),"")</f>
        <v>18.311399999999999</v>
      </c>
      <c r="Z145" s="43" cm="1">
        <f t="array" aca="1" ref="Z145" ca="1">IFERROR(_FV(Tableau1[[#This Row],[Code Excel]],"Employés"),"")</f>
        <v>53000</v>
      </c>
      <c r="AA145" s="49">
        <f ca="1">IFERROR(Tableau1[[#This Row],[Capitalisation boursière]]/Tableau1[[#This Row],[Employés]],"")</f>
        <v>691987.23886792455</v>
      </c>
      <c r="AB145" s="5" t="str">
        <f>IFERROR(Tableau1[[#This Row],[REX (2021)]]/Tableau1[[#This Row],[CA 2024]],"")</f>
        <v/>
      </c>
      <c r="AC145" s="9" t="str">
        <f>IFERROR(_xlfn.XLOOKUP(Tableau1[[#This Row],[Isin]]&amp;1&amp;2021,#REF!,Tableau3[Résultat d''exploitation]),"")</f>
        <v/>
      </c>
      <c r="AD145" s="9" t="str">
        <f>IFERROR(_xlfn.XLOOKUP(Tableau1[[#This Row],[Isin]]&amp;1&amp;2019,#REF!,Tableau3[Chiffre d''affaires]),"")</f>
        <v/>
      </c>
      <c r="AE145" s="9" t="str">
        <f>IFERROR(_xlfn.XLOOKUP(Tableau1[[#This Row],[Isin]]&amp;1&amp;2024,#REF!,Tableau3[Chiffre d''affaires]),"")</f>
        <v/>
      </c>
      <c r="AF145" s="8" t="str">
        <f>IFERROR(IF((Tableau1[[#This Row],[CA 2024]]-Tableau1[[#This Row],[CA 2019]])/Tableau1[[#This Row],[CA 2019]]=-1,"",(Tableau1[[#This Row],[CA 2024]]-Tableau1[[#This Row],[CA 2019]])/Tableau1[[#This Row],[CA 2019]]),"")</f>
        <v/>
      </c>
      <c r="AG145" s="9" t="str">
        <f>IFERROR(_xlfn.XLOOKUP(Tableau1[[#This Row],[Isin]]&amp;1&amp;2021,#REF!,Tableau3[EBE]),"")</f>
        <v/>
      </c>
      <c r="AH145" s="9" t="str">
        <f>IFERROR(_xlfn.XLOOKUP(Tableau1[[#This Row],[Isin]]&amp;1&amp;2022,#REF!,Tableau3[EBE]),"")</f>
        <v/>
      </c>
      <c r="AI145" s="13" t="s">
        <v>4324</v>
      </c>
      <c r="AJ145" s="13" t="s">
        <v>4322</v>
      </c>
      <c r="AK145" s="13" t="s">
        <v>3148</v>
      </c>
      <c r="AL145" s="43"/>
      <c r="AM145" s="43"/>
      <c r="AN145" s="9" t="str">
        <f>IFERROR(_xlfn.XLOOKUP(Tableau1[[#This Row],[Isin]]&amp;1&amp;2021,#REF!,Tableau3[Chiffre d''affaires]),"")</f>
        <v/>
      </c>
      <c r="AO145" s="43" cm="1">
        <f t="array" aca="1" ref="AO145" ca="1">_FV(Tableau1[[#This Row],[Code Excel]],"P/E",TRUE)</f>
        <v>18.311399999999999</v>
      </c>
      <c r="AP145" s="43" t="str">
        <f>IFERROR(_xlfn.XLOOKUP(Tableau1[[#This Row],[Isin]]&amp;1&amp;2023,#REF!,Tableau3[Résultat Net (PdG)]),"")</f>
        <v/>
      </c>
      <c r="AQ145" s="43">
        <f>IF(IFERROR(_xlfn.XLOOKUP(Tableau1[[#This Row],[Isin]]&amp;1&amp;2022,#REF!,Tableau3[Résultat Net (PdG)]),"")="",Tableau1[[#This Row],[RN Groupe 2022
Manuel]],IFERROR(_xlfn.XLOOKUP(Tableau1[[#This Row],[Isin]]&amp;1&amp;2022,#REF!,Tableau3[Résultat Net (PdG)]),""))</f>
        <v>0</v>
      </c>
      <c r="AR145" s="43"/>
      <c r="AS145" s="43">
        <f>IF(IFERROR(_xlfn.XLOOKUP(Tableau1[[#This Row],[Isin]]&amp;1&amp;2021,#REF!,Tableau3[Résultat Net (PdG)]),"")="",Tableau1[[#This Row],[RN Groupe 2021
Manuel]],IFERROR(_xlfn.XLOOKUP(Tableau1[[#This Row],[Isin]]&amp;1&amp;2021,#REF!,Tableau3[Résultat Net (PdG)]),""))</f>
        <v>0</v>
      </c>
      <c r="AT145" s="43"/>
      <c r="AU145" s="43" t="str">
        <f>IFERROR(_xlfn.XLOOKUP(Tableau1[[#This Row],[Isin]]&amp;1&amp;2020,#REF!,Tableau3[Résultat Net (PdG)]),"")</f>
        <v/>
      </c>
      <c r="AV145" s="43" t="str">
        <f>IFERROR(_xlfn.XLOOKUP(Tableau1[[#This Row],[Isin]]&amp;1&amp;2019,#REF!,Tableau3[Résultat Net (PdG)]),"")</f>
        <v/>
      </c>
      <c r="AW145" s="43" t="str">
        <f>IFERROR(_xlfn.XLOOKUP(Tableau1[[#This Row],[Isin]]&amp;1&amp;2018,#REF!,Tableau3[Résultat Net (PdG)]),"")</f>
        <v/>
      </c>
      <c r="AX145" s="43" t="str">
        <f>IFERROR(_xlfn.XLOOKUP(Tableau1[[#This Row],[Isin]]&amp;1&amp;2017,#REF!,Tableau3[Résultat Net (PdG)]),"")</f>
        <v/>
      </c>
      <c r="AY145" s="43" t="str">
        <f>IFERROR(_xlfn.XLOOKUP(Tableau1[[#This Row],[Isin]]&amp;1&amp;2016,#REF!,Tableau3[Résultat Net (PdG)]),"")</f>
        <v/>
      </c>
      <c r="AZ145" s="137" t="str">
        <f ca="1">IFERROR(Tableau1[[#This Row],[Capitalisation boursière]]/Tableau1[[#This Row],[RN Groupe 2023]],"")</f>
        <v/>
      </c>
      <c r="BA145" s="4" t="str" cm="1">
        <f t="array" aca="1" ref="BA145" ca="1">IFERROR(_FV(Tableau1[[#This Row],[Code Excel]],"Industrie"),"")</f>
        <v>Healthcare Equipment &amp; Supplies</v>
      </c>
      <c r="BB145" s="43" t="e">
        <v>#N/A</v>
      </c>
      <c r="BC145" s="43" t="str">
        <f>IFERROR(_xlfn.XLOOKUP(Tableau1[[#This Row],[Isin]]&amp;1&amp;2016,#REF!,Tableau3[Capi]),"")</f>
        <v/>
      </c>
      <c r="BD145" s="43" t="str">
        <f>IFERROR(_xlfn.XLOOKUP(Tableau1[[#This Row],[Isin]]&amp;1&amp;2017,#REF!,Tableau3[Capi]),"")</f>
        <v/>
      </c>
      <c r="BE145" s="43" t="str">
        <f>IFERROR(_xlfn.XLOOKUP(Tableau1[[#This Row],[Isin]]&amp;1&amp;2018,#REF!,Tableau3[Capi]),"")</f>
        <v/>
      </c>
      <c r="BF145" s="43" t="str">
        <f>IFERROR(_xlfn.XLOOKUP(Tableau1[[#This Row],[Isin]]&amp;1&amp;2019,#REF!,Tableau3[Capi]),"")</f>
        <v/>
      </c>
      <c r="BG145" s="43" t="str">
        <f>IFERROR(_xlfn.XLOOKUP(Tableau1[[#This Row],[Isin]]&amp;1&amp;2020,#REF!,Tableau3[Capi]),"")</f>
        <v/>
      </c>
      <c r="BH145" s="43">
        <f>IF(IFERROR(_xlfn.XLOOKUP(Tableau1[[#This Row],[Isin]]&amp;1&amp;2021,#REF!,Tableau3[Capi]),"")="",Tableau1[[#This Row],[Capitalisation 2021
Manuel]],IFERROR(_xlfn.XLOOKUP(Tableau1[[#This Row],[Isin]]&amp;1&amp;2021,#REF!,Tableau3[Capi]),""))</f>
        <v>0</v>
      </c>
      <c r="BI145" s="43"/>
      <c r="BJ145" s="43">
        <f>IF(IFERROR(_xlfn.XLOOKUP(Tableau1[[#This Row],[Isin]]&amp;1&amp;2022,#REF!,Tableau3[Capi]),"")="",Tableau1[[#This Row],[Capitalisation 2022
Manuel]],IFERROR(_xlfn.XLOOKUP(Tableau1[[#This Row],[Isin]]&amp;1&amp;2022,#REF!,Tableau3[Capi]),""))</f>
        <v>0</v>
      </c>
      <c r="BK145" s="43"/>
      <c r="BL145" s="43">
        <f ca="1">Tableau1[[#This Row],[Capitalisation boursière]]</f>
        <v>36675323660</v>
      </c>
      <c r="BM145" s="162" t="str" cm="1">
        <f t="array" aca="1" ref="BM145" ca="1">_FV(Tableau1[[#This Row],[Code Excel]],"Description")</f>
        <v>GE Healthcare technologies Inc. est une société spécialisée dans les technologies médicales, les diagnostics pharmaceutiques et les solutions numériques. Elle développe, fabrique et commercialise un portefeuille de produits, services et solutions numériques complémentaires utilisés dans le diagnostic, le traitement et le suivi des patients. Ses segments incluent l'imagerie, l'échographie, les solutions de soins aux patients (PCS) et le diagnostic pharmaceutique (PDX). Son segment imagerie offre une gamme complète d'appareils de lecture, d'applications cliniques, de capacités de service et de solutions numériques. Son segment échographie comprend des appareils médicaux et des solutions d'échographie avec une gamme de soins continus, y compris le dépistage, le diagnostic, le traitement et la surveillance de certaines maladies. Sa gamme de PRODUITS PCS comprend la surveillance des patients, l'anesthésie et les soins respiratoires, la cardiologie diagnostique, les soins maternels et infantiles, ainsi que les consommables et services. Son segment PDX comprend deux secteurs d'activité : les produits de contraste et l'imagerie moléculaire.</v>
      </c>
      <c r="BN145" s="43"/>
      <c r="BO145" s="43"/>
      <c r="BP145" s="43"/>
      <c r="BQ145" s="43"/>
      <c r="BR145" s="4"/>
      <c r="BS145" s="21"/>
      <c r="BT145" s="13"/>
      <c r="BU145" s="13"/>
      <c r="BV145" s="13"/>
      <c r="BW145" s="13"/>
      <c r="BX145" s="13"/>
      <c r="BY145" s="3"/>
      <c r="BZ145" s="58"/>
      <c r="CA145" s="59"/>
    </row>
    <row r="146" spans="3:83">
      <c r="C146" s="43"/>
      <c r="D146" s="42">
        <f>IF(Tableau1[[#This Row],[Isin]]="",99,Tableau1[[#This Row],[Intérêt]]+Tableau1[[#This Row],[Valeur d''intérêt]]+Tableau1[[#This Row],[N° Portefeuille]])</f>
        <v>30</v>
      </c>
      <c r="E146" s="43"/>
      <c r="F146" s="42">
        <f>IF(Tableau1[[#This Row],[Portefeuille]]="p",0,Tableau1[[#This Row],[F. Investissement
Niveau d''intérêt]]*10)</f>
        <v>30</v>
      </c>
      <c r="G146" s="43">
        <f>IF(Tableau1[[#This Row],[Portefeuille]]="p",3,0)</f>
        <v>0</v>
      </c>
      <c r="H146" s="43">
        <v>3</v>
      </c>
      <c r="I146" s="43">
        <v>4</v>
      </c>
      <c r="J146" s="43"/>
      <c r="K146" s="43"/>
      <c r="L146" s="16">
        <v>0</v>
      </c>
      <c r="M14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6" s="44" t="s">
        <v>3824</v>
      </c>
      <c r="O146" s="45"/>
      <c r="P146" s="4" t="s">
        <v>382</v>
      </c>
      <c r="Q146" s="4"/>
      <c r="R146" s="6"/>
      <c r="S146" s="6" t="s">
        <v>3825</v>
      </c>
      <c r="T146" s="6" t="e" vm="133">
        <v>#VALUE!</v>
      </c>
      <c r="U146" s="46" cm="1">
        <f t="array" aca="1" ref="U146" ca="1">IFERROR(_FV(Tableau1[[#This Row],[Code Excel]],"Capitalisation boursière",TRUE),"")</f>
        <v>46282513378</v>
      </c>
      <c r="V146" s="4" t="str" cm="1">
        <f t="array" aca="1" ref="V146" ca="1">IFERROR(_FV(Tableau1[[#This Row],[Code Excel]],"Industrie"),"")</f>
        <v>Automobiles &amp; Auto Parts</v>
      </c>
      <c r="W146" s="4" t="s">
        <v>1224</v>
      </c>
      <c r="X146" s="4" t="str">
        <f ca="1">Tableau1[[#This Row],[Grand Secteur]]&amp;Tableau1[[#This Row],[Industrie]]</f>
        <v>AutomobileAutomobiles &amp; Auto Parts</v>
      </c>
      <c r="Y146" s="23" cm="1">
        <f t="array" aca="1" ref="Y146" ca="1">IFERROR(_FV(Tableau1[[#This Row],[Code Excel]],"P/E",TRUE),"")</f>
        <v>7.6051000000000002</v>
      </c>
      <c r="Z146" s="43" cm="1">
        <f t="array" aca="1" ref="Z146" ca="1">IFERROR(_FV(Tableau1[[#This Row],[Code Excel]],"Employés"),"")</f>
        <v>162000</v>
      </c>
      <c r="AA146" s="46">
        <f ca="1">IFERROR(Tableau1[[#This Row],[Capitalisation boursière]]/Tableau1[[#This Row],[Employés]],"")</f>
        <v>285694.52702469134</v>
      </c>
      <c r="AB146" s="5" t="str">
        <f>IFERROR(Tableau1[[#This Row],[REX (2021)]]/Tableau1[[#This Row],[CA 2024]],"")</f>
        <v/>
      </c>
      <c r="AC146" s="9" t="str">
        <f>IFERROR(_xlfn.XLOOKUP(Tableau1[[#This Row],[Isin]]&amp;1&amp;2021,#REF!,Tableau3[Résultat d''exploitation]),"")</f>
        <v/>
      </c>
      <c r="AD146" s="9" t="str">
        <f>IFERROR(_xlfn.XLOOKUP(Tableau1[[#This Row],[Isin]]&amp;1&amp;2019,#REF!,Tableau3[Chiffre d''affaires]),"")</f>
        <v/>
      </c>
      <c r="AE146" s="9" t="str">
        <f>IFERROR(_xlfn.XLOOKUP(Tableau1[[#This Row],[Isin]]&amp;1&amp;2024,#REF!,Tableau3[Chiffre d''affaires]),"")</f>
        <v/>
      </c>
      <c r="AF146" s="8" t="str">
        <f>IFERROR(IF((Tableau1[[#This Row],[CA 2024]]-Tableau1[[#This Row],[CA 2019]])/Tableau1[[#This Row],[CA 2019]]=-1,"",(Tableau1[[#This Row],[CA 2024]]-Tableau1[[#This Row],[CA 2019]])/Tableau1[[#This Row],[CA 2019]]),"")</f>
        <v/>
      </c>
      <c r="AG146" s="9" t="str">
        <f>IFERROR(_xlfn.XLOOKUP(Tableau1[[#This Row],[Isin]]&amp;1&amp;2021,#REF!,Tableau3[EBE]),"")</f>
        <v/>
      </c>
      <c r="AH146" s="9" t="str">
        <f>IFERROR(_xlfn.XLOOKUP(Tableau1[[#This Row],[Isin]]&amp;1&amp;2022,#REF!,Tableau3[EBE]),"")</f>
        <v/>
      </c>
      <c r="AI146" s="43" t="s">
        <v>4329</v>
      </c>
      <c r="AJ146" s="43" t="s">
        <v>3150</v>
      </c>
      <c r="AK146" s="43" t="s">
        <v>3148</v>
      </c>
      <c r="AL146" s="43"/>
      <c r="AM146" s="43"/>
      <c r="AN146" s="9" t="str">
        <f>IFERROR(_xlfn.XLOOKUP(Tableau1[[#This Row],[Isin]]&amp;1&amp;2021,#REF!,Tableau3[Chiffre d''affaires]),"")</f>
        <v/>
      </c>
      <c r="AO146" s="43" cm="1">
        <f t="array" aca="1" ref="AO146" ca="1">_FV(Tableau1[[#This Row],[Code Excel]],"P/E",TRUE)</f>
        <v>7.6051000000000002</v>
      </c>
      <c r="AP146" s="43" t="str">
        <f>IFERROR(_xlfn.XLOOKUP(Tableau1[[#This Row],[Isin]]&amp;1&amp;2023,#REF!,Tableau3[Résultat Net (PdG)]),"")</f>
        <v/>
      </c>
      <c r="AQ146" s="43">
        <f>IF(IFERROR(_xlfn.XLOOKUP(Tableau1[[#This Row],[Isin]]&amp;1&amp;2022,#REF!,Tableau3[Résultat Net (PdG)]),"")="",Tableau1[[#This Row],[RN Groupe 2022
Manuel]],IFERROR(_xlfn.XLOOKUP(Tableau1[[#This Row],[Isin]]&amp;1&amp;2022,#REF!,Tableau3[Résultat Net (PdG)]),""))</f>
        <v>0</v>
      </c>
      <c r="AR146" s="43"/>
      <c r="AS146" s="43">
        <f>IF(IFERROR(_xlfn.XLOOKUP(Tableau1[[#This Row],[Isin]]&amp;1&amp;2021,#REF!,Tableau3[Résultat Net (PdG)]),"")="",Tableau1[[#This Row],[RN Groupe 2021
Manuel]],IFERROR(_xlfn.XLOOKUP(Tableau1[[#This Row],[Isin]]&amp;1&amp;2021,#REF!,Tableau3[Résultat Net (PdG)]),""))</f>
        <v>0</v>
      </c>
      <c r="AT146" s="43"/>
      <c r="AU146" s="43" t="str">
        <f>IFERROR(_xlfn.XLOOKUP(Tableau1[[#This Row],[Isin]]&amp;1&amp;2020,#REF!,Tableau3[Résultat Net (PdG)]),"")</f>
        <v/>
      </c>
      <c r="AV146" s="43" t="str">
        <f>IFERROR(_xlfn.XLOOKUP(Tableau1[[#This Row],[Isin]]&amp;1&amp;2019,#REF!,Tableau3[Résultat Net (PdG)]),"")</f>
        <v/>
      </c>
      <c r="AW146" s="43" t="str">
        <f>IFERROR(_xlfn.XLOOKUP(Tableau1[[#This Row],[Isin]]&amp;1&amp;2018,#REF!,Tableau3[Résultat Net (PdG)]),"")</f>
        <v/>
      </c>
      <c r="AX146" s="43" t="str">
        <f>IFERROR(_xlfn.XLOOKUP(Tableau1[[#This Row],[Isin]]&amp;1&amp;2017,#REF!,Tableau3[Résultat Net (PdG)]),"")</f>
        <v/>
      </c>
      <c r="AY146" s="43" t="str">
        <f>IFERROR(_xlfn.XLOOKUP(Tableau1[[#This Row],[Isin]]&amp;1&amp;2016,#REF!,Tableau3[Résultat Net (PdG)]),"")</f>
        <v/>
      </c>
      <c r="AZ146" s="137" t="str">
        <f ca="1">IFERROR(Tableau1[[#This Row],[Capitalisation boursière]]/Tableau1[[#This Row],[RN Groupe 2023]],"")</f>
        <v/>
      </c>
      <c r="BA146" s="4" t="str" cm="1">
        <f t="array" aca="1" ref="BA146" ca="1">IFERROR(_FV(Tableau1[[#This Row],[Code Excel]],"Industrie"),"")</f>
        <v>Automobiles &amp; Auto Parts</v>
      </c>
      <c r="BB146" s="43" t="s">
        <v>3474</v>
      </c>
      <c r="BC146" s="43" t="str">
        <f>IFERROR(_xlfn.XLOOKUP(Tableau1[[#This Row],[Isin]]&amp;1&amp;2016,#REF!,Tableau3[Capi]),"")</f>
        <v/>
      </c>
      <c r="BD146" s="43" t="str">
        <f>IFERROR(_xlfn.XLOOKUP(Tableau1[[#This Row],[Isin]]&amp;1&amp;2017,#REF!,Tableau3[Capi]),"")</f>
        <v/>
      </c>
      <c r="BE146" s="43" t="str">
        <f>IFERROR(_xlfn.XLOOKUP(Tableau1[[#This Row],[Isin]]&amp;1&amp;2018,#REF!,Tableau3[Capi]),"")</f>
        <v/>
      </c>
      <c r="BF146" s="43" t="str">
        <f>IFERROR(_xlfn.XLOOKUP(Tableau1[[#This Row],[Isin]]&amp;1&amp;2019,#REF!,Tableau3[Capi]),"")</f>
        <v/>
      </c>
      <c r="BG146" s="43" t="str">
        <f>IFERROR(_xlfn.XLOOKUP(Tableau1[[#This Row],[Isin]]&amp;1&amp;2020,#REF!,Tableau3[Capi]),"")</f>
        <v/>
      </c>
      <c r="BH146" s="43">
        <f>IF(IFERROR(_xlfn.XLOOKUP(Tableau1[[#This Row],[Isin]]&amp;1&amp;2021,#REF!,Tableau3[Capi]),"")="",Tableau1[[#This Row],[Capitalisation 2021
Manuel]],IFERROR(_xlfn.XLOOKUP(Tableau1[[#This Row],[Isin]]&amp;1&amp;2021,#REF!,Tableau3[Capi]),""))</f>
        <v>0</v>
      </c>
      <c r="BI146" s="43"/>
      <c r="BJ146" s="43">
        <f>IF(IFERROR(_xlfn.XLOOKUP(Tableau1[[#This Row],[Isin]]&amp;1&amp;2022,#REF!,Tableau3[Capi]),"")="",Tableau1[[#This Row],[Capitalisation 2022
Manuel]],IFERROR(_xlfn.XLOOKUP(Tableau1[[#This Row],[Isin]]&amp;1&amp;2022,#REF!,Tableau3[Capi]),""))</f>
        <v>0</v>
      </c>
      <c r="BK146" s="43"/>
      <c r="BL146" s="43">
        <f ca="1">Tableau1[[#This Row],[Capitalisation boursière]]</f>
        <v>46282513378</v>
      </c>
      <c r="BM146" s="162" t="str" cm="1">
        <f t="array" aca="1" ref="BM146" ca="1">_FV(Tableau1[[#This Row],[Code Excel]],"Description")</f>
        <v>General Motors Company conçoit, fabrique et vend des camions, des véhicules multisegments, des voitures et des pièces automobiles et offre des services et des abonnements logiciels dans le monde entier. La Société fournit des services de financement automobile par l'entremise de sa General Motors Financial Company, Inc. (Services financiers GM). GM Amérique du Nord (GMNA) et GM International (GMI) développent, fabriquent et commercialisent des véhicules sous les marques Buick, Cadillac, Chevrolet et GMC. Les segments de la société comprennent GM Amérique du Nord, GMI, croisières et services financiers GM. Son segment croisière est engagé dans le développement et la commercialisation de la technologie des véhicules autonomes. Ses services et abonnements logiciels, dont OnStar, nos systèmes avancés d'aide à la conduite (ADAS), dont la technologie d'aide à la conduite Super Cruise, et sa plateforme logicielle de bout en bout. La Société se concentre également sur l'investissement dans les véhicules électriques (VE) et AVS, les services et abonnements logiciels et de nouvelles opportunités d'affaires.</v>
      </c>
      <c r="BN146" s="43"/>
      <c r="BO146" s="43"/>
      <c r="BP146" s="43"/>
      <c r="BQ146" s="43"/>
      <c r="BR146" s="4"/>
      <c r="BS146" s="21"/>
      <c r="BT146" s="13"/>
      <c r="BU146" s="13"/>
      <c r="BV146" s="13"/>
      <c r="BW146" s="13"/>
      <c r="BX146" s="13"/>
      <c r="BY146" s="3"/>
      <c r="BZ146" s="58"/>
      <c r="CA146" s="59"/>
    </row>
    <row r="147" spans="3:83">
      <c r="C147" s="42"/>
      <c r="D147" s="42">
        <f>IF(Tableau1[[#This Row],[Isin]]="",99,Tableau1[[#This Row],[Intérêt]]+Tableau1[[#This Row],[Valeur d''intérêt]]+Tableau1[[#This Row],[N° Portefeuille]])</f>
        <v>30</v>
      </c>
      <c r="E147" s="42"/>
      <c r="F147" s="42">
        <f>IF(Tableau1[[#This Row],[Portefeuille]]="p",0,Tableau1[[#This Row],[F. Investissement
Niveau d''intérêt]]*10)</f>
        <v>30</v>
      </c>
      <c r="G147" s="42">
        <f>IF(Tableau1[[#This Row],[Portefeuille]]="p",3,0)</f>
        <v>0</v>
      </c>
      <c r="H147" s="42">
        <v>3</v>
      </c>
      <c r="I147" s="42">
        <v>4</v>
      </c>
      <c r="J147" s="42"/>
      <c r="K147" s="43"/>
      <c r="L147" s="16">
        <v>0</v>
      </c>
      <c r="M14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7" s="44" t="s">
        <v>3827</v>
      </c>
      <c r="O147" s="45"/>
      <c r="P147" s="4" t="s">
        <v>84</v>
      </c>
      <c r="Q147" s="4"/>
      <c r="R147" s="6"/>
      <c r="S147" s="6" t="s">
        <v>3828</v>
      </c>
      <c r="T147" s="6" t="e" vm="134">
        <v>#VALUE!</v>
      </c>
      <c r="U147" s="46" cm="1">
        <f t="array" aca="1" ref="U147" ca="1">IFERROR(_FV(Tableau1[[#This Row],[Code Excel]],"Capitalisation boursière",TRUE),"")</f>
        <v>8940250000</v>
      </c>
      <c r="V147" s="4" t="str" cm="1">
        <f t="array" aca="1" ref="V147" ca="1">IFERROR(_FV(Tableau1[[#This Row],[Code Excel]],"Industrie"),"")</f>
        <v>Transport Infrastructure</v>
      </c>
      <c r="W147" s="4" t="s">
        <v>4337</v>
      </c>
      <c r="X147" s="4" t="str">
        <f ca="1">Tableau1[[#This Row],[Grand Secteur]]&amp;Tableau1[[#This Row],[Industrie]]</f>
        <v>TransportTransport Infrastructure</v>
      </c>
      <c r="Y147" s="23" cm="1">
        <f t="array" aca="1" ref="Y147" ca="1">IFERROR(_FV(Tableau1[[#This Row],[Code Excel]],"P/E",TRUE),"")</f>
        <v>27.7531</v>
      </c>
      <c r="Z147" s="43" cm="1">
        <f t="array" aca="1" ref="Z147" ca="1">IFERROR(_FV(Tableau1[[#This Row],[Code Excel]],"Employés"),"")</f>
        <v>3467</v>
      </c>
      <c r="AA147" s="49">
        <f ca="1">IFERROR(Tableau1[[#This Row],[Capitalisation boursière]]/Tableau1[[#This Row],[Employés]],"")</f>
        <v>2578670.3201615228</v>
      </c>
      <c r="AB147" s="5" t="str">
        <f>IFERROR(Tableau1[[#This Row],[REX (2021)]]/Tableau1[[#This Row],[CA 2024]],"")</f>
        <v/>
      </c>
      <c r="AC147" s="9" t="str">
        <f>IFERROR(_xlfn.XLOOKUP(Tableau1[[#This Row],[Isin]]&amp;1&amp;2021,#REF!,Tableau3[Résultat d''exploitation]),"")</f>
        <v/>
      </c>
      <c r="AD147" s="9" t="str">
        <f>IFERROR(_xlfn.XLOOKUP(Tableau1[[#This Row],[Isin]]&amp;1&amp;2019,#REF!,Tableau3[Chiffre d''affaires]),"")</f>
        <v/>
      </c>
      <c r="AE147" s="9" t="str">
        <f>IFERROR(_xlfn.XLOOKUP(Tableau1[[#This Row],[Isin]]&amp;1&amp;2024,#REF!,Tableau3[Chiffre d''affaires]),"")</f>
        <v/>
      </c>
      <c r="AF147" s="8" t="str">
        <f>IFERROR(IF((Tableau1[[#This Row],[CA 2024]]-Tableau1[[#This Row],[CA 2019]])/Tableau1[[#This Row],[CA 2019]]=-1,"",(Tableau1[[#This Row],[CA 2024]]-Tableau1[[#This Row],[CA 2019]])/Tableau1[[#This Row],[CA 2019]]),"")</f>
        <v/>
      </c>
      <c r="AG147" s="9" t="str">
        <f>IFERROR(_xlfn.XLOOKUP(Tableau1[[#This Row],[Isin]]&amp;1&amp;2021,#REF!,Tableau3[EBE]),"")</f>
        <v/>
      </c>
      <c r="AH147" s="9" t="str">
        <f>IFERROR(_xlfn.XLOOKUP(Tableau1[[#This Row],[Isin]]&amp;1&amp;2022,#REF!,Tableau3[EBE]),"")</f>
        <v/>
      </c>
      <c r="AI147" s="43" t="s">
        <v>3431</v>
      </c>
      <c r="AJ147" s="43" t="s">
        <v>4322</v>
      </c>
      <c r="AK147" s="43" t="s">
        <v>4338</v>
      </c>
      <c r="AL147" s="43"/>
      <c r="AM147" s="43"/>
      <c r="AN147" s="9" t="str">
        <f>IFERROR(_xlfn.XLOOKUP(Tableau1[[#This Row],[Isin]]&amp;1&amp;2021,#REF!,Tableau3[Chiffre d''affaires]),"")</f>
        <v/>
      </c>
      <c r="AO147" s="43" cm="1">
        <f t="array" aca="1" ref="AO147" ca="1">_FV(Tableau1[[#This Row],[Code Excel]],"P/E",TRUE)</f>
        <v>27.7531</v>
      </c>
      <c r="AP147" s="43" t="str">
        <f>IFERROR(_xlfn.XLOOKUP(Tableau1[[#This Row],[Isin]]&amp;1&amp;2023,#REF!,Tableau3[Résultat Net (PdG)]),"")</f>
        <v/>
      </c>
      <c r="AQ147" s="43">
        <f>IF(IFERROR(_xlfn.XLOOKUP(Tableau1[[#This Row],[Isin]]&amp;1&amp;2022,#REF!,Tableau3[Résultat Net (PdG)]),"")="",Tableau1[[#This Row],[RN Groupe 2022
Manuel]],IFERROR(_xlfn.XLOOKUP(Tableau1[[#This Row],[Isin]]&amp;1&amp;2022,#REF!,Tableau3[Résultat Net (PdG)]),""))</f>
        <v>0</v>
      </c>
      <c r="AR147" s="43"/>
      <c r="AS147" s="43">
        <f>IF(IFERROR(_xlfn.XLOOKUP(Tableau1[[#This Row],[Isin]]&amp;1&amp;2021,#REF!,Tableau3[Résultat Net (PdG)]),"")="",Tableau1[[#This Row],[RN Groupe 2021
Manuel]],IFERROR(_xlfn.XLOOKUP(Tableau1[[#This Row],[Isin]]&amp;1&amp;2021,#REF!,Tableau3[Résultat Net (PdG)]),""))</f>
        <v>0</v>
      </c>
      <c r="AT147" s="43"/>
      <c r="AU147" s="43" t="str">
        <f>IFERROR(_xlfn.XLOOKUP(Tableau1[[#This Row],[Isin]]&amp;1&amp;2020,#REF!,Tableau3[Résultat Net (PdG)]),"")</f>
        <v/>
      </c>
      <c r="AV147" s="43" t="str">
        <f>IFERROR(_xlfn.XLOOKUP(Tableau1[[#This Row],[Isin]]&amp;1&amp;2019,#REF!,Tableau3[Résultat Net (PdG)]),"")</f>
        <v/>
      </c>
      <c r="AW147" s="43" t="str">
        <f>IFERROR(_xlfn.XLOOKUP(Tableau1[[#This Row],[Isin]]&amp;1&amp;2018,#REF!,Tableau3[Résultat Net (PdG)]),"")</f>
        <v/>
      </c>
      <c r="AX147" s="43" t="str">
        <f>IFERROR(_xlfn.XLOOKUP(Tableau1[[#This Row],[Isin]]&amp;1&amp;2017,#REF!,Tableau3[Résultat Net (PdG)]),"")</f>
        <v/>
      </c>
      <c r="AY147" s="43" t="str">
        <f>IFERROR(_xlfn.XLOOKUP(Tableau1[[#This Row],[Isin]]&amp;1&amp;2016,#REF!,Tableau3[Résultat Net (PdG)]),"")</f>
        <v/>
      </c>
      <c r="AZ147" s="137" t="str">
        <f ca="1">IFERROR(Tableau1[[#This Row],[Capitalisation boursière]]/Tableau1[[#This Row],[RN Groupe 2023]],"")</f>
        <v/>
      </c>
      <c r="BA147" s="4" t="str" cm="1">
        <f t="array" aca="1" ref="BA147" ca="1">IFERROR(_FV(Tableau1[[#This Row],[Code Excel]],"Industrie"),"")</f>
        <v>Transport Infrastructure</v>
      </c>
      <c r="BB147" s="43" t="s">
        <v>3477</v>
      </c>
      <c r="BC147" s="43" t="str">
        <f>IFERROR(_xlfn.XLOOKUP(Tableau1[[#This Row],[Isin]]&amp;1&amp;2016,#REF!,Tableau3[Capi]),"")</f>
        <v/>
      </c>
      <c r="BD147" s="43" t="str">
        <f>IFERROR(_xlfn.XLOOKUP(Tableau1[[#This Row],[Isin]]&amp;1&amp;2017,#REF!,Tableau3[Capi]),"")</f>
        <v/>
      </c>
      <c r="BE147" s="43" t="str">
        <f>IFERROR(_xlfn.XLOOKUP(Tableau1[[#This Row],[Isin]]&amp;1&amp;2018,#REF!,Tableau3[Capi]),"")</f>
        <v/>
      </c>
      <c r="BF147" s="43" t="str">
        <f>IFERROR(_xlfn.XLOOKUP(Tableau1[[#This Row],[Isin]]&amp;1&amp;2019,#REF!,Tableau3[Capi]),"")</f>
        <v/>
      </c>
      <c r="BG147" s="43" t="str">
        <f>IFERROR(_xlfn.XLOOKUP(Tableau1[[#This Row],[Isin]]&amp;1&amp;2020,#REF!,Tableau3[Capi]),"")</f>
        <v/>
      </c>
      <c r="BH147" s="43">
        <f>IF(IFERROR(_xlfn.XLOOKUP(Tableau1[[#This Row],[Isin]]&amp;1&amp;2021,#REF!,Tableau3[Capi]),"")="",Tableau1[[#This Row],[Capitalisation 2021
Manuel]],IFERROR(_xlfn.XLOOKUP(Tableau1[[#This Row],[Isin]]&amp;1&amp;2021,#REF!,Tableau3[Capi]),""))</f>
        <v>0</v>
      </c>
      <c r="BI147" s="43"/>
      <c r="BJ147" s="43">
        <f>IF(IFERROR(_xlfn.XLOOKUP(Tableau1[[#This Row],[Isin]]&amp;1&amp;2022,#REF!,Tableau3[Capi]),"")="",Tableau1[[#This Row],[Capitalisation 2022
Manuel]],IFERROR(_xlfn.XLOOKUP(Tableau1[[#This Row],[Isin]]&amp;1&amp;2022,#REF!,Tableau3[Capi]),""))</f>
        <v>0</v>
      </c>
      <c r="BK147" s="43"/>
      <c r="BL147" s="43">
        <f ca="1">Tableau1[[#This Row],[Capitalisation boursière]]</f>
        <v>8940250000</v>
      </c>
      <c r="BM147" s="162" t="str" cm="1">
        <f t="array" aca="1" ref="BM147" ca="1">_FV(Tableau1[[#This Row],[Code Excel]],"Description")</f>
        <v>Getlink SE, anciennement dénommée Groupe Eurotunnel SE, est une société basée en France qui regroupe un groupe de sociétés actives dans les domaines de la gestion des infrastructures et des opérations de transport. Ses différentes entités partagent l'attention à la qualité et au service client, avec une priorité donnée à la sécurité. La Société gère et exploite le tunnel sous la Manche entre le Royaume-Uni et la France et son infrastructure ferroviaire. La Société est également engagée dans le transport de passagers et de marchandises entre l'Europe continentale et le Royaume-Uni. En outre, Elle assure le transport par ferry à travers la Manche. Getlink SE a des participations directes et indirectes dans un certain nombre de sociétés, notamment Channel Tunnel Group Limited, France Manche SA et Europorte SAS, entre autres.</v>
      </c>
      <c r="BN147" s="43"/>
      <c r="BO147" s="43"/>
      <c r="BP147" s="43"/>
      <c r="BQ147" s="43"/>
      <c r="BR147" s="4"/>
      <c r="BS147" s="21"/>
      <c r="BT147" s="13"/>
      <c r="BU147" s="13"/>
      <c r="BV147" s="13"/>
      <c r="BW147" s="13"/>
      <c r="BX147" s="13"/>
      <c r="BY147" s="3"/>
      <c r="BZ147" s="58"/>
      <c r="CA147" s="59"/>
    </row>
    <row r="148" spans="3:83">
      <c r="C148" s="43"/>
      <c r="D148" s="42">
        <f>IF(Tableau1[[#This Row],[Isin]]="",99,Tableau1[[#This Row],[Intérêt]]+Tableau1[[#This Row],[Valeur d''intérêt]]+Tableau1[[#This Row],[N° Portefeuille]])</f>
        <v>30</v>
      </c>
      <c r="E148" s="43"/>
      <c r="F148" s="42">
        <f>IF(Tableau1[[#This Row],[Portefeuille]]="p",0,Tableau1[[#This Row],[F. Investissement
Niveau d''intérêt]]*10)</f>
        <v>30</v>
      </c>
      <c r="G148" s="43">
        <f>IF(Tableau1[[#This Row],[Portefeuille]]="p",3,0)</f>
        <v>0</v>
      </c>
      <c r="H148" s="43">
        <v>3</v>
      </c>
      <c r="I148" s="43">
        <v>4</v>
      </c>
      <c r="J148" s="43"/>
      <c r="K148" s="43"/>
      <c r="L148" s="16">
        <v>0</v>
      </c>
      <c r="M14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8" s="44" t="s">
        <v>3830</v>
      </c>
      <c r="O148" s="45"/>
      <c r="P148" s="4" t="s">
        <v>382</v>
      </c>
      <c r="Q148" s="4"/>
      <c r="R148" s="6"/>
      <c r="S148" s="6" t="s">
        <v>3831</v>
      </c>
      <c r="T148" s="6" t="e" vm="135">
        <v>#VALUE!</v>
      </c>
      <c r="U148" s="46" cm="1">
        <f t="array" aca="1" ref="U148" ca="1">IFERROR(_FV(Tableau1[[#This Row],[Code Excel]],"Capitalisation boursière",TRUE),"")</f>
        <v>138956170275</v>
      </c>
      <c r="V148" s="4" t="str" cm="1">
        <f t="array" aca="1" ref="V148" ca="1">IFERROR(_FV(Tableau1[[#This Row],[Code Excel]],"Industrie"),"")</f>
        <v>Pharmaceuticals</v>
      </c>
      <c r="W148" s="4" t="s">
        <v>1586</v>
      </c>
      <c r="X148" s="4" t="str">
        <f ca="1">Tableau1[[#This Row],[Grand Secteur]]&amp;Tableau1[[#This Row],[Industrie]]</f>
        <v>SantéPharmaceuticals</v>
      </c>
      <c r="Y148" s="23" cm="1">
        <f t="array" aca="1" ref="Y148" ca="1">IFERROR(_FV(Tableau1[[#This Row],[Code Excel]],"P/E",TRUE),"")</f>
        <v>326.48790000000002</v>
      </c>
      <c r="Z148" s="43" cm="1">
        <f t="array" aca="1" ref="Z148" ca="1">IFERROR(_FV(Tableau1[[#This Row],[Code Excel]],"Employés"),"")</f>
        <v>17600</v>
      </c>
      <c r="AA148" s="49">
        <f ca="1">IFERROR(Tableau1[[#This Row],[Capitalisation boursière]]/Tableau1[[#This Row],[Employés]],"")</f>
        <v>7895236.9474431816</v>
      </c>
      <c r="AB148" s="5" t="str">
        <f>IFERROR(Tableau1[[#This Row],[REX (2021)]]/Tableau1[[#This Row],[CA 2024]],"")</f>
        <v/>
      </c>
      <c r="AC148" s="9" t="str">
        <f>IFERROR(_xlfn.XLOOKUP(Tableau1[[#This Row],[Isin]]&amp;1&amp;2021,#REF!,Tableau3[Résultat d''exploitation]),"")</f>
        <v/>
      </c>
      <c r="AD148" s="9" t="str">
        <f>IFERROR(_xlfn.XLOOKUP(Tableau1[[#This Row],[Isin]]&amp;1&amp;2019,#REF!,Tableau3[Chiffre d''affaires]),"")</f>
        <v/>
      </c>
      <c r="AE148" s="9" t="str">
        <f>IFERROR(_xlfn.XLOOKUP(Tableau1[[#This Row],[Isin]]&amp;1&amp;2024,#REF!,Tableau3[Chiffre d''affaires]),"")</f>
        <v/>
      </c>
      <c r="AF148" s="8" t="str">
        <f>IFERROR(IF((Tableau1[[#This Row],[CA 2024]]-Tableau1[[#This Row],[CA 2019]])/Tableau1[[#This Row],[CA 2019]]=-1,"",(Tableau1[[#This Row],[CA 2024]]-Tableau1[[#This Row],[CA 2019]])/Tableau1[[#This Row],[CA 2019]]),"")</f>
        <v/>
      </c>
      <c r="AG148" s="9" t="str">
        <f>IFERROR(_xlfn.XLOOKUP(Tableau1[[#This Row],[Isin]]&amp;1&amp;2021,#REF!,Tableau3[EBE]),"")</f>
        <v/>
      </c>
      <c r="AH148" s="9" t="str">
        <f>IFERROR(_xlfn.XLOOKUP(Tableau1[[#This Row],[Isin]]&amp;1&amp;2022,#REF!,Tableau3[EBE]),"")</f>
        <v/>
      </c>
      <c r="AI148" s="13" t="s">
        <v>4324</v>
      </c>
      <c r="AJ148" s="13" t="s">
        <v>4325</v>
      </c>
      <c r="AK148" s="13" t="s">
        <v>3148</v>
      </c>
      <c r="AL148" s="43"/>
      <c r="AM148" s="43"/>
      <c r="AN148" s="9" t="str">
        <f>IFERROR(_xlfn.XLOOKUP(Tableau1[[#This Row],[Isin]]&amp;1&amp;2021,#REF!,Tableau3[Chiffre d''affaires]),"")</f>
        <v/>
      </c>
      <c r="AO148" s="43" cm="1">
        <f t="array" aca="1" ref="AO148" ca="1">_FV(Tableau1[[#This Row],[Code Excel]],"P/E",TRUE)</f>
        <v>326.48790000000002</v>
      </c>
      <c r="AP148" s="43" t="str">
        <f>IFERROR(_xlfn.XLOOKUP(Tableau1[[#This Row],[Isin]]&amp;1&amp;2023,#REF!,Tableau3[Résultat Net (PdG)]),"")</f>
        <v/>
      </c>
      <c r="AQ148" s="43">
        <f>IF(IFERROR(_xlfn.XLOOKUP(Tableau1[[#This Row],[Isin]]&amp;1&amp;2022,#REF!,Tableau3[Résultat Net (PdG)]),"")="",Tableau1[[#This Row],[RN Groupe 2022
Manuel]],IFERROR(_xlfn.XLOOKUP(Tableau1[[#This Row],[Isin]]&amp;1&amp;2022,#REF!,Tableau3[Résultat Net (PdG)]),""))</f>
        <v>0</v>
      </c>
      <c r="AR148" s="43"/>
      <c r="AS148" s="43">
        <f>IF(IFERROR(_xlfn.XLOOKUP(Tableau1[[#This Row],[Isin]]&amp;1&amp;2021,#REF!,Tableau3[Résultat Net (PdG)]),"")="",Tableau1[[#This Row],[RN Groupe 2021
Manuel]],IFERROR(_xlfn.XLOOKUP(Tableau1[[#This Row],[Isin]]&amp;1&amp;2021,#REF!,Tableau3[Résultat Net (PdG)]),""))</f>
        <v>0</v>
      </c>
      <c r="AT148" s="43"/>
      <c r="AU148" s="43" t="str">
        <f>IFERROR(_xlfn.XLOOKUP(Tableau1[[#This Row],[Isin]]&amp;1&amp;2020,#REF!,Tableau3[Résultat Net (PdG)]),"")</f>
        <v/>
      </c>
      <c r="AV148" s="43" t="str">
        <f>IFERROR(_xlfn.XLOOKUP(Tableau1[[#This Row],[Isin]]&amp;1&amp;2019,#REF!,Tableau3[Résultat Net (PdG)]),"")</f>
        <v/>
      </c>
      <c r="AW148" s="43" t="str">
        <f>IFERROR(_xlfn.XLOOKUP(Tableau1[[#This Row],[Isin]]&amp;1&amp;2018,#REF!,Tableau3[Résultat Net (PdG)]),"")</f>
        <v/>
      </c>
      <c r="AX148" s="43" t="str">
        <f>IFERROR(_xlfn.XLOOKUP(Tableau1[[#This Row],[Isin]]&amp;1&amp;2017,#REF!,Tableau3[Résultat Net (PdG)]),"")</f>
        <v/>
      </c>
      <c r="AY148" s="43" t="str">
        <f>IFERROR(_xlfn.XLOOKUP(Tableau1[[#This Row],[Isin]]&amp;1&amp;2016,#REF!,Tableau3[Résultat Net (PdG)]),"")</f>
        <v/>
      </c>
      <c r="AZ148" s="137" t="str">
        <f ca="1">IFERROR(Tableau1[[#This Row],[Capitalisation boursière]]/Tableau1[[#This Row],[RN Groupe 2023]],"")</f>
        <v/>
      </c>
      <c r="BA148" s="4" t="str" cm="1">
        <f t="array" aca="1" ref="BA148" ca="1">IFERROR(_FV(Tableau1[[#This Row],[Code Excel]],"Industrie"),"")</f>
        <v>Pharmaceuticals</v>
      </c>
      <c r="BB148" s="43" t="s">
        <v>3491</v>
      </c>
      <c r="BC148" s="43" t="str">
        <f>IFERROR(_xlfn.XLOOKUP(Tableau1[[#This Row],[Isin]]&amp;1&amp;2016,#REF!,Tableau3[Capi]),"")</f>
        <v/>
      </c>
      <c r="BD148" s="43" t="str">
        <f>IFERROR(_xlfn.XLOOKUP(Tableau1[[#This Row],[Isin]]&amp;1&amp;2017,#REF!,Tableau3[Capi]),"")</f>
        <v/>
      </c>
      <c r="BE148" s="43" t="str">
        <f>IFERROR(_xlfn.XLOOKUP(Tableau1[[#This Row],[Isin]]&amp;1&amp;2018,#REF!,Tableau3[Capi]),"")</f>
        <v/>
      </c>
      <c r="BF148" s="43" t="str">
        <f>IFERROR(_xlfn.XLOOKUP(Tableau1[[#This Row],[Isin]]&amp;1&amp;2019,#REF!,Tableau3[Capi]),"")</f>
        <v/>
      </c>
      <c r="BG148" s="43" t="str">
        <f>IFERROR(_xlfn.XLOOKUP(Tableau1[[#This Row],[Isin]]&amp;1&amp;2020,#REF!,Tableau3[Capi]),"")</f>
        <v/>
      </c>
      <c r="BH148" s="43">
        <f>IF(IFERROR(_xlfn.XLOOKUP(Tableau1[[#This Row],[Isin]]&amp;1&amp;2021,#REF!,Tableau3[Capi]),"")="",Tableau1[[#This Row],[Capitalisation 2021
Manuel]],IFERROR(_xlfn.XLOOKUP(Tableau1[[#This Row],[Isin]]&amp;1&amp;2021,#REF!,Tableau3[Capi]),""))</f>
        <v>0</v>
      </c>
      <c r="BI148" s="43"/>
      <c r="BJ148" s="43">
        <f>IF(IFERROR(_xlfn.XLOOKUP(Tableau1[[#This Row],[Isin]]&amp;1&amp;2022,#REF!,Tableau3[Capi]),"")="",Tableau1[[#This Row],[Capitalisation 2022
Manuel]],IFERROR(_xlfn.XLOOKUP(Tableau1[[#This Row],[Isin]]&amp;1&amp;2022,#REF!,Tableau3[Capi]),""))</f>
        <v>0</v>
      </c>
      <c r="BK148" s="43"/>
      <c r="BL148" s="43">
        <f ca="1">Tableau1[[#This Row],[Capitalisation boursière]]</f>
        <v>138956170275</v>
      </c>
      <c r="BM148" s="162" t="str" cm="1">
        <f t="array" aca="1" ref="BM148" ca="1">_FV(Tableau1[[#This Row],[Code Excel]],"Description")</f>
        <v>Gilead Sciences, Inc. est une société biopharmaceutique. Elle s'emploie à faire progresser les médicaments pour prévenir et traiter les maladies potentiellement mortelles, notamment le virus de l'immunodéficience humaine (VIH), l'hépatite virale, la maladie à coronavirus 2019 (COVID-19) et le cancer. Il est axé sur la découverte, le développement et la commercialisation de médicaments dans des domaines où les besoins médicaux ne sont pas satisfaits. Son portefeuille de produits commercialisés comprend AmBisome, Atripla, Biktarvy, Cayston, Complera, Descovy, Descovy pour la préparation, Emtriva, Epclusa, Eviplera, Genvoya, Harvoni, Hepcludex, Hepsera, Jyseleca, Letairis, Odefsey, Sovaldi, Stribild, Sunlenca, Tecartus, Trodelvy, Truvada, Truvada pour la préparation, Tybost, Veklury, Vemlidy, Viread, Vosevi, Yescarta et Zydelig. Ses produits candidats comprennent Bulevirtide, Lenacapavir, Axicabtagene ciloleucel, Domvanalimab et zimberelimab, et seladelpar. Seladelpar doit être utilisé pour le traitement de la cholangite biliaire primitive (CBP), y compris le prurit. La Société opère dans plus de 35 pays.</v>
      </c>
      <c r="BN148" s="43"/>
      <c r="BO148" s="43"/>
      <c r="BP148" s="43"/>
      <c r="BQ148" s="43"/>
      <c r="BR148" s="4"/>
      <c r="BS148" s="21"/>
      <c r="BT148" s="13"/>
      <c r="BU148" s="13"/>
      <c r="BV148" s="13"/>
      <c r="BW148" s="13"/>
      <c r="BX148" s="13"/>
      <c r="BY148" s="3"/>
      <c r="BZ148" s="58"/>
      <c r="CA148" s="59"/>
    </row>
    <row r="149" spans="3:83">
      <c r="C149" s="42"/>
      <c r="D149" s="42">
        <f>IF(Tableau1[[#This Row],[Isin]]="",99,Tableau1[[#This Row],[Intérêt]]+Tableau1[[#This Row],[Valeur d''intérêt]]+Tableau1[[#This Row],[N° Portefeuille]])</f>
        <v>20</v>
      </c>
      <c r="E149" s="42"/>
      <c r="F149" s="42">
        <f>IF(Tableau1[[#This Row],[Portefeuille]]="p",0,Tableau1[[#This Row],[F. Investissement
Niveau d''intérêt]]*10)</f>
        <v>20</v>
      </c>
      <c r="G149" s="42">
        <f>IF(Tableau1[[#This Row],[Portefeuille]]="p",3,0)</f>
        <v>0</v>
      </c>
      <c r="H149" s="42">
        <v>2</v>
      </c>
      <c r="I149" s="42">
        <v>3</v>
      </c>
      <c r="J149" s="42"/>
      <c r="K149" s="43"/>
      <c r="L149" s="16">
        <v>1</v>
      </c>
      <c r="M14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49" s="44" t="s">
        <v>3833</v>
      </c>
      <c r="O149" s="45"/>
      <c r="P149" s="4" t="s">
        <v>99</v>
      </c>
      <c r="Q149" s="4"/>
      <c r="R149" s="6"/>
      <c r="S149" s="6" t="s">
        <v>3012</v>
      </c>
      <c r="T149" s="6" t="e" vm="136">
        <v>#VALUE!</v>
      </c>
      <c r="U149" s="46" cm="1">
        <f t="array" aca="1" ref="U149" ca="1">IFERROR(_FV(Tableau1[[#This Row],[Code Excel]],"Capitalisation boursière",TRUE),"")</f>
        <v>35392340000</v>
      </c>
      <c r="V149" s="4" t="str" cm="1">
        <f t="array" aca="1" ref="V149" ca="1">IFERROR(_FV(Tableau1[[#This Row],[Code Excel]],"Industrie"),"")</f>
        <v>Chemicals</v>
      </c>
      <c r="W149" s="4" t="s">
        <v>2431</v>
      </c>
      <c r="X149" s="4" t="str">
        <f ca="1">Tableau1[[#This Row],[Grand Secteur]]&amp;Tableau1[[#This Row],[Industrie]]</f>
        <v>ChimieChemicals</v>
      </c>
      <c r="Y149" s="23" cm="1">
        <f t="array" aca="1" ref="Y149" ca="1">IFERROR(_FV(Tableau1[[#This Row],[Code Excel]],"P/E",TRUE),"")</f>
        <v>32.5852</v>
      </c>
      <c r="Z149" s="43" cm="1">
        <f t="array" aca="1" ref="Z149" ca="1">IFERROR(_FV(Tableau1[[#This Row],[Code Excel]],"Employés"),"")</f>
        <v>16942</v>
      </c>
      <c r="AA149" s="46">
        <f ca="1">IFERROR(Tableau1[[#This Row],[Capitalisation boursière]]/Tableau1[[#This Row],[Employés]],"")</f>
        <v>2089029.6305040726</v>
      </c>
      <c r="AB149" s="5" t="str">
        <f>IFERROR(Tableau1[[#This Row],[REX (2021)]]/Tableau1[[#This Row],[CA 2024]],"")</f>
        <v/>
      </c>
      <c r="AC149" s="9" t="str">
        <f>IFERROR(_xlfn.XLOOKUP(Tableau1[[#This Row],[Isin]]&amp;1&amp;2021,#REF!,Tableau3[Résultat d''exploitation]),"")</f>
        <v/>
      </c>
      <c r="AD149" s="9" t="str">
        <f>IFERROR(_xlfn.XLOOKUP(Tableau1[[#This Row],[Isin]]&amp;1&amp;2019,#REF!,Tableau3[Chiffre d''affaires]),"")</f>
        <v/>
      </c>
      <c r="AE149" s="9" t="str">
        <f>IFERROR(_xlfn.XLOOKUP(Tableau1[[#This Row],[Isin]]&amp;1&amp;2024,#REF!,Tableau3[Chiffre d''affaires]),"")</f>
        <v/>
      </c>
      <c r="AF149" s="8" t="str">
        <f>IFERROR(IF((Tableau1[[#This Row],[CA 2024]]-Tableau1[[#This Row],[CA 2019]])/Tableau1[[#This Row],[CA 2019]]=-1,"",(Tableau1[[#This Row],[CA 2024]]-Tableau1[[#This Row],[CA 2019]])/Tableau1[[#This Row],[CA 2019]]),"")</f>
        <v/>
      </c>
      <c r="AG149" s="9" t="str">
        <f>IFERROR(_xlfn.XLOOKUP(Tableau1[[#This Row],[Isin]]&amp;1&amp;2021,#REF!,Tableau3[EBE]),"")</f>
        <v/>
      </c>
      <c r="AH149" s="9" t="str">
        <f>IFERROR(_xlfn.XLOOKUP(Tableau1[[#This Row],[Isin]]&amp;1&amp;2022,#REF!,Tableau3[EBE]),"")</f>
        <v/>
      </c>
      <c r="AI149" s="43" t="s">
        <v>4329</v>
      </c>
      <c r="AJ149" s="43" t="s">
        <v>3150</v>
      </c>
      <c r="AK149" s="43" t="s">
        <v>3148</v>
      </c>
      <c r="AL149" s="43"/>
      <c r="AM149" s="43"/>
      <c r="AN149" s="9" t="str">
        <f>IFERROR(_xlfn.XLOOKUP(Tableau1[[#This Row],[Isin]]&amp;1&amp;2021,#REF!,Tableau3[Chiffre d''affaires]),"")</f>
        <v/>
      </c>
      <c r="AO149" s="43" cm="1">
        <f t="array" aca="1" ref="AO149" ca="1">_FV(Tableau1[[#This Row],[Code Excel]],"P/E",TRUE)</f>
        <v>32.5852</v>
      </c>
      <c r="AP149" s="43" t="str">
        <f>IFERROR(_xlfn.XLOOKUP(Tableau1[[#This Row],[Isin]]&amp;1&amp;2023,#REF!,Tableau3[Résultat Net (PdG)]),"")</f>
        <v/>
      </c>
      <c r="AQ149" s="43">
        <f>IF(IFERROR(_xlfn.XLOOKUP(Tableau1[[#This Row],[Isin]]&amp;1&amp;2022,#REF!,Tableau3[Résultat Net (PdG)]),"")="",Tableau1[[#This Row],[RN Groupe 2022
Manuel]],IFERROR(_xlfn.XLOOKUP(Tableau1[[#This Row],[Isin]]&amp;1&amp;2022,#REF!,Tableau3[Résultat Net (PdG)]),""))</f>
        <v>0</v>
      </c>
      <c r="AR149" s="43"/>
      <c r="AS149" s="43">
        <f>IF(IFERROR(_xlfn.XLOOKUP(Tableau1[[#This Row],[Isin]]&amp;1&amp;2021,#REF!,Tableau3[Résultat Net (PdG)]),"")="",Tableau1[[#This Row],[RN Groupe 2021
Manuel]],IFERROR(_xlfn.XLOOKUP(Tableau1[[#This Row],[Isin]]&amp;1&amp;2021,#REF!,Tableau3[Résultat Net (PdG)]),""))</f>
        <v>0</v>
      </c>
      <c r="AT149" s="43"/>
      <c r="AU149" s="43" t="str">
        <f>IFERROR(_xlfn.XLOOKUP(Tableau1[[#This Row],[Isin]]&amp;1&amp;2020,#REF!,Tableau3[Résultat Net (PdG)]),"")</f>
        <v/>
      </c>
      <c r="AV149" s="43" t="str">
        <f>IFERROR(_xlfn.XLOOKUP(Tableau1[[#This Row],[Isin]]&amp;1&amp;2019,#REF!,Tableau3[Résultat Net (PdG)]),"")</f>
        <v/>
      </c>
      <c r="AW149" s="43" t="str">
        <f>IFERROR(_xlfn.XLOOKUP(Tableau1[[#This Row],[Isin]]&amp;1&amp;2018,#REF!,Tableau3[Résultat Net (PdG)]),"")</f>
        <v/>
      </c>
      <c r="AX149" s="43" t="str">
        <f>IFERROR(_xlfn.XLOOKUP(Tableau1[[#This Row],[Isin]]&amp;1&amp;2017,#REF!,Tableau3[Résultat Net (PdG)]),"")</f>
        <v/>
      </c>
      <c r="AY149" s="43" t="str">
        <f>IFERROR(_xlfn.XLOOKUP(Tableau1[[#This Row],[Isin]]&amp;1&amp;2016,#REF!,Tableau3[Résultat Net (PdG)]),"")</f>
        <v/>
      </c>
      <c r="AZ149" s="137" t="str">
        <f ca="1">IFERROR(Tableau1[[#This Row],[Capitalisation boursière]]/Tableau1[[#This Row],[RN Groupe 2023]],"")</f>
        <v/>
      </c>
      <c r="BA149" s="4" t="str" cm="1">
        <f t="array" aca="1" ref="BA149" ca="1">IFERROR(_FV(Tableau1[[#This Row],[Code Excel]],"Industrie"),"")</f>
        <v>Chemicals</v>
      </c>
      <c r="BB149" s="43" t="s">
        <v>3469</v>
      </c>
      <c r="BC149" s="43" t="str">
        <f>IFERROR(_xlfn.XLOOKUP(Tableau1[[#This Row],[Isin]]&amp;1&amp;2016,#REF!,Tableau3[Capi]),"")</f>
        <v/>
      </c>
      <c r="BD149" s="43" t="str">
        <f>IFERROR(_xlfn.XLOOKUP(Tableau1[[#This Row],[Isin]]&amp;1&amp;2017,#REF!,Tableau3[Capi]),"")</f>
        <v/>
      </c>
      <c r="BE149" s="43" t="str">
        <f>IFERROR(_xlfn.XLOOKUP(Tableau1[[#This Row],[Isin]]&amp;1&amp;2018,#REF!,Tableau3[Capi]),"")</f>
        <v/>
      </c>
      <c r="BF149" s="43" t="str">
        <f>IFERROR(_xlfn.XLOOKUP(Tableau1[[#This Row],[Isin]]&amp;1&amp;2019,#REF!,Tableau3[Capi]),"")</f>
        <v/>
      </c>
      <c r="BG149" s="43" t="str">
        <f>IFERROR(_xlfn.XLOOKUP(Tableau1[[#This Row],[Isin]]&amp;1&amp;2020,#REF!,Tableau3[Capi]),"")</f>
        <v/>
      </c>
      <c r="BH149" s="43">
        <f>IF(IFERROR(_xlfn.XLOOKUP(Tableau1[[#This Row],[Isin]]&amp;1&amp;2021,#REF!,Tableau3[Capi]),"")="",Tableau1[[#This Row],[Capitalisation 2021
Manuel]],IFERROR(_xlfn.XLOOKUP(Tableau1[[#This Row],[Isin]]&amp;1&amp;2021,#REF!,Tableau3[Capi]),""))</f>
        <v>0</v>
      </c>
      <c r="BI149" s="43"/>
      <c r="BJ149" s="43">
        <f>IF(IFERROR(_xlfn.XLOOKUP(Tableau1[[#This Row],[Isin]]&amp;1&amp;2022,#REF!,Tableau3[Capi]),"")="",Tableau1[[#This Row],[Capitalisation 2022
Manuel]],IFERROR(_xlfn.XLOOKUP(Tableau1[[#This Row],[Isin]]&amp;1&amp;2022,#REF!,Tableau3[Capi]),""))</f>
        <v>0</v>
      </c>
      <c r="BK149" s="43"/>
      <c r="BL149" s="43">
        <f ca="1">Tableau1[[#This Row],[Capitalisation boursière]]</f>
        <v>35392340000</v>
      </c>
      <c r="BM149" s="162" t="str" cm="1">
        <f t="array" aca="1" ref="BM149" ca="1">_FV(Tableau1[[#This Row],[Code Excel]],"Description")</f>
        <v>Givaudan SA est une holding basée en Suisse, et spécialisée dans l'industrie du parfum et des saveurs. La Société a deux divisions : Parfums et Saveurs. Le segment Parfums se compose de la fabrication et de la vente de parfums à travers quatre unités commerciales : Parfumerie fine, incluant les parfums ; Produits de consommation, incluant les soins personnels, de la peau et des cheveux, les produits ménagers et les soins bucco-dentaires ; Ingrédients de parfum ; et Activités cosmétiques, composée de produits de beauté. La division commerciale Saveurs se compose de la fabrication et la vente de saveurs en quatre unités commerciales : Boissons, comprenant des saveurs pour les boissons gazeuses, jus de fruits et boissons instantanées ; Produits laitiers, comprenant des glaces, yaourts, desserts et matières grasses à tartiner ; Produits salés, couvrant les soupes et les sauces ; et Confiserie. La Société s'engage aussi dans des activités de recherche et de développement de matières premières synthétiques et naturelles utilisées en parfumerie. La Société opère Induchem Holding AG comme une filiale à part entière.</v>
      </c>
      <c r="BN149" s="43"/>
      <c r="BO149" s="43"/>
      <c r="BP149" s="43"/>
      <c r="BQ149" s="43"/>
      <c r="BR149" s="4"/>
      <c r="BS149" s="21"/>
      <c r="BT149" s="13"/>
      <c r="BU149" s="13"/>
      <c r="BV149" s="13"/>
      <c r="BW149" s="13"/>
      <c r="BX149" s="13"/>
      <c r="BY149" s="3"/>
      <c r="BZ149" s="58"/>
      <c r="CA149" s="59"/>
    </row>
    <row r="150" spans="3:83">
      <c r="C150" s="43"/>
      <c r="D150" s="42">
        <f>IF(Tableau1[[#This Row],[Isin]]="",99,Tableau1[[#This Row],[Intérêt]]+Tableau1[[#This Row],[Valeur d''intérêt]]+Tableau1[[#This Row],[N° Portefeuille]])</f>
        <v>30</v>
      </c>
      <c r="E150" s="43"/>
      <c r="F150" s="42">
        <f>IF(Tableau1[[#This Row],[Portefeuille]]="p",0,Tableau1[[#This Row],[F. Investissement
Niveau d''intérêt]]*10)</f>
        <v>30</v>
      </c>
      <c r="G150" s="43">
        <f>IF(Tableau1[[#This Row],[Portefeuille]]="p",3,0)</f>
        <v>0</v>
      </c>
      <c r="H150" s="43">
        <v>3</v>
      </c>
      <c r="I150" s="43">
        <v>4</v>
      </c>
      <c r="J150" s="43"/>
      <c r="K150" s="43"/>
      <c r="L150" s="16"/>
      <c r="M15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0" s="44" t="s">
        <v>1581</v>
      </c>
      <c r="O150" s="45"/>
      <c r="P150" s="4"/>
      <c r="Q150" s="4"/>
      <c r="R150" s="6"/>
      <c r="S150" s="6" t="s">
        <v>1583</v>
      </c>
      <c r="T150" s="6" t="e" vm="137">
        <v>#VALUE!</v>
      </c>
      <c r="U150" s="46" cm="1">
        <f t="array" aca="1" ref="U150" ca="1">IFERROR(_FV(Tableau1[[#This Row],[Code Excel]],"Capitalisation boursière",TRUE),"")</f>
        <v>17219140000</v>
      </c>
      <c r="V150" s="4" t="str" cm="1">
        <f t="array" aca="1" ref="V150" ca="1">IFERROR(_FV(Tableau1[[#This Row],[Code Excel]],"Industrie"),"")</f>
        <v>Computers, Phones &amp; Household Electronics</v>
      </c>
      <c r="W150" s="4"/>
      <c r="X150" s="4" t="str">
        <f ca="1">Tableau1[[#This Row],[Grand Secteur]]&amp;Tableau1[[#This Row],[Industrie]]</f>
        <v>Computers, Phones &amp; Household Electronics</v>
      </c>
      <c r="Y150" s="23" cm="1">
        <f t="array" aca="1" ref="Y150" ca="1">IFERROR(_FV(Tableau1[[#This Row],[Code Excel]],"P/E",TRUE),"")</f>
        <v>16.829999999999998</v>
      </c>
      <c r="Z150" s="43" cm="1">
        <f t="array" aca="1" ref="Z150" ca="1">IFERROR(_FV(Tableau1[[#This Row],[Code Excel]],"Employés"),"")</f>
        <v>7347</v>
      </c>
      <c r="AA150" s="46">
        <f ca="1">IFERROR(Tableau1[[#This Row],[Capitalisation boursière]]/Tableau1[[#This Row],[Employés]],"")</f>
        <v>2343696.7469715532</v>
      </c>
      <c r="AB150" s="5" t="str">
        <f>IFERROR(Tableau1[[#This Row],[REX (2021)]]/Tableau1[[#This Row],[CA 2024]],"")</f>
        <v/>
      </c>
      <c r="AC150" s="9" t="str">
        <f>IFERROR(_xlfn.XLOOKUP(Tableau1[[#This Row],[Isin]]&amp;1&amp;2021,#REF!,Tableau3[Résultat d''exploitation]),"")</f>
        <v/>
      </c>
      <c r="AD150" s="9" t="str">
        <f>IFERROR(_xlfn.XLOOKUP(Tableau1[[#This Row],[Isin]]&amp;1&amp;2019,#REF!,Tableau3[Chiffre d''affaires]),"")</f>
        <v/>
      </c>
      <c r="AE150" s="9" t="str">
        <f>IFERROR(_xlfn.XLOOKUP(Tableau1[[#This Row],[Isin]]&amp;1&amp;2024,#REF!,Tableau3[Chiffre d''affaires]),"")</f>
        <v/>
      </c>
      <c r="AF150" s="8" t="str">
        <f>IFERROR(IF((Tableau1[[#This Row],[CA 2024]]-Tableau1[[#This Row],[CA 2019]])/Tableau1[[#This Row],[CA 2019]]=-1,"",(Tableau1[[#This Row],[CA 2024]]-Tableau1[[#This Row],[CA 2019]])/Tableau1[[#This Row],[CA 2019]]),"")</f>
        <v/>
      </c>
      <c r="AG150" s="9" t="str">
        <f>IFERROR(_xlfn.XLOOKUP(Tableau1[[#This Row],[Isin]]&amp;1&amp;2021,#REF!,Tableau3[EBE]),"")</f>
        <v/>
      </c>
      <c r="AH150" s="9" t="str">
        <f>IFERROR(_xlfn.XLOOKUP(Tableau1[[#This Row],[Isin]]&amp;1&amp;2022,#REF!,Tableau3[EBE]),"")</f>
        <v/>
      </c>
      <c r="AI150" s="43"/>
      <c r="AJ150" s="43"/>
      <c r="AK150" s="43"/>
      <c r="AL150" s="43"/>
      <c r="AM150" s="43"/>
      <c r="AN150" s="9" t="str">
        <f>IFERROR(_xlfn.XLOOKUP(Tableau1[[#This Row],[Isin]]&amp;1&amp;2021,#REF!,Tableau3[Chiffre d''affaires]),"")</f>
        <v/>
      </c>
      <c r="AO150" s="43" cm="1">
        <f t="array" aca="1" ref="AO150" ca="1">_FV(Tableau1[[#This Row],[Code Excel]],"P/E",TRUE)</f>
        <v>16.829999999999998</v>
      </c>
      <c r="AP150" s="43" t="str">
        <f>IFERROR(_xlfn.XLOOKUP(Tableau1[[#This Row],[Isin]]&amp;1&amp;2023,#REF!,Tableau3[Résultat Net (PdG)]),"")</f>
        <v/>
      </c>
      <c r="AQ150" s="43">
        <f>IF(IFERROR(_xlfn.XLOOKUP(Tableau1[[#This Row],[Isin]]&amp;1&amp;2022,#REF!,Tableau3[Résultat Net (PdG)]),"")="",Tableau1[[#This Row],[RN Groupe 2022
Manuel]],IFERROR(_xlfn.XLOOKUP(Tableau1[[#This Row],[Isin]]&amp;1&amp;2022,#REF!,Tableau3[Résultat Net (PdG)]),""))</f>
        <v>0</v>
      </c>
      <c r="AR150" s="43"/>
      <c r="AS150" s="43">
        <f>IF(IFERROR(_xlfn.XLOOKUP(Tableau1[[#This Row],[Isin]]&amp;1&amp;2021,#REF!,Tableau3[Résultat Net (PdG)]),"")="",Tableau1[[#This Row],[RN Groupe 2021
Manuel]],IFERROR(_xlfn.XLOOKUP(Tableau1[[#This Row],[Isin]]&amp;1&amp;2021,#REF!,Tableau3[Résultat Net (PdG)]),""))</f>
        <v>0</v>
      </c>
      <c r="AT150" s="43"/>
      <c r="AU150" s="43" t="str">
        <f>IFERROR(_xlfn.XLOOKUP(Tableau1[[#This Row],[Isin]]&amp;1&amp;2020,#REF!,Tableau3[Résultat Net (PdG)]),"")</f>
        <v/>
      </c>
      <c r="AV150" s="43" t="str">
        <f>IFERROR(_xlfn.XLOOKUP(Tableau1[[#This Row],[Isin]]&amp;1&amp;2019,#REF!,Tableau3[Résultat Net (PdG)]),"")</f>
        <v/>
      </c>
      <c r="AW150" s="43" t="str">
        <f>IFERROR(_xlfn.XLOOKUP(Tableau1[[#This Row],[Isin]]&amp;1&amp;2018,#REF!,Tableau3[Résultat Net (PdG)]),"")</f>
        <v/>
      </c>
      <c r="AX150" s="43" t="str">
        <f>IFERROR(_xlfn.XLOOKUP(Tableau1[[#This Row],[Isin]]&amp;1&amp;2017,#REF!,Tableau3[Résultat Net (PdG)]),"")</f>
        <v/>
      </c>
      <c r="AY150" s="43" t="str">
        <f>IFERROR(_xlfn.XLOOKUP(Tableau1[[#This Row],[Isin]]&amp;1&amp;2016,#REF!,Tableau3[Résultat Net (PdG)]),"")</f>
        <v/>
      </c>
      <c r="AZ150" s="137" t="str">
        <f ca="1">IFERROR(Tableau1[[#This Row],[Capitalisation boursière]]/Tableau1[[#This Row],[RN Groupe 2023]],"")</f>
        <v/>
      </c>
      <c r="BA150" s="4" t="str" cm="1">
        <f t="array" aca="1" ref="BA150" ca="1">IFERROR(_FV(Tableau1[[#This Row],[Code Excel]],"Industrie"),"")</f>
        <v>Computers, Phones &amp; Household Electronics</v>
      </c>
      <c r="BB150" s="43">
        <v>0</v>
      </c>
      <c r="BC150" s="43" t="str">
        <f>IFERROR(_xlfn.XLOOKUP(Tableau1[[#This Row],[Isin]]&amp;1&amp;2016,#REF!,Tableau3[Capi]),"")</f>
        <v/>
      </c>
      <c r="BD150" s="43" t="str">
        <f>IFERROR(_xlfn.XLOOKUP(Tableau1[[#This Row],[Isin]]&amp;1&amp;2017,#REF!,Tableau3[Capi]),"")</f>
        <v/>
      </c>
      <c r="BE150" s="43" t="str">
        <f>IFERROR(_xlfn.XLOOKUP(Tableau1[[#This Row],[Isin]]&amp;1&amp;2018,#REF!,Tableau3[Capi]),"")</f>
        <v/>
      </c>
      <c r="BF150" s="43" t="str">
        <f>IFERROR(_xlfn.XLOOKUP(Tableau1[[#This Row],[Isin]]&amp;1&amp;2019,#REF!,Tableau3[Capi]),"")</f>
        <v/>
      </c>
      <c r="BG150" s="43" t="str">
        <f>IFERROR(_xlfn.XLOOKUP(Tableau1[[#This Row],[Isin]]&amp;1&amp;2020,#REF!,Tableau3[Capi]),"")</f>
        <v/>
      </c>
      <c r="BH150" s="43">
        <f>IF(IFERROR(_xlfn.XLOOKUP(Tableau1[[#This Row],[Isin]]&amp;1&amp;2021,#REF!,Tableau3[Capi]),"")="",Tableau1[[#This Row],[Capitalisation 2021
Manuel]],IFERROR(_xlfn.XLOOKUP(Tableau1[[#This Row],[Isin]]&amp;1&amp;2021,#REF!,Tableau3[Capi]),""))</f>
        <v>0</v>
      </c>
      <c r="BI150" s="43"/>
      <c r="BJ150" s="43">
        <f>IF(IFERROR(_xlfn.XLOOKUP(Tableau1[[#This Row],[Isin]]&amp;1&amp;2022,#REF!,Tableau3[Capi]),"")="",Tableau1[[#This Row],[Capitalisation 2022
Manuel]],IFERROR(_xlfn.XLOOKUP(Tableau1[[#This Row],[Isin]]&amp;1&amp;2022,#REF!,Tableau3[Capi]),""))</f>
        <v>0</v>
      </c>
      <c r="BK150" s="43"/>
      <c r="BL150" s="43">
        <f ca="1">Tableau1[[#This Row],[Capitalisation boursière]]</f>
        <v>17219140000</v>
      </c>
      <c r="BM150" s="162" t="str" cm="1">
        <f t="array" aca="1" ref="BM150" ca="1">_FV(Tableau1[[#This Row],[Code Excel]],"Description")</f>
        <v>GN Store Nord A/S est une société basée au Danemark qui propose des solutions audio. La société se concentre sur le système auditif humain, le son et la parole, les technologies sans fil et le développement de logiciels reliant les connaissances et les connaissances des industries des prothèses auditives et des casques. Les segments de la société comprennent GN Hearing, GN Audio et Other GN. Le segment GN Audio est engagé dans la vente de solutions de communication mains libres sous forme de casques pour téléphones mobiles et téléphones traditionnels. Le segment GN Hearing opère dans l'industrie des aides auditives, produisant et vendant principalement des aides auditives et des produits connexes. GN Hearing est un fabricant en gros. Elle propose un portefeuille de solutions audio médicales, professionnelles et grand public, et propose des marques dans les domaines de la technologie médicale, des appareils auditifs et de l'audio. Ses solutions audio sont commercialisées par ses marques ReSound et Jabra. Elle fournit des produits et des solutions aux utilisateurs dans plus de 90 pays à travers le monde.</v>
      </c>
      <c r="BN150" s="43"/>
      <c r="BO150" s="43"/>
      <c r="BP150" s="43"/>
      <c r="BQ150" s="43"/>
      <c r="BR150" s="4"/>
      <c r="BS150" s="21"/>
      <c r="BT150" s="13"/>
      <c r="BU150" s="13"/>
      <c r="BV150" s="13"/>
      <c r="BW150" s="13"/>
      <c r="BX150" s="13"/>
      <c r="BY150" s="3"/>
      <c r="BZ150" s="58"/>
      <c r="CA150" s="59"/>
    </row>
    <row r="151" spans="3:83">
      <c r="C151" s="43"/>
      <c r="D151" s="42">
        <f>IF(Tableau1[[#This Row],[Isin]]="",99,Tableau1[[#This Row],[Intérêt]]+Tableau1[[#This Row],[Valeur d''intérêt]]+Tableau1[[#This Row],[N° Portefeuille]])</f>
        <v>30</v>
      </c>
      <c r="E151" s="43"/>
      <c r="F151" s="42">
        <f>IF(Tableau1[[#This Row],[Portefeuille]]="p",0,Tableau1[[#This Row],[F. Investissement
Niveau d''intérêt]]*10)</f>
        <v>30</v>
      </c>
      <c r="G151" s="43">
        <f>IF(Tableau1[[#This Row],[Portefeuille]]="p",3,0)</f>
        <v>0</v>
      </c>
      <c r="H151" s="42">
        <v>3</v>
      </c>
      <c r="I151" s="43">
        <v>4</v>
      </c>
      <c r="J151" s="43"/>
      <c r="K151" s="43"/>
      <c r="L151" s="16">
        <v>1</v>
      </c>
      <c r="M15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1" s="44" t="s">
        <v>3836</v>
      </c>
      <c r="O151" s="44" t="s">
        <v>1882</v>
      </c>
      <c r="P151" s="4" t="s">
        <v>382</v>
      </c>
      <c r="Q151" s="6" t="s">
        <v>383</v>
      </c>
      <c r="R151" s="6"/>
      <c r="S151" s="6" t="s">
        <v>1883</v>
      </c>
      <c r="T151" s="6" t="e" vm="138">
        <v>#VALUE!</v>
      </c>
      <c r="U151" s="51" cm="1">
        <f t="array" aca="1" ref="U151" ca="1">IFERROR(_FV(Tableau1[[#This Row],[Code Excel]],"Capitalisation boursière",TRUE),"")</f>
        <v>165781815168</v>
      </c>
      <c r="V151" s="4" t="str" cm="1">
        <f t="array" aca="1" ref="V151" ca="1">IFERROR(_FV(Tableau1[[#This Row],[Code Excel]],"Industrie"),"")</f>
        <v>Investment Banking &amp; Investment Services</v>
      </c>
      <c r="W151" s="4" t="s">
        <v>4335</v>
      </c>
      <c r="X151" s="4" t="str">
        <f ca="1">Tableau1[[#This Row],[Grand Secteur]]&amp;Tableau1[[#This Row],[Industrie]]</f>
        <v>FinanceInvestment Banking &amp; Investment Services</v>
      </c>
      <c r="Y151" s="23" cm="1">
        <f t="array" aca="1" ref="Y151" ca="1">IFERROR(_FV(Tableau1[[#This Row],[Code Excel]],"P/E",TRUE),"")</f>
        <v>13.398899999999999</v>
      </c>
      <c r="Z151" s="43" cm="1">
        <f t="array" aca="1" ref="Z151" ca="1">IFERROR(_FV(Tableau1[[#This Row],[Code Excel]],"Employés"),"")</f>
        <v>46500</v>
      </c>
      <c r="AA151" s="49">
        <f ca="1">IFERROR(Tableau1[[#This Row],[Capitalisation boursière]]/Tableau1[[#This Row],[Employés]],"")</f>
        <v>3565200.3261935483</v>
      </c>
      <c r="AB151" s="5" t="str">
        <f>IFERROR(Tableau1[[#This Row],[REX (2021)]]/Tableau1[[#This Row],[CA 2024]],"")</f>
        <v/>
      </c>
      <c r="AC151" s="9" t="str">
        <f>IFERROR(_xlfn.XLOOKUP(Tableau1[[#This Row],[Isin]]&amp;1&amp;2021,#REF!,Tableau3[Résultat d''exploitation]),"")</f>
        <v/>
      </c>
      <c r="AD151" s="9" t="str">
        <f>IFERROR(_xlfn.XLOOKUP(Tableau1[[#This Row],[Isin]]&amp;1&amp;2019,#REF!,Tableau3[Chiffre d''affaires]),"")</f>
        <v/>
      </c>
      <c r="AE151" s="9" t="str">
        <f>IFERROR(_xlfn.XLOOKUP(Tableau1[[#This Row],[Isin]]&amp;1&amp;2024,#REF!,Tableau3[Chiffre d''affaires]),"")</f>
        <v/>
      </c>
      <c r="AF151" s="8" t="str">
        <f>IFERROR(IF((Tableau1[[#This Row],[CA 2024]]-Tableau1[[#This Row],[CA 2019]])/Tableau1[[#This Row],[CA 2019]]=-1,"",(Tableau1[[#This Row],[CA 2024]]-Tableau1[[#This Row],[CA 2019]])/Tableau1[[#This Row],[CA 2019]]),"")</f>
        <v/>
      </c>
      <c r="AG151" s="9" t="str">
        <f>IFERROR(_xlfn.XLOOKUP(Tableau1[[#This Row],[Isin]]&amp;1&amp;2021,#REF!,Tableau3[EBE]),"")</f>
        <v/>
      </c>
      <c r="AH151" s="9" t="str">
        <f>IFERROR(_xlfn.XLOOKUP(Tableau1[[#This Row],[Isin]]&amp;1&amp;2022,#REF!,Tableau3[EBE]),"")</f>
        <v/>
      </c>
      <c r="AI151" s="43" t="s">
        <v>4343</v>
      </c>
      <c r="AJ151" s="43" t="s">
        <v>4356</v>
      </c>
      <c r="AK151" s="43" t="s">
        <v>3149</v>
      </c>
      <c r="AL151" s="43" t="s">
        <v>3149</v>
      </c>
      <c r="AM151" s="43"/>
      <c r="AN151" s="9" t="str">
        <f>IFERROR(_xlfn.XLOOKUP(Tableau1[[#This Row],[Isin]]&amp;1&amp;2021,#REF!,Tableau3[Chiffre d''affaires]),"")</f>
        <v/>
      </c>
      <c r="AO151" s="43" cm="1">
        <f t="array" aca="1" ref="AO151" ca="1">_FV(Tableau1[[#This Row],[Code Excel]],"P/E",TRUE)</f>
        <v>13.398899999999999</v>
      </c>
      <c r="AP151" s="43" t="str">
        <f>IFERROR(_xlfn.XLOOKUP(Tableau1[[#This Row],[Isin]]&amp;1&amp;2023,#REF!,Tableau3[Résultat Net (PdG)]),"")</f>
        <v/>
      </c>
      <c r="AQ151" s="43">
        <f>IF(IFERROR(_xlfn.XLOOKUP(Tableau1[[#This Row],[Isin]]&amp;1&amp;2022,#REF!,Tableau3[Résultat Net (PdG)]),"")="",Tableau1[[#This Row],[RN Groupe 2022
Manuel]],IFERROR(_xlfn.XLOOKUP(Tableau1[[#This Row],[Isin]]&amp;1&amp;2022,#REF!,Tableau3[Résultat Net (PdG)]),""))</f>
        <v>0</v>
      </c>
      <c r="AR151" s="43"/>
      <c r="AS151" s="43">
        <f>IF(IFERROR(_xlfn.XLOOKUP(Tableau1[[#This Row],[Isin]]&amp;1&amp;2021,#REF!,Tableau3[Résultat Net (PdG)]),"")="",Tableau1[[#This Row],[RN Groupe 2021
Manuel]],IFERROR(_xlfn.XLOOKUP(Tableau1[[#This Row],[Isin]]&amp;1&amp;2021,#REF!,Tableau3[Résultat Net (PdG)]),""))</f>
        <v>0</v>
      </c>
      <c r="AT151" s="43"/>
      <c r="AU151" s="43" t="str">
        <f>IFERROR(_xlfn.XLOOKUP(Tableau1[[#This Row],[Isin]]&amp;1&amp;2020,#REF!,Tableau3[Résultat Net (PdG)]),"")</f>
        <v/>
      </c>
      <c r="AV151" s="43" t="str">
        <f>IFERROR(_xlfn.XLOOKUP(Tableau1[[#This Row],[Isin]]&amp;1&amp;2019,#REF!,Tableau3[Résultat Net (PdG)]),"")</f>
        <v/>
      </c>
      <c r="AW151" s="43" t="str">
        <f>IFERROR(_xlfn.XLOOKUP(Tableau1[[#This Row],[Isin]]&amp;1&amp;2018,#REF!,Tableau3[Résultat Net (PdG)]),"")</f>
        <v/>
      </c>
      <c r="AX151" s="43" t="str">
        <f>IFERROR(_xlfn.XLOOKUP(Tableau1[[#This Row],[Isin]]&amp;1&amp;2017,#REF!,Tableau3[Résultat Net (PdG)]),"")</f>
        <v/>
      </c>
      <c r="AY151" s="43" t="str">
        <f>IFERROR(_xlfn.XLOOKUP(Tableau1[[#This Row],[Isin]]&amp;1&amp;2016,#REF!,Tableau3[Résultat Net (PdG)]),"")</f>
        <v/>
      </c>
      <c r="AZ151" s="137" t="str">
        <f ca="1">IFERROR(Tableau1[[#This Row],[Capitalisation boursière]]/Tableau1[[#This Row],[RN Groupe 2023]],"")</f>
        <v/>
      </c>
      <c r="BA151" s="4" t="str" cm="1">
        <f t="array" aca="1" ref="BA151" ca="1">IFERROR(_FV(Tableau1[[#This Row],[Code Excel]],"Industrie"),"")</f>
        <v>Investment Banking &amp; Investment Services</v>
      </c>
      <c r="BB151" s="43" t="s">
        <v>3464</v>
      </c>
      <c r="BC151" s="43" t="str">
        <f>IFERROR(_xlfn.XLOOKUP(Tableau1[[#This Row],[Isin]]&amp;1&amp;2016,#REF!,Tableau3[Capi]),"")</f>
        <v/>
      </c>
      <c r="BD151" s="43" t="str">
        <f>IFERROR(_xlfn.XLOOKUP(Tableau1[[#This Row],[Isin]]&amp;1&amp;2017,#REF!,Tableau3[Capi]),"")</f>
        <v/>
      </c>
      <c r="BE151" s="43" t="str">
        <f>IFERROR(_xlfn.XLOOKUP(Tableau1[[#This Row],[Isin]]&amp;1&amp;2018,#REF!,Tableau3[Capi]),"")</f>
        <v/>
      </c>
      <c r="BF151" s="43" t="str">
        <f>IFERROR(_xlfn.XLOOKUP(Tableau1[[#This Row],[Isin]]&amp;1&amp;2019,#REF!,Tableau3[Capi]),"")</f>
        <v/>
      </c>
      <c r="BG151" s="43" t="str">
        <f>IFERROR(_xlfn.XLOOKUP(Tableau1[[#This Row],[Isin]]&amp;1&amp;2020,#REF!,Tableau3[Capi]),"")</f>
        <v/>
      </c>
      <c r="BH151" s="43">
        <f>IF(IFERROR(_xlfn.XLOOKUP(Tableau1[[#This Row],[Isin]]&amp;1&amp;2021,#REF!,Tableau3[Capi]),"")="",Tableau1[[#This Row],[Capitalisation 2021
Manuel]],IFERROR(_xlfn.XLOOKUP(Tableau1[[#This Row],[Isin]]&amp;1&amp;2021,#REF!,Tableau3[Capi]),""))</f>
        <v>0</v>
      </c>
      <c r="BI151" s="43"/>
      <c r="BJ151" s="43">
        <f>IF(IFERROR(_xlfn.XLOOKUP(Tableau1[[#This Row],[Isin]]&amp;1&amp;2022,#REF!,Tableau3[Capi]),"")="",Tableau1[[#This Row],[Capitalisation 2022
Manuel]],IFERROR(_xlfn.XLOOKUP(Tableau1[[#This Row],[Isin]]&amp;1&amp;2022,#REF!,Tableau3[Capi]),""))</f>
        <v>0</v>
      </c>
      <c r="BK151" s="43"/>
      <c r="BL151" s="43">
        <f ca="1">Tableau1[[#This Row],[Capitalisation boursière]]</f>
        <v>165781815168</v>
      </c>
      <c r="BM151" s="162" t="str" cm="1">
        <f t="array" aca="1" ref="BM151" ca="1">_FV(Tableau1[[#This Row],[Code Excel]],"Description")</f>
        <v>Goldman Sachs Group, Inc. est une institution financière mondiale qui offre une gamme de services financiers à une clientèle vaste et diversifiée qui comprend des sociétés, des institutions financières, des gouvernements et des particuliers. Ses segments incluent Global Banking &amp; Markets, Asset &amp; Wealth Management et Platform solutions. Le segment Global Banking &amp; Markets offre une gamme de services, notamment des services de financement, de conseil, de distribution des risques et de couverture pour ses clients institutionnels et corporatifs. Il facilite les transactions avec les clients et crée des marchés pour les titres à revenu fixe, les actions, les devises et les produits de base. Le segment Asset &amp; Wealth Management gère les actifs et offre des produits de placement dans toutes les classes d'actifs à un ensemble diversifié de clients. Elle fournit également des solutions de conseil en investissement et en patrimoine. Le segment des solutions de plateforme comprend des plateformes grand public, telles que des partenariats offrant des cartes de crédit et des financements au point de vente, ainsi que des services bancaires transactionnels et d'autres plateformes.</v>
      </c>
      <c r="BN151" s="43"/>
      <c r="BO151" s="43"/>
      <c r="BP151" s="43"/>
      <c r="BQ151" s="43"/>
      <c r="BR151" s="4"/>
      <c r="BS151" s="21"/>
      <c r="BT151" s="13"/>
      <c r="BU151" s="13"/>
      <c r="BV151" s="13"/>
      <c r="BW151" s="13"/>
      <c r="BX151" s="13"/>
      <c r="BY151" s="3"/>
      <c r="BZ151" s="58"/>
      <c r="CA151" s="59"/>
    </row>
    <row r="152" spans="3:83">
      <c r="C152" s="42"/>
      <c r="D152" s="42">
        <f>IF(Tableau1[[#This Row],[Isin]]="",99,Tableau1[[#This Row],[Intérêt]]+Tableau1[[#This Row],[Valeur d''intérêt]]+Tableau1[[#This Row],[N° Portefeuille]])</f>
        <v>30</v>
      </c>
      <c r="E152" s="42"/>
      <c r="F152" s="42">
        <f>IF(Tableau1[[#This Row],[Portefeuille]]="p",0,Tableau1[[#This Row],[F. Investissement
Niveau d''intérêt]]*10)</f>
        <v>30</v>
      </c>
      <c r="G152" s="42">
        <f>IF(Tableau1[[#This Row],[Portefeuille]]="p",3,0)</f>
        <v>0</v>
      </c>
      <c r="H152" s="42">
        <v>3</v>
      </c>
      <c r="I152" s="42">
        <v>4</v>
      </c>
      <c r="J152" s="42"/>
      <c r="K152" s="43"/>
      <c r="L152" s="16">
        <v>1</v>
      </c>
      <c r="M15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2" s="44" t="s">
        <v>1888</v>
      </c>
      <c r="O152" s="44" t="s">
        <v>1889</v>
      </c>
      <c r="P152" s="4" t="s">
        <v>427</v>
      </c>
      <c r="Q152" s="6" t="s">
        <v>85</v>
      </c>
      <c r="R152" s="6" t="s">
        <v>4361</v>
      </c>
      <c r="S152" s="6" t="s">
        <v>819</v>
      </c>
      <c r="T152" s="6"/>
      <c r="U152" s="46" t="str" cm="1">
        <f t="array" ref="U152">IFERROR(_FV(Tableau1[[#This Row],[Code Excel]],"Capitalisation boursière",TRUE),"")</f>
        <v/>
      </c>
      <c r="V152" s="4" t="str" cm="1">
        <f t="array" ref="V152">IFERROR(_FV(Tableau1[[#This Row],[Code Excel]],"Industrie"),"")</f>
        <v/>
      </c>
      <c r="W152" s="4"/>
      <c r="X152" s="4" t="str">
        <f>Tableau1[[#This Row],[Grand Secteur]]&amp;Tableau1[[#This Row],[Industrie]]</f>
        <v/>
      </c>
      <c r="Y152" s="23" t="str" cm="1">
        <f t="array" ref="Y152">IFERROR(_FV(Tableau1[[#This Row],[Code Excel]],"P/E",TRUE),"")</f>
        <v/>
      </c>
      <c r="Z152" s="43" t="str" cm="1">
        <f t="array" ref="Z152">IFERROR(_FV(Tableau1[[#This Row],[Code Excel]],"Employés"),"")</f>
        <v/>
      </c>
      <c r="AA152" s="49" t="str">
        <f>IFERROR(Tableau1[[#This Row],[Capitalisation boursière]]/Tableau1[[#This Row],[Employés]],"")</f>
        <v/>
      </c>
      <c r="AB152" s="5" t="str">
        <f>IFERROR(Tableau1[[#This Row],[REX (2021)]]/Tableau1[[#This Row],[CA 2024]],"")</f>
        <v/>
      </c>
      <c r="AC152" s="9" t="str">
        <f>IFERROR(_xlfn.XLOOKUP(Tableau1[[#This Row],[Isin]]&amp;1&amp;2021,#REF!,Tableau3[Résultat d''exploitation]),"")</f>
        <v/>
      </c>
      <c r="AD152" s="9" t="str">
        <f>IFERROR(_xlfn.XLOOKUP(Tableau1[[#This Row],[Isin]]&amp;1&amp;2019,#REF!,Tableau3[Chiffre d''affaires]),"")</f>
        <v/>
      </c>
      <c r="AE152" s="9" t="str">
        <f>IFERROR(_xlfn.XLOOKUP(Tableau1[[#This Row],[Isin]]&amp;1&amp;2024,#REF!,Tableau3[Chiffre d''affaires]),"")</f>
        <v/>
      </c>
      <c r="AF152" s="8" t="str">
        <f>IFERROR(IF((Tableau1[[#This Row],[CA 2024]]-Tableau1[[#This Row],[CA 2019]])/Tableau1[[#This Row],[CA 2019]]=-1,"",(Tableau1[[#This Row],[CA 2024]]-Tableau1[[#This Row],[CA 2019]])/Tableau1[[#This Row],[CA 2019]]),"")</f>
        <v/>
      </c>
      <c r="AG152" s="9" t="str">
        <f>IFERROR(_xlfn.XLOOKUP(Tableau1[[#This Row],[Isin]]&amp;1&amp;2021,#REF!,Tableau3[EBE]),"")</f>
        <v/>
      </c>
      <c r="AH152" s="9" t="str">
        <f>IFERROR(_xlfn.XLOOKUP(Tableau1[[#This Row],[Isin]]&amp;1&amp;2022,#REF!,Tableau3[EBE]),"")</f>
        <v/>
      </c>
      <c r="AI152" s="43"/>
      <c r="AJ152" s="43"/>
      <c r="AK152" s="43"/>
      <c r="AL152" s="43"/>
      <c r="AM152" s="43"/>
      <c r="AN152" s="9" t="str">
        <f>IFERROR(_xlfn.XLOOKUP(Tableau1[[#This Row],[Isin]]&amp;1&amp;2021,#REF!,Tableau3[Chiffre d''affaires]),"")</f>
        <v/>
      </c>
      <c r="AO152" s="43" t="e" cm="1" vm="1">
        <f t="array" ref="AO152">_FV(Tableau1[[#This Row],[Code Excel]],"P/E",TRUE)</f>
        <v>#VALUE!</v>
      </c>
      <c r="AP152" s="43" t="str">
        <f>IFERROR(_xlfn.XLOOKUP(Tableau1[[#This Row],[Isin]]&amp;1&amp;2023,#REF!,Tableau3[Résultat Net (PdG)]),"")</f>
        <v/>
      </c>
      <c r="AQ152" s="43">
        <f>IF(IFERROR(_xlfn.XLOOKUP(Tableau1[[#This Row],[Isin]]&amp;1&amp;2022,#REF!,Tableau3[Résultat Net (PdG)]),"")="",Tableau1[[#This Row],[RN Groupe 2022
Manuel]],IFERROR(_xlfn.XLOOKUP(Tableau1[[#This Row],[Isin]]&amp;1&amp;2022,#REF!,Tableau3[Résultat Net (PdG)]),""))</f>
        <v>0</v>
      </c>
      <c r="AR152" s="43"/>
      <c r="AS152" s="43">
        <f>IF(IFERROR(_xlfn.XLOOKUP(Tableau1[[#This Row],[Isin]]&amp;1&amp;2021,#REF!,Tableau3[Résultat Net (PdG)]),"")="",Tableau1[[#This Row],[RN Groupe 2021
Manuel]],IFERROR(_xlfn.XLOOKUP(Tableau1[[#This Row],[Isin]]&amp;1&amp;2021,#REF!,Tableau3[Résultat Net (PdG)]),""))</f>
        <v>0</v>
      </c>
      <c r="AT152" s="43"/>
      <c r="AU152" s="43" t="str">
        <f>IFERROR(_xlfn.XLOOKUP(Tableau1[[#This Row],[Isin]]&amp;1&amp;2020,#REF!,Tableau3[Résultat Net (PdG)]),"")</f>
        <v/>
      </c>
      <c r="AV152" s="43" t="str">
        <f>IFERROR(_xlfn.XLOOKUP(Tableau1[[#This Row],[Isin]]&amp;1&amp;2019,#REF!,Tableau3[Résultat Net (PdG)]),"")</f>
        <v/>
      </c>
      <c r="AW152" s="43" t="str">
        <f>IFERROR(_xlfn.XLOOKUP(Tableau1[[#This Row],[Isin]]&amp;1&amp;2018,#REF!,Tableau3[Résultat Net (PdG)]),"")</f>
        <v/>
      </c>
      <c r="AX152" s="43" t="str">
        <f>IFERROR(_xlfn.XLOOKUP(Tableau1[[#This Row],[Isin]]&amp;1&amp;2017,#REF!,Tableau3[Résultat Net (PdG)]),"")</f>
        <v/>
      </c>
      <c r="AY152" s="43" t="str">
        <f>IFERROR(_xlfn.XLOOKUP(Tableau1[[#This Row],[Isin]]&amp;1&amp;2016,#REF!,Tableau3[Résultat Net (PdG)]),"")</f>
        <v/>
      </c>
      <c r="AZ152" s="137" t="str">
        <f>IFERROR(Tableau1[[#This Row],[Capitalisation boursière]]/Tableau1[[#This Row],[RN Groupe 2023]],"")</f>
        <v/>
      </c>
      <c r="BA152" s="4" t="str" cm="1">
        <f t="array" ref="BA152">IFERROR(_FV(Tableau1[[#This Row],[Code Excel]],"Industrie"),"")</f>
        <v/>
      </c>
      <c r="BB152" s="43" t="e">
        <v>#N/A</v>
      </c>
      <c r="BC152" s="43" t="str">
        <f>IFERROR(_xlfn.XLOOKUP(Tableau1[[#This Row],[Isin]]&amp;1&amp;2016,#REF!,Tableau3[Capi]),"")</f>
        <v/>
      </c>
      <c r="BD152" s="43" t="str">
        <f>IFERROR(_xlfn.XLOOKUP(Tableau1[[#This Row],[Isin]]&amp;1&amp;2017,#REF!,Tableau3[Capi]),"")</f>
        <v/>
      </c>
      <c r="BE152" s="43" t="str">
        <f>IFERROR(_xlfn.XLOOKUP(Tableau1[[#This Row],[Isin]]&amp;1&amp;2018,#REF!,Tableau3[Capi]),"")</f>
        <v/>
      </c>
      <c r="BF152" s="43" t="str">
        <f>IFERROR(_xlfn.XLOOKUP(Tableau1[[#This Row],[Isin]]&amp;1&amp;2019,#REF!,Tableau3[Capi]),"")</f>
        <v/>
      </c>
      <c r="BG152" s="43" t="str">
        <f>IFERROR(_xlfn.XLOOKUP(Tableau1[[#This Row],[Isin]]&amp;1&amp;2020,#REF!,Tableau3[Capi]),"")</f>
        <v/>
      </c>
      <c r="BH152" s="43">
        <f>IF(IFERROR(_xlfn.XLOOKUP(Tableau1[[#This Row],[Isin]]&amp;1&amp;2021,#REF!,Tableau3[Capi]),"")="",Tableau1[[#This Row],[Capitalisation 2021
Manuel]],IFERROR(_xlfn.XLOOKUP(Tableau1[[#This Row],[Isin]]&amp;1&amp;2021,#REF!,Tableau3[Capi]),""))</f>
        <v>0</v>
      </c>
      <c r="BI152" s="43"/>
      <c r="BJ152" s="43">
        <f>IF(IFERROR(_xlfn.XLOOKUP(Tableau1[[#This Row],[Isin]]&amp;1&amp;2022,#REF!,Tableau3[Capi]),"")="",Tableau1[[#This Row],[Capitalisation 2022
Manuel]],IFERROR(_xlfn.XLOOKUP(Tableau1[[#This Row],[Isin]]&amp;1&amp;2022,#REF!,Tableau3[Capi]),""))</f>
        <v>0</v>
      </c>
      <c r="BK152" s="43"/>
      <c r="BL152" s="43" t="str">
        <f>Tableau1[[#This Row],[Capitalisation boursière]]</f>
        <v/>
      </c>
      <c r="BM152" s="162" t="e" cm="1" vm="2">
        <f t="array" ref="BM152">_FV(Tableau1[[#This Row],[Code Excel]],"Description")</f>
        <v>#VALUE!</v>
      </c>
      <c r="BN152" s="43"/>
      <c r="BO152" s="43"/>
      <c r="BP152" s="43"/>
      <c r="BQ152" s="43"/>
      <c r="BR152" s="4"/>
      <c r="BS152" s="21"/>
      <c r="BT152" s="13"/>
      <c r="BU152" s="13"/>
      <c r="BV152" s="13"/>
      <c r="BW152" s="13"/>
      <c r="BX152" s="13"/>
      <c r="BY152" s="3"/>
      <c r="BZ152" s="58"/>
      <c r="CA152" s="59"/>
    </row>
    <row r="153" spans="3:83">
      <c r="C153" s="43"/>
      <c r="D153" s="42">
        <f>IF(Tableau1[[#This Row],[Isin]]="",99,Tableau1[[#This Row],[Intérêt]]+Tableau1[[#This Row],[Valeur d''intérêt]]+Tableau1[[#This Row],[N° Portefeuille]])</f>
        <v>30</v>
      </c>
      <c r="E153" s="43"/>
      <c r="F153" s="42">
        <f>IF(Tableau1[[#This Row],[Portefeuille]]="p",0,Tableau1[[#This Row],[F. Investissement
Niveau d''intérêt]]*10)</f>
        <v>30</v>
      </c>
      <c r="G153" s="43">
        <f>IF(Tableau1[[#This Row],[Portefeuille]]="p",3,0)</f>
        <v>0</v>
      </c>
      <c r="H153" s="42">
        <v>3</v>
      </c>
      <c r="I153" s="43">
        <v>4</v>
      </c>
      <c r="J153" s="43"/>
      <c r="K153" s="43"/>
      <c r="L153" s="16">
        <v>0</v>
      </c>
      <c r="M15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3" s="44" t="s">
        <v>3838</v>
      </c>
      <c r="O153" s="45"/>
      <c r="P153" s="4" t="s">
        <v>452</v>
      </c>
      <c r="Q153" s="4"/>
      <c r="R153" s="6"/>
      <c r="S153" s="6" t="s">
        <v>3839</v>
      </c>
      <c r="T153" s="6" t="e" vm="139">
        <v>#VALUE!</v>
      </c>
      <c r="U153" s="46" cm="1">
        <f t="array" aca="1" ref="U153" ca="1">IFERROR(_FV(Tableau1[[#This Row],[Code Excel]],"Capitalisation boursière",TRUE),"")</f>
        <v>9722600000</v>
      </c>
      <c r="V153" s="4" t="str" cm="1">
        <f t="array" aca="1" ref="V153" ca="1">IFERROR(_FV(Tableau1[[#This Row],[Code Excel]],"Industrie"),"")</f>
        <v>Holding Companies</v>
      </c>
      <c r="W153" s="4" t="s">
        <v>2188</v>
      </c>
      <c r="X153" s="4" t="str">
        <f ca="1">Tableau1[[#This Row],[Grand Secteur]]&amp;Tableau1[[#This Row],[Industrie]]</f>
        <v>HoldingHolding Companies</v>
      </c>
      <c r="Y153" s="23" cm="1">
        <f t="array" aca="1" ref="Y153" ca="1">IFERROR(_FV(Tableau1[[#This Row],[Code Excel]],"P/E",TRUE),"")</f>
        <v>0</v>
      </c>
      <c r="Z153" s="43" cm="1">
        <f t="array" aca="1" ref="Z153" ca="1">IFERROR(_FV(Tableau1[[#This Row],[Code Excel]],"Employés"),"")</f>
        <v>69</v>
      </c>
      <c r="AA153" s="49">
        <f ca="1">IFERROR(Tableau1[[#This Row],[Capitalisation boursière]]/Tableau1[[#This Row],[Employés]],"")</f>
        <v>140907246.37681159</v>
      </c>
      <c r="AB153" s="5" t="str">
        <f>IFERROR(Tableau1[[#This Row],[REX (2021)]]/Tableau1[[#This Row],[CA 2024]],"")</f>
        <v/>
      </c>
      <c r="AC153" s="9" t="str">
        <f>IFERROR(_xlfn.XLOOKUP(Tableau1[[#This Row],[Isin]]&amp;1&amp;2021,#REF!,Tableau3[Résultat d''exploitation]),"")</f>
        <v/>
      </c>
      <c r="AD153" s="9" t="str">
        <f>IFERROR(_xlfn.XLOOKUP(Tableau1[[#This Row],[Isin]]&amp;1&amp;2019,#REF!,Tableau3[Chiffre d''affaires]),"")</f>
        <v/>
      </c>
      <c r="AE153" s="9" t="str">
        <f>IFERROR(_xlfn.XLOOKUP(Tableau1[[#This Row],[Isin]]&amp;1&amp;2024,#REF!,Tableau3[Chiffre d''affaires]),"")</f>
        <v/>
      </c>
      <c r="AF153" s="8" t="str">
        <f>IFERROR(IF((Tableau1[[#This Row],[CA 2024]]-Tableau1[[#This Row],[CA 2019]])/Tableau1[[#This Row],[CA 2019]]=-1,"",(Tableau1[[#This Row],[CA 2024]]-Tableau1[[#This Row],[CA 2019]])/Tableau1[[#This Row],[CA 2019]]),"")</f>
        <v/>
      </c>
      <c r="AG153" s="9" t="str">
        <f>IFERROR(_xlfn.XLOOKUP(Tableau1[[#This Row],[Isin]]&amp;1&amp;2021,#REF!,Tableau3[EBE]),"")</f>
        <v/>
      </c>
      <c r="AH153" s="9" t="str">
        <f>IFERROR(_xlfn.XLOOKUP(Tableau1[[#This Row],[Isin]]&amp;1&amp;2022,#REF!,Tableau3[EBE]),"")</f>
        <v/>
      </c>
      <c r="AI153" s="43" t="s">
        <v>4329</v>
      </c>
      <c r="AJ153" s="43" t="s">
        <v>4330</v>
      </c>
      <c r="AK153" s="43" t="s">
        <v>3419</v>
      </c>
      <c r="AL153" s="43"/>
      <c r="AM153" s="43"/>
      <c r="AN153" s="9" t="str">
        <f>IFERROR(_xlfn.XLOOKUP(Tableau1[[#This Row],[Isin]]&amp;1&amp;2021,#REF!,Tableau3[Chiffre d''affaires]),"")</f>
        <v/>
      </c>
      <c r="AO153" s="43" cm="1">
        <f t="array" aca="1" ref="AO153" ca="1">_FV(Tableau1[[#This Row],[Code Excel]],"P/E",TRUE)</f>
        <v>0</v>
      </c>
      <c r="AP153" s="43" t="str">
        <f>IFERROR(_xlfn.XLOOKUP(Tableau1[[#This Row],[Isin]]&amp;1&amp;2023,#REF!,Tableau3[Résultat Net (PdG)]),"")</f>
        <v/>
      </c>
      <c r="AQ153" s="43">
        <f>IF(IFERROR(_xlfn.XLOOKUP(Tableau1[[#This Row],[Isin]]&amp;1&amp;2022,#REF!,Tableau3[Résultat Net (PdG)]),"")="",Tableau1[[#This Row],[RN Groupe 2022
Manuel]],IFERROR(_xlfn.XLOOKUP(Tableau1[[#This Row],[Isin]]&amp;1&amp;2022,#REF!,Tableau3[Résultat Net (PdG)]),""))</f>
        <v>0</v>
      </c>
      <c r="AR153" s="43"/>
      <c r="AS153" s="43">
        <f>IF(IFERROR(_xlfn.XLOOKUP(Tableau1[[#This Row],[Isin]]&amp;1&amp;2021,#REF!,Tableau3[Résultat Net (PdG)]),"")="",Tableau1[[#This Row],[RN Groupe 2021
Manuel]],IFERROR(_xlfn.XLOOKUP(Tableau1[[#This Row],[Isin]]&amp;1&amp;2021,#REF!,Tableau3[Résultat Net (PdG)]),""))</f>
        <v>0</v>
      </c>
      <c r="AT153" s="43"/>
      <c r="AU153" s="43" t="str">
        <f>IFERROR(_xlfn.XLOOKUP(Tableau1[[#This Row],[Isin]]&amp;1&amp;2020,#REF!,Tableau3[Résultat Net (PdG)]),"")</f>
        <v/>
      </c>
      <c r="AV153" s="43" t="str">
        <f>IFERROR(_xlfn.XLOOKUP(Tableau1[[#This Row],[Isin]]&amp;1&amp;2019,#REF!,Tableau3[Résultat Net (PdG)]),"")</f>
        <v/>
      </c>
      <c r="AW153" s="43" t="str">
        <f>IFERROR(_xlfn.XLOOKUP(Tableau1[[#This Row],[Isin]]&amp;1&amp;2018,#REF!,Tableau3[Résultat Net (PdG)]),"")</f>
        <v/>
      </c>
      <c r="AX153" s="43" t="str">
        <f>IFERROR(_xlfn.XLOOKUP(Tableau1[[#This Row],[Isin]]&amp;1&amp;2017,#REF!,Tableau3[Résultat Net (PdG)]),"")</f>
        <v/>
      </c>
      <c r="AY153" s="43" t="str">
        <f>IFERROR(_xlfn.XLOOKUP(Tableau1[[#This Row],[Isin]]&amp;1&amp;2016,#REF!,Tableau3[Résultat Net (PdG)]),"")</f>
        <v/>
      </c>
      <c r="AZ153" s="137" t="str">
        <f ca="1">IFERROR(Tableau1[[#This Row],[Capitalisation boursière]]/Tableau1[[#This Row],[RN Groupe 2023]],"")</f>
        <v/>
      </c>
      <c r="BA153" s="4" t="str" cm="1">
        <f t="array" aca="1" ref="BA153" ca="1">IFERROR(_FV(Tableau1[[#This Row],[Code Excel]],"Industrie"),"")</f>
        <v>Holding Companies</v>
      </c>
      <c r="BB153" s="43" t="s">
        <v>3482</v>
      </c>
      <c r="BC153" s="43" t="str">
        <f>IFERROR(_xlfn.XLOOKUP(Tableau1[[#This Row],[Isin]]&amp;1&amp;2016,#REF!,Tableau3[Capi]),"")</f>
        <v/>
      </c>
      <c r="BD153" s="43" t="str">
        <f>IFERROR(_xlfn.XLOOKUP(Tableau1[[#This Row],[Isin]]&amp;1&amp;2017,#REF!,Tableau3[Capi]),"")</f>
        <v/>
      </c>
      <c r="BE153" s="43" t="str">
        <f>IFERROR(_xlfn.XLOOKUP(Tableau1[[#This Row],[Isin]]&amp;1&amp;2018,#REF!,Tableau3[Capi]),"")</f>
        <v/>
      </c>
      <c r="BF153" s="43" t="str">
        <f>IFERROR(_xlfn.XLOOKUP(Tableau1[[#This Row],[Isin]]&amp;1&amp;2019,#REF!,Tableau3[Capi]),"")</f>
        <v/>
      </c>
      <c r="BG153" s="43" t="str">
        <f>IFERROR(_xlfn.XLOOKUP(Tableau1[[#This Row],[Isin]]&amp;1&amp;2020,#REF!,Tableau3[Capi]),"")</f>
        <v/>
      </c>
      <c r="BH153" s="43">
        <f>IF(IFERROR(_xlfn.XLOOKUP(Tableau1[[#This Row],[Isin]]&amp;1&amp;2021,#REF!,Tableau3[Capi]),"")="",Tableau1[[#This Row],[Capitalisation 2021
Manuel]],IFERROR(_xlfn.XLOOKUP(Tableau1[[#This Row],[Isin]]&amp;1&amp;2021,#REF!,Tableau3[Capi]),""))</f>
        <v>0</v>
      </c>
      <c r="BI153" s="43"/>
      <c r="BJ153" s="43">
        <f>IF(IFERROR(_xlfn.XLOOKUP(Tableau1[[#This Row],[Isin]]&amp;1&amp;2022,#REF!,Tableau3[Capi]),"")="",Tableau1[[#This Row],[Capitalisation 2022
Manuel]],IFERROR(_xlfn.XLOOKUP(Tableau1[[#This Row],[Isin]]&amp;1&amp;2022,#REF!,Tableau3[Capi]),""))</f>
        <v>0</v>
      </c>
      <c r="BK153" s="43"/>
      <c r="BL153" s="43">
        <f ca="1">Tableau1[[#This Row],[Capitalisation boursière]]</f>
        <v>9722600000</v>
      </c>
      <c r="BM153" s="162" t="str" cm="1">
        <f t="array" aca="1" ref="BM153" ca="1">_FV(Tableau1[[#This Row],[Code Excel]],"Description")</f>
        <v>Groep Brussel Lambert NV est une société holding d'investissement basée en Belgique. La Société possède un portefeuille diversifié composé de sociétés mondiales, telles qu'Imerys, Adidas, Pernod Ricard, LafargeHolcim, Umicore et Ontex, entre autres. Elle opère sous trois secteurs d'activité, tels que Holding, qui comprend la société mère et les filiales. Son activité principale consiste à gérer des participations ainsi que les sociétés opérationnelles non consolidées et associées. Son Imerys, qui se compose du groupe Imerys engagé dans les solutions et spécialités énergétiques, la filtration et les additifs de performance, les matériaux céramiques, les minéraux à haute résistance et le capital de sienne.</v>
      </c>
      <c r="BN153" s="43"/>
      <c r="BO153" s="43"/>
      <c r="BP153" s="43"/>
      <c r="BQ153" s="43"/>
      <c r="BR153" s="4"/>
      <c r="BS153" s="21"/>
      <c r="BT153" s="13"/>
      <c r="BU153" s="13"/>
      <c r="BV153" s="13"/>
      <c r="BW153" s="13"/>
      <c r="BX153" s="13"/>
      <c r="BY153" s="3"/>
      <c r="BZ153" s="58"/>
      <c r="CA153" s="59"/>
    </row>
    <row r="154" spans="3:83">
      <c r="C154" s="42"/>
      <c r="D154" s="42">
        <f>IF(Tableau1[[#This Row],[Isin]]="",99,Tableau1[[#This Row],[Intérêt]]+Tableau1[[#This Row],[Valeur d''intérêt]]+Tableau1[[#This Row],[N° Portefeuille]])</f>
        <v>20</v>
      </c>
      <c r="E154" s="42"/>
      <c r="F154" s="42">
        <f>IF(Tableau1[[#This Row],[Portefeuille]]="p",0,Tableau1[[#This Row],[F. Investissement
Niveau d''intérêt]]*10)</f>
        <v>20</v>
      </c>
      <c r="G154" s="42">
        <f>IF(Tableau1[[#This Row],[Portefeuille]]="p",3,0)</f>
        <v>0</v>
      </c>
      <c r="H154" s="42">
        <v>2</v>
      </c>
      <c r="I154" s="42">
        <v>1</v>
      </c>
      <c r="J154" s="42" t="s">
        <v>4357</v>
      </c>
      <c r="K154" s="43"/>
      <c r="L154" s="16">
        <v>1</v>
      </c>
      <c r="M15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4" s="44" t="s">
        <v>3842</v>
      </c>
      <c r="O154" s="44" t="s">
        <v>4397</v>
      </c>
      <c r="P154" s="4" t="s">
        <v>84</v>
      </c>
      <c r="Q154" s="6" t="s">
        <v>85</v>
      </c>
      <c r="R154" s="6"/>
      <c r="S154" s="6" t="s">
        <v>2311</v>
      </c>
      <c r="T154" s="6" t="e" vm="140">
        <v>#VALUE!</v>
      </c>
      <c r="U154" s="46" cm="1">
        <f t="array" aca="1" ref="U154" ca="1">IFERROR(_FV(Tableau1[[#This Row],[Code Excel]],"Capitalisation boursière",TRUE),"")</f>
        <v>5267012000</v>
      </c>
      <c r="V154" s="4" t="s">
        <v>3843</v>
      </c>
      <c r="W154" s="4" t="s">
        <v>3843</v>
      </c>
      <c r="X154" s="4" t="str">
        <f>Tableau1[[#This Row],[Grand Secteur]]&amp;Tableau1[[#This Row],[Industrie]]</f>
        <v>IngénierieIngénierie</v>
      </c>
      <c r="Y154" s="23" cm="1">
        <f t="array" aca="1" ref="Y154" ca="1">IFERROR(_FV(Tableau1[[#This Row],[Code Excel]],"P/E",TRUE),"")</f>
        <v>14.937900000000001</v>
      </c>
      <c r="Z154" s="43" cm="1">
        <f t="array" aca="1" ref="Z154" ca="1">IFERROR(_FV(Tableau1[[#This Row],[Code Excel]],"Employés"),"")</f>
        <v>512</v>
      </c>
      <c r="AA154" s="46">
        <f ca="1">IFERROR(Tableau1[[#This Row],[Capitalisation boursière]]/Tableau1[[#This Row],[Employés]],"")</f>
        <v>10287132.8125</v>
      </c>
      <c r="AB154" s="5" t="str">
        <f>IFERROR(Tableau1[[#This Row],[REX (2021)]]/Tableau1[[#This Row],[CA 2024]],"")</f>
        <v/>
      </c>
      <c r="AC154" s="9" t="str">
        <f>IFERROR(_xlfn.XLOOKUP(Tableau1[[#This Row],[Isin]]&amp;1&amp;2021,#REF!,Tableau3[Résultat d''exploitation]),"")</f>
        <v/>
      </c>
      <c r="AD154" s="9" t="str">
        <f>IFERROR(_xlfn.XLOOKUP(Tableau1[[#This Row],[Isin]]&amp;1&amp;2019,#REF!,Tableau3[Chiffre d''affaires]),"")</f>
        <v/>
      </c>
      <c r="AE154" s="9" t="str">
        <f>IFERROR(_xlfn.XLOOKUP(Tableau1[[#This Row],[Isin]]&amp;1&amp;2024,#REF!,Tableau3[Chiffre d''affaires]),"")</f>
        <v/>
      </c>
      <c r="AF154" s="8" t="str">
        <f>IFERROR(IF((Tableau1[[#This Row],[CA 2024]]-Tableau1[[#This Row],[CA 2019]])/Tableau1[[#This Row],[CA 2019]]=-1,"",(Tableau1[[#This Row],[CA 2024]]-Tableau1[[#This Row],[CA 2019]])/Tableau1[[#This Row],[CA 2019]]),"")</f>
        <v/>
      </c>
      <c r="AG154" s="9" t="str">
        <f>IFERROR(_xlfn.XLOOKUP(Tableau1[[#This Row],[Isin]]&amp;1&amp;2021,#REF!,Tableau3[EBE]),"")</f>
        <v/>
      </c>
      <c r="AH154" s="9" t="str">
        <f>IFERROR(_xlfn.XLOOKUP(Tableau1[[#This Row],[Isin]]&amp;1&amp;2022,#REF!,Tableau3[EBE]),"")</f>
        <v/>
      </c>
      <c r="AI154" s="43" t="s">
        <v>4343</v>
      </c>
      <c r="AJ154" s="43" t="s">
        <v>4348</v>
      </c>
      <c r="AK154" s="43" t="s">
        <v>3419</v>
      </c>
      <c r="AL154" s="43" t="s">
        <v>3149</v>
      </c>
      <c r="AM154" s="43"/>
      <c r="AN154" s="9" t="str">
        <f>IFERROR(_xlfn.XLOOKUP(Tableau1[[#This Row],[Isin]]&amp;1&amp;2021,#REF!,Tableau3[Chiffre d''affaires]),"")</f>
        <v/>
      </c>
      <c r="AO154" s="43" cm="1">
        <f t="array" aca="1" ref="AO154" ca="1">_FV(Tableau1[[#This Row],[Code Excel]],"P/E",TRUE)</f>
        <v>14.937900000000001</v>
      </c>
      <c r="AP154" s="43" t="str">
        <f>IFERROR(_xlfn.XLOOKUP(Tableau1[[#This Row],[Isin]]&amp;1&amp;2023,#REF!,Tableau3[Résultat Net (PdG)]),"")</f>
        <v/>
      </c>
      <c r="AQ154" s="43">
        <f>IF(IFERROR(_xlfn.XLOOKUP(Tableau1[[#This Row],[Isin]]&amp;1&amp;2022,#REF!,Tableau3[Résultat Net (PdG)]),"")="",Tableau1[[#This Row],[RN Groupe 2022
Manuel]],IFERROR(_xlfn.XLOOKUP(Tableau1[[#This Row],[Isin]]&amp;1&amp;2022,#REF!,Tableau3[Résultat Net (PdG)]),""))</f>
        <v>0</v>
      </c>
      <c r="AR154" s="43"/>
      <c r="AS154" s="43">
        <f>IF(IFERROR(_xlfn.XLOOKUP(Tableau1[[#This Row],[Isin]]&amp;1&amp;2021,#REF!,Tableau3[Résultat Net (PdG)]),"")="",Tableau1[[#This Row],[RN Groupe 2021
Manuel]],IFERROR(_xlfn.XLOOKUP(Tableau1[[#This Row],[Isin]]&amp;1&amp;2021,#REF!,Tableau3[Résultat Net (PdG)]),""))</f>
        <v>0</v>
      </c>
      <c r="AT154" s="43"/>
      <c r="AU154" s="43" t="str">
        <f>IFERROR(_xlfn.XLOOKUP(Tableau1[[#This Row],[Isin]]&amp;1&amp;2020,#REF!,Tableau3[Résultat Net (PdG)]),"")</f>
        <v/>
      </c>
      <c r="AV154" s="43" t="str">
        <f>IFERROR(_xlfn.XLOOKUP(Tableau1[[#This Row],[Isin]]&amp;1&amp;2019,#REF!,Tableau3[Résultat Net (PdG)]),"")</f>
        <v/>
      </c>
      <c r="AW154" s="43" t="str">
        <f>IFERROR(_xlfn.XLOOKUP(Tableau1[[#This Row],[Isin]]&amp;1&amp;2018,#REF!,Tableau3[Résultat Net (PdG)]),"")</f>
        <v/>
      </c>
      <c r="AX154" s="43" t="str">
        <f>IFERROR(_xlfn.XLOOKUP(Tableau1[[#This Row],[Isin]]&amp;1&amp;2017,#REF!,Tableau3[Résultat Net (PdG)]),"")</f>
        <v/>
      </c>
      <c r="AY154" s="43" t="str">
        <f>IFERROR(_xlfn.XLOOKUP(Tableau1[[#This Row],[Isin]]&amp;1&amp;2016,#REF!,Tableau3[Résultat Net (PdG)]),"")</f>
        <v/>
      </c>
      <c r="AZ154" s="137" t="str">
        <f ca="1">IFERROR(Tableau1[[#This Row],[Capitalisation boursière]]/Tableau1[[#This Row],[RN Groupe 2023]],"")</f>
        <v/>
      </c>
      <c r="BA154" s="4" t="s">
        <v>3843</v>
      </c>
      <c r="BB154" s="43" t="s">
        <v>3477</v>
      </c>
      <c r="BC154" s="43" t="str">
        <f>IFERROR(_xlfn.XLOOKUP(Tableau1[[#This Row],[Isin]]&amp;1&amp;2016,#REF!,Tableau3[Capi]),"")</f>
        <v/>
      </c>
      <c r="BD154" s="43" t="str">
        <f>IFERROR(_xlfn.XLOOKUP(Tableau1[[#This Row],[Isin]]&amp;1&amp;2017,#REF!,Tableau3[Capi]),"")</f>
        <v/>
      </c>
      <c r="BE154" s="43" t="str">
        <f>IFERROR(_xlfn.XLOOKUP(Tableau1[[#This Row],[Isin]]&amp;1&amp;2018,#REF!,Tableau3[Capi]),"")</f>
        <v/>
      </c>
      <c r="BF154" s="43" t="str">
        <f>IFERROR(_xlfn.XLOOKUP(Tableau1[[#This Row],[Isin]]&amp;1&amp;2019,#REF!,Tableau3[Capi]),"")</f>
        <v/>
      </c>
      <c r="BG154" s="43" t="str">
        <f>IFERROR(_xlfn.XLOOKUP(Tableau1[[#This Row],[Isin]]&amp;1&amp;2020,#REF!,Tableau3[Capi]),"")</f>
        <v/>
      </c>
      <c r="BH154" s="43">
        <f>IF(IFERROR(_xlfn.XLOOKUP(Tableau1[[#This Row],[Isin]]&amp;1&amp;2021,#REF!,Tableau3[Capi]),"")="",Tableau1[[#This Row],[Capitalisation 2021
Manuel]],IFERROR(_xlfn.XLOOKUP(Tableau1[[#This Row],[Isin]]&amp;1&amp;2021,#REF!,Tableau3[Capi]),""))</f>
        <v>0</v>
      </c>
      <c r="BI154" s="43"/>
      <c r="BJ154" s="43">
        <f>IF(IFERROR(_xlfn.XLOOKUP(Tableau1[[#This Row],[Isin]]&amp;1&amp;2022,#REF!,Tableau3[Capi]),"")="",Tableau1[[#This Row],[Capitalisation 2022
Manuel]],IFERROR(_xlfn.XLOOKUP(Tableau1[[#This Row],[Isin]]&amp;1&amp;2022,#REF!,Tableau3[Capi]),""))</f>
        <v>0</v>
      </c>
      <c r="BK154" s="43"/>
      <c r="BL154" s="43">
        <f ca="1">Tableau1[[#This Row],[Capitalisation boursière]]</f>
        <v>5267012000</v>
      </c>
      <c r="BM154" s="162" t="str" cm="1">
        <f t="array" aca="1" ref="BM154" ca="1">_FV(Tableau1[[#This Row],[Code Excel]],"Description")</f>
        <v>Gaztransport et Technigaz SA est une société d'ingénierie basée en France spécialisée dans les systèmes de confinement pour l'expédition et le stockage en conditions cryogéniques de GNL (gaz naturel liquéfié). Elle propose, avec ses filiales, des prestations de conseil, d'études d'ingénierie, d'assistance, de support aux opérations, de maintenance de réservoirs à membrane, de solutions numériques et de formation, entre autres. La société travaille sur de nouvelles technologies de confinement du GNL, ainsi que sur des solutions à utiliser avec d'autres gaz liquéfiés, des technologies et des solutions d'ingénierie pour l'industrie offshore, les transporteurs multigaz et les petits et moyens transporteurs. Il offre également de nouvelles applications pour le marché en pleine croissance du GNL comme carburant de propulsion. La société gère son propre laboratoire d'essais et participe activement à la recherche via ses partenariats avec des sociétés d'ingénierie, des instituts de recherche, des laboratoires et des universités.</v>
      </c>
      <c r="BN154" s="43"/>
      <c r="BO154" s="43"/>
      <c r="BP154" s="43"/>
      <c r="BQ154" s="43"/>
      <c r="BR154" s="4"/>
      <c r="BS154" s="21"/>
      <c r="BT154" s="13"/>
      <c r="BU154" s="13"/>
      <c r="BV154" s="13"/>
      <c r="BW154" s="13"/>
      <c r="BX154" s="13"/>
      <c r="BY154" s="3"/>
      <c r="BZ154" s="58"/>
      <c r="CA154" s="59"/>
    </row>
    <row r="155" spans="3:83">
      <c r="C155" s="43"/>
      <c r="D155" s="42">
        <f>IF(Tableau1[[#This Row],[Isin]]="",99,Tableau1[[#This Row],[Intérêt]]+Tableau1[[#This Row],[Valeur d''intérêt]]+Tableau1[[#This Row],[N° Portefeuille]])</f>
        <v>3</v>
      </c>
      <c r="E155" s="42"/>
      <c r="F155" s="42">
        <f>IF(Tableau1[[#This Row],[Portefeuille]]="p",0,Tableau1[[#This Row],[F. Investissement
Niveau d''intérêt]]*10)</f>
        <v>0</v>
      </c>
      <c r="G155" s="42">
        <f>IF(Tableau1[[#This Row],[Portefeuille]]="p",3,0)</f>
        <v>3</v>
      </c>
      <c r="H155" s="42">
        <v>1</v>
      </c>
      <c r="I155" s="42">
        <v>1</v>
      </c>
      <c r="J155" s="43" t="s">
        <v>4357</v>
      </c>
      <c r="K155" s="43" t="s">
        <v>4362</v>
      </c>
      <c r="L155" s="16">
        <v>1</v>
      </c>
      <c r="M15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5" s="44" t="s">
        <v>1459</v>
      </c>
      <c r="O155" s="44" t="s">
        <v>1460</v>
      </c>
      <c r="P155" s="4" t="s">
        <v>84</v>
      </c>
      <c r="Q155" s="6" t="s">
        <v>85</v>
      </c>
      <c r="R155" s="6"/>
      <c r="S155" s="6" t="s">
        <v>1462</v>
      </c>
      <c r="T155" s="6" t="e" vm="141">
        <v>#VALUE!</v>
      </c>
      <c r="U155" s="46" cm="1">
        <f t="array" aca="1" ref="U155" ca="1">IFERROR(_FV(Tableau1[[#This Row],[Code Excel]],"Capitalisation boursière",TRUE),"")</f>
        <v>255982600</v>
      </c>
      <c r="V155" s="4" t="str" cm="1">
        <f t="array" aca="1" ref="V155" ca="1">IFERROR(_FV(Tableau1[[#This Row],[Code Excel]],"Industrie"),"")</f>
        <v>Healthcare Equipment &amp; Supplies</v>
      </c>
      <c r="W155" s="4" t="s">
        <v>1586</v>
      </c>
      <c r="X155" s="4" t="str">
        <f ca="1">Tableau1[[#This Row],[Grand Secteur]]&amp;Tableau1[[#This Row],[Industrie]]</f>
        <v>SantéHealthcare Equipment &amp; Supplies</v>
      </c>
      <c r="Y155" s="23" cm="1">
        <f t="array" aca="1" ref="Y155" ca="1">IFERROR(_FV(Tableau1[[#This Row],[Code Excel]],"P/E",TRUE),"")</f>
        <v>7.0340999999999996</v>
      </c>
      <c r="Z155" s="43" cm="1">
        <f t="array" aca="1" ref="Z155" ca="1">IFERROR(_FV(Tableau1[[#This Row],[Code Excel]],"Employés"),"")</f>
        <v>2920</v>
      </c>
      <c r="AA155" s="49">
        <f ca="1">IFERROR(Tableau1[[#This Row],[Capitalisation boursière]]/Tableau1[[#This Row],[Employés]],"")</f>
        <v>87665.273972602736</v>
      </c>
      <c r="AB155" s="5" t="str">
        <f>IFERROR(Tableau1[[#This Row],[REX (2021)]]/Tableau1[[#This Row],[CA 2024]],"")</f>
        <v/>
      </c>
      <c r="AC155" s="9" t="str">
        <f>IFERROR(_xlfn.XLOOKUP(Tableau1[[#This Row],[Isin]]&amp;1&amp;2021,#REF!,Tableau3[Résultat d''exploitation]),"")</f>
        <v/>
      </c>
      <c r="AD155" s="9" t="str">
        <f>IFERROR(_xlfn.XLOOKUP(Tableau1[[#This Row],[Isin]]&amp;1&amp;2019,#REF!,Tableau3[Chiffre d''affaires]),"")</f>
        <v/>
      </c>
      <c r="AE155" s="9" t="str">
        <f>IFERROR(_xlfn.XLOOKUP(Tableau1[[#This Row],[Isin]]&amp;1&amp;2024,#REF!,Tableau3[Chiffre d''affaires]),"")</f>
        <v/>
      </c>
      <c r="AF155" s="8" t="str">
        <f>IFERROR(IF((Tableau1[[#This Row],[CA 2024]]-Tableau1[[#This Row],[CA 2019]])/Tableau1[[#This Row],[CA 2019]]=-1,"",(Tableau1[[#This Row],[CA 2024]]-Tableau1[[#This Row],[CA 2019]])/Tableau1[[#This Row],[CA 2019]]),"")</f>
        <v/>
      </c>
      <c r="AG155" s="9" t="str">
        <f>IFERROR(_xlfn.XLOOKUP(Tableau1[[#This Row],[Isin]]&amp;1&amp;2021,#REF!,Tableau3[EBE]),"")</f>
        <v/>
      </c>
      <c r="AH155" s="9" t="str">
        <f>IFERROR(_xlfn.XLOOKUP(Tableau1[[#This Row],[Isin]]&amp;1&amp;2022,#REF!,Tableau3[EBE]),"")</f>
        <v/>
      </c>
      <c r="AI155" s="13" t="s">
        <v>4343</v>
      </c>
      <c r="AJ155" s="13" t="s">
        <v>4322</v>
      </c>
      <c r="AK155" s="13" t="s">
        <v>3148</v>
      </c>
      <c r="AL155" s="43" t="s">
        <v>4343</v>
      </c>
      <c r="AM155" s="43"/>
      <c r="AN155" s="9" t="str">
        <f>IFERROR(_xlfn.XLOOKUP(Tableau1[[#This Row],[Isin]]&amp;1&amp;2021,#REF!,Tableau3[Chiffre d''affaires]),"")</f>
        <v/>
      </c>
      <c r="AO155" s="43" cm="1">
        <f t="array" aca="1" ref="AO155" ca="1">_FV(Tableau1[[#This Row],[Code Excel]],"P/E",TRUE)</f>
        <v>7.0340999999999996</v>
      </c>
      <c r="AP155" s="43" t="str">
        <f>IFERROR(_xlfn.XLOOKUP(Tableau1[[#This Row],[Isin]]&amp;1&amp;2023,#REF!,Tableau3[Résultat Net (PdG)]),"")</f>
        <v/>
      </c>
      <c r="AQ155" s="43">
        <f>IF(IFERROR(_xlfn.XLOOKUP(Tableau1[[#This Row],[Isin]]&amp;1&amp;2022,#REF!,Tableau3[Résultat Net (PdG)]),"")="",Tableau1[[#This Row],[RN Groupe 2022
Manuel]],IFERROR(_xlfn.XLOOKUP(Tableau1[[#This Row],[Isin]]&amp;1&amp;2022,#REF!,Tableau3[Résultat Net (PdG)]),""))</f>
        <v>0</v>
      </c>
      <c r="AR155" s="43"/>
      <c r="AS155" s="43">
        <f>IF(IFERROR(_xlfn.XLOOKUP(Tableau1[[#This Row],[Isin]]&amp;1&amp;2021,#REF!,Tableau3[Résultat Net (PdG)]),"")="",Tableau1[[#This Row],[RN Groupe 2021
Manuel]],IFERROR(_xlfn.XLOOKUP(Tableau1[[#This Row],[Isin]]&amp;1&amp;2021,#REF!,Tableau3[Résultat Net (PdG)]),""))</f>
        <v>0</v>
      </c>
      <c r="AT155" s="43"/>
      <c r="AU155" s="43" t="str">
        <f>IFERROR(_xlfn.XLOOKUP(Tableau1[[#This Row],[Isin]]&amp;1&amp;2020,#REF!,Tableau3[Résultat Net (PdG)]),"")</f>
        <v/>
      </c>
      <c r="AV155" s="43" t="str">
        <f>IFERROR(_xlfn.XLOOKUP(Tableau1[[#This Row],[Isin]]&amp;1&amp;2019,#REF!,Tableau3[Résultat Net (PdG)]),"")</f>
        <v/>
      </c>
      <c r="AW155" s="43" t="str">
        <f>IFERROR(_xlfn.XLOOKUP(Tableau1[[#This Row],[Isin]]&amp;1&amp;2018,#REF!,Tableau3[Résultat Net (PdG)]),"")</f>
        <v/>
      </c>
      <c r="AX155" s="43" t="str">
        <f>IFERROR(_xlfn.XLOOKUP(Tableau1[[#This Row],[Isin]]&amp;1&amp;2017,#REF!,Tableau3[Résultat Net (PdG)]),"")</f>
        <v/>
      </c>
      <c r="AY155" s="43" t="str">
        <f>IFERROR(_xlfn.XLOOKUP(Tableau1[[#This Row],[Isin]]&amp;1&amp;2016,#REF!,Tableau3[Résultat Net (PdG)]),"")</f>
        <v/>
      </c>
      <c r="AZ155" s="137" t="str">
        <f ca="1">IFERROR(Tableau1[[#This Row],[Capitalisation boursière]]/Tableau1[[#This Row],[RN Groupe 2023]],"")</f>
        <v/>
      </c>
      <c r="BA155" s="4" t="str" cm="1">
        <f t="array" aca="1" ref="BA155" ca="1">IFERROR(_FV(Tableau1[[#This Row],[Code Excel]],"Industrie"),"")</f>
        <v>Healthcare Equipment &amp; Supplies</v>
      </c>
      <c r="BB155" s="43" t="s">
        <v>3845</v>
      </c>
      <c r="BC155" s="43" t="str">
        <f>IFERROR(_xlfn.XLOOKUP(Tableau1[[#This Row],[Isin]]&amp;1&amp;2016,#REF!,Tableau3[Capi]),"")</f>
        <v/>
      </c>
      <c r="BD155" s="43" t="str">
        <f>IFERROR(_xlfn.XLOOKUP(Tableau1[[#This Row],[Isin]]&amp;1&amp;2017,#REF!,Tableau3[Capi]),"")</f>
        <v/>
      </c>
      <c r="BE155" s="43" t="str">
        <f>IFERROR(_xlfn.XLOOKUP(Tableau1[[#This Row],[Isin]]&amp;1&amp;2018,#REF!,Tableau3[Capi]),"")</f>
        <v/>
      </c>
      <c r="BF155" s="43" t="str">
        <f>IFERROR(_xlfn.XLOOKUP(Tableau1[[#This Row],[Isin]]&amp;1&amp;2019,#REF!,Tableau3[Capi]),"")</f>
        <v/>
      </c>
      <c r="BG155" s="43" t="str">
        <f>IFERROR(_xlfn.XLOOKUP(Tableau1[[#This Row],[Isin]]&amp;1&amp;2020,#REF!,Tableau3[Capi]),"")</f>
        <v/>
      </c>
      <c r="BH155" s="43">
        <f>IF(IFERROR(_xlfn.XLOOKUP(Tableau1[[#This Row],[Isin]]&amp;1&amp;2021,#REF!,Tableau3[Capi]),"")="",Tableau1[[#This Row],[Capitalisation 2021
Manuel]],IFERROR(_xlfn.XLOOKUP(Tableau1[[#This Row],[Isin]]&amp;1&amp;2021,#REF!,Tableau3[Capi]),""))</f>
        <v>0</v>
      </c>
      <c r="BI155" s="43"/>
      <c r="BJ155" s="43">
        <f>IF(IFERROR(_xlfn.XLOOKUP(Tableau1[[#This Row],[Isin]]&amp;1&amp;2022,#REF!,Tableau3[Capi]),"")="",Tableau1[[#This Row],[Capitalisation 2022
Manuel]],IFERROR(_xlfn.XLOOKUP(Tableau1[[#This Row],[Isin]]&amp;1&amp;2022,#REF!,Tableau3[Capi]),""))</f>
        <v>0</v>
      </c>
      <c r="BK155" s="43"/>
      <c r="BL155" s="43">
        <f ca="1">Tableau1[[#This Row],[Capitalisation boursière]]</f>
        <v>255982600</v>
      </c>
      <c r="BM155" s="162" t="str" cm="1">
        <f t="array" aca="1" ref="BM155" ca="1">_FV(Tableau1[[#This Row],[Code Excel]],"Description")</f>
        <v>GUERBET S.A. est un groupe pharmaceutique basé en France spécialisé dans la fabrication et la commercialisation de produits de contraste d'imagerie médicale destinés à des fins diagnostiques. Il met au point des produits de contraste d'imagerie médicale pour les examens radiologiques par rayons X et par IRM, les échographies et la médecine nucléaire. Les produits de contraste sont utilisés dans le diagnostic des troubles cardio-vasculaires, inflammatoires et neurodégénératifs. Le portefeuille de produits de la société comprend des marques telles que Xenetix, Hexabrix, Optiray, Oxilan, Telebrix, Lipiodol, Dotarem, Endorem, Artirem, Lumirem et Lipiodol, entre autres. GUERBET S.A. est également active dans le secteur des produits de chimie fine à travers sa filiale Simafex. La société opère par le biais de ses filiales, dont Simafex, Medex, SCI KALB, Guerbet LLC, Guerbet Asie Pacifique et Guerbet GmbH, entre autres.</v>
      </c>
      <c r="BN155" s="43"/>
      <c r="BO155" s="43"/>
      <c r="BP155" s="43"/>
      <c r="BQ155" s="43"/>
      <c r="BR155" s="4"/>
      <c r="BS155" s="21"/>
      <c r="BT155" s="13"/>
      <c r="BU155" s="13"/>
      <c r="BV155" s="13"/>
      <c r="BW155" s="13"/>
      <c r="BX155" s="13"/>
      <c r="BY155" s="3"/>
      <c r="BZ155" s="58"/>
      <c r="CA155" s="59"/>
    </row>
    <row r="156" spans="3:83">
      <c r="C156" s="42"/>
      <c r="D156" s="42">
        <f>IF(Tableau1[[#This Row],[Isin]]="",99,Tableau1[[#This Row],[Intérêt]]+Tableau1[[#This Row],[Valeur d''intérêt]]+Tableau1[[#This Row],[N° Portefeuille]])</f>
        <v>30</v>
      </c>
      <c r="E156" s="42"/>
      <c r="F156" s="42">
        <f>IF(Tableau1[[#This Row],[Portefeuille]]="p",0,Tableau1[[#This Row],[F. Investissement
Niveau d''intérêt]]*10)</f>
        <v>30</v>
      </c>
      <c r="G156" s="42">
        <f>IF(Tableau1[[#This Row],[Portefeuille]]="p",3,0)</f>
        <v>0</v>
      </c>
      <c r="H156" s="42">
        <v>3</v>
      </c>
      <c r="I156" s="42">
        <v>4</v>
      </c>
      <c r="J156" s="42"/>
      <c r="K156" s="43"/>
      <c r="L156" s="16">
        <v>0</v>
      </c>
      <c r="M15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6" s="44" t="s">
        <v>3847</v>
      </c>
      <c r="O156" s="45"/>
      <c r="P156" s="4" t="s">
        <v>564</v>
      </c>
      <c r="Q156" s="4"/>
      <c r="R156" s="6"/>
      <c r="S156" s="6" t="s">
        <v>3848</v>
      </c>
      <c r="T156" s="6" t="e" vm="142">
        <v>#VALUE!</v>
      </c>
      <c r="U156" s="46" cm="1">
        <f t="array" aca="1" ref="U156" ca="1">IFERROR(_FV(Tableau1[[#This Row],[Code Excel]],"Capitalisation boursière",TRUE),"")</f>
        <v>33417460000</v>
      </c>
      <c r="V156" s="4" t="str" cm="1">
        <f t="array" aca="1" ref="V156" ca="1">IFERROR(_FV(Tableau1[[#This Row],[Code Excel]],"Industrie"),"")</f>
        <v>Insurance</v>
      </c>
      <c r="W156" s="4" t="s">
        <v>4336</v>
      </c>
      <c r="X156" s="4" t="str">
        <f ca="1">Tableau1[[#This Row],[Grand Secteur]]&amp;Tableau1[[#This Row],[Industrie]]</f>
        <v>AssuranceInsurance</v>
      </c>
      <c r="Y156" s="23" cm="1">
        <f t="array" aca="1" ref="Y156" ca="1">IFERROR(_FV(Tableau1[[#This Row],[Code Excel]],"P/E",TRUE),"")</f>
        <v>14.37</v>
      </c>
      <c r="Z156" s="43" cm="1">
        <f t="array" aca="1" ref="Z156" ca="1">IFERROR(_FV(Tableau1[[#This Row],[Code Excel]],"Employés"),"")</f>
        <v>3895</v>
      </c>
      <c r="AA156" s="46">
        <f ca="1">IFERROR(Tableau1[[#This Row],[Capitalisation boursière]]/Tableau1[[#This Row],[Employés]],"")</f>
        <v>8579578.9473684207</v>
      </c>
      <c r="AB156" s="5" t="str">
        <f>IFERROR(Tableau1[[#This Row],[REX (2021)]]/Tableau1[[#This Row],[CA 2024]],"")</f>
        <v/>
      </c>
      <c r="AC156" s="9" t="str">
        <f>IFERROR(_xlfn.XLOOKUP(Tableau1[[#This Row],[Isin]]&amp;1&amp;2021,#REF!,Tableau3[Résultat d''exploitation]),"")</f>
        <v/>
      </c>
      <c r="AD156" s="9" t="str">
        <f>IFERROR(_xlfn.XLOOKUP(Tableau1[[#This Row],[Isin]]&amp;1&amp;2019,#REF!,Tableau3[Chiffre d''affaires]),"")</f>
        <v/>
      </c>
      <c r="AE156" s="9" t="str">
        <f>IFERROR(_xlfn.XLOOKUP(Tableau1[[#This Row],[Isin]]&amp;1&amp;2024,#REF!,Tableau3[Chiffre d''affaires]),"")</f>
        <v/>
      </c>
      <c r="AF156" s="8" t="str">
        <f>IFERROR(IF((Tableau1[[#This Row],[CA 2024]]-Tableau1[[#This Row],[CA 2019]])/Tableau1[[#This Row],[CA 2019]]=-1,"",(Tableau1[[#This Row],[CA 2024]]-Tableau1[[#This Row],[CA 2019]])/Tableau1[[#This Row],[CA 2019]]),"")</f>
        <v/>
      </c>
      <c r="AG156" s="9" t="str">
        <f>IFERROR(_xlfn.XLOOKUP(Tableau1[[#This Row],[Isin]]&amp;1&amp;2021,#REF!,Tableau3[EBE]),"")</f>
        <v/>
      </c>
      <c r="AH156" s="9" t="str">
        <f>IFERROR(_xlfn.XLOOKUP(Tableau1[[#This Row],[Isin]]&amp;1&amp;2022,#REF!,Tableau3[EBE]),"")</f>
        <v/>
      </c>
      <c r="AI156" s="43" t="s">
        <v>4329</v>
      </c>
      <c r="AJ156" s="43" t="s">
        <v>4322</v>
      </c>
      <c r="AK156" s="43" t="s">
        <v>3431</v>
      </c>
      <c r="AL156" s="43"/>
      <c r="AM156" s="43"/>
      <c r="AN156" s="9" t="str">
        <f>IFERROR(_xlfn.XLOOKUP(Tableau1[[#This Row],[Isin]]&amp;1&amp;2021,#REF!,Tableau3[Chiffre d''affaires]),"")</f>
        <v/>
      </c>
      <c r="AO156" s="43" cm="1">
        <f t="array" aca="1" ref="AO156" ca="1">_FV(Tableau1[[#This Row],[Code Excel]],"P/E",TRUE)</f>
        <v>14.37</v>
      </c>
      <c r="AP156" s="43" t="str">
        <f>IFERROR(_xlfn.XLOOKUP(Tableau1[[#This Row],[Isin]]&amp;1&amp;2023,#REF!,Tableau3[Résultat Net (PdG)]),"")</f>
        <v/>
      </c>
      <c r="AQ156" s="43">
        <f>IF(IFERROR(_xlfn.XLOOKUP(Tableau1[[#This Row],[Isin]]&amp;1&amp;2022,#REF!,Tableau3[Résultat Net (PdG)]),"")="",Tableau1[[#This Row],[RN Groupe 2022
Manuel]],IFERROR(_xlfn.XLOOKUP(Tableau1[[#This Row],[Isin]]&amp;1&amp;2022,#REF!,Tableau3[Résultat Net (PdG)]),""))</f>
        <v>0</v>
      </c>
      <c r="AR156" s="43"/>
      <c r="AS156" s="43">
        <f>IF(IFERROR(_xlfn.XLOOKUP(Tableau1[[#This Row],[Isin]]&amp;1&amp;2021,#REF!,Tableau3[Résultat Net (PdG)]),"")="",Tableau1[[#This Row],[RN Groupe 2021
Manuel]],IFERROR(_xlfn.XLOOKUP(Tableau1[[#This Row],[Isin]]&amp;1&amp;2021,#REF!,Tableau3[Résultat Net (PdG)]),""))</f>
        <v>0</v>
      </c>
      <c r="AT156" s="43"/>
      <c r="AU156" s="43" t="str">
        <f>IFERROR(_xlfn.XLOOKUP(Tableau1[[#This Row],[Isin]]&amp;1&amp;2020,#REF!,Tableau3[Résultat Net (PdG)]),"")</f>
        <v/>
      </c>
      <c r="AV156" s="43" t="str">
        <f>IFERROR(_xlfn.XLOOKUP(Tableau1[[#This Row],[Isin]]&amp;1&amp;2019,#REF!,Tableau3[Résultat Net (PdG)]),"")</f>
        <v/>
      </c>
      <c r="AW156" s="43" t="str">
        <f>IFERROR(_xlfn.XLOOKUP(Tableau1[[#This Row],[Isin]]&amp;1&amp;2018,#REF!,Tableau3[Résultat Net (PdG)]),"")</f>
        <v/>
      </c>
      <c r="AX156" s="43" t="str">
        <f>IFERROR(_xlfn.XLOOKUP(Tableau1[[#This Row],[Isin]]&amp;1&amp;2017,#REF!,Tableau3[Résultat Net (PdG)]),"")</f>
        <v/>
      </c>
      <c r="AY156" s="43" t="str">
        <f>IFERROR(_xlfn.XLOOKUP(Tableau1[[#This Row],[Isin]]&amp;1&amp;2016,#REF!,Tableau3[Résultat Net (PdG)]),"")</f>
        <v/>
      </c>
      <c r="AZ156" s="137" t="str">
        <f ca="1">IFERROR(Tableau1[[#This Row],[Capitalisation boursière]]/Tableau1[[#This Row],[RN Groupe 2023]],"")</f>
        <v/>
      </c>
      <c r="BA156" s="4" t="str" cm="1">
        <f t="array" aca="1" ref="BA156" ca="1">IFERROR(_FV(Tableau1[[#This Row],[Code Excel]],"Industrie"),"")</f>
        <v>Insurance</v>
      </c>
      <c r="BB156" s="43" t="s">
        <v>3487</v>
      </c>
      <c r="BC156" s="43" t="str">
        <f>IFERROR(_xlfn.XLOOKUP(Tableau1[[#This Row],[Isin]]&amp;1&amp;2016,#REF!,Tableau3[Capi]),"")</f>
        <v/>
      </c>
      <c r="BD156" s="43" t="str">
        <f>IFERROR(_xlfn.XLOOKUP(Tableau1[[#This Row],[Isin]]&amp;1&amp;2017,#REF!,Tableau3[Capi]),"")</f>
        <v/>
      </c>
      <c r="BE156" s="43" t="str">
        <f>IFERROR(_xlfn.XLOOKUP(Tableau1[[#This Row],[Isin]]&amp;1&amp;2018,#REF!,Tableau3[Capi]),"")</f>
        <v/>
      </c>
      <c r="BF156" s="43" t="str">
        <f>IFERROR(_xlfn.XLOOKUP(Tableau1[[#This Row],[Isin]]&amp;1&amp;2019,#REF!,Tableau3[Capi]),"")</f>
        <v/>
      </c>
      <c r="BG156" s="43" t="str">
        <f>IFERROR(_xlfn.XLOOKUP(Tableau1[[#This Row],[Isin]]&amp;1&amp;2020,#REF!,Tableau3[Capi]),"")</f>
        <v/>
      </c>
      <c r="BH156" s="43">
        <f>IF(IFERROR(_xlfn.XLOOKUP(Tableau1[[#This Row],[Isin]]&amp;1&amp;2021,#REF!,Tableau3[Capi]),"")="",Tableau1[[#This Row],[Capitalisation 2021
Manuel]],IFERROR(_xlfn.XLOOKUP(Tableau1[[#This Row],[Isin]]&amp;1&amp;2021,#REF!,Tableau3[Capi]),""))</f>
        <v>0</v>
      </c>
      <c r="BI156" s="43"/>
      <c r="BJ156" s="43">
        <f>IF(IFERROR(_xlfn.XLOOKUP(Tableau1[[#This Row],[Isin]]&amp;1&amp;2022,#REF!,Tableau3[Capi]),"")="",Tableau1[[#This Row],[Capitalisation 2022
Manuel]],IFERROR(_xlfn.XLOOKUP(Tableau1[[#This Row],[Isin]]&amp;1&amp;2022,#REF!,Tableau3[Capi]),""))</f>
        <v>0</v>
      </c>
      <c r="BK156" s="43"/>
      <c r="BL156" s="43">
        <f ca="1">Tableau1[[#This Row],[Capitalisation boursière]]</f>
        <v>33417460000</v>
      </c>
      <c r="BM156" s="162" t="str" cm="1">
        <f t="array" aca="1" ref="BM156" ca="1">_FV(Tableau1[[#This Row],[Code Excel]],"Description")</f>
        <v>Hannover Rueck SE, une société de réassurance basée en Allemagne, opère à travers deux segments : la réassurance IARD et la réassurance vie et santé. Le segment IARD propose des solutions telles que la réassurance structurée, facultative, aéronautique, maritime et couvre les risques de crédit, de caution, politiques et agricoles. Le segment vie et santé fournit des solutions financières, de longévité, de mortalité et de morbidité. Les solutions financières aident les clients à optimiser leur capital et à gérer les risques financiers. Les solutions de longévité traitent des risques financiers liés à l'augmentation de l'espérance de vie. Les solutions de mortalité protègent contre les taux de mortalité plus élevés que prévu et les solutions de morbidité couvrent les risques financiers de maladie et d'invalidité. La société dispose d'un réseau composé d'environ 170 filiales, sociétés affiliées, succursales et bureaux de représentation.</v>
      </c>
      <c r="BN156" s="43"/>
      <c r="BO156" s="43"/>
      <c r="BP156" s="43"/>
      <c r="BQ156" s="43"/>
      <c r="BR156" s="4"/>
      <c r="BS156" s="21"/>
      <c r="BT156" s="13"/>
      <c r="BU156" s="13"/>
      <c r="BV156" s="13"/>
      <c r="BW156" s="13"/>
      <c r="BX156" s="13"/>
      <c r="BY156" s="3"/>
      <c r="BZ156" s="58"/>
      <c r="CA156" s="59"/>
    </row>
    <row r="157" spans="3:83">
      <c r="C157" s="43"/>
      <c r="D157" s="42">
        <f>IF(Tableau1[[#This Row],[Isin]]="",99,Tableau1[[#This Row],[Intérêt]]+Tableau1[[#This Row],[Valeur d''intérêt]]+Tableau1[[#This Row],[N° Portefeuille]])</f>
        <v>30</v>
      </c>
      <c r="E157" s="42"/>
      <c r="F157" s="42">
        <f>IF(Tableau1[[#This Row],[Portefeuille]]="p",0,Tableau1[[#This Row],[F. Investissement
Niveau d''intérêt]]*10)</f>
        <v>30</v>
      </c>
      <c r="G157" s="42">
        <f>IF(Tableau1[[#This Row],[Portefeuille]]="p",3,0)</f>
        <v>0</v>
      </c>
      <c r="H157" s="42">
        <v>3</v>
      </c>
      <c r="I157" s="42">
        <v>4</v>
      </c>
      <c r="J157" s="43" t="s">
        <v>4357</v>
      </c>
      <c r="K157" s="43"/>
      <c r="L157" s="16">
        <v>1</v>
      </c>
      <c r="M15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7" s="44" t="s">
        <v>3850</v>
      </c>
      <c r="O157" s="44" t="s">
        <v>4398</v>
      </c>
      <c r="P157" s="4" t="s">
        <v>84</v>
      </c>
      <c r="Q157" s="6" t="s">
        <v>85</v>
      </c>
      <c r="R157" s="6"/>
      <c r="S157" s="6" t="s">
        <v>1817</v>
      </c>
      <c r="T157" s="6" t="e" vm="143">
        <v>#VALUE!</v>
      </c>
      <c r="U157" s="46" cm="1">
        <f t="array" aca="1" ref="U157" ca="1">IFERROR(_FV(Tableau1[[#This Row],[Code Excel]],"Capitalisation boursière",TRUE),"")</f>
        <v>90349270</v>
      </c>
      <c r="V157" s="4" t="str" cm="1">
        <f t="array" aca="1" ref="V157" ca="1">IFERROR(_FV(Tableau1[[#This Row],[Code Excel]],"Industrie"),"")</f>
        <v>Machinery, Equipment &amp; Components</v>
      </c>
      <c r="W157" s="4" t="s">
        <v>4380</v>
      </c>
      <c r="X157" s="4" t="str">
        <f ca="1">Tableau1[[#This Row],[Grand Secteur]]&amp;Tableau1[[#This Row],[Industrie]]</f>
        <v>MachinesMachinery, Equipment &amp; Components</v>
      </c>
      <c r="Y157" s="23" cm="1">
        <f t="array" aca="1" ref="Y157" ca="1">IFERROR(_FV(Tableau1[[#This Row],[Code Excel]],"P/E",TRUE),"")</f>
        <v>457.1429</v>
      </c>
      <c r="Z157" s="43" cm="1">
        <f t="array" aca="1" ref="Z157" ca="1">IFERROR(_FV(Tableau1[[#This Row],[Code Excel]],"Employés"),"")</f>
        <v>2019</v>
      </c>
      <c r="AA157" s="49">
        <f ca="1">IFERROR(Tableau1[[#This Row],[Capitalisation boursière]]/Tableau1[[#This Row],[Employés]],"")</f>
        <v>44749.514611193663</v>
      </c>
      <c r="AB157" s="5" t="str">
        <f>IFERROR(Tableau1[[#This Row],[REX (2021)]]/Tableau1[[#This Row],[CA 2024]],"")</f>
        <v/>
      </c>
      <c r="AC157" s="9" t="str">
        <f>IFERROR(_xlfn.XLOOKUP(Tableau1[[#This Row],[Isin]]&amp;1&amp;2021,#REF!,Tableau3[Résultat d''exploitation]),"")</f>
        <v/>
      </c>
      <c r="AD157" s="9" t="str">
        <f>IFERROR(_xlfn.XLOOKUP(Tableau1[[#This Row],[Isin]]&amp;1&amp;2019,#REF!,Tableau3[Chiffre d''affaires]),"")</f>
        <v/>
      </c>
      <c r="AE157" s="9" t="str">
        <f>IFERROR(_xlfn.XLOOKUP(Tableau1[[#This Row],[Isin]]&amp;1&amp;2024,#REF!,Tableau3[Chiffre d''affaires]),"")</f>
        <v/>
      </c>
      <c r="AF157" s="8" t="str">
        <f>IFERROR(IF((Tableau1[[#This Row],[CA 2024]]-Tableau1[[#This Row],[CA 2019]])/Tableau1[[#This Row],[CA 2019]]=-1,"",(Tableau1[[#This Row],[CA 2024]]-Tableau1[[#This Row],[CA 2019]])/Tableau1[[#This Row],[CA 2019]]),"")</f>
        <v/>
      </c>
      <c r="AG157" s="9" t="str">
        <f>IFERROR(_xlfn.XLOOKUP(Tableau1[[#This Row],[Isin]]&amp;1&amp;2021,#REF!,Tableau3[EBE]),"")</f>
        <v/>
      </c>
      <c r="AH157" s="9" t="str">
        <f>IFERROR(_xlfn.XLOOKUP(Tableau1[[#This Row],[Isin]]&amp;1&amp;2022,#REF!,Tableau3[EBE]),"")</f>
        <v/>
      </c>
      <c r="AI157" s="43" t="s">
        <v>4329</v>
      </c>
      <c r="AJ157" s="43" t="s">
        <v>4322</v>
      </c>
      <c r="AK157" s="43" t="s">
        <v>3431</v>
      </c>
      <c r="AL157" s="43" t="s">
        <v>3148</v>
      </c>
      <c r="AM157" s="43"/>
      <c r="AN157" s="9" t="str">
        <f>IFERROR(_xlfn.XLOOKUP(Tableau1[[#This Row],[Isin]]&amp;1&amp;2021,#REF!,Tableau3[Chiffre d''affaires]),"")</f>
        <v/>
      </c>
      <c r="AO157" s="43" cm="1">
        <f t="array" aca="1" ref="AO157" ca="1">_FV(Tableau1[[#This Row],[Code Excel]],"P/E",TRUE)</f>
        <v>457.1429</v>
      </c>
      <c r="AP157" s="43" t="str">
        <f>IFERROR(_xlfn.XLOOKUP(Tableau1[[#This Row],[Isin]]&amp;1&amp;2023,#REF!,Tableau3[Résultat Net (PdG)]),"")</f>
        <v/>
      </c>
      <c r="AQ157" s="43">
        <f>IF(IFERROR(_xlfn.XLOOKUP(Tableau1[[#This Row],[Isin]]&amp;1&amp;2022,#REF!,Tableau3[Résultat Net (PdG)]),"")="",Tableau1[[#This Row],[RN Groupe 2022
Manuel]],IFERROR(_xlfn.XLOOKUP(Tableau1[[#This Row],[Isin]]&amp;1&amp;2022,#REF!,Tableau3[Résultat Net (PdG)]),""))</f>
        <v>0</v>
      </c>
      <c r="AR157" s="43"/>
      <c r="AS157" s="43">
        <f>IF(IFERROR(_xlfn.XLOOKUP(Tableau1[[#This Row],[Isin]]&amp;1&amp;2021,#REF!,Tableau3[Résultat Net (PdG)]),"")="",Tableau1[[#This Row],[RN Groupe 2021
Manuel]],IFERROR(_xlfn.XLOOKUP(Tableau1[[#This Row],[Isin]]&amp;1&amp;2021,#REF!,Tableau3[Résultat Net (PdG)]),""))</f>
        <v>0</v>
      </c>
      <c r="AT157" s="43"/>
      <c r="AU157" s="43" t="str">
        <f>IFERROR(_xlfn.XLOOKUP(Tableau1[[#This Row],[Isin]]&amp;1&amp;2020,#REF!,Tableau3[Résultat Net (PdG)]),"")</f>
        <v/>
      </c>
      <c r="AV157" s="43" t="str">
        <f>IFERROR(_xlfn.XLOOKUP(Tableau1[[#This Row],[Isin]]&amp;1&amp;2019,#REF!,Tableau3[Résultat Net (PdG)]),"")</f>
        <v/>
      </c>
      <c r="AW157" s="43" t="str">
        <f>IFERROR(_xlfn.XLOOKUP(Tableau1[[#This Row],[Isin]]&amp;1&amp;2018,#REF!,Tableau3[Résultat Net (PdG)]),"")</f>
        <v/>
      </c>
      <c r="AX157" s="43" t="str">
        <f>IFERROR(_xlfn.XLOOKUP(Tableau1[[#This Row],[Isin]]&amp;1&amp;2017,#REF!,Tableau3[Résultat Net (PdG)]),"")</f>
        <v/>
      </c>
      <c r="AY157" s="43" t="str">
        <f>IFERROR(_xlfn.XLOOKUP(Tableau1[[#This Row],[Isin]]&amp;1&amp;2016,#REF!,Tableau3[Résultat Net (PdG)]),"")</f>
        <v/>
      </c>
      <c r="AZ157" s="137" t="str">
        <f ca="1">IFERROR(Tableau1[[#This Row],[Capitalisation boursière]]/Tableau1[[#This Row],[RN Groupe 2023]],"")</f>
        <v/>
      </c>
      <c r="BA157" s="4" t="str" cm="1">
        <f t="array" aca="1" ref="BA157" ca="1">IFERROR(_FV(Tableau1[[#This Row],[Code Excel]],"Industrie"),"")</f>
        <v>Machinery, Equipment &amp; Components</v>
      </c>
      <c r="BB157" s="43" t="s">
        <v>3845</v>
      </c>
      <c r="BC157" s="43" t="str">
        <f>IFERROR(_xlfn.XLOOKUP(Tableau1[[#This Row],[Isin]]&amp;1&amp;2016,#REF!,Tableau3[Capi]),"")</f>
        <v/>
      </c>
      <c r="BD157" s="43" t="str">
        <f>IFERROR(_xlfn.XLOOKUP(Tableau1[[#This Row],[Isin]]&amp;1&amp;2017,#REF!,Tableau3[Capi]),"")</f>
        <v/>
      </c>
      <c r="BE157" s="43" t="str">
        <f>IFERROR(_xlfn.XLOOKUP(Tableau1[[#This Row],[Isin]]&amp;1&amp;2018,#REF!,Tableau3[Capi]),"")</f>
        <v/>
      </c>
      <c r="BF157" s="43" t="str">
        <f>IFERROR(_xlfn.XLOOKUP(Tableau1[[#This Row],[Isin]]&amp;1&amp;2019,#REF!,Tableau3[Capi]),"")</f>
        <v/>
      </c>
      <c r="BG157" s="43" t="str">
        <f>IFERROR(_xlfn.XLOOKUP(Tableau1[[#This Row],[Isin]]&amp;1&amp;2020,#REF!,Tableau3[Capi]),"")</f>
        <v/>
      </c>
      <c r="BH157" s="43">
        <f>IF(IFERROR(_xlfn.XLOOKUP(Tableau1[[#This Row],[Isin]]&amp;1&amp;2021,#REF!,Tableau3[Capi]),"")="",Tableau1[[#This Row],[Capitalisation 2021
Manuel]],IFERROR(_xlfn.XLOOKUP(Tableau1[[#This Row],[Isin]]&amp;1&amp;2021,#REF!,Tableau3[Capi]),""))</f>
        <v>0</v>
      </c>
      <c r="BI157" s="43"/>
      <c r="BJ157" s="43">
        <f>IF(IFERROR(_xlfn.XLOOKUP(Tableau1[[#This Row],[Isin]]&amp;1&amp;2022,#REF!,Tableau3[Capi]),"")="",Tableau1[[#This Row],[Capitalisation 2022
Manuel]],IFERROR(_xlfn.XLOOKUP(Tableau1[[#This Row],[Isin]]&amp;1&amp;2022,#REF!,Tableau3[Capi]),""))</f>
        <v>0</v>
      </c>
      <c r="BK157" s="43"/>
      <c r="BL157" s="43">
        <f ca="1">Tableau1[[#This Row],[Capitalisation boursière]]</f>
        <v>90349270</v>
      </c>
      <c r="BM157" s="162" t="str" cm="1">
        <f t="array" aca="1" ref="BM157" ca="1">_FV(Tableau1[[#This Row],[Code Excel]],"Description")</f>
        <v>Haulotte Group sa est une société française spécialisée dans la fabrication de matériels de levage et de terrassement. Elle opère à travers trois divisions : fabrication et vente de matériel de levage, location de matériel de levage et prestation de services tels que financement, pièces détachées, réparations, formation et assistance technique. La société offre deux catégories de produits principales : les personnes de levage de matériel, tels que télescopique, ciseaux, articulé, mâts, poussées, remorques et flèches montées sur camion ; équipements de levage de matériaux et de terrassement, tels que chargeuses-pelleteuses et chargeurs télescopiques. Haulotte Group dispose de six usines de production : trois en France, une en Roumanie, une en Chine et une aux États-Unis. Elle opère par le biais de filiales, dont Haulotte France Sarl et Telescopelle SAS, entre autres. Elle est présente dans plus de 100 pays à travers le monde.</v>
      </c>
      <c r="BN157" s="43"/>
      <c r="BO157" s="43"/>
      <c r="BP157" s="43"/>
      <c r="BQ157" s="43"/>
      <c r="BR157" s="4"/>
      <c r="BS157" s="21"/>
      <c r="BT157" s="13"/>
      <c r="BU157" s="13"/>
      <c r="BV157" s="13"/>
      <c r="BW157" s="13"/>
      <c r="BX157" s="13"/>
      <c r="BY157" s="3"/>
      <c r="BZ157" s="58"/>
      <c r="CA157" s="59"/>
    </row>
    <row r="158" spans="3:83">
      <c r="C158" s="42"/>
      <c r="D158" s="42">
        <f>IF(Tableau1[[#This Row],[Isin]]="",99,Tableau1[[#This Row],[Intérêt]]+Tableau1[[#This Row],[Valeur d''intérêt]]+Tableau1[[#This Row],[N° Portefeuille]])</f>
        <v>30</v>
      </c>
      <c r="E158" s="42"/>
      <c r="F158" s="42">
        <f>IF(Tableau1[[#This Row],[Portefeuille]]="p",0,Tableau1[[#This Row],[F. Investissement
Niveau d''intérêt]]*10)</f>
        <v>30</v>
      </c>
      <c r="G158" s="42">
        <f>IF(Tableau1[[#This Row],[Portefeuille]]="p",3,0)</f>
        <v>0</v>
      </c>
      <c r="H158" s="42">
        <v>3</v>
      </c>
      <c r="I158" s="42">
        <v>4</v>
      </c>
      <c r="J158" s="42"/>
      <c r="K158" s="43"/>
      <c r="L158" s="16">
        <v>0</v>
      </c>
      <c r="M15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8" s="44" t="s">
        <v>3852</v>
      </c>
      <c r="O158" s="45"/>
      <c r="P158" s="4" t="s">
        <v>564</v>
      </c>
      <c r="Q158" s="4"/>
      <c r="R158" s="6"/>
      <c r="S158" s="6" t="s">
        <v>3853</v>
      </c>
      <c r="T158" s="6" t="e" vm="144">
        <v>#VALUE!</v>
      </c>
      <c r="U158" s="46" cm="1">
        <f t="array" aca="1" ref="U158" ca="1">IFERROR(_FV(Tableau1[[#This Row],[Code Excel]],"Capitalisation boursière",TRUE),"")</f>
        <v>29012840000</v>
      </c>
      <c r="V158" s="4" t="str" cm="1">
        <f t="array" aca="1" ref="V158" ca="1">IFERROR(_FV(Tableau1[[#This Row],[Code Excel]],"Industrie"),"")</f>
        <v>Construction Materials</v>
      </c>
      <c r="W158" s="4" t="s">
        <v>1926</v>
      </c>
      <c r="X158" s="4" t="str">
        <f ca="1">Tableau1[[#This Row],[Grand Secteur]]&amp;Tableau1[[#This Row],[Industrie]]</f>
        <v>ConstructionConstruction Materials</v>
      </c>
      <c r="Y158" s="23" cm="1">
        <f t="array" aca="1" ref="Y158" ca="1">IFERROR(_FV(Tableau1[[#This Row],[Code Excel]],"P/E",TRUE),"")</f>
        <v>17.2</v>
      </c>
      <c r="Z158" s="43" cm="1">
        <f t="array" aca="1" ref="Z158" ca="1">IFERROR(_FV(Tableau1[[#This Row],[Code Excel]],"Employés"),"")</f>
        <v>51129</v>
      </c>
      <c r="AA158" s="46">
        <f ca="1">IFERROR(Tableau1[[#This Row],[Capitalisation boursière]]/Tableau1[[#This Row],[Employés]],"")</f>
        <v>567443.91636840149</v>
      </c>
      <c r="AB158" s="5" t="str">
        <f>IFERROR(Tableau1[[#This Row],[REX (2021)]]/Tableau1[[#This Row],[CA 2024]],"")</f>
        <v/>
      </c>
      <c r="AC158" s="9" t="str">
        <f>IFERROR(_xlfn.XLOOKUP(Tableau1[[#This Row],[Isin]]&amp;1&amp;2021,#REF!,Tableau3[Résultat d''exploitation]),"")</f>
        <v/>
      </c>
      <c r="AD158" s="9" t="str">
        <f>IFERROR(_xlfn.XLOOKUP(Tableau1[[#This Row],[Isin]]&amp;1&amp;2019,#REF!,Tableau3[Chiffre d''affaires]),"")</f>
        <v/>
      </c>
      <c r="AE158" s="9" t="str">
        <f>IFERROR(_xlfn.XLOOKUP(Tableau1[[#This Row],[Isin]]&amp;1&amp;2024,#REF!,Tableau3[Chiffre d''affaires]),"")</f>
        <v/>
      </c>
      <c r="AF158" s="8" t="str">
        <f>IFERROR(IF((Tableau1[[#This Row],[CA 2024]]-Tableau1[[#This Row],[CA 2019]])/Tableau1[[#This Row],[CA 2019]]=-1,"",(Tableau1[[#This Row],[CA 2024]]-Tableau1[[#This Row],[CA 2019]])/Tableau1[[#This Row],[CA 2019]]),"")</f>
        <v/>
      </c>
      <c r="AG158" s="9" t="str">
        <f>IFERROR(_xlfn.XLOOKUP(Tableau1[[#This Row],[Isin]]&amp;1&amp;2021,#REF!,Tableau3[EBE]),"")</f>
        <v/>
      </c>
      <c r="AH158" s="9" t="str">
        <f>IFERROR(_xlfn.XLOOKUP(Tableau1[[#This Row],[Isin]]&amp;1&amp;2022,#REF!,Tableau3[EBE]),"")</f>
        <v/>
      </c>
      <c r="AI158" s="43" t="s">
        <v>4329</v>
      </c>
      <c r="AJ158" s="43" t="s">
        <v>3150</v>
      </c>
      <c r="AK158" s="43" t="s">
        <v>3431</v>
      </c>
      <c r="AL158" s="43"/>
      <c r="AM158" s="43"/>
      <c r="AN158" s="9" t="str">
        <f>IFERROR(_xlfn.XLOOKUP(Tableau1[[#This Row],[Isin]]&amp;1&amp;2021,#REF!,Tableau3[Chiffre d''affaires]),"")</f>
        <v/>
      </c>
      <c r="AO158" s="43" cm="1">
        <f t="array" aca="1" ref="AO158" ca="1">_FV(Tableau1[[#This Row],[Code Excel]],"P/E",TRUE)</f>
        <v>17.2</v>
      </c>
      <c r="AP158" s="43" t="str">
        <f>IFERROR(_xlfn.XLOOKUP(Tableau1[[#This Row],[Isin]]&amp;1&amp;2023,#REF!,Tableau3[Résultat Net (PdG)]),"")</f>
        <v/>
      </c>
      <c r="AQ158" s="43">
        <f>IF(IFERROR(_xlfn.XLOOKUP(Tableau1[[#This Row],[Isin]]&amp;1&amp;2022,#REF!,Tableau3[Résultat Net (PdG)]),"")="",Tableau1[[#This Row],[RN Groupe 2022
Manuel]],IFERROR(_xlfn.XLOOKUP(Tableau1[[#This Row],[Isin]]&amp;1&amp;2022,#REF!,Tableau3[Résultat Net (PdG)]),""))</f>
        <v>0</v>
      </c>
      <c r="AR158" s="43"/>
      <c r="AS158" s="43">
        <f>IF(IFERROR(_xlfn.XLOOKUP(Tableau1[[#This Row],[Isin]]&amp;1&amp;2021,#REF!,Tableau3[Résultat Net (PdG)]),"")="",Tableau1[[#This Row],[RN Groupe 2021
Manuel]],IFERROR(_xlfn.XLOOKUP(Tableau1[[#This Row],[Isin]]&amp;1&amp;2021,#REF!,Tableau3[Résultat Net (PdG)]),""))</f>
        <v>0</v>
      </c>
      <c r="AT158" s="43"/>
      <c r="AU158" s="43" t="str">
        <f>IFERROR(_xlfn.XLOOKUP(Tableau1[[#This Row],[Isin]]&amp;1&amp;2020,#REF!,Tableau3[Résultat Net (PdG)]),"")</f>
        <v/>
      </c>
      <c r="AV158" s="43" t="str">
        <f>IFERROR(_xlfn.XLOOKUP(Tableau1[[#This Row],[Isin]]&amp;1&amp;2019,#REF!,Tableau3[Résultat Net (PdG)]),"")</f>
        <v/>
      </c>
      <c r="AW158" s="43" t="str">
        <f>IFERROR(_xlfn.XLOOKUP(Tableau1[[#This Row],[Isin]]&amp;1&amp;2018,#REF!,Tableau3[Résultat Net (PdG)]),"")</f>
        <v/>
      </c>
      <c r="AX158" s="43" t="str">
        <f>IFERROR(_xlfn.XLOOKUP(Tableau1[[#This Row],[Isin]]&amp;1&amp;2017,#REF!,Tableau3[Résultat Net (PdG)]),"")</f>
        <v/>
      </c>
      <c r="AY158" s="43" t="str">
        <f>IFERROR(_xlfn.XLOOKUP(Tableau1[[#This Row],[Isin]]&amp;1&amp;2016,#REF!,Tableau3[Résultat Net (PdG)]),"")</f>
        <v/>
      </c>
      <c r="AZ158" s="137" t="str">
        <f ca="1">IFERROR(Tableau1[[#This Row],[Capitalisation boursière]]/Tableau1[[#This Row],[RN Groupe 2023]],"")</f>
        <v/>
      </c>
      <c r="BA158" s="4" t="str" cm="1">
        <f t="array" aca="1" ref="BA158" ca="1">IFERROR(_FV(Tableau1[[#This Row],[Code Excel]],"Industrie"),"")</f>
        <v>Construction Materials</v>
      </c>
      <c r="BB158" s="43" t="s">
        <v>3487</v>
      </c>
      <c r="BC158" s="43" t="str">
        <f>IFERROR(_xlfn.XLOOKUP(Tableau1[[#This Row],[Isin]]&amp;1&amp;2016,#REF!,Tableau3[Capi]),"")</f>
        <v/>
      </c>
      <c r="BD158" s="43" t="str">
        <f>IFERROR(_xlfn.XLOOKUP(Tableau1[[#This Row],[Isin]]&amp;1&amp;2017,#REF!,Tableau3[Capi]),"")</f>
        <v/>
      </c>
      <c r="BE158" s="43" t="str">
        <f>IFERROR(_xlfn.XLOOKUP(Tableau1[[#This Row],[Isin]]&amp;1&amp;2018,#REF!,Tableau3[Capi]),"")</f>
        <v/>
      </c>
      <c r="BF158" s="43" t="str">
        <f>IFERROR(_xlfn.XLOOKUP(Tableau1[[#This Row],[Isin]]&amp;1&amp;2019,#REF!,Tableau3[Capi]),"")</f>
        <v/>
      </c>
      <c r="BG158" s="43" t="str">
        <f>IFERROR(_xlfn.XLOOKUP(Tableau1[[#This Row],[Isin]]&amp;1&amp;2020,#REF!,Tableau3[Capi]),"")</f>
        <v/>
      </c>
      <c r="BH158" s="43">
        <f>IF(IFERROR(_xlfn.XLOOKUP(Tableau1[[#This Row],[Isin]]&amp;1&amp;2021,#REF!,Tableau3[Capi]),"")="",Tableau1[[#This Row],[Capitalisation 2021
Manuel]],IFERROR(_xlfn.XLOOKUP(Tableau1[[#This Row],[Isin]]&amp;1&amp;2021,#REF!,Tableau3[Capi]),""))</f>
        <v>0</v>
      </c>
      <c r="BI158" s="43"/>
      <c r="BJ158" s="43">
        <f>IF(IFERROR(_xlfn.XLOOKUP(Tableau1[[#This Row],[Isin]]&amp;1&amp;2022,#REF!,Tableau3[Capi]),"")="",Tableau1[[#This Row],[Capitalisation 2022
Manuel]],IFERROR(_xlfn.XLOOKUP(Tableau1[[#This Row],[Isin]]&amp;1&amp;2022,#REF!,Tableau3[Capi]),""))</f>
        <v>0</v>
      </c>
      <c r="BK158" s="43"/>
      <c r="BL158" s="43">
        <f ca="1">Tableau1[[#This Row],[Capitalisation boursière]]</f>
        <v>29012840000</v>
      </c>
      <c r="BM158" s="162" t="str" cm="1">
        <f t="array" aca="1" ref="BM158" ca="1">_FV(Tableau1[[#This Row],[Code Excel]],"Description")</f>
        <v>Heidelberg Materials AG est une entreprise allemande de matériaux de construction. Ses produits sont utilisés pour la construction de maisons, de voies de circulation, d'installations commerciales et industrielles. Les activités principales de la Société comprennent la production et la distribution de ciment et de granulats, les deux matières premières essentielles à la production de béton. Elle offre également des services tels que le commerce mondial du ciment et du charbon par mer. Les secteurs d'activité de la société sont les produits durables, le ciment, les granulats, le béton prêt à l'emploi et l'asphalte. Les produits durables incluent l'utilisation de scories de haut fourneau et de cendres volantes comme matériaux cimentaires secondaires (MCS), le co-traitement des déchets et le recyclage du béton. Le ciment et les granulats se concentrent sur les matières premières pour le béton, à savoir le ciment et les granulats, tels que le sable, le gravier et la roche concassée. Le béton prêt à l'emploi et l'asphalte comprennent les activités de béton prêt à l'emploi et d'asphalte de la Société.</v>
      </c>
      <c r="BN158" s="43"/>
      <c r="BO158" s="43"/>
      <c r="BP158" s="43"/>
      <c r="BQ158" s="43"/>
      <c r="BR158" s="4"/>
      <c r="BS158" s="21"/>
      <c r="BT158" s="13"/>
      <c r="BU158" s="13"/>
      <c r="BV158" s="13"/>
      <c r="BW158" s="13"/>
      <c r="BX158" s="13"/>
      <c r="BY158" s="3"/>
      <c r="BZ158" s="58"/>
      <c r="CA158" s="59"/>
    </row>
    <row r="159" spans="3:83">
      <c r="C159" s="43"/>
      <c r="D159" s="42">
        <f>IF(Tableau1[[#This Row],[Isin]]="",99,Tableau1[[#This Row],[Intérêt]]+Tableau1[[#This Row],[Valeur d''intérêt]]+Tableau1[[#This Row],[N° Portefeuille]])</f>
        <v>30</v>
      </c>
      <c r="E159" s="43"/>
      <c r="F159" s="42">
        <f>IF(Tableau1[[#This Row],[Portefeuille]]="p",0,Tableau1[[#This Row],[F. Investissement
Niveau d''intérêt]]*10)</f>
        <v>30</v>
      </c>
      <c r="G159" s="43">
        <f>IF(Tableau1[[#This Row],[Portefeuille]]="p",3,0)</f>
        <v>0</v>
      </c>
      <c r="H159" s="42">
        <v>3</v>
      </c>
      <c r="I159" s="43">
        <v>4</v>
      </c>
      <c r="J159" s="43"/>
      <c r="K159" s="43"/>
      <c r="L159" s="16">
        <v>0</v>
      </c>
      <c r="M15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59" s="44" t="s">
        <v>3856</v>
      </c>
      <c r="O159" s="45"/>
      <c r="P159" s="4" t="s">
        <v>427</v>
      </c>
      <c r="Q159" s="4"/>
      <c r="R159" s="6"/>
      <c r="S159" s="6" t="s">
        <v>3857</v>
      </c>
      <c r="T159" s="6" t="e" vm="145">
        <v>#VALUE!</v>
      </c>
      <c r="U159" s="46" cm="1">
        <f t="array" aca="1" ref="U159" ca="1">IFERROR(_FV(Tableau1[[#This Row],[Code Excel]],"Capitalisation boursière",TRUE),"")</f>
        <v>43672520000</v>
      </c>
      <c r="V159" s="4" t="str" cm="1">
        <f t="array" aca="1" ref="V159" ca="1">IFERROR(_FV(Tableau1[[#This Row],[Code Excel]],"Industrie"),"")</f>
        <v>Beverages</v>
      </c>
      <c r="W159" s="4" t="s">
        <v>1315</v>
      </c>
      <c r="X159" s="4" t="str">
        <f ca="1">Tableau1[[#This Row],[Grand Secteur]]&amp;Tableau1[[#This Row],[Industrie]]</f>
        <v>Biens de consommationBeverages</v>
      </c>
      <c r="Y159" s="23" cm="1">
        <f t="array" aca="1" ref="Y159" ca="1">IFERROR(_FV(Tableau1[[#This Row],[Code Excel]],"P/E",TRUE),"")</f>
        <v>43.437399999999997</v>
      </c>
      <c r="Z159" s="43" cm="1">
        <f t="array" aca="1" ref="Z159" ca="1">IFERROR(_FV(Tableau1[[#This Row],[Code Excel]],"Employés"),"")</f>
        <v>88497</v>
      </c>
      <c r="AA159" s="46">
        <f ca="1">IFERROR(Tableau1[[#This Row],[Capitalisation boursière]]/Tableau1[[#This Row],[Employés]],"")</f>
        <v>493491.53078635433</v>
      </c>
      <c r="AB159" s="5" t="str">
        <f>IFERROR(Tableau1[[#This Row],[REX (2021)]]/Tableau1[[#This Row],[CA 2024]],"")</f>
        <v/>
      </c>
      <c r="AC159" s="9" t="str">
        <f>IFERROR(_xlfn.XLOOKUP(Tableau1[[#This Row],[Isin]]&amp;1&amp;2021,#REF!,Tableau3[Résultat d''exploitation]),"")</f>
        <v/>
      </c>
      <c r="AD159" s="9" t="str">
        <f>IFERROR(_xlfn.XLOOKUP(Tableau1[[#This Row],[Isin]]&amp;1&amp;2019,#REF!,Tableau3[Chiffre d''affaires]),"")</f>
        <v/>
      </c>
      <c r="AE159" s="9" t="str">
        <f>IFERROR(_xlfn.XLOOKUP(Tableau1[[#This Row],[Isin]]&amp;1&amp;2024,#REF!,Tableau3[Chiffre d''affaires]),"")</f>
        <v/>
      </c>
      <c r="AF159" s="8" t="str">
        <f>IFERROR(IF((Tableau1[[#This Row],[CA 2024]]-Tableau1[[#This Row],[CA 2019]])/Tableau1[[#This Row],[CA 2019]]=-1,"",(Tableau1[[#This Row],[CA 2024]]-Tableau1[[#This Row],[CA 2019]])/Tableau1[[#This Row],[CA 2019]]),"")</f>
        <v/>
      </c>
      <c r="AG159" s="9" t="str">
        <f>IFERROR(_xlfn.XLOOKUP(Tableau1[[#This Row],[Isin]]&amp;1&amp;2021,#REF!,Tableau3[EBE]),"")</f>
        <v/>
      </c>
      <c r="AH159" s="9" t="str">
        <f>IFERROR(_xlfn.XLOOKUP(Tableau1[[#This Row],[Isin]]&amp;1&amp;2022,#REF!,Tableau3[EBE]),"")</f>
        <v/>
      </c>
      <c r="AI159" s="43" t="s">
        <v>3431</v>
      </c>
      <c r="AJ159" s="43" t="s">
        <v>4322</v>
      </c>
      <c r="AK159" s="43" t="s">
        <v>3148</v>
      </c>
      <c r="AL159" s="43"/>
      <c r="AM159" s="43"/>
      <c r="AN159" s="9" t="str">
        <f>IFERROR(_xlfn.XLOOKUP(Tableau1[[#This Row],[Isin]]&amp;1&amp;2021,#REF!,Tableau3[Chiffre d''affaires]),"")</f>
        <v/>
      </c>
      <c r="AO159" s="43" cm="1">
        <f t="array" aca="1" ref="AO159" ca="1">_FV(Tableau1[[#This Row],[Code Excel]],"P/E",TRUE)</f>
        <v>43.437399999999997</v>
      </c>
      <c r="AP159" s="43" t="str">
        <f>IFERROR(_xlfn.XLOOKUP(Tableau1[[#This Row],[Isin]]&amp;1&amp;2023,#REF!,Tableau3[Résultat Net (PdG)]),"")</f>
        <v/>
      </c>
      <c r="AQ159" s="43">
        <f>IF(IFERROR(_xlfn.XLOOKUP(Tableau1[[#This Row],[Isin]]&amp;1&amp;2022,#REF!,Tableau3[Résultat Net (PdG)]),"")="",Tableau1[[#This Row],[RN Groupe 2022
Manuel]],IFERROR(_xlfn.XLOOKUP(Tableau1[[#This Row],[Isin]]&amp;1&amp;2022,#REF!,Tableau3[Résultat Net (PdG)]),""))</f>
        <v>0</v>
      </c>
      <c r="AR159" s="43"/>
      <c r="AS159" s="43">
        <f>IF(IFERROR(_xlfn.XLOOKUP(Tableau1[[#This Row],[Isin]]&amp;1&amp;2021,#REF!,Tableau3[Résultat Net (PdG)]),"")="",Tableau1[[#This Row],[RN Groupe 2021
Manuel]],IFERROR(_xlfn.XLOOKUP(Tableau1[[#This Row],[Isin]]&amp;1&amp;2021,#REF!,Tableau3[Résultat Net (PdG)]),""))</f>
        <v>0</v>
      </c>
      <c r="AT159" s="43"/>
      <c r="AU159" s="43" t="str">
        <f>IFERROR(_xlfn.XLOOKUP(Tableau1[[#This Row],[Isin]]&amp;1&amp;2020,#REF!,Tableau3[Résultat Net (PdG)]),"")</f>
        <v/>
      </c>
      <c r="AV159" s="43" t="str">
        <f>IFERROR(_xlfn.XLOOKUP(Tableau1[[#This Row],[Isin]]&amp;1&amp;2019,#REF!,Tableau3[Résultat Net (PdG)]),"")</f>
        <v/>
      </c>
      <c r="AW159" s="43" t="str">
        <f>IFERROR(_xlfn.XLOOKUP(Tableau1[[#This Row],[Isin]]&amp;1&amp;2018,#REF!,Tableau3[Résultat Net (PdG)]),"")</f>
        <v/>
      </c>
      <c r="AX159" s="43" t="str">
        <f>IFERROR(_xlfn.XLOOKUP(Tableau1[[#This Row],[Isin]]&amp;1&amp;2017,#REF!,Tableau3[Résultat Net (PdG)]),"")</f>
        <v/>
      </c>
      <c r="AY159" s="43" t="str">
        <f>IFERROR(_xlfn.XLOOKUP(Tableau1[[#This Row],[Isin]]&amp;1&amp;2016,#REF!,Tableau3[Résultat Net (PdG)]),"")</f>
        <v/>
      </c>
      <c r="AZ159" s="137" t="str">
        <f ca="1">IFERROR(Tableau1[[#This Row],[Capitalisation boursière]]/Tableau1[[#This Row],[RN Groupe 2023]],"")</f>
        <v/>
      </c>
      <c r="BA159" s="4" t="str" cm="1">
        <f t="array" aca="1" ref="BA159" ca="1">IFERROR(_FV(Tableau1[[#This Row],[Code Excel]],"Industrie"),"")</f>
        <v>Beverages</v>
      </c>
      <c r="BB159" s="43" t="s">
        <v>3496</v>
      </c>
      <c r="BC159" s="43" t="str">
        <f>IFERROR(_xlfn.XLOOKUP(Tableau1[[#This Row],[Isin]]&amp;1&amp;2016,#REF!,Tableau3[Capi]),"")</f>
        <v/>
      </c>
      <c r="BD159" s="43" t="str">
        <f>IFERROR(_xlfn.XLOOKUP(Tableau1[[#This Row],[Isin]]&amp;1&amp;2017,#REF!,Tableau3[Capi]),"")</f>
        <v/>
      </c>
      <c r="BE159" s="43" t="str">
        <f>IFERROR(_xlfn.XLOOKUP(Tableau1[[#This Row],[Isin]]&amp;1&amp;2018,#REF!,Tableau3[Capi]),"")</f>
        <v/>
      </c>
      <c r="BF159" s="43" t="str">
        <f>IFERROR(_xlfn.XLOOKUP(Tableau1[[#This Row],[Isin]]&amp;1&amp;2019,#REF!,Tableau3[Capi]),"")</f>
        <v/>
      </c>
      <c r="BG159" s="43" t="str">
        <f>IFERROR(_xlfn.XLOOKUP(Tableau1[[#This Row],[Isin]]&amp;1&amp;2020,#REF!,Tableau3[Capi]),"")</f>
        <v/>
      </c>
      <c r="BH159" s="43">
        <f>IF(IFERROR(_xlfn.XLOOKUP(Tableau1[[#This Row],[Isin]]&amp;1&amp;2021,#REF!,Tableau3[Capi]),"")="",Tableau1[[#This Row],[Capitalisation 2021
Manuel]],IFERROR(_xlfn.XLOOKUP(Tableau1[[#This Row],[Isin]]&amp;1&amp;2021,#REF!,Tableau3[Capi]),""))</f>
        <v>0</v>
      </c>
      <c r="BI159" s="43"/>
      <c r="BJ159" s="43">
        <f>IF(IFERROR(_xlfn.XLOOKUP(Tableau1[[#This Row],[Isin]]&amp;1&amp;2022,#REF!,Tableau3[Capi]),"")="",Tableau1[[#This Row],[Capitalisation 2022
Manuel]],IFERROR(_xlfn.XLOOKUP(Tableau1[[#This Row],[Isin]]&amp;1&amp;2022,#REF!,Tableau3[Capi]),""))</f>
        <v>0</v>
      </c>
      <c r="BK159" s="43"/>
      <c r="BL159" s="43">
        <f ca="1">Tableau1[[#This Row],[Capitalisation boursière]]</f>
        <v>43672520000</v>
      </c>
      <c r="BM159" s="162" t="str" cm="1">
        <f t="array" aca="1" ref="BM159" ca="1">_FV(Tableau1[[#This Row],[Code Excel]],"Description")</f>
        <v>Hieneken NV est la société néerlandaise spécialisée dans le brassage et la vente de bière. La gamme de produits HEINEKEN se compose principalement de bière, de boissons gazeuses et de cidre. La Société opère dans cinq secteurs : Afrique, Moyen-Orient et Europe de l'est ; Amériques ; Asie-Pacifique, Europe, et siège social et autres/éliminations. Le segment Afrique, Moyen-Orient et Europe de l'est comprend des marques telles que Heineken, Primus, Amstel, Walia et Goldberg. Le segment Amériques comprend des marques telles que Heineken, Tecate, Amstel, sol et dos Equis. Le segment Asie-Pacifique comprend des marques telles que Heineken, Anchor, Larue, Tiger et Bintang. Le segment Europe comprend des marques telles que Heineken, Cruzcampo, birra Moretti, Zywiec et Strongbow Apple Ciders. La Société possède, commercialise et vend dans plus de 190 pays.</v>
      </c>
      <c r="BN159" s="43"/>
      <c r="BO159" s="43"/>
      <c r="BP159" s="43"/>
      <c r="BQ159" s="43"/>
      <c r="BS159" s="21"/>
      <c r="BT159" s="13"/>
      <c r="BU159" s="13"/>
      <c r="BV159" s="13"/>
      <c r="BW159" s="13"/>
      <c r="BX159" s="13"/>
      <c r="BY159" s="3"/>
      <c r="BZ159" s="58"/>
      <c r="CA159" s="59"/>
    </row>
    <row r="160" spans="3:83">
      <c r="C160" s="42"/>
      <c r="D160" s="42">
        <f>IF(Tableau1[[#This Row],[Isin]]="",99,Tableau1[[#This Row],[Intérêt]]+Tableau1[[#This Row],[Valeur d''intérêt]]+Tableau1[[#This Row],[N° Portefeuille]])</f>
        <v>30</v>
      </c>
      <c r="E160" s="42"/>
      <c r="F160" s="42">
        <f>IF(Tableau1[[#This Row],[Portefeuille]]="p",0,Tableau1[[#This Row],[F. Investissement
Niveau d''intérêt]]*10)</f>
        <v>30</v>
      </c>
      <c r="G160" s="42">
        <f>IF(Tableau1[[#This Row],[Portefeuille]]="p",3,0)</f>
        <v>0</v>
      </c>
      <c r="H160" s="42">
        <v>3</v>
      </c>
      <c r="I160" s="42">
        <v>4</v>
      </c>
      <c r="J160" s="42"/>
      <c r="K160" s="43"/>
      <c r="L160" s="16">
        <v>0</v>
      </c>
      <c r="M16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0" s="44" t="s">
        <v>3859</v>
      </c>
      <c r="O160" s="45"/>
      <c r="P160" s="4" t="s">
        <v>564</v>
      </c>
      <c r="Q160" s="4"/>
      <c r="R160" s="6"/>
      <c r="S160" s="6" t="s">
        <v>3860</v>
      </c>
      <c r="T160" s="6" t="e" vm="146">
        <v>#VALUE!</v>
      </c>
      <c r="U160" s="46" cm="1">
        <f t="array" aca="1" ref="U160" ca="1">IFERROR(_FV(Tableau1[[#This Row],[Code Excel]],"Capitalisation boursière",TRUE),"")</f>
        <v>1370976000</v>
      </c>
      <c r="V160" s="4" t="str" cm="1">
        <f t="array" aca="1" ref="V160" ca="1">IFERROR(_FV(Tableau1[[#This Row],[Code Excel]],"Industrie"),"")</f>
        <v>Food &amp; Drug Retailing</v>
      </c>
      <c r="W160" s="4" t="s">
        <v>966</v>
      </c>
      <c r="X160" s="4" t="str">
        <f ca="1">Tableau1[[#This Row],[Grand Secteur]]&amp;Tableau1[[#This Row],[Industrie]]</f>
        <v>DistributionFood &amp; Drug Retailing</v>
      </c>
      <c r="Y160" s="23" t="str" cm="1">
        <f t="array" ref="Y160">IFERROR(_FV(Tableau1[[#This Row],[Code Excel]],"P/E",TRUE),"")</f>
        <v/>
      </c>
      <c r="Z160" s="43" cm="1">
        <f t="array" aca="1" ref="Z160" ca="1">IFERROR(_FV(Tableau1[[#This Row],[Code Excel]],"Employés"),"")</f>
        <v>21783</v>
      </c>
      <c r="AA160" s="46">
        <f ca="1">IFERROR(Tableau1[[#This Row],[Capitalisation boursière]]/Tableau1[[#This Row],[Employés]],"")</f>
        <v>62937.887343341135</v>
      </c>
      <c r="AB160" s="5" t="str">
        <f>IFERROR(Tableau1[[#This Row],[REX (2021)]]/Tableau1[[#This Row],[CA 2024]],"")</f>
        <v/>
      </c>
      <c r="AC160" s="9" t="str">
        <f>IFERROR(_xlfn.XLOOKUP(Tableau1[[#This Row],[Isin]]&amp;1&amp;2021,#REF!,Tableau3[Résultat d''exploitation]),"")</f>
        <v/>
      </c>
      <c r="AD160" s="9" t="str">
        <f>IFERROR(_xlfn.XLOOKUP(Tableau1[[#This Row],[Isin]]&amp;1&amp;2019,#REF!,Tableau3[Chiffre d''affaires]),"")</f>
        <v/>
      </c>
      <c r="AE160" s="9" t="str">
        <f>IFERROR(_xlfn.XLOOKUP(Tableau1[[#This Row],[Isin]]&amp;1&amp;2024,#REF!,Tableau3[Chiffre d''affaires]),"")</f>
        <v/>
      </c>
      <c r="AF160" s="8" t="str">
        <f>IFERROR(IF((Tableau1[[#This Row],[CA 2024]]-Tableau1[[#This Row],[CA 2019]])/Tableau1[[#This Row],[CA 2019]]=-1,"",(Tableau1[[#This Row],[CA 2024]]-Tableau1[[#This Row],[CA 2019]])/Tableau1[[#This Row],[CA 2019]]),"")</f>
        <v/>
      </c>
      <c r="AG160" s="9" t="str">
        <f>IFERROR(_xlfn.XLOOKUP(Tableau1[[#This Row],[Isin]]&amp;1&amp;2021,#REF!,Tableau3[EBE]),"")</f>
        <v/>
      </c>
      <c r="AH160" s="9" t="str">
        <f>IFERROR(_xlfn.XLOOKUP(Tableau1[[#This Row],[Isin]]&amp;1&amp;2022,#REF!,Tableau3[EBE]),"")</f>
        <v/>
      </c>
      <c r="AI160" s="43" t="s">
        <v>3419</v>
      </c>
      <c r="AJ160" s="43" t="s">
        <v>3150</v>
      </c>
      <c r="AK160" s="43" t="s">
        <v>3149</v>
      </c>
      <c r="AL160" s="43"/>
      <c r="AM160" s="43"/>
      <c r="AN160" s="9" t="str">
        <f>IFERROR(_xlfn.XLOOKUP(Tableau1[[#This Row],[Isin]]&amp;1&amp;2021,#REF!,Tableau3[Chiffre d''affaires]),"")</f>
        <v/>
      </c>
      <c r="AO160" s="43" t="e" cm="1" vm="1">
        <f t="array" ref="AO160">_FV(Tableau1[[#This Row],[Code Excel]],"P/E",TRUE)</f>
        <v>#VALUE!</v>
      </c>
      <c r="AP160" s="43" t="str">
        <f>IFERROR(_xlfn.XLOOKUP(Tableau1[[#This Row],[Isin]]&amp;1&amp;2023,#REF!,Tableau3[Résultat Net (PdG)]),"")</f>
        <v/>
      </c>
      <c r="AQ160" s="43">
        <f>IF(IFERROR(_xlfn.XLOOKUP(Tableau1[[#This Row],[Isin]]&amp;1&amp;2022,#REF!,Tableau3[Résultat Net (PdG)]),"")="",Tableau1[[#This Row],[RN Groupe 2022
Manuel]],IFERROR(_xlfn.XLOOKUP(Tableau1[[#This Row],[Isin]]&amp;1&amp;2022,#REF!,Tableau3[Résultat Net (PdG)]),""))</f>
        <v>0</v>
      </c>
      <c r="AR160" s="43"/>
      <c r="AS160" s="43">
        <f>IF(IFERROR(_xlfn.XLOOKUP(Tableau1[[#This Row],[Isin]]&amp;1&amp;2021,#REF!,Tableau3[Résultat Net (PdG)]),"")="",Tableau1[[#This Row],[RN Groupe 2021
Manuel]],IFERROR(_xlfn.XLOOKUP(Tableau1[[#This Row],[Isin]]&amp;1&amp;2021,#REF!,Tableau3[Résultat Net (PdG)]),""))</f>
        <v>0</v>
      </c>
      <c r="AT160" s="43"/>
      <c r="AU160" s="43" t="str">
        <f>IFERROR(_xlfn.XLOOKUP(Tableau1[[#This Row],[Isin]]&amp;1&amp;2020,#REF!,Tableau3[Résultat Net (PdG)]),"")</f>
        <v/>
      </c>
      <c r="AV160" s="43" t="str">
        <f>IFERROR(_xlfn.XLOOKUP(Tableau1[[#This Row],[Isin]]&amp;1&amp;2019,#REF!,Tableau3[Résultat Net (PdG)]),"")</f>
        <v/>
      </c>
      <c r="AW160" s="43" t="str">
        <f>IFERROR(_xlfn.XLOOKUP(Tableau1[[#This Row],[Isin]]&amp;1&amp;2018,#REF!,Tableau3[Résultat Net (PdG)]),"")</f>
        <v/>
      </c>
      <c r="AX160" s="43" t="str">
        <f>IFERROR(_xlfn.XLOOKUP(Tableau1[[#This Row],[Isin]]&amp;1&amp;2017,#REF!,Tableau3[Résultat Net (PdG)]),"")</f>
        <v/>
      </c>
      <c r="AY160" s="43" t="str">
        <f>IFERROR(_xlfn.XLOOKUP(Tableau1[[#This Row],[Isin]]&amp;1&amp;2016,#REF!,Tableau3[Résultat Net (PdG)]),"")</f>
        <v/>
      </c>
      <c r="AZ160" s="137" t="str">
        <f ca="1">IFERROR(Tableau1[[#This Row],[Capitalisation boursière]]/Tableau1[[#This Row],[RN Groupe 2023]],"")</f>
        <v/>
      </c>
      <c r="BA160" s="4" t="str" cm="1">
        <f t="array" aca="1" ref="BA160" ca="1">IFERROR(_FV(Tableau1[[#This Row],[Code Excel]],"Industrie"),"")</f>
        <v>Food &amp; Drug Retailing</v>
      </c>
      <c r="BB160" s="43" t="s">
        <v>3487</v>
      </c>
      <c r="BC160" s="43" t="str">
        <f>IFERROR(_xlfn.XLOOKUP(Tableau1[[#This Row],[Isin]]&amp;1&amp;2016,#REF!,Tableau3[Capi]),"")</f>
        <v/>
      </c>
      <c r="BD160" s="43" t="str">
        <f>IFERROR(_xlfn.XLOOKUP(Tableau1[[#This Row],[Isin]]&amp;1&amp;2017,#REF!,Tableau3[Capi]),"")</f>
        <v/>
      </c>
      <c r="BE160" s="43" t="str">
        <f>IFERROR(_xlfn.XLOOKUP(Tableau1[[#This Row],[Isin]]&amp;1&amp;2018,#REF!,Tableau3[Capi]),"")</f>
        <v/>
      </c>
      <c r="BF160" s="43" t="str">
        <f>IFERROR(_xlfn.XLOOKUP(Tableau1[[#This Row],[Isin]]&amp;1&amp;2019,#REF!,Tableau3[Capi]),"")</f>
        <v/>
      </c>
      <c r="BG160" s="43" t="str">
        <f>IFERROR(_xlfn.XLOOKUP(Tableau1[[#This Row],[Isin]]&amp;1&amp;2020,#REF!,Tableau3[Capi]),"")</f>
        <v/>
      </c>
      <c r="BH160" s="43">
        <f>IF(IFERROR(_xlfn.XLOOKUP(Tableau1[[#This Row],[Isin]]&amp;1&amp;2021,#REF!,Tableau3[Capi]),"")="",Tableau1[[#This Row],[Capitalisation 2021
Manuel]],IFERROR(_xlfn.XLOOKUP(Tableau1[[#This Row],[Isin]]&amp;1&amp;2021,#REF!,Tableau3[Capi]),""))</f>
        <v>0</v>
      </c>
      <c r="BI160" s="43"/>
      <c r="BJ160" s="43">
        <f>IF(IFERROR(_xlfn.XLOOKUP(Tableau1[[#This Row],[Isin]]&amp;1&amp;2022,#REF!,Tableau3[Capi]),"")="",Tableau1[[#This Row],[Capitalisation 2022
Manuel]],IFERROR(_xlfn.XLOOKUP(Tableau1[[#This Row],[Isin]]&amp;1&amp;2022,#REF!,Tableau3[Capi]),""))</f>
        <v>0</v>
      </c>
      <c r="BK160" s="43"/>
      <c r="BL160" s="43">
        <f ca="1">Tableau1[[#This Row],[Capitalisation boursière]]</f>
        <v>1370976000</v>
      </c>
      <c r="BM160" s="162" t="str" cm="1">
        <f t="array" aca="1" ref="BM160" ca="1">_FV(Tableau1[[#This Row],[Code Excel]],"Description")</f>
        <v>Hellofresh SE est une société basée en Allemagne qui fournit des services de restauration en ligne. La société propose des ingrédients préportionnés qui permettent aux abonnés de préparer chaque semaine des repas faits maison à l'aide de ses recettes. Les utilisateurs ont le choix entre différents types de repas et de recettes qui sont livrés certains jours de la semaine. La Société livre ses produits à des clients dans différentes régions géographiques. Les activités commerciales de la Société sont divisées en deux secteurs opérationnels : le secteur États-Unis, qui comprend les activités aux États-Unis et le secteur International, qui comprend les activités en Australie, en Autriche, en Belgique, au Canada, en Allemagne, aux Pays-Bas, en Suisse et au Royaume-Uni. L'entreprise opère sous la marque HelloFresh.</v>
      </c>
      <c r="BN160" s="43"/>
      <c r="BO160" s="43"/>
      <c r="BP160" s="43"/>
      <c r="BQ160" s="43"/>
      <c r="BV160" s="4"/>
      <c r="BW160" s="21"/>
      <c r="BX160" s="13"/>
      <c r="BY160" s="13"/>
      <c r="BZ160" s="13"/>
      <c r="CA160" s="13"/>
      <c r="CB160" s="13"/>
      <c r="CC160" s="3"/>
      <c r="CD160" s="47"/>
      <c r="CE160" s="47"/>
    </row>
    <row r="161" spans="3:87">
      <c r="C161" s="43"/>
      <c r="D161" s="42">
        <f>IF(Tableau1[[#This Row],[Isin]]="",99,Tableau1[[#This Row],[Intérêt]]+Tableau1[[#This Row],[Valeur d''intérêt]]+Tableau1[[#This Row],[N° Portefeuille]])</f>
        <v>30</v>
      </c>
      <c r="E161" s="43"/>
      <c r="F161" s="42">
        <f>IF(Tableau1[[#This Row],[Portefeuille]]="p",0,Tableau1[[#This Row],[F. Investissement
Niveau d''intérêt]]*10)</f>
        <v>30</v>
      </c>
      <c r="G161" s="43">
        <f>IF(Tableau1[[#This Row],[Portefeuille]]="p",3,0)</f>
        <v>0</v>
      </c>
      <c r="H161" s="42">
        <v>3</v>
      </c>
      <c r="I161" s="43">
        <v>4</v>
      </c>
      <c r="J161" s="43"/>
      <c r="K161" s="43"/>
      <c r="L161" s="16">
        <v>0</v>
      </c>
      <c r="M16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1" s="44" t="s">
        <v>3862</v>
      </c>
      <c r="O161" s="45"/>
      <c r="P161" s="4" t="s">
        <v>564</v>
      </c>
      <c r="Q161" s="4"/>
      <c r="R161" s="6"/>
      <c r="S161" s="6" t="s">
        <v>3863</v>
      </c>
      <c r="T161" s="6" t="e" vm="147">
        <v>#VALUE!</v>
      </c>
      <c r="U161" s="46" cm="1">
        <f t="array" aca="1" ref="U161" ca="1">IFERROR(_FV(Tableau1[[#This Row],[Code Excel]],"Capitalisation boursière",TRUE),"")</f>
        <v>30534630000</v>
      </c>
      <c r="V161" s="4" t="str" cm="1">
        <f t="array" aca="1" ref="V161" ca="1">IFERROR(_FV(Tableau1[[#This Row],[Code Excel]],"Industrie"),"")</f>
        <v>Chemicals</v>
      </c>
      <c r="W161" s="4" t="s">
        <v>2431</v>
      </c>
      <c r="X161" s="4" t="str">
        <f ca="1">Tableau1[[#This Row],[Grand Secteur]]&amp;Tableau1[[#This Row],[Industrie]]</f>
        <v>ChimieChemicals</v>
      </c>
      <c r="Y161" s="23" cm="1">
        <f t="array" aca="1" ref="Y161" ca="1">IFERROR(_FV(Tableau1[[#This Row],[Code Excel]],"P/E",TRUE),"")</f>
        <v>13.77</v>
      </c>
      <c r="Z161" s="43" cm="1">
        <f t="array" aca="1" ref="Z161" ca="1">IFERROR(_FV(Tableau1[[#This Row],[Code Excel]],"Employés"),"")</f>
        <v>47150</v>
      </c>
      <c r="AA161" s="46">
        <f ca="1">IFERROR(Tableau1[[#This Row],[Capitalisation boursière]]/Tableau1[[#This Row],[Employés]],"")</f>
        <v>647606.15058324498</v>
      </c>
      <c r="AB161" s="5" t="str">
        <f>IFERROR(Tableau1[[#This Row],[REX (2021)]]/Tableau1[[#This Row],[CA 2024]],"")</f>
        <v/>
      </c>
      <c r="AC161" s="9" t="str">
        <f>IFERROR(_xlfn.XLOOKUP(Tableau1[[#This Row],[Isin]]&amp;1&amp;2021,#REF!,Tableau3[Résultat d''exploitation]),"")</f>
        <v/>
      </c>
      <c r="AD161" s="9" t="str">
        <f>IFERROR(_xlfn.XLOOKUP(Tableau1[[#This Row],[Isin]]&amp;1&amp;2019,#REF!,Tableau3[Chiffre d''affaires]),"")</f>
        <v/>
      </c>
      <c r="AE161" s="9" t="str">
        <f>IFERROR(_xlfn.XLOOKUP(Tableau1[[#This Row],[Isin]]&amp;1&amp;2024,#REF!,Tableau3[Chiffre d''affaires]),"")</f>
        <v/>
      </c>
      <c r="AF161" s="8" t="str">
        <f>IFERROR(IF((Tableau1[[#This Row],[CA 2024]]-Tableau1[[#This Row],[CA 2019]])/Tableau1[[#This Row],[CA 2019]]=-1,"",(Tableau1[[#This Row],[CA 2024]]-Tableau1[[#This Row],[CA 2019]])/Tableau1[[#This Row],[CA 2019]]),"")</f>
        <v/>
      </c>
      <c r="AG161" s="9" t="str">
        <f>IFERROR(_xlfn.XLOOKUP(Tableau1[[#This Row],[Isin]]&amp;1&amp;2021,#REF!,Tableau3[EBE]),"")</f>
        <v/>
      </c>
      <c r="AH161" s="9" t="str">
        <f>IFERROR(_xlfn.XLOOKUP(Tableau1[[#This Row],[Isin]]&amp;1&amp;2022,#REF!,Tableau3[EBE]),"")</f>
        <v/>
      </c>
      <c r="AI161" s="43" t="s">
        <v>4329</v>
      </c>
      <c r="AJ161" s="43" t="s">
        <v>3150</v>
      </c>
      <c r="AK161" s="43" t="s">
        <v>3148</v>
      </c>
      <c r="AL161" s="43"/>
      <c r="AM161" s="43"/>
      <c r="AN161" s="9" t="str">
        <f>IFERROR(_xlfn.XLOOKUP(Tableau1[[#This Row],[Isin]]&amp;1&amp;2021,#REF!,Tableau3[Chiffre d''affaires]),"")</f>
        <v/>
      </c>
      <c r="AO161" s="43" cm="1">
        <f t="array" aca="1" ref="AO161" ca="1">_FV(Tableau1[[#This Row],[Code Excel]],"P/E",TRUE)</f>
        <v>13.77</v>
      </c>
      <c r="AP161" s="43" t="str">
        <f>IFERROR(_xlfn.XLOOKUP(Tableau1[[#This Row],[Isin]]&amp;1&amp;2023,#REF!,Tableau3[Résultat Net (PdG)]),"")</f>
        <v/>
      </c>
      <c r="AQ161" s="43">
        <f>IF(IFERROR(_xlfn.XLOOKUP(Tableau1[[#This Row],[Isin]]&amp;1&amp;2022,#REF!,Tableau3[Résultat Net (PdG)]),"")="",Tableau1[[#This Row],[RN Groupe 2022
Manuel]],IFERROR(_xlfn.XLOOKUP(Tableau1[[#This Row],[Isin]]&amp;1&amp;2022,#REF!,Tableau3[Résultat Net (PdG)]),""))</f>
        <v>0</v>
      </c>
      <c r="AR161" s="43"/>
      <c r="AS161" s="43">
        <f>IF(IFERROR(_xlfn.XLOOKUP(Tableau1[[#This Row],[Isin]]&amp;1&amp;2021,#REF!,Tableau3[Résultat Net (PdG)]),"")="",Tableau1[[#This Row],[RN Groupe 2021
Manuel]],IFERROR(_xlfn.XLOOKUP(Tableau1[[#This Row],[Isin]]&amp;1&amp;2021,#REF!,Tableau3[Résultat Net (PdG)]),""))</f>
        <v>0</v>
      </c>
      <c r="AT161" s="43"/>
      <c r="AU161" s="43" t="str">
        <f>IFERROR(_xlfn.XLOOKUP(Tableau1[[#This Row],[Isin]]&amp;1&amp;2020,#REF!,Tableau3[Résultat Net (PdG)]),"")</f>
        <v/>
      </c>
      <c r="AV161" s="43" t="str">
        <f>IFERROR(_xlfn.XLOOKUP(Tableau1[[#This Row],[Isin]]&amp;1&amp;2019,#REF!,Tableau3[Résultat Net (PdG)]),"")</f>
        <v/>
      </c>
      <c r="AW161" s="43" t="str">
        <f>IFERROR(_xlfn.XLOOKUP(Tableau1[[#This Row],[Isin]]&amp;1&amp;2018,#REF!,Tableau3[Résultat Net (PdG)]),"")</f>
        <v/>
      </c>
      <c r="AX161" s="43" t="str">
        <f>IFERROR(_xlfn.XLOOKUP(Tableau1[[#This Row],[Isin]]&amp;1&amp;2017,#REF!,Tableau3[Résultat Net (PdG)]),"")</f>
        <v/>
      </c>
      <c r="AY161" s="43" t="str">
        <f>IFERROR(_xlfn.XLOOKUP(Tableau1[[#This Row],[Isin]]&amp;1&amp;2016,#REF!,Tableau3[Résultat Net (PdG)]),"")</f>
        <v/>
      </c>
      <c r="AZ161" s="137" t="str">
        <f ca="1">IFERROR(Tableau1[[#This Row],[Capitalisation boursière]]/Tableau1[[#This Row],[RN Groupe 2023]],"")</f>
        <v/>
      </c>
      <c r="BA161" s="4" t="str" cm="1">
        <f t="array" aca="1" ref="BA161" ca="1">IFERROR(_FV(Tableau1[[#This Row],[Code Excel]],"Industrie"),"")</f>
        <v>Chemicals</v>
      </c>
      <c r="BB161" s="43" t="s">
        <v>3487</v>
      </c>
      <c r="BC161" s="43" t="str">
        <f>IFERROR(_xlfn.XLOOKUP(Tableau1[[#This Row],[Isin]]&amp;1&amp;2016,#REF!,Tableau3[Capi]),"")</f>
        <v/>
      </c>
      <c r="BD161" s="43" t="str">
        <f>IFERROR(_xlfn.XLOOKUP(Tableau1[[#This Row],[Isin]]&amp;1&amp;2017,#REF!,Tableau3[Capi]),"")</f>
        <v/>
      </c>
      <c r="BE161" s="43" t="str">
        <f>IFERROR(_xlfn.XLOOKUP(Tableau1[[#This Row],[Isin]]&amp;1&amp;2018,#REF!,Tableau3[Capi]),"")</f>
        <v/>
      </c>
      <c r="BF161" s="43" t="str">
        <f>IFERROR(_xlfn.XLOOKUP(Tableau1[[#This Row],[Isin]]&amp;1&amp;2019,#REF!,Tableau3[Capi]),"")</f>
        <v/>
      </c>
      <c r="BG161" s="43" t="str">
        <f>IFERROR(_xlfn.XLOOKUP(Tableau1[[#This Row],[Isin]]&amp;1&amp;2020,#REF!,Tableau3[Capi]),"")</f>
        <v/>
      </c>
      <c r="BH161" s="43">
        <f>IF(IFERROR(_xlfn.XLOOKUP(Tableau1[[#This Row],[Isin]]&amp;1&amp;2021,#REF!,Tableau3[Capi]),"")="",Tableau1[[#This Row],[Capitalisation 2021
Manuel]],IFERROR(_xlfn.XLOOKUP(Tableau1[[#This Row],[Isin]]&amp;1&amp;2021,#REF!,Tableau3[Capi]),""))</f>
        <v>0</v>
      </c>
      <c r="BI161" s="43"/>
      <c r="BJ161" s="43">
        <f>IF(IFERROR(_xlfn.XLOOKUP(Tableau1[[#This Row],[Isin]]&amp;1&amp;2022,#REF!,Tableau3[Capi]),"")="",Tableau1[[#This Row],[Capitalisation 2022
Manuel]],IFERROR(_xlfn.XLOOKUP(Tableau1[[#This Row],[Isin]]&amp;1&amp;2022,#REF!,Tableau3[Capi]),""))</f>
        <v>0</v>
      </c>
      <c r="BK161" s="43"/>
      <c r="BL161" s="43">
        <f ca="1">Tableau1[[#This Row],[Capitalisation boursière]]</f>
        <v>30534630000</v>
      </c>
      <c r="BM161" s="162" t="str" cm="1">
        <f t="array" aca="1" ref="BM161" ca="1">_FV(Tableau1[[#This Row],[Code Excel]],"Description")</f>
        <v>Henkel AG &amp; Co KGaA anciennement Henkel Kommanditgesellschaft auf Aktien est une société basée en Allemagne. La Société est engagée dans le secteur des produits de consommation et de l'industrie, opérant dans deux secteurs : les technologies adhésives et les marques de consommation. Elle opère dans les régions d'Europe, IMEA (Inde, moyen-Orient, Afrique), Amérique du Nord, Amérique latine et Asie-Pacifique. Le secteur des technologies adhésives de la société couvre les adhésifs, les mastics et les revêtements fonctionnels, fournissant des solutions pour la mobilité et l'électronique, l'emballage et les biens de consommation et les artisans, la construction et les professionnels sous des marques telles que Loctite, Bonderite, Aquence et Technomelt. Le secteur des marques grand public se concentre sur les deux catégories mondiales blanchisserie et soins à domicile et cheveux. Dans ce segment, la Société offre des biens de consommation de marque dans les produits de blanchisserie et de soins à domicile et les soins capillaires, elle opère également dans les affaires professionnelles des cheveux. Son portefeuille comprend des marques telles que persil, Schwarzkopf, Dial, Purex, Got2b et palette.</v>
      </c>
      <c r="BN161" s="43"/>
      <c r="BO161" s="43"/>
      <c r="BP161" s="43"/>
      <c r="BQ161" s="43"/>
      <c r="BR161" s="14"/>
      <c r="BS161" s="14"/>
      <c r="BT161" s="14"/>
      <c r="BU161" s="14"/>
      <c r="BV161" s="14"/>
      <c r="BW161" s="4"/>
      <c r="BX161" s="21"/>
      <c r="BY161" s="13"/>
      <c r="BZ161" s="13"/>
      <c r="CA161" s="13"/>
      <c r="CB161" s="13"/>
      <c r="CC161" s="13"/>
      <c r="CD161" s="3"/>
      <c r="CE161" s="58"/>
      <c r="CF161" s="59"/>
    </row>
    <row r="162" spans="3:87">
      <c r="C162" s="42"/>
      <c r="D162" s="42">
        <f>IF(Tableau1[[#This Row],[Isin]]="",99,Tableau1[[#This Row],[Intérêt]]+Tableau1[[#This Row],[Valeur d''intérêt]]+Tableau1[[#This Row],[N° Portefeuille]])</f>
        <v>30</v>
      </c>
      <c r="E162" s="42"/>
      <c r="F162" s="42">
        <f>IF(Tableau1[[#This Row],[Portefeuille]]="p",0,Tableau1[[#This Row],[F. Investissement
Niveau d''intérêt]]*10)</f>
        <v>30</v>
      </c>
      <c r="G162" s="42">
        <f>IF(Tableau1[[#This Row],[Portefeuille]]="p",3,0)</f>
        <v>0</v>
      </c>
      <c r="H162" s="42">
        <v>3</v>
      </c>
      <c r="I162" s="42">
        <v>3</v>
      </c>
      <c r="J162" s="42"/>
      <c r="K162" s="43"/>
      <c r="L162" s="16">
        <v>1</v>
      </c>
      <c r="M16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2" s="44" t="s">
        <v>3866</v>
      </c>
      <c r="O162" s="44" t="s">
        <v>575</v>
      </c>
      <c r="P162" s="4" t="s">
        <v>84</v>
      </c>
      <c r="Q162" s="6" t="s">
        <v>85</v>
      </c>
      <c r="R162" s="6"/>
      <c r="S162" s="6" t="s">
        <v>2142</v>
      </c>
      <c r="T162" s="6" t="e" vm="148">
        <v>#VALUE!</v>
      </c>
      <c r="U162" s="46" cm="1">
        <f t="array" aca="1" ref="U162" ca="1">IFERROR(_FV(Tableau1[[#This Row],[Code Excel]],"Capitalisation boursière",TRUE),"")</f>
        <v>257167100000</v>
      </c>
      <c r="V162" s="4" t="str" cm="1">
        <f t="array" aca="1" ref="V162" ca="1">IFERROR(_FV(Tableau1[[#This Row],[Code Excel]],"Industrie"),"")</f>
        <v>Textiles &amp; Apparel</v>
      </c>
      <c r="W162" s="4" t="s">
        <v>1315</v>
      </c>
      <c r="X162" s="4" t="str">
        <f ca="1">Tableau1[[#This Row],[Grand Secteur]]&amp;Tableau1[[#This Row],[Industrie]]</f>
        <v>Biens de consommationTextiles &amp; Apparel</v>
      </c>
      <c r="Y162" s="23" cm="1">
        <f t="array" aca="1" ref="Y162" ca="1">IFERROR(_FV(Tableau1[[#This Row],[Code Excel]],"P/E",TRUE),"")</f>
        <v>55.454900000000002</v>
      </c>
      <c r="Z162" s="43" cm="1">
        <f t="array" aca="1" ref="Z162" ca="1">IFERROR(_FV(Tableau1[[#This Row],[Code Excel]],"Employés"),"")</f>
        <v>23242</v>
      </c>
      <c r="AA162" s="46">
        <f ca="1">IFERROR(Tableau1[[#This Row],[Capitalisation boursière]]/Tableau1[[#This Row],[Employés]],"")</f>
        <v>11064757.766113071</v>
      </c>
      <c r="AB162" s="5" t="str">
        <f>IFERROR(Tableau1[[#This Row],[REX (2021)]]/Tableau1[[#This Row],[CA 2024]],"")</f>
        <v/>
      </c>
      <c r="AC162" s="9" t="str">
        <f>IFERROR(_xlfn.XLOOKUP(Tableau1[[#This Row],[Isin]]&amp;1&amp;2021,#REF!,Tableau3[Résultat d''exploitation]),"")</f>
        <v/>
      </c>
      <c r="AD162" s="9" t="str">
        <f>IFERROR(_xlfn.XLOOKUP(Tableau1[[#This Row],[Isin]]&amp;1&amp;2019,#REF!,Tableau3[Chiffre d''affaires]),"")</f>
        <v/>
      </c>
      <c r="AE162" s="9" t="str">
        <f>IFERROR(_xlfn.XLOOKUP(Tableau1[[#This Row],[Isin]]&amp;1&amp;2024,#REF!,Tableau3[Chiffre d''affaires]),"")</f>
        <v/>
      </c>
      <c r="AF162" s="8" t="str">
        <f>IFERROR(IF((Tableau1[[#This Row],[CA 2024]]-Tableau1[[#This Row],[CA 2019]])/Tableau1[[#This Row],[CA 2019]]=-1,"",(Tableau1[[#This Row],[CA 2024]]-Tableau1[[#This Row],[CA 2019]])/Tableau1[[#This Row],[CA 2019]]),"")</f>
        <v/>
      </c>
      <c r="AG162" s="9" t="str">
        <f>IFERROR(_xlfn.XLOOKUP(Tableau1[[#This Row],[Isin]]&amp;1&amp;2021,#REF!,Tableau3[EBE]),"")</f>
        <v/>
      </c>
      <c r="AH162" s="9" t="str">
        <f>IFERROR(_xlfn.XLOOKUP(Tableau1[[#This Row],[Isin]]&amp;1&amp;2022,#REF!,Tableau3[EBE]),"")</f>
        <v/>
      </c>
      <c r="AI162" s="43" t="s">
        <v>4329</v>
      </c>
      <c r="AJ162" s="43" t="s">
        <v>4348</v>
      </c>
      <c r="AK162" s="43" t="s">
        <v>3431</v>
      </c>
      <c r="AL162" s="43" t="s">
        <v>3149</v>
      </c>
      <c r="AM162" s="43"/>
      <c r="AN162" s="9" t="str">
        <f>IFERROR(_xlfn.XLOOKUP(Tableau1[[#This Row],[Isin]]&amp;1&amp;2021,#REF!,Tableau3[Chiffre d''affaires]),"")</f>
        <v/>
      </c>
      <c r="AO162" s="43" cm="1">
        <f t="array" aca="1" ref="AO162" ca="1">_FV(Tableau1[[#This Row],[Code Excel]],"P/E",TRUE)</f>
        <v>55.454900000000002</v>
      </c>
      <c r="AP162" s="43" t="str">
        <f>IFERROR(_xlfn.XLOOKUP(Tableau1[[#This Row],[Isin]]&amp;1&amp;2023,#REF!,Tableau3[Résultat Net (PdG)]),"")</f>
        <v/>
      </c>
      <c r="AQ162" s="43">
        <f>IF(IFERROR(_xlfn.XLOOKUP(Tableau1[[#This Row],[Isin]]&amp;1&amp;2022,#REF!,Tableau3[Résultat Net (PdG)]),"")="",Tableau1[[#This Row],[RN Groupe 2022
Manuel]],IFERROR(_xlfn.XLOOKUP(Tableau1[[#This Row],[Isin]]&amp;1&amp;2022,#REF!,Tableau3[Résultat Net (PdG)]),""))</f>
        <v>3400000000</v>
      </c>
      <c r="AR162" s="140">
        <v>3400000000</v>
      </c>
      <c r="AS162" s="43">
        <f>IF(IFERROR(_xlfn.XLOOKUP(Tableau1[[#This Row],[Isin]]&amp;1&amp;2021,#REF!,Tableau3[Résultat Net (PdG)]),"")="",Tableau1[[#This Row],[RN Groupe 2021
Manuel]],IFERROR(_xlfn.XLOOKUP(Tableau1[[#This Row],[Isin]]&amp;1&amp;2021,#REF!,Tableau3[Résultat Net (PdG)]),""))</f>
        <v>0</v>
      </c>
      <c r="AT162" s="140"/>
      <c r="AU162" s="43" t="str">
        <f>IFERROR(_xlfn.XLOOKUP(Tableau1[[#This Row],[Isin]]&amp;1&amp;2020,#REF!,Tableau3[Résultat Net (PdG)]),"")</f>
        <v/>
      </c>
      <c r="AV162" s="43" t="str">
        <f>IFERROR(_xlfn.XLOOKUP(Tableau1[[#This Row],[Isin]]&amp;1&amp;2019,#REF!,Tableau3[Résultat Net (PdG)]),"")</f>
        <v/>
      </c>
      <c r="AW162" s="43" t="str">
        <f>IFERROR(_xlfn.XLOOKUP(Tableau1[[#This Row],[Isin]]&amp;1&amp;2018,#REF!,Tableau3[Résultat Net (PdG)]),"")</f>
        <v/>
      </c>
      <c r="AX162" s="43" t="str">
        <f>IFERROR(_xlfn.XLOOKUP(Tableau1[[#This Row],[Isin]]&amp;1&amp;2017,#REF!,Tableau3[Résultat Net (PdG)]),"")</f>
        <v/>
      </c>
      <c r="AY162" s="43" t="str">
        <f>IFERROR(_xlfn.XLOOKUP(Tableau1[[#This Row],[Isin]]&amp;1&amp;2016,#REF!,Tableau3[Résultat Net (PdG)]),"")</f>
        <v/>
      </c>
      <c r="AZ162" s="137" t="str">
        <f ca="1">IFERROR(Tableau1[[#This Row],[Capitalisation boursière]]/Tableau1[[#This Row],[RN Groupe 2023]],"")</f>
        <v/>
      </c>
      <c r="BA162" s="4" t="str" cm="1">
        <f t="array" aca="1" ref="BA162" ca="1">IFERROR(_FV(Tableau1[[#This Row],[Code Excel]],"Industrie"),"")</f>
        <v>Textiles &amp; Apparel</v>
      </c>
      <c r="BB162" s="43" t="s">
        <v>3518</v>
      </c>
      <c r="BC162" s="43" t="str">
        <f>IFERROR(_xlfn.XLOOKUP(Tableau1[[#This Row],[Isin]]&amp;1&amp;2016,#REF!,Tableau3[Capi]),"")</f>
        <v/>
      </c>
      <c r="BD162" s="43" t="str">
        <f>IFERROR(_xlfn.XLOOKUP(Tableau1[[#This Row],[Isin]]&amp;1&amp;2017,#REF!,Tableau3[Capi]),"")</f>
        <v/>
      </c>
      <c r="BE162" s="43" t="str">
        <f>IFERROR(_xlfn.XLOOKUP(Tableau1[[#This Row],[Isin]]&amp;1&amp;2018,#REF!,Tableau3[Capi]),"")</f>
        <v/>
      </c>
      <c r="BF162" s="43" t="str">
        <f>IFERROR(_xlfn.XLOOKUP(Tableau1[[#This Row],[Isin]]&amp;1&amp;2019,#REF!,Tableau3[Capi]),"")</f>
        <v/>
      </c>
      <c r="BG162" s="43" t="str">
        <f>IFERROR(_xlfn.XLOOKUP(Tableau1[[#This Row],[Isin]]&amp;1&amp;2020,#REF!,Tableau3[Capi]),"")</f>
        <v/>
      </c>
      <c r="BH162" s="43">
        <f>IF(IFERROR(_xlfn.XLOOKUP(Tableau1[[#This Row],[Isin]]&amp;1&amp;2021,#REF!,Tableau3[Capi]),"")="",Tableau1[[#This Row],[Capitalisation 2021
Manuel]],IFERROR(_xlfn.XLOOKUP(Tableau1[[#This Row],[Isin]]&amp;1&amp;2021,#REF!,Tableau3[Capi]),""))</f>
        <v>0</v>
      </c>
      <c r="BI162" s="142"/>
      <c r="BJ162" s="141">
        <f>IF(IFERROR(_xlfn.XLOOKUP(Tableau1[[#This Row],[Isin]]&amp;1&amp;2022,#REF!,Tableau3[Capi]),"")="",Tableau1[[#This Row],[Capitalisation 2022
Manuel]],IFERROR(_xlfn.XLOOKUP(Tableau1[[#This Row],[Isin]]&amp;1&amp;2022,#REF!,Tableau3[Capi]),""))</f>
        <v>182624862000</v>
      </c>
      <c r="BK162" s="142">
        <v>182624862000</v>
      </c>
      <c r="BL162" s="43">
        <f ca="1">Tableau1[[#This Row],[Capitalisation boursière]]</f>
        <v>257167100000</v>
      </c>
      <c r="BM162" s="162" t="str" cm="1">
        <f t="array" aca="1" ref="BM162" ca="1">_FV(Tableau1[[#This Row],[Code Excel]],"Description")</f>
        <v>Hermes International SCA est une société basée en France. La Société est principalement spécialisée dans la conception, la fabrication et la commercialisation de produits de luxe. Ses produits se répartissent entre les articles de maroquinerie et de sellerie, tels que les sacs à main, les bagages, la petite maroquinerie, les agendas, les articles d'écriture, les selles, les brides, les objets d'équitation et les vêtements, entre autres; les vêtements, les chaussures et les accessoires; la soie et les produits textiles; les horloges et les articles d'horlogerie; les parfums et les produits de beauté; et les autres produits, qui comprennent principalement les bijoux et les produits de décoration intérieure. Les filiales de la Société sont, entre autres, Castille Investissements, Compagnie Hermès de Participations, Comptoir Nouveau de la Parfumerie et Grafton Immobilier. La Société exerce ses activités par l'intermédiaire de magasins dans le monde entier.</v>
      </c>
      <c r="BN162" s="43"/>
      <c r="BO162" s="43"/>
      <c r="BP162" s="43"/>
      <c r="BQ162" s="43"/>
      <c r="BR162" s="14"/>
      <c r="BS162" s="14"/>
      <c r="BT162" s="14"/>
      <c r="BU162" s="14"/>
      <c r="BV162" s="14"/>
      <c r="BW162" s="4"/>
      <c r="BX162" s="21"/>
      <c r="BY162" s="13"/>
      <c r="BZ162" s="13"/>
      <c r="CA162" s="13"/>
      <c r="CB162" s="13"/>
      <c r="CC162" s="13"/>
      <c r="CE162" s="58"/>
      <c r="CF162" s="59"/>
    </row>
    <row r="163" spans="3:87">
      <c r="C163" s="43"/>
      <c r="D163" s="42">
        <f>IF(Tableau1[[#This Row],[Isin]]="",99,Tableau1[[#This Row],[Intérêt]]+Tableau1[[#This Row],[Valeur d''intérêt]]+Tableau1[[#This Row],[N° Portefeuille]])</f>
        <v>30</v>
      </c>
      <c r="E163" s="43"/>
      <c r="F163" s="42">
        <f>IF(Tableau1[[#This Row],[Portefeuille]]="p",0,Tableau1[[#This Row],[F. Investissement
Niveau d''intérêt]]*10)</f>
        <v>30</v>
      </c>
      <c r="G163" s="43">
        <f>IF(Tableau1[[#This Row],[Portefeuille]]="p",3,0)</f>
        <v>0</v>
      </c>
      <c r="H163" s="42">
        <v>3</v>
      </c>
      <c r="I163" s="43">
        <v>4</v>
      </c>
      <c r="J163" s="43"/>
      <c r="K163" s="43"/>
      <c r="L163" s="16">
        <v>0</v>
      </c>
      <c r="M16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3" s="44" t="s">
        <v>3868</v>
      </c>
      <c r="O163" s="45"/>
      <c r="P163" s="4" t="s">
        <v>84</v>
      </c>
      <c r="Q163" s="4"/>
      <c r="R163" s="6"/>
      <c r="S163" s="6" t="s">
        <v>3869</v>
      </c>
      <c r="T163" s="6" t="e" vm="149">
        <v>#VALUE!</v>
      </c>
      <c r="U163" s="46" cm="1">
        <f t="array" aca="1" ref="U163" ca="1">IFERROR(_FV(Tableau1[[#This Row],[Code Excel]],"Capitalisation boursière",TRUE),"")</f>
        <v>1628370000</v>
      </c>
      <c r="V163" s="4" t="str" cm="1">
        <f t="array" aca="1" ref="V163" ca="1">IFERROR(_FV(Tableau1[[#This Row],[Code Excel]],"Industrie"),"")</f>
        <v>Residential &amp; Commercial REIT</v>
      </c>
      <c r="W163" s="4" t="s">
        <v>2083</v>
      </c>
      <c r="X163" s="4" t="str">
        <f ca="1">Tableau1[[#This Row],[Grand Secteur]]&amp;Tableau1[[#This Row],[Industrie]]</f>
        <v>ImmobilierResidential &amp; Commercial REIT</v>
      </c>
      <c r="Y163" s="23" cm="1">
        <f t="array" aca="1" ref="Y163" ca="1">IFERROR(_FV(Tableau1[[#This Row],[Code Excel]],"P/E",TRUE),"")</f>
        <v>0</v>
      </c>
      <c r="Z163" s="43" cm="1">
        <f t="array" aca="1" ref="Z163" ca="1">IFERROR(_FV(Tableau1[[#This Row],[Code Excel]],"Employés"),"")</f>
        <v>1006</v>
      </c>
      <c r="AA163" s="49">
        <f ca="1">IFERROR(Tableau1[[#This Row],[Capitalisation boursière]]/Tableau1[[#This Row],[Employés]],"")</f>
        <v>1618658.0516898609</v>
      </c>
      <c r="AB163" s="5" t="str">
        <f>IFERROR(Tableau1[[#This Row],[REX (2021)]]/Tableau1[[#This Row],[CA 2024]],"")</f>
        <v/>
      </c>
      <c r="AC163" s="9" t="str">
        <f>IFERROR(_xlfn.XLOOKUP(Tableau1[[#This Row],[Isin]]&amp;1&amp;2021,#REF!,Tableau3[Résultat d''exploitation]),"")</f>
        <v/>
      </c>
      <c r="AD163" s="9" t="str">
        <f>IFERROR(_xlfn.XLOOKUP(Tableau1[[#This Row],[Isin]]&amp;1&amp;2019,#REF!,Tableau3[Chiffre d''affaires]),"")</f>
        <v/>
      </c>
      <c r="AE163" s="9" t="str">
        <f>IFERROR(_xlfn.XLOOKUP(Tableau1[[#This Row],[Isin]]&amp;1&amp;2024,#REF!,Tableau3[Chiffre d''affaires]),"")</f>
        <v/>
      </c>
      <c r="AF163" s="8" t="str">
        <f>IFERROR(IF((Tableau1[[#This Row],[CA 2024]]-Tableau1[[#This Row],[CA 2019]])/Tableau1[[#This Row],[CA 2019]]=-1,"",(Tableau1[[#This Row],[CA 2024]]-Tableau1[[#This Row],[CA 2019]])/Tableau1[[#This Row],[CA 2019]]),"")</f>
        <v/>
      </c>
      <c r="AG163" s="9" t="str">
        <f>IFERROR(_xlfn.XLOOKUP(Tableau1[[#This Row],[Isin]]&amp;1&amp;2021,#REF!,Tableau3[EBE]),"")</f>
        <v/>
      </c>
      <c r="AH163" s="9" t="str">
        <f>IFERROR(_xlfn.XLOOKUP(Tableau1[[#This Row],[Isin]]&amp;1&amp;2022,#REF!,Tableau3[EBE]),"")</f>
        <v/>
      </c>
      <c r="AI163" s="43" t="s">
        <v>3431</v>
      </c>
      <c r="AJ163" s="43" t="s">
        <v>4322</v>
      </c>
      <c r="AK163" s="43" t="s">
        <v>3148</v>
      </c>
      <c r="AL163" s="43"/>
      <c r="AM163" s="43"/>
      <c r="AN163" s="9" t="str">
        <f>IFERROR(_xlfn.XLOOKUP(Tableau1[[#This Row],[Isin]]&amp;1&amp;2021,#REF!,Tableau3[Chiffre d''affaires]),"")</f>
        <v/>
      </c>
      <c r="AO163" s="43" cm="1">
        <f t="array" aca="1" ref="AO163" ca="1">_FV(Tableau1[[#This Row],[Code Excel]],"P/E",TRUE)</f>
        <v>0</v>
      </c>
      <c r="AP163" s="43" t="str">
        <f>IFERROR(_xlfn.XLOOKUP(Tableau1[[#This Row],[Isin]]&amp;1&amp;2023,#REF!,Tableau3[Résultat Net (PdG)]),"")</f>
        <v/>
      </c>
      <c r="AQ163" s="43">
        <f>IF(IFERROR(_xlfn.XLOOKUP(Tableau1[[#This Row],[Isin]]&amp;1&amp;2022,#REF!,Tableau3[Résultat Net (PdG)]),"")="",Tableau1[[#This Row],[RN Groupe 2022
Manuel]],IFERROR(_xlfn.XLOOKUP(Tableau1[[#This Row],[Isin]]&amp;1&amp;2022,#REF!,Tableau3[Résultat Net (PdG)]),""))</f>
        <v>0</v>
      </c>
      <c r="AR163" s="43"/>
      <c r="AS163" s="43">
        <f>IF(IFERROR(_xlfn.XLOOKUP(Tableau1[[#This Row],[Isin]]&amp;1&amp;2021,#REF!,Tableau3[Résultat Net (PdG)]),"")="",Tableau1[[#This Row],[RN Groupe 2021
Manuel]],IFERROR(_xlfn.XLOOKUP(Tableau1[[#This Row],[Isin]]&amp;1&amp;2021,#REF!,Tableau3[Résultat Net (PdG)]),""))</f>
        <v>0</v>
      </c>
      <c r="AT163" s="43"/>
      <c r="AU163" s="43" t="str">
        <f>IFERROR(_xlfn.XLOOKUP(Tableau1[[#This Row],[Isin]]&amp;1&amp;2020,#REF!,Tableau3[Résultat Net (PdG)]),"")</f>
        <v/>
      </c>
      <c r="AV163" s="43" t="str">
        <f>IFERROR(_xlfn.XLOOKUP(Tableau1[[#This Row],[Isin]]&amp;1&amp;2019,#REF!,Tableau3[Résultat Net (PdG)]),"")</f>
        <v/>
      </c>
      <c r="AW163" s="43" t="str">
        <f>IFERROR(_xlfn.XLOOKUP(Tableau1[[#This Row],[Isin]]&amp;1&amp;2018,#REF!,Tableau3[Résultat Net (PdG)]),"")</f>
        <v/>
      </c>
      <c r="AX163" s="43" t="str">
        <f>IFERROR(_xlfn.XLOOKUP(Tableau1[[#This Row],[Isin]]&amp;1&amp;2017,#REF!,Tableau3[Résultat Net (PdG)]),"")</f>
        <v/>
      </c>
      <c r="AY163" s="43" t="str">
        <f>IFERROR(_xlfn.XLOOKUP(Tableau1[[#This Row],[Isin]]&amp;1&amp;2016,#REF!,Tableau3[Résultat Net (PdG)]),"")</f>
        <v/>
      </c>
      <c r="AZ163" s="137" t="str">
        <f ca="1">IFERROR(Tableau1[[#This Row],[Capitalisation boursière]]/Tableau1[[#This Row],[RN Groupe 2023]],"")</f>
        <v/>
      </c>
      <c r="BA163" s="4" t="str" cm="1">
        <f t="array" aca="1" ref="BA163" ca="1">IFERROR(_FV(Tableau1[[#This Row],[Code Excel]],"Industrie"),"")</f>
        <v>Residential &amp; Commercial REIT</v>
      </c>
      <c r="BB163" s="43" t="s">
        <v>3477</v>
      </c>
      <c r="BC163" s="43" t="str">
        <f>IFERROR(_xlfn.XLOOKUP(Tableau1[[#This Row],[Isin]]&amp;1&amp;2016,#REF!,Tableau3[Capi]),"")</f>
        <v/>
      </c>
      <c r="BD163" s="43" t="str">
        <f>IFERROR(_xlfn.XLOOKUP(Tableau1[[#This Row],[Isin]]&amp;1&amp;2017,#REF!,Tableau3[Capi]),"")</f>
        <v/>
      </c>
      <c r="BE163" s="43" t="str">
        <f>IFERROR(_xlfn.XLOOKUP(Tableau1[[#This Row],[Isin]]&amp;1&amp;2018,#REF!,Tableau3[Capi]),"")</f>
        <v/>
      </c>
      <c r="BF163" s="43" t="str">
        <f>IFERROR(_xlfn.XLOOKUP(Tableau1[[#This Row],[Isin]]&amp;1&amp;2019,#REF!,Tableau3[Capi]),"")</f>
        <v/>
      </c>
      <c r="BG163" s="43" t="str">
        <f>IFERROR(_xlfn.XLOOKUP(Tableau1[[#This Row],[Isin]]&amp;1&amp;2020,#REF!,Tableau3[Capi]),"")</f>
        <v/>
      </c>
      <c r="BH163" s="43">
        <f>IF(IFERROR(_xlfn.XLOOKUP(Tableau1[[#This Row],[Isin]]&amp;1&amp;2021,#REF!,Tableau3[Capi]),"")="",Tableau1[[#This Row],[Capitalisation 2021
Manuel]],IFERROR(_xlfn.XLOOKUP(Tableau1[[#This Row],[Isin]]&amp;1&amp;2021,#REF!,Tableau3[Capi]),""))</f>
        <v>0</v>
      </c>
      <c r="BI163" s="43"/>
      <c r="BJ163" s="43">
        <f>IF(IFERROR(_xlfn.XLOOKUP(Tableau1[[#This Row],[Isin]]&amp;1&amp;2022,#REF!,Tableau3[Capi]),"")="",Tableau1[[#This Row],[Capitalisation 2022
Manuel]],IFERROR(_xlfn.XLOOKUP(Tableau1[[#This Row],[Isin]]&amp;1&amp;2022,#REF!,Tableau3[Capi]),""))</f>
        <v>0</v>
      </c>
      <c r="BK163" s="43"/>
      <c r="BL163" s="43">
        <f ca="1">Tableau1[[#This Row],[Capitalisation boursière]]</f>
        <v>1628370000</v>
      </c>
      <c r="BM163" s="162" t="str" cm="1">
        <f t="array" aca="1" ref="BM163" ca="1">_FV(Tableau1[[#This Row],[Code Excel]],"Description")</f>
        <v>Icade SA est une société immobilière d'investissement basée en France impliquée en particulier dans l'investissement en immobilier commercial. Ses activités sont organisées autour des divisions Bureaux, Parcs commerciaux, Santé, Centres commerciaux, Entrepôts et Investissements publics. La division Bureaux détient et gère des immeubles de bureaux. La division Parcs commerciaux est en charge du campus de l'entreprise créé à Paris, et combine diverses activités à travers de nombreux secteurs. L'unité Santé investit dans les hôpitaux ; la division Centres commerciaux détient deux grands centres commerciaux combinant boutiques et loisirs. La Société loue également des espaces dans ses entrepôts, investit dans des bâtiments sous-traités par le gouvernement et les loue aux utilisateurs du secteur public tels que les ministères et les autorités locales. L'actionnaire principal de la Société est Credit Agricole Assurances. Elle opère à travers Arkadea et ANF Immobilier SA.</v>
      </c>
      <c r="BN163" s="43"/>
      <c r="BO163" s="43"/>
      <c r="BP163" s="43"/>
      <c r="BQ163" s="43"/>
      <c r="BR163" s="14"/>
      <c r="BS163" s="14"/>
      <c r="BT163" s="14"/>
      <c r="BU163" s="14"/>
      <c r="BV163" s="14"/>
      <c r="BW163" s="4"/>
      <c r="BX163" s="21"/>
      <c r="BY163" s="13"/>
      <c r="BZ163" s="13"/>
      <c r="CA163" s="13"/>
      <c r="CB163" s="13"/>
      <c r="CC163" s="13"/>
      <c r="CE163" s="58"/>
      <c r="CF163" s="59"/>
    </row>
    <row r="164" spans="3:87">
      <c r="C164" s="43"/>
      <c r="D164" s="42">
        <f>IF(Tableau1[[#This Row],[Isin]]="",99,Tableau1[[#This Row],[Intérêt]]+Tableau1[[#This Row],[Valeur d''intérêt]]+Tableau1[[#This Row],[N° Portefeuille]])</f>
        <v>30</v>
      </c>
      <c r="E164" s="43"/>
      <c r="F164" s="42">
        <f>IF(Tableau1[[#This Row],[Portefeuille]]="p",0,Tableau1[[#This Row],[F. Investissement
Niveau d''intérêt]]*10)</f>
        <v>30</v>
      </c>
      <c r="G164" s="43">
        <f>IF(Tableau1[[#This Row],[Portefeuille]]="p",3,0)</f>
        <v>0</v>
      </c>
      <c r="H164" s="43">
        <v>3</v>
      </c>
      <c r="I164" s="43">
        <v>4</v>
      </c>
      <c r="J164" s="43"/>
      <c r="K164" s="43"/>
      <c r="L164" s="16"/>
      <c r="M16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4" s="64" t="s">
        <v>3871</v>
      </c>
      <c r="O164" s="68"/>
      <c r="P164" s="4"/>
      <c r="Q164" s="4"/>
      <c r="R164" s="6"/>
      <c r="S164" s="6" t="s">
        <v>3872</v>
      </c>
      <c r="T164" s="4" t="e" vm="150">
        <v>#VALUE!</v>
      </c>
      <c r="U164" s="46" cm="1">
        <f t="array" aca="1" ref="U164" ca="1">IFERROR(_FV(Tableau1[[#This Row],[Code Excel]],"Capitalisation boursière",TRUE),"")</f>
        <v>5876669000</v>
      </c>
      <c r="V164" s="4" t="str" cm="1">
        <f t="array" aca="1" ref="V164" ca="1">IFERROR(_FV(Tableau1[[#This Row],[Code Excel]],"Industrie"),"")</f>
        <v>Investment Banking &amp; Investment Services</v>
      </c>
      <c r="X164" s="4" t="str">
        <f ca="1">Tableau1[[#This Row],[Grand Secteur]]&amp;Tableau1[[#This Row],[Industrie]]</f>
        <v>Investment Banking &amp; Investment Services</v>
      </c>
      <c r="Y164" s="65" cm="1">
        <f t="array" aca="1" ref="Y164" ca="1">IFERROR(_FV(Tableau1[[#This Row],[Code Excel]],"P/E",TRUE),"")</f>
        <v>14.5206</v>
      </c>
      <c r="Z164" s="43" cm="1">
        <f t="array" aca="1" ref="Z164" ca="1">IFERROR(_FV(Tableau1[[#This Row],[Code Excel]],"Employés"),"")</f>
        <v>637</v>
      </c>
      <c r="AA164" s="49">
        <f ca="1">IFERROR(Tableau1[[#This Row],[Capitalisation boursière]]/Tableau1[[#This Row],[Employés]],"")</f>
        <v>9225540.031397175</v>
      </c>
      <c r="AB164" s="5" t="str">
        <f>IFERROR(Tableau1[[#This Row],[REX (2021)]]/Tableau1[[#This Row],[CA 2024]],"")</f>
        <v/>
      </c>
      <c r="AC164" s="43" t="str">
        <f>IFERROR(_xlfn.XLOOKUP(Tableau1[[#This Row],[Isin]]&amp;1&amp;2021,#REF!,Tableau3[Résultat d''exploitation]),"")</f>
        <v/>
      </c>
      <c r="AD164" s="43" t="str">
        <f>IFERROR(_xlfn.XLOOKUP(Tableau1[[#This Row],[Isin]]&amp;1&amp;2019,#REF!,Tableau3[Chiffre d''affaires]),"")</f>
        <v/>
      </c>
      <c r="AE164" s="43" t="str">
        <f>IFERROR(_xlfn.XLOOKUP(Tableau1[[#This Row],[Isin]]&amp;1&amp;2024,#REF!,Tableau3[Chiffre d''affaires]),"")</f>
        <v/>
      </c>
      <c r="AF164" s="297" t="str">
        <f>IFERROR(IF((Tableau1[[#This Row],[CA 2024]]-Tableau1[[#This Row],[CA 2019]])/Tableau1[[#This Row],[CA 2019]]=-1,"",(Tableau1[[#This Row],[CA 2024]]-Tableau1[[#This Row],[CA 2019]])/Tableau1[[#This Row],[CA 2019]]),"")</f>
        <v/>
      </c>
      <c r="AG164" s="9" t="str">
        <f>IFERROR(_xlfn.XLOOKUP(Tableau1[[#This Row],[Isin]]&amp;1&amp;2021,#REF!,Tableau3[EBE]),"")</f>
        <v/>
      </c>
      <c r="AH164" s="9" t="str">
        <f>IFERROR(_xlfn.XLOOKUP(Tableau1[[#This Row],[Isin]]&amp;1&amp;2022,#REF!,Tableau3[EBE]),"")</f>
        <v/>
      </c>
      <c r="AI164" s="43"/>
      <c r="AJ164" s="43"/>
      <c r="AK164" s="43"/>
      <c r="AL164" s="43"/>
      <c r="AM164" s="43"/>
      <c r="AN164" s="43" t="str">
        <f>IFERROR(_xlfn.XLOOKUP(Tableau1[[#This Row],[Isin]]&amp;1&amp;2021,#REF!,Tableau3[Chiffre d''affaires]),"")</f>
        <v/>
      </c>
      <c r="AO164" s="43" cm="1">
        <f t="array" aca="1" ref="AO164" ca="1">_FV(Tableau1[[#This Row],[Code Excel]],"P/E",TRUE)</f>
        <v>14.5206</v>
      </c>
      <c r="AP164" s="43" t="str">
        <f>IFERROR(_xlfn.XLOOKUP(Tableau1[[#This Row],[Isin]]&amp;1&amp;2023,#REF!,Tableau3[Résultat Net (PdG)]),"")</f>
        <v/>
      </c>
      <c r="AQ164" s="43">
        <f>IF(IFERROR(_xlfn.XLOOKUP(Tableau1[[#This Row],[Isin]]&amp;1&amp;2022,#REF!,Tableau3[Résultat Net (PdG)]),"")="",Tableau1[[#This Row],[RN Groupe 2022
Manuel]],IFERROR(_xlfn.XLOOKUP(Tableau1[[#This Row],[Isin]]&amp;1&amp;2022,#REF!,Tableau3[Résultat Net (PdG)]),""))</f>
        <v>0</v>
      </c>
      <c r="AR164" s="43"/>
      <c r="AS164" s="43">
        <f>IF(IFERROR(_xlfn.XLOOKUP(Tableau1[[#This Row],[Isin]]&amp;1&amp;2021,#REF!,Tableau3[Résultat Net (PdG)]),"")="",Tableau1[[#This Row],[RN Groupe 2021
Manuel]],IFERROR(_xlfn.XLOOKUP(Tableau1[[#This Row],[Isin]]&amp;1&amp;2021,#REF!,Tableau3[Résultat Net (PdG)]),""))</f>
        <v>0</v>
      </c>
      <c r="AT164" s="43"/>
      <c r="AU164" s="43"/>
      <c r="AV164" s="43"/>
      <c r="AW164" s="43"/>
      <c r="AX164" s="43"/>
      <c r="AY164" s="43" t="str">
        <f>IFERROR(_xlfn.XLOOKUP(Tableau1[[#This Row],[Isin]]&amp;1&amp;2016,#REF!,Tableau3[Résultat Net (PdG)]),"")</f>
        <v/>
      </c>
      <c r="AZ164" s="137" t="str">
        <f ca="1">IFERROR(Tableau1[[#This Row],[Capitalisation boursière]]/Tableau1[[#This Row],[RN Groupe 2023]],"")</f>
        <v/>
      </c>
      <c r="BA164" s="43" t="str" cm="1">
        <f t="array" aca="1" ref="BA164" ca="1">IFERROR(_FV(Tableau1[[#This Row],[Code Excel]],"Industrie"),"")</f>
        <v>Investment Banking &amp; Investment Services</v>
      </c>
      <c r="BB164" s="43"/>
      <c r="BC164" s="43" t="str">
        <f>IFERROR(_xlfn.XLOOKUP(Tableau1[[#This Row],[Isin]]&amp;1&amp;2016,#REF!,Tableau3[Capi]),"")</f>
        <v/>
      </c>
      <c r="BD164" s="43" t="str">
        <f>IFERROR(_xlfn.XLOOKUP(Tableau1[[#This Row],[Isin]]&amp;1&amp;2017,#REF!,Tableau3[Capi]),"")</f>
        <v/>
      </c>
      <c r="BE164" s="43" t="str">
        <f>IFERROR(_xlfn.XLOOKUP(Tableau1[[#This Row],[Isin]]&amp;1&amp;2018,#REF!,Tableau3[Capi]),"")</f>
        <v/>
      </c>
      <c r="BF164" s="43" t="str">
        <f>IFERROR(_xlfn.XLOOKUP(Tableau1[[#This Row],[Isin]]&amp;1&amp;2019,#REF!,Tableau3[Capi]),"")</f>
        <v/>
      </c>
      <c r="BG164" s="43" t="str">
        <f>IFERROR(_xlfn.XLOOKUP(Tableau1[[#This Row],[Isin]]&amp;1&amp;2020,#REF!,Tableau3[Capi]),"")</f>
        <v/>
      </c>
      <c r="BH164" s="43">
        <f>IF(IFERROR(_xlfn.XLOOKUP(Tableau1[[#This Row],[Isin]]&amp;1&amp;2021,#REF!,Tableau3[Capi]),"")="",Tableau1[[#This Row],[Capitalisation 2021
Manuel]],IFERROR(_xlfn.XLOOKUP(Tableau1[[#This Row],[Isin]]&amp;1&amp;2021,#REF!,Tableau3[Capi]),""))</f>
        <v>0</v>
      </c>
      <c r="BI164" s="43"/>
      <c r="BJ164" s="43">
        <f>IF(IFERROR(_xlfn.XLOOKUP(Tableau1[[#This Row],[Isin]]&amp;1&amp;2022,#REF!,Tableau3[Capi]),"")="",Tableau1[[#This Row],[Capitalisation 2022
Manuel]],IFERROR(_xlfn.XLOOKUP(Tableau1[[#This Row],[Isin]]&amp;1&amp;2022,#REF!,Tableau3[Capi]),""))</f>
        <v>0</v>
      </c>
      <c r="BK164" s="43"/>
      <c r="BL164" s="43">
        <f ca="1">Tableau1[[#This Row],[Capitalisation boursière]]</f>
        <v>5876669000</v>
      </c>
      <c r="BM164" s="162" t="str" cm="1">
        <f t="array" aca="1" ref="BM164" ca="1">_FV(Tableau1[[#This Row],[Code Excel]],"Description")</f>
        <v>Intermediate Capital Group plc est un gestionnaire d'actifs alternatifs mondial basé au Royaume-Uni. La Société gère le capital pour le compte de sa clientèle mondiale, principalement à travers des fonds fermés à long terme. Elle fournit diverses solutions de capital pour les entreprises et les propriétaires d'actifs réels, et crée de la valeur pour les parties prenantes, les actionnaires et les communautés. La société opère à travers deux segments : la société de gestion de fonds (FMC) et la société d'investissement (IC). La société opère dans quatre classes d'actifs, qui comprennent les capitaux propres structurés et privés, la dette privée, les actifs réels et le crédit. Son activité de capital-investissement et de fonds propres consiste à fournir des solutions de financement structurées et en actions aux entreprises privées. Sa dette privée consiste à fournir un financement par emprunt aux entreprises emprunteuses. Ses actifs réels consistent à fournir des solutions de financement dans les secteurs de l'immobilier et des infrastructures. Son crédit comprend des investissements sur les marchés publics primaires et secondaires du crédit.</v>
      </c>
      <c r="BN164" s="43"/>
      <c r="BO164" s="43"/>
      <c r="BP164" s="43"/>
      <c r="BQ164" s="43"/>
      <c r="BR164" s="13"/>
      <c r="BS164" s="13"/>
      <c r="BT164" s="13"/>
      <c r="BU164" s="13"/>
      <c r="BV164" s="13"/>
      <c r="BW164" s="4"/>
      <c r="BX164" s="21"/>
      <c r="BY164" s="13"/>
      <c r="BZ164" s="13"/>
      <c r="CA164" s="13"/>
      <c r="CB164" s="13"/>
      <c r="CC164" s="13"/>
      <c r="CE164" s="58"/>
      <c r="CF164" s="59"/>
    </row>
    <row r="165" spans="3:87">
      <c r="C165" s="43"/>
      <c r="D165" s="42">
        <f>IF(Tableau1[[#This Row],[Isin]]="",99,Tableau1[[#This Row],[Intérêt]]+Tableau1[[#This Row],[Valeur d''intérêt]]+Tableau1[[#This Row],[N° Portefeuille]])</f>
        <v>30</v>
      </c>
      <c r="E165" s="43"/>
      <c r="F165" s="42">
        <f>IF(Tableau1[[#This Row],[Portefeuille]]="p",0,Tableau1[[#This Row],[F. Investissement
Niveau d''intérêt]]*10)</f>
        <v>30</v>
      </c>
      <c r="G165" s="43">
        <f>IF(Tableau1[[#This Row],[Portefeuille]]="p",3,0)</f>
        <v>0</v>
      </c>
      <c r="H165" s="42">
        <v>3</v>
      </c>
      <c r="I165" s="43">
        <v>4</v>
      </c>
      <c r="J165" s="43"/>
      <c r="K165" s="43"/>
      <c r="L165" s="16"/>
      <c r="M16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5" s="7" t="s">
        <v>3136</v>
      </c>
      <c r="O165" s="45"/>
      <c r="P165" s="4"/>
      <c r="Q165" s="4"/>
      <c r="R165" s="6"/>
      <c r="S165" s="6" t="s">
        <v>3139</v>
      </c>
      <c r="T165" s="6" t="e" vm="151">
        <v>#VALUE!</v>
      </c>
      <c r="U165" s="46" cm="1">
        <f t="array" aca="1" ref="U165" ca="1">IFERROR(_FV(Tableau1[[#This Row],[Code Excel]],"Capitalisation boursière",TRUE),"")</f>
        <v>2409785000</v>
      </c>
      <c r="V165" s="4" t="str" cm="1">
        <f t="array" aca="1" ref="V165" ca="1">IFERROR(_FV(Tableau1[[#This Row],[Code Excel]],"Industrie"),"")</f>
        <v>Freight &amp; Logistics Services</v>
      </c>
      <c r="W165" s="4"/>
      <c r="X165" s="4" t="str">
        <f ca="1">Tableau1[[#This Row],[Grand Secteur]]&amp;Tableau1[[#This Row],[Industrie]]</f>
        <v>Freight &amp; Logistics Services</v>
      </c>
      <c r="Y165" s="23" cm="1">
        <f t="array" aca="1" ref="Y165" ca="1">IFERROR(_FV(Tableau1[[#This Row],[Code Excel]],"P/E",TRUE),"")</f>
        <v>43.0334</v>
      </c>
      <c r="Z165" s="43" cm="1">
        <f t="array" aca="1" ref="Z165" ca="1">IFERROR(_FV(Tableau1[[#This Row],[Code Excel]],"Employés"),"")</f>
        <v>28864</v>
      </c>
      <c r="AA165" s="46">
        <f ca="1">IFERROR(Tableau1[[#This Row],[Capitalisation boursière]]/Tableau1[[#This Row],[Employés]],"")</f>
        <v>83487.56236141907</v>
      </c>
      <c r="AB165" s="5" t="str">
        <f>IFERROR(Tableau1[[#This Row],[REX (2021)]]/Tableau1[[#This Row],[CA 2024]],"")</f>
        <v/>
      </c>
      <c r="AC165" s="9" t="str">
        <f>IFERROR(_xlfn.XLOOKUP(Tableau1[[#This Row],[Isin]]&amp;1&amp;2021,#REF!,Tableau3[Résultat d''exploitation]),"")</f>
        <v/>
      </c>
      <c r="AD165" s="9" t="str">
        <f>IFERROR(_xlfn.XLOOKUP(Tableau1[[#This Row],[Isin]]&amp;1&amp;2019,#REF!,Tableau3[Chiffre d''affaires]),"")</f>
        <v/>
      </c>
      <c r="AE165" s="9" t="str">
        <f>IFERROR(_xlfn.XLOOKUP(Tableau1[[#This Row],[Isin]]&amp;1&amp;2024,#REF!,Tableau3[Chiffre d''affaires]),"")</f>
        <v/>
      </c>
      <c r="AF165" s="8" t="str">
        <f>IFERROR(IF((Tableau1[[#This Row],[CA 2024]]-Tableau1[[#This Row],[CA 2019]])/Tableau1[[#This Row],[CA 2019]]=-1,"",(Tableau1[[#This Row],[CA 2024]]-Tableau1[[#This Row],[CA 2019]])/Tableau1[[#This Row],[CA 2019]]),"")</f>
        <v/>
      </c>
      <c r="AG165" s="9" t="str">
        <f>IFERROR(_xlfn.XLOOKUP(Tableau1[[#This Row],[Isin]]&amp;1&amp;2021,#REF!,Tableau3[EBE]),"")</f>
        <v/>
      </c>
      <c r="AH165" s="9" t="str">
        <f>IFERROR(_xlfn.XLOOKUP(Tableau1[[#This Row],[Isin]]&amp;1&amp;2022,#REF!,Tableau3[EBE]),"")</f>
        <v/>
      </c>
      <c r="AI165" s="43"/>
      <c r="AJ165" s="43"/>
      <c r="AK165" s="43"/>
      <c r="AL165" s="43"/>
      <c r="AM165" s="43"/>
      <c r="AN165" s="9" t="str">
        <f>IFERROR(_xlfn.XLOOKUP(Tableau1[[#This Row],[Isin]]&amp;1&amp;2021,#REF!,Tableau3[Chiffre d''affaires]),"")</f>
        <v/>
      </c>
      <c r="AO165" s="43" cm="1">
        <f t="array" aca="1" ref="AO165" ca="1">_FV(Tableau1[[#This Row],[Code Excel]],"P/E",TRUE)</f>
        <v>43.0334</v>
      </c>
      <c r="AP165" s="43" t="str">
        <f>IFERROR(_xlfn.XLOOKUP(Tableau1[[#This Row],[Isin]]&amp;1&amp;2023,#REF!,Tableau3[Résultat Net (PdG)]),"")</f>
        <v/>
      </c>
      <c r="AQ165" s="43">
        <f>IF(IFERROR(_xlfn.XLOOKUP(Tableau1[[#This Row],[Isin]]&amp;1&amp;2022,#REF!,Tableau3[Résultat Net (PdG)]),"")="",Tableau1[[#This Row],[RN Groupe 2022
Manuel]],IFERROR(_xlfn.XLOOKUP(Tableau1[[#This Row],[Isin]]&amp;1&amp;2022,#REF!,Tableau3[Résultat Net (PdG)]),""))</f>
        <v>0</v>
      </c>
      <c r="AR165" s="43"/>
      <c r="AS165" s="43">
        <f>IF(IFERROR(_xlfn.XLOOKUP(Tableau1[[#This Row],[Isin]]&amp;1&amp;2021,#REF!,Tableau3[Résultat Net (PdG)]),"")="",Tableau1[[#This Row],[RN Groupe 2021
Manuel]],IFERROR(_xlfn.XLOOKUP(Tableau1[[#This Row],[Isin]]&amp;1&amp;2021,#REF!,Tableau3[Résultat Net (PdG)]),""))</f>
        <v>0</v>
      </c>
      <c r="AT165" s="43"/>
      <c r="AU165" s="43" t="str">
        <f>IFERROR(_xlfn.XLOOKUP(Tableau1[[#This Row],[Isin]]&amp;1&amp;2020,#REF!,Tableau3[Résultat Net (PdG)]),"")</f>
        <v/>
      </c>
      <c r="AV165" s="43" t="str">
        <f>IFERROR(_xlfn.XLOOKUP(Tableau1[[#This Row],[Isin]]&amp;1&amp;2019,#REF!,Tableau3[Résultat Net (PdG)]),"")</f>
        <v/>
      </c>
      <c r="AW165" s="43" t="str">
        <f>IFERROR(_xlfn.XLOOKUP(Tableau1[[#This Row],[Isin]]&amp;1&amp;2018,#REF!,Tableau3[Résultat Net (PdG)]),"")</f>
        <v/>
      </c>
      <c r="AX165" s="43" t="str">
        <f>IFERROR(_xlfn.XLOOKUP(Tableau1[[#This Row],[Isin]]&amp;1&amp;2017,#REF!,Tableau3[Résultat Net (PdG)]),"")</f>
        <v/>
      </c>
      <c r="AY165" s="43" t="str">
        <f>IFERROR(_xlfn.XLOOKUP(Tableau1[[#This Row],[Isin]]&amp;1&amp;2016,#REF!,Tableau3[Résultat Net (PdG)]),"")</f>
        <v/>
      </c>
      <c r="AZ165" s="137" t="str">
        <f ca="1">IFERROR(Tableau1[[#This Row],[Capitalisation boursière]]/Tableau1[[#This Row],[RN Groupe 2023]],"")</f>
        <v/>
      </c>
      <c r="BA165" s="4" t="str" cm="1">
        <f t="array" aca="1" ref="BA165" ca="1">IFERROR(_FV(Tableau1[[#This Row],[Code Excel]],"Industrie"),"")</f>
        <v>Freight &amp; Logistics Services</v>
      </c>
      <c r="BB165" s="43">
        <v>0</v>
      </c>
      <c r="BC165" s="43" t="str">
        <f>IFERROR(_xlfn.XLOOKUP(Tableau1[[#This Row],[Isin]]&amp;1&amp;2016,#REF!,Tableau3[Capi]),"")</f>
        <v/>
      </c>
      <c r="BD165" s="43" t="str">
        <f>IFERROR(_xlfn.XLOOKUP(Tableau1[[#This Row],[Isin]]&amp;1&amp;2017,#REF!,Tableau3[Capi]),"")</f>
        <v/>
      </c>
      <c r="BE165" s="43" t="str">
        <f>IFERROR(_xlfn.XLOOKUP(Tableau1[[#This Row],[Isin]]&amp;1&amp;2018,#REF!,Tableau3[Capi]),"")</f>
        <v/>
      </c>
      <c r="BF165" s="43" t="str">
        <f>IFERROR(_xlfn.XLOOKUP(Tableau1[[#This Row],[Isin]]&amp;1&amp;2019,#REF!,Tableau3[Capi]),"")</f>
        <v/>
      </c>
      <c r="BG165" s="43" t="str">
        <f>IFERROR(_xlfn.XLOOKUP(Tableau1[[#This Row],[Isin]]&amp;1&amp;2020,#REF!,Tableau3[Capi]),"")</f>
        <v/>
      </c>
      <c r="BH165" s="43">
        <f>IF(IFERROR(_xlfn.XLOOKUP(Tableau1[[#This Row],[Isin]]&amp;1&amp;2021,#REF!,Tableau3[Capi]),"")="",Tableau1[[#This Row],[Capitalisation 2021
Manuel]],IFERROR(_xlfn.XLOOKUP(Tableau1[[#This Row],[Isin]]&amp;1&amp;2021,#REF!,Tableau3[Capi]),""))</f>
        <v>0</v>
      </c>
      <c r="BI165" s="43"/>
      <c r="BJ165" s="43">
        <f>IF(IFERROR(_xlfn.XLOOKUP(Tableau1[[#This Row],[Isin]]&amp;1&amp;2022,#REF!,Tableau3[Capi]),"")="",Tableau1[[#This Row],[Capitalisation 2022
Manuel]],IFERROR(_xlfn.XLOOKUP(Tableau1[[#This Row],[Isin]]&amp;1&amp;2022,#REF!,Tableau3[Capi]),""))</f>
        <v>0</v>
      </c>
      <c r="BK165" s="43"/>
      <c r="BL165" s="43">
        <f ca="1">Tableau1[[#This Row],[Capitalisation boursière]]</f>
        <v>2409785000</v>
      </c>
      <c r="BM165" s="162" t="str" cm="1">
        <f t="array" aca="1" ref="BM165" ca="1">_FV(Tableau1[[#This Row],[Code Excel]],"Description")</f>
        <v>ID Logistics SAS est une société française active dans le secteur de la logistique. Elle est spécialisée dans la fourniture de services de logistique et de transport. La Société réalise les prestations de logistique et d'optimisation de la chaîne d'approvisionnement pour les industriels européens et les distributeurs français. Un autre secteur d'activité utilisant ses services appartient à l'industrie des cosmétiques et du commerce électronique, ainsi qu'à l'industrie alimentaire et des boissons. La Société offre à ses clients une gamme de services pour leur chaîne d'approvisionnement, tels que l'entreposage, la logistique sous température dirigée et le commerce électronique. Elle offre des services à valeur ajoutée comprenant la gestion des stocks, le conditionnement, l'exécution des commandes, le contrôle qualité, le co-packing, le pooling et le centre de consolidation des fournisseurs. L'unité d'affaires de la Société, La Fileche Cavaillonnaise, est propriétaire de sa flotte de camions et offre des services de transport, d'organisation et d'optimisation. Elle est présente en France et à l'étranger, comme le Brésil, la Chine et la Russie, entre autres. En juillet 2013, elle a finalisé l'acquisition de CEPL.</v>
      </c>
      <c r="BN165" s="43"/>
      <c r="BO165" s="43"/>
      <c r="BP165" s="43"/>
      <c r="BQ165" s="43"/>
      <c r="BR165" s="13"/>
      <c r="BS165" s="13"/>
      <c r="BT165" s="13"/>
      <c r="BU165" s="13"/>
      <c r="BV165" s="13"/>
      <c r="BW165" s="4"/>
      <c r="BX165" s="21"/>
      <c r="BY165" s="13"/>
      <c r="BZ165" s="13"/>
      <c r="CA165" s="13"/>
      <c r="CB165" s="13"/>
      <c r="CC165" s="13"/>
      <c r="CE165" s="58"/>
      <c r="CF165" s="59"/>
    </row>
    <row r="166" spans="3:87">
      <c r="C166" s="42"/>
      <c r="D166" s="42">
        <f>IF(Tableau1[[#This Row],[Isin]]="",99,Tableau1[[#This Row],[Intérêt]]+Tableau1[[#This Row],[Valeur d''intérêt]]+Tableau1[[#This Row],[N° Portefeuille]])</f>
        <v>30</v>
      </c>
      <c r="E166" s="42"/>
      <c r="F166" s="42">
        <f>IF(Tableau1[[#This Row],[Portefeuille]]="p",0,Tableau1[[#This Row],[F. Investissement
Niveau d''intérêt]]*10)</f>
        <v>30</v>
      </c>
      <c r="G166" s="42">
        <f>IF(Tableau1[[#This Row],[Portefeuille]]="p",3,0)</f>
        <v>0</v>
      </c>
      <c r="H166" s="42">
        <v>3</v>
      </c>
      <c r="I166" s="42">
        <v>4</v>
      </c>
      <c r="J166" s="42"/>
      <c r="K166" s="43"/>
      <c r="L166" s="16">
        <v>1</v>
      </c>
      <c r="M16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6" s="44" t="s">
        <v>1760</v>
      </c>
      <c r="O166" s="44" t="s">
        <v>4360</v>
      </c>
      <c r="P166" s="4" t="s">
        <v>84</v>
      </c>
      <c r="Q166" s="6" t="s">
        <v>85</v>
      </c>
      <c r="R166" s="6" t="s">
        <v>4361</v>
      </c>
      <c r="S166" s="6" t="s">
        <v>819</v>
      </c>
      <c r="T166" s="6"/>
      <c r="U166" s="4" t="str" cm="1">
        <f t="array" ref="U166">IFERROR(_FV(Tableau1[[#This Row],[Code Excel]],"Capitalisation boursière",TRUE),"")</f>
        <v/>
      </c>
      <c r="V166" s="4" t="str" cm="1">
        <f t="array" ref="V166">IFERROR(_FV(Tableau1[[#This Row],[Code Excel]],"Industrie"),"")</f>
        <v/>
      </c>
      <c r="W166" s="4"/>
      <c r="X166" s="4" t="str">
        <f>Tableau1[[#This Row],[Grand Secteur]]&amp;Tableau1[[#This Row],[Industrie]]</f>
        <v/>
      </c>
      <c r="Y166" s="23" t="str" cm="1">
        <f t="array" ref="Y166">IFERROR(_FV(Tableau1[[#This Row],[Code Excel]],"P/E",TRUE),"")</f>
        <v/>
      </c>
      <c r="Z166" s="43" t="str" cm="1">
        <f t="array" ref="Z166">IFERROR(_FV(Tableau1[[#This Row],[Code Excel]],"Employés"),"")</f>
        <v/>
      </c>
      <c r="AA166" s="49" t="str">
        <f>IFERROR(Tableau1[[#This Row],[Capitalisation boursière]]/Tableau1[[#This Row],[Employés]],"")</f>
        <v/>
      </c>
      <c r="AB166" s="5" t="str">
        <f>IFERROR(Tableau1[[#This Row],[REX (2021)]]/Tableau1[[#This Row],[CA 2024]],"")</f>
        <v/>
      </c>
      <c r="AC166" s="9" t="str">
        <f>IFERROR(_xlfn.XLOOKUP(Tableau1[[#This Row],[Isin]]&amp;1&amp;2021,#REF!,Tableau3[Résultat d''exploitation]),"")</f>
        <v/>
      </c>
      <c r="AD166" s="9" t="str">
        <f>IFERROR(_xlfn.XLOOKUP(Tableau1[[#This Row],[Isin]]&amp;1&amp;2019,#REF!,Tableau3[Chiffre d''affaires]),"")</f>
        <v/>
      </c>
      <c r="AE166" s="9" t="str">
        <f>IFERROR(_xlfn.XLOOKUP(Tableau1[[#This Row],[Isin]]&amp;1&amp;2024,#REF!,Tableau3[Chiffre d''affaires]),"")</f>
        <v/>
      </c>
      <c r="AF166" s="8" t="str">
        <f>IFERROR(IF((Tableau1[[#This Row],[CA 2024]]-Tableau1[[#This Row],[CA 2019]])/Tableau1[[#This Row],[CA 2019]]=-1,"",(Tableau1[[#This Row],[CA 2024]]-Tableau1[[#This Row],[CA 2019]])/Tableau1[[#This Row],[CA 2019]]),"")</f>
        <v/>
      </c>
      <c r="AG166" s="9" t="str">
        <f>IFERROR(_xlfn.XLOOKUP(Tableau1[[#This Row],[Isin]]&amp;1&amp;2021,#REF!,Tableau3[EBE]),"")</f>
        <v/>
      </c>
      <c r="AH166" s="9" t="str">
        <f>IFERROR(_xlfn.XLOOKUP(Tableau1[[#This Row],[Isin]]&amp;1&amp;2022,#REF!,Tableau3[EBE]),"")</f>
        <v/>
      </c>
      <c r="AI166" s="43"/>
      <c r="AJ166" s="43"/>
      <c r="AK166" s="43"/>
      <c r="AL166" s="43"/>
      <c r="AM166" s="43"/>
      <c r="AN166" s="9" t="str">
        <f>IFERROR(_xlfn.XLOOKUP(Tableau1[[#This Row],[Isin]]&amp;1&amp;2021,#REF!,Tableau3[Chiffre d''affaires]),"")</f>
        <v/>
      </c>
      <c r="AO166" s="43" t="e" cm="1" vm="1">
        <f t="array" ref="AO166">_FV(Tableau1[[#This Row],[Code Excel]],"P/E",TRUE)</f>
        <v>#VALUE!</v>
      </c>
      <c r="AP166" s="43" t="str">
        <f>IFERROR(_xlfn.XLOOKUP(Tableau1[[#This Row],[Isin]]&amp;1&amp;2023,#REF!,Tableau3[Résultat Net (PdG)]),"")</f>
        <v/>
      </c>
      <c r="AQ166" s="43">
        <f>IF(IFERROR(_xlfn.XLOOKUP(Tableau1[[#This Row],[Isin]]&amp;1&amp;2022,#REF!,Tableau3[Résultat Net (PdG)]),"")="",Tableau1[[#This Row],[RN Groupe 2022
Manuel]],IFERROR(_xlfn.XLOOKUP(Tableau1[[#This Row],[Isin]]&amp;1&amp;2022,#REF!,Tableau3[Résultat Net (PdG)]),""))</f>
        <v>0</v>
      </c>
      <c r="AR166" s="43"/>
      <c r="AS166" s="43">
        <f>IF(IFERROR(_xlfn.XLOOKUP(Tableau1[[#This Row],[Isin]]&amp;1&amp;2021,#REF!,Tableau3[Résultat Net (PdG)]),"")="",Tableau1[[#This Row],[RN Groupe 2021
Manuel]],IFERROR(_xlfn.XLOOKUP(Tableau1[[#This Row],[Isin]]&amp;1&amp;2021,#REF!,Tableau3[Résultat Net (PdG)]),""))</f>
        <v>0</v>
      </c>
      <c r="AT166" s="43"/>
      <c r="AU166" s="43" t="str">
        <f>IFERROR(_xlfn.XLOOKUP(Tableau1[[#This Row],[Isin]]&amp;1&amp;2020,#REF!,Tableau3[Résultat Net (PdG)]),"")</f>
        <v/>
      </c>
      <c r="AV166" s="43" t="str">
        <f>IFERROR(_xlfn.XLOOKUP(Tableau1[[#This Row],[Isin]]&amp;1&amp;2019,#REF!,Tableau3[Résultat Net (PdG)]),"")</f>
        <v/>
      </c>
      <c r="AW166" s="43" t="str">
        <f>IFERROR(_xlfn.XLOOKUP(Tableau1[[#This Row],[Isin]]&amp;1&amp;2018,#REF!,Tableau3[Résultat Net (PdG)]),"")</f>
        <v/>
      </c>
      <c r="AX166" s="43" t="str">
        <f>IFERROR(_xlfn.XLOOKUP(Tableau1[[#This Row],[Isin]]&amp;1&amp;2017,#REF!,Tableau3[Résultat Net (PdG)]),"")</f>
        <v/>
      </c>
      <c r="AY166" s="43" t="str">
        <f>IFERROR(_xlfn.XLOOKUP(Tableau1[[#This Row],[Isin]]&amp;1&amp;2016,#REF!,Tableau3[Résultat Net (PdG)]),"")</f>
        <v/>
      </c>
      <c r="AZ166" s="137" t="str">
        <f>IFERROR(Tableau1[[#This Row],[Capitalisation boursière]]/Tableau1[[#This Row],[RN Groupe 2023]],"")</f>
        <v/>
      </c>
      <c r="BA166" s="4" t="str" cm="1">
        <f t="array" ref="BA166">IFERROR(_FV(Tableau1[[#This Row],[Code Excel]],"Industrie"),"")</f>
        <v/>
      </c>
      <c r="BB166" s="43" t="e">
        <v>#N/A</v>
      </c>
      <c r="BC166" s="43" t="str">
        <f>IFERROR(_xlfn.XLOOKUP(Tableau1[[#This Row],[Isin]]&amp;1&amp;2016,#REF!,Tableau3[Capi]),"")</f>
        <v/>
      </c>
      <c r="BD166" s="43" t="str">
        <f>IFERROR(_xlfn.XLOOKUP(Tableau1[[#This Row],[Isin]]&amp;1&amp;2017,#REF!,Tableau3[Capi]),"")</f>
        <v/>
      </c>
      <c r="BE166" s="43" t="str">
        <f>IFERROR(_xlfn.XLOOKUP(Tableau1[[#This Row],[Isin]]&amp;1&amp;2018,#REF!,Tableau3[Capi]),"")</f>
        <v/>
      </c>
      <c r="BF166" s="43" t="str">
        <f>IFERROR(_xlfn.XLOOKUP(Tableau1[[#This Row],[Isin]]&amp;1&amp;2019,#REF!,Tableau3[Capi]),"")</f>
        <v/>
      </c>
      <c r="BG166" s="43" t="str">
        <f>IFERROR(_xlfn.XLOOKUP(Tableau1[[#This Row],[Isin]]&amp;1&amp;2020,#REF!,Tableau3[Capi]),"")</f>
        <v/>
      </c>
      <c r="BH166" s="43">
        <f>IF(IFERROR(_xlfn.XLOOKUP(Tableau1[[#This Row],[Isin]]&amp;1&amp;2021,#REF!,Tableau3[Capi]),"")="",Tableau1[[#This Row],[Capitalisation 2021
Manuel]],IFERROR(_xlfn.XLOOKUP(Tableau1[[#This Row],[Isin]]&amp;1&amp;2021,#REF!,Tableau3[Capi]),""))</f>
        <v>0</v>
      </c>
      <c r="BI166" s="43"/>
      <c r="BJ166" s="43">
        <f>IF(IFERROR(_xlfn.XLOOKUP(Tableau1[[#This Row],[Isin]]&amp;1&amp;2022,#REF!,Tableau3[Capi]),"")="",Tableau1[[#This Row],[Capitalisation 2022
Manuel]],IFERROR(_xlfn.XLOOKUP(Tableau1[[#This Row],[Isin]]&amp;1&amp;2022,#REF!,Tableau3[Capi]),""))</f>
        <v>0</v>
      </c>
      <c r="BK166" s="43"/>
      <c r="BL166" s="43" t="str">
        <f>Tableau1[[#This Row],[Capitalisation boursière]]</f>
        <v/>
      </c>
      <c r="BM166" s="162" t="e" cm="1" vm="2">
        <f t="array" ref="BM166">_FV(Tableau1[[#This Row],[Code Excel]],"Description")</f>
        <v>#VALUE!</v>
      </c>
      <c r="BN166" s="43"/>
      <c r="BO166" s="43"/>
      <c r="BP166" s="43"/>
      <c r="BQ166" s="43"/>
      <c r="BR166" s="13"/>
      <c r="BS166" s="13"/>
      <c r="BT166" s="13"/>
      <c r="BU166" s="13"/>
      <c r="BV166" s="13"/>
      <c r="BW166" s="4"/>
      <c r="BX166" s="21"/>
      <c r="BY166" s="13"/>
      <c r="BZ166" s="13"/>
      <c r="CA166" s="13"/>
      <c r="CB166" s="13"/>
      <c r="CC166" s="13"/>
      <c r="CE166" s="58"/>
      <c r="CF166" s="59"/>
    </row>
    <row r="167" spans="3:87">
      <c r="C167" s="43"/>
      <c r="D167" s="42">
        <f>IF(Tableau1[[#This Row],[Isin]]="",99,Tableau1[[#This Row],[Intérêt]]+Tableau1[[#This Row],[Valeur d''intérêt]]+Tableau1[[#This Row],[N° Portefeuille]])</f>
        <v>30</v>
      </c>
      <c r="E167" s="43"/>
      <c r="F167" s="42">
        <f>IF(Tableau1[[#This Row],[Portefeuille]]="p",0,Tableau1[[#This Row],[F. Investissement
Niveau d''intérêt]]*10)</f>
        <v>30</v>
      </c>
      <c r="G167" s="43">
        <f>IF(Tableau1[[#This Row],[Portefeuille]]="p",3,0)</f>
        <v>0</v>
      </c>
      <c r="H167" s="42">
        <v>3</v>
      </c>
      <c r="I167" s="43">
        <v>4</v>
      </c>
      <c r="J167" s="43"/>
      <c r="K167" s="43"/>
      <c r="L167" s="16">
        <v>0</v>
      </c>
      <c r="M16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7" s="44" t="s">
        <v>3875</v>
      </c>
      <c r="O167" s="45"/>
      <c r="P167" s="4" t="s">
        <v>427</v>
      </c>
      <c r="Q167" s="4"/>
      <c r="R167" s="6"/>
      <c r="S167" s="6" t="s">
        <v>3876</v>
      </c>
      <c r="T167" s="6" t="e" vm="152">
        <v>#VALUE!</v>
      </c>
      <c r="U167" s="46" cm="1">
        <f t="array" aca="1" ref="U167" ca="1">IFERROR(_FV(Tableau1[[#This Row],[Code Excel]],"Capitalisation boursière",TRUE),"")</f>
        <v>7483073000</v>
      </c>
      <c r="V167" s="4" t="str" cm="1">
        <f t="array" aca="1" ref="V167" ca="1">IFERROR(_FV(Tableau1[[#This Row],[Code Excel]],"Industrie"),"")</f>
        <v>Chemicals</v>
      </c>
      <c r="W167" s="4" t="s">
        <v>2431</v>
      </c>
      <c r="X167" s="4" t="str">
        <f ca="1">Tableau1[[#This Row],[Grand Secteur]]&amp;Tableau1[[#This Row],[Industrie]]</f>
        <v>ChimieChemicals</v>
      </c>
      <c r="Y167" s="23" cm="1">
        <f t="array" aca="1" ref="Y167" ca="1">IFERROR(_FV(Tableau1[[#This Row],[Code Excel]],"P/E",TRUE),"")</f>
        <v>26.033300000000001</v>
      </c>
      <c r="Z167" s="43" cm="1">
        <f t="array" aca="1" ref="Z167" ca="1">IFERROR(_FV(Tableau1[[#This Row],[Code Excel]],"Employés"),"")</f>
        <v>5126</v>
      </c>
      <c r="AA167" s="46">
        <f ca="1">IFERROR(Tableau1[[#This Row],[Capitalisation boursière]]/Tableau1[[#This Row],[Employés]],"")</f>
        <v>1459826.960593055</v>
      </c>
      <c r="AB167" s="5" t="str">
        <f>IFERROR(Tableau1[[#This Row],[REX (2021)]]/Tableau1[[#This Row],[CA 2024]],"")</f>
        <v/>
      </c>
      <c r="AC167" s="9" t="str">
        <f>IFERROR(_xlfn.XLOOKUP(Tableau1[[#This Row],[Isin]]&amp;1&amp;2021,#REF!,Tableau3[Résultat d''exploitation]),"")</f>
        <v/>
      </c>
      <c r="AD167" s="9" t="str">
        <f>IFERROR(_xlfn.XLOOKUP(Tableau1[[#This Row],[Isin]]&amp;1&amp;2019,#REF!,Tableau3[Chiffre d''affaires]),"")</f>
        <v/>
      </c>
      <c r="AE167" s="9" t="str">
        <f>IFERROR(_xlfn.XLOOKUP(Tableau1[[#This Row],[Isin]]&amp;1&amp;2024,#REF!,Tableau3[Chiffre d''affaires]),"")</f>
        <v/>
      </c>
      <c r="AF167" s="8" t="str">
        <f>IFERROR(IF((Tableau1[[#This Row],[CA 2024]]-Tableau1[[#This Row],[CA 2019]])/Tableau1[[#This Row],[CA 2019]]=-1,"",(Tableau1[[#This Row],[CA 2024]]-Tableau1[[#This Row],[CA 2019]])/Tableau1[[#This Row],[CA 2019]]),"")</f>
        <v/>
      </c>
      <c r="AG167" s="9" t="str">
        <f>IFERROR(_xlfn.XLOOKUP(Tableau1[[#This Row],[Isin]]&amp;1&amp;2021,#REF!,Tableau3[EBE]),"")</f>
        <v/>
      </c>
      <c r="AH167" s="9" t="str">
        <f>IFERROR(_xlfn.XLOOKUP(Tableau1[[#This Row],[Isin]]&amp;1&amp;2022,#REF!,Tableau3[EBE]),"")</f>
        <v/>
      </c>
      <c r="AI167" s="43" t="s">
        <v>4329</v>
      </c>
      <c r="AJ167" s="43" t="s">
        <v>3150</v>
      </c>
      <c r="AK167" s="43" t="s">
        <v>3148</v>
      </c>
      <c r="AL167" s="43"/>
      <c r="AM167" s="43"/>
      <c r="AN167" s="9" t="str">
        <f>IFERROR(_xlfn.XLOOKUP(Tableau1[[#This Row],[Isin]]&amp;1&amp;2021,#REF!,Tableau3[Chiffre d''affaires]),"")</f>
        <v/>
      </c>
      <c r="AO167" s="43" cm="1">
        <f t="array" aca="1" ref="AO167" ca="1">_FV(Tableau1[[#This Row],[Code Excel]],"P/E",TRUE)</f>
        <v>26.033300000000001</v>
      </c>
      <c r="AP167" s="43" t="str">
        <f>IFERROR(_xlfn.XLOOKUP(Tableau1[[#This Row],[Isin]]&amp;1&amp;2023,#REF!,Tableau3[Résultat Net (PdG)]),"")</f>
        <v/>
      </c>
      <c r="AQ167" s="43">
        <f>IF(IFERROR(_xlfn.XLOOKUP(Tableau1[[#This Row],[Isin]]&amp;1&amp;2022,#REF!,Tableau3[Résultat Net (PdG)]),"")="",Tableau1[[#This Row],[RN Groupe 2022
Manuel]],IFERROR(_xlfn.XLOOKUP(Tableau1[[#This Row],[Isin]]&amp;1&amp;2022,#REF!,Tableau3[Résultat Net (PdG)]),""))</f>
        <v>0</v>
      </c>
      <c r="AR167" s="43"/>
      <c r="AS167" s="43">
        <f>IF(IFERROR(_xlfn.XLOOKUP(Tableau1[[#This Row],[Isin]]&amp;1&amp;2021,#REF!,Tableau3[Résultat Net (PdG)]),"")="",Tableau1[[#This Row],[RN Groupe 2021
Manuel]],IFERROR(_xlfn.XLOOKUP(Tableau1[[#This Row],[Isin]]&amp;1&amp;2021,#REF!,Tableau3[Résultat Net (PdG)]),""))</f>
        <v>0</v>
      </c>
      <c r="AT167" s="43"/>
      <c r="AU167" s="43" t="str">
        <f>IFERROR(_xlfn.XLOOKUP(Tableau1[[#This Row],[Isin]]&amp;1&amp;2020,#REF!,Tableau3[Résultat Net (PdG)]),"")</f>
        <v/>
      </c>
      <c r="AV167" s="43" t="str">
        <f>IFERROR(_xlfn.XLOOKUP(Tableau1[[#This Row],[Isin]]&amp;1&amp;2019,#REF!,Tableau3[Résultat Net (PdG)]),"")</f>
        <v/>
      </c>
      <c r="AW167" s="43" t="str">
        <f>IFERROR(_xlfn.XLOOKUP(Tableau1[[#This Row],[Isin]]&amp;1&amp;2018,#REF!,Tableau3[Résultat Net (PdG)]),"")</f>
        <v/>
      </c>
      <c r="AX167" s="43" t="str">
        <f>IFERROR(_xlfn.XLOOKUP(Tableau1[[#This Row],[Isin]]&amp;1&amp;2017,#REF!,Tableau3[Résultat Net (PdG)]),"")</f>
        <v/>
      </c>
      <c r="AY167" s="43" t="str">
        <f>IFERROR(_xlfn.XLOOKUP(Tableau1[[#This Row],[Isin]]&amp;1&amp;2016,#REF!,Tableau3[Résultat Net (PdG)]),"")</f>
        <v/>
      </c>
      <c r="AZ167" s="137" t="str">
        <f ca="1">IFERROR(Tableau1[[#This Row],[Capitalisation boursière]]/Tableau1[[#This Row],[RN Groupe 2023]],"")</f>
        <v/>
      </c>
      <c r="BA167" s="4" t="str" cm="1">
        <f t="array" aca="1" ref="BA167" ca="1">IFERROR(_FV(Tableau1[[#This Row],[Code Excel]],"Industrie"),"")</f>
        <v>Chemicals</v>
      </c>
      <c r="BB167" s="43" t="s">
        <v>3496</v>
      </c>
      <c r="BC167" s="43" t="str">
        <f>IFERROR(_xlfn.XLOOKUP(Tableau1[[#This Row],[Isin]]&amp;1&amp;2016,#REF!,Tableau3[Capi]),"")</f>
        <v/>
      </c>
      <c r="BD167" s="43" t="str">
        <f>IFERROR(_xlfn.XLOOKUP(Tableau1[[#This Row],[Isin]]&amp;1&amp;2017,#REF!,Tableau3[Capi]),"")</f>
        <v/>
      </c>
      <c r="BE167" s="43" t="str">
        <f>IFERROR(_xlfn.XLOOKUP(Tableau1[[#This Row],[Isin]]&amp;1&amp;2018,#REF!,Tableau3[Capi]),"")</f>
        <v/>
      </c>
      <c r="BF167" s="43" t="str">
        <f>IFERROR(_xlfn.XLOOKUP(Tableau1[[#This Row],[Isin]]&amp;1&amp;2019,#REF!,Tableau3[Capi]),"")</f>
        <v/>
      </c>
      <c r="BG167" s="43" t="str">
        <f>IFERROR(_xlfn.XLOOKUP(Tableau1[[#This Row],[Isin]]&amp;1&amp;2020,#REF!,Tableau3[Capi]),"")</f>
        <v/>
      </c>
      <c r="BH167" s="43">
        <f>IF(IFERROR(_xlfn.XLOOKUP(Tableau1[[#This Row],[Isin]]&amp;1&amp;2021,#REF!,Tableau3[Capi]),"")="",Tableau1[[#This Row],[Capitalisation 2021
Manuel]],IFERROR(_xlfn.XLOOKUP(Tableau1[[#This Row],[Isin]]&amp;1&amp;2021,#REF!,Tableau3[Capi]),""))</f>
        <v>0</v>
      </c>
      <c r="BI167" s="43"/>
      <c r="BJ167" s="43">
        <f>IF(IFERROR(_xlfn.XLOOKUP(Tableau1[[#This Row],[Isin]]&amp;1&amp;2022,#REF!,Tableau3[Capi]),"")="",Tableau1[[#This Row],[Capitalisation 2022
Manuel]],IFERROR(_xlfn.XLOOKUP(Tableau1[[#This Row],[Isin]]&amp;1&amp;2022,#REF!,Tableau3[Capi]),""))</f>
        <v>0</v>
      </c>
      <c r="BK167" s="43"/>
      <c r="BL167" s="43">
        <f ca="1">Tableau1[[#This Row],[Capitalisation boursière]]</f>
        <v>7483073000</v>
      </c>
      <c r="BM167" s="162" t="str" cm="1">
        <f t="array" aca="1" ref="BM167" ca="1">_FV(Tableau1[[#This Row],[Code Excel]],"Description")</f>
        <v>IMCD NV est une société basée aux Pays-Bas qui se spécialise dans la vente, la commercialisation et la distribution d'ingrédients chimiques et alimentaires spécialisés. Son portefeuille de produits comprend des produits chimiques provenant de divers domaines, notamment la pharmacie, les soins personnels, les revêtements, l'alimentation et la nutrition, les lubrifiants, la synthèse, les plastiques, les détergents, les produits agrochimiques, le textile, le traitement des eaux usées et des déchets, la coupe et le sablage au jet, les arômes et les parfums, le pétrole et le gaz et le polissage, entre autres. La société exploite une chaîne d'approvisionnement internationale avec des entrepôts locaux et fournit des services à valeur ajoutée, qui comprennent le reconditionnement, la dilution et le mélange. La société opère dans le monde entier.</v>
      </c>
      <c r="BN167" s="43"/>
      <c r="BO167" s="43"/>
      <c r="BP167" s="43"/>
      <c r="BQ167" s="43"/>
      <c r="BR167" s="29"/>
      <c r="BS167" s="29"/>
      <c r="BT167" s="29"/>
      <c r="BU167" s="29"/>
      <c r="BV167" s="29"/>
      <c r="BW167" s="4"/>
      <c r="BX167" s="21"/>
      <c r="BY167" s="13"/>
      <c r="BZ167" s="13"/>
      <c r="CA167" s="13"/>
      <c r="CB167" s="13"/>
      <c r="CC167" s="13"/>
      <c r="CE167" s="47"/>
      <c r="CF167" s="47"/>
    </row>
    <row r="168" spans="3:87">
      <c r="C168" s="42"/>
      <c r="D168" s="42">
        <f>IF(Tableau1[[#This Row],[Isin]]="",99,Tableau1[[#This Row],[Intérêt]]+Tableau1[[#This Row],[Valeur d''intérêt]]+Tableau1[[#This Row],[N° Portefeuille]])</f>
        <v>3</v>
      </c>
      <c r="E168" s="42"/>
      <c r="F168" s="42">
        <f>IF(Tableau1[[#This Row],[Portefeuille]]="p",0,Tableau1[[#This Row],[F. Investissement
Niveau d''intérêt]]*10)</f>
        <v>0</v>
      </c>
      <c r="G168" s="42">
        <f>IF(Tableau1[[#This Row],[Portefeuille]]="p",3,0)</f>
        <v>3</v>
      </c>
      <c r="H168" s="42">
        <v>1</v>
      </c>
      <c r="I168" s="42">
        <v>1</v>
      </c>
      <c r="J168" s="42" t="s">
        <v>4357</v>
      </c>
      <c r="K168" s="43" t="s">
        <v>4362</v>
      </c>
      <c r="L168" s="16">
        <v>1</v>
      </c>
      <c r="M16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8" s="44" t="s">
        <v>2035</v>
      </c>
      <c r="O168" s="44" t="s">
        <v>4399</v>
      </c>
      <c r="P168" s="4" t="s">
        <v>84</v>
      </c>
      <c r="Q168" s="6" t="s">
        <v>85</v>
      </c>
      <c r="R168" s="6"/>
      <c r="S168" s="6" t="s">
        <v>2039</v>
      </c>
      <c r="T168" s="6" t="e" vm="153">
        <v>#VALUE!</v>
      </c>
      <c r="U168" s="46" cm="1">
        <f t="array" aca="1" ref="U168" ca="1">IFERROR(_FV(Tableau1[[#This Row],[Code Excel]],"Capitalisation boursière",TRUE),"")</f>
        <v>2658652000</v>
      </c>
      <c r="V168" s="4" t="str" cm="1">
        <f t="array" aca="1" ref="V168" ca="1">IFERROR(_FV(Tableau1[[#This Row],[Code Excel]],"Industrie"),"")</f>
        <v>Metals &amp; Mining</v>
      </c>
      <c r="W168" s="4" t="s">
        <v>4366</v>
      </c>
      <c r="X168" s="4" t="str">
        <f ca="1">Tableau1[[#This Row],[Grand Secteur]]&amp;Tableau1[[#This Row],[Industrie]]</f>
        <v>Matières PremièresMetals &amp; Mining</v>
      </c>
      <c r="Y168" s="23" cm="1">
        <f t="array" aca="1" ref="Y168" ca="1">IFERROR(_FV(Tableau1[[#This Row],[Code Excel]],"P/E",TRUE),"")</f>
        <v>0</v>
      </c>
      <c r="Z168" s="43" cm="1">
        <f t="array" aca="1" ref="Z168" ca="1">IFERROR(_FV(Tableau1[[#This Row],[Code Excel]],"Employés"),"")</f>
        <v>12392</v>
      </c>
      <c r="AA168" s="49">
        <f ca="1">IFERROR(Tableau1[[#This Row],[Capitalisation boursière]]/Tableau1[[#This Row],[Employés]],"")</f>
        <v>214545.83602324079</v>
      </c>
      <c r="AB168" s="5" t="str">
        <f>IFERROR(Tableau1[[#This Row],[REX (2021)]]/Tableau1[[#This Row],[CA 2024]],"")</f>
        <v/>
      </c>
      <c r="AC168" s="9" t="str">
        <f>IFERROR(_xlfn.XLOOKUP(Tableau1[[#This Row],[Isin]]&amp;1&amp;2021,#REF!,Tableau3[Résultat d''exploitation]),"")</f>
        <v/>
      </c>
      <c r="AD168" s="9" t="str">
        <f>IFERROR(_xlfn.XLOOKUP(Tableau1[[#This Row],[Isin]]&amp;1&amp;2019,#REF!,Tableau3[Chiffre d''affaires]),"")</f>
        <v/>
      </c>
      <c r="AE168" s="9" t="str">
        <f>IFERROR(_xlfn.XLOOKUP(Tableau1[[#This Row],[Isin]]&amp;1&amp;2024,#REF!,Tableau3[Chiffre d''affaires]),"")</f>
        <v/>
      </c>
      <c r="AF168" s="8" t="str">
        <f>IFERROR(IF((Tableau1[[#This Row],[CA 2024]]-Tableau1[[#This Row],[CA 2019]])/Tableau1[[#This Row],[CA 2019]]=-1,"",(Tableau1[[#This Row],[CA 2024]]-Tableau1[[#This Row],[CA 2019]])/Tableau1[[#This Row],[CA 2019]]),"")</f>
        <v/>
      </c>
      <c r="AG168" s="9" t="str">
        <f>IFERROR(_xlfn.XLOOKUP(Tableau1[[#This Row],[Isin]]&amp;1&amp;2021,#REF!,Tableau3[EBE]),"")</f>
        <v/>
      </c>
      <c r="AH168" s="9" t="str">
        <f>IFERROR(_xlfn.XLOOKUP(Tableau1[[#This Row],[Isin]]&amp;1&amp;2022,#REF!,Tableau3[EBE]),"")</f>
        <v/>
      </c>
      <c r="AI168" s="43" t="s">
        <v>4343</v>
      </c>
      <c r="AJ168" s="43" t="s">
        <v>4322</v>
      </c>
      <c r="AK168" s="43" t="s">
        <v>3419</v>
      </c>
      <c r="AL168" s="43" t="s">
        <v>4343</v>
      </c>
      <c r="AM168" s="43"/>
      <c r="AN168" s="9" t="str">
        <f>IFERROR(_xlfn.XLOOKUP(Tableau1[[#This Row],[Isin]]&amp;1&amp;2021,#REF!,Tableau3[Chiffre d''affaires]),"")</f>
        <v/>
      </c>
      <c r="AO168" s="43" cm="1">
        <f t="array" aca="1" ref="AO168" ca="1">_FV(Tableau1[[#This Row],[Code Excel]],"P/E",TRUE)</f>
        <v>0</v>
      </c>
      <c r="AP168" s="43" t="str">
        <f>IFERROR(_xlfn.XLOOKUP(Tableau1[[#This Row],[Isin]]&amp;1&amp;2023,#REF!,Tableau3[Résultat Net (PdG)]),"")</f>
        <v/>
      </c>
      <c r="AQ168" s="43">
        <f>IF(IFERROR(_xlfn.XLOOKUP(Tableau1[[#This Row],[Isin]]&amp;1&amp;2022,#REF!,Tableau3[Résultat Net (PdG)]),"")="",Tableau1[[#This Row],[RN Groupe 2022
Manuel]],IFERROR(_xlfn.XLOOKUP(Tableau1[[#This Row],[Isin]]&amp;1&amp;2022,#REF!,Tableau3[Résultat Net (PdG)]),""))</f>
        <v>0</v>
      </c>
      <c r="AR168" s="43"/>
      <c r="AS168" s="43">
        <f>IF(IFERROR(_xlfn.XLOOKUP(Tableau1[[#This Row],[Isin]]&amp;1&amp;2021,#REF!,Tableau3[Résultat Net (PdG)]),"")="",Tableau1[[#This Row],[RN Groupe 2021
Manuel]],IFERROR(_xlfn.XLOOKUP(Tableau1[[#This Row],[Isin]]&amp;1&amp;2021,#REF!,Tableau3[Résultat Net (PdG)]),""))</f>
        <v>0</v>
      </c>
      <c r="AT168" s="43"/>
      <c r="AU168" s="43" t="str">
        <f>IFERROR(_xlfn.XLOOKUP(Tableau1[[#This Row],[Isin]]&amp;1&amp;2020,#REF!,Tableau3[Résultat Net (PdG)]),"")</f>
        <v/>
      </c>
      <c r="AV168" s="43" t="str">
        <f>IFERROR(_xlfn.XLOOKUP(Tableau1[[#This Row],[Isin]]&amp;1&amp;2019,#REF!,Tableau3[Résultat Net (PdG)]),"")</f>
        <v/>
      </c>
      <c r="AW168" s="43" t="str">
        <f>IFERROR(_xlfn.XLOOKUP(Tableau1[[#This Row],[Isin]]&amp;1&amp;2018,#REF!,Tableau3[Résultat Net (PdG)]),"")</f>
        <v/>
      </c>
      <c r="AX168" s="43" t="str">
        <f>IFERROR(_xlfn.XLOOKUP(Tableau1[[#This Row],[Isin]]&amp;1&amp;2017,#REF!,Tableau3[Résultat Net (PdG)]),"")</f>
        <v/>
      </c>
      <c r="AY168" s="43" t="str">
        <f>IFERROR(_xlfn.XLOOKUP(Tableau1[[#This Row],[Isin]]&amp;1&amp;2016,#REF!,Tableau3[Résultat Net (PdG)]),"")</f>
        <v/>
      </c>
      <c r="AZ168" s="137" t="str">
        <f ca="1">IFERROR(Tableau1[[#This Row],[Capitalisation boursière]]/Tableau1[[#This Row],[RN Groupe 2023]],"")</f>
        <v/>
      </c>
      <c r="BA168" s="4" t="str" cm="1">
        <f t="array" aca="1" ref="BA168" ca="1">IFERROR(_FV(Tableau1[[#This Row],[Code Excel]],"Industrie"),"")</f>
        <v>Metals &amp; Mining</v>
      </c>
      <c r="BB168" s="43" t="s">
        <v>3477</v>
      </c>
      <c r="BC168" s="43" t="str">
        <f>IFERROR(_xlfn.XLOOKUP(Tableau1[[#This Row],[Isin]]&amp;1&amp;2016,#REF!,Tableau3[Capi]),"")</f>
        <v/>
      </c>
      <c r="BD168" s="43" t="str">
        <f>IFERROR(_xlfn.XLOOKUP(Tableau1[[#This Row],[Isin]]&amp;1&amp;2017,#REF!,Tableau3[Capi]),"")</f>
        <v/>
      </c>
      <c r="BE168" s="43" t="str">
        <f>IFERROR(_xlfn.XLOOKUP(Tableau1[[#This Row],[Isin]]&amp;1&amp;2018,#REF!,Tableau3[Capi]),"")</f>
        <v/>
      </c>
      <c r="BF168" s="43" t="str">
        <f>IFERROR(_xlfn.XLOOKUP(Tableau1[[#This Row],[Isin]]&amp;1&amp;2019,#REF!,Tableau3[Capi]),"")</f>
        <v/>
      </c>
      <c r="BG168" s="43" t="str">
        <f>IFERROR(_xlfn.XLOOKUP(Tableau1[[#This Row],[Isin]]&amp;1&amp;2020,#REF!,Tableau3[Capi]),"")</f>
        <v/>
      </c>
      <c r="BH168" s="43">
        <f>IF(IFERROR(_xlfn.XLOOKUP(Tableau1[[#This Row],[Isin]]&amp;1&amp;2021,#REF!,Tableau3[Capi]),"")="",Tableau1[[#This Row],[Capitalisation 2021
Manuel]],IFERROR(_xlfn.XLOOKUP(Tableau1[[#This Row],[Isin]]&amp;1&amp;2021,#REF!,Tableau3[Capi]),""))</f>
        <v>0</v>
      </c>
      <c r="BI168" s="43"/>
      <c r="BJ168" s="43">
        <f>IF(IFERROR(_xlfn.XLOOKUP(Tableau1[[#This Row],[Isin]]&amp;1&amp;2022,#REF!,Tableau3[Capi]),"")="",Tableau1[[#This Row],[Capitalisation 2022
Manuel]],IFERROR(_xlfn.XLOOKUP(Tableau1[[#This Row],[Isin]]&amp;1&amp;2022,#REF!,Tableau3[Capi]),""))</f>
        <v>0</v>
      </c>
      <c r="BK168" s="43"/>
      <c r="BL168" s="43">
        <f ca="1">Tableau1[[#This Row],[Capitalisation boursière]]</f>
        <v>2658652000</v>
      </c>
      <c r="BM168" s="162" t="str" cm="1">
        <f t="array" aca="1" ref="BM168" ca="1">_FV(Tableau1[[#This Row],[Code Excel]],"Description")</f>
        <v>Imerys sa est une société française de minéraux spécialisés qui propose une gamme de solutions personnalisables à de nombreux secteurs, tels que les matériaux de construction, l'énergie mobile, la sidérurgie, l'agroalimentaire, l'automobile et les cosmétiques. La Société opère dans deux secteurs : minéraux de performance. Performance Minerals fournit des additifs pour peintures et revêtements, des composants pour céramiques techniques et conventionnelles, des additifs pour plastiques et polymères, des charges et des revêtements pour papier d'impression et d'écriture, ainsi que des cartons et emballages, des agents de filtration pour aliments liquides et plasma sanguin, du graphite spécialisé pour l'énergie mobile et la précision. La Société est active à l'échelle mondiale. Il soutient un large éventail de secteurs, de la construction et de l'automobile aux biens de consommation. La Société fournit des solutions renommées basées sur le traitement et le raffinage des ressources minérales, des minéraux synthétiques et des formulations.</v>
      </c>
      <c r="BN168" s="43"/>
      <c r="BO168" s="43"/>
      <c r="BP168" s="43"/>
      <c r="BQ168" s="43"/>
      <c r="BR168" s="13"/>
      <c r="BS168" s="13"/>
      <c r="BT168" s="13"/>
      <c r="BU168" s="13"/>
      <c r="BV168" s="13"/>
      <c r="BW168" s="4"/>
      <c r="BX168" s="21"/>
      <c r="BY168" s="13"/>
      <c r="BZ168" s="13"/>
      <c r="CA168" s="13"/>
      <c r="CB168" s="13"/>
      <c r="CC168" s="13"/>
      <c r="CE168" s="47"/>
      <c r="CF168" s="47"/>
    </row>
    <row r="169" spans="3:87">
      <c r="C169" s="43"/>
      <c r="D169" s="42">
        <f>IF(Tableau1[[#This Row],[Isin]]="",99,Tableau1[[#This Row],[Intérêt]]+Tableau1[[#This Row],[Valeur d''intérêt]]+Tableau1[[#This Row],[N° Portefeuille]])</f>
        <v>20</v>
      </c>
      <c r="E169" s="43"/>
      <c r="F169" s="42">
        <f>IF(Tableau1[[#This Row],[Portefeuille]]="p",0,Tableau1[[#This Row],[F. Investissement
Niveau d''intérêt]]*10)</f>
        <v>20</v>
      </c>
      <c r="G169" s="43">
        <f>IF(Tableau1[[#This Row],[Portefeuille]]="p",3,0)</f>
        <v>0</v>
      </c>
      <c r="H169" s="42">
        <v>2</v>
      </c>
      <c r="I169" s="43">
        <v>2</v>
      </c>
      <c r="J169" s="43"/>
      <c r="K169" s="43"/>
      <c r="L169" s="16">
        <v>0</v>
      </c>
      <c r="M16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69" s="44" t="s">
        <v>3880</v>
      </c>
      <c r="O169" s="45"/>
      <c r="P169" s="4" t="s">
        <v>564</v>
      </c>
      <c r="Q169" s="4"/>
      <c r="R169" s="6"/>
      <c r="S169" s="6" t="s">
        <v>2717</v>
      </c>
      <c r="T169" s="6" t="e" vm="154">
        <v>#VALUE!</v>
      </c>
      <c r="U169" s="46" cm="1">
        <f t="array" aca="1" ref="U169" ca="1">IFERROR(_FV(Tableau1[[#This Row],[Code Excel]],"Capitalisation boursière",TRUE),"")</f>
        <v>40653320000</v>
      </c>
      <c r="V169" s="4" t="str" cm="1">
        <f t="array" aca="1" ref="V169" ca="1">IFERROR(_FV(Tableau1[[#This Row],[Code Excel]],"Industrie"),"")</f>
        <v>Semiconductors &amp; Semiconductor Equipment</v>
      </c>
      <c r="W169" s="4" t="s">
        <v>4371</v>
      </c>
      <c r="X169" s="4" t="str">
        <f ca="1">Tableau1[[#This Row],[Grand Secteur]]&amp;Tableau1[[#This Row],[Industrie]]</f>
        <v>Equipement TechnologiqueSemiconductors &amp; Semiconductor Equipment</v>
      </c>
      <c r="Y169" s="23" cm="1">
        <f t="array" aca="1" ref="Y169" ca="1">IFERROR(_FV(Tableau1[[#This Row],[Code Excel]],"P/E",TRUE),"")</f>
        <v>29.88</v>
      </c>
      <c r="Z169" s="43" cm="1">
        <f t="array" aca="1" ref="Z169" ca="1">IFERROR(_FV(Tableau1[[#This Row],[Code Excel]],"Employés"),"")</f>
        <v>58008</v>
      </c>
      <c r="AA169" s="46">
        <f ca="1">IFERROR(Tableau1[[#This Row],[Capitalisation boursière]]/Tableau1[[#This Row],[Employés]],"")</f>
        <v>700822.6451523928</v>
      </c>
      <c r="AB169" s="5" t="str">
        <f>IFERROR(Tableau1[[#This Row],[REX (2021)]]/Tableau1[[#This Row],[CA 2024]],"")</f>
        <v/>
      </c>
      <c r="AC169" s="9" t="str">
        <f>IFERROR(_xlfn.XLOOKUP(Tableau1[[#This Row],[Isin]]&amp;1&amp;2021,#REF!,Tableau3[Résultat d''exploitation]),"")</f>
        <v/>
      </c>
      <c r="AD169" s="9" t="str">
        <f>IFERROR(_xlfn.XLOOKUP(Tableau1[[#This Row],[Isin]]&amp;1&amp;2019,#REF!,Tableau3[Chiffre d''affaires]),"")</f>
        <v/>
      </c>
      <c r="AE169" s="9" t="str">
        <f>IFERROR(_xlfn.XLOOKUP(Tableau1[[#This Row],[Isin]]&amp;1&amp;2024,#REF!,Tableau3[Chiffre d''affaires]),"")</f>
        <v/>
      </c>
      <c r="AF169" s="8" t="str">
        <f>IFERROR(IF((Tableau1[[#This Row],[CA 2024]]-Tableau1[[#This Row],[CA 2019]])/Tableau1[[#This Row],[CA 2019]]=-1,"",(Tableau1[[#This Row],[CA 2024]]-Tableau1[[#This Row],[CA 2019]])/Tableau1[[#This Row],[CA 2019]]),"")</f>
        <v/>
      </c>
      <c r="AG169" s="9" t="str">
        <f>IFERROR(_xlfn.XLOOKUP(Tableau1[[#This Row],[Isin]]&amp;1&amp;2021,#REF!,Tableau3[EBE]),"")</f>
        <v/>
      </c>
      <c r="AH169" s="9" t="str">
        <f>IFERROR(_xlfn.XLOOKUP(Tableau1[[#This Row],[Isin]]&amp;1&amp;2022,#REF!,Tableau3[EBE]),"")</f>
        <v/>
      </c>
      <c r="AI169" s="43" t="s">
        <v>4324</v>
      </c>
      <c r="AJ169" s="43" t="s">
        <v>4348</v>
      </c>
      <c r="AK169" s="43" t="s">
        <v>3149</v>
      </c>
      <c r="AL169" s="43"/>
      <c r="AM169" s="43"/>
      <c r="AN169" s="9" t="str">
        <f>IFERROR(_xlfn.XLOOKUP(Tableau1[[#This Row],[Isin]]&amp;1&amp;2021,#REF!,Tableau3[Chiffre d''affaires]),"")</f>
        <v/>
      </c>
      <c r="AO169" s="43" cm="1">
        <f t="array" aca="1" ref="AO169" ca="1">_FV(Tableau1[[#This Row],[Code Excel]],"P/E",TRUE)</f>
        <v>29.88</v>
      </c>
      <c r="AP169" s="43" t="str">
        <f>IFERROR(_xlfn.XLOOKUP(Tableau1[[#This Row],[Isin]]&amp;1&amp;2023,#REF!,Tableau3[Résultat Net (PdG)]),"")</f>
        <v/>
      </c>
      <c r="AQ169" s="43">
        <f>IF(IFERROR(_xlfn.XLOOKUP(Tableau1[[#This Row],[Isin]]&amp;1&amp;2022,#REF!,Tableau3[Résultat Net (PdG)]),"")="",Tableau1[[#This Row],[RN Groupe 2022
Manuel]],IFERROR(_xlfn.XLOOKUP(Tableau1[[#This Row],[Isin]]&amp;1&amp;2022,#REF!,Tableau3[Résultat Net (PdG)]),""))</f>
        <v>0</v>
      </c>
      <c r="AR169" s="43"/>
      <c r="AS169" s="43">
        <f>IF(IFERROR(_xlfn.XLOOKUP(Tableau1[[#This Row],[Isin]]&amp;1&amp;2021,#REF!,Tableau3[Résultat Net (PdG)]),"")="",Tableau1[[#This Row],[RN Groupe 2021
Manuel]],IFERROR(_xlfn.XLOOKUP(Tableau1[[#This Row],[Isin]]&amp;1&amp;2021,#REF!,Tableau3[Résultat Net (PdG)]),""))</f>
        <v>0</v>
      </c>
      <c r="AT169" s="43"/>
      <c r="AU169" s="43" t="str">
        <f>IFERROR(_xlfn.XLOOKUP(Tableau1[[#This Row],[Isin]]&amp;1&amp;2020,#REF!,Tableau3[Résultat Net (PdG)]),"")</f>
        <v/>
      </c>
      <c r="AV169" s="43" t="str">
        <f>IFERROR(_xlfn.XLOOKUP(Tableau1[[#This Row],[Isin]]&amp;1&amp;2019,#REF!,Tableau3[Résultat Net (PdG)]),"")</f>
        <v/>
      </c>
      <c r="AW169" s="43" t="str">
        <f>IFERROR(_xlfn.XLOOKUP(Tableau1[[#This Row],[Isin]]&amp;1&amp;2018,#REF!,Tableau3[Résultat Net (PdG)]),"")</f>
        <v/>
      </c>
      <c r="AX169" s="43" t="str">
        <f>IFERROR(_xlfn.XLOOKUP(Tableau1[[#This Row],[Isin]]&amp;1&amp;2017,#REF!,Tableau3[Résultat Net (PdG)]),"")</f>
        <v/>
      </c>
      <c r="AY169" s="43" t="str">
        <f>IFERROR(_xlfn.XLOOKUP(Tableau1[[#This Row],[Isin]]&amp;1&amp;2016,#REF!,Tableau3[Résultat Net (PdG)]),"")</f>
        <v/>
      </c>
      <c r="AZ169" s="137" t="str">
        <f ca="1">IFERROR(Tableau1[[#This Row],[Capitalisation boursière]]/Tableau1[[#This Row],[RN Groupe 2023]],"")</f>
        <v/>
      </c>
      <c r="BA169" s="4" t="str" cm="1">
        <f t="array" aca="1" ref="BA169" ca="1">IFERROR(_FV(Tableau1[[#This Row],[Code Excel]],"Industrie"),"")</f>
        <v>Semiconductors &amp; Semiconductor Equipment</v>
      </c>
      <c r="BB169" s="43" t="s">
        <v>3487</v>
      </c>
      <c r="BC169" s="43" t="str">
        <f>IFERROR(_xlfn.XLOOKUP(Tableau1[[#This Row],[Isin]]&amp;1&amp;2016,#REF!,Tableau3[Capi]),"")</f>
        <v/>
      </c>
      <c r="BD169" s="43" t="str">
        <f>IFERROR(_xlfn.XLOOKUP(Tableau1[[#This Row],[Isin]]&amp;1&amp;2017,#REF!,Tableau3[Capi]),"")</f>
        <v/>
      </c>
      <c r="BE169" s="43" t="str">
        <f>IFERROR(_xlfn.XLOOKUP(Tableau1[[#This Row],[Isin]]&amp;1&amp;2018,#REF!,Tableau3[Capi]),"")</f>
        <v/>
      </c>
      <c r="BF169" s="43" t="str">
        <f>IFERROR(_xlfn.XLOOKUP(Tableau1[[#This Row],[Isin]]&amp;1&amp;2019,#REF!,Tableau3[Capi]),"")</f>
        <v/>
      </c>
      <c r="BG169" s="43" t="str">
        <f>IFERROR(_xlfn.XLOOKUP(Tableau1[[#This Row],[Isin]]&amp;1&amp;2020,#REF!,Tableau3[Capi]),"")</f>
        <v/>
      </c>
      <c r="BH169" s="43">
        <f>IF(IFERROR(_xlfn.XLOOKUP(Tableau1[[#This Row],[Isin]]&amp;1&amp;2021,#REF!,Tableau3[Capi]),"")="",Tableau1[[#This Row],[Capitalisation 2021
Manuel]],IFERROR(_xlfn.XLOOKUP(Tableau1[[#This Row],[Isin]]&amp;1&amp;2021,#REF!,Tableau3[Capi]),""))</f>
        <v>0</v>
      </c>
      <c r="BI169" s="43"/>
      <c r="BJ169" s="43">
        <f>IF(IFERROR(_xlfn.XLOOKUP(Tableau1[[#This Row],[Isin]]&amp;1&amp;2022,#REF!,Tableau3[Capi]),"")="",Tableau1[[#This Row],[Capitalisation 2022
Manuel]],IFERROR(_xlfn.XLOOKUP(Tableau1[[#This Row],[Isin]]&amp;1&amp;2022,#REF!,Tableau3[Capi]),""))</f>
        <v>0</v>
      </c>
      <c r="BK169" s="43"/>
      <c r="BL169" s="43">
        <f ca="1">Tableau1[[#This Row],[Capitalisation boursière]]</f>
        <v>40653320000</v>
      </c>
      <c r="BM169" s="162" t="str" cm="1">
        <f t="array" aca="1" ref="BM169" ca="1">_FV(Tableau1[[#This Row],[Code Excel]],"Description")</f>
        <v>Infineon Technologies AG est une société basée en Allemagne. La société est un développeur et fabricant de semi-conducteurs et de solutions de systèmes connexes. La société opère à travers quatre divisions : Automotive, Green Industrial Power, Power &amp; Sensor Systems et Connected Secure Systems. La division Automotive conçoit, développe, fabrique et commercialise des semi-conducteurs pour soutenir les applications automobiles telles que l'électromobilité, la conduite automatisée, la connectivité et la sécurité avancée. La division Industrial Power Control fournit des produits, des solutions et des services pour la production, la transmission, le stockage et l'utilisation de l'énergie. Power &amp; Sensor Systems fournit des semi-conducteurs et des dispositifs d'alimentation et de connectivité tels que des chargeurs, des serveurs, des cartes mères, des outils électriques et des systèmes d'éclairage. Connected Secure Systems fournit des technologies de l'Internet des objets (IoT) telles que l'informatique, la connectivité sans fil et les technologies qui fournissent des connexions sécurisées.</v>
      </c>
      <c r="BN169" s="43"/>
      <c r="BO169" s="43"/>
      <c r="BP169" s="43"/>
      <c r="BQ169" s="43"/>
      <c r="BR169" s="13"/>
      <c r="BS169" s="13"/>
      <c r="BT169" s="13"/>
      <c r="BU169" s="13"/>
      <c r="BV169" s="13"/>
      <c r="BW169" s="4"/>
      <c r="BX169" s="21"/>
      <c r="BY169" s="13"/>
      <c r="BZ169" s="13"/>
      <c r="CA169" s="13"/>
      <c r="CB169" s="13"/>
      <c r="CC169" s="13"/>
      <c r="CE169" s="47"/>
      <c r="CF169" s="59"/>
      <c r="CI169" s="21"/>
    </row>
    <row r="170" spans="3:87">
      <c r="C170" s="42"/>
      <c r="D170" s="42">
        <f>IF(Tableau1[[#This Row],[Isin]]="",99,Tableau1[[#This Row],[Intérêt]]+Tableau1[[#This Row],[Valeur d''intérêt]]+Tableau1[[#This Row],[N° Portefeuille]])</f>
        <v>30</v>
      </c>
      <c r="E170" s="42"/>
      <c r="F170" s="42">
        <f>IF(Tableau1[[#This Row],[Portefeuille]]="p",0,Tableau1[[#This Row],[F. Investissement
Niveau d''intérêt]]*10)</f>
        <v>30</v>
      </c>
      <c r="G170" s="42">
        <f>IF(Tableau1[[#This Row],[Portefeuille]]="p",3,0)</f>
        <v>0</v>
      </c>
      <c r="H170" s="42">
        <v>3</v>
      </c>
      <c r="I170" s="42">
        <v>4</v>
      </c>
      <c r="J170" s="42"/>
      <c r="K170" s="43"/>
      <c r="L170" s="16">
        <v>0</v>
      </c>
      <c r="M17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0" s="44" t="s">
        <v>3882</v>
      </c>
      <c r="O170" s="45"/>
      <c r="P170" s="4" t="s">
        <v>427</v>
      </c>
      <c r="Q170" s="4"/>
      <c r="R170" s="6"/>
      <c r="S170" s="6" t="s">
        <v>3883</v>
      </c>
      <c r="T170" s="6" t="e" vm="155">
        <v>#VALUE!</v>
      </c>
      <c r="U170" s="46" cm="1">
        <f t="array" aca="1" ref="U170" ca="1">IFERROR(_FV(Tableau1[[#This Row],[Code Excel]],"Capitalisation boursière",TRUE),"")</f>
        <v>57597260000</v>
      </c>
      <c r="V170" s="4" t="str" cm="1">
        <f t="array" aca="1" ref="V170" ca="1">IFERROR(_FV(Tableau1[[#This Row],[Code Excel]],"Industrie"),"")</f>
        <v>Banking Services</v>
      </c>
      <c r="W170" s="4" t="s">
        <v>4335</v>
      </c>
      <c r="X170" s="4" t="str">
        <f ca="1">Tableau1[[#This Row],[Grand Secteur]]&amp;Tableau1[[#This Row],[Industrie]]</f>
        <v>FinanceBanking Services</v>
      </c>
      <c r="Y170" s="23" cm="1">
        <f t="array" aca="1" ref="Y170" ca="1">IFERROR(_FV(Tableau1[[#This Row],[Code Excel]],"P/E",TRUE),"")</f>
        <v>9.2490000000000006</v>
      </c>
      <c r="Z170" s="43" cm="1">
        <f t="array" aca="1" ref="Z170" ca="1">IFERROR(_FV(Tableau1[[#This Row],[Code Excel]],"Employés"),"")</f>
        <v>60000</v>
      </c>
      <c r="AA170" s="49">
        <f ca="1">IFERROR(Tableau1[[#This Row],[Capitalisation boursière]]/Tableau1[[#This Row],[Employés]],"")</f>
        <v>959954.33333333337</v>
      </c>
      <c r="AB170" s="5" t="str">
        <f>IFERROR(Tableau1[[#This Row],[REX (2021)]]/Tableau1[[#This Row],[CA 2024]],"")</f>
        <v/>
      </c>
      <c r="AC170" s="9" t="str">
        <f>IFERROR(_xlfn.XLOOKUP(Tableau1[[#This Row],[Isin]]&amp;1&amp;2021,#REF!,Tableau3[Résultat d''exploitation]),"")</f>
        <v/>
      </c>
      <c r="AD170" s="9" t="str">
        <f>IFERROR(_xlfn.XLOOKUP(Tableau1[[#This Row],[Isin]]&amp;1&amp;2019,#REF!,Tableau3[Chiffre d''affaires]),"")</f>
        <v/>
      </c>
      <c r="AE170" s="9" t="str">
        <f>IFERROR(_xlfn.XLOOKUP(Tableau1[[#This Row],[Isin]]&amp;1&amp;2024,#REF!,Tableau3[Chiffre d''affaires]),"")</f>
        <v/>
      </c>
      <c r="AF170" s="8" t="str">
        <f>IFERROR(IF((Tableau1[[#This Row],[CA 2024]]-Tableau1[[#This Row],[CA 2019]])/Tableau1[[#This Row],[CA 2019]]=-1,"",(Tableau1[[#This Row],[CA 2024]]-Tableau1[[#This Row],[CA 2019]])/Tableau1[[#This Row],[CA 2019]]),"")</f>
        <v/>
      </c>
      <c r="AG170" s="9" t="str">
        <f>IFERROR(_xlfn.XLOOKUP(Tableau1[[#This Row],[Isin]]&amp;1&amp;2021,#REF!,Tableau3[EBE]),"")</f>
        <v/>
      </c>
      <c r="AH170" s="9" t="str">
        <f>IFERROR(_xlfn.XLOOKUP(Tableau1[[#This Row],[Isin]]&amp;1&amp;2022,#REF!,Tableau3[EBE]),"")</f>
        <v/>
      </c>
      <c r="AI170" s="43" t="s">
        <v>4343</v>
      </c>
      <c r="AJ170" s="43" t="s">
        <v>3150</v>
      </c>
      <c r="AK170" s="43" t="s">
        <v>3148</v>
      </c>
      <c r="AL170" s="43"/>
      <c r="AM170" s="43"/>
      <c r="AN170" s="9" t="str">
        <f>IFERROR(_xlfn.XLOOKUP(Tableau1[[#This Row],[Isin]]&amp;1&amp;2021,#REF!,Tableau3[Chiffre d''affaires]),"")</f>
        <v/>
      </c>
      <c r="AO170" s="43" cm="1">
        <f t="array" aca="1" ref="AO170" ca="1">_FV(Tableau1[[#This Row],[Code Excel]],"P/E",TRUE)</f>
        <v>9.2490000000000006</v>
      </c>
      <c r="AP170" s="43" t="str">
        <f>IFERROR(_xlfn.XLOOKUP(Tableau1[[#This Row],[Isin]]&amp;1&amp;2023,#REF!,Tableau3[Résultat Net (PdG)]),"")</f>
        <v/>
      </c>
      <c r="AQ170" s="43">
        <f>IF(IFERROR(_xlfn.XLOOKUP(Tableau1[[#This Row],[Isin]]&amp;1&amp;2022,#REF!,Tableau3[Résultat Net (PdG)]),"")="",Tableau1[[#This Row],[RN Groupe 2022
Manuel]],IFERROR(_xlfn.XLOOKUP(Tableau1[[#This Row],[Isin]]&amp;1&amp;2022,#REF!,Tableau3[Résultat Net (PdG)]),""))</f>
        <v>0</v>
      </c>
      <c r="AR170" s="43"/>
      <c r="AS170" s="43">
        <f>IF(IFERROR(_xlfn.XLOOKUP(Tableau1[[#This Row],[Isin]]&amp;1&amp;2021,#REF!,Tableau3[Résultat Net (PdG)]),"")="",Tableau1[[#This Row],[RN Groupe 2021
Manuel]],IFERROR(_xlfn.XLOOKUP(Tableau1[[#This Row],[Isin]]&amp;1&amp;2021,#REF!,Tableau3[Résultat Net (PdG)]),""))</f>
        <v>0</v>
      </c>
      <c r="AT170" s="43"/>
      <c r="AU170" s="43" t="str">
        <f>IFERROR(_xlfn.XLOOKUP(Tableau1[[#This Row],[Isin]]&amp;1&amp;2020,#REF!,Tableau3[Résultat Net (PdG)]),"")</f>
        <v/>
      </c>
      <c r="AV170" s="43" t="str">
        <f>IFERROR(_xlfn.XLOOKUP(Tableau1[[#This Row],[Isin]]&amp;1&amp;2019,#REF!,Tableau3[Résultat Net (PdG)]),"")</f>
        <v/>
      </c>
      <c r="AW170" s="43" t="str">
        <f>IFERROR(_xlfn.XLOOKUP(Tableau1[[#This Row],[Isin]]&amp;1&amp;2018,#REF!,Tableau3[Résultat Net (PdG)]),"")</f>
        <v/>
      </c>
      <c r="AX170" s="43" t="str">
        <f>IFERROR(_xlfn.XLOOKUP(Tableau1[[#This Row],[Isin]]&amp;1&amp;2017,#REF!,Tableau3[Résultat Net (PdG)]),"")</f>
        <v/>
      </c>
      <c r="AY170" s="43" t="str">
        <f>IFERROR(_xlfn.XLOOKUP(Tableau1[[#This Row],[Isin]]&amp;1&amp;2016,#REF!,Tableau3[Résultat Net (PdG)]),"")</f>
        <v/>
      </c>
      <c r="AZ170" s="137" t="str">
        <f ca="1">IFERROR(Tableau1[[#This Row],[Capitalisation boursière]]/Tableau1[[#This Row],[RN Groupe 2023]],"")</f>
        <v/>
      </c>
      <c r="BA170" s="4" t="str" cm="1">
        <f t="array" aca="1" ref="BA170" ca="1">IFERROR(_FV(Tableau1[[#This Row],[Code Excel]],"Industrie"),"")</f>
        <v>Banking Services</v>
      </c>
      <c r="BB170" s="43" t="s">
        <v>3496</v>
      </c>
      <c r="BC170" s="43" t="str">
        <f>IFERROR(_xlfn.XLOOKUP(Tableau1[[#This Row],[Isin]]&amp;1&amp;2016,#REF!,Tableau3[Capi]),"")</f>
        <v/>
      </c>
      <c r="BD170" s="43" t="str">
        <f>IFERROR(_xlfn.XLOOKUP(Tableau1[[#This Row],[Isin]]&amp;1&amp;2017,#REF!,Tableau3[Capi]),"")</f>
        <v/>
      </c>
      <c r="BE170" s="43" t="str">
        <f>IFERROR(_xlfn.XLOOKUP(Tableau1[[#This Row],[Isin]]&amp;1&amp;2018,#REF!,Tableau3[Capi]),"")</f>
        <v/>
      </c>
      <c r="BF170" s="43" t="str">
        <f>IFERROR(_xlfn.XLOOKUP(Tableau1[[#This Row],[Isin]]&amp;1&amp;2019,#REF!,Tableau3[Capi]),"")</f>
        <v/>
      </c>
      <c r="BG170" s="43" t="str">
        <f>IFERROR(_xlfn.XLOOKUP(Tableau1[[#This Row],[Isin]]&amp;1&amp;2020,#REF!,Tableau3[Capi]),"")</f>
        <v/>
      </c>
      <c r="BH170" s="43">
        <f>IF(IFERROR(_xlfn.XLOOKUP(Tableau1[[#This Row],[Isin]]&amp;1&amp;2021,#REF!,Tableau3[Capi]),"")="",Tableau1[[#This Row],[Capitalisation 2021
Manuel]],IFERROR(_xlfn.XLOOKUP(Tableau1[[#This Row],[Isin]]&amp;1&amp;2021,#REF!,Tableau3[Capi]),""))</f>
        <v>0</v>
      </c>
      <c r="BI170" s="43"/>
      <c r="BJ170" s="43">
        <f>IF(IFERROR(_xlfn.XLOOKUP(Tableau1[[#This Row],[Isin]]&amp;1&amp;2022,#REF!,Tableau3[Capi]),"")="",Tableau1[[#This Row],[Capitalisation 2022
Manuel]],IFERROR(_xlfn.XLOOKUP(Tableau1[[#This Row],[Isin]]&amp;1&amp;2022,#REF!,Tableau3[Capi]),""))</f>
        <v>0</v>
      </c>
      <c r="BK170" s="43"/>
      <c r="BL170" s="43">
        <f ca="1">Tableau1[[#This Row],[Capitalisation boursière]]</f>
        <v>57597260000</v>
      </c>
      <c r="BM170" s="162" t="str" cm="1">
        <f t="array" aca="1" ref="BM170" ca="1">_FV(Tableau1[[#This Row],[Code Excel]],"Description")</f>
        <v>ING Groep NV (ING) est une institution financière. La société offre des services bancaires. Les segments de la société comprennent Retail Netherlands, qui offre des comptes courants et d'épargne, des prêts aux entreprises, des prêts hypothécaires et d'autres prêts aux consommateurs aux Pays-Bas; Retail Belgique, qui offre des produits similaires à ceux des Pays-Bas; Retail Germany, qui offre des comptes courants et d'épargne, des prêts hypothécaires et d'autres prêts à la clientèle; Retail Other, qui offre des produits similaires à ceux des Pays-Bas, et Wholesale Banking, qui offre des activités de banque de gros (une gamme complète de produits de la gestion de trésorerie au financement d'entreprise), immobilier et bail. Les métiers de la Banque de détail de la société fournissent des produits et des services aux particuliers, aux petites et moyennes entreprises (PME) et aux entreprises moyennes. Les activités bancaires d'ING en Australie sont entreprises par ING Bank (Australia) Limited (trading ING Direct) et ING Bank NV Sydney Branch.</v>
      </c>
      <c r="BN170" s="43"/>
      <c r="BO170" s="43"/>
      <c r="BP170" s="43"/>
      <c r="BQ170" s="43"/>
      <c r="BR170" s="13"/>
      <c r="BS170" s="13"/>
      <c r="BT170" s="13"/>
      <c r="BU170" s="13"/>
      <c r="BV170" s="13"/>
      <c r="BW170" s="4"/>
      <c r="BX170" s="21"/>
      <c r="BY170" s="13"/>
      <c r="BZ170" s="13"/>
      <c r="CA170" s="13"/>
      <c r="CB170" s="13"/>
      <c r="CC170" s="13"/>
      <c r="CD170" s="3"/>
      <c r="CE170" s="47"/>
      <c r="CF170" s="47"/>
    </row>
    <row r="171" spans="3:87">
      <c r="C171" s="43"/>
      <c r="D171" s="42">
        <f>IF(Tableau1[[#This Row],[Isin]]="",99,Tableau1[[#This Row],[Intérêt]]+Tableau1[[#This Row],[Valeur d''intérêt]]+Tableau1[[#This Row],[N° Portefeuille]])</f>
        <v>30</v>
      </c>
      <c r="E171" s="43"/>
      <c r="F171" s="42">
        <f>IF(Tableau1[[#This Row],[Portefeuille]]="p",0,Tableau1[[#This Row],[F. Investissement
Niveau d''intérêt]]*10)</f>
        <v>30</v>
      </c>
      <c r="G171" s="43">
        <f>IF(Tableau1[[#This Row],[Portefeuille]]="p",3,0)</f>
        <v>0</v>
      </c>
      <c r="H171" s="42">
        <v>3</v>
      </c>
      <c r="I171" s="43">
        <v>4</v>
      </c>
      <c r="J171" s="43"/>
      <c r="K171" s="43"/>
      <c r="L171" s="16">
        <v>1</v>
      </c>
      <c r="M17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1" s="44" t="s">
        <v>713</v>
      </c>
      <c r="O171" s="44" t="s">
        <v>4400</v>
      </c>
      <c r="P171" s="4" t="s">
        <v>84</v>
      </c>
      <c r="Q171" s="6" t="s">
        <v>85</v>
      </c>
      <c r="R171" s="6" t="s">
        <v>4361</v>
      </c>
      <c r="S171" s="6" t="s">
        <v>819</v>
      </c>
      <c r="T171" s="6"/>
      <c r="U171" s="4" t="str" cm="1">
        <f t="array" ref="U171">IFERROR(_FV(Tableau1[[#This Row],[Code Excel]],"Capitalisation boursière",TRUE),"")</f>
        <v/>
      </c>
      <c r="V171" s="4" t="str" cm="1">
        <f t="array" ref="V171">IFERROR(_FV(Tableau1[[#This Row],[Code Excel]],"Industrie"),"")</f>
        <v/>
      </c>
      <c r="W171" s="4"/>
      <c r="X171" s="4" t="str">
        <f>Tableau1[[#This Row],[Grand Secteur]]&amp;Tableau1[[#This Row],[Industrie]]</f>
        <v/>
      </c>
      <c r="Y171" s="23" t="str" cm="1">
        <f t="array" ref="Y171">IFERROR(_FV(Tableau1[[#This Row],[Code Excel]],"P/E",TRUE),"")</f>
        <v/>
      </c>
      <c r="Z171" s="43" t="str" cm="1">
        <f t="array" ref="Z171">IFERROR(_FV(Tableau1[[#This Row],[Code Excel]],"Employés"),"")</f>
        <v/>
      </c>
      <c r="AA171" s="49" t="str">
        <f>IFERROR(Tableau1[[#This Row],[Capitalisation boursière]]/Tableau1[[#This Row],[Employés]],"")</f>
        <v/>
      </c>
      <c r="AB171" s="5" t="str">
        <f>IFERROR(Tableau1[[#This Row],[REX (2021)]]/Tableau1[[#This Row],[CA 2024]],"")</f>
        <v/>
      </c>
      <c r="AC171" s="9" t="str">
        <f>IFERROR(_xlfn.XLOOKUP(Tableau1[[#This Row],[Isin]]&amp;1&amp;2021,#REF!,Tableau3[Résultat d''exploitation]),"")</f>
        <v/>
      </c>
      <c r="AD171" s="9" t="str">
        <f>IFERROR(_xlfn.XLOOKUP(Tableau1[[#This Row],[Isin]]&amp;1&amp;2019,#REF!,Tableau3[Chiffre d''affaires]),"")</f>
        <v/>
      </c>
      <c r="AE171" s="9" t="str">
        <f>IFERROR(_xlfn.XLOOKUP(Tableau1[[#This Row],[Isin]]&amp;1&amp;2024,#REF!,Tableau3[Chiffre d''affaires]),"")</f>
        <v/>
      </c>
      <c r="AF171" s="8" t="str">
        <f>IFERROR(IF((Tableau1[[#This Row],[CA 2024]]-Tableau1[[#This Row],[CA 2019]])/Tableau1[[#This Row],[CA 2019]]=-1,"",(Tableau1[[#This Row],[CA 2024]]-Tableau1[[#This Row],[CA 2019]])/Tableau1[[#This Row],[CA 2019]]),"")</f>
        <v/>
      </c>
      <c r="AG171" s="9" t="str">
        <f>IFERROR(_xlfn.XLOOKUP(Tableau1[[#This Row],[Isin]]&amp;1&amp;2021,#REF!,Tableau3[EBE]),"")</f>
        <v/>
      </c>
      <c r="AH171" s="9" t="str">
        <f>IFERROR(_xlfn.XLOOKUP(Tableau1[[#This Row],[Isin]]&amp;1&amp;2022,#REF!,Tableau3[EBE]),"")</f>
        <v/>
      </c>
      <c r="AI171" s="43"/>
      <c r="AJ171" s="43"/>
      <c r="AK171" s="43"/>
      <c r="AL171" s="43"/>
      <c r="AM171" s="43"/>
      <c r="AN171" s="9" t="str">
        <f>IFERROR(_xlfn.XLOOKUP(Tableau1[[#This Row],[Isin]]&amp;1&amp;2021,#REF!,Tableau3[Chiffre d''affaires]),"")</f>
        <v/>
      </c>
      <c r="AO171" s="43" t="e" cm="1" vm="1">
        <f t="array" ref="AO171">_FV(Tableau1[[#This Row],[Code Excel]],"P/E",TRUE)</f>
        <v>#VALUE!</v>
      </c>
      <c r="AP171" s="43" t="str">
        <f>IFERROR(_xlfn.XLOOKUP(Tableau1[[#This Row],[Isin]]&amp;1&amp;2023,#REF!,Tableau3[Résultat Net (PdG)]),"")</f>
        <v/>
      </c>
      <c r="AQ171" s="43">
        <f>IF(IFERROR(_xlfn.XLOOKUP(Tableau1[[#This Row],[Isin]]&amp;1&amp;2022,#REF!,Tableau3[Résultat Net (PdG)]),"")="",Tableau1[[#This Row],[RN Groupe 2022
Manuel]],IFERROR(_xlfn.XLOOKUP(Tableau1[[#This Row],[Isin]]&amp;1&amp;2022,#REF!,Tableau3[Résultat Net (PdG)]),""))</f>
        <v>0</v>
      </c>
      <c r="AR171" s="43"/>
      <c r="AS171" s="43">
        <f>IF(IFERROR(_xlfn.XLOOKUP(Tableau1[[#This Row],[Isin]]&amp;1&amp;2021,#REF!,Tableau3[Résultat Net (PdG)]),"")="",Tableau1[[#This Row],[RN Groupe 2021
Manuel]],IFERROR(_xlfn.XLOOKUP(Tableau1[[#This Row],[Isin]]&amp;1&amp;2021,#REF!,Tableau3[Résultat Net (PdG)]),""))</f>
        <v>0</v>
      </c>
      <c r="AT171" s="43"/>
      <c r="AU171" s="43" t="str">
        <f>IFERROR(_xlfn.XLOOKUP(Tableau1[[#This Row],[Isin]]&amp;1&amp;2020,#REF!,Tableau3[Résultat Net (PdG)]),"")</f>
        <v/>
      </c>
      <c r="AV171" s="43" t="str">
        <f>IFERROR(_xlfn.XLOOKUP(Tableau1[[#This Row],[Isin]]&amp;1&amp;2019,#REF!,Tableau3[Résultat Net (PdG)]),"")</f>
        <v/>
      </c>
      <c r="AW171" s="43" t="str">
        <f>IFERROR(_xlfn.XLOOKUP(Tableau1[[#This Row],[Isin]]&amp;1&amp;2018,#REF!,Tableau3[Résultat Net (PdG)]),"")</f>
        <v/>
      </c>
      <c r="AX171" s="43" t="str">
        <f>IFERROR(_xlfn.XLOOKUP(Tableau1[[#This Row],[Isin]]&amp;1&amp;2017,#REF!,Tableau3[Résultat Net (PdG)]),"")</f>
        <v/>
      </c>
      <c r="AY171" s="43" t="str">
        <f>IFERROR(_xlfn.XLOOKUP(Tableau1[[#This Row],[Isin]]&amp;1&amp;2016,#REF!,Tableau3[Résultat Net (PdG)]),"")</f>
        <v/>
      </c>
      <c r="AZ171" s="137" t="str">
        <f>IFERROR(Tableau1[[#This Row],[Capitalisation boursière]]/Tableau1[[#This Row],[RN Groupe 2023]],"")</f>
        <v/>
      </c>
      <c r="BA171" s="4" t="str" cm="1">
        <f t="array" ref="BA171">IFERROR(_FV(Tableau1[[#This Row],[Code Excel]],"Industrie"),"")</f>
        <v/>
      </c>
      <c r="BB171" s="43" t="e">
        <v>#N/A</v>
      </c>
      <c r="BC171" s="43" t="str">
        <f>IFERROR(_xlfn.XLOOKUP(Tableau1[[#This Row],[Isin]]&amp;1&amp;2016,#REF!,Tableau3[Capi]),"")</f>
        <v/>
      </c>
      <c r="BD171" s="43" t="str">
        <f>IFERROR(_xlfn.XLOOKUP(Tableau1[[#This Row],[Isin]]&amp;1&amp;2017,#REF!,Tableau3[Capi]),"")</f>
        <v/>
      </c>
      <c r="BE171" s="43" t="str">
        <f>IFERROR(_xlfn.XLOOKUP(Tableau1[[#This Row],[Isin]]&amp;1&amp;2018,#REF!,Tableau3[Capi]),"")</f>
        <v/>
      </c>
      <c r="BF171" s="43" t="str">
        <f>IFERROR(_xlfn.XLOOKUP(Tableau1[[#This Row],[Isin]]&amp;1&amp;2019,#REF!,Tableau3[Capi]),"")</f>
        <v/>
      </c>
      <c r="BG171" s="43" t="str">
        <f>IFERROR(_xlfn.XLOOKUP(Tableau1[[#This Row],[Isin]]&amp;1&amp;2020,#REF!,Tableau3[Capi]),"")</f>
        <v/>
      </c>
      <c r="BH171" s="43">
        <f>IF(IFERROR(_xlfn.XLOOKUP(Tableau1[[#This Row],[Isin]]&amp;1&amp;2021,#REF!,Tableau3[Capi]),"")="",Tableau1[[#This Row],[Capitalisation 2021
Manuel]],IFERROR(_xlfn.XLOOKUP(Tableau1[[#This Row],[Isin]]&amp;1&amp;2021,#REF!,Tableau3[Capi]),""))</f>
        <v>0</v>
      </c>
      <c r="BI171" s="43"/>
      <c r="BJ171" s="43">
        <f>IF(IFERROR(_xlfn.XLOOKUP(Tableau1[[#This Row],[Isin]]&amp;1&amp;2022,#REF!,Tableau3[Capi]),"")="",Tableau1[[#This Row],[Capitalisation 2022
Manuel]],IFERROR(_xlfn.XLOOKUP(Tableau1[[#This Row],[Isin]]&amp;1&amp;2022,#REF!,Tableau3[Capi]),""))</f>
        <v>0</v>
      </c>
      <c r="BK171" s="43"/>
      <c r="BL171" s="43" t="str">
        <f>Tableau1[[#This Row],[Capitalisation boursière]]</f>
        <v/>
      </c>
      <c r="BM171" s="162" t="e" cm="1" vm="2">
        <f t="array" ref="BM171">_FV(Tableau1[[#This Row],[Code Excel]],"Description")</f>
        <v>#VALUE!</v>
      </c>
      <c r="BN171" s="43"/>
      <c r="BO171" s="43"/>
      <c r="BP171" s="43"/>
      <c r="BQ171" s="43"/>
      <c r="BR171" s="13"/>
      <c r="BS171" s="13"/>
      <c r="BT171" s="13"/>
      <c r="BU171" s="13"/>
      <c r="BV171" s="13"/>
      <c r="BW171" s="4"/>
      <c r="BX171" s="21"/>
      <c r="BY171" s="13"/>
      <c r="BZ171" s="13"/>
      <c r="CA171" s="13"/>
      <c r="CB171" s="13"/>
      <c r="CC171" s="13"/>
      <c r="CD171" s="3"/>
      <c r="CE171" s="47"/>
      <c r="CF171" s="47"/>
    </row>
    <row r="172" spans="3:87">
      <c r="C172" s="42"/>
      <c r="D172" s="42">
        <f>IF(Tableau1[[#This Row],[Isin]]="",99,Tableau1[[#This Row],[Intérêt]]+Tableau1[[#This Row],[Valeur d''intérêt]]+Tableau1[[#This Row],[N° Portefeuille]])</f>
        <v>30</v>
      </c>
      <c r="E172" s="42"/>
      <c r="F172" s="42">
        <f>IF(Tableau1[[#This Row],[Portefeuille]]="p",0,Tableau1[[#This Row],[F. Investissement
Niveau d''intérêt]]*10)</f>
        <v>30</v>
      </c>
      <c r="G172" s="42">
        <f>IF(Tableau1[[#This Row],[Portefeuille]]="p",3,0)</f>
        <v>0</v>
      </c>
      <c r="H172" s="42">
        <v>3</v>
      </c>
      <c r="I172" s="42">
        <v>4</v>
      </c>
      <c r="J172" s="42"/>
      <c r="K172" s="43"/>
      <c r="L172" s="16">
        <v>0</v>
      </c>
      <c r="M17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2" s="44" t="s">
        <v>3885</v>
      </c>
      <c r="O172" s="45"/>
      <c r="P172" s="4" t="s">
        <v>382</v>
      </c>
      <c r="Q172" s="4"/>
      <c r="R172" s="6"/>
      <c r="S172" s="6" t="s">
        <v>3886</v>
      </c>
      <c r="T172" s="6" t="e" vm="156">
        <v>#VALUE!</v>
      </c>
      <c r="U172" s="46" cm="1">
        <f t="array" aca="1" ref="U172" ca="1">IFERROR(_FV(Tableau1[[#This Row],[Code Excel]],"Capitalisation boursière",TRUE),"")</f>
        <v>97023172000</v>
      </c>
      <c r="V172" s="4" t="str" cm="1">
        <f t="array" aca="1" ref="V172" ca="1">IFERROR(_FV(Tableau1[[#This Row],[Code Excel]],"Industrie"),"")</f>
        <v>Semiconductors &amp; Semiconductor Equipment</v>
      </c>
      <c r="W172" s="4" t="s">
        <v>4371</v>
      </c>
      <c r="X172" s="4" t="str">
        <f ca="1">Tableau1[[#This Row],[Grand Secteur]]&amp;Tableau1[[#This Row],[Industrie]]</f>
        <v>Equipement TechnologiqueSemiconductors &amp; Semiconductor Equipment</v>
      </c>
      <c r="Y172" s="23" cm="1">
        <f t="array" aca="1" ref="Y172" ca="1">IFERROR(_FV(Tableau1[[#This Row],[Code Excel]],"P/E",TRUE),"")</f>
        <v>0</v>
      </c>
      <c r="Z172" s="43" cm="1">
        <f t="array" aca="1" ref="Z172" ca="1">IFERROR(_FV(Tableau1[[#This Row],[Code Excel]],"Employés"),"")</f>
        <v>108900</v>
      </c>
      <c r="AA172" s="46">
        <f ca="1">IFERROR(Tableau1[[#This Row],[Capitalisation boursière]]/Tableau1[[#This Row],[Employés]],"")</f>
        <v>890938.21854912769</v>
      </c>
      <c r="AB172" s="5" t="str">
        <f>IFERROR(Tableau1[[#This Row],[REX (2021)]]/Tableau1[[#This Row],[CA 2024]],"")</f>
        <v/>
      </c>
      <c r="AC172" s="9" t="str">
        <f>IFERROR(_xlfn.XLOOKUP(Tableau1[[#This Row],[Isin]]&amp;1&amp;2021,#REF!,Tableau3[Résultat d''exploitation]),"")</f>
        <v/>
      </c>
      <c r="AD172" s="9" t="str">
        <f>IFERROR(_xlfn.XLOOKUP(Tableau1[[#This Row],[Isin]]&amp;1&amp;2019,#REF!,Tableau3[Chiffre d''affaires]),"")</f>
        <v/>
      </c>
      <c r="AE172" s="9" t="str">
        <f>IFERROR(_xlfn.XLOOKUP(Tableau1[[#This Row],[Isin]]&amp;1&amp;2024,#REF!,Tableau3[Chiffre d''affaires]),"")</f>
        <v/>
      </c>
      <c r="AF172" s="8" t="str">
        <f>IFERROR(IF((Tableau1[[#This Row],[CA 2024]]-Tableau1[[#This Row],[CA 2019]])/Tableau1[[#This Row],[CA 2019]]=-1,"",(Tableau1[[#This Row],[CA 2024]]-Tableau1[[#This Row],[CA 2019]])/Tableau1[[#This Row],[CA 2019]]),"")</f>
        <v/>
      </c>
      <c r="AG172" s="9" t="str">
        <f>IFERROR(_xlfn.XLOOKUP(Tableau1[[#This Row],[Isin]]&amp;1&amp;2021,#REF!,Tableau3[EBE]),"")</f>
        <v/>
      </c>
      <c r="AH172" s="9" t="str">
        <f>IFERROR(_xlfn.XLOOKUP(Tableau1[[#This Row],[Isin]]&amp;1&amp;2022,#REF!,Tableau3[EBE]),"")</f>
        <v/>
      </c>
      <c r="AI172" s="43" t="s">
        <v>4324</v>
      </c>
      <c r="AJ172" s="43" t="s">
        <v>4348</v>
      </c>
      <c r="AK172" s="43" t="s">
        <v>3149</v>
      </c>
      <c r="AL172" s="43"/>
      <c r="AM172" s="43"/>
      <c r="AN172" s="9" t="str">
        <f>IFERROR(_xlfn.XLOOKUP(Tableau1[[#This Row],[Isin]]&amp;1&amp;2021,#REF!,Tableau3[Chiffre d''affaires]),"")</f>
        <v/>
      </c>
      <c r="AO172" s="43" cm="1">
        <f t="array" aca="1" ref="AO172" ca="1">_FV(Tableau1[[#This Row],[Code Excel]],"P/E",TRUE)</f>
        <v>0</v>
      </c>
      <c r="AP172" s="43" t="str">
        <f>IFERROR(_xlfn.XLOOKUP(Tableau1[[#This Row],[Isin]]&amp;1&amp;2023,#REF!,Tableau3[Résultat Net (PdG)]),"")</f>
        <v/>
      </c>
      <c r="AQ172" s="43">
        <f>IF(IFERROR(_xlfn.XLOOKUP(Tableau1[[#This Row],[Isin]]&amp;1&amp;2022,#REF!,Tableau3[Résultat Net (PdG)]),"")="",Tableau1[[#This Row],[RN Groupe 2022
Manuel]],IFERROR(_xlfn.XLOOKUP(Tableau1[[#This Row],[Isin]]&amp;1&amp;2022,#REF!,Tableau3[Résultat Net (PdG)]),""))</f>
        <v>0</v>
      </c>
      <c r="AR172" s="43"/>
      <c r="AS172" s="43">
        <f>IF(IFERROR(_xlfn.XLOOKUP(Tableau1[[#This Row],[Isin]]&amp;1&amp;2021,#REF!,Tableau3[Résultat Net (PdG)]),"")="",Tableau1[[#This Row],[RN Groupe 2021
Manuel]],IFERROR(_xlfn.XLOOKUP(Tableau1[[#This Row],[Isin]]&amp;1&amp;2021,#REF!,Tableau3[Résultat Net (PdG)]),""))</f>
        <v>0</v>
      </c>
      <c r="AT172" s="43"/>
      <c r="AU172" s="43" t="str">
        <f>IFERROR(_xlfn.XLOOKUP(Tableau1[[#This Row],[Isin]]&amp;1&amp;2020,#REF!,Tableau3[Résultat Net (PdG)]),"")</f>
        <v/>
      </c>
      <c r="AV172" s="43" t="str">
        <f>IFERROR(_xlfn.XLOOKUP(Tableau1[[#This Row],[Isin]]&amp;1&amp;2019,#REF!,Tableau3[Résultat Net (PdG)]),"")</f>
        <v/>
      </c>
      <c r="AW172" s="43" t="str">
        <f>IFERROR(_xlfn.XLOOKUP(Tableau1[[#This Row],[Isin]]&amp;1&amp;2018,#REF!,Tableau3[Résultat Net (PdG)]),"")</f>
        <v/>
      </c>
      <c r="AX172" s="43" t="str">
        <f>IFERROR(_xlfn.XLOOKUP(Tableau1[[#This Row],[Isin]]&amp;1&amp;2017,#REF!,Tableau3[Résultat Net (PdG)]),"")</f>
        <v/>
      </c>
      <c r="AY172" s="43" t="str">
        <f>IFERROR(_xlfn.XLOOKUP(Tableau1[[#This Row],[Isin]]&amp;1&amp;2016,#REF!,Tableau3[Résultat Net (PdG)]),"")</f>
        <v/>
      </c>
      <c r="AZ172" s="137" t="str">
        <f ca="1">IFERROR(Tableau1[[#This Row],[Capitalisation boursière]]/Tableau1[[#This Row],[RN Groupe 2023]],"")</f>
        <v/>
      </c>
      <c r="BA172" s="4" t="str" cm="1">
        <f t="array" aca="1" ref="BA172" ca="1">IFERROR(_FV(Tableau1[[#This Row],[Code Excel]],"Industrie"),"")</f>
        <v>Semiconductors &amp; Semiconductor Equipment</v>
      </c>
      <c r="BB172" s="43" t="s">
        <v>3491</v>
      </c>
      <c r="BC172" s="43" t="str">
        <f>IFERROR(_xlfn.XLOOKUP(Tableau1[[#This Row],[Isin]]&amp;1&amp;2016,#REF!,Tableau3[Capi]),"")</f>
        <v/>
      </c>
      <c r="BD172" s="43" t="str">
        <f>IFERROR(_xlfn.XLOOKUP(Tableau1[[#This Row],[Isin]]&amp;1&amp;2017,#REF!,Tableau3[Capi]),"")</f>
        <v/>
      </c>
      <c r="BE172" s="43" t="str">
        <f>IFERROR(_xlfn.XLOOKUP(Tableau1[[#This Row],[Isin]]&amp;1&amp;2018,#REF!,Tableau3[Capi]),"")</f>
        <v/>
      </c>
      <c r="BF172" s="43" t="str">
        <f>IFERROR(_xlfn.XLOOKUP(Tableau1[[#This Row],[Isin]]&amp;1&amp;2019,#REF!,Tableau3[Capi]),"")</f>
        <v/>
      </c>
      <c r="BG172" s="43" t="str">
        <f>IFERROR(_xlfn.XLOOKUP(Tableau1[[#This Row],[Isin]]&amp;1&amp;2020,#REF!,Tableau3[Capi]),"")</f>
        <v/>
      </c>
      <c r="BH172" s="43">
        <f>IF(IFERROR(_xlfn.XLOOKUP(Tableau1[[#This Row],[Isin]]&amp;1&amp;2021,#REF!,Tableau3[Capi]),"")="",Tableau1[[#This Row],[Capitalisation 2021
Manuel]],IFERROR(_xlfn.XLOOKUP(Tableau1[[#This Row],[Isin]]&amp;1&amp;2021,#REF!,Tableau3[Capi]),""))</f>
        <v>0</v>
      </c>
      <c r="BI172" s="43"/>
      <c r="BJ172" s="43">
        <f>IF(IFERROR(_xlfn.XLOOKUP(Tableau1[[#This Row],[Isin]]&amp;1&amp;2022,#REF!,Tableau3[Capi]),"")="",Tableau1[[#This Row],[Capitalisation 2022
Manuel]],IFERROR(_xlfn.XLOOKUP(Tableau1[[#This Row],[Isin]]&amp;1&amp;2022,#REF!,Tableau3[Capi]),""))</f>
        <v>0</v>
      </c>
      <c r="BK172" s="43"/>
      <c r="BL172" s="43">
        <f ca="1">Tableau1[[#This Row],[Capitalisation boursière]]</f>
        <v>97023172000</v>
      </c>
      <c r="BM172" s="162" t="str" cm="1">
        <f t="array" aca="1" ref="BM172" ca="1">_FV(Tableau1[[#This Row],[Code Excel]],"Description")</f>
        <v>Intel Corporation conçoit et fabrique des produits et des technologies. Les segments de la société comprennent Client Computing Group (CCG), Data Center and ai (DCAI), Network and Edge (NEX), Mobileye, Accelerated Computing Systems and Graphics (AXG) et Intel Foundry services (IFS). Le segment CCG se concentre sur le système d'exploitation à long terme, l'architecture système, le matériel et l'intégration d'applications qui permettent des expériences PC. Son segment DCAI offre des solutions optimisées pour la charge de travail aux fournisseurs de services cloud et aux entreprises clientes, ainsi que des périphériques silicium pour les fournisseurs de services de communication. Son segment NEX aide les réseaux et les systèmes de calcul de périphérie, du matériel rigide à fonction fixe aux périphériques de calcul, d'accélération et de mise en réseau généralistes exécutant des logiciels natifs du cloud sur du matériel programmable. Le segment Mobileye propose des solutions d'aide à la conduite et de conduite autonome. AXG segment fournit des produits et des technologies à ses clients pour résoudre des problèmes de calcul.</v>
      </c>
      <c r="BN172" s="43"/>
      <c r="BO172" s="43"/>
      <c r="BP172" s="43"/>
      <c r="BQ172" s="43"/>
      <c r="BR172" s="13"/>
      <c r="BS172" s="13"/>
      <c r="BT172" s="13"/>
      <c r="BU172" s="13"/>
      <c r="BV172" s="13"/>
      <c r="BW172" s="4"/>
      <c r="BX172" s="21"/>
      <c r="BY172" s="13"/>
      <c r="BZ172" s="13"/>
      <c r="CA172" s="13"/>
      <c r="CB172" s="13"/>
      <c r="CC172" s="13"/>
      <c r="CD172" s="3"/>
      <c r="CE172" s="47"/>
      <c r="CF172" s="47"/>
    </row>
    <row r="173" spans="3:87">
      <c r="C173" s="43"/>
      <c r="D173" s="42">
        <f>IF(Tableau1[[#This Row],[Isin]]="",99,Tableau1[[#This Row],[Intérêt]]+Tableau1[[#This Row],[Valeur d''intérêt]]+Tableau1[[#This Row],[N° Portefeuille]])</f>
        <v>30</v>
      </c>
      <c r="E173" s="43"/>
      <c r="F173" s="42">
        <f>IF(Tableau1[[#This Row],[Portefeuille]]="p",0,Tableau1[[#This Row],[F. Investissement
Niveau d''intérêt]]*10)</f>
        <v>30</v>
      </c>
      <c r="G173" s="43">
        <f>IF(Tableau1[[#This Row],[Portefeuille]]="p",3,0)</f>
        <v>0</v>
      </c>
      <c r="H173" s="42">
        <v>3</v>
      </c>
      <c r="I173" s="43">
        <v>4</v>
      </c>
      <c r="J173" s="43"/>
      <c r="K173" s="43"/>
      <c r="L173" s="16">
        <v>0</v>
      </c>
      <c r="M17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3" s="44" t="s">
        <v>3888</v>
      </c>
      <c r="O173" s="45"/>
      <c r="P173" s="4" t="s">
        <v>382</v>
      </c>
      <c r="Q173" s="4"/>
      <c r="R173" s="6"/>
      <c r="S173" s="6" t="s">
        <v>3889</v>
      </c>
      <c r="T173" s="6" t="e" vm="157">
        <v>#VALUE!</v>
      </c>
      <c r="U173" s="46" cm="1">
        <f t="array" aca="1" ref="U173" ca="1">IFERROR(_FV(Tableau1[[#This Row],[Code Excel]],"Capitalisation boursière",TRUE),"")</f>
        <v>229391278855</v>
      </c>
      <c r="V173" s="4" t="str" cm="1">
        <f t="array" aca="1" ref="V173" ca="1">IFERROR(_FV(Tableau1[[#This Row],[Code Excel]],"Industrie"),"")</f>
        <v>Software &amp; IT Services</v>
      </c>
      <c r="W173" s="4" t="s">
        <v>4333</v>
      </c>
      <c r="X173" s="4" t="str">
        <f ca="1">Tableau1[[#This Row],[Grand Secteur]]&amp;Tableau1[[#This Row],[Industrie]]</f>
        <v>Logiciels et TechnologieSoftware &amp; IT Services</v>
      </c>
      <c r="Y173" s="23" cm="1">
        <f t="array" aca="1" ref="Y173" ca="1">IFERROR(_FV(Tableau1[[#This Row],[Code Excel]],"P/E",TRUE),"")</f>
        <v>35.371699999999997</v>
      </c>
      <c r="Z173" s="43" cm="1">
        <f t="array" aca="1" ref="Z173" ca="1">IFERROR(_FV(Tableau1[[#This Row],[Code Excel]],"Employés"),"")</f>
        <v>293400</v>
      </c>
      <c r="AA173" s="49">
        <f ca="1">IFERROR(Tableau1[[#This Row],[Capitalisation boursière]]/Tableau1[[#This Row],[Employés]],"")</f>
        <v>781838.03290729376</v>
      </c>
      <c r="AB173" s="5" t="str">
        <f>IFERROR(Tableau1[[#This Row],[REX (2021)]]/Tableau1[[#This Row],[CA 2024]],"")</f>
        <v/>
      </c>
      <c r="AC173" s="9" t="str">
        <f>IFERROR(_xlfn.XLOOKUP(Tableau1[[#This Row],[Isin]]&amp;1&amp;2021,#REF!,Tableau3[Résultat d''exploitation]),"")</f>
        <v/>
      </c>
      <c r="AD173" s="9" t="str">
        <f>IFERROR(_xlfn.XLOOKUP(Tableau1[[#This Row],[Isin]]&amp;1&amp;2019,#REF!,Tableau3[Chiffre d''affaires]),"")</f>
        <v/>
      </c>
      <c r="AE173" s="9" t="str">
        <f>IFERROR(_xlfn.XLOOKUP(Tableau1[[#This Row],[Isin]]&amp;1&amp;2024,#REF!,Tableau3[Chiffre d''affaires]),"")</f>
        <v/>
      </c>
      <c r="AF173" s="8" t="str">
        <f>IFERROR(IF((Tableau1[[#This Row],[CA 2024]]-Tableau1[[#This Row],[CA 2019]])/Tableau1[[#This Row],[CA 2019]]=-1,"",(Tableau1[[#This Row],[CA 2024]]-Tableau1[[#This Row],[CA 2019]])/Tableau1[[#This Row],[CA 2019]]),"")</f>
        <v/>
      </c>
      <c r="AG173" s="9" t="str">
        <f>IFERROR(_xlfn.XLOOKUP(Tableau1[[#This Row],[Isin]]&amp;1&amp;2021,#REF!,Tableau3[EBE]),"")</f>
        <v/>
      </c>
      <c r="AH173" s="9" t="str">
        <f>IFERROR(_xlfn.XLOOKUP(Tableau1[[#This Row],[Isin]]&amp;1&amp;2022,#REF!,Tableau3[EBE]),"")</f>
        <v/>
      </c>
      <c r="AI173" s="43" t="s">
        <v>4324</v>
      </c>
      <c r="AJ173" s="43" t="s">
        <v>4334</v>
      </c>
      <c r="AK173" s="43" t="s">
        <v>3148</v>
      </c>
      <c r="AL173" s="43"/>
      <c r="AM173" s="43"/>
      <c r="AN173" s="9" t="str">
        <f>IFERROR(_xlfn.XLOOKUP(Tableau1[[#This Row],[Isin]]&amp;1&amp;2021,#REF!,Tableau3[Chiffre d''affaires]),"")</f>
        <v/>
      </c>
      <c r="AO173" s="43" cm="1">
        <f t="array" aca="1" ref="AO173" ca="1">_FV(Tableau1[[#This Row],[Code Excel]],"P/E",TRUE)</f>
        <v>35.371699999999997</v>
      </c>
      <c r="AP173" s="43" t="str">
        <f>IFERROR(_xlfn.XLOOKUP(Tableau1[[#This Row],[Isin]]&amp;1&amp;2023,#REF!,Tableau3[Résultat Net (PdG)]),"")</f>
        <v/>
      </c>
      <c r="AQ173" s="43">
        <f>IF(IFERROR(_xlfn.XLOOKUP(Tableau1[[#This Row],[Isin]]&amp;1&amp;2022,#REF!,Tableau3[Résultat Net (PdG)]),"")="",Tableau1[[#This Row],[RN Groupe 2022
Manuel]],IFERROR(_xlfn.XLOOKUP(Tableau1[[#This Row],[Isin]]&amp;1&amp;2022,#REF!,Tableau3[Résultat Net (PdG)]),""))</f>
        <v>0</v>
      </c>
      <c r="AR173" s="43"/>
      <c r="AS173" s="43">
        <f>IF(IFERROR(_xlfn.XLOOKUP(Tableau1[[#This Row],[Isin]]&amp;1&amp;2021,#REF!,Tableau3[Résultat Net (PdG)]),"")="",Tableau1[[#This Row],[RN Groupe 2021
Manuel]],IFERROR(_xlfn.XLOOKUP(Tableau1[[#This Row],[Isin]]&amp;1&amp;2021,#REF!,Tableau3[Résultat Net (PdG)]),""))</f>
        <v>0</v>
      </c>
      <c r="AT173" s="43"/>
      <c r="AU173" s="43" t="str">
        <f>IFERROR(_xlfn.XLOOKUP(Tableau1[[#This Row],[Isin]]&amp;1&amp;2020,#REF!,Tableau3[Résultat Net (PdG)]),"")</f>
        <v/>
      </c>
      <c r="AV173" s="43" t="str">
        <f>IFERROR(_xlfn.XLOOKUP(Tableau1[[#This Row],[Isin]]&amp;1&amp;2019,#REF!,Tableau3[Résultat Net (PdG)]),"")</f>
        <v/>
      </c>
      <c r="AW173" s="43" t="str">
        <f>IFERROR(_xlfn.XLOOKUP(Tableau1[[#This Row],[Isin]]&amp;1&amp;2018,#REF!,Tableau3[Résultat Net (PdG)]),"")</f>
        <v/>
      </c>
      <c r="AX173" s="43" t="str">
        <f>IFERROR(_xlfn.XLOOKUP(Tableau1[[#This Row],[Isin]]&amp;1&amp;2017,#REF!,Tableau3[Résultat Net (PdG)]),"")</f>
        <v/>
      </c>
      <c r="AY173" s="43" t="str">
        <f>IFERROR(_xlfn.XLOOKUP(Tableau1[[#This Row],[Isin]]&amp;1&amp;2016,#REF!,Tableau3[Résultat Net (PdG)]),"")</f>
        <v/>
      </c>
      <c r="AZ173" s="137" t="str">
        <f ca="1">IFERROR(Tableau1[[#This Row],[Capitalisation boursière]]/Tableau1[[#This Row],[RN Groupe 2023]],"")</f>
        <v/>
      </c>
      <c r="BA173" s="4" t="str" cm="1">
        <f t="array" aca="1" ref="BA173" ca="1">IFERROR(_FV(Tableau1[[#This Row],[Code Excel]],"Industrie"),"")</f>
        <v>Software &amp; IT Services</v>
      </c>
      <c r="BB173" s="43" t="s">
        <v>3464</v>
      </c>
      <c r="BC173" s="43" t="str">
        <f>IFERROR(_xlfn.XLOOKUP(Tableau1[[#This Row],[Isin]]&amp;1&amp;2016,#REF!,Tableau3[Capi]),"")</f>
        <v/>
      </c>
      <c r="BD173" s="43" t="str">
        <f>IFERROR(_xlfn.XLOOKUP(Tableau1[[#This Row],[Isin]]&amp;1&amp;2017,#REF!,Tableau3[Capi]),"")</f>
        <v/>
      </c>
      <c r="BE173" s="43" t="str">
        <f>IFERROR(_xlfn.XLOOKUP(Tableau1[[#This Row],[Isin]]&amp;1&amp;2018,#REF!,Tableau3[Capi]),"")</f>
        <v/>
      </c>
      <c r="BF173" s="43" t="str">
        <f>IFERROR(_xlfn.XLOOKUP(Tableau1[[#This Row],[Isin]]&amp;1&amp;2019,#REF!,Tableau3[Capi]),"")</f>
        <v/>
      </c>
      <c r="BG173" s="43" t="str">
        <f>IFERROR(_xlfn.XLOOKUP(Tableau1[[#This Row],[Isin]]&amp;1&amp;2020,#REF!,Tableau3[Capi]),"")</f>
        <v/>
      </c>
      <c r="BH173" s="43">
        <f>IF(IFERROR(_xlfn.XLOOKUP(Tableau1[[#This Row],[Isin]]&amp;1&amp;2021,#REF!,Tableau3[Capi]),"")="",Tableau1[[#This Row],[Capitalisation 2021
Manuel]],IFERROR(_xlfn.XLOOKUP(Tableau1[[#This Row],[Isin]]&amp;1&amp;2021,#REF!,Tableau3[Capi]),""))</f>
        <v>0</v>
      </c>
      <c r="BI173" s="43"/>
      <c r="BJ173" s="43">
        <f>IF(IFERROR(_xlfn.XLOOKUP(Tableau1[[#This Row],[Isin]]&amp;1&amp;2022,#REF!,Tableau3[Capi]),"")="",Tableau1[[#This Row],[Capitalisation 2022
Manuel]],IFERROR(_xlfn.XLOOKUP(Tableau1[[#This Row],[Isin]]&amp;1&amp;2022,#REF!,Tableau3[Capi]),""))</f>
        <v>0</v>
      </c>
      <c r="BK173" s="43"/>
      <c r="BL173" s="43">
        <f ca="1">Tableau1[[#This Row],[Capitalisation boursière]]</f>
        <v>229391278855</v>
      </c>
      <c r="BM173" s="162" t="str" cm="1">
        <f t="array" aca="1" ref="BM173" ca="1">_FV(Tableau1[[#This Row],[Code Excel]],"Description")</f>
        <v>International Business machines Corporation est engagée dans le traitement des opportunités de cloud hybride et d'intelligence artificielle (IA) avec une approche centrée sur la plateforme, axée sur la création de valeur client grâce à une combinaison de technologie et d'expertise commerciale. Ses segments comprennent les logiciels, le conseil, l'infrastructure et le financement. Son segment logiciels comprend deux secteurs d'activité : Hybrid Platform &amp; solutions, qui comprend un logiciel pour aider les clients à exploiter, gérer et optimiser leurs ressources INFORMATIQUES et leurs processus d'affaires dans des environnements hybrides et multicloud, et le traitement des transactions, qui comprend un logiciel qui prend en charge les charges de travail stratégiques sur site des clients dans des secteurs tels que les banques, les compagnies aériennes et la vente au détail. Le secteur du conseil est engagé dans la transformation des affaires, le conseil technologique et les opérations d'application. Le segment infrastructure est engagé dans l'infrastructure hybride et le support d'infrastructure. Le secteur du financement est engagé dans le financement des clients et le financement commercial.</v>
      </c>
      <c r="BN173" s="43"/>
      <c r="BO173" s="43"/>
      <c r="BP173" s="43"/>
      <c r="BQ173" s="43"/>
      <c r="BR173" s="13"/>
      <c r="BS173" s="13"/>
      <c r="BT173" s="13"/>
      <c r="BU173" s="13"/>
      <c r="BV173" s="13"/>
      <c r="BW173" s="4"/>
      <c r="BX173" s="21"/>
      <c r="BY173" s="13"/>
      <c r="BZ173" s="13"/>
      <c r="CA173" s="13"/>
      <c r="CB173" s="13"/>
      <c r="CC173" s="13"/>
      <c r="CD173" s="3"/>
      <c r="CE173" s="47"/>
      <c r="CF173" s="47"/>
    </row>
    <row r="174" spans="3:87">
      <c r="C174" s="42"/>
      <c r="D174" s="42">
        <f>IF(Tableau1[[#This Row],[Isin]]="",99,Tableau1[[#This Row],[Intérêt]]+Tableau1[[#This Row],[Valeur d''intérêt]]+Tableau1[[#This Row],[N° Portefeuille]])</f>
        <v>3</v>
      </c>
      <c r="E174" s="42"/>
      <c r="F174" s="42">
        <f>IF(Tableau1[[#This Row],[Portefeuille]]="p",0,Tableau1[[#This Row],[F. Investissement
Niveau d''intérêt]]*10)</f>
        <v>0</v>
      </c>
      <c r="G174" s="42">
        <f>IF(Tableau1[[#This Row],[Portefeuille]]="p",3,0)</f>
        <v>3</v>
      </c>
      <c r="H174" s="42">
        <v>2</v>
      </c>
      <c r="I174" s="42">
        <v>3</v>
      </c>
      <c r="J174" s="42"/>
      <c r="K174" s="43" t="s">
        <v>4362</v>
      </c>
      <c r="L174" s="16">
        <v>0</v>
      </c>
      <c r="M17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4" s="44" t="s">
        <v>3891</v>
      </c>
      <c r="O174" s="45"/>
      <c r="P174" s="4" t="s">
        <v>84</v>
      </c>
      <c r="Q174" s="4"/>
      <c r="R174" s="6"/>
      <c r="S174" s="6" t="s">
        <v>2995</v>
      </c>
      <c r="T174" s="6" t="e" vm="158">
        <v>#VALUE!</v>
      </c>
      <c r="U174" s="46" cm="1">
        <f t="array" aca="1" ref="U174" ca="1">IFERROR(_FV(Tableau1[[#This Row],[Code Excel]],"Capitalisation boursière",TRUE),"")</f>
        <v>3086513000</v>
      </c>
      <c r="V174" s="4" t="str" cm="1">
        <f t="array" aca="1" ref="V174" ca="1">IFERROR(_FV(Tableau1[[#This Row],[Code Excel]],"Industrie"),"")</f>
        <v>Personal &amp; Household Products &amp; Services</v>
      </c>
      <c r="W174" s="4" t="s">
        <v>1315</v>
      </c>
      <c r="X174" s="4" t="str">
        <f ca="1">Tableau1[[#This Row],[Grand Secteur]]&amp;Tableau1[[#This Row],[Industrie]]</f>
        <v>Biens de consommationPersonal &amp; Household Products &amp; Services</v>
      </c>
      <c r="Y174" s="23" cm="1">
        <f t="array" aca="1" ref="Y174" ca="1">IFERROR(_FV(Tableau1[[#This Row],[Code Excel]],"P/E",TRUE),"")</f>
        <v>21.668299999999999</v>
      </c>
      <c r="Z174" s="43" cm="1">
        <f t="array" aca="1" ref="Z174" ca="1">IFERROR(_FV(Tableau1[[#This Row],[Code Excel]],"Employés"),"")</f>
        <v>353</v>
      </c>
      <c r="AA174" s="46">
        <f ca="1">IFERROR(Tableau1[[#This Row],[Capitalisation boursière]]/Tableau1[[#This Row],[Employés]],"")</f>
        <v>8743662.8895184137</v>
      </c>
      <c r="AB174" s="5" t="str">
        <f>IFERROR(Tableau1[[#This Row],[REX (2021)]]/Tableau1[[#This Row],[CA 2024]],"")</f>
        <v/>
      </c>
      <c r="AC174" s="9" t="str">
        <f>IFERROR(_xlfn.XLOOKUP(Tableau1[[#This Row],[Isin]]&amp;1&amp;2021,#REF!,Tableau3[Résultat d''exploitation]),"")</f>
        <v/>
      </c>
      <c r="AD174" s="9" t="str">
        <f>IFERROR(_xlfn.XLOOKUP(Tableau1[[#This Row],[Isin]]&amp;1&amp;2019,#REF!,Tableau3[Chiffre d''affaires]),"")</f>
        <v/>
      </c>
      <c r="AE174" s="9" t="str">
        <f>IFERROR(_xlfn.XLOOKUP(Tableau1[[#This Row],[Isin]]&amp;1&amp;2024,#REF!,Tableau3[Chiffre d''affaires]),"")</f>
        <v/>
      </c>
      <c r="AF174" s="8" t="str">
        <f>IFERROR(IF((Tableau1[[#This Row],[CA 2024]]-Tableau1[[#This Row],[CA 2019]])/Tableau1[[#This Row],[CA 2019]]=-1,"",(Tableau1[[#This Row],[CA 2024]]-Tableau1[[#This Row],[CA 2019]])/Tableau1[[#This Row],[CA 2019]]),"")</f>
        <v/>
      </c>
      <c r="AG174" s="9" t="str">
        <f>IFERROR(_xlfn.XLOOKUP(Tableau1[[#This Row],[Isin]]&amp;1&amp;2021,#REF!,Tableau3[EBE]),"")</f>
        <v/>
      </c>
      <c r="AH174" s="9" t="str">
        <f>IFERROR(_xlfn.XLOOKUP(Tableau1[[#This Row],[Isin]]&amp;1&amp;2022,#REF!,Tableau3[EBE]),"")</f>
        <v/>
      </c>
      <c r="AI174" s="43" t="s">
        <v>3431</v>
      </c>
      <c r="AJ174" s="43" t="s">
        <v>3150</v>
      </c>
      <c r="AK174" s="43" t="s">
        <v>3149</v>
      </c>
      <c r="AL174" s="43"/>
      <c r="AM174" s="43"/>
      <c r="AN174" s="9" t="str">
        <f>IFERROR(_xlfn.XLOOKUP(Tableau1[[#This Row],[Isin]]&amp;1&amp;2021,#REF!,Tableau3[Chiffre d''affaires]),"")</f>
        <v/>
      </c>
      <c r="AO174" s="43" cm="1">
        <f t="array" aca="1" ref="AO174" ca="1">_FV(Tableau1[[#This Row],[Code Excel]],"P/E",TRUE)</f>
        <v>21.668299999999999</v>
      </c>
      <c r="AP174" s="43" t="str">
        <f>IFERROR(_xlfn.XLOOKUP(Tableau1[[#This Row],[Isin]]&amp;1&amp;2023,#REF!,Tableau3[Résultat Net (PdG)]),"")</f>
        <v/>
      </c>
      <c r="AQ174" s="43">
        <f>IF(IFERROR(_xlfn.XLOOKUP(Tableau1[[#This Row],[Isin]]&amp;1&amp;2022,#REF!,Tableau3[Résultat Net (PdG)]),"")="",Tableau1[[#This Row],[RN Groupe 2022
Manuel]],IFERROR(_xlfn.XLOOKUP(Tableau1[[#This Row],[Isin]]&amp;1&amp;2022,#REF!,Tableau3[Résultat Net (PdG)]),""))</f>
        <v>0</v>
      </c>
      <c r="AR174" s="43"/>
      <c r="AS174" s="43">
        <f>IF(IFERROR(_xlfn.XLOOKUP(Tableau1[[#This Row],[Isin]]&amp;1&amp;2021,#REF!,Tableau3[Résultat Net (PdG)]),"")="",Tableau1[[#This Row],[RN Groupe 2021
Manuel]],IFERROR(_xlfn.XLOOKUP(Tableau1[[#This Row],[Isin]]&amp;1&amp;2021,#REF!,Tableau3[Résultat Net (PdG)]),""))</f>
        <v>0</v>
      </c>
      <c r="AT174" s="43"/>
      <c r="AU174" s="43" t="str">
        <f>IFERROR(_xlfn.XLOOKUP(Tableau1[[#This Row],[Isin]]&amp;1&amp;2020,#REF!,Tableau3[Résultat Net (PdG)]),"")</f>
        <v/>
      </c>
      <c r="AV174" s="43" t="str">
        <f>IFERROR(_xlfn.XLOOKUP(Tableau1[[#This Row],[Isin]]&amp;1&amp;2019,#REF!,Tableau3[Résultat Net (PdG)]),"")</f>
        <v/>
      </c>
      <c r="AW174" s="43" t="str">
        <f>IFERROR(_xlfn.XLOOKUP(Tableau1[[#This Row],[Isin]]&amp;1&amp;2018,#REF!,Tableau3[Résultat Net (PdG)]),"")</f>
        <v/>
      </c>
      <c r="AX174" s="43" t="str">
        <f>IFERROR(_xlfn.XLOOKUP(Tableau1[[#This Row],[Isin]]&amp;1&amp;2017,#REF!,Tableau3[Résultat Net (PdG)]),"")</f>
        <v/>
      </c>
      <c r="AY174" s="43" t="str">
        <f>IFERROR(_xlfn.XLOOKUP(Tableau1[[#This Row],[Isin]]&amp;1&amp;2016,#REF!,Tableau3[Résultat Net (PdG)]),"")</f>
        <v/>
      </c>
      <c r="AZ174" s="137" t="str">
        <f ca="1">IFERROR(Tableau1[[#This Row],[Capitalisation boursière]]/Tableau1[[#This Row],[RN Groupe 2023]],"")</f>
        <v/>
      </c>
      <c r="BA174" s="4" t="str" cm="1">
        <f t="array" aca="1" ref="BA174" ca="1">IFERROR(_FV(Tableau1[[#This Row],[Code Excel]],"Industrie"),"")</f>
        <v>Personal &amp; Household Products &amp; Services</v>
      </c>
      <c r="BB174" s="43" t="s">
        <v>3477</v>
      </c>
      <c r="BC174" s="43" t="str">
        <f>IFERROR(_xlfn.XLOOKUP(Tableau1[[#This Row],[Isin]]&amp;1&amp;2016,#REF!,Tableau3[Capi]),"")</f>
        <v/>
      </c>
      <c r="BD174" s="43" t="str">
        <f>IFERROR(_xlfn.XLOOKUP(Tableau1[[#This Row],[Isin]]&amp;1&amp;2017,#REF!,Tableau3[Capi]),"")</f>
        <v/>
      </c>
      <c r="BE174" s="43" t="str">
        <f>IFERROR(_xlfn.XLOOKUP(Tableau1[[#This Row],[Isin]]&amp;1&amp;2018,#REF!,Tableau3[Capi]),"")</f>
        <v/>
      </c>
      <c r="BF174" s="43" t="str">
        <f>IFERROR(_xlfn.XLOOKUP(Tableau1[[#This Row],[Isin]]&amp;1&amp;2019,#REF!,Tableau3[Capi]),"")</f>
        <v/>
      </c>
      <c r="BG174" s="43" t="str">
        <f>IFERROR(_xlfn.XLOOKUP(Tableau1[[#This Row],[Isin]]&amp;1&amp;2020,#REF!,Tableau3[Capi]),"")</f>
        <v/>
      </c>
      <c r="BH174" s="43">
        <f>IF(IFERROR(_xlfn.XLOOKUP(Tableau1[[#This Row],[Isin]]&amp;1&amp;2021,#REF!,Tableau3[Capi]),"")="",Tableau1[[#This Row],[Capitalisation 2021
Manuel]],IFERROR(_xlfn.XLOOKUP(Tableau1[[#This Row],[Isin]]&amp;1&amp;2021,#REF!,Tableau3[Capi]),""))</f>
        <v>0</v>
      </c>
      <c r="BI174" s="43"/>
      <c r="BJ174" s="43">
        <f>IF(IFERROR(_xlfn.XLOOKUP(Tableau1[[#This Row],[Isin]]&amp;1&amp;2022,#REF!,Tableau3[Capi]),"")="",Tableau1[[#This Row],[Capitalisation 2022
Manuel]],IFERROR(_xlfn.XLOOKUP(Tableau1[[#This Row],[Isin]]&amp;1&amp;2022,#REF!,Tableau3[Capi]),""))</f>
        <v>0</v>
      </c>
      <c r="BK174" s="43"/>
      <c r="BL174" s="43">
        <f ca="1">Tableau1[[#This Row],[Capitalisation boursière]]</f>
        <v>3086513000</v>
      </c>
      <c r="BM174" s="162" t="str" cm="1">
        <f t="array" aca="1" ref="BM174" ca="1">_FV(Tableau1[[#This Row],[Code Excel]],"Description")</f>
        <v>Interparfums sa, également connue sous le nom d'Interparfums, est une société française spécialisée dans la conception, la fabrication et la commercialisation de parfums de luxe. L'activité de la Société est organisée principalement autour de deux produits tels que les parfums et les articles de mode pour femmes et hommes. Il fournit des marques telles que Montblanc, Jimmy Choo, Coach, Lanvin, Rochas, Boucheron, Karl Lagerfeld, Van Cleef &amp; Arpels, Paul Smith, Kate Spade, Moncler, Repetto et S.T. Dupont. Il offre la marque rochas. La plateforme fournit également des informations annuelles sur la stratégie d'Interparfums. Il offre un procédé de revêtement qui prévoit l'élimination progressive des revêtements à base de solvant et l'adoption progressive de l'hydrorevêtement.</v>
      </c>
      <c r="BN174" s="43"/>
      <c r="BO174" s="43"/>
      <c r="BP174" s="43"/>
      <c r="BQ174" s="43"/>
      <c r="BR174" s="13"/>
      <c r="BS174" s="13"/>
      <c r="BT174" s="13"/>
      <c r="BU174" s="13"/>
      <c r="BV174" s="13"/>
      <c r="BW174" s="4"/>
      <c r="BX174" s="21"/>
      <c r="BY174" s="13"/>
      <c r="BZ174" s="13"/>
      <c r="CA174" s="13"/>
      <c r="CB174" s="21"/>
      <c r="CC174" s="21"/>
      <c r="CD174" s="3"/>
      <c r="CE174" s="47"/>
      <c r="CF174" s="47"/>
    </row>
    <row r="175" spans="3:87" s="21" customFormat="1">
      <c r="C175" s="43"/>
      <c r="D175" s="42">
        <f>IF(Tableau1[[#This Row],[Isin]]="",99,Tableau1[[#This Row],[Intérêt]]+Tableau1[[#This Row],[Valeur d''intérêt]]+Tableau1[[#This Row],[N° Portefeuille]])</f>
        <v>30</v>
      </c>
      <c r="E175" s="43"/>
      <c r="F175" s="42">
        <f>IF(Tableau1[[#This Row],[Portefeuille]]="p",0,Tableau1[[#This Row],[F. Investissement
Niveau d''intérêt]]*10)</f>
        <v>30</v>
      </c>
      <c r="G175" s="43">
        <f>IF(Tableau1[[#This Row],[Portefeuille]]="p",3,0)</f>
        <v>0</v>
      </c>
      <c r="H175" s="42">
        <v>3</v>
      </c>
      <c r="I175" s="43">
        <v>4</v>
      </c>
      <c r="J175" s="43"/>
      <c r="K175" s="43"/>
      <c r="L175" s="16">
        <v>1</v>
      </c>
      <c r="M17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5" s="44" t="s">
        <v>1036</v>
      </c>
      <c r="O175" s="44" t="s">
        <v>4364</v>
      </c>
      <c r="P175" s="4" t="s">
        <v>382</v>
      </c>
      <c r="Q175" s="6" t="s">
        <v>383</v>
      </c>
      <c r="R175" s="6"/>
      <c r="S175" s="6" t="s">
        <v>1039</v>
      </c>
      <c r="T175" s="6" t="e" vm="159">
        <v>#VALUE!</v>
      </c>
      <c r="U175" s="51" cm="1">
        <f t="array" aca="1" ref="U175" ca="1">IFERROR(_FV(Tableau1[[#This Row],[Code Excel]],"Capitalisation boursière",TRUE),"")</f>
        <v>6682694874</v>
      </c>
      <c r="V175" s="4" t="str" cm="1">
        <f t="array" aca="1" ref="V175" ca="1">IFERROR(_FV(Tableau1[[#This Row],[Code Excel]],"Industrie"),"")</f>
        <v>Investment Banking &amp; Investment Services</v>
      </c>
      <c r="W175" s="4" t="s">
        <v>4335</v>
      </c>
      <c r="X175" s="4" t="str">
        <f ca="1">Tableau1[[#This Row],[Grand Secteur]]&amp;Tableau1[[#This Row],[Industrie]]</f>
        <v>FinanceInvestment Banking &amp; Investment Services</v>
      </c>
      <c r="Y175" s="23" cm="1">
        <f t="array" aca="1" ref="Y175" ca="1">IFERROR(_FV(Tableau1[[#This Row],[Code Excel]],"P/E",TRUE),"")</f>
        <v>12.6686</v>
      </c>
      <c r="Z175" s="43" cm="1">
        <f t="array" aca="1" ref="Z175" ca="1">IFERROR(_FV(Tableau1[[#This Row],[Code Excel]],"Employés"),"")</f>
        <v>8508</v>
      </c>
      <c r="AA175" s="49">
        <f ca="1">IFERROR(Tableau1[[#This Row],[Capitalisation boursière]]/Tableau1[[#This Row],[Employés]],"")</f>
        <v>785460.14033850492</v>
      </c>
      <c r="AB175" s="5" t="str">
        <f>IFERROR(Tableau1[[#This Row],[REX (2021)]]/Tableau1[[#This Row],[CA 2024]],"")</f>
        <v/>
      </c>
      <c r="AC175" s="9" t="str">
        <f>IFERROR(_xlfn.XLOOKUP(Tableau1[[#This Row],[Isin]]&amp;1&amp;2021,#REF!,Tableau3[Résultat d''exploitation]),"")</f>
        <v/>
      </c>
      <c r="AD175" s="9" t="str">
        <f>IFERROR(_xlfn.XLOOKUP(Tableau1[[#This Row],[Isin]]&amp;1&amp;2019,#REF!,Tableau3[Chiffre d''affaires]),"")</f>
        <v/>
      </c>
      <c r="AE175" s="9" t="str">
        <f>IFERROR(_xlfn.XLOOKUP(Tableau1[[#This Row],[Isin]]&amp;1&amp;2024,#REF!,Tableau3[Chiffre d''affaires]),"")</f>
        <v/>
      </c>
      <c r="AF175" s="8" t="str">
        <f>IFERROR(IF((Tableau1[[#This Row],[CA 2024]]-Tableau1[[#This Row],[CA 2019]])/Tableau1[[#This Row],[CA 2019]]=-1,"",(Tableau1[[#This Row],[CA 2024]]-Tableau1[[#This Row],[CA 2019]])/Tableau1[[#This Row],[CA 2019]]),"")</f>
        <v/>
      </c>
      <c r="AG175" s="9" t="str">
        <f>IFERROR(_xlfn.XLOOKUP(Tableau1[[#This Row],[Isin]]&amp;1&amp;2021,#REF!,Tableau3[EBE]),"")</f>
        <v/>
      </c>
      <c r="AH175" s="9" t="str">
        <f>IFERROR(_xlfn.XLOOKUP(Tableau1[[#This Row],[Isin]]&amp;1&amp;2022,#REF!,Tableau3[EBE]),"")</f>
        <v/>
      </c>
      <c r="AI175" s="43" t="s">
        <v>4343</v>
      </c>
      <c r="AJ175" s="43" t="s">
        <v>4356</v>
      </c>
      <c r="AK175" s="43" t="s">
        <v>3149</v>
      </c>
      <c r="AL175" s="43" t="s">
        <v>3149</v>
      </c>
      <c r="AM175" s="43"/>
      <c r="AN175" s="9" t="str">
        <f>IFERROR(_xlfn.XLOOKUP(Tableau1[[#This Row],[Isin]]&amp;1&amp;2021,#REF!,Tableau3[Chiffre d''affaires]),"")</f>
        <v/>
      </c>
      <c r="AO175" s="43" cm="1">
        <f t="array" aca="1" ref="AO175" ca="1">_FV(Tableau1[[#This Row],[Code Excel]],"P/E",TRUE)</f>
        <v>12.6686</v>
      </c>
      <c r="AP175" s="43" t="str">
        <f>IFERROR(_xlfn.XLOOKUP(Tableau1[[#This Row],[Isin]]&amp;1&amp;2023,#REF!,Tableau3[Résultat Net (PdG)]),"")</f>
        <v/>
      </c>
      <c r="AQ175" s="43">
        <f>IF(IFERROR(_xlfn.XLOOKUP(Tableau1[[#This Row],[Isin]]&amp;1&amp;2022,#REF!,Tableau3[Résultat Net (PdG)]),"")="",Tableau1[[#This Row],[RN Groupe 2022
Manuel]],IFERROR(_xlfn.XLOOKUP(Tableau1[[#This Row],[Isin]]&amp;1&amp;2022,#REF!,Tableau3[Résultat Net (PdG)]),""))</f>
        <v>0</v>
      </c>
      <c r="AR175" s="43"/>
      <c r="AS175" s="43">
        <f>IF(IFERROR(_xlfn.XLOOKUP(Tableau1[[#This Row],[Isin]]&amp;1&amp;2021,#REF!,Tableau3[Résultat Net (PdG)]),"")="",Tableau1[[#This Row],[RN Groupe 2021
Manuel]],IFERROR(_xlfn.XLOOKUP(Tableau1[[#This Row],[Isin]]&amp;1&amp;2021,#REF!,Tableau3[Résultat Net (PdG)]),""))</f>
        <v>0</v>
      </c>
      <c r="AT175" s="43"/>
      <c r="AU175" s="43" t="str">
        <f>IFERROR(_xlfn.XLOOKUP(Tableau1[[#This Row],[Isin]]&amp;1&amp;2020,#REF!,Tableau3[Résultat Net (PdG)]),"")</f>
        <v/>
      </c>
      <c r="AV175" s="43" t="str">
        <f>IFERROR(_xlfn.XLOOKUP(Tableau1[[#This Row],[Isin]]&amp;1&amp;2019,#REF!,Tableau3[Résultat Net (PdG)]),"")</f>
        <v/>
      </c>
      <c r="AW175" s="43" t="str">
        <f>IFERROR(_xlfn.XLOOKUP(Tableau1[[#This Row],[Isin]]&amp;1&amp;2018,#REF!,Tableau3[Résultat Net (PdG)]),"")</f>
        <v/>
      </c>
      <c r="AX175" s="43" t="str">
        <f>IFERROR(_xlfn.XLOOKUP(Tableau1[[#This Row],[Isin]]&amp;1&amp;2017,#REF!,Tableau3[Résultat Net (PdG)]),"")</f>
        <v/>
      </c>
      <c r="AY175" s="43" t="str">
        <f>IFERROR(_xlfn.XLOOKUP(Tableau1[[#This Row],[Isin]]&amp;1&amp;2016,#REF!,Tableau3[Résultat Net (PdG)]),"")</f>
        <v/>
      </c>
      <c r="AZ175" s="137" t="str">
        <f ca="1">IFERROR(Tableau1[[#This Row],[Capitalisation boursière]]/Tableau1[[#This Row],[RN Groupe 2023]],"")</f>
        <v/>
      </c>
      <c r="BA175" s="4" t="str" cm="1">
        <f t="array" aca="1" ref="BA175" ca="1">IFERROR(_FV(Tableau1[[#This Row],[Code Excel]],"Industrie"),"")</f>
        <v>Investment Banking &amp; Investment Services</v>
      </c>
      <c r="BB175" s="43" t="e">
        <v>#N/A</v>
      </c>
      <c r="BC175" s="43" t="str">
        <f>IFERROR(_xlfn.XLOOKUP(Tableau1[[#This Row],[Isin]]&amp;1&amp;2016,#REF!,Tableau3[Capi]),"")</f>
        <v/>
      </c>
      <c r="BD175" s="43" t="str">
        <f>IFERROR(_xlfn.XLOOKUP(Tableau1[[#This Row],[Isin]]&amp;1&amp;2017,#REF!,Tableau3[Capi]),"")</f>
        <v/>
      </c>
      <c r="BE175" s="43" t="str">
        <f>IFERROR(_xlfn.XLOOKUP(Tableau1[[#This Row],[Isin]]&amp;1&amp;2018,#REF!,Tableau3[Capi]),"")</f>
        <v/>
      </c>
      <c r="BF175" s="43" t="str">
        <f>IFERROR(_xlfn.XLOOKUP(Tableau1[[#This Row],[Isin]]&amp;1&amp;2019,#REF!,Tableau3[Capi]),"")</f>
        <v/>
      </c>
      <c r="BG175" s="43" t="str">
        <f>IFERROR(_xlfn.XLOOKUP(Tableau1[[#This Row],[Isin]]&amp;1&amp;2020,#REF!,Tableau3[Capi]),"")</f>
        <v/>
      </c>
      <c r="BH175" s="43">
        <f>IF(IFERROR(_xlfn.XLOOKUP(Tableau1[[#This Row],[Isin]]&amp;1&amp;2021,#REF!,Tableau3[Capi]),"")="",Tableau1[[#This Row],[Capitalisation 2021
Manuel]],IFERROR(_xlfn.XLOOKUP(Tableau1[[#This Row],[Isin]]&amp;1&amp;2021,#REF!,Tableau3[Capi]),""))</f>
        <v>0</v>
      </c>
      <c r="BI175" s="43"/>
      <c r="BJ175" s="43">
        <f>IF(IFERROR(_xlfn.XLOOKUP(Tableau1[[#This Row],[Isin]]&amp;1&amp;2022,#REF!,Tableau3[Capi]),"")="",Tableau1[[#This Row],[Capitalisation 2022
Manuel]],IFERROR(_xlfn.XLOOKUP(Tableau1[[#This Row],[Isin]]&amp;1&amp;2022,#REF!,Tableau3[Capi]),""))</f>
        <v>0</v>
      </c>
      <c r="BK175" s="43"/>
      <c r="BL175" s="43">
        <f ca="1">Tableau1[[#This Row],[Capitalisation boursière]]</f>
        <v>6682694874</v>
      </c>
      <c r="BM175" s="162" t="str" cm="1">
        <f t="array" aca="1" ref="BM175" ca="1">_FV(Tableau1[[#This Row],[Code Excel]],"Description")</f>
        <v>Invesco Ltd. Est une société de gestion de placements indépendante. Elle dessert les marchés de détail et institutionnels du secteur de la gestion de placements en Amérique, en Europe, au moyen-Orient, en Afrique et en Asie-Pacifique dans 120 pays. Il offre une gamme de stratégies de placement dans toutes les classes d'actifs, styles de placement et géographies. Ses classes d'actifs comprennent les actions, les titres à revenu fixe, les titres équilibrés, les titres alternatifs et le marché monétaire. Ses actifs de détail gérés comprennent des fonds communs de placement, des fonds cotés en bourse, des comptes gérés séparément, des comptes d'épargne individuels, des sociétés de placement à capital variable, des fiducies de placement, des fonds communs de placement à capital variable, des fiducies de placement à capital variable et des fonds d'assurance à capital variable. Ses actifs institutionnels comprennent des comptes institutionnels distincts, des fonds privés, des fonds communs de placement à capital ouvert et des fonds collectifs de fiducie. Sa clientèle comprend des entités publiques et privées, des syndicats, des organisations à but non lucratif, des fonds de dotation, des fondations, institutions financières et fonds souverains.</v>
      </c>
      <c r="BN175" s="43"/>
      <c r="BO175" s="43"/>
      <c r="BP175" s="43"/>
      <c r="BQ175" s="43"/>
      <c r="BR175" s="13"/>
      <c r="BS175" s="13"/>
      <c r="BT175" s="13"/>
      <c r="BU175" s="13"/>
      <c r="BV175" s="13"/>
      <c r="BW175" s="4"/>
      <c r="BY175" s="13"/>
      <c r="BZ175" s="13"/>
      <c r="CA175" s="13"/>
      <c r="CB175" s="13"/>
      <c r="CC175" s="13"/>
      <c r="CD175" s="3"/>
      <c r="CE175" s="47"/>
      <c r="CF175" s="47"/>
      <c r="CG175" s="6"/>
      <c r="CH175" s="6"/>
      <c r="CI175" s="6"/>
    </row>
    <row r="176" spans="3:87">
      <c r="C176" s="42"/>
      <c r="D176" s="42">
        <f>IF(Tableau1[[#This Row],[Isin]]="",99,Tableau1[[#This Row],[Intérêt]]+Tableau1[[#This Row],[Valeur d''intérêt]]+Tableau1[[#This Row],[N° Portefeuille]])</f>
        <v>30</v>
      </c>
      <c r="E176" s="42"/>
      <c r="F176" s="42">
        <f>IF(Tableau1[[#This Row],[Portefeuille]]="p",0,Tableau1[[#This Row],[F. Investissement
Niveau d''intérêt]]*10)</f>
        <v>30</v>
      </c>
      <c r="G176" s="42">
        <f>IF(Tableau1[[#This Row],[Portefeuille]]="p",3,0)</f>
        <v>0</v>
      </c>
      <c r="H176" s="42">
        <v>3</v>
      </c>
      <c r="I176" s="42">
        <v>4</v>
      </c>
      <c r="J176" s="42"/>
      <c r="K176" s="43"/>
      <c r="L176" s="16">
        <v>1</v>
      </c>
      <c r="M17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6" s="44" t="s">
        <v>1627</v>
      </c>
      <c r="O176" s="44" t="s">
        <v>4401</v>
      </c>
      <c r="P176" s="4" t="s">
        <v>84</v>
      </c>
      <c r="Q176" s="6" t="s">
        <v>85</v>
      </c>
      <c r="R176" s="6"/>
      <c r="S176" s="6" t="s">
        <v>1629</v>
      </c>
      <c r="T176" s="6" t="e" vm="160">
        <v>#VALUE!</v>
      </c>
      <c r="U176" s="46" cm="1">
        <f t="array" aca="1" ref="U176" ca="1">IFERROR(_FV(Tableau1[[#This Row],[Code Excel]],"Capitalisation boursière",TRUE),"")</f>
        <v>9010062000</v>
      </c>
      <c r="V176" s="4" t="str" cm="1">
        <f t="array" aca="1" ref="V176" ca="1">IFERROR(_FV(Tableau1[[#This Row],[Code Excel]],"Industrie"),"")</f>
        <v>Pharmaceuticals</v>
      </c>
      <c r="W176" s="4" t="s">
        <v>1586</v>
      </c>
      <c r="X176" s="4" t="str">
        <f ca="1">Tableau1[[#This Row],[Grand Secteur]]&amp;Tableau1[[#This Row],[Industrie]]</f>
        <v>SantéPharmaceuticals</v>
      </c>
      <c r="Y176" s="23" cm="1">
        <f t="array" aca="1" ref="Y176" ca="1">IFERROR(_FV(Tableau1[[#This Row],[Code Excel]],"P/E",TRUE),"")</f>
        <v>25.458200000000001</v>
      </c>
      <c r="Z176" s="43" cm="1">
        <f t="array" aca="1" ref="Z176" ca="1">IFERROR(_FV(Tableau1[[#This Row],[Code Excel]],"Employés"),"")</f>
        <v>5325</v>
      </c>
      <c r="AA176" s="49">
        <f ca="1">IFERROR(Tableau1[[#This Row],[Capitalisation boursière]]/Tableau1[[#This Row],[Employés]],"")</f>
        <v>1692030.4225352113</v>
      </c>
      <c r="AB176" s="5" t="str">
        <f>IFERROR(Tableau1[[#This Row],[REX (2021)]]/Tableau1[[#This Row],[CA 2024]],"")</f>
        <v/>
      </c>
      <c r="AC176" s="9" t="str">
        <f>IFERROR(_xlfn.XLOOKUP(Tableau1[[#This Row],[Isin]]&amp;1&amp;2021,#REF!,Tableau3[Résultat d''exploitation]),"")</f>
        <v/>
      </c>
      <c r="AD176" s="9" t="str">
        <f>IFERROR(_xlfn.XLOOKUP(Tableau1[[#This Row],[Isin]]&amp;1&amp;2019,#REF!,Tableau3[Chiffre d''affaires]),"")</f>
        <v/>
      </c>
      <c r="AE176" s="9" t="str">
        <f>IFERROR(_xlfn.XLOOKUP(Tableau1[[#This Row],[Isin]]&amp;1&amp;2024,#REF!,Tableau3[Chiffre d''affaires]),"")</f>
        <v/>
      </c>
      <c r="AF176" s="8" t="str">
        <f>IFERROR(IF((Tableau1[[#This Row],[CA 2024]]-Tableau1[[#This Row],[CA 2019]])/Tableau1[[#This Row],[CA 2019]]=-1,"",(Tableau1[[#This Row],[CA 2024]]-Tableau1[[#This Row],[CA 2019]])/Tableau1[[#This Row],[CA 2019]]),"")</f>
        <v/>
      </c>
      <c r="AG176" s="9" t="str">
        <f>IFERROR(_xlfn.XLOOKUP(Tableau1[[#This Row],[Isin]]&amp;1&amp;2021,#REF!,Tableau3[EBE]),"")</f>
        <v/>
      </c>
      <c r="AH176" s="9" t="str">
        <f>IFERROR(_xlfn.XLOOKUP(Tableau1[[#This Row],[Isin]]&amp;1&amp;2022,#REF!,Tableau3[EBE]),"")</f>
        <v/>
      </c>
      <c r="AI176" s="13" t="s">
        <v>4324</v>
      </c>
      <c r="AJ176" s="13" t="s">
        <v>4322</v>
      </c>
      <c r="AK176" s="13" t="s">
        <v>3148</v>
      </c>
      <c r="AL176" s="43" t="s">
        <v>4343</v>
      </c>
      <c r="AM176" s="43"/>
      <c r="AN176" s="9" t="str">
        <f>IFERROR(_xlfn.XLOOKUP(Tableau1[[#This Row],[Isin]]&amp;1&amp;2021,#REF!,Tableau3[Chiffre d''affaires]),"")</f>
        <v/>
      </c>
      <c r="AO176" s="43" cm="1">
        <f t="array" aca="1" ref="AO176" ca="1">_FV(Tableau1[[#This Row],[Code Excel]],"P/E",TRUE)</f>
        <v>25.458200000000001</v>
      </c>
      <c r="AP176" s="43" t="str">
        <f>IFERROR(_xlfn.XLOOKUP(Tableau1[[#This Row],[Isin]]&amp;1&amp;2023,#REF!,Tableau3[Résultat Net (PdG)]),"")</f>
        <v/>
      </c>
      <c r="AQ176" s="43">
        <f>IF(IFERROR(_xlfn.XLOOKUP(Tableau1[[#This Row],[Isin]]&amp;1&amp;2022,#REF!,Tableau3[Résultat Net (PdG)]),"")="",Tableau1[[#This Row],[RN Groupe 2022
Manuel]],IFERROR(_xlfn.XLOOKUP(Tableau1[[#This Row],[Isin]]&amp;1&amp;2022,#REF!,Tableau3[Résultat Net (PdG)]),""))</f>
        <v>0</v>
      </c>
      <c r="AR176" s="43"/>
      <c r="AS176" s="43">
        <f>IF(IFERROR(_xlfn.XLOOKUP(Tableau1[[#This Row],[Isin]]&amp;1&amp;2021,#REF!,Tableau3[Résultat Net (PdG)]),"")="",Tableau1[[#This Row],[RN Groupe 2021
Manuel]],IFERROR(_xlfn.XLOOKUP(Tableau1[[#This Row],[Isin]]&amp;1&amp;2021,#REF!,Tableau3[Résultat Net (PdG)]),""))</f>
        <v>0</v>
      </c>
      <c r="AT176" s="43"/>
      <c r="AU176" s="43" t="str">
        <f>IFERROR(_xlfn.XLOOKUP(Tableau1[[#This Row],[Isin]]&amp;1&amp;2020,#REF!,Tableau3[Résultat Net (PdG)]),"")</f>
        <v/>
      </c>
      <c r="AV176" s="43" t="str">
        <f>IFERROR(_xlfn.XLOOKUP(Tableau1[[#This Row],[Isin]]&amp;1&amp;2019,#REF!,Tableau3[Résultat Net (PdG)]),"")</f>
        <v/>
      </c>
      <c r="AW176" s="43" t="str">
        <f>IFERROR(_xlfn.XLOOKUP(Tableau1[[#This Row],[Isin]]&amp;1&amp;2018,#REF!,Tableau3[Résultat Net (PdG)]),"")</f>
        <v/>
      </c>
      <c r="AX176" s="43" t="str">
        <f>IFERROR(_xlfn.XLOOKUP(Tableau1[[#This Row],[Isin]]&amp;1&amp;2017,#REF!,Tableau3[Résultat Net (PdG)]),"")</f>
        <v/>
      </c>
      <c r="AY176" s="43" t="str">
        <f>IFERROR(_xlfn.XLOOKUP(Tableau1[[#This Row],[Isin]]&amp;1&amp;2016,#REF!,Tableau3[Résultat Net (PdG)]),"")</f>
        <v/>
      </c>
      <c r="AZ176" s="137" t="str">
        <f ca="1">IFERROR(Tableau1[[#This Row],[Capitalisation boursière]]/Tableau1[[#This Row],[RN Groupe 2023]],"")</f>
        <v/>
      </c>
      <c r="BA176" s="4" t="str" cm="1">
        <f t="array" aca="1" ref="BA176" ca="1">IFERROR(_FV(Tableau1[[#This Row],[Code Excel]],"Industrie"),"")</f>
        <v>Pharmaceuticals</v>
      </c>
      <c r="BB176" s="43" t="s">
        <v>3477</v>
      </c>
      <c r="BC176" s="43" t="str">
        <f>IFERROR(_xlfn.XLOOKUP(Tableau1[[#This Row],[Isin]]&amp;1&amp;2016,#REF!,Tableau3[Capi]),"")</f>
        <v/>
      </c>
      <c r="BD176" s="43" t="str">
        <f>IFERROR(_xlfn.XLOOKUP(Tableau1[[#This Row],[Isin]]&amp;1&amp;2017,#REF!,Tableau3[Capi]),"")</f>
        <v/>
      </c>
      <c r="BE176" s="43" t="str">
        <f>IFERROR(_xlfn.XLOOKUP(Tableau1[[#This Row],[Isin]]&amp;1&amp;2018,#REF!,Tableau3[Capi]),"")</f>
        <v/>
      </c>
      <c r="BF176" s="43" t="str">
        <f>IFERROR(_xlfn.XLOOKUP(Tableau1[[#This Row],[Isin]]&amp;1&amp;2019,#REF!,Tableau3[Capi]),"")</f>
        <v/>
      </c>
      <c r="BG176" s="43" t="str">
        <f>IFERROR(_xlfn.XLOOKUP(Tableau1[[#This Row],[Isin]]&amp;1&amp;2020,#REF!,Tableau3[Capi]),"")</f>
        <v/>
      </c>
      <c r="BH176" s="43">
        <f>IF(IFERROR(_xlfn.XLOOKUP(Tableau1[[#This Row],[Isin]]&amp;1&amp;2021,#REF!,Tableau3[Capi]),"")="",Tableau1[[#This Row],[Capitalisation 2021
Manuel]],IFERROR(_xlfn.XLOOKUP(Tableau1[[#This Row],[Isin]]&amp;1&amp;2021,#REF!,Tableau3[Capi]),""))</f>
        <v>0</v>
      </c>
      <c r="BI176" s="43"/>
      <c r="BJ176" s="43">
        <f>IF(IFERROR(_xlfn.XLOOKUP(Tableau1[[#This Row],[Isin]]&amp;1&amp;2022,#REF!,Tableau3[Capi]),"")="",Tableau1[[#This Row],[Capitalisation 2022
Manuel]],IFERROR(_xlfn.XLOOKUP(Tableau1[[#This Row],[Isin]]&amp;1&amp;2022,#REF!,Tableau3[Capi]),""))</f>
        <v>0</v>
      </c>
      <c r="BK176" s="43"/>
      <c r="BL176" s="43">
        <f ca="1">Tableau1[[#This Row],[Capitalisation boursière]]</f>
        <v>9010062000</v>
      </c>
      <c r="BM176" s="162" t="str" cm="1">
        <f t="array" aca="1" ref="BM176" ca="1">_FV(Tableau1[[#This Row],[Code Excel]],"Description")</f>
        <v>Ipsen SA est un groupe biopharmaceutique français spécialisé dans les soins de spécialité. La Société exerce ses activités à l'échelle mondiale à travers deux segments : les soins spécialisés et les soins de santé grand public. En médecine de spécialité, la Société se concentre sur divers domaines thérapeutiques, notamment l'oncologie, les neurosciences et les maladies rares. Son portefeuille en oncologie comprend Somatuline, Decapeptyl, Cabometyx et Onivyde. Son portefeuille de neurosciences comprend Dysport et, dans le domaine des maladies rares, les produits clés sont NutropinAq et Increlex. Son portefeuille de soins primaires comprend Smecta, Forlax, Fortrans, Eziclen et Tanakan. En oncologie, Ipsen se concentre sur un certain nombre de domaines pathologiques, notamment les tumeurs neuroendocrines, le carcinome à cellules rénales, le carcinome hépatocellulaire et le cancer du pancréas. En outre, la Société est spécialisée dans la recherche sur les neurotoxines et exploite trois centres de recherche et développement situés en France, au Royaume-Uni et aux États-Unis.</v>
      </c>
      <c r="BN176" s="43"/>
      <c r="BO176" s="43"/>
      <c r="BP176" s="43"/>
      <c r="BQ176" s="43"/>
      <c r="BR176" s="13"/>
      <c r="BS176" s="13"/>
      <c r="BT176" s="13"/>
      <c r="BU176" s="13"/>
      <c r="BV176" s="13"/>
      <c r="BW176" s="4"/>
      <c r="BX176" s="21"/>
      <c r="BY176" s="13"/>
      <c r="BZ176" s="13"/>
      <c r="CA176" s="13"/>
      <c r="CB176" s="13"/>
      <c r="CC176" s="13"/>
      <c r="CD176" s="3"/>
      <c r="CE176" s="47"/>
      <c r="CF176" s="47"/>
      <c r="CG176" s="21"/>
      <c r="CH176" s="21"/>
    </row>
    <row r="177" spans="3:87">
      <c r="C177" s="43"/>
      <c r="D177" s="42">
        <f>IF(Tableau1[[#This Row],[Isin]]="",99,Tableau1[[#This Row],[Intérêt]]+Tableau1[[#This Row],[Valeur d''intérêt]]+Tableau1[[#This Row],[N° Portefeuille]])</f>
        <v>30</v>
      </c>
      <c r="E177" s="43"/>
      <c r="F177" s="42">
        <f>IF(Tableau1[[#This Row],[Portefeuille]]="p",0,Tableau1[[#This Row],[F. Investissement
Niveau d''intérêt]]*10)</f>
        <v>30</v>
      </c>
      <c r="G177" s="43">
        <f>IF(Tableau1[[#This Row],[Portefeuille]]="p",3,0)</f>
        <v>0</v>
      </c>
      <c r="H177" s="42">
        <v>3</v>
      </c>
      <c r="I177" s="43">
        <v>4</v>
      </c>
      <c r="J177" s="43"/>
      <c r="K177" s="43"/>
      <c r="L177" s="16">
        <v>0</v>
      </c>
      <c r="M17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7" s="44" t="s">
        <v>3896</v>
      </c>
      <c r="O177" s="45"/>
      <c r="P177" s="4" t="s">
        <v>84</v>
      </c>
      <c r="Q177" s="4"/>
      <c r="R177" s="6"/>
      <c r="S177" s="6" t="s">
        <v>3897</v>
      </c>
      <c r="T177" s="6" t="e" vm="161">
        <v>#VALUE!</v>
      </c>
      <c r="U177" s="46" cm="1">
        <f t="array" aca="1" ref="U177" ca="1">IFERROR(_FV(Tableau1[[#This Row],[Code Excel]],"Capitalisation boursière",TRUE),"")</f>
        <v>1839593000</v>
      </c>
      <c r="V177" s="4" t="str" cm="1">
        <f t="array" aca="1" ref="V177" ca="1">IFERROR(_FV(Tableau1[[#This Row],[Code Excel]],"Industrie"),"")</f>
        <v>Media &amp; Publishing</v>
      </c>
      <c r="W177" s="4" t="s">
        <v>2018</v>
      </c>
      <c r="X177" s="4" t="str">
        <f ca="1">Tableau1[[#This Row],[Grand Secteur]]&amp;Tableau1[[#This Row],[Industrie]]</f>
        <v>MédiaMedia &amp; Publishing</v>
      </c>
      <c r="Y177" s="23" cm="1">
        <f t="array" aca="1" ref="Y177" ca="1">IFERROR(_FV(Tableau1[[#This Row],[Code Excel]],"P/E",TRUE),"")</f>
        <v>8.9633000000000003</v>
      </c>
      <c r="Z177" s="43" cm="1">
        <f t="array" aca="1" ref="Z177" ca="1">IFERROR(_FV(Tableau1[[#This Row],[Code Excel]],"Employés"),"")</f>
        <v>19757</v>
      </c>
      <c r="AA177" s="49">
        <f ca="1">IFERROR(Tableau1[[#This Row],[Capitalisation boursière]]/Tableau1[[#This Row],[Employés]],"")</f>
        <v>93110.948018423849</v>
      </c>
      <c r="AB177" s="5" t="str">
        <f>IFERROR(Tableau1[[#This Row],[REX (2021)]]/Tableau1[[#This Row],[CA 2024]],"")</f>
        <v/>
      </c>
      <c r="AC177" s="9" t="str">
        <f>IFERROR(_xlfn.XLOOKUP(Tableau1[[#This Row],[Isin]]&amp;1&amp;2021,#REF!,Tableau3[Résultat d''exploitation]),"")</f>
        <v/>
      </c>
      <c r="AD177" s="9" t="str">
        <f>IFERROR(_xlfn.XLOOKUP(Tableau1[[#This Row],[Isin]]&amp;1&amp;2019,#REF!,Tableau3[Chiffre d''affaires]),"")</f>
        <v/>
      </c>
      <c r="AE177" s="9" t="str">
        <f>IFERROR(_xlfn.XLOOKUP(Tableau1[[#This Row],[Isin]]&amp;1&amp;2024,#REF!,Tableau3[Chiffre d''affaires]),"")</f>
        <v/>
      </c>
      <c r="AF177" s="8" t="str">
        <f>IFERROR(IF((Tableau1[[#This Row],[CA 2024]]-Tableau1[[#This Row],[CA 2019]])/Tableau1[[#This Row],[CA 2019]]=-1,"",(Tableau1[[#This Row],[CA 2024]]-Tableau1[[#This Row],[CA 2019]])/Tableau1[[#This Row],[CA 2019]]),"")</f>
        <v/>
      </c>
      <c r="AG177" s="9" t="str">
        <f>IFERROR(_xlfn.XLOOKUP(Tableau1[[#This Row],[Isin]]&amp;1&amp;2021,#REF!,Tableau3[EBE]),"")</f>
        <v/>
      </c>
      <c r="AH177" s="9" t="str">
        <f>IFERROR(_xlfn.XLOOKUP(Tableau1[[#This Row],[Isin]]&amp;1&amp;2022,#REF!,Tableau3[EBE]),"")</f>
        <v/>
      </c>
      <c r="AI177" s="43" t="s">
        <v>3431</v>
      </c>
      <c r="AJ177" s="13" t="s">
        <v>3150</v>
      </c>
      <c r="AK177" s="43" t="s">
        <v>3431</v>
      </c>
      <c r="AL177" s="43"/>
      <c r="AM177" s="43"/>
      <c r="AN177" s="9" t="str">
        <f>IFERROR(_xlfn.XLOOKUP(Tableau1[[#This Row],[Isin]]&amp;1&amp;2021,#REF!,Tableau3[Chiffre d''affaires]),"")</f>
        <v/>
      </c>
      <c r="AO177" s="43" cm="1">
        <f t="array" aca="1" ref="AO177" ca="1">_FV(Tableau1[[#This Row],[Code Excel]],"P/E",TRUE)</f>
        <v>8.9633000000000003</v>
      </c>
      <c r="AP177" s="43" t="str">
        <f>IFERROR(_xlfn.XLOOKUP(Tableau1[[#This Row],[Isin]]&amp;1&amp;2023,#REF!,Tableau3[Résultat Net (PdG)]),"")</f>
        <v/>
      </c>
      <c r="AQ177" s="43">
        <f>IF(IFERROR(_xlfn.XLOOKUP(Tableau1[[#This Row],[Isin]]&amp;1&amp;2022,#REF!,Tableau3[Résultat Net (PdG)]),"")="",Tableau1[[#This Row],[RN Groupe 2022
Manuel]],IFERROR(_xlfn.XLOOKUP(Tableau1[[#This Row],[Isin]]&amp;1&amp;2022,#REF!,Tableau3[Résultat Net (PdG)]),""))</f>
        <v>0</v>
      </c>
      <c r="AR177" s="43"/>
      <c r="AS177" s="43">
        <f>IF(IFERROR(_xlfn.XLOOKUP(Tableau1[[#This Row],[Isin]]&amp;1&amp;2021,#REF!,Tableau3[Résultat Net (PdG)]),"")="",Tableau1[[#This Row],[RN Groupe 2021
Manuel]],IFERROR(_xlfn.XLOOKUP(Tableau1[[#This Row],[Isin]]&amp;1&amp;2021,#REF!,Tableau3[Résultat Net (PdG)]),""))</f>
        <v>0</v>
      </c>
      <c r="AT177" s="43"/>
      <c r="AU177" s="43" t="str">
        <f>IFERROR(_xlfn.XLOOKUP(Tableau1[[#This Row],[Isin]]&amp;1&amp;2020,#REF!,Tableau3[Résultat Net (PdG)]),"")</f>
        <v/>
      </c>
      <c r="AV177" s="43" t="str">
        <f>IFERROR(_xlfn.XLOOKUP(Tableau1[[#This Row],[Isin]]&amp;1&amp;2019,#REF!,Tableau3[Résultat Net (PdG)]),"")</f>
        <v/>
      </c>
      <c r="AW177" s="43" t="str">
        <f>IFERROR(_xlfn.XLOOKUP(Tableau1[[#This Row],[Isin]]&amp;1&amp;2018,#REF!,Tableau3[Résultat Net (PdG)]),"")</f>
        <v/>
      </c>
      <c r="AX177" s="43" t="str">
        <f>IFERROR(_xlfn.XLOOKUP(Tableau1[[#This Row],[Isin]]&amp;1&amp;2017,#REF!,Tableau3[Résultat Net (PdG)]),"")</f>
        <v/>
      </c>
      <c r="AY177" s="43" t="str">
        <f>IFERROR(_xlfn.XLOOKUP(Tableau1[[#This Row],[Isin]]&amp;1&amp;2016,#REF!,Tableau3[Résultat Net (PdG)]),"")</f>
        <v/>
      </c>
      <c r="AZ177" s="137" t="str">
        <f ca="1">IFERROR(Tableau1[[#This Row],[Capitalisation boursière]]/Tableau1[[#This Row],[RN Groupe 2023]],"")</f>
        <v/>
      </c>
      <c r="BA177" s="4" t="str" cm="1">
        <f t="array" aca="1" ref="BA177" ca="1">IFERROR(_FV(Tableau1[[#This Row],[Code Excel]],"Industrie"),"")</f>
        <v>Media &amp; Publishing</v>
      </c>
      <c r="BB177" s="43" t="s">
        <v>3477</v>
      </c>
      <c r="BC177" s="43" t="str">
        <f>IFERROR(_xlfn.XLOOKUP(Tableau1[[#This Row],[Isin]]&amp;1&amp;2016,#REF!,Tableau3[Capi]),"")</f>
        <v/>
      </c>
      <c r="BD177" s="43" t="str">
        <f>IFERROR(_xlfn.XLOOKUP(Tableau1[[#This Row],[Isin]]&amp;1&amp;2017,#REF!,Tableau3[Capi]),"")</f>
        <v/>
      </c>
      <c r="BE177" s="43" t="str">
        <f>IFERROR(_xlfn.XLOOKUP(Tableau1[[#This Row],[Isin]]&amp;1&amp;2018,#REF!,Tableau3[Capi]),"")</f>
        <v/>
      </c>
      <c r="BF177" s="43" t="str">
        <f>IFERROR(_xlfn.XLOOKUP(Tableau1[[#This Row],[Isin]]&amp;1&amp;2019,#REF!,Tableau3[Capi]),"")</f>
        <v/>
      </c>
      <c r="BG177" s="43" t="str">
        <f>IFERROR(_xlfn.XLOOKUP(Tableau1[[#This Row],[Isin]]&amp;1&amp;2020,#REF!,Tableau3[Capi]),"")</f>
        <v/>
      </c>
      <c r="BH177" s="43">
        <f>IF(IFERROR(_xlfn.XLOOKUP(Tableau1[[#This Row],[Isin]]&amp;1&amp;2021,#REF!,Tableau3[Capi]),"")="",Tableau1[[#This Row],[Capitalisation 2021
Manuel]],IFERROR(_xlfn.XLOOKUP(Tableau1[[#This Row],[Isin]]&amp;1&amp;2021,#REF!,Tableau3[Capi]),""))</f>
        <v>0</v>
      </c>
      <c r="BI177" s="43"/>
      <c r="BJ177" s="43">
        <f>IF(IFERROR(_xlfn.XLOOKUP(Tableau1[[#This Row],[Isin]]&amp;1&amp;2022,#REF!,Tableau3[Capi]),"")="",Tableau1[[#This Row],[Capitalisation 2022
Manuel]],IFERROR(_xlfn.XLOOKUP(Tableau1[[#This Row],[Isin]]&amp;1&amp;2022,#REF!,Tableau3[Capi]),""))</f>
        <v>0</v>
      </c>
      <c r="BK177" s="43"/>
      <c r="BL177" s="43">
        <f ca="1">Tableau1[[#This Row],[Capitalisation boursière]]</f>
        <v>1839593000</v>
      </c>
      <c r="BM177" s="162" t="str" cm="1">
        <f t="array" aca="1" ref="BM177" ca="1">_FV(Tableau1[[#This Row],[Code Excel]],"Description")</f>
        <v>Ipsos sa est une société de recherche basée en France. La Société utilise des sondages et sondages mondiaux pour explorer le potentiel du marché, tester des produits et des médias publicitaires, étudier les audiences et la perception des audiences, et mesurer les tendances de l'opinion publique. Ipsos sa opère via les marques suivantes : Ipsos ASI, qui gère la division Advertising Research Specialists ; Ipsos Marketing, qui gère la division innovation and Brand Research Specialists ; Ipsos MediaCT, qui gère la division Media, Content and Technology Research Specialists ; Ipsos public Affairs, qui gère la division social Research and Corporate Reputation Specialists, Ipsos Loyalty, qui gère la division Customer and Employee Research Specialists, et Ipsos observer, qui gère la division Survey Management, Data Collection and Delivery Specialists. La Société opère par l'intermédiaire de ses filiales, telles que Ipsos Mori UK Ltd, Ipsos Brasil Pesquias de Mercado Ltda et LT participations sa, entre autres.</v>
      </c>
      <c r="BN177" s="43"/>
      <c r="BO177" s="43"/>
      <c r="BP177" s="43"/>
      <c r="BQ177" s="43"/>
      <c r="BR177" s="13"/>
      <c r="BS177" s="13"/>
      <c r="BT177" s="13"/>
      <c r="BU177" s="13"/>
      <c r="BV177" s="13"/>
      <c r="BW177" s="4"/>
      <c r="BX177" s="21"/>
      <c r="BY177" s="13"/>
      <c r="BZ177" s="13"/>
      <c r="CA177" s="13"/>
      <c r="CB177" s="13"/>
      <c r="CC177" s="13"/>
      <c r="CD177" s="3"/>
      <c r="CE177" s="47"/>
      <c r="CF177" s="47"/>
    </row>
    <row r="178" spans="3:87">
      <c r="C178" s="42"/>
      <c r="D178" s="42">
        <f>IF(Tableau1[[#This Row],[Isin]]="",99,Tableau1[[#This Row],[Intérêt]]+Tableau1[[#This Row],[Valeur d''intérêt]]+Tableau1[[#This Row],[N° Portefeuille]])</f>
        <v>30</v>
      </c>
      <c r="E178" s="42"/>
      <c r="F178" s="42">
        <f>IF(Tableau1[[#This Row],[Portefeuille]]="p",0,Tableau1[[#This Row],[F. Investissement
Niveau d''intérêt]]*10)</f>
        <v>30</v>
      </c>
      <c r="G178" s="42">
        <f>IF(Tableau1[[#This Row],[Portefeuille]]="p",3,0)</f>
        <v>0</v>
      </c>
      <c r="H178" s="42">
        <v>3</v>
      </c>
      <c r="I178" s="42">
        <v>4</v>
      </c>
      <c r="J178" s="42"/>
      <c r="K178" s="43"/>
      <c r="L178" s="16">
        <v>0</v>
      </c>
      <c r="M17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8" s="44" t="s">
        <v>3899</v>
      </c>
      <c r="O178" s="45"/>
      <c r="P178" s="4" t="s">
        <v>84</v>
      </c>
      <c r="Q178" s="4"/>
      <c r="R178" s="6"/>
      <c r="S178" s="6" t="s">
        <v>3900</v>
      </c>
      <c r="T178" s="6" t="e" vm="162">
        <v>#VALUE!</v>
      </c>
      <c r="U178" s="46" cm="1">
        <f t="array" aca="1" ref="U178" ca="1">IFERROR(_FV(Tableau1[[#This Row],[Code Excel]],"Capitalisation boursière",TRUE),"")</f>
        <v>3361820000</v>
      </c>
      <c r="V178" s="4" t="str" cm="1">
        <f t="array" aca="1" ref="V178" ca="1">IFERROR(_FV(Tableau1[[#This Row],[Code Excel]],"Industrie"),"")</f>
        <v>Media &amp; Publishing</v>
      </c>
      <c r="W178" s="4" t="s">
        <v>2018</v>
      </c>
      <c r="X178" s="4" t="str">
        <f ca="1">Tableau1[[#This Row],[Grand Secteur]]&amp;Tableau1[[#This Row],[Industrie]]</f>
        <v>MédiaMedia &amp; Publishing</v>
      </c>
      <c r="Y178" s="23" cm="1">
        <f t="array" aca="1" ref="Y178" ca="1">IFERROR(_FV(Tableau1[[#This Row],[Code Excel]],"P/E",TRUE),"")</f>
        <v>12.9656</v>
      </c>
      <c r="Z178" s="43" cm="1">
        <f t="array" aca="1" ref="Z178" ca="1">IFERROR(_FV(Tableau1[[#This Row],[Code Excel]],"Employés"),"")</f>
        <v>11434</v>
      </c>
      <c r="AA178" s="49">
        <f ca="1">IFERROR(Tableau1[[#This Row],[Capitalisation boursière]]/Tableau1[[#This Row],[Employés]],"")</f>
        <v>294019.59069442016</v>
      </c>
      <c r="AB178" s="5" t="str">
        <f>IFERROR(Tableau1[[#This Row],[REX (2021)]]/Tableau1[[#This Row],[CA 2024]],"")</f>
        <v/>
      </c>
      <c r="AC178" s="9" t="str">
        <f>IFERROR(_xlfn.XLOOKUP(Tableau1[[#This Row],[Isin]]&amp;1&amp;2021,#REF!,Tableau3[Résultat d''exploitation]),"")</f>
        <v/>
      </c>
      <c r="AD178" s="9" t="str">
        <f>IFERROR(_xlfn.XLOOKUP(Tableau1[[#This Row],[Isin]]&amp;1&amp;2019,#REF!,Tableau3[Chiffre d''affaires]),"")</f>
        <v/>
      </c>
      <c r="AE178" s="9" t="str">
        <f>IFERROR(_xlfn.XLOOKUP(Tableau1[[#This Row],[Isin]]&amp;1&amp;2024,#REF!,Tableau3[Chiffre d''affaires]),"")</f>
        <v/>
      </c>
      <c r="AF178" s="8" t="str">
        <f>IFERROR(IF((Tableau1[[#This Row],[CA 2024]]-Tableau1[[#This Row],[CA 2019]])/Tableau1[[#This Row],[CA 2019]]=-1,"",(Tableau1[[#This Row],[CA 2024]]-Tableau1[[#This Row],[CA 2019]])/Tableau1[[#This Row],[CA 2019]]),"")</f>
        <v/>
      </c>
      <c r="AG178" s="9" t="str">
        <f>IFERROR(_xlfn.XLOOKUP(Tableau1[[#This Row],[Isin]]&amp;1&amp;2021,#REF!,Tableau3[EBE]),"")</f>
        <v/>
      </c>
      <c r="AH178" s="9" t="str">
        <f>IFERROR(_xlfn.XLOOKUP(Tableau1[[#This Row],[Isin]]&amp;1&amp;2022,#REF!,Tableau3[EBE]),"")</f>
        <v/>
      </c>
      <c r="AI178" s="43" t="s">
        <v>3431</v>
      </c>
      <c r="AJ178" s="13" t="s">
        <v>3150</v>
      </c>
      <c r="AK178" s="43" t="s">
        <v>3431</v>
      </c>
      <c r="AL178" s="43"/>
      <c r="AM178" s="43"/>
      <c r="AN178" s="9" t="str">
        <f>IFERROR(_xlfn.XLOOKUP(Tableau1[[#This Row],[Isin]]&amp;1&amp;2021,#REF!,Tableau3[Chiffre d''affaires]),"")</f>
        <v/>
      </c>
      <c r="AO178" s="43" cm="1">
        <f t="array" aca="1" ref="AO178" ca="1">_FV(Tableau1[[#This Row],[Code Excel]],"P/E",TRUE)</f>
        <v>12.9656</v>
      </c>
      <c r="AP178" s="43" t="str">
        <f>IFERROR(_xlfn.XLOOKUP(Tableau1[[#This Row],[Isin]]&amp;1&amp;2023,#REF!,Tableau3[Résultat Net (PdG)]),"")</f>
        <v/>
      </c>
      <c r="AQ178" s="43">
        <f>IF(IFERROR(_xlfn.XLOOKUP(Tableau1[[#This Row],[Isin]]&amp;1&amp;2022,#REF!,Tableau3[Résultat Net (PdG)]),"")="",Tableau1[[#This Row],[RN Groupe 2022
Manuel]],IFERROR(_xlfn.XLOOKUP(Tableau1[[#This Row],[Isin]]&amp;1&amp;2022,#REF!,Tableau3[Résultat Net (PdG)]),""))</f>
        <v>0</v>
      </c>
      <c r="AR178" s="43"/>
      <c r="AS178" s="43">
        <f>IF(IFERROR(_xlfn.XLOOKUP(Tableau1[[#This Row],[Isin]]&amp;1&amp;2021,#REF!,Tableau3[Résultat Net (PdG)]),"")="",Tableau1[[#This Row],[RN Groupe 2021
Manuel]],IFERROR(_xlfn.XLOOKUP(Tableau1[[#This Row],[Isin]]&amp;1&amp;2021,#REF!,Tableau3[Résultat Net (PdG)]),""))</f>
        <v>0</v>
      </c>
      <c r="AT178" s="43"/>
      <c r="AU178" s="43" t="str">
        <f>IFERROR(_xlfn.XLOOKUP(Tableau1[[#This Row],[Isin]]&amp;1&amp;2020,#REF!,Tableau3[Résultat Net (PdG)]),"")</f>
        <v/>
      </c>
      <c r="AV178" s="43" t="str">
        <f>IFERROR(_xlfn.XLOOKUP(Tableau1[[#This Row],[Isin]]&amp;1&amp;2019,#REF!,Tableau3[Résultat Net (PdG)]),"")</f>
        <v/>
      </c>
      <c r="AW178" s="43" t="str">
        <f>IFERROR(_xlfn.XLOOKUP(Tableau1[[#This Row],[Isin]]&amp;1&amp;2018,#REF!,Tableau3[Résultat Net (PdG)]),"")</f>
        <v/>
      </c>
      <c r="AX178" s="43" t="str">
        <f>IFERROR(_xlfn.XLOOKUP(Tableau1[[#This Row],[Isin]]&amp;1&amp;2017,#REF!,Tableau3[Résultat Net (PdG)]),"")</f>
        <v/>
      </c>
      <c r="AY178" s="43" t="str">
        <f>IFERROR(_xlfn.XLOOKUP(Tableau1[[#This Row],[Isin]]&amp;1&amp;2016,#REF!,Tableau3[Résultat Net (PdG)]),"")</f>
        <v/>
      </c>
      <c r="AZ178" s="137" t="str">
        <f ca="1">IFERROR(Tableau1[[#This Row],[Capitalisation boursière]]/Tableau1[[#This Row],[RN Groupe 2023]],"")</f>
        <v/>
      </c>
      <c r="BA178" s="4" t="str" cm="1">
        <f t="array" aca="1" ref="BA178" ca="1">IFERROR(_FV(Tableau1[[#This Row],[Code Excel]],"Industrie"),"")</f>
        <v>Media &amp; Publishing</v>
      </c>
      <c r="BB178" s="43" t="s">
        <v>3477</v>
      </c>
      <c r="BC178" s="43" t="str">
        <f>IFERROR(_xlfn.XLOOKUP(Tableau1[[#This Row],[Isin]]&amp;1&amp;2016,#REF!,Tableau3[Capi]),"")</f>
        <v/>
      </c>
      <c r="BD178" s="43" t="str">
        <f>IFERROR(_xlfn.XLOOKUP(Tableau1[[#This Row],[Isin]]&amp;1&amp;2017,#REF!,Tableau3[Capi]),"")</f>
        <v/>
      </c>
      <c r="BE178" s="43" t="str">
        <f>IFERROR(_xlfn.XLOOKUP(Tableau1[[#This Row],[Isin]]&amp;1&amp;2018,#REF!,Tableau3[Capi]),"")</f>
        <v/>
      </c>
      <c r="BF178" s="43" t="str">
        <f>IFERROR(_xlfn.XLOOKUP(Tableau1[[#This Row],[Isin]]&amp;1&amp;2019,#REF!,Tableau3[Capi]),"")</f>
        <v/>
      </c>
      <c r="BG178" s="43" t="str">
        <f>IFERROR(_xlfn.XLOOKUP(Tableau1[[#This Row],[Isin]]&amp;1&amp;2020,#REF!,Tableau3[Capi]),"")</f>
        <v/>
      </c>
      <c r="BH178" s="43">
        <f>IF(IFERROR(_xlfn.XLOOKUP(Tableau1[[#This Row],[Isin]]&amp;1&amp;2021,#REF!,Tableau3[Capi]),"")="",Tableau1[[#This Row],[Capitalisation 2021
Manuel]],IFERROR(_xlfn.XLOOKUP(Tableau1[[#This Row],[Isin]]&amp;1&amp;2021,#REF!,Tableau3[Capi]),""))</f>
        <v>0</v>
      </c>
      <c r="BI178" s="43"/>
      <c r="BJ178" s="43">
        <f>IF(IFERROR(_xlfn.XLOOKUP(Tableau1[[#This Row],[Isin]]&amp;1&amp;2022,#REF!,Tableau3[Capi]),"")="",Tableau1[[#This Row],[Capitalisation 2022
Manuel]],IFERROR(_xlfn.XLOOKUP(Tableau1[[#This Row],[Isin]]&amp;1&amp;2022,#REF!,Tableau3[Capi]),""))</f>
        <v>0</v>
      </c>
      <c r="BK178" s="43"/>
      <c r="BL178" s="43">
        <f ca="1">Tableau1[[#This Row],[Capitalisation boursière]]</f>
        <v>3361820000</v>
      </c>
      <c r="BM178" s="162" t="str" cm="1">
        <f t="array" aca="1" ref="BM178" ca="1">_FV(Tableau1[[#This Row],[Code Excel]],"Description")</f>
        <v>JCDECAUX SE est une société de publicité extérieure basée en France. Elle divise ses activités en trois secteurs principaux : Publicité sur le mobilier urbain, publicité sur les panneaux d'affichage et dans les transports. La Société commissionne et maintient une gamme d'éléments de mobilier urbain, comprenant les abris de bus et de tram, toilettes extérieures automatiques, supports à vélos en libre-service, colonnes multiservices, kiosques à journaux, panneaux lumineux, bancs publics et poubelles publiques. La publicité sur panneaux d'affichage comprend les panneaux d'affichage défilants ainsi que les systèmes de panneaux traditionnels. La publicité dans les transports englobe la publicité sur les véhicules, les aéroports et dans les gares et les stations de métro. La Société opère en Europe, région Asie-Pacifique, Moyen-Orient et Russie, entre autres. Elle fonctionne par le biais de JCDecaux-Top Media.</v>
      </c>
      <c r="BN178" s="43"/>
      <c r="BO178" s="43"/>
      <c r="BP178" s="43"/>
      <c r="BQ178" s="43"/>
      <c r="BR178" s="13"/>
      <c r="BS178" s="13"/>
      <c r="BT178" s="13"/>
      <c r="BU178" s="13"/>
      <c r="BV178" s="13"/>
      <c r="BW178" s="4"/>
      <c r="BX178" s="21"/>
      <c r="BY178" s="13"/>
      <c r="BZ178" s="13"/>
      <c r="CA178" s="13"/>
      <c r="CB178" s="13"/>
      <c r="CC178" s="13"/>
      <c r="CD178" s="3"/>
      <c r="CE178" s="47"/>
      <c r="CF178" s="47"/>
    </row>
    <row r="179" spans="3:87">
      <c r="C179" s="43"/>
      <c r="D179" s="42">
        <f>IF(Tableau1[[#This Row],[Isin]]="",99,Tableau1[[#This Row],[Intérêt]]+Tableau1[[#This Row],[Valeur d''intérêt]]+Tableau1[[#This Row],[N° Portefeuille]])</f>
        <v>30</v>
      </c>
      <c r="E179" s="43"/>
      <c r="F179" s="42">
        <f>IF(Tableau1[[#This Row],[Portefeuille]]="p",0,Tableau1[[#This Row],[F. Investissement
Niveau d''intérêt]]*10)</f>
        <v>30</v>
      </c>
      <c r="G179" s="43">
        <f>IF(Tableau1[[#This Row],[Portefeuille]]="p",3,0)</f>
        <v>0</v>
      </c>
      <c r="H179" s="42">
        <v>3</v>
      </c>
      <c r="I179" s="43">
        <v>4</v>
      </c>
      <c r="J179" s="43"/>
      <c r="K179" s="43"/>
      <c r="L179" s="16">
        <v>0</v>
      </c>
      <c r="M17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79" s="44" t="s">
        <v>3902</v>
      </c>
      <c r="O179" s="45"/>
      <c r="P179" s="4" t="s">
        <v>382</v>
      </c>
      <c r="Q179" s="4"/>
      <c r="R179" s="6"/>
      <c r="S179" s="6" t="s">
        <v>3903</v>
      </c>
      <c r="T179" s="6" t="e" vm="163">
        <v>#VALUE!</v>
      </c>
      <c r="U179" s="46" cm="1">
        <f t="array" aca="1" ref="U179" ca="1">IFERROR(_FV(Tableau1[[#This Row],[Code Excel]],"Capitalisation boursière",TRUE),"")</f>
        <v>400155260400</v>
      </c>
      <c r="V179" s="4" t="str" cm="1">
        <f t="array" aca="1" ref="V179" ca="1">IFERROR(_FV(Tableau1[[#This Row],[Code Excel]],"Industrie"),"")</f>
        <v>Pharmaceuticals</v>
      </c>
      <c r="W179" s="4" t="s">
        <v>1586</v>
      </c>
      <c r="X179" s="4" t="str">
        <f ca="1">Tableau1[[#This Row],[Grand Secteur]]&amp;Tableau1[[#This Row],[Industrie]]</f>
        <v>SantéPharmaceuticals</v>
      </c>
      <c r="Y179" s="23" cm="1">
        <f t="array" aca="1" ref="Y179" ca="1">IFERROR(_FV(Tableau1[[#This Row],[Code Excel]],"P/E",TRUE),"")</f>
        <v>28.240400000000001</v>
      </c>
      <c r="Z179" s="43" cm="1">
        <f t="array" aca="1" ref="Z179" ca="1">IFERROR(_FV(Tableau1[[#This Row],[Code Excel]],"Employés"),"")</f>
        <v>138100</v>
      </c>
      <c r="AA179" s="49">
        <f ca="1">IFERROR(Tableau1[[#This Row],[Capitalisation boursière]]/Tableau1[[#This Row],[Employés]],"")</f>
        <v>2897576.1071687182</v>
      </c>
      <c r="AB179" s="5" t="str">
        <f>IFERROR(Tableau1[[#This Row],[REX (2021)]]/Tableau1[[#This Row],[CA 2024]],"")</f>
        <v/>
      </c>
      <c r="AC179" s="9" t="str">
        <f>IFERROR(_xlfn.XLOOKUP(Tableau1[[#This Row],[Isin]]&amp;1&amp;2021,#REF!,Tableau3[Résultat d''exploitation]),"")</f>
        <v/>
      </c>
      <c r="AD179" s="9" t="str">
        <f>IFERROR(_xlfn.XLOOKUP(Tableau1[[#This Row],[Isin]]&amp;1&amp;2019,#REF!,Tableau3[Chiffre d''affaires]),"")</f>
        <v/>
      </c>
      <c r="AE179" s="9" t="str">
        <f>IFERROR(_xlfn.XLOOKUP(Tableau1[[#This Row],[Isin]]&amp;1&amp;2024,#REF!,Tableau3[Chiffre d''affaires]),"")</f>
        <v/>
      </c>
      <c r="AF179" s="8" t="str">
        <f>IFERROR(IF((Tableau1[[#This Row],[CA 2024]]-Tableau1[[#This Row],[CA 2019]])/Tableau1[[#This Row],[CA 2019]]=-1,"",(Tableau1[[#This Row],[CA 2024]]-Tableau1[[#This Row],[CA 2019]])/Tableau1[[#This Row],[CA 2019]]),"")</f>
        <v/>
      </c>
      <c r="AG179" s="9" t="str">
        <f>IFERROR(_xlfn.XLOOKUP(Tableau1[[#This Row],[Isin]]&amp;1&amp;2021,#REF!,Tableau3[EBE]),"")</f>
        <v/>
      </c>
      <c r="AH179" s="9" t="str">
        <f>IFERROR(_xlfn.XLOOKUP(Tableau1[[#This Row],[Isin]]&amp;1&amp;2022,#REF!,Tableau3[EBE]),"")</f>
        <v/>
      </c>
      <c r="AI179" s="13" t="s">
        <v>4324</v>
      </c>
      <c r="AJ179" s="13" t="s">
        <v>4325</v>
      </c>
      <c r="AK179" s="13" t="s">
        <v>3148</v>
      </c>
      <c r="AL179" s="43"/>
      <c r="AM179" s="43"/>
      <c r="AN179" s="9" t="str">
        <f>IFERROR(_xlfn.XLOOKUP(Tableau1[[#This Row],[Isin]]&amp;1&amp;2021,#REF!,Tableau3[Chiffre d''affaires]),"")</f>
        <v/>
      </c>
      <c r="AO179" s="43" cm="1">
        <f t="array" aca="1" ref="AO179" ca="1">_FV(Tableau1[[#This Row],[Code Excel]],"P/E",TRUE)</f>
        <v>28.240400000000001</v>
      </c>
      <c r="AP179" s="43" t="str">
        <f>IFERROR(_xlfn.XLOOKUP(Tableau1[[#This Row],[Isin]]&amp;1&amp;2023,#REF!,Tableau3[Résultat Net (PdG)]),"")</f>
        <v/>
      </c>
      <c r="AQ179" s="43">
        <f>IF(IFERROR(_xlfn.XLOOKUP(Tableau1[[#This Row],[Isin]]&amp;1&amp;2022,#REF!,Tableau3[Résultat Net (PdG)]),"")="",Tableau1[[#This Row],[RN Groupe 2022
Manuel]],IFERROR(_xlfn.XLOOKUP(Tableau1[[#This Row],[Isin]]&amp;1&amp;2022,#REF!,Tableau3[Résultat Net (PdG)]),""))</f>
        <v>0</v>
      </c>
      <c r="AR179" s="43"/>
      <c r="AS179" s="43">
        <f>IF(IFERROR(_xlfn.XLOOKUP(Tableau1[[#This Row],[Isin]]&amp;1&amp;2021,#REF!,Tableau3[Résultat Net (PdG)]),"")="",Tableau1[[#This Row],[RN Groupe 2021
Manuel]],IFERROR(_xlfn.XLOOKUP(Tableau1[[#This Row],[Isin]]&amp;1&amp;2021,#REF!,Tableau3[Résultat Net (PdG)]),""))</f>
        <v>0</v>
      </c>
      <c r="AT179" s="43"/>
      <c r="AU179" s="43" t="str">
        <f>IFERROR(_xlfn.XLOOKUP(Tableau1[[#This Row],[Isin]]&amp;1&amp;2020,#REF!,Tableau3[Résultat Net (PdG)]),"")</f>
        <v/>
      </c>
      <c r="AV179" s="43" t="str">
        <f>IFERROR(_xlfn.XLOOKUP(Tableau1[[#This Row],[Isin]]&amp;1&amp;2019,#REF!,Tableau3[Résultat Net (PdG)]),"")</f>
        <v/>
      </c>
      <c r="AW179" s="43" t="str">
        <f>IFERROR(_xlfn.XLOOKUP(Tableau1[[#This Row],[Isin]]&amp;1&amp;2018,#REF!,Tableau3[Résultat Net (PdG)]),"")</f>
        <v/>
      </c>
      <c r="AX179" s="43" t="str">
        <f>IFERROR(_xlfn.XLOOKUP(Tableau1[[#This Row],[Isin]]&amp;1&amp;2017,#REF!,Tableau3[Résultat Net (PdG)]),"")</f>
        <v/>
      </c>
      <c r="AY179" s="43" t="str">
        <f>IFERROR(_xlfn.XLOOKUP(Tableau1[[#This Row],[Isin]]&amp;1&amp;2016,#REF!,Tableau3[Résultat Net (PdG)]),"")</f>
        <v/>
      </c>
      <c r="AZ179" s="137" t="str">
        <f ca="1">IFERROR(Tableau1[[#This Row],[Capitalisation boursière]]/Tableau1[[#This Row],[RN Groupe 2023]],"")</f>
        <v/>
      </c>
      <c r="BA179" s="4" t="str" cm="1">
        <f t="array" aca="1" ref="BA179" ca="1">IFERROR(_FV(Tableau1[[#This Row],[Code Excel]],"Industrie"),"")</f>
        <v>Pharmaceuticals</v>
      </c>
      <c r="BB179" s="43" t="s">
        <v>3464</v>
      </c>
      <c r="BC179" s="43" t="str">
        <f>IFERROR(_xlfn.XLOOKUP(Tableau1[[#This Row],[Isin]]&amp;1&amp;2016,#REF!,Tableau3[Capi]),"")</f>
        <v/>
      </c>
      <c r="BD179" s="43" t="str">
        <f>IFERROR(_xlfn.XLOOKUP(Tableau1[[#This Row],[Isin]]&amp;1&amp;2017,#REF!,Tableau3[Capi]),"")</f>
        <v/>
      </c>
      <c r="BE179" s="43" t="str">
        <f>IFERROR(_xlfn.XLOOKUP(Tableau1[[#This Row],[Isin]]&amp;1&amp;2018,#REF!,Tableau3[Capi]),"")</f>
        <v/>
      </c>
      <c r="BF179" s="43" t="str">
        <f>IFERROR(_xlfn.XLOOKUP(Tableau1[[#This Row],[Isin]]&amp;1&amp;2019,#REF!,Tableau3[Capi]),"")</f>
        <v/>
      </c>
      <c r="BG179" s="43" t="str">
        <f>IFERROR(_xlfn.XLOOKUP(Tableau1[[#This Row],[Isin]]&amp;1&amp;2020,#REF!,Tableau3[Capi]),"")</f>
        <v/>
      </c>
      <c r="BH179" s="43">
        <f>IF(IFERROR(_xlfn.XLOOKUP(Tableau1[[#This Row],[Isin]]&amp;1&amp;2021,#REF!,Tableau3[Capi]),"")="",Tableau1[[#This Row],[Capitalisation 2021
Manuel]],IFERROR(_xlfn.XLOOKUP(Tableau1[[#This Row],[Isin]]&amp;1&amp;2021,#REF!,Tableau3[Capi]),""))</f>
        <v>0</v>
      </c>
      <c r="BI179" s="43"/>
      <c r="BJ179" s="43">
        <f>IF(IFERROR(_xlfn.XLOOKUP(Tableau1[[#This Row],[Isin]]&amp;1&amp;2022,#REF!,Tableau3[Capi]),"")="",Tableau1[[#This Row],[Capitalisation 2022
Manuel]],IFERROR(_xlfn.XLOOKUP(Tableau1[[#This Row],[Isin]]&amp;1&amp;2022,#REF!,Tableau3[Capi]),""))</f>
        <v>0</v>
      </c>
      <c r="BK179" s="43"/>
      <c r="BL179" s="43">
        <f ca="1">Tableau1[[#This Row],[Capitalisation boursière]]</f>
        <v>400155260400</v>
      </c>
      <c r="BM179" s="162" t="str" cm="1">
        <f t="array" aca="1" ref="BM179" ca="1">_FV(Tableau1[[#This Row],[Code Excel]],"Description")</f>
        <v>Johnson &amp; Johnson, par l'intermédiaire de ses filiales, est engagée dans la recherche et le développement, la fabrication et la vente d'une gamme de produits dans le domaine de la santé. L'objectif principal de la Société est les produits liés à la santé et au bien-être humains. Il opère à travers deux segments : médecine innovante et MedTech. Le segment médecine innovante se concentre sur divers domaines thérapeutiques, y compris l'immunologie, les maladies infectieuses, les neurosciences, l'oncologie, hypertension pulmonaire, maladies cardiovasculaires et métaboliques. Les produits de ce segment sont distribués directement aux détaillants, aux grossistes, aux distributeurs, aux hôpitaux et aux professionnels de la santé pour ordonnance. Le segment MedTech comprend une large gamme de produits utilisés dans les domaines de l'orthopédie, de la chirurgie, des solutions interventionnelles et de la vision. Ces produits sont distribués aux grossistes, aux hôpitaux et aux détaillants, et utilisés principalement dans les domaines professionnels par les médecins, les infirmières, les hôpitaux, les professionnels des soins oculaires et les cliniques.</v>
      </c>
      <c r="BN179" s="43"/>
      <c r="BO179" s="43"/>
      <c r="BP179" s="43"/>
      <c r="BQ179" s="43"/>
      <c r="BR179" s="13"/>
      <c r="BS179" s="13"/>
      <c r="BT179" s="13"/>
      <c r="BU179" s="13"/>
      <c r="BV179" s="13"/>
      <c r="BW179" s="4"/>
      <c r="BX179" s="21"/>
      <c r="BY179" s="13"/>
      <c r="BZ179" s="13"/>
      <c r="CA179" s="13"/>
      <c r="CB179" s="13"/>
      <c r="CC179" s="13"/>
      <c r="CD179" s="3"/>
      <c r="CE179" s="47"/>
      <c r="CF179" s="47"/>
    </row>
    <row r="180" spans="3:87">
      <c r="C180" s="42"/>
      <c r="D180" s="42">
        <f>IF(Tableau1[[#This Row],[Isin]]="",99,Tableau1[[#This Row],[Intérêt]]+Tableau1[[#This Row],[Valeur d''intérêt]]+Tableau1[[#This Row],[N° Portefeuille]])</f>
        <v>30</v>
      </c>
      <c r="E180" s="42"/>
      <c r="F180" s="42">
        <f>IF(Tableau1[[#This Row],[Portefeuille]]="p",0,Tableau1[[#This Row],[F. Investissement
Niveau d''intérêt]]*10)</f>
        <v>30</v>
      </c>
      <c r="G180" s="42">
        <f>IF(Tableau1[[#This Row],[Portefeuille]]="p",3,0)</f>
        <v>0</v>
      </c>
      <c r="H180" s="42">
        <v>3</v>
      </c>
      <c r="I180" s="42">
        <v>3</v>
      </c>
      <c r="J180" s="42"/>
      <c r="K180" s="43"/>
      <c r="L180" s="16">
        <v>0</v>
      </c>
      <c r="M18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0" s="44" t="s">
        <v>3432</v>
      </c>
      <c r="O180" s="45"/>
      <c r="P180" s="4" t="s">
        <v>382</v>
      </c>
      <c r="Q180" s="4"/>
      <c r="R180" s="6"/>
      <c r="S180" s="6" t="s">
        <v>3351</v>
      </c>
      <c r="T180" s="6" t="e" vm="164">
        <v>#VALUE!</v>
      </c>
      <c r="U180" s="46" cm="1">
        <f t="array" aca="1" ref="U180" ca="1">IFERROR(_FV(Tableau1[[#This Row],[Code Excel]],"Capitalisation boursière",TRUE),"")</f>
        <v>670366413500</v>
      </c>
      <c r="V180" s="4" t="str" cm="1">
        <f t="array" aca="1" ref="V180" ca="1">IFERROR(_FV(Tableau1[[#This Row],[Code Excel]],"Industrie"),"")</f>
        <v>Banking Services</v>
      </c>
      <c r="W180" s="4" t="s">
        <v>4335</v>
      </c>
      <c r="X180" s="4" t="str">
        <f ca="1">Tableau1[[#This Row],[Grand Secteur]]&amp;Tableau1[[#This Row],[Industrie]]</f>
        <v>FinanceBanking Services</v>
      </c>
      <c r="Y180" s="23" cm="1">
        <f t="array" aca="1" ref="Y180" ca="1">IFERROR(_FV(Tableau1[[#This Row],[Code Excel]],"P/E",TRUE),"")</f>
        <v>12.2957</v>
      </c>
      <c r="Z180" s="43" cm="1">
        <f t="array" aca="1" ref="Z180" ca="1">IFERROR(_FV(Tableau1[[#This Row],[Code Excel]],"Employés"),"")</f>
        <v>317233</v>
      </c>
      <c r="AA180" s="49">
        <f ca="1">IFERROR(Tableau1[[#This Row],[Capitalisation boursière]]/Tableau1[[#This Row],[Employés]],"")</f>
        <v>2113167.33599594</v>
      </c>
      <c r="AB180" s="5" t="str">
        <f>IFERROR(Tableau1[[#This Row],[REX (2021)]]/Tableau1[[#This Row],[CA 2024]],"")</f>
        <v/>
      </c>
      <c r="AC180" s="9" t="str">
        <f>IFERROR(_xlfn.XLOOKUP(Tableau1[[#This Row],[Isin]]&amp;1&amp;2021,#REF!,Tableau3[Résultat d''exploitation]),"")</f>
        <v/>
      </c>
      <c r="AD180" s="9" t="str">
        <f>IFERROR(_xlfn.XLOOKUP(Tableau1[[#This Row],[Isin]]&amp;1&amp;2019,#REF!,Tableau3[Chiffre d''affaires]),"")</f>
        <v/>
      </c>
      <c r="AE180" s="9" t="str">
        <f>IFERROR(_xlfn.XLOOKUP(Tableau1[[#This Row],[Isin]]&amp;1&amp;2024,#REF!,Tableau3[Chiffre d''affaires]),"")</f>
        <v/>
      </c>
      <c r="AF180" s="8" t="str">
        <f>IFERROR(IF((Tableau1[[#This Row],[CA 2024]]-Tableau1[[#This Row],[CA 2019]])/Tableau1[[#This Row],[CA 2019]]=-1,"",(Tableau1[[#This Row],[CA 2024]]-Tableau1[[#This Row],[CA 2019]])/Tableau1[[#This Row],[CA 2019]]),"")</f>
        <v/>
      </c>
      <c r="AG180" s="9" t="str">
        <f>IFERROR(_xlfn.XLOOKUP(Tableau1[[#This Row],[Isin]]&amp;1&amp;2021,#REF!,Tableau3[EBE]),"")</f>
        <v/>
      </c>
      <c r="AH180" s="9" t="str">
        <f>IFERROR(_xlfn.XLOOKUP(Tableau1[[#This Row],[Isin]]&amp;1&amp;2022,#REF!,Tableau3[EBE]),"")</f>
        <v/>
      </c>
      <c r="AI180" s="43" t="s">
        <v>4343</v>
      </c>
      <c r="AJ180" s="43" t="s">
        <v>3150</v>
      </c>
      <c r="AK180" s="43" t="s">
        <v>3148</v>
      </c>
      <c r="AL180" s="43"/>
      <c r="AM180" s="43"/>
      <c r="AN180" s="9" t="str">
        <f>IFERROR(_xlfn.XLOOKUP(Tableau1[[#This Row],[Isin]]&amp;1&amp;2021,#REF!,Tableau3[Chiffre d''affaires]),"")</f>
        <v/>
      </c>
      <c r="AO180" s="43" cm="1">
        <f t="array" aca="1" ref="AO180" ca="1">_FV(Tableau1[[#This Row],[Code Excel]],"P/E",TRUE)</f>
        <v>12.2957</v>
      </c>
      <c r="AP180" s="43" t="str">
        <f>IFERROR(_xlfn.XLOOKUP(Tableau1[[#This Row],[Isin]]&amp;1&amp;2023,#REF!,Tableau3[Résultat Net (PdG)]),"")</f>
        <v/>
      </c>
      <c r="AQ180" s="43">
        <f>IF(IFERROR(_xlfn.XLOOKUP(Tableau1[[#This Row],[Isin]]&amp;1&amp;2022,#REF!,Tableau3[Résultat Net (PdG)]),"")="",Tableau1[[#This Row],[RN Groupe 2022
Manuel]],IFERROR(_xlfn.XLOOKUP(Tableau1[[#This Row],[Isin]]&amp;1&amp;2022,#REF!,Tableau3[Résultat Net (PdG)]),""))</f>
        <v>0</v>
      </c>
      <c r="AR180" s="43"/>
      <c r="AS180" s="43">
        <f>IF(IFERROR(_xlfn.XLOOKUP(Tableau1[[#This Row],[Isin]]&amp;1&amp;2021,#REF!,Tableau3[Résultat Net (PdG)]),"")="",Tableau1[[#This Row],[RN Groupe 2021
Manuel]],IFERROR(_xlfn.XLOOKUP(Tableau1[[#This Row],[Isin]]&amp;1&amp;2021,#REF!,Tableau3[Résultat Net (PdG)]),""))</f>
        <v>0</v>
      </c>
      <c r="AT180" s="43"/>
      <c r="AU180" s="43" t="str">
        <f>IFERROR(_xlfn.XLOOKUP(Tableau1[[#This Row],[Isin]]&amp;1&amp;2020,#REF!,Tableau3[Résultat Net (PdG)]),"")</f>
        <v/>
      </c>
      <c r="AV180" s="43" t="str">
        <f>IFERROR(_xlfn.XLOOKUP(Tableau1[[#This Row],[Isin]]&amp;1&amp;2019,#REF!,Tableau3[Résultat Net (PdG)]),"")</f>
        <v/>
      </c>
      <c r="AW180" s="43" t="str">
        <f>IFERROR(_xlfn.XLOOKUP(Tableau1[[#This Row],[Isin]]&amp;1&amp;2018,#REF!,Tableau3[Résultat Net (PdG)]),"")</f>
        <v/>
      </c>
      <c r="AX180" s="43" t="str">
        <f>IFERROR(_xlfn.XLOOKUP(Tableau1[[#This Row],[Isin]]&amp;1&amp;2017,#REF!,Tableau3[Résultat Net (PdG)]),"")</f>
        <v/>
      </c>
      <c r="AY180" s="43" t="str">
        <f>IFERROR(_xlfn.XLOOKUP(Tableau1[[#This Row],[Isin]]&amp;1&amp;2016,#REF!,Tableau3[Résultat Net (PdG)]),"")</f>
        <v/>
      </c>
      <c r="AZ180" s="137" t="str">
        <f ca="1">IFERROR(Tableau1[[#This Row],[Capitalisation boursière]]/Tableau1[[#This Row],[RN Groupe 2023]],"")</f>
        <v/>
      </c>
      <c r="BA180" s="4" t="str" cm="1">
        <f t="array" aca="1" ref="BA180" ca="1">IFERROR(_FV(Tableau1[[#This Row],[Code Excel]],"Industrie"),"")</f>
        <v>Banking Services</v>
      </c>
      <c r="BB180" s="43" t="s">
        <v>3464</v>
      </c>
      <c r="BC180" s="43" t="str">
        <f>IFERROR(_xlfn.XLOOKUP(Tableau1[[#This Row],[Isin]]&amp;1&amp;2016,#REF!,Tableau3[Capi]),"")</f>
        <v/>
      </c>
      <c r="BD180" s="43" t="str">
        <f>IFERROR(_xlfn.XLOOKUP(Tableau1[[#This Row],[Isin]]&amp;1&amp;2017,#REF!,Tableau3[Capi]),"")</f>
        <v/>
      </c>
      <c r="BE180" s="43" t="str">
        <f>IFERROR(_xlfn.XLOOKUP(Tableau1[[#This Row],[Isin]]&amp;1&amp;2018,#REF!,Tableau3[Capi]),"")</f>
        <v/>
      </c>
      <c r="BF180" s="43" t="str">
        <f>IFERROR(_xlfn.XLOOKUP(Tableau1[[#This Row],[Isin]]&amp;1&amp;2019,#REF!,Tableau3[Capi]),"")</f>
        <v/>
      </c>
      <c r="BG180" s="43" t="str">
        <f>IFERROR(_xlfn.XLOOKUP(Tableau1[[#This Row],[Isin]]&amp;1&amp;2020,#REF!,Tableau3[Capi]),"")</f>
        <v/>
      </c>
      <c r="BH180" s="43">
        <f>IF(IFERROR(_xlfn.XLOOKUP(Tableau1[[#This Row],[Isin]]&amp;1&amp;2021,#REF!,Tableau3[Capi]),"")="",Tableau1[[#This Row],[Capitalisation 2021
Manuel]],IFERROR(_xlfn.XLOOKUP(Tableau1[[#This Row],[Isin]]&amp;1&amp;2021,#REF!,Tableau3[Capi]),""))</f>
        <v>0</v>
      </c>
      <c r="BI180" s="43"/>
      <c r="BJ180" s="43">
        <f>IF(IFERROR(_xlfn.XLOOKUP(Tableau1[[#This Row],[Isin]]&amp;1&amp;2022,#REF!,Tableau3[Capi]),"")="",Tableau1[[#This Row],[Capitalisation 2022
Manuel]],IFERROR(_xlfn.XLOOKUP(Tableau1[[#This Row],[Isin]]&amp;1&amp;2022,#REF!,Tableau3[Capi]),""))</f>
        <v>0</v>
      </c>
      <c r="BK180" s="43"/>
      <c r="BL180" s="43">
        <f ca="1">Tableau1[[#This Row],[Capitalisation boursière]]</f>
        <v>670366413500</v>
      </c>
      <c r="BM180" s="162" t="str" cm="1">
        <f t="array" aca="1" ref="BM180" ca="1">_FV(Tableau1[[#This Row],[Code Excel]],"Description")</f>
        <v>JPMorgan Chase &amp; Co. est une société holding financière. Elle compte quatre segments : Consumer &amp; Community Banking (CCB), Corporate &amp; Investment Bank (CIB), commercial Banking (CB) et Asset &amp; Wealth Management (AWM). Le segment CCB offre des produits et services aux consommateurs et aux petites entreprises par le biais de succursales bancaires, de guichets automatiques, de services bancaires numériques (y compris mobiles et en ligne) et téléphoniques. Le secteur CIB comprend les services bancaires, de marchés et de valeurs mobilières, et offre une gamme de produits et services bancaires d'investissement, de tenue de marché, de courtage de premier ordre, de prêt, de trésorerie et de valeurs mobilières à une clientèle mondiale composée de sociétés, d'investisseurs, d'institutions financières, de commerçants, d'entités gouvernementales et municipales. CB segment fournit des solutions financières, y compris des produits de prêt, de paiement, de banque d'investissement et de gestion d'actifs sur trois segments de clientèle principaux : Middle Market Banking, Corporate Client Banking et commercial Real Estate Banking. AWM segment propose des solutions de gestion de patrimoine et d'investissement.</v>
      </c>
      <c r="BN180" s="43"/>
      <c r="BO180" s="43"/>
      <c r="BP180" s="43"/>
      <c r="BQ180" s="43"/>
      <c r="BR180" s="13"/>
      <c r="BS180" s="13"/>
      <c r="BT180" s="13"/>
      <c r="BU180" s="13"/>
      <c r="BV180" s="13"/>
      <c r="BW180" s="4"/>
      <c r="BX180" s="21"/>
      <c r="BY180" s="13"/>
      <c r="BZ180" s="13"/>
      <c r="CA180" s="13"/>
      <c r="CB180" s="13"/>
      <c r="CC180" s="13"/>
      <c r="CD180" s="3"/>
      <c r="CE180" s="47"/>
      <c r="CF180" s="47"/>
    </row>
    <row r="181" spans="3:87">
      <c r="C181" s="43"/>
      <c r="D181" s="42">
        <f>IF(Tableau1[[#This Row],[Isin]]="",99,Tableau1[[#This Row],[Intérêt]]+Tableau1[[#This Row],[Valeur d''intérêt]]+Tableau1[[#This Row],[N° Portefeuille]])</f>
        <v>30</v>
      </c>
      <c r="E181" s="43"/>
      <c r="F181" s="42">
        <f>IF(Tableau1[[#This Row],[Portefeuille]]="p",0,Tableau1[[#This Row],[F. Investissement
Niveau d''intérêt]]*10)</f>
        <v>30</v>
      </c>
      <c r="G181" s="43">
        <f>IF(Tableau1[[#This Row],[Portefeuille]]="p",3,0)</f>
        <v>0</v>
      </c>
      <c r="H181" s="42">
        <v>3</v>
      </c>
      <c r="I181" s="43">
        <v>4</v>
      </c>
      <c r="J181" s="43"/>
      <c r="K181" s="43"/>
      <c r="L181" s="16">
        <v>0</v>
      </c>
      <c r="M18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1" s="44" t="s">
        <v>3906</v>
      </c>
      <c r="O181" s="45"/>
      <c r="P181" s="4" t="s">
        <v>427</v>
      </c>
      <c r="Q181" s="4"/>
      <c r="R181" s="6"/>
      <c r="S181" s="6" t="s">
        <v>3907</v>
      </c>
      <c r="T181" s="6" t="e" vm="165">
        <v>#VALUE!</v>
      </c>
      <c r="U181" s="46" cm="1">
        <f t="array" aca="1" ref="U181" ca="1">IFERROR(_FV(Tableau1[[#This Row],[Code Excel]],"Capitalisation boursière",TRUE),"")</f>
        <v>4070692000</v>
      </c>
      <c r="V181" s="4" t="str" cm="1">
        <f t="array" aca="1" ref="V181" ca="1">IFERROR(_FV(Tableau1[[#This Row],[Code Excel]],"Industrie"),"")</f>
        <v>Software &amp; IT Services</v>
      </c>
      <c r="W181" s="4" t="s">
        <v>4333</v>
      </c>
      <c r="X181" s="4" t="str">
        <f ca="1">Tableau1[[#This Row],[Grand Secteur]]&amp;Tableau1[[#This Row],[Industrie]]</f>
        <v>Logiciels et TechnologieSoftware &amp; IT Services</v>
      </c>
      <c r="Y181" s="23" t="str" cm="1">
        <f t="array" ref="Y181">IFERROR(_FV(Tableau1[[#This Row],[Code Excel]],"P/E",TRUE),"")</f>
        <v/>
      </c>
      <c r="Z181" s="43" cm="1">
        <f t="array" aca="1" ref="Z181" ca="1">IFERROR(_FV(Tableau1[[#This Row],[Code Excel]],"Employés"),"")</f>
        <v>12777</v>
      </c>
      <c r="AA181" s="49">
        <f ca="1">IFERROR(Tableau1[[#This Row],[Capitalisation boursière]]/Tableau1[[#This Row],[Employés]],"")</f>
        <v>318595.28840885969</v>
      </c>
      <c r="AB181" s="5" t="str">
        <f>IFERROR(Tableau1[[#This Row],[REX (2021)]]/Tableau1[[#This Row],[CA 2024]],"")</f>
        <v/>
      </c>
      <c r="AC181" s="9" t="str">
        <f>IFERROR(_xlfn.XLOOKUP(Tableau1[[#This Row],[Isin]]&amp;1&amp;2021,#REF!,Tableau3[Résultat d''exploitation]),"")</f>
        <v/>
      </c>
      <c r="AD181" s="9" t="str">
        <f>IFERROR(_xlfn.XLOOKUP(Tableau1[[#This Row],[Isin]]&amp;1&amp;2019,#REF!,Tableau3[Chiffre d''affaires]),"")</f>
        <v/>
      </c>
      <c r="AE181" s="9" t="str">
        <f>IFERROR(_xlfn.XLOOKUP(Tableau1[[#This Row],[Isin]]&amp;1&amp;2024,#REF!,Tableau3[Chiffre d''affaires]),"")</f>
        <v/>
      </c>
      <c r="AF181" s="8" t="str">
        <f>IFERROR(IF((Tableau1[[#This Row],[CA 2024]]-Tableau1[[#This Row],[CA 2019]])/Tableau1[[#This Row],[CA 2019]]=-1,"",(Tableau1[[#This Row],[CA 2024]]-Tableau1[[#This Row],[CA 2019]])/Tableau1[[#This Row],[CA 2019]]),"")</f>
        <v/>
      </c>
      <c r="AG181" s="9" t="str">
        <f>IFERROR(_xlfn.XLOOKUP(Tableau1[[#This Row],[Isin]]&amp;1&amp;2021,#REF!,Tableau3[EBE]),"")</f>
        <v/>
      </c>
      <c r="AH181" s="9" t="str">
        <f>IFERROR(_xlfn.XLOOKUP(Tableau1[[#This Row],[Isin]]&amp;1&amp;2022,#REF!,Tableau3[EBE]),"")</f>
        <v/>
      </c>
      <c r="AI181" s="43" t="s">
        <v>4324</v>
      </c>
      <c r="AJ181" s="43" t="s">
        <v>4334</v>
      </c>
      <c r="AK181" s="43" t="s">
        <v>3148</v>
      </c>
      <c r="AL181" s="43"/>
      <c r="AM181" s="43"/>
      <c r="AN181" s="9" t="str">
        <f>IFERROR(_xlfn.XLOOKUP(Tableau1[[#This Row],[Isin]]&amp;1&amp;2021,#REF!,Tableau3[Chiffre d''affaires]),"")</f>
        <v/>
      </c>
      <c r="AO181" s="43" t="e" cm="1" vm="1">
        <f t="array" ref="AO181">_FV(Tableau1[[#This Row],[Code Excel]],"P/E",TRUE)</f>
        <v>#VALUE!</v>
      </c>
      <c r="AP181" s="43" t="str">
        <f>IFERROR(_xlfn.XLOOKUP(Tableau1[[#This Row],[Isin]]&amp;1&amp;2023,#REF!,Tableau3[Résultat Net (PdG)]),"")</f>
        <v/>
      </c>
      <c r="AQ181" s="43">
        <f>IF(IFERROR(_xlfn.XLOOKUP(Tableau1[[#This Row],[Isin]]&amp;1&amp;2022,#REF!,Tableau3[Résultat Net (PdG)]),"")="",Tableau1[[#This Row],[RN Groupe 2022
Manuel]],IFERROR(_xlfn.XLOOKUP(Tableau1[[#This Row],[Isin]]&amp;1&amp;2022,#REF!,Tableau3[Résultat Net (PdG)]),""))</f>
        <v>0</v>
      </c>
      <c r="AR181" s="43"/>
      <c r="AS181" s="43">
        <f>IF(IFERROR(_xlfn.XLOOKUP(Tableau1[[#This Row],[Isin]]&amp;1&amp;2021,#REF!,Tableau3[Résultat Net (PdG)]),"")="",Tableau1[[#This Row],[RN Groupe 2021
Manuel]],IFERROR(_xlfn.XLOOKUP(Tableau1[[#This Row],[Isin]]&amp;1&amp;2021,#REF!,Tableau3[Résultat Net (PdG)]),""))</f>
        <v>0</v>
      </c>
      <c r="AT181" s="43"/>
      <c r="AU181" s="43" t="str">
        <f>IFERROR(_xlfn.XLOOKUP(Tableau1[[#This Row],[Isin]]&amp;1&amp;2020,#REF!,Tableau3[Résultat Net (PdG)]),"")</f>
        <v/>
      </c>
      <c r="AV181" s="43" t="str">
        <f>IFERROR(_xlfn.XLOOKUP(Tableau1[[#This Row],[Isin]]&amp;1&amp;2019,#REF!,Tableau3[Résultat Net (PdG)]),"")</f>
        <v/>
      </c>
      <c r="AW181" s="43" t="str">
        <f>IFERROR(_xlfn.XLOOKUP(Tableau1[[#This Row],[Isin]]&amp;1&amp;2018,#REF!,Tableau3[Résultat Net (PdG)]),"")</f>
        <v/>
      </c>
      <c r="AX181" s="43" t="str">
        <f>IFERROR(_xlfn.XLOOKUP(Tableau1[[#This Row],[Isin]]&amp;1&amp;2017,#REF!,Tableau3[Résultat Net (PdG)]),"")</f>
        <v/>
      </c>
      <c r="AY181" s="43" t="str">
        <f>IFERROR(_xlfn.XLOOKUP(Tableau1[[#This Row],[Isin]]&amp;1&amp;2016,#REF!,Tableau3[Résultat Net (PdG)]),"")</f>
        <v/>
      </c>
      <c r="AZ181" s="137" t="str">
        <f ca="1">IFERROR(Tableau1[[#This Row],[Capitalisation boursière]]/Tableau1[[#This Row],[RN Groupe 2023]],"")</f>
        <v/>
      </c>
      <c r="BA181" s="4" t="str" cm="1">
        <f t="array" aca="1" ref="BA181" ca="1">IFERROR(_FV(Tableau1[[#This Row],[Code Excel]],"Industrie"),"")</f>
        <v>Software &amp; IT Services</v>
      </c>
      <c r="BB181" s="43" t="s">
        <v>3496</v>
      </c>
      <c r="BC181" s="43" t="str">
        <f>IFERROR(_xlfn.XLOOKUP(Tableau1[[#This Row],[Isin]]&amp;1&amp;2016,#REF!,Tableau3[Capi]),"")</f>
        <v/>
      </c>
      <c r="BD181" s="43" t="str">
        <f>IFERROR(_xlfn.XLOOKUP(Tableau1[[#This Row],[Isin]]&amp;1&amp;2017,#REF!,Tableau3[Capi]),"")</f>
        <v/>
      </c>
      <c r="BE181" s="43" t="str">
        <f>IFERROR(_xlfn.XLOOKUP(Tableau1[[#This Row],[Isin]]&amp;1&amp;2018,#REF!,Tableau3[Capi]),"")</f>
        <v/>
      </c>
      <c r="BF181" s="43" t="str">
        <f>IFERROR(_xlfn.XLOOKUP(Tableau1[[#This Row],[Isin]]&amp;1&amp;2019,#REF!,Tableau3[Capi]),"")</f>
        <v/>
      </c>
      <c r="BG181" s="43" t="str">
        <f>IFERROR(_xlfn.XLOOKUP(Tableau1[[#This Row],[Isin]]&amp;1&amp;2020,#REF!,Tableau3[Capi]),"")</f>
        <v/>
      </c>
      <c r="BH181" s="43">
        <f>IF(IFERROR(_xlfn.XLOOKUP(Tableau1[[#This Row],[Isin]]&amp;1&amp;2021,#REF!,Tableau3[Capi]),"")="",Tableau1[[#This Row],[Capitalisation 2021
Manuel]],IFERROR(_xlfn.XLOOKUP(Tableau1[[#This Row],[Isin]]&amp;1&amp;2021,#REF!,Tableau3[Capi]),""))</f>
        <v>0</v>
      </c>
      <c r="BI181" s="43"/>
      <c r="BJ181" s="43">
        <f>IF(IFERROR(_xlfn.XLOOKUP(Tableau1[[#This Row],[Isin]]&amp;1&amp;2022,#REF!,Tableau3[Capi]),"")="",Tableau1[[#This Row],[Capitalisation 2022
Manuel]],IFERROR(_xlfn.XLOOKUP(Tableau1[[#This Row],[Isin]]&amp;1&amp;2022,#REF!,Tableau3[Capi]),""))</f>
        <v>0</v>
      </c>
      <c r="BK181" s="43"/>
      <c r="BL181" s="43">
        <f ca="1">Tableau1[[#This Row],[Capitalisation boursière]]</f>
        <v>4070692000</v>
      </c>
      <c r="BM181" s="162" t="str" cm="1">
        <f t="array" aca="1" ref="BM181" ca="1">_FV(Tableau1[[#This Row],[Code Excel]],"Description")</f>
        <v>Just Eat Takeaway.com NV, anciennement Takeaway.com NV, est une entreprise basée aux Pays-Bas qui exploite un marché de livraison alimentaire en ligne. La société se concentre sur la connexion des consommateurs et des restaurants, et permet aux utilisateurs de commander des aliments dans les restaurants à proximité et de faire livrer les aliments à leur domicile. La Société transmet la commande passée par les clients et la transmet aux restaurants, qui préparent et livrent le repas. Elle est présente au Portugal, en Suisse, en Autriche, au Luxembourg, en Belgique, aux Pays-Bas, en Allemagne, en Pologne, en Bulgarie, en Roumanie, en Israël et au Vietnam et exploite les sites Lieferando.de, Lieferservice.at, Lieferservice.ch, Pizza.be, Pizza.lu, Pizza.pl, Pyszne.pl, BGmenu.com, Oliviera.ro, Takeaway.com, Thuisbezorgd.nl et Vietnammm.com, entre autres. Les plateformes disposent de différents types de restaurants.</v>
      </c>
      <c r="BN181" s="43"/>
      <c r="BO181" s="43"/>
      <c r="BP181" s="43"/>
      <c r="BQ181" s="43"/>
      <c r="BR181" s="13"/>
      <c r="BS181" s="13"/>
      <c r="BT181" s="13"/>
      <c r="BU181" s="13"/>
      <c r="BV181" s="13"/>
      <c r="BW181" s="4"/>
      <c r="BX181" s="21"/>
      <c r="BY181" s="13"/>
      <c r="BZ181" s="13"/>
      <c r="CA181" s="13"/>
      <c r="CB181" s="13"/>
      <c r="CC181" s="13"/>
      <c r="CD181" s="3"/>
      <c r="CE181" s="47"/>
      <c r="CF181" s="47"/>
    </row>
    <row r="182" spans="3:87">
      <c r="C182" s="43"/>
      <c r="D182" s="42">
        <f>IF(Tableau1[[#This Row],[Isin]]="",99,Tableau1[[#This Row],[Intérêt]]+Tableau1[[#This Row],[Valeur d''intérêt]]+Tableau1[[#This Row],[N° Portefeuille]])</f>
        <v>20</v>
      </c>
      <c r="E182" s="43"/>
      <c r="F182" s="42">
        <f>IF(Tableau1[[#This Row],[Portefeuille]]="p",0,Tableau1[[#This Row],[F. Investissement
Niveau d''intérêt]]*10)</f>
        <v>20</v>
      </c>
      <c r="G182" s="43">
        <f>IF(Tableau1[[#This Row],[Portefeuille]]="p",3,0)</f>
        <v>0</v>
      </c>
      <c r="H182" s="43">
        <v>2</v>
      </c>
      <c r="I182" s="43">
        <v>3</v>
      </c>
      <c r="J182" s="43"/>
      <c r="K182" s="43"/>
      <c r="L182" s="16">
        <v>1</v>
      </c>
      <c r="M18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2" s="44" t="s">
        <v>2576</v>
      </c>
      <c r="O182" s="45"/>
      <c r="P182" s="4"/>
      <c r="Q182" s="4"/>
      <c r="R182" s="6"/>
      <c r="S182" s="6" t="s">
        <v>2578</v>
      </c>
      <c r="T182" s="6" t="e" vm="166">
        <v>#VALUE!</v>
      </c>
      <c r="U182" s="46" cm="1">
        <f t="array" aca="1" ref="U182" ca="1">IFERROR(_FV(Tableau1[[#This Row],[Code Excel]],"Capitalisation boursière",TRUE),"")</f>
        <v>646508900</v>
      </c>
      <c r="V182" s="4" t="str" cm="1">
        <f t="array" aca="1" ref="V182" ca="1">IFERROR(_FV(Tableau1[[#This Row],[Code Excel]],"Industrie"),"")</f>
        <v>Homebuilding &amp; Construction Supplies</v>
      </c>
      <c r="W182" s="4"/>
      <c r="X182" s="4" t="str">
        <f ca="1">Tableau1[[#This Row],[Grand Secteur]]&amp;Tableau1[[#This Row],[Industrie]]</f>
        <v>Homebuilding &amp; Construction Supplies</v>
      </c>
      <c r="Y182" s="23" cm="1">
        <f t="array" aca="1" ref="Y182" ca="1">IFERROR(_FV(Tableau1[[#This Row],[Code Excel]],"P/E",TRUE),"")</f>
        <v>14.402699999999999</v>
      </c>
      <c r="Z182" s="43" cm="1">
        <f t="array" aca="1" ref="Z182" ca="1">IFERROR(_FV(Tableau1[[#This Row],[Code Excel]],"Employés"),"")</f>
        <v>708</v>
      </c>
      <c r="AA182" s="46">
        <f ca="1">IFERROR(Tableau1[[#This Row],[Capitalisation boursière]]/Tableau1[[#This Row],[Employés]],"")</f>
        <v>913148.16384180787</v>
      </c>
      <c r="AB182" s="5" t="str">
        <f>IFERROR(Tableau1[[#This Row],[REX (2021)]]/Tableau1[[#This Row],[CA 2024]],"")</f>
        <v/>
      </c>
      <c r="AC182" s="9" t="str">
        <f>IFERROR(_xlfn.XLOOKUP(Tableau1[[#This Row],[Isin]]&amp;1&amp;2021,#REF!,Tableau3[Résultat d''exploitation]),"")</f>
        <v/>
      </c>
      <c r="AD182" s="9" t="str">
        <f>IFERROR(_xlfn.XLOOKUP(Tableau1[[#This Row],[Isin]]&amp;1&amp;2019,#REF!,Tableau3[Chiffre d''affaires]),"")</f>
        <v/>
      </c>
      <c r="AE182" s="9" t="str">
        <f>IFERROR(_xlfn.XLOOKUP(Tableau1[[#This Row],[Isin]]&amp;1&amp;2024,#REF!,Tableau3[Chiffre d''affaires]),"")</f>
        <v/>
      </c>
      <c r="AF182" s="8" t="str">
        <f>IFERROR(IF((Tableau1[[#This Row],[CA 2024]]-Tableau1[[#This Row],[CA 2019]])/Tableau1[[#This Row],[CA 2019]]=-1,"",(Tableau1[[#This Row],[CA 2024]]-Tableau1[[#This Row],[CA 2019]])/Tableau1[[#This Row],[CA 2019]]),"")</f>
        <v/>
      </c>
      <c r="AG182" s="9" t="str">
        <f>IFERROR(_xlfn.XLOOKUP(Tableau1[[#This Row],[Isin]]&amp;1&amp;2021,#REF!,Tableau3[EBE]),"")</f>
        <v/>
      </c>
      <c r="AH182" s="9" t="str">
        <f>IFERROR(_xlfn.XLOOKUP(Tableau1[[#This Row],[Isin]]&amp;1&amp;2022,#REF!,Tableau3[EBE]),"")</f>
        <v/>
      </c>
      <c r="AI182" s="43"/>
      <c r="AJ182" s="43"/>
      <c r="AK182" s="43"/>
      <c r="AL182" s="43"/>
      <c r="AM182" s="43"/>
      <c r="AN182" s="9" t="str">
        <f>IFERROR(_xlfn.XLOOKUP(Tableau1[[#This Row],[Isin]]&amp;1&amp;2021,#REF!,Tableau3[Chiffre d''affaires]),"")</f>
        <v/>
      </c>
      <c r="AO182" s="43" cm="1">
        <f t="array" aca="1" ref="AO182" ca="1">_FV(Tableau1[[#This Row],[Code Excel]],"P/E",TRUE)</f>
        <v>14.402699999999999</v>
      </c>
      <c r="AP182" s="43" t="str">
        <f>IFERROR(_xlfn.XLOOKUP(Tableau1[[#This Row],[Isin]]&amp;1&amp;2023,#REF!,Tableau3[Résultat Net (PdG)]),"")</f>
        <v/>
      </c>
      <c r="AQ182" s="43">
        <f>IF(IFERROR(_xlfn.XLOOKUP(Tableau1[[#This Row],[Isin]]&amp;1&amp;2022,#REF!,Tableau3[Résultat Net (PdG)]),"")="",Tableau1[[#This Row],[RN Groupe 2022
Manuel]],IFERROR(_xlfn.XLOOKUP(Tableau1[[#This Row],[Isin]]&amp;1&amp;2022,#REF!,Tableau3[Résultat Net (PdG)]),""))</f>
        <v>0</v>
      </c>
      <c r="AR182" s="43"/>
      <c r="AS182" s="43">
        <f>IF(IFERROR(_xlfn.XLOOKUP(Tableau1[[#This Row],[Isin]]&amp;1&amp;2021,#REF!,Tableau3[Résultat Net (PdG)]),"")="",Tableau1[[#This Row],[RN Groupe 2021
Manuel]],IFERROR(_xlfn.XLOOKUP(Tableau1[[#This Row],[Isin]]&amp;1&amp;2021,#REF!,Tableau3[Résultat Net (PdG)]),""))</f>
        <v>0</v>
      </c>
      <c r="AT182" s="43"/>
      <c r="AU182" s="43" t="str">
        <f>IFERROR(_xlfn.XLOOKUP(Tableau1[[#This Row],[Isin]]&amp;1&amp;2020,#REF!,Tableau3[Résultat Net (PdG)]),"")</f>
        <v/>
      </c>
      <c r="AV182" s="43" t="str">
        <f>IFERROR(_xlfn.XLOOKUP(Tableau1[[#This Row],[Isin]]&amp;1&amp;2019,#REF!,Tableau3[Résultat Net (PdG)]),"")</f>
        <v/>
      </c>
      <c r="AW182" s="43" t="str">
        <f>IFERROR(_xlfn.XLOOKUP(Tableau1[[#This Row],[Isin]]&amp;1&amp;2018,#REF!,Tableau3[Résultat Net (PdG)]),"")</f>
        <v/>
      </c>
      <c r="AX182" s="43" t="str">
        <f>IFERROR(_xlfn.XLOOKUP(Tableau1[[#This Row],[Isin]]&amp;1&amp;2017,#REF!,Tableau3[Résultat Net (PdG)]),"")</f>
        <v/>
      </c>
      <c r="AY182" s="43" t="str">
        <f>IFERROR(_xlfn.XLOOKUP(Tableau1[[#This Row],[Isin]]&amp;1&amp;2016,#REF!,Tableau3[Résultat Net (PdG)]),"")</f>
        <v/>
      </c>
      <c r="AZ182" s="137" t="str">
        <f ca="1">IFERROR(Tableau1[[#This Row],[Capitalisation boursière]]/Tableau1[[#This Row],[RN Groupe 2023]],"")</f>
        <v/>
      </c>
      <c r="BA182" s="4" t="str" cm="1">
        <f t="array" aca="1" ref="BA182" ca="1">IFERROR(_FV(Tableau1[[#This Row],[Code Excel]],"Industrie"),"")</f>
        <v>Homebuilding &amp; Construction Supplies</v>
      </c>
      <c r="BB182" s="43">
        <v>0</v>
      </c>
      <c r="BC182" s="43" t="str">
        <f>IFERROR(_xlfn.XLOOKUP(Tableau1[[#This Row],[Isin]]&amp;1&amp;2016,#REF!,Tableau3[Capi]),"")</f>
        <v/>
      </c>
      <c r="BD182" s="43" t="str">
        <f>IFERROR(_xlfn.XLOOKUP(Tableau1[[#This Row],[Isin]]&amp;1&amp;2017,#REF!,Tableau3[Capi]),"")</f>
        <v/>
      </c>
      <c r="BE182" s="43" t="str">
        <f>IFERROR(_xlfn.XLOOKUP(Tableau1[[#This Row],[Isin]]&amp;1&amp;2018,#REF!,Tableau3[Capi]),"")</f>
        <v/>
      </c>
      <c r="BF182" s="43" t="str">
        <f>IFERROR(_xlfn.XLOOKUP(Tableau1[[#This Row],[Isin]]&amp;1&amp;2019,#REF!,Tableau3[Capi]),"")</f>
        <v/>
      </c>
      <c r="BG182" s="43" t="str">
        <f>IFERROR(_xlfn.XLOOKUP(Tableau1[[#This Row],[Isin]]&amp;1&amp;2020,#REF!,Tableau3[Capi]),"")</f>
        <v/>
      </c>
      <c r="BH182" s="43">
        <f>IF(IFERROR(_xlfn.XLOOKUP(Tableau1[[#This Row],[Isin]]&amp;1&amp;2021,#REF!,Tableau3[Capi]),"")="",Tableau1[[#This Row],[Capitalisation 2021
Manuel]],IFERROR(_xlfn.XLOOKUP(Tableau1[[#This Row],[Isin]]&amp;1&amp;2021,#REF!,Tableau3[Capi]),""))</f>
        <v>0</v>
      </c>
      <c r="BI182" s="43"/>
      <c r="BJ182" s="43">
        <f>IF(IFERROR(_xlfn.XLOOKUP(Tableau1[[#This Row],[Isin]]&amp;1&amp;2022,#REF!,Tableau3[Capi]),"")="",Tableau1[[#This Row],[Capitalisation 2022
Manuel]],IFERROR(_xlfn.XLOOKUP(Tableau1[[#This Row],[Isin]]&amp;1&amp;2022,#REF!,Tableau3[Capi]),""))</f>
        <v>0</v>
      </c>
      <c r="BK182" s="43"/>
      <c r="BL182" s="43">
        <f ca="1">Tableau1[[#This Row],[Capitalisation boursière]]</f>
        <v>646508900</v>
      </c>
      <c r="BM182" s="162" t="str" cm="1">
        <f t="array" aca="1" ref="BM182" ca="1">_FV(Tableau1[[#This Row],[Code Excel]],"Description")</f>
        <v>Kaufman &amp; Broad sa est un promoteur immobilier et constructeur basé en France. La Société est principalement engagée dans le développement de maisons et d'appartements unifamiliaux, l'activité immobilière commerciale, ainsi que la fourniture de services de résidence pour les touristes d'affaires et les étudiants. La Société est impliquée dans toutes les étapes de la mise en œuvre d'un programme de développement, de la recherche foncière à la commercialisation de logements par la conception de projets, le dépôt d'un permis de construire et le service après-vente. La Société est présente dans de nombreuses villes de France, telles que Bayonne, Bordeaux, Grenoble, Lille, Lyon, Marseille, Montpellier, Nantes, Nice, Paris, Rouen, Strasbourg, Toulon et Toulouse, entre autres. En outre, la Société fournit la construction de plates-formes logistiques et d'entrepôts. Elle est également opérationnelle à travers plusieurs filiales, dont Kaufman &amp; Broad Pyrenees-Atlantiques, Kaufman &amp; Broad Homes SAS, SM2I et résidences Bernard Teillaud SARL, entre autres.</v>
      </c>
      <c r="BN182" s="43"/>
      <c r="BO182" s="43"/>
      <c r="BP182" s="43"/>
      <c r="BQ182" s="43"/>
      <c r="BR182" s="13"/>
      <c r="BS182" s="13"/>
      <c r="BT182" s="13"/>
      <c r="BU182" s="13"/>
      <c r="BV182" s="13"/>
      <c r="BW182" s="4"/>
      <c r="BX182" s="21"/>
      <c r="BY182" s="13"/>
      <c r="BZ182" s="13"/>
      <c r="CA182" s="13"/>
      <c r="CB182" s="13"/>
      <c r="CC182" s="13"/>
      <c r="CD182" s="3"/>
      <c r="CE182" s="47"/>
      <c r="CF182" s="47"/>
    </row>
    <row r="183" spans="3:87">
      <c r="C183" s="42"/>
      <c r="D183" s="42">
        <f>IF(Tableau1[[#This Row],[Isin]]="",99,Tableau1[[#This Row],[Intérêt]]+Tableau1[[#This Row],[Valeur d''intérêt]]+Tableau1[[#This Row],[N° Portefeuille]])</f>
        <v>30</v>
      </c>
      <c r="E183" s="42"/>
      <c r="F183" s="42">
        <f>IF(Tableau1[[#This Row],[Portefeuille]]="p",0,Tableau1[[#This Row],[F. Investissement
Niveau d''intérêt]]*10)</f>
        <v>30</v>
      </c>
      <c r="G183" s="42">
        <f>IF(Tableau1[[#This Row],[Portefeuille]]="p",3,0)</f>
        <v>0</v>
      </c>
      <c r="H183" s="42">
        <v>3</v>
      </c>
      <c r="I183" s="42">
        <v>4</v>
      </c>
      <c r="J183" s="42"/>
      <c r="K183" s="43"/>
      <c r="L183" s="16">
        <v>0</v>
      </c>
      <c r="M18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3" s="44" t="s">
        <v>3910</v>
      </c>
      <c r="O183" s="45"/>
      <c r="P183" s="4" t="s">
        <v>452</v>
      </c>
      <c r="Q183" s="4"/>
      <c r="R183" s="6"/>
      <c r="S183" s="6" t="s">
        <v>3911</v>
      </c>
      <c r="T183" s="6" t="e" vm="167">
        <v>#VALUE!</v>
      </c>
      <c r="U183" s="46" cm="1">
        <f t="array" aca="1" ref="U183" ca="1">IFERROR(_FV(Tableau1[[#This Row],[Code Excel]],"Capitalisation boursière",TRUE),"")</f>
        <v>35491250000</v>
      </c>
      <c r="V183" s="4" t="str" cm="1">
        <f t="array" aca="1" ref="V183" ca="1">IFERROR(_FV(Tableau1[[#This Row],[Code Excel]],"Industrie"),"")</f>
        <v>Banking Services</v>
      </c>
      <c r="W183" s="4" t="s">
        <v>4335</v>
      </c>
      <c r="X183" s="4" t="str">
        <f ca="1">Tableau1[[#This Row],[Grand Secteur]]&amp;Tableau1[[#This Row],[Industrie]]</f>
        <v>FinanceBanking Services</v>
      </c>
      <c r="Y183" s="23" cm="1">
        <f t="array" aca="1" ref="Y183" ca="1">IFERROR(_FV(Tableau1[[#This Row],[Code Excel]],"P/E",TRUE),"")</f>
        <v>10.2163</v>
      </c>
      <c r="Z183" s="43" cm="1">
        <f t="array" aca="1" ref="Z183" ca="1">IFERROR(_FV(Tableau1[[#This Row],[Code Excel]],"Employés"),"")</f>
        <v>38609</v>
      </c>
      <c r="AA183" s="49">
        <f ca="1">IFERROR(Tableau1[[#This Row],[Capitalisation boursière]]/Tableau1[[#This Row],[Employés]],"")</f>
        <v>919248.10277396464</v>
      </c>
      <c r="AB183" s="5" t="str">
        <f>IFERROR(Tableau1[[#This Row],[REX (2021)]]/Tableau1[[#This Row],[CA 2024]],"")</f>
        <v/>
      </c>
      <c r="AC183" s="9" t="str">
        <f>IFERROR(_xlfn.XLOOKUP(Tableau1[[#This Row],[Isin]]&amp;1&amp;2021,#REF!,Tableau3[Résultat d''exploitation]),"")</f>
        <v/>
      </c>
      <c r="AD183" s="9" t="str">
        <f>IFERROR(_xlfn.XLOOKUP(Tableau1[[#This Row],[Isin]]&amp;1&amp;2019,#REF!,Tableau3[Chiffre d''affaires]),"")</f>
        <v/>
      </c>
      <c r="AE183" s="9" t="str">
        <f>IFERROR(_xlfn.XLOOKUP(Tableau1[[#This Row],[Isin]]&amp;1&amp;2024,#REF!,Tableau3[Chiffre d''affaires]),"")</f>
        <v/>
      </c>
      <c r="AF183" s="8" t="str">
        <f>IFERROR(IF((Tableau1[[#This Row],[CA 2024]]-Tableau1[[#This Row],[CA 2019]])/Tableau1[[#This Row],[CA 2019]]=-1,"",(Tableau1[[#This Row],[CA 2024]]-Tableau1[[#This Row],[CA 2019]])/Tableau1[[#This Row],[CA 2019]]),"")</f>
        <v/>
      </c>
      <c r="AG183" s="9" t="str">
        <f>IFERROR(_xlfn.XLOOKUP(Tableau1[[#This Row],[Isin]]&amp;1&amp;2021,#REF!,Tableau3[EBE]),"")</f>
        <v/>
      </c>
      <c r="AH183" s="9" t="str">
        <f>IFERROR(_xlfn.XLOOKUP(Tableau1[[#This Row],[Isin]]&amp;1&amp;2022,#REF!,Tableau3[EBE]),"")</f>
        <v/>
      </c>
      <c r="AI183" s="43" t="s">
        <v>4343</v>
      </c>
      <c r="AJ183" s="43" t="s">
        <v>3150</v>
      </c>
      <c r="AK183" s="43" t="s">
        <v>3148</v>
      </c>
      <c r="AL183" s="43"/>
      <c r="AM183" s="43"/>
      <c r="AN183" s="9" t="str">
        <f>IFERROR(_xlfn.XLOOKUP(Tableau1[[#This Row],[Isin]]&amp;1&amp;2021,#REF!,Tableau3[Chiffre d''affaires]),"")</f>
        <v/>
      </c>
      <c r="AO183" s="43" cm="1">
        <f t="array" aca="1" ref="AO183" ca="1">_FV(Tableau1[[#This Row],[Code Excel]],"P/E",TRUE)</f>
        <v>10.2163</v>
      </c>
      <c r="AP183" s="43" t="str">
        <f>IFERROR(_xlfn.XLOOKUP(Tableau1[[#This Row],[Isin]]&amp;1&amp;2023,#REF!,Tableau3[Résultat Net (PdG)]),"")</f>
        <v/>
      </c>
      <c r="AQ183" s="43">
        <f>IF(IFERROR(_xlfn.XLOOKUP(Tableau1[[#This Row],[Isin]]&amp;1&amp;2022,#REF!,Tableau3[Résultat Net (PdG)]),"")="",Tableau1[[#This Row],[RN Groupe 2022
Manuel]],IFERROR(_xlfn.XLOOKUP(Tableau1[[#This Row],[Isin]]&amp;1&amp;2022,#REF!,Tableau3[Résultat Net (PdG)]),""))</f>
        <v>0</v>
      </c>
      <c r="AR183" s="43"/>
      <c r="AS183" s="43">
        <f>IF(IFERROR(_xlfn.XLOOKUP(Tableau1[[#This Row],[Isin]]&amp;1&amp;2021,#REF!,Tableau3[Résultat Net (PdG)]),"")="",Tableau1[[#This Row],[RN Groupe 2021
Manuel]],IFERROR(_xlfn.XLOOKUP(Tableau1[[#This Row],[Isin]]&amp;1&amp;2021,#REF!,Tableau3[Résultat Net (PdG)]),""))</f>
        <v>0</v>
      </c>
      <c r="AT183" s="43"/>
      <c r="AU183" s="43" t="str">
        <f>IFERROR(_xlfn.XLOOKUP(Tableau1[[#This Row],[Isin]]&amp;1&amp;2020,#REF!,Tableau3[Résultat Net (PdG)]),"")</f>
        <v/>
      </c>
      <c r="AV183" s="43" t="str">
        <f>IFERROR(_xlfn.XLOOKUP(Tableau1[[#This Row],[Isin]]&amp;1&amp;2019,#REF!,Tableau3[Résultat Net (PdG)]),"")</f>
        <v/>
      </c>
      <c r="AW183" s="43" t="str">
        <f>IFERROR(_xlfn.XLOOKUP(Tableau1[[#This Row],[Isin]]&amp;1&amp;2018,#REF!,Tableau3[Résultat Net (PdG)]),"")</f>
        <v/>
      </c>
      <c r="AX183" s="43" t="str">
        <f>IFERROR(_xlfn.XLOOKUP(Tableau1[[#This Row],[Isin]]&amp;1&amp;2017,#REF!,Tableau3[Résultat Net (PdG)]),"")</f>
        <v/>
      </c>
      <c r="AY183" s="43" t="str">
        <f>IFERROR(_xlfn.XLOOKUP(Tableau1[[#This Row],[Isin]]&amp;1&amp;2016,#REF!,Tableau3[Résultat Net (PdG)]),"")</f>
        <v/>
      </c>
      <c r="AZ183" s="137" t="str">
        <f ca="1">IFERROR(Tableau1[[#This Row],[Capitalisation boursière]]/Tableau1[[#This Row],[RN Groupe 2023]],"")</f>
        <v/>
      </c>
      <c r="BA183" s="4" t="str" cm="1">
        <f t="array" aca="1" ref="BA183" ca="1">IFERROR(_FV(Tableau1[[#This Row],[Code Excel]],"Industrie"),"")</f>
        <v>Banking Services</v>
      </c>
      <c r="BB183" s="43" t="s">
        <v>3482</v>
      </c>
      <c r="BC183" s="43" t="str">
        <f>IFERROR(_xlfn.XLOOKUP(Tableau1[[#This Row],[Isin]]&amp;1&amp;2016,#REF!,Tableau3[Capi]),"")</f>
        <v/>
      </c>
      <c r="BD183" s="43" t="str">
        <f>IFERROR(_xlfn.XLOOKUP(Tableau1[[#This Row],[Isin]]&amp;1&amp;2017,#REF!,Tableau3[Capi]),"")</f>
        <v/>
      </c>
      <c r="BE183" s="43" t="str">
        <f>IFERROR(_xlfn.XLOOKUP(Tableau1[[#This Row],[Isin]]&amp;1&amp;2018,#REF!,Tableau3[Capi]),"")</f>
        <v/>
      </c>
      <c r="BF183" s="43" t="str">
        <f>IFERROR(_xlfn.XLOOKUP(Tableau1[[#This Row],[Isin]]&amp;1&amp;2019,#REF!,Tableau3[Capi]),"")</f>
        <v/>
      </c>
      <c r="BG183" s="43" t="str">
        <f>IFERROR(_xlfn.XLOOKUP(Tableau1[[#This Row],[Isin]]&amp;1&amp;2020,#REF!,Tableau3[Capi]),"")</f>
        <v/>
      </c>
      <c r="BH183" s="43">
        <f>IF(IFERROR(_xlfn.XLOOKUP(Tableau1[[#This Row],[Isin]]&amp;1&amp;2021,#REF!,Tableau3[Capi]),"")="",Tableau1[[#This Row],[Capitalisation 2021
Manuel]],IFERROR(_xlfn.XLOOKUP(Tableau1[[#This Row],[Isin]]&amp;1&amp;2021,#REF!,Tableau3[Capi]),""))</f>
        <v>0</v>
      </c>
      <c r="BI183" s="43"/>
      <c r="BJ183" s="43">
        <f>IF(IFERROR(_xlfn.XLOOKUP(Tableau1[[#This Row],[Isin]]&amp;1&amp;2022,#REF!,Tableau3[Capi]),"")="",Tableau1[[#This Row],[Capitalisation 2022
Manuel]],IFERROR(_xlfn.XLOOKUP(Tableau1[[#This Row],[Isin]]&amp;1&amp;2022,#REF!,Tableau3[Capi]),""))</f>
        <v>0</v>
      </c>
      <c r="BK183" s="43"/>
      <c r="BL183" s="43">
        <f ca="1">Tableau1[[#This Row],[Capitalisation boursière]]</f>
        <v>35491250000</v>
      </c>
      <c r="BM183" s="162" t="str" cm="1">
        <f t="array" aca="1" ref="BM183" ca="1">_FV(Tableau1[[#This Row],[Code Excel]],"Description")</f>
        <v>KBC Groep NV est une société holding basée en Belgique, active dans le secteur bancaire, de l'assurance et de la gestion d'actifs. Les activités de la Société sont divisées en divisions, telles que la banque de détail et privée et l'assurance, la gestion d'actifs et la banque privée en Belgique et en Europe centrale et orientale. Ses activités, qui comprennent l'assurance bancaire de détail et la banque d'affaires, sont en République tchèque, en Slovaquie, en Hongrie et en Pologne, ainsi que l'assurance bancaire, le crédit-bail, la gestion d'actifs et l'affacturage en Bulgarie ; la banque d'affaires, qui comprend les activités de banque d'entreprise et de marché en Europe. La Société a partagé des services et des opérations en fournissant du soutien et des produits à d'autres unités commerciales. ITS chacune de ces unités a son propre comité de gestion et supervise les activités bancaires et d'assurance. Parmi ses filiales figurent notamment Interlease, United Bulgarian Bank AD Sofia et Telindus ISIT BV.</v>
      </c>
      <c r="BN183" s="43"/>
      <c r="BO183" s="43"/>
      <c r="BP183" s="43"/>
      <c r="BQ183" s="43"/>
      <c r="BR183" s="13"/>
      <c r="BS183" s="13"/>
      <c r="BT183" s="13"/>
      <c r="BU183" s="13"/>
      <c r="BV183" s="13"/>
      <c r="BW183" s="4"/>
      <c r="BX183" s="21"/>
      <c r="BY183" s="13"/>
      <c r="BZ183" s="13"/>
      <c r="CA183" s="13"/>
      <c r="CB183" s="13"/>
      <c r="CC183" s="13"/>
      <c r="CD183" s="3"/>
      <c r="CE183" s="47"/>
      <c r="CF183" s="47"/>
    </row>
    <row r="184" spans="3:87">
      <c r="C184" s="43"/>
      <c r="D184" s="42">
        <f>IF(Tableau1[[#This Row],[Isin]]="",99,Tableau1[[#This Row],[Intérêt]]+Tableau1[[#This Row],[Valeur d''intérêt]]+Tableau1[[#This Row],[N° Portefeuille]])</f>
        <v>20</v>
      </c>
      <c r="E184" s="43"/>
      <c r="F184" s="42">
        <f>IF(Tableau1[[#This Row],[Portefeuille]]="p",0,Tableau1[[#This Row],[F. Investissement
Niveau d''intérêt]]*10)</f>
        <v>20</v>
      </c>
      <c r="G184" s="43">
        <f>IF(Tableau1[[#This Row],[Portefeuille]]="p",3,0)</f>
        <v>0</v>
      </c>
      <c r="H184" s="43">
        <v>2</v>
      </c>
      <c r="I184" s="43">
        <v>1</v>
      </c>
      <c r="J184" s="43" t="s">
        <v>4357</v>
      </c>
      <c r="K184" s="43"/>
      <c r="L184" s="16">
        <v>1</v>
      </c>
      <c r="M18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4" s="44" t="s">
        <v>574</v>
      </c>
      <c r="O184" s="44" t="s">
        <v>575</v>
      </c>
      <c r="P184" s="4" t="s">
        <v>84</v>
      </c>
      <c r="Q184" s="6" t="s">
        <v>85</v>
      </c>
      <c r="R184" s="6"/>
      <c r="S184" s="6" t="s">
        <v>577</v>
      </c>
      <c r="T184" s="6" t="e" vm="168">
        <v>#VALUE!</v>
      </c>
      <c r="U184" s="46" cm="1">
        <f t="array" aca="1" ref="U184" ca="1">IFERROR(_FV(Tableau1[[#This Row],[Code Excel]],"Capitalisation boursière",TRUE),"")</f>
        <v>24590360000</v>
      </c>
      <c r="V184" s="4" t="str" cm="1">
        <f t="array" aca="1" ref="V184" ca="1">IFERROR(_FV(Tableau1[[#This Row],[Code Excel]],"Industrie"),"")</f>
        <v>Specialty Retailers</v>
      </c>
      <c r="W184" s="4" t="s">
        <v>1315</v>
      </c>
      <c r="X184" s="4" t="str">
        <f ca="1">Tableau1[[#This Row],[Grand Secteur]]&amp;Tableau1[[#This Row],[Industrie]]</f>
        <v>Biens de consommationSpecialty Retailers</v>
      </c>
      <c r="Y184" s="23" cm="1">
        <f t="array" aca="1" ref="Y184" ca="1">IFERROR(_FV(Tableau1[[#This Row],[Code Excel]],"P/E",TRUE),"")</f>
        <v>21.5593</v>
      </c>
      <c r="Z184" s="43" cm="1">
        <f t="array" aca="1" ref="Z184" ca="1">IFERROR(_FV(Tableau1[[#This Row],[Code Excel]],"Employés"),"")</f>
        <v>46930</v>
      </c>
      <c r="AA184" s="46">
        <f ca="1">IFERROR(Tableau1[[#This Row],[Capitalisation boursière]]/Tableau1[[#This Row],[Employés]],"")</f>
        <v>523979.54400170466</v>
      </c>
      <c r="AB184" s="5" t="str">
        <f>IFERROR(Tableau1[[#This Row],[REX (2021)]]/Tableau1[[#This Row],[CA 2024]],"")</f>
        <v/>
      </c>
      <c r="AC184" s="9" t="str">
        <f>IFERROR(_xlfn.XLOOKUP(Tableau1[[#This Row],[Isin]]&amp;1&amp;2021,#REF!,Tableau3[Résultat d''exploitation]),"")</f>
        <v/>
      </c>
      <c r="AD184" s="9" t="str">
        <f>IFERROR(_xlfn.XLOOKUP(Tableau1[[#This Row],[Isin]]&amp;1&amp;2019,#REF!,Tableau3[Chiffre d''affaires]),"")</f>
        <v/>
      </c>
      <c r="AE184" s="9" t="str">
        <f>IFERROR(_xlfn.XLOOKUP(Tableau1[[#This Row],[Isin]]&amp;1&amp;2024,#REF!,Tableau3[Chiffre d''affaires]),"")</f>
        <v/>
      </c>
      <c r="AF184" s="8" t="str">
        <f>IFERROR(IF((Tableau1[[#This Row],[CA 2024]]-Tableau1[[#This Row],[CA 2019]])/Tableau1[[#This Row],[CA 2019]]=-1,"",(Tableau1[[#This Row],[CA 2024]]-Tableau1[[#This Row],[CA 2019]])/Tableau1[[#This Row],[CA 2019]]),"")</f>
        <v/>
      </c>
      <c r="AG184" s="9" t="str">
        <f>IFERROR(_xlfn.XLOOKUP(Tableau1[[#This Row],[Isin]]&amp;1&amp;2021,#REF!,Tableau3[EBE]),"")</f>
        <v/>
      </c>
      <c r="AH184" s="9" t="str">
        <f>IFERROR(_xlfn.XLOOKUP(Tableau1[[#This Row],[Isin]]&amp;1&amp;2022,#REF!,Tableau3[EBE]),"")</f>
        <v/>
      </c>
      <c r="AI184" s="43" t="s">
        <v>4329</v>
      </c>
      <c r="AJ184" s="43" t="s">
        <v>4348</v>
      </c>
      <c r="AK184" s="43" t="s">
        <v>3431</v>
      </c>
      <c r="AL184" s="43" t="s">
        <v>3149</v>
      </c>
      <c r="AM184" s="43"/>
      <c r="AN184" s="9" t="str">
        <f>IFERROR(_xlfn.XLOOKUP(Tableau1[[#This Row],[Isin]]&amp;1&amp;2021,#REF!,Tableau3[Chiffre d''affaires]),"")</f>
        <v/>
      </c>
      <c r="AO184" s="43" cm="1">
        <f t="array" aca="1" ref="AO184" ca="1">_FV(Tableau1[[#This Row],[Code Excel]],"P/E",TRUE)</f>
        <v>21.5593</v>
      </c>
      <c r="AP184" s="43" t="str">
        <f>IFERROR(_xlfn.XLOOKUP(Tableau1[[#This Row],[Isin]]&amp;1&amp;2023,#REF!,Tableau3[Résultat Net (PdG)]),"")</f>
        <v/>
      </c>
      <c r="AQ184" s="43">
        <f>IF(IFERROR(_xlfn.XLOOKUP(Tableau1[[#This Row],[Isin]]&amp;1&amp;2022,#REF!,Tableau3[Résultat Net (PdG)]),"")="",Tableau1[[#This Row],[RN Groupe 2022
Manuel]],IFERROR(_xlfn.XLOOKUP(Tableau1[[#This Row],[Isin]]&amp;1&amp;2022,#REF!,Tableau3[Résultat Net (PdG)]),""))</f>
        <v>0</v>
      </c>
      <c r="AR184" s="140"/>
      <c r="AS184" s="43">
        <f>IF(IFERROR(_xlfn.XLOOKUP(Tableau1[[#This Row],[Isin]]&amp;1&amp;2021,#REF!,Tableau3[Résultat Net (PdG)]),"")="",Tableau1[[#This Row],[RN Groupe 2021
Manuel]],IFERROR(_xlfn.XLOOKUP(Tableau1[[#This Row],[Isin]]&amp;1&amp;2021,#REF!,Tableau3[Résultat Net (PdG)]),""))</f>
        <v>0</v>
      </c>
      <c r="AT184" s="140"/>
      <c r="AU184" s="43" t="str">
        <f>IFERROR(_xlfn.XLOOKUP(Tableau1[[#This Row],[Isin]]&amp;1&amp;2020,#REF!,Tableau3[Résultat Net (PdG)]),"")</f>
        <v/>
      </c>
      <c r="AV184" s="43" t="str">
        <f>IFERROR(_xlfn.XLOOKUP(Tableau1[[#This Row],[Isin]]&amp;1&amp;2019,#REF!,Tableau3[Résultat Net (PdG)]),"")</f>
        <v/>
      </c>
      <c r="AW184" s="43" t="str">
        <f>IFERROR(_xlfn.XLOOKUP(Tableau1[[#This Row],[Isin]]&amp;1&amp;2018,#REF!,Tableau3[Résultat Net (PdG)]),"")</f>
        <v/>
      </c>
      <c r="AX184" s="43" t="str">
        <f>IFERROR(_xlfn.XLOOKUP(Tableau1[[#This Row],[Isin]]&amp;1&amp;2017,#REF!,Tableau3[Résultat Net (PdG)]),"")</f>
        <v/>
      </c>
      <c r="AY184" s="43" t="str">
        <f>IFERROR(_xlfn.XLOOKUP(Tableau1[[#This Row],[Isin]]&amp;1&amp;2016,#REF!,Tableau3[Résultat Net (PdG)]),"")</f>
        <v/>
      </c>
      <c r="AZ184" s="137" t="str">
        <f ca="1">IFERROR(Tableau1[[#This Row],[Capitalisation boursière]]/Tableau1[[#This Row],[RN Groupe 2023]],"")</f>
        <v/>
      </c>
      <c r="BA184" s="4" t="str" cm="1">
        <f t="array" aca="1" ref="BA184" ca="1">IFERROR(_FV(Tableau1[[#This Row],[Code Excel]],"Industrie"),"")</f>
        <v>Specialty Retailers</v>
      </c>
      <c r="BB184" s="43" t="s">
        <v>3518</v>
      </c>
      <c r="BC184" s="43" t="str">
        <f>IFERROR(_xlfn.XLOOKUP(Tableau1[[#This Row],[Isin]]&amp;1&amp;2016,#REF!,Tableau3[Capi]),"")</f>
        <v/>
      </c>
      <c r="BD184" s="43" t="str">
        <f>IFERROR(_xlfn.XLOOKUP(Tableau1[[#This Row],[Isin]]&amp;1&amp;2017,#REF!,Tableau3[Capi]),"")</f>
        <v/>
      </c>
      <c r="BE184" s="43" t="str">
        <f>IFERROR(_xlfn.XLOOKUP(Tableau1[[#This Row],[Isin]]&amp;1&amp;2018,#REF!,Tableau3[Capi]),"")</f>
        <v/>
      </c>
      <c r="BF184" s="43" t="str">
        <f>IFERROR(_xlfn.XLOOKUP(Tableau1[[#This Row],[Isin]]&amp;1&amp;2019,#REF!,Tableau3[Capi]),"")</f>
        <v/>
      </c>
      <c r="BG184" s="43" t="str">
        <f>IFERROR(_xlfn.XLOOKUP(Tableau1[[#This Row],[Isin]]&amp;1&amp;2020,#REF!,Tableau3[Capi]),"")</f>
        <v/>
      </c>
      <c r="BH184" s="43">
        <f>IF(IFERROR(_xlfn.XLOOKUP(Tableau1[[#This Row],[Isin]]&amp;1&amp;2021,#REF!,Tableau3[Capi]),"")="",Tableau1[[#This Row],[Capitalisation 2021
Manuel]],IFERROR(_xlfn.XLOOKUP(Tableau1[[#This Row],[Isin]]&amp;1&amp;2021,#REF!,Tableau3[Capi]),""))</f>
        <v>0</v>
      </c>
      <c r="BI184" s="142"/>
      <c r="BJ184" s="141">
        <f>IF(IFERROR(_xlfn.XLOOKUP(Tableau1[[#This Row],[Isin]]&amp;1&amp;2022,#REF!,Tableau3[Capi]),"")="",Tableau1[[#This Row],[Capitalisation 2022
Manuel]],IFERROR(_xlfn.XLOOKUP(Tableau1[[#This Row],[Isin]]&amp;1&amp;2022,#REF!,Tableau3[Capi]),""))</f>
        <v>0</v>
      </c>
      <c r="BK184" s="142"/>
      <c r="BL184" s="43">
        <f ca="1">Tableau1[[#This Row],[Capitalisation boursière]]</f>
        <v>24590360000</v>
      </c>
      <c r="BM184" s="162" t="str" cm="1">
        <f t="array" aca="1" ref="BM184" ca="1">_FV(Tableau1[[#This Row],[Code Excel]],"Description")</f>
        <v>Kering sa est une société basée en France qui opère principalement dans le groupe de mode sur les produits de marque de luxe. Le Groupe gère le développement d'une série de maisons de renom dans la mode, la maroquinerie et la joaillerie : Gucci, Saint Laurent, Bottega Veneta, Balenciaga, Alexander McQueen, Brioni, Boucheron, Pomellato, Dodo, Ginori 1735, ainsi que Kering Eyewear et Kering Beaute. Elle fabrique et vend, principalement par l'intermédiaire de magasins de détail gérés, une gamme de produits, y compris des articles de maroquinerie, des vêtements, des accessoires, des chaussures, bijoux entre autres, pour homme, femme et enfants. Le Groupe travaille activement dans le monde entier.</v>
      </c>
      <c r="BN184" s="43"/>
      <c r="BO184" s="43"/>
      <c r="BP184" s="43"/>
      <c r="BQ184" s="43"/>
      <c r="BR184" s="13"/>
      <c r="BS184" s="13"/>
      <c r="BT184" s="13"/>
      <c r="BU184" s="13"/>
      <c r="BV184" s="13"/>
      <c r="BW184" s="4"/>
      <c r="BX184" s="21"/>
      <c r="BY184" s="13"/>
      <c r="BZ184" s="13"/>
      <c r="CA184" s="13"/>
      <c r="CB184" s="13"/>
      <c r="CC184" s="13"/>
      <c r="CD184" s="3"/>
      <c r="CE184" s="47"/>
      <c r="CF184" s="47"/>
    </row>
    <row r="185" spans="3:87" s="21" customFormat="1">
      <c r="C185" s="42"/>
      <c r="D185" s="42">
        <f>IF(Tableau1[[#This Row],[Isin]]="",99,Tableau1[[#This Row],[Intérêt]]+Tableau1[[#This Row],[Valeur d''intérêt]]+Tableau1[[#This Row],[N° Portefeuille]])</f>
        <v>30</v>
      </c>
      <c r="E185" s="42"/>
      <c r="F185" s="42">
        <f>IF(Tableau1[[#This Row],[Portefeuille]]="p",0,Tableau1[[#This Row],[F. Investissement
Niveau d''intérêt]]*10)</f>
        <v>30</v>
      </c>
      <c r="G185" s="42">
        <f>IF(Tableau1[[#This Row],[Portefeuille]]="p",3,0)</f>
        <v>0</v>
      </c>
      <c r="H185" s="42">
        <v>3</v>
      </c>
      <c r="I185" s="42">
        <v>4</v>
      </c>
      <c r="J185" s="42"/>
      <c r="K185" s="43"/>
      <c r="L185" s="16">
        <v>0</v>
      </c>
      <c r="M18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5" s="44" t="s">
        <v>3914</v>
      </c>
      <c r="O185" s="45"/>
      <c r="P185" s="4" t="s">
        <v>84</v>
      </c>
      <c r="Q185" s="4"/>
      <c r="R185" s="6"/>
      <c r="S185" s="6" t="s">
        <v>3915</v>
      </c>
      <c r="T185" s="6" t="e" vm="169">
        <v>#VALUE!</v>
      </c>
      <c r="U185" s="46" cm="1">
        <f t="array" aca="1" ref="U185" ca="1">IFERROR(_FV(Tableau1[[#This Row],[Code Excel]],"Capitalisation boursière",TRUE),"")</f>
        <v>8921383000</v>
      </c>
      <c r="V185" s="4" t="str" cm="1">
        <f t="array" aca="1" ref="V185" ca="1">IFERROR(_FV(Tableau1[[#This Row],[Code Excel]],"Industrie"),"")</f>
        <v>Residential &amp; Commercial REIT</v>
      </c>
      <c r="W185" s="4" t="s">
        <v>2083</v>
      </c>
      <c r="X185" s="4" t="str">
        <f ca="1">Tableau1[[#This Row],[Grand Secteur]]&amp;Tableau1[[#This Row],[Industrie]]</f>
        <v>ImmobilierResidential &amp; Commercial REIT</v>
      </c>
      <c r="Y185" s="23" cm="1">
        <f t="array" aca="1" ref="Y185" ca="1">IFERROR(_FV(Tableau1[[#This Row],[Code Excel]],"P/E",TRUE),"")</f>
        <v>8.0955999999999992</v>
      </c>
      <c r="Z185" s="43" cm="1">
        <f t="array" aca="1" ref="Z185" ca="1">IFERROR(_FV(Tableau1[[#This Row],[Code Excel]],"Employés"),"")</f>
        <v>1056</v>
      </c>
      <c r="AA185" s="49">
        <f ca="1">IFERROR(Tableau1[[#This Row],[Capitalisation boursière]]/Tableau1[[#This Row],[Employés]],"")</f>
        <v>8448279.3560606055</v>
      </c>
      <c r="AB185" s="5" t="str">
        <f>IFERROR(Tableau1[[#This Row],[REX (2021)]]/Tableau1[[#This Row],[CA 2024]],"")</f>
        <v/>
      </c>
      <c r="AC185" s="9" t="str">
        <f>IFERROR(_xlfn.XLOOKUP(Tableau1[[#This Row],[Isin]]&amp;1&amp;2021,#REF!,Tableau3[Résultat d''exploitation]),"")</f>
        <v/>
      </c>
      <c r="AD185" s="9" t="str">
        <f>IFERROR(_xlfn.XLOOKUP(Tableau1[[#This Row],[Isin]]&amp;1&amp;2019,#REF!,Tableau3[Chiffre d''affaires]),"")</f>
        <v/>
      </c>
      <c r="AE185" s="9" t="str">
        <f>IFERROR(_xlfn.XLOOKUP(Tableau1[[#This Row],[Isin]]&amp;1&amp;2024,#REF!,Tableau3[Chiffre d''affaires]),"")</f>
        <v/>
      </c>
      <c r="AF185" s="8" t="str">
        <f>IFERROR(IF((Tableau1[[#This Row],[CA 2024]]-Tableau1[[#This Row],[CA 2019]])/Tableau1[[#This Row],[CA 2019]]=-1,"",(Tableau1[[#This Row],[CA 2024]]-Tableau1[[#This Row],[CA 2019]])/Tableau1[[#This Row],[CA 2019]]),"")</f>
        <v/>
      </c>
      <c r="AG185" s="9" t="str">
        <f>IFERROR(_xlfn.XLOOKUP(Tableau1[[#This Row],[Isin]]&amp;1&amp;2021,#REF!,Tableau3[EBE]),"")</f>
        <v/>
      </c>
      <c r="AH185" s="9" t="str">
        <f>IFERROR(_xlfn.XLOOKUP(Tableau1[[#This Row],[Isin]]&amp;1&amp;2022,#REF!,Tableau3[EBE]),"")</f>
        <v/>
      </c>
      <c r="AI185" s="43" t="s">
        <v>3431</v>
      </c>
      <c r="AJ185" s="43" t="s">
        <v>4322</v>
      </c>
      <c r="AK185" s="43" t="s">
        <v>3148</v>
      </c>
      <c r="AL185" s="43"/>
      <c r="AM185" s="43"/>
      <c r="AN185" s="9" t="str">
        <f>IFERROR(_xlfn.XLOOKUP(Tableau1[[#This Row],[Isin]]&amp;1&amp;2021,#REF!,Tableau3[Chiffre d''affaires]),"")</f>
        <v/>
      </c>
      <c r="AO185" s="43" cm="1">
        <f t="array" aca="1" ref="AO185" ca="1">_FV(Tableau1[[#This Row],[Code Excel]],"P/E",TRUE)</f>
        <v>8.0955999999999992</v>
      </c>
      <c r="AP185" s="43" t="str">
        <f>IFERROR(_xlfn.XLOOKUP(Tableau1[[#This Row],[Isin]]&amp;1&amp;2023,#REF!,Tableau3[Résultat Net (PdG)]),"")</f>
        <v/>
      </c>
      <c r="AQ185" s="43">
        <f>IF(IFERROR(_xlfn.XLOOKUP(Tableau1[[#This Row],[Isin]]&amp;1&amp;2022,#REF!,Tableau3[Résultat Net (PdG)]),"")="",Tableau1[[#This Row],[RN Groupe 2022
Manuel]],IFERROR(_xlfn.XLOOKUP(Tableau1[[#This Row],[Isin]]&amp;1&amp;2022,#REF!,Tableau3[Résultat Net (PdG)]),""))</f>
        <v>0</v>
      </c>
      <c r="AR185" s="43"/>
      <c r="AS185" s="43">
        <f>IF(IFERROR(_xlfn.XLOOKUP(Tableau1[[#This Row],[Isin]]&amp;1&amp;2021,#REF!,Tableau3[Résultat Net (PdG)]),"")="",Tableau1[[#This Row],[RN Groupe 2021
Manuel]],IFERROR(_xlfn.XLOOKUP(Tableau1[[#This Row],[Isin]]&amp;1&amp;2021,#REF!,Tableau3[Résultat Net (PdG)]),""))</f>
        <v>0</v>
      </c>
      <c r="AT185" s="43"/>
      <c r="AU185" s="43" t="str">
        <f>IFERROR(_xlfn.XLOOKUP(Tableau1[[#This Row],[Isin]]&amp;1&amp;2020,#REF!,Tableau3[Résultat Net (PdG)]),"")</f>
        <v/>
      </c>
      <c r="AV185" s="43" t="str">
        <f>IFERROR(_xlfn.XLOOKUP(Tableau1[[#This Row],[Isin]]&amp;1&amp;2019,#REF!,Tableau3[Résultat Net (PdG)]),"")</f>
        <v/>
      </c>
      <c r="AW185" s="43" t="str">
        <f>IFERROR(_xlfn.XLOOKUP(Tableau1[[#This Row],[Isin]]&amp;1&amp;2018,#REF!,Tableau3[Résultat Net (PdG)]),"")</f>
        <v/>
      </c>
      <c r="AX185" s="43" t="str">
        <f>IFERROR(_xlfn.XLOOKUP(Tableau1[[#This Row],[Isin]]&amp;1&amp;2017,#REF!,Tableau3[Résultat Net (PdG)]),"")</f>
        <v/>
      </c>
      <c r="AY185" s="43" t="str">
        <f>IFERROR(_xlfn.XLOOKUP(Tableau1[[#This Row],[Isin]]&amp;1&amp;2016,#REF!,Tableau3[Résultat Net (PdG)]),"")</f>
        <v/>
      </c>
      <c r="AZ185" s="137" t="str">
        <f ca="1">IFERROR(Tableau1[[#This Row],[Capitalisation boursière]]/Tableau1[[#This Row],[RN Groupe 2023]],"")</f>
        <v/>
      </c>
      <c r="BA185" s="4" t="str" cm="1">
        <f t="array" aca="1" ref="BA185" ca="1">IFERROR(_FV(Tableau1[[#This Row],[Code Excel]],"Industrie"),"")</f>
        <v>Residential &amp; Commercial REIT</v>
      </c>
      <c r="BB185" s="43" t="s">
        <v>3477</v>
      </c>
      <c r="BC185" s="43" t="str">
        <f>IFERROR(_xlfn.XLOOKUP(Tableau1[[#This Row],[Isin]]&amp;1&amp;2016,#REF!,Tableau3[Capi]),"")</f>
        <v/>
      </c>
      <c r="BD185" s="43" t="str">
        <f>IFERROR(_xlfn.XLOOKUP(Tableau1[[#This Row],[Isin]]&amp;1&amp;2017,#REF!,Tableau3[Capi]),"")</f>
        <v/>
      </c>
      <c r="BE185" s="43" t="str">
        <f>IFERROR(_xlfn.XLOOKUP(Tableau1[[#This Row],[Isin]]&amp;1&amp;2018,#REF!,Tableau3[Capi]),"")</f>
        <v/>
      </c>
      <c r="BF185" s="43" t="str">
        <f>IFERROR(_xlfn.XLOOKUP(Tableau1[[#This Row],[Isin]]&amp;1&amp;2019,#REF!,Tableau3[Capi]),"")</f>
        <v/>
      </c>
      <c r="BG185" s="43" t="str">
        <f>IFERROR(_xlfn.XLOOKUP(Tableau1[[#This Row],[Isin]]&amp;1&amp;2020,#REF!,Tableau3[Capi]),"")</f>
        <v/>
      </c>
      <c r="BH185" s="43">
        <f>IF(IFERROR(_xlfn.XLOOKUP(Tableau1[[#This Row],[Isin]]&amp;1&amp;2021,#REF!,Tableau3[Capi]),"")="",Tableau1[[#This Row],[Capitalisation 2021
Manuel]],IFERROR(_xlfn.XLOOKUP(Tableau1[[#This Row],[Isin]]&amp;1&amp;2021,#REF!,Tableau3[Capi]),""))</f>
        <v>0</v>
      </c>
      <c r="BI185" s="43"/>
      <c r="BJ185" s="43">
        <f>IF(IFERROR(_xlfn.XLOOKUP(Tableau1[[#This Row],[Isin]]&amp;1&amp;2022,#REF!,Tableau3[Capi]),"")="",Tableau1[[#This Row],[Capitalisation 2022
Manuel]],IFERROR(_xlfn.XLOOKUP(Tableau1[[#This Row],[Isin]]&amp;1&amp;2022,#REF!,Tableau3[Capi]),""))</f>
        <v>0</v>
      </c>
      <c r="BK185" s="43"/>
      <c r="BL185" s="43">
        <f ca="1">Tableau1[[#This Row],[Capitalisation boursière]]</f>
        <v>8921383000</v>
      </c>
      <c r="BM185" s="162" t="str" cm="1">
        <f t="array" aca="1" ref="BM185" ca="1">_FV(Tableau1[[#This Row],[Code Excel]],"Description")</f>
        <v>Klepierre sa est une société française engagée dans le secteur financier. La Société est un opérateur paneuropéen de centres commerciaux, combinant des compétences en développement, location, immobilier et gestion d'actifs. Le portefeuille de la Société comprend environ 70 centres commerciaux dans plus de 10 pays d'Europe continentale, y compris le marché intérieur, ainsi que la Belgique, l'Italie, la Pologne, l'Allemagne, la Hongrie, Portugal, Espagne, Grèce et Turquie, entre autres. Klepierre sa détient une participation majoritaire dans Steen &amp; Strom, une société de centres commerciaux opérant en Norvège, en Suède et au Danemark. En outre, elle opère à travers de nombreuses filiales, telles que K2, sa place de l'Accueil, sa Klecar foncier Iberica, sa Klepierre Nea Efkarpia, Sarl Zalaegerszeg plaza et Klepierre Sadyba, entre autres.</v>
      </c>
      <c r="BN185" s="43"/>
      <c r="BO185" s="43"/>
      <c r="BP185" s="43"/>
      <c r="BQ185" s="43"/>
      <c r="BR185" s="13"/>
      <c r="BS185" s="13"/>
      <c r="BT185" s="13"/>
      <c r="BU185" s="13"/>
      <c r="BV185" s="13"/>
      <c r="BW185" s="4"/>
      <c r="BY185" s="13"/>
      <c r="BZ185" s="13"/>
      <c r="CA185" s="13"/>
      <c r="CD185" s="3"/>
      <c r="CE185" s="47"/>
      <c r="CF185" s="47"/>
      <c r="CG185" s="6"/>
      <c r="CH185" s="6"/>
      <c r="CI185" s="6"/>
    </row>
    <row r="186" spans="3:87">
      <c r="C186" s="43"/>
      <c r="D186" s="42">
        <f>IF(Tableau1[[#This Row],[Isin]]="",99,Tableau1[[#This Row],[Intérêt]]+Tableau1[[#This Row],[Valeur d''intérêt]]+Tableau1[[#This Row],[N° Portefeuille]])</f>
        <v>30</v>
      </c>
      <c r="E186" s="43"/>
      <c r="F186" s="42">
        <f>IF(Tableau1[[#This Row],[Portefeuille]]="p",0,Tableau1[[#This Row],[F. Investissement
Niveau d''intérêt]]*10)</f>
        <v>30</v>
      </c>
      <c r="G186" s="43">
        <f>IF(Tableau1[[#This Row],[Portefeuille]]="p",3,0)</f>
        <v>0</v>
      </c>
      <c r="H186" s="43">
        <v>3</v>
      </c>
      <c r="I186" s="43">
        <v>4</v>
      </c>
      <c r="J186" s="43"/>
      <c r="K186" s="43"/>
      <c r="L186" s="16">
        <v>0</v>
      </c>
      <c r="M18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6" s="44" t="s">
        <v>3917</v>
      </c>
      <c r="O186" s="45"/>
      <c r="P186" s="4" t="s">
        <v>427</v>
      </c>
      <c r="Q186" s="4"/>
      <c r="R186" s="6"/>
      <c r="S186" s="6" t="s">
        <v>3918</v>
      </c>
      <c r="T186" s="6" t="e" vm="170">
        <v>#VALUE!</v>
      </c>
      <c r="U186" s="46" cm="1">
        <f t="array" aca="1" ref="U186" ca="1">IFERROR(_FV(Tableau1[[#This Row],[Code Excel]],"Capitalisation boursière",TRUE),"")</f>
        <v>31839880000</v>
      </c>
      <c r="V186" s="4" t="str" cm="1">
        <f t="array" aca="1" ref="V186" ca="1">IFERROR(_FV(Tableau1[[#This Row],[Code Excel]],"Industrie"),"")</f>
        <v>Food &amp; Drug Retailing</v>
      </c>
      <c r="W186" s="4" t="s">
        <v>966</v>
      </c>
      <c r="X186" s="4" t="str">
        <f ca="1">Tableau1[[#This Row],[Grand Secteur]]&amp;Tableau1[[#This Row],[Industrie]]</f>
        <v>DistributionFood &amp; Drug Retailing</v>
      </c>
      <c r="Y186" s="23" cm="1">
        <f t="array" aca="1" ref="Y186" ca="1">IFERROR(_FV(Tableau1[[#This Row],[Code Excel]],"P/E",TRUE),"")</f>
        <v>18.350100000000001</v>
      </c>
      <c r="Z186" s="43" cm="1">
        <f t="array" aca="1" ref="Z186" ca="1">IFERROR(_FV(Tableau1[[#This Row],[Code Excel]],"Employés"),"")</f>
        <v>388000</v>
      </c>
      <c r="AA186" s="46">
        <f ca="1">IFERROR(Tableau1[[#This Row],[Capitalisation boursière]]/Tableau1[[#This Row],[Employés]],"")</f>
        <v>82061.546391752578</v>
      </c>
      <c r="AB186" s="5" t="str">
        <f>IFERROR(Tableau1[[#This Row],[REX (2021)]]/Tableau1[[#This Row],[CA 2024]],"")</f>
        <v/>
      </c>
      <c r="AC186" s="9" t="str">
        <f>IFERROR(_xlfn.XLOOKUP(Tableau1[[#This Row],[Isin]]&amp;1&amp;2021,#REF!,Tableau3[Résultat d''exploitation]),"")</f>
        <v/>
      </c>
      <c r="AD186" s="9" t="str">
        <f>IFERROR(_xlfn.XLOOKUP(Tableau1[[#This Row],[Isin]]&amp;1&amp;2019,#REF!,Tableau3[Chiffre d''affaires]),"")</f>
        <v/>
      </c>
      <c r="AE186" s="9" t="str">
        <f>IFERROR(_xlfn.XLOOKUP(Tableau1[[#This Row],[Isin]]&amp;1&amp;2024,#REF!,Tableau3[Chiffre d''affaires]),"")</f>
        <v/>
      </c>
      <c r="AF186" s="8" t="str">
        <f>IFERROR(IF((Tableau1[[#This Row],[CA 2024]]-Tableau1[[#This Row],[CA 2019]])/Tableau1[[#This Row],[CA 2019]]=-1,"",(Tableau1[[#This Row],[CA 2024]]-Tableau1[[#This Row],[CA 2019]])/Tableau1[[#This Row],[CA 2019]]),"")</f>
        <v/>
      </c>
      <c r="AG186" s="9" t="str">
        <f>IFERROR(_xlfn.XLOOKUP(Tableau1[[#This Row],[Isin]]&amp;1&amp;2021,#REF!,Tableau3[EBE]),"")</f>
        <v/>
      </c>
      <c r="AH186" s="9" t="str">
        <f>IFERROR(_xlfn.XLOOKUP(Tableau1[[#This Row],[Isin]]&amp;1&amp;2022,#REF!,Tableau3[EBE]),"")</f>
        <v/>
      </c>
      <c r="AI186" s="43" t="s">
        <v>3419</v>
      </c>
      <c r="AJ186" s="43" t="s">
        <v>3150</v>
      </c>
      <c r="AK186" s="43" t="s">
        <v>3149</v>
      </c>
      <c r="AL186" s="43"/>
      <c r="AM186" s="43"/>
      <c r="AN186" s="9" t="str">
        <f>IFERROR(_xlfn.XLOOKUP(Tableau1[[#This Row],[Isin]]&amp;1&amp;2021,#REF!,Tableau3[Chiffre d''affaires]),"")</f>
        <v/>
      </c>
      <c r="AO186" s="43" cm="1">
        <f t="array" aca="1" ref="AO186" ca="1">_FV(Tableau1[[#This Row],[Code Excel]],"P/E",TRUE)</f>
        <v>18.350100000000001</v>
      </c>
      <c r="AP186" s="43" t="str">
        <f>IFERROR(_xlfn.XLOOKUP(Tableau1[[#This Row],[Isin]]&amp;1&amp;2023,#REF!,Tableau3[Résultat Net (PdG)]),"")</f>
        <v/>
      </c>
      <c r="AQ186" s="43">
        <f>IF(IFERROR(_xlfn.XLOOKUP(Tableau1[[#This Row],[Isin]]&amp;1&amp;2022,#REF!,Tableau3[Résultat Net (PdG)]),"")="",Tableau1[[#This Row],[RN Groupe 2022
Manuel]],IFERROR(_xlfn.XLOOKUP(Tableau1[[#This Row],[Isin]]&amp;1&amp;2022,#REF!,Tableau3[Résultat Net (PdG)]),""))</f>
        <v>0</v>
      </c>
      <c r="AR186" s="43"/>
      <c r="AS186" s="43">
        <f>IF(IFERROR(_xlfn.XLOOKUP(Tableau1[[#This Row],[Isin]]&amp;1&amp;2021,#REF!,Tableau3[Résultat Net (PdG)]),"")="",Tableau1[[#This Row],[RN Groupe 2021
Manuel]],IFERROR(_xlfn.XLOOKUP(Tableau1[[#This Row],[Isin]]&amp;1&amp;2021,#REF!,Tableau3[Résultat Net (PdG)]),""))</f>
        <v>0</v>
      </c>
      <c r="AT186" s="43"/>
      <c r="AU186" s="43" t="str">
        <f>IFERROR(_xlfn.XLOOKUP(Tableau1[[#This Row],[Isin]]&amp;1&amp;2020,#REF!,Tableau3[Résultat Net (PdG)]),"")</f>
        <v/>
      </c>
      <c r="AV186" s="43" t="str">
        <f>IFERROR(_xlfn.XLOOKUP(Tableau1[[#This Row],[Isin]]&amp;1&amp;2019,#REF!,Tableau3[Résultat Net (PdG)]),"")</f>
        <v/>
      </c>
      <c r="AW186" s="43" t="str">
        <f>IFERROR(_xlfn.XLOOKUP(Tableau1[[#This Row],[Isin]]&amp;1&amp;2018,#REF!,Tableau3[Résultat Net (PdG)]),"")</f>
        <v/>
      </c>
      <c r="AX186" s="43" t="str">
        <f>IFERROR(_xlfn.XLOOKUP(Tableau1[[#This Row],[Isin]]&amp;1&amp;2017,#REF!,Tableau3[Résultat Net (PdG)]),"")</f>
        <v/>
      </c>
      <c r="AY186" s="43" t="str">
        <f>IFERROR(_xlfn.XLOOKUP(Tableau1[[#This Row],[Isin]]&amp;1&amp;2016,#REF!,Tableau3[Résultat Net (PdG)]),"")</f>
        <v/>
      </c>
      <c r="AZ186" s="137" t="str">
        <f ca="1">IFERROR(Tableau1[[#This Row],[Capitalisation boursière]]/Tableau1[[#This Row],[RN Groupe 2023]],"")</f>
        <v/>
      </c>
      <c r="BA186" s="4" t="str" cm="1">
        <f t="array" aca="1" ref="BA186" ca="1">IFERROR(_FV(Tableau1[[#This Row],[Code Excel]],"Industrie"),"")</f>
        <v>Food &amp; Drug Retailing</v>
      </c>
      <c r="BB186" s="43" t="s">
        <v>3496</v>
      </c>
      <c r="BC186" s="43" t="str">
        <f>IFERROR(_xlfn.XLOOKUP(Tableau1[[#This Row],[Isin]]&amp;1&amp;2016,#REF!,Tableau3[Capi]),"")</f>
        <v/>
      </c>
      <c r="BD186" s="43" t="str">
        <f>IFERROR(_xlfn.XLOOKUP(Tableau1[[#This Row],[Isin]]&amp;1&amp;2017,#REF!,Tableau3[Capi]),"")</f>
        <v/>
      </c>
      <c r="BE186" s="43" t="str">
        <f>IFERROR(_xlfn.XLOOKUP(Tableau1[[#This Row],[Isin]]&amp;1&amp;2018,#REF!,Tableau3[Capi]),"")</f>
        <v/>
      </c>
      <c r="BF186" s="43" t="str">
        <f>IFERROR(_xlfn.XLOOKUP(Tableau1[[#This Row],[Isin]]&amp;1&amp;2019,#REF!,Tableau3[Capi]),"")</f>
        <v/>
      </c>
      <c r="BG186" s="43" t="str">
        <f>IFERROR(_xlfn.XLOOKUP(Tableau1[[#This Row],[Isin]]&amp;1&amp;2020,#REF!,Tableau3[Capi]),"")</f>
        <v/>
      </c>
      <c r="BH186" s="43">
        <f>IF(IFERROR(_xlfn.XLOOKUP(Tableau1[[#This Row],[Isin]]&amp;1&amp;2021,#REF!,Tableau3[Capi]),"")="",Tableau1[[#This Row],[Capitalisation 2021
Manuel]],IFERROR(_xlfn.XLOOKUP(Tableau1[[#This Row],[Isin]]&amp;1&amp;2021,#REF!,Tableau3[Capi]),""))</f>
        <v>0</v>
      </c>
      <c r="BI186" s="43"/>
      <c r="BJ186" s="43">
        <f>IF(IFERROR(_xlfn.XLOOKUP(Tableau1[[#This Row],[Isin]]&amp;1&amp;2022,#REF!,Tableau3[Capi]),"")="",Tableau1[[#This Row],[Capitalisation 2022
Manuel]],IFERROR(_xlfn.XLOOKUP(Tableau1[[#This Row],[Isin]]&amp;1&amp;2022,#REF!,Tableau3[Capi]),""))</f>
        <v>0</v>
      </c>
      <c r="BK186" s="43"/>
      <c r="BL186" s="43">
        <f ca="1">Tableau1[[#This Row],[Capitalisation boursière]]</f>
        <v>31839880000</v>
      </c>
      <c r="BM186" s="162" t="str" cm="1">
        <f t="array" aca="1" ref="BM186" ca="1">_FV(Tableau1[[#This Row],[Code Excel]],"Description")</f>
        <v>Royal Ahold est une société de commerce de détail alimentaire basée aux Pays-Bas. Elle propose un large éventail de produits alimentaires périssables et non périssables et des produits de consommation non alimentaires par le biais de nombreuses marques, y compris, entre autres, Stop &amp; Shop, Food Lion, bfresh et Giant Carlisle aux États-Unis, Proxy Delhaize, Red Market, Shop &amp; Go et Delhaize en Belgique, Albert Heijn, bol.com, Etos et Gall &amp; Gall aux Pays-Bas, et Albert Czech Republic, AB Food Market, ENA, Tempo et MAXI en Europe centrale et du Sud-Est. La société est également active par le biais de deux joint-ventures, Pingo Doce au Portugal et Super Indo en Indonésie. La société opère par le biais de cinq secteurs d'activité : Pays-Bas, Belgique, Europe centrale et Europe du Sud-Est et deux entités déclarantes aux États-Unis.</v>
      </c>
      <c r="BN186" s="43"/>
      <c r="BO186" s="43"/>
      <c r="BP186" s="43"/>
      <c r="BQ186" s="43"/>
      <c r="BR186" s="13"/>
      <c r="BS186" s="13"/>
      <c r="BT186" s="13"/>
      <c r="BU186" s="13"/>
      <c r="BV186" s="13"/>
      <c r="BW186" s="4"/>
      <c r="BX186" s="21"/>
      <c r="BY186" s="13"/>
      <c r="BZ186" s="13"/>
      <c r="CA186" s="13"/>
      <c r="CB186" s="13"/>
      <c r="CC186" s="13"/>
      <c r="CD186" s="3"/>
      <c r="CE186" s="47"/>
      <c r="CF186" s="47"/>
    </row>
    <row r="187" spans="3:87">
      <c r="C187" s="42"/>
      <c r="D187" s="42">
        <f>IF(Tableau1[[#This Row],[Isin]]="",99,Tableau1[[#This Row],[Intérêt]]+Tableau1[[#This Row],[Valeur d''intérêt]]+Tableau1[[#This Row],[N° Portefeuille]])</f>
        <v>30</v>
      </c>
      <c r="E187" s="42"/>
      <c r="F187" s="42">
        <f>IF(Tableau1[[#This Row],[Portefeuille]]="p",0,Tableau1[[#This Row],[F. Investissement
Niveau d''intérêt]]*10)</f>
        <v>30</v>
      </c>
      <c r="G187" s="42">
        <f>IF(Tableau1[[#This Row],[Portefeuille]]="p",3,0)</f>
        <v>0</v>
      </c>
      <c r="H187" s="42">
        <v>3</v>
      </c>
      <c r="I187" s="42">
        <v>4</v>
      </c>
      <c r="J187" s="42"/>
      <c r="K187" s="43"/>
      <c r="L187" s="16">
        <v>0</v>
      </c>
      <c r="M18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7" s="44" t="s">
        <v>3920</v>
      </c>
      <c r="O187" s="45"/>
      <c r="P187" s="4" t="s">
        <v>427</v>
      </c>
      <c r="Q187" s="4"/>
      <c r="R187" s="6"/>
      <c r="S187" s="6" t="s">
        <v>3921</v>
      </c>
      <c r="T187" s="6" t="e" vm="171">
        <v>#VALUE!</v>
      </c>
      <c r="U187" s="46" cm="1">
        <f t="array" aca="1" ref="U187" ca="1">IFERROR(_FV(Tableau1[[#This Row],[Code Excel]],"Capitalisation boursière",TRUE),"")</f>
        <v>15213500000</v>
      </c>
      <c r="V187" s="4" t="str" cm="1">
        <f t="array" aca="1" ref="V187" ca="1">IFERROR(_FV(Tableau1[[#This Row],[Code Excel]],"Industrie"),"")</f>
        <v>Telecommunications Services</v>
      </c>
      <c r="W187" s="4" t="s">
        <v>1737</v>
      </c>
      <c r="X187" s="4" t="str">
        <f ca="1">Tableau1[[#This Row],[Grand Secteur]]&amp;Tableau1[[#This Row],[Industrie]]</f>
        <v>TélécommunicationTelecommunications Services</v>
      </c>
      <c r="Y187" s="23" cm="1">
        <f t="array" aca="1" ref="Y187" ca="1">IFERROR(_FV(Tableau1[[#This Row],[Code Excel]],"P/E",TRUE),"")</f>
        <v>19.559999999999999</v>
      </c>
      <c r="Z187" s="43" cm="1">
        <f t="array" aca="1" ref="Z187" ca="1">IFERROR(_FV(Tableau1[[#This Row],[Code Excel]],"Employés"),"")</f>
        <v>9664</v>
      </c>
      <c r="AA187" s="49">
        <f ca="1">IFERROR(Tableau1[[#This Row],[Capitalisation boursière]]/Tableau1[[#This Row],[Employés]],"")</f>
        <v>1574244.6192052979</v>
      </c>
      <c r="AB187" s="5" t="str">
        <f>IFERROR(Tableau1[[#This Row],[REX (2021)]]/Tableau1[[#This Row],[CA 2024]],"")</f>
        <v/>
      </c>
      <c r="AC187" s="9" t="str">
        <f>IFERROR(_xlfn.XLOOKUP(Tableau1[[#This Row],[Isin]]&amp;1&amp;2021,#REF!,Tableau3[Résultat d''exploitation]),"")</f>
        <v/>
      </c>
      <c r="AD187" s="9" t="str">
        <f>IFERROR(_xlfn.XLOOKUP(Tableau1[[#This Row],[Isin]]&amp;1&amp;2019,#REF!,Tableau3[Chiffre d''affaires]),"")</f>
        <v/>
      </c>
      <c r="AE187" s="9" t="str">
        <f>IFERROR(_xlfn.XLOOKUP(Tableau1[[#This Row],[Isin]]&amp;1&amp;2024,#REF!,Tableau3[Chiffre d''affaires]),"")</f>
        <v/>
      </c>
      <c r="AF187" s="8" t="str">
        <f>IFERROR(IF((Tableau1[[#This Row],[CA 2024]]-Tableau1[[#This Row],[CA 2019]])/Tableau1[[#This Row],[CA 2019]]=-1,"",(Tableau1[[#This Row],[CA 2024]]-Tableau1[[#This Row],[CA 2019]])/Tableau1[[#This Row],[CA 2019]]),"")</f>
        <v/>
      </c>
      <c r="AG187" s="9" t="str">
        <f>IFERROR(_xlfn.XLOOKUP(Tableau1[[#This Row],[Isin]]&amp;1&amp;2021,#REF!,Tableau3[EBE]),"")</f>
        <v/>
      </c>
      <c r="AH187" s="9" t="str">
        <f>IFERROR(_xlfn.XLOOKUP(Tableau1[[#This Row],[Isin]]&amp;1&amp;2022,#REF!,Tableau3[EBE]),"")</f>
        <v/>
      </c>
      <c r="AI187" s="13" t="s">
        <v>4324</v>
      </c>
      <c r="AJ187" s="43" t="s">
        <v>4376</v>
      </c>
      <c r="AK187" s="43" t="s">
        <v>4377</v>
      </c>
      <c r="AL187" s="43"/>
      <c r="AM187" s="43"/>
      <c r="AN187" s="9" t="str">
        <f>IFERROR(_xlfn.XLOOKUP(Tableau1[[#This Row],[Isin]]&amp;1&amp;2021,#REF!,Tableau3[Chiffre d''affaires]),"")</f>
        <v/>
      </c>
      <c r="AO187" s="43" cm="1">
        <f t="array" aca="1" ref="AO187" ca="1">_FV(Tableau1[[#This Row],[Code Excel]],"P/E",TRUE)</f>
        <v>19.559999999999999</v>
      </c>
      <c r="AP187" s="43" t="str">
        <f>IFERROR(_xlfn.XLOOKUP(Tableau1[[#This Row],[Isin]]&amp;1&amp;2023,#REF!,Tableau3[Résultat Net (PdG)]),"")</f>
        <v/>
      </c>
      <c r="AQ187" s="43">
        <f>IF(IFERROR(_xlfn.XLOOKUP(Tableau1[[#This Row],[Isin]]&amp;1&amp;2022,#REF!,Tableau3[Résultat Net (PdG)]),"")="",Tableau1[[#This Row],[RN Groupe 2022
Manuel]],IFERROR(_xlfn.XLOOKUP(Tableau1[[#This Row],[Isin]]&amp;1&amp;2022,#REF!,Tableau3[Résultat Net (PdG)]),""))</f>
        <v>0</v>
      </c>
      <c r="AR187" s="43"/>
      <c r="AS187" s="43">
        <f>IF(IFERROR(_xlfn.XLOOKUP(Tableau1[[#This Row],[Isin]]&amp;1&amp;2021,#REF!,Tableau3[Résultat Net (PdG)]),"")="",Tableau1[[#This Row],[RN Groupe 2021
Manuel]],IFERROR(_xlfn.XLOOKUP(Tableau1[[#This Row],[Isin]]&amp;1&amp;2021,#REF!,Tableau3[Résultat Net (PdG)]),""))</f>
        <v>0</v>
      </c>
      <c r="AT187" s="43"/>
      <c r="AU187" s="43" t="str">
        <f>IFERROR(_xlfn.XLOOKUP(Tableau1[[#This Row],[Isin]]&amp;1&amp;2020,#REF!,Tableau3[Résultat Net (PdG)]),"")</f>
        <v/>
      </c>
      <c r="AV187" s="43" t="str">
        <f>IFERROR(_xlfn.XLOOKUP(Tableau1[[#This Row],[Isin]]&amp;1&amp;2019,#REF!,Tableau3[Résultat Net (PdG)]),"")</f>
        <v/>
      </c>
      <c r="AW187" s="43" t="str">
        <f>IFERROR(_xlfn.XLOOKUP(Tableau1[[#This Row],[Isin]]&amp;1&amp;2018,#REF!,Tableau3[Résultat Net (PdG)]),"")</f>
        <v/>
      </c>
      <c r="AX187" s="43" t="str">
        <f>IFERROR(_xlfn.XLOOKUP(Tableau1[[#This Row],[Isin]]&amp;1&amp;2017,#REF!,Tableau3[Résultat Net (PdG)]),"")</f>
        <v/>
      </c>
      <c r="AY187" s="43" t="str">
        <f>IFERROR(_xlfn.XLOOKUP(Tableau1[[#This Row],[Isin]]&amp;1&amp;2016,#REF!,Tableau3[Résultat Net (PdG)]),"")</f>
        <v/>
      </c>
      <c r="AZ187" s="137" t="str">
        <f ca="1">IFERROR(Tableau1[[#This Row],[Capitalisation boursière]]/Tableau1[[#This Row],[RN Groupe 2023]],"")</f>
        <v/>
      </c>
      <c r="BA187" s="4" t="str" cm="1">
        <f t="array" aca="1" ref="BA187" ca="1">IFERROR(_FV(Tableau1[[#This Row],[Code Excel]],"Industrie"),"")</f>
        <v>Telecommunications Services</v>
      </c>
      <c r="BB187" s="43" t="s">
        <v>3496</v>
      </c>
      <c r="BC187" s="43" t="str">
        <f>IFERROR(_xlfn.XLOOKUP(Tableau1[[#This Row],[Isin]]&amp;1&amp;2016,#REF!,Tableau3[Capi]),"")</f>
        <v/>
      </c>
      <c r="BD187" s="43" t="str">
        <f>IFERROR(_xlfn.XLOOKUP(Tableau1[[#This Row],[Isin]]&amp;1&amp;2017,#REF!,Tableau3[Capi]),"")</f>
        <v/>
      </c>
      <c r="BE187" s="43" t="str">
        <f>IFERROR(_xlfn.XLOOKUP(Tableau1[[#This Row],[Isin]]&amp;1&amp;2018,#REF!,Tableau3[Capi]),"")</f>
        <v/>
      </c>
      <c r="BF187" s="43" t="str">
        <f>IFERROR(_xlfn.XLOOKUP(Tableau1[[#This Row],[Isin]]&amp;1&amp;2019,#REF!,Tableau3[Capi]),"")</f>
        <v/>
      </c>
      <c r="BG187" s="43" t="str">
        <f>IFERROR(_xlfn.XLOOKUP(Tableau1[[#This Row],[Isin]]&amp;1&amp;2020,#REF!,Tableau3[Capi]),"")</f>
        <v/>
      </c>
      <c r="BH187" s="43">
        <f>IF(IFERROR(_xlfn.XLOOKUP(Tableau1[[#This Row],[Isin]]&amp;1&amp;2021,#REF!,Tableau3[Capi]),"")="",Tableau1[[#This Row],[Capitalisation 2021
Manuel]],IFERROR(_xlfn.XLOOKUP(Tableau1[[#This Row],[Isin]]&amp;1&amp;2021,#REF!,Tableau3[Capi]),""))</f>
        <v>0</v>
      </c>
      <c r="BI187" s="43"/>
      <c r="BJ187" s="43">
        <f>IF(IFERROR(_xlfn.XLOOKUP(Tableau1[[#This Row],[Isin]]&amp;1&amp;2022,#REF!,Tableau3[Capi]),"")="",Tableau1[[#This Row],[Capitalisation 2022
Manuel]],IFERROR(_xlfn.XLOOKUP(Tableau1[[#This Row],[Isin]]&amp;1&amp;2022,#REF!,Tableau3[Capi]),""))</f>
        <v>0</v>
      </c>
      <c r="BK187" s="43"/>
      <c r="BL187" s="43">
        <f ca="1">Tableau1[[#This Row],[Capitalisation boursière]]</f>
        <v>15213500000</v>
      </c>
      <c r="BM187" s="162" t="str" cm="1">
        <f t="array" aca="1" ref="BM187" ca="1">_FV(Tableau1[[#This Row],[Code Excel]],"Description")</f>
        <v>Koninklijke KPN N.V. (KPN) est un fournisseur de télécommunications et de technologies de l’information et de la communication (TIC) basé aux Pays-Bas. Les secteurs de la Société comprennent Consommateur, Entreprises, Commerce de gros et réseau, Opérations et informatique. La Société offre des services de téléphonie fixe et mobile, Internet haut débit fixe et mobile et la télévision aux consommateurs de détail. Pour les clients professionnels, la Société propose des services de téléphonie mobile et Internet, ainsi que des solutions TIC liées aux infrastructures et aux réseaux, notamment l’hébergement en nuage et la connectivité Internet des objets (IoT). KPN fournit également des services réseau de gros à des tiers. Les marques de la Société comprennent notamment KPN, Telfort, XS4ALL, Simyo, Yes Telecom, Ortel Mobile, Argeweb, Solcon, Route IT, Divider, Internedservices, NLDC et StartReady. entre autres. La Société fournit ses services principalement aux Pays-Bas.</v>
      </c>
      <c r="BN187" s="43"/>
      <c r="BO187" s="43"/>
      <c r="BP187" s="43"/>
      <c r="BQ187" s="43"/>
      <c r="BR187" s="13"/>
      <c r="BS187" s="13"/>
      <c r="BT187" s="13"/>
      <c r="BU187" s="13"/>
      <c r="BV187" s="13"/>
      <c r="BW187" s="4"/>
      <c r="BX187" s="21"/>
      <c r="BY187" s="13"/>
      <c r="BZ187" s="13"/>
      <c r="CA187" s="13"/>
      <c r="CB187" s="13"/>
      <c r="CC187" s="13"/>
      <c r="CD187" s="3"/>
      <c r="CE187" s="47"/>
      <c r="CF187" s="47"/>
    </row>
    <row r="188" spans="3:87">
      <c r="C188" s="43"/>
      <c r="D188" s="42">
        <f>IF(Tableau1[[#This Row],[Isin]]="",99,Tableau1[[#This Row],[Intérêt]]+Tableau1[[#This Row],[Valeur d''intérêt]]+Tableau1[[#This Row],[N° Portefeuille]])</f>
        <v>30</v>
      </c>
      <c r="E188" s="43"/>
      <c r="F188" s="42">
        <f>IF(Tableau1[[#This Row],[Portefeuille]]="p",0,Tableau1[[#This Row],[F. Investissement
Niveau d''intérêt]]*10)</f>
        <v>30</v>
      </c>
      <c r="G188" s="43">
        <f>IF(Tableau1[[#This Row],[Portefeuille]]="p",3,0)</f>
        <v>0</v>
      </c>
      <c r="H188" s="43">
        <v>3</v>
      </c>
      <c r="I188" s="43">
        <v>4</v>
      </c>
      <c r="J188" s="43"/>
      <c r="K188" s="43"/>
      <c r="L188" s="16">
        <v>0</v>
      </c>
      <c r="M18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8" s="44" t="s">
        <v>3923</v>
      </c>
      <c r="O188" s="45"/>
      <c r="P188" s="4" t="s">
        <v>427</v>
      </c>
      <c r="Q188" s="4"/>
      <c r="R188" s="6"/>
      <c r="S188" s="6" t="s">
        <v>3924</v>
      </c>
      <c r="T188" s="6" t="e" vm="172">
        <v>#VALUE!</v>
      </c>
      <c r="U188" s="46" cm="1">
        <f t="array" aca="1" ref="U188" ca="1">IFERROR(_FV(Tableau1[[#This Row],[Code Excel]],"Capitalisation boursière",TRUE),"")</f>
        <v>22304760000</v>
      </c>
      <c r="V188" s="4" t="str" cm="1">
        <f t="array" aca="1" ref="V188" ca="1">IFERROR(_FV(Tableau1[[#This Row],[Code Excel]],"Industrie"),"")</f>
        <v>Healthcare Equipment &amp; Supplies</v>
      </c>
      <c r="W188" s="4" t="s">
        <v>1586</v>
      </c>
      <c r="X188" s="4" t="str">
        <f ca="1">Tableau1[[#This Row],[Grand Secteur]]&amp;Tableau1[[#This Row],[Industrie]]</f>
        <v>SantéHealthcare Equipment &amp; Supplies</v>
      </c>
      <c r="Y188" s="23" cm="1">
        <f t="array" aca="1" ref="Y188" ca="1">IFERROR(_FV(Tableau1[[#This Row],[Code Excel]],"P/E",TRUE),"")</f>
        <v>0</v>
      </c>
      <c r="Z188" s="43" cm="1">
        <f t="array" aca="1" ref="Z188" ca="1">IFERROR(_FV(Tableau1[[#This Row],[Code Excel]],"Employés"),"")</f>
        <v>67823</v>
      </c>
      <c r="AA188" s="49">
        <f ca="1">IFERROR(Tableau1[[#This Row],[Capitalisation boursière]]/Tableau1[[#This Row],[Employés]],"")</f>
        <v>328867.19844300608</v>
      </c>
      <c r="AB188" s="5" t="str">
        <f>IFERROR(Tableau1[[#This Row],[REX (2021)]]/Tableau1[[#This Row],[CA 2024]],"")</f>
        <v/>
      </c>
      <c r="AC188" s="9" t="str">
        <f>IFERROR(_xlfn.XLOOKUP(Tableau1[[#This Row],[Isin]]&amp;1&amp;2021,#REF!,Tableau3[Résultat d''exploitation]),"")</f>
        <v/>
      </c>
      <c r="AD188" s="9" t="str">
        <f>IFERROR(_xlfn.XLOOKUP(Tableau1[[#This Row],[Isin]]&amp;1&amp;2019,#REF!,Tableau3[Chiffre d''affaires]),"")</f>
        <v/>
      </c>
      <c r="AE188" s="9" t="str">
        <f>IFERROR(_xlfn.XLOOKUP(Tableau1[[#This Row],[Isin]]&amp;1&amp;2024,#REF!,Tableau3[Chiffre d''affaires]),"")</f>
        <v/>
      </c>
      <c r="AF188" s="8" t="str">
        <f>IFERROR(IF((Tableau1[[#This Row],[CA 2024]]-Tableau1[[#This Row],[CA 2019]])/Tableau1[[#This Row],[CA 2019]]=-1,"",(Tableau1[[#This Row],[CA 2024]]-Tableau1[[#This Row],[CA 2019]])/Tableau1[[#This Row],[CA 2019]]),"")</f>
        <v/>
      </c>
      <c r="AG188" s="9" t="str">
        <f>IFERROR(_xlfn.XLOOKUP(Tableau1[[#This Row],[Isin]]&amp;1&amp;2021,#REF!,Tableau3[EBE]),"")</f>
        <v/>
      </c>
      <c r="AH188" s="9" t="str">
        <f>IFERROR(_xlfn.XLOOKUP(Tableau1[[#This Row],[Isin]]&amp;1&amp;2022,#REF!,Tableau3[EBE]),"")</f>
        <v/>
      </c>
      <c r="AI188" s="13" t="s">
        <v>4324</v>
      </c>
      <c r="AJ188" s="13" t="s">
        <v>4325</v>
      </c>
      <c r="AK188" s="13" t="s">
        <v>3148</v>
      </c>
      <c r="AL188" s="43"/>
      <c r="AM188" s="43"/>
      <c r="AN188" s="9" t="str">
        <f>IFERROR(_xlfn.XLOOKUP(Tableau1[[#This Row],[Isin]]&amp;1&amp;2021,#REF!,Tableau3[Chiffre d''affaires]),"")</f>
        <v/>
      </c>
      <c r="AO188" s="43" cm="1">
        <f t="array" aca="1" ref="AO188" ca="1">_FV(Tableau1[[#This Row],[Code Excel]],"P/E",TRUE)</f>
        <v>0</v>
      </c>
      <c r="AP188" s="43" t="str">
        <f>IFERROR(_xlfn.XLOOKUP(Tableau1[[#This Row],[Isin]]&amp;1&amp;2023,#REF!,Tableau3[Résultat Net (PdG)]),"")</f>
        <v/>
      </c>
      <c r="AQ188" s="43">
        <f>IF(IFERROR(_xlfn.XLOOKUP(Tableau1[[#This Row],[Isin]]&amp;1&amp;2022,#REF!,Tableau3[Résultat Net (PdG)]),"")="",Tableau1[[#This Row],[RN Groupe 2022
Manuel]],IFERROR(_xlfn.XLOOKUP(Tableau1[[#This Row],[Isin]]&amp;1&amp;2022,#REF!,Tableau3[Résultat Net (PdG)]),""))</f>
        <v>0</v>
      </c>
      <c r="AR188" s="43"/>
      <c r="AS188" s="43">
        <f>IF(IFERROR(_xlfn.XLOOKUP(Tableau1[[#This Row],[Isin]]&amp;1&amp;2021,#REF!,Tableau3[Résultat Net (PdG)]),"")="",Tableau1[[#This Row],[RN Groupe 2021
Manuel]],IFERROR(_xlfn.XLOOKUP(Tableau1[[#This Row],[Isin]]&amp;1&amp;2021,#REF!,Tableau3[Résultat Net (PdG)]),""))</f>
        <v>0</v>
      </c>
      <c r="AT188" s="43"/>
      <c r="AU188" s="43" t="str">
        <f>IFERROR(_xlfn.XLOOKUP(Tableau1[[#This Row],[Isin]]&amp;1&amp;2020,#REF!,Tableau3[Résultat Net (PdG)]),"")</f>
        <v/>
      </c>
      <c r="AV188" s="43" t="str">
        <f>IFERROR(_xlfn.XLOOKUP(Tableau1[[#This Row],[Isin]]&amp;1&amp;2019,#REF!,Tableau3[Résultat Net (PdG)]),"")</f>
        <v/>
      </c>
      <c r="AW188" s="43" t="str">
        <f>IFERROR(_xlfn.XLOOKUP(Tableau1[[#This Row],[Isin]]&amp;1&amp;2018,#REF!,Tableau3[Résultat Net (PdG)]),"")</f>
        <v/>
      </c>
      <c r="AX188" s="43" t="str">
        <f>IFERROR(_xlfn.XLOOKUP(Tableau1[[#This Row],[Isin]]&amp;1&amp;2017,#REF!,Tableau3[Résultat Net (PdG)]),"")</f>
        <v/>
      </c>
      <c r="AY188" s="43" t="str">
        <f>IFERROR(_xlfn.XLOOKUP(Tableau1[[#This Row],[Isin]]&amp;1&amp;2016,#REF!,Tableau3[Résultat Net (PdG)]),"")</f>
        <v/>
      </c>
      <c r="AZ188" s="137" t="str">
        <f ca="1">IFERROR(Tableau1[[#This Row],[Capitalisation boursière]]/Tableau1[[#This Row],[RN Groupe 2023]],"")</f>
        <v/>
      </c>
      <c r="BA188" s="4" t="str" cm="1">
        <f t="array" aca="1" ref="BA188" ca="1">IFERROR(_FV(Tableau1[[#This Row],[Code Excel]],"Industrie"),"")</f>
        <v>Healthcare Equipment &amp; Supplies</v>
      </c>
      <c r="BB188" s="43" t="s">
        <v>3496</v>
      </c>
      <c r="BC188" s="43" t="str">
        <f>IFERROR(_xlfn.XLOOKUP(Tableau1[[#This Row],[Isin]]&amp;1&amp;2016,#REF!,Tableau3[Capi]),"")</f>
        <v/>
      </c>
      <c r="BD188" s="43" t="str">
        <f>IFERROR(_xlfn.XLOOKUP(Tableau1[[#This Row],[Isin]]&amp;1&amp;2017,#REF!,Tableau3[Capi]),"")</f>
        <v/>
      </c>
      <c r="BE188" s="43" t="str">
        <f>IFERROR(_xlfn.XLOOKUP(Tableau1[[#This Row],[Isin]]&amp;1&amp;2018,#REF!,Tableau3[Capi]),"")</f>
        <v/>
      </c>
      <c r="BF188" s="43" t="str">
        <f>IFERROR(_xlfn.XLOOKUP(Tableau1[[#This Row],[Isin]]&amp;1&amp;2019,#REF!,Tableau3[Capi]),"")</f>
        <v/>
      </c>
      <c r="BG188" s="43" t="str">
        <f>IFERROR(_xlfn.XLOOKUP(Tableau1[[#This Row],[Isin]]&amp;1&amp;2020,#REF!,Tableau3[Capi]),"")</f>
        <v/>
      </c>
      <c r="BH188" s="43">
        <f>IF(IFERROR(_xlfn.XLOOKUP(Tableau1[[#This Row],[Isin]]&amp;1&amp;2021,#REF!,Tableau3[Capi]),"")="",Tableau1[[#This Row],[Capitalisation 2021
Manuel]],IFERROR(_xlfn.XLOOKUP(Tableau1[[#This Row],[Isin]]&amp;1&amp;2021,#REF!,Tableau3[Capi]),""))</f>
        <v>0</v>
      </c>
      <c r="BI188" s="43"/>
      <c r="BJ188" s="43">
        <f>IF(IFERROR(_xlfn.XLOOKUP(Tableau1[[#This Row],[Isin]]&amp;1&amp;2022,#REF!,Tableau3[Capi]),"")="",Tableau1[[#This Row],[Capitalisation 2022
Manuel]],IFERROR(_xlfn.XLOOKUP(Tableau1[[#This Row],[Isin]]&amp;1&amp;2022,#REF!,Tableau3[Capi]),""))</f>
        <v>0</v>
      </c>
      <c r="BK188" s="43"/>
      <c r="BL188" s="43">
        <f ca="1">Tableau1[[#This Row],[Capitalisation boursière]]</f>
        <v>22304760000</v>
      </c>
      <c r="BM188" s="162" t="str" cm="1">
        <f t="array" aca="1" ref="BM188" ca="1">_FV(Tableau1[[#This Row],[Code Excel]],"Description")</f>
        <v>Koninklijke Philips NV est une société néerlandaise spécialisée dans les technologies de la santé. Les segments de la société comprennent les activités de santé personnelle, de diagnostic et de traitement, de soins connectés et autres. Le segment des activités de santé personnelle est engagé dans le continuum de la santé, en fournissant des solutions intégrées et connectées qui favorisent des modes de vie plus sains et les personnes atteintes de maladies chroniques, ainsi que des soins bucco-dentaires et un soutien aux soins maternels et infantiles. Le segment des activités de diagnostic et de traitement fournit des soins et des thérapies de précision. Le segment des activités de soins connectés fournit aux consommateurs, aux soignants et aux cliniciens des solutions numériques qui facilitent les soins en permettant la médecine de précision et la gestion de la santé de la population. Le segment Autres comprend des éléments tels que l'innovation, les activités émergentes, les redevances, entre autres.</v>
      </c>
      <c r="BN188" s="43"/>
      <c r="BO188" s="43"/>
      <c r="BP188" s="43"/>
      <c r="BQ188" s="43"/>
      <c r="BR188" s="13"/>
      <c r="BS188" s="13"/>
      <c r="BT188" s="13"/>
      <c r="BU188" s="13"/>
      <c r="BV188" s="13"/>
      <c r="BW188" s="4"/>
      <c r="BX188" s="21"/>
      <c r="BY188" s="13"/>
      <c r="BZ188" s="13"/>
      <c r="CA188" s="13"/>
      <c r="CB188" s="13"/>
      <c r="CC188" s="13"/>
      <c r="CD188" s="3"/>
      <c r="CE188" s="47"/>
      <c r="CF188" s="47"/>
    </row>
    <row r="189" spans="3:87">
      <c r="C189" s="42"/>
      <c r="D189" s="42">
        <f>IF(Tableau1[[#This Row],[Isin]]="",99,Tableau1[[#This Row],[Intérêt]]+Tableau1[[#This Row],[Valeur d''intérêt]]+Tableau1[[#This Row],[N° Portefeuille]])</f>
        <v>30</v>
      </c>
      <c r="E189" s="42"/>
      <c r="F189" s="42">
        <f>IF(Tableau1[[#This Row],[Portefeuille]]="p",0,Tableau1[[#This Row],[F. Investissement
Niveau d''intérêt]]*10)</f>
        <v>30</v>
      </c>
      <c r="G189" s="42">
        <f>IF(Tableau1[[#This Row],[Portefeuille]]="p",3,0)</f>
        <v>0</v>
      </c>
      <c r="H189" s="42">
        <v>3</v>
      </c>
      <c r="I189" s="42">
        <v>4</v>
      </c>
      <c r="J189" s="42"/>
      <c r="K189" s="43"/>
      <c r="L189" s="16">
        <v>1</v>
      </c>
      <c r="M18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89" s="44" t="s">
        <v>1292</v>
      </c>
      <c r="O189" s="44" t="s">
        <v>1293</v>
      </c>
      <c r="P189" s="4" t="s">
        <v>84</v>
      </c>
      <c r="Q189" s="6" t="s">
        <v>85</v>
      </c>
      <c r="R189" s="6"/>
      <c r="S189" s="6" t="s">
        <v>1295</v>
      </c>
      <c r="T189" s="6" t="e" vm="173">
        <v>#VALUE!</v>
      </c>
      <c r="U189" s="46" cm="1">
        <f t="array" aca="1" ref="U189" ca="1">IFERROR(_FV(Tableau1[[#This Row],[Code Excel]],"Capitalisation boursière",TRUE),"")</f>
        <v>1562276000</v>
      </c>
      <c r="V189" s="4" t="str" cm="1">
        <f t="array" aca="1" ref="V189" ca="1">IFERROR(_FV(Tableau1[[#This Row],[Code Excel]],"Industrie"),"")</f>
        <v>Healthcare Providers &amp; Services</v>
      </c>
      <c r="W189" s="4" t="s">
        <v>1586</v>
      </c>
      <c r="X189" s="4" t="str">
        <f ca="1">Tableau1[[#This Row],[Grand Secteur]]&amp;Tableau1[[#This Row],[Industrie]]</f>
        <v>SantéHealthcare Providers &amp; Services</v>
      </c>
      <c r="Y189" s="23" cm="1">
        <f t="array" aca="1" ref="Y189" ca="1">IFERROR(_FV(Tableau1[[#This Row],[Code Excel]],"P/E",TRUE),"")</f>
        <v>0</v>
      </c>
      <c r="Z189" s="43" cm="1">
        <f t="array" aca="1" ref="Z189" ca="1">IFERROR(_FV(Tableau1[[#This Row],[Code Excel]],"Employés"),"")</f>
        <v>61798</v>
      </c>
      <c r="AA189" s="49">
        <f ca="1">IFERROR(Tableau1[[#This Row],[Capitalisation boursière]]/Tableau1[[#This Row],[Employés]],"")</f>
        <v>25280.365060357941</v>
      </c>
      <c r="AB189" s="5" t="str">
        <f>IFERROR(Tableau1[[#This Row],[REX (2021)]]/Tableau1[[#This Row],[CA 2024]],"")</f>
        <v/>
      </c>
      <c r="AC189" s="9" t="str">
        <f>IFERROR(_xlfn.XLOOKUP(Tableau1[[#This Row],[Isin]]&amp;1&amp;2021,#REF!,Tableau3[Résultat d''exploitation]),"")</f>
        <v/>
      </c>
      <c r="AD189" s="9" t="str">
        <f>IFERROR(_xlfn.XLOOKUP(Tableau1[[#This Row],[Isin]]&amp;1&amp;2019,#REF!,Tableau3[Chiffre d''affaires]),"")</f>
        <v/>
      </c>
      <c r="AE189" s="9" t="str">
        <f>IFERROR(_xlfn.XLOOKUP(Tableau1[[#This Row],[Isin]]&amp;1&amp;2024,#REF!,Tableau3[Chiffre d''affaires]),"")</f>
        <v/>
      </c>
      <c r="AF189" s="8" t="str">
        <f>IFERROR(IF((Tableau1[[#This Row],[CA 2024]]-Tableau1[[#This Row],[CA 2019]])/Tableau1[[#This Row],[CA 2019]]=-1,"",(Tableau1[[#This Row],[CA 2024]]-Tableau1[[#This Row],[CA 2019]])/Tableau1[[#This Row],[CA 2019]]),"")</f>
        <v/>
      </c>
      <c r="AG189" s="9" t="str">
        <f>IFERROR(_xlfn.XLOOKUP(Tableau1[[#This Row],[Isin]]&amp;1&amp;2021,#REF!,Tableau3[EBE]),"")</f>
        <v/>
      </c>
      <c r="AH189" s="9" t="str">
        <f>IFERROR(_xlfn.XLOOKUP(Tableau1[[#This Row],[Isin]]&amp;1&amp;2022,#REF!,Tableau3[EBE]),"")</f>
        <v/>
      </c>
      <c r="AI189" s="13" t="s">
        <v>3419</v>
      </c>
      <c r="AJ189" s="13" t="s">
        <v>4322</v>
      </c>
      <c r="AK189" s="13" t="s">
        <v>3148</v>
      </c>
      <c r="AL189" s="43" t="s">
        <v>4343</v>
      </c>
      <c r="AM189" s="43"/>
      <c r="AN189" s="9" t="str">
        <f>IFERROR(_xlfn.XLOOKUP(Tableau1[[#This Row],[Isin]]&amp;1&amp;2021,#REF!,Tableau3[Chiffre d''affaires]),"")</f>
        <v/>
      </c>
      <c r="AO189" s="43" cm="1">
        <f t="array" aca="1" ref="AO189" ca="1">_FV(Tableau1[[#This Row],[Code Excel]],"P/E",TRUE)</f>
        <v>0</v>
      </c>
      <c r="AP189" s="43" t="str">
        <f>IFERROR(_xlfn.XLOOKUP(Tableau1[[#This Row],[Isin]]&amp;1&amp;2023,#REF!,Tableau3[Résultat Net (PdG)]),"")</f>
        <v/>
      </c>
      <c r="AQ189" s="43">
        <f>IF(IFERROR(_xlfn.XLOOKUP(Tableau1[[#This Row],[Isin]]&amp;1&amp;2022,#REF!,Tableau3[Résultat Net (PdG)]),"")="",Tableau1[[#This Row],[RN Groupe 2022
Manuel]],IFERROR(_xlfn.XLOOKUP(Tableau1[[#This Row],[Isin]]&amp;1&amp;2022,#REF!,Tableau3[Résultat Net (PdG)]),""))</f>
        <v>0</v>
      </c>
      <c r="AR189" s="43"/>
      <c r="AS189" s="43">
        <f>IF(IFERROR(_xlfn.XLOOKUP(Tableau1[[#This Row],[Isin]]&amp;1&amp;2021,#REF!,Tableau3[Résultat Net (PdG)]),"")="",Tableau1[[#This Row],[RN Groupe 2021
Manuel]],IFERROR(_xlfn.XLOOKUP(Tableau1[[#This Row],[Isin]]&amp;1&amp;2021,#REF!,Tableau3[Résultat Net (PdG)]),""))</f>
        <v>0</v>
      </c>
      <c r="AT189" s="43"/>
      <c r="AU189" s="43" t="str">
        <f>IFERROR(_xlfn.XLOOKUP(Tableau1[[#This Row],[Isin]]&amp;1&amp;2020,#REF!,Tableau3[Résultat Net (PdG)]),"")</f>
        <v/>
      </c>
      <c r="AV189" s="43" t="str">
        <f>IFERROR(_xlfn.XLOOKUP(Tableau1[[#This Row],[Isin]]&amp;1&amp;2019,#REF!,Tableau3[Résultat Net (PdG)]),"")</f>
        <v/>
      </c>
      <c r="AW189" s="43" t="str">
        <f>IFERROR(_xlfn.XLOOKUP(Tableau1[[#This Row],[Isin]]&amp;1&amp;2018,#REF!,Tableau3[Résultat Net (PdG)]),"")</f>
        <v/>
      </c>
      <c r="AX189" s="43" t="str">
        <f>IFERROR(_xlfn.XLOOKUP(Tableau1[[#This Row],[Isin]]&amp;1&amp;2017,#REF!,Tableau3[Résultat Net (PdG)]),"")</f>
        <v/>
      </c>
      <c r="AY189" s="43" t="str">
        <f>IFERROR(_xlfn.XLOOKUP(Tableau1[[#This Row],[Isin]]&amp;1&amp;2016,#REF!,Tableau3[Résultat Net (PdG)]),"")</f>
        <v/>
      </c>
      <c r="AZ189" s="137" t="str">
        <f ca="1">IFERROR(Tableau1[[#This Row],[Capitalisation boursière]]/Tableau1[[#This Row],[RN Groupe 2023]],"")</f>
        <v/>
      </c>
      <c r="BA189" s="4" t="str" cm="1">
        <f t="array" aca="1" ref="BA189" ca="1">IFERROR(_FV(Tableau1[[#This Row],[Code Excel]],"Industrie"),"")</f>
        <v>Healthcare Providers &amp; Services</v>
      </c>
      <c r="BB189" s="43" t="s">
        <v>3477</v>
      </c>
      <c r="BC189" s="43" t="str">
        <f>IFERROR(_xlfn.XLOOKUP(Tableau1[[#This Row],[Isin]]&amp;1&amp;2016,#REF!,Tableau3[Capi]),"")</f>
        <v/>
      </c>
      <c r="BD189" s="43" t="str">
        <f>IFERROR(_xlfn.XLOOKUP(Tableau1[[#This Row],[Isin]]&amp;1&amp;2017,#REF!,Tableau3[Capi]),"")</f>
        <v/>
      </c>
      <c r="BE189" s="43" t="str">
        <f>IFERROR(_xlfn.XLOOKUP(Tableau1[[#This Row],[Isin]]&amp;1&amp;2018,#REF!,Tableau3[Capi]),"")</f>
        <v/>
      </c>
      <c r="BF189" s="43" t="str">
        <f>IFERROR(_xlfn.XLOOKUP(Tableau1[[#This Row],[Isin]]&amp;1&amp;2019,#REF!,Tableau3[Capi]),"")</f>
        <v/>
      </c>
      <c r="BG189" s="43" t="str">
        <f>IFERROR(_xlfn.XLOOKUP(Tableau1[[#This Row],[Isin]]&amp;1&amp;2020,#REF!,Tableau3[Capi]),"")</f>
        <v/>
      </c>
      <c r="BH189" s="43">
        <f>IF(IFERROR(_xlfn.XLOOKUP(Tableau1[[#This Row],[Isin]]&amp;1&amp;2021,#REF!,Tableau3[Capi]),"")="",Tableau1[[#This Row],[Capitalisation 2021
Manuel]],IFERROR(_xlfn.XLOOKUP(Tableau1[[#This Row],[Isin]]&amp;1&amp;2021,#REF!,Tableau3[Capi]),""))</f>
        <v>0</v>
      </c>
      <c r="BI189" s="43"/>
      <c r="BJ189" s="43">
        <f>IF(IFERROR(_xlfn.XLOOKUP(Tableau1[[#This Row],[Isin]]&amp;1&amp;2022,#REF!,Tableau3[Capi]),"")="",Tableau1[[#This Row],[Capitalisation 2022
Manuel]],IFERROR(_xlfn.XLOOKUP(Tableau1[[#This Row],[Isin]]&amp;1&amp;2022,#REF!,Tableau3[Capi]),""))</f>
        <v>0</v>
      </c>
      <c r="BK189" s="43"/>
      <c r="BL189" s="43">
        <f ca="1">Tableau1[[#This Row],[Capitalisation boursière]]</f>
        <v>1562276000</v>
      </c>
      <c r="BM189" s="162" t="str" cm="1">
        <f t="array" aca="1" ref="BM189" ca="1">_FV(Tableau1[[#This Row],[Code Excel]],"Description")</f>
        <v>Clariane SE, anciennement Korian SE, est une société basée en France qui exploite des établissements de santé et des établissements médicaux. Les participations de la Société comprennent des centres résidentiels pour personnes âgées, offrant des soins sociaux permanents et un soutien médical ; les centres de soins de suite et de réadaptation, y compris les centres généraux et spécialisés. De plus, la Société propose l'hospitalisation à domicile, ce qui évite ou raccourcit le processus d'hospitalisation ; et les services de soins infirmiers à domicile, qui permettent les soins prescrits par un médecin à domicile. Les établissements de Korian-Medicas sont implantés en France, en Italie, en Belgique et en Allemagne via ses filiales, Segesta S.p.A., Phonix GmBH, Reacti Malt SAS, Sas La Normandie, Sa La Bastide de la tourne, Sas Mapadex La Roseraie, entre autres.</v>
      </c>
      <c r="BN189" s="43"/>
      <c r="BO189" s="43"/>
      <c r="BP189" s="43"/>
      <c r="BQ189" s="43"/>
      <c r="BR189" s="13"/>
      <c r="BS189" s="13"/>
      <c r="BT189" s="13"/>
      <c r="BU189" s="13"/>
      <c r="BV189" s="13"/>
      <c r="BW189" s="4"/>
      <c r="BX189" s="21"/>
      <c r="BY189" s="13"/>
      <c r="BZ189" s="13"/>
      <c r="CA189" s="13"/>
      <c r="CB189" s="13"/>
      <c r="CC189" s="13"/>
      <c r="CD189" s="3"/>
      <c r="CE189" s="47"/>
      <c r="CF189" s="47"/>
    </row>
    <row r="190" spans="3:87">
      <c r="C190" s="43"/>
      <c r="D190" s="42">
        <f>IF(Tableau1[[#This Row],[Isin]]="",99,Tableau1[[#This Row],[Intérêt]]+Tableau1[[#This Row],[Valeur d''intérêt]]+Tableau1[[#This Row],[N° Portefeuille]])</f>
        <v>30</v>
      </c>
      <c r="E190" s="43"/>
      <c r="F190" s="42">
        <f>IF(Tableau1[[#This Row],[Portefeuille]]="p",0,Tableau1[[#This Row],[F. Investissement
Niveau d''intérêt]]*10)</f>
        <v>30</v>
      </c>
      <c r="G190" s="43">
        <f>IF(Tableau1[[#This Row],[Portefeuille]]="p",3,0)</f>
        <v>0</v>
      </c>
      <c r="H190" s="43">
        <v>3</v>
      </c>
      <c r="I190" s="43">
        <v>4</v>
      </c>
      <c r="J190" s="43"/>
      <c r="K190" s="43"/>
      <c r="L190" s="16">
        <v>1</v>
      </c>
      <c r="M19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0" s="44" t="s">
        <v>3927</v>
      </c>
      <c r="O190" s="44" t="s">
        <v>2071</v>
      </c>
      <c r="P190" s="4" t="s">
        <v>84</v>
      </c>
      <c r="Q190" s="6" t="s">
        <v>85</v>
      </c>
      <c r="R190" s="6"/>
      <c r="S190" s="6" t="s">
        <v>2073</v>
      </c>
      <c r="T190" s="6" t="e" vm="174">
        <v>#VALUE!</v>
      </c>
      <c r="U190" s="46" cm="1">
        <f t="array" aca="1" ref="U190" ca="1">IFERROR(_FV(Tableau1[[#This Row],[Code Excel]],"Capitalisation boursière",TRUE),"")</f>
        <v>5398768000</v>
      </c>
      <c r="V190" s="4" t="str" cm="1">
        <f t="array" aca="1" ref="V190" ca="1">IFERROR(_FV(Tableau1[[#This Row],[Code Excel]],"Industrie"),"")</f>
        <v>Hotels &amp; Entertainment Services</v>
      </c>
      <c r="W190" s="4" t="str" cm="1">
        <f t="array" aca="1" ref="W190" ca="1">IFERROR(_FV(Tableau1[[#This Row],[Code Excel]],"Industrie"),"")</f>
        <v>Hotels &amp; Entertainment Services</v>
      </c>
      <c r="X190" s="4" t="str">
        <f ca="1">Tableau1[[#This Row],[Grand Secteur]]&amp;Tableau1[[#This Row],[Industrie]]</f>
        <v>Hotels &amp; Entertainment ServicesHotels &amp; Entertainment Services</v>
      </c>
      <c r="Y190" s="23" cm="1">
        <f t="array" aca="1" ref="Y190" ca="1">IFERROR(_FV(Tableau1[[#This Row],[Code Excel]],"P/E",TRUE),"")</f>
        <v>13.5045</v>
      </c>
      <c r="Z190" s="43" cm="1">
        <f t="array" aca="1" ref="Z190" ca="1">IFERROR(_FV(Tableau1[[#This Row],[Code Excel]],"Employés"),"")</f>
        <v>3520</v>
      </c>
      <c r="AA190" s="49">
        <f ca="1">IFERROR(Tableau1[[#This Row],[Capitalisation boursière]]/Tableau1[[#This Row],[Employés]],"")</f>
        <v>1533740.9090909092</v>
      </c>
      <c r="AB190" s="5" t="str">
        <f>IFERROR(Tableau1[[#This Row],[REX (2021)]]/Tableau1[[#This Row],[CA 2024]],"")</f>
        <v/>
      </c>
      <c r="AC190" s="9" t="str">
        <f>IFERROR(_xlfn.XLOOKUP(Tableau1[[#This Row],[Isin]]&amp;1&amp;2021,#REF!,Tableau3[Résultat d''exploitation]),"")</f>
        <v/>
      </c>
      <c r="AD190" s="9" t="str">
        <f>IFERROR(_xlfn.XLOOKUP(Tableau1[[#This Row],[Isin]]&amp;1&amp;2019,#REF!,Tableau3[Chiffre d''affaires]),"")</f>
        <v/>
      </c>
      <c r="AE190" s="9" t="str">
        <f>IFERROR(_xlfn.XLOOKUP(Tableau1[[#This Row],[Isin]]&amp;1&amp;2024,#REF!,Tableau3[Chiffre d''affaires]),"")</f>
        <v/>
      </c>
      <c r="AF190" s="8" t="str">
        <f>IFERROR(IF((Tableau1[[#This Row],[CA 2024]]-Tableau1[[#This Row],[CA 2019]])/Tableau1[[#This Row],[CA 2019]]=-1,"",(Tableau1[[#This Row],[CA 2024]]-Tableau1[[#This Row],[CA 2019]])/Tableau1[[#This Row],[CA 2019]]),"")</f>
        <v/>
      </c>
      <c r="AG190" s="9" t="str">
        <f>IFERROR(_xlfn.XLOOKUP(Tableau1[[#This Row],[Isin]]&amp;1&amp;2021,#REF!,Tableau3[EBE]),"")</f>
        <v/>
      </c>
      <c r="AH190" s="9" t="str">
        <f>IFERROR(_xlfn.XLOOKUP(Tableau1[[#This Row],[Isin]]&amp;1&amp;2022,#REF!,Tableau3[EBE]),"")</f>
        <v/>
      </c>
      <c r="AI190" s="43" t="s">
        <v>3419</v>
      </c>
      <c r="AJ190" s="43" t="s">
        <v>4326</v>
      </c>
      <c r="AK190" s="43" t="s">
        <v>3419</v>
      </c>
      <c r="AL190" s="43" t="s">
        <v>3149</v>
      </c>
      <c r="AM190" s="43"/>
      <c r="AN190" s="9" t="str">
        <f>IFERROR(_xlfn.XLOOKUP(Tableau1[[#This Row],[Isin]]&amp;1&amp;2021,#REF!,Tableau3[Chiffre d''affaires]),"")</f>
        <v/>
      </c>
      <c r="AO190" s="43" cm="1">
        <f t="array" aca="1" ref="AO190" ca="1">_FV(Tableau1[[#This Row],[Code Excel]],"P/E",TRUE)</f>
        <v>13.5045</v>
      </c>
      <c r="AP190" s="43" t="str">
        <f>IFERROR(_xlfn.XLOOKUP(Tableau1[[#This Row],[Isin]]&amp;1&amp;2023,#REF!,Tableau3[Résultat Net (PdG)]),"")</f>
        <v/>
      </c>
      <c r="AQ190" s="43">
        <f>IF(IFERROR(_xlfn.XLOOKUP(Tableau1[[#This Row],[Isin]]&amp;1&amp;2022,#REF!,Tableau3[Résultat Net (PdG)]),"")="",Tableau1[[#This Row],[RN Groupe 2022
Manuel]],IFERROR(_xlfn.XLOOKUP(Tableau1[[#This Row],[Isin]]&amp;1&amp;2022,#REF!,Tableau3[Résultat Net (PdG)]),""))</f>
        <v>0</v>
      </c>
      <c r="AR190" s="43"/>
      <c r="AS190" s="43">
        <f>IF(IFERROR(_xlfn.XLOOKUP(Tableau1[[#This Row],[Isin]]&amp;1&amp;2021,#REF!,Tableau3[Résultat Net (PdG)]),"")="",Tableau1[[#This Row],[RN Groupe 2021
Manuel]],IFERROR(_xlfn.XLOOKUP(Tableau1[[#This Row],[Isin]]&amp;1&amp;2021,#REF!,Tableau3[Résultat Net (PdG)]),""))</f>
        <v>0</v>
      </c>
      <c r="AT190" s="43"/>
      <c r="AU190" s="43" t="str">
        <f>IFERROR(_xlfn.XLOOKUP(Tableau1[[#This Row],[Isin]]&amp;1&amp;2020,#REF!,Tableau3[Résultat Net (PdG)]),"")</f>
        <v/>
      </c>
      <c r="AV190" s="43" t="str">
        <f>IFERROR(_xlfn.XLOOKUP(Tableau1[[#This Row],[Isin]]&amp;1&amp;2019,#REF!,Tableau3[Résultat Net (PdG)]),"")</f>
        <v/>
      </c>
      <c r="AW190" s="43" t="str">
        <f>IFERROR(_xlfn.XLOOKUP(Tableau1[[#This Row],[Isin]]&amp;1&amp;2018,#REF!,Tableau3[Résultat Net (PdG)]),"")</f>
        <v/>
      </c>
      <c r="AX190" s="43" t="str">
        <f>IFERROR(_xlfn.XLOOKUP(Tableau1[[#This Row],[Isin]]&amp;1&amp;2017,#REF!,Tableau3[Résultat Net (PdG)]),"")</f>
        <v/>
      </c>
      <c r="AY190" s="43" t="str">
        <f>IFERROR(_xlfn.XLOOKUP(Tableau1[[#This Row],[Isin]]&amp;1&amp;2016,#REF!,Tableau3[Résultat Net (PdG)]),"")</f>
        <v/>
      </c>
      <c r="AZ190" s="137" t="str">
        <f ca="1">IFERROR(Tableau1[[#This Row],[Capitalisation boursière]]/Tableau1[[#This Row],[RN Groupe 2023]],"")</f>
        <v/>
      </c>
      <c r="BA190" s="4" t="str" cm="1">
        <f t="array" aca="1" ref="BA190" ca="1">IFERROR(_FV(Tableau1[[#This Row],[Code Excel]],"Industrie"),"")</f>
        <v>Hotels &amp; Entertainment Services</v>
      </c>
      <c r="BB190" s="43" t="s">
        <v>3477</v>
      </c>
      <c r="BC190" s="43" t="str">
        <f>IFERROR(_xlfn.XLOOKUP(Tableau1[[#This Row],[Isin]]&amp;1&amp;2016,#REF!,Tableau3[Capi]),"")</f>
        <v/>
      </c>
      <c r="BD190" s="43" t="str">
        <f>IFERROR(_xlfn.XLOOKUP(Tableau1[[#This Row],[Isin]]&amp;1&amp;2017,#REF!,Tableau3[Capi]),"")</f>
        <v/>
      </c>
      <c r="BE190" s="43" t="str">
        <f>IFERROR(_xlfn.XLOOKUP(Tableau1[[#This Row],[Isin]]&amp;1&amp;2018,#REF!,Tableau3[Capi]),"")</f>
        <v/>
      </c>
      <c r="BF190" s="43" t="str">
        <f>IFERROR(_xlfn.XLOOKUP(Tableau1[[#This Row],[Isin]]&amp;1&amp;2019,#REF!,Tableau3[Capi]),"")</f>
        <v/>
      </c>
      <c r="BG190" s="43" t="str">
        <f>IFERROR(_xlfn.XLOOKUP(Tableau1[[#This Row],[Isin]]&amp;1&amp;2020,#REF!,Tableau3[Capi]),"")</f>
        <v/>
      </c>
      <c r="BH190" s="43">
        <f>IF(IFERROR(_xlfn.XLOOKUP(Tableau1[[#This Row],[Isin]]&amp;1&amp;2021,#REF!,Tableau3[Capi]),"")="",Tableau1[[#This Row],[Capitalisation 2021
Manuel]],IFERROR(_xlfn.XLOOKUP(Tableau1[[#This Row],[Isin]]&amp;1&amp;2021,#REF!,Tableau3[Capi]),""))</f>
        <v>0</v>
      </c>
      <c r="BI190" s="43"/>
      <c r="BJ190" s="43">
        <f>IF(IFERROR(_xlfn.XLOOKUP(Tableau1[[#This Row],[Isin]]&amp;1&amp;2022,#REF!,Tableau3[Capi]),"")="",Tableau1[[#This Row],[Capitalisation 2022
Manuel]],IFERROR(_xlfn.XLOOKUP(Tableau1[[#This Row],[Isin]]&amp;1&amp;2022,#REF!,Tableau3[Capi]),""))</f>
        <v>0</v>
      </c>
      <c r="BK190" s="43"/>
      <c r="BL190" s="43">
        <f ca="1">Tableau1[[#This Row],[Capitalisation boursière]]</f>
        <v>5398768000</v>
      </c>
      <c r="BM190" s="162" t="str" cm="1">
        <f t="array" aca="1" ref="BM190" ca="1">_FV(Tableau1[[#This Row],[Code Excel]],"Description")</f>
        <v>La Française des Jeux SA est une société d'économie mixte basée en France qui exploite des loteries et des jeux en ligne. La Société opère sous la marque commerciale FDJ et propose des jeux de grattage, des paris sportifs et des jeux de tirage via un réseau de 35,800 points de vente (au 31 décembre 2010), dont des points de vente LOTO, des buralistes et des marchands de journaux. Ses jeux de grattage comprennent des jeux à 1, 2 et 3 euros ; les paris sportifs incluent les noms de marque, ParionsSport et ParionsWeb ; et les jeux basés sur des tirages incluent LOTO, Euro Millions, Rapido, Keno et autres. La Société est également active sur le marché du poker en ligne avec le site Internet Barrierepoker.fr, détenu conjointement avec le Groupe Lucien Barrière.</v>
      </c>
      <c r="BN190" s="43"/>
      <c r="BO190" s="43"/>
      <c r="BP190" s="43"/>
      <c r="BQ190" s="43"/>
      <c r="BR190" s="13"/>
      <c r="BS190" s="13"/>
      <c r="BT190" s="13"/>
      <c r="BU190" s="13"/>
      <c r="BV190" s="13"/>
      <c r="BW190" s="4"/>
      <c r="BX190" s="21"/>
      <c r="BY190" s="13"/>
      <c r="BZ190" s="13"/>
      <c r="CA190" s="13"/>
      <c r="CB190" s="13"/>
      <c r="CC190" s="13"/>
      <c r="CD190" s="3"/>
      <c r="CE190" s="47"/>
      <c r="CF190" s="47"/>
    </row>
    <row r="191" spans="3:87">
      <c r="C191" s="42"/>
      <c r="D191" s="42">
        <f>IF(Tableau1[[#This Row],[Isin]]="",99,Tableau1[[#This Row],[Intérêt]]+Tableau1[[#This Row],[Valeur d''intérêt]]+Tableau1[[#This Row],[N° Portefeuille]])</f>
        <v>30</v>
      </c>
      <c r="E191" s="42"/>
      <c r="F191" s="42">
        <f>IF(Tableau1[[#This Row],[Portefeuille]]="p",0,Tableau1[[#This Row],[F. Investissement
Niveau d''intérêt]]*10)</f>
        <v>30</v>
      </c>
      <c r="G191" s="42">
        <f>IF(Tableau1[[#This Row],[Portefeuille]]="p",3,0)</f>
        <v>0</v>
      </c>
      <c r="H191" s="42">
        <v>3</v>
      </c>
      <c r="I191" s="42">
        <v>4</v>
      </c>
      <c r="J191" s="42"/>
      <c r="K191" s="43"/>
      <c r="L191" s="16">
        <v>1</v>
      </c>
      <c r="M19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1" s="44" t="s">
        <v>2828</v>
      </c>
      <c r="O191" s="44" t="s">
        <v>4402</v>
      </c>
      <c r="P191" s="4" t="s">
        <v>84</v>
      </c>
      <c r="Q191" s="6" t="s">
        <v>85</v>
      </c>
      <c r="R191" s="6"/>
      <c r="S191" s="6" t="s">
        <v>2831</v>
      </c>
      <c r="T191" s="6" t="e" vm="175">
        <v>#VALUE!</v>
      </c>
      <c r="U191" s="46" cm="1">
        <f t="array" aca="1" ref="U191" ca="1">IFERROR(_FV(Tableau1[[#This Row],[Code Excel]],"Capitalisation boursière",TRUE),"")</f>
        <v>42689210</v>
      </c>
      <c r="V191" s="4" t="str" cm="1">
        <f t="array" aca="1" ref="V191" ca="1">IFERROR(_FV(Tableau1[[#This Row],[Code Excel]],"Industrie"),"")</f>
        <v>Machinery, Equipment &amp; Components</v>
      </c>
      <c r="W191" s="4" t="s">
        <v>4321</v>
      </c>
      <c r="X191" s="4" t="str">
        <f ca="1">Tableau1[[#This Row],[Grand Secteur]]&amp;Tableau1[[#This Row],[Industrie]]</f>
        <v>EquipementiersMachinery, Equipment &amp; Components</v>
      </c>
      <c r="Y191" s="23" cm="1">
        <f t="array" aca="1" ref="Y191" ca="1">IFERROR(_FV(Tableau1[[#This Row],[Code Excel]],"P/E",TRUE),"")</f>
        <v>0</v>
      </c>
      <c r="Z191" s="43" cm="1">
        <f t="array" aca="1" ref="Z191" ca="1">IFERROR(_FV(Tableau1[[#This Row],[Code Excel]],"Employés"),"")</f>
        <v>3939</v>
      </c>
      <c r="AA191" s="46">
        <f ca="1">IFERROR(Tableau1[[#This Row],[Capitalisation boursière]]/Tableau1[[#This Row],[Employés]],"")</f>
        <v>10837.575526783448</v>
      </c>
      <c r="AB191" s="5" t="str">
        <f>IFERROR(Tableau1[[#This Row],[REX (2021)]]/Tableau1[[#This Row],[CA 2024]],"")</f>
        <v/>
      </c>
      <c r="AC191" s="9" t="str">
        <f>IFERROR(_xlfn.XLOOKUP(Tableau1[[#This Row],[Isin]]&amp;1&amp;2021,#REF!,Tableau3[Résultat d''exploitation]),"")</f>
        <v/>
      </c>
      <c r="AD191" s="9" t="str">
        <f>IFERROR(_xlfn.XLOOKUP(Tableau1[[#This Row],[Isin]]&amp;1&amp;2019,#REF!,Tableau3[Chiffre d''affaires]),"")</f>
        <v/>
      </c>
      <c r="AE191" s="9" t="str">
        <f>IFERROR(_xlfn.XLOOKUP(Tableau1[[#This Row],[Isin]]&amp;1&amp;2024,#REF!,Tableau3[Chiffre d''affaires]),"")</f>
        <v/>
      </c>
      <c r="AF191" s="8" t="str">
        <f>IFERROR(IF((Tableau1[[#This Row],[CA 2024]]-Tableau1[[#This Row],[CA 2019]])/Tableau1[[#This Row],[CA 2019]]=-1,"",(Tableau1[[#This Row],[CA 2024]]-Tableau1[[#This Row],[CA 2019]])/Tableau1[[#This Row],[CA 2019]]),"")</f>
        <v/>
      </c>
      <c r="AG191" s="9" t="str">
        <f>IFERROR(_xlfn.XLOOKUP(Tableau1[[#This Row],[Isin]]&amp;1&amp;2021,#REF!,Tableau3[EBE]),"")</f>
        <v/>
      </c>
      <c r="AH191" s="9" t="str">
        <f>IFERROR(_xlfn.XLOOKUP(Tableau1[[#This Row],[Isin]]&amp;1&amp;2022,#REF!,Tableau3[EBE]),"")</f>
        <v/>
      </c>
      <c r="AI191" s="43" t="s">
        <v>3431</v>
      </c>
      <c r="AJ191" s="43" t="s">
        <v>4403</v>
      </c>
      <c r="AK191" s="43" t="s">
        <v>3431</v>
      </c>
      <c r="AL191" s="43" t="s">
        <v>3431</v>
      </c>
      <c r="AM191" s="43"/>
      <c r="AN191" s="9" t="str">
        <f>IFERROR(_xlfn.XLOOKUP(Tableau1[[#This Row],[Isin]]&amp;1&amp;2021,#REF!,Tableau3[Chiffre d''affaires]),"")</f>
        <v/>
      </c>
      <c r="AO191" s="43" cm="1">
        <f t="array" aca="1" ref="AO191" ca="1">_FV(Tableau1[[#This Row],[Code Excel]],"P/E",TRUE)</f>
        <v>0</v>
      </c>
      <c r="AP191" s="43" t="str">
        <f>IFERROR(_xlfn.XLOOKUP(Tableau1[[#This Row],[Isin]]&amp;1&amp;2023,#REF!,Tableau3[Résultat Net (PdG)]),"")</f>
        <v/>
      </c>
      <c r="AQ191" s="43">
        <f>IF(IFERROR(_xlfn.XLOOKUP(Tableau1[[#This Row],[Isin]]&amp;1&amp;2022,#REF!,Tableau3[Résultat Net (PdG)]),"")="",Tableau1[[#This Row],[RN Groupe 2022
Manuel]],IFERROR(_xlfn.XLOOKUP(Tableau1[[#This Row],[Isin]]&amp;1&amp;2022,#REF!,Tableau3[Résultat Net (PdG)]),""))</f>
        <v>0</v>
      </c>
      <c r="AR191" s="43"/>
      <c r="AS191" s="43">
        <f>IF(IFERROR(_xlfn.XLOOKUP(Tableau1[[#This Row],[Isin]]&amp;1&amp;2021,#REF!,Tableau3[Résultat Net (PdG)]),"")="",Tableau1[[#This Row],[RN Groupe 2021
Manuel]],IFERROR(_xlfn.XLOOKUP(Tableau1[[#This Row],[Isin]]&amp;1&amp;2021,#REF!,Tableau3[Résultat Net (PdG)]),""))</f>
        <v>0</v>
      </c>
      <c r="AT191" s="43"/>
      <c r="AU191" s="43" t="str">
        <f>IFERROR(_xlfn.XLOOKUP(Tableau1[[#This Row],[Isin]]&amp;1&amp;2020,#REF!,Tableau3[Résultat Net (PdG)]),"")</f>
        <v/>
      </c>
      <c r="AV191" s="43" t="str">
        <f>IFERROR(_xlfn.XLOOKUP(Tableau1[[#This Row],[Isin]]&amp;1&amp;2019,#REF!,Tableau3[Résultat Net (PdG)]),"")</f>
        <v/>
      </c>
      <c r="AW191" s="43" t="str">
        <f>IFERROR(_xlfn.XLOOKUP(Tableau1[[#This Row],[Isin]]&amp;1&amp;2018,#REF!,Tableau3[Résultat Net (PdG)]),"")</f>
        <v/>
      </c>
      <c r="AX191" s="43" t="str">
        <f>IFERROR(_xlfn.XLOOKUP(Tableau1[[#This Row],[Isin]]&amp;1&amp;2017,#REF!,Tableau3[Résultat Net (PdG)]),"")</f>
        <v/>
      </c>
      <c r="AY191" s="43" t="str">
        <f>IFERROR(_xlfn.XLOOKUP(Tableau1[[#This Row],[Isin]]&amp;1&amp;2016,#REF!,Tableau3[Résultat Net (PdG)]),"")</f>
        <v/>
      </c>
      <c r="AZ191" s="137" t="str">
        <f ca="1">IFERROR(Tableau1[[#This Row],[Capitalisation boursière]]/Tableau1[[#This Row],[RN Groupe 2023]],"")</f>
        <v/>
      </c>
      <c r="BA191" s="4" t="str" cm="1">
        <f t="array" aca="1" ref="BA191" ca="1">IFERROR(_FV(Tableau1[[#This Row],[Code Excel]],"Industrie"),"")</f>
        <v>Machinery, Equipment &amp; Components</v>
      </c>
      <c r="BB191" s="43" t="e">
        <v>#N/A</v>
      </c>
      <c r="BC191" s="43" t="str">
        <f>IFERROR(_xlfn.XLOOKUP(Tableau1[[#This Row],[Isin]]&amp;1&amp;2016,#REF!,Tableau3[Capi]),"")</f>
        <v/>
      </c>
      <c r="BD191" s="43" t="str">
        <f>IFERROR(_xlfn.XLOOKUP(Tableau1[[#This Row],[Isin]]&amp;1&amp;2017,#REF!,Tableau3[Capi]),"")</f>
        <v/>
      </c>
      <c r="BE191" s="43" t="str">
        <f>IFERROR(_xlfn.XLOOKUP(Tableau1[[#This Row],[Isin]]&amp;1&amp;2018,#REF!,Tableau3[Capi]),"")</f>
        <v/>
      </c>
      <c r="BF191" s="43" t="str">
        <f>IFERROR(_xlfn.XLOOKUP(Tableau1[[#This Row],[Isin]]&amp;1&amp;2019,#REF!,Tableau3[Capi]),"")</f>
        <v/>
      </c>
      <c r="BG191" s="43" t="str">
        <f>IFERROR(_xlfn.XLOOKUP(Tableau1[[#This Row],[Isin]]&amp;1&amp;2020,#REF!,Tableau3[Capi]),"")</f>
        <v/>
      </c>
      <c r="BH191" s="43">
        <f>IF(IFERROR(_xlfn.XLOOKUP(Tableau1[[#This Row],[Isin]]&amp;1&amp;2021,#REF!,Tableau3[Capi]),"")="",Tableau1[[#This Row],[Capitalisation 2021
Manuel]],IFERROR(_xlfn.XLOOKUP(Tableau1[[#This Row],[Isin]]&amp;1&amp;2021,#REF!,Tableau3[Capi]),""))</f>
        <v>0</v>
      </c>
      <c r="BI191" s="43"/>
      <c r="BJ191" s="43">
        <f>IF(IFERROR(_xlfn.XLOOKUP(Tableau1[[#This Row],[Isin]]&amp;1&amp;2022,#REF!,Tableau3[Capi]),"")="",Tableau1[[#This Row],[Capitalisation 2022
Manuel]],IFERROR(_xlfn.XLOOKUP(Tableau1[[#This Row],[Isin]]&amp;1&amp;2022,#REF!,Tableau3[Capi]),""))</f>
        <v>0</v>
      </c>
      <c r="BK191" s="43"/>
      <c r="BL191" s="43">
        <f ca="1">Tableau1[[#This Row],[Capitalisation boursière]]</f>
        <v>42689210</v>
      </c>
      <c r="BM191" s="162" t="str" cm="1">
        <f t="array" aca="1" ref="BM191" ca="1">_FV(Tableau1[[#This Row],[Code Excel]],"Description")</f>
        <v>Lacroix Group SA, anciennement connue sous le nom de Lacroix SA, est une entreprise industrielle basée en France dont l’activité principale est la conception, la fabrication et la commercialisation d’équipements de signalisation et de contrôle électronique. La Société a trois divisions : LACROIX Electronics, qui se spécialise dans la fourniture de services de sous-traitance électronique, y compris la conception, l’assemblage et les essais de cartes électroniques pour l’utilisation dans l’électronique industrielle, automobile, télécommunications, les secteurs des multimédias et des appareils électriques; LACROIX Sofrel, qui est impliqué dans la fabrication et la vente de produits de télécommande et de gestion pour les installations techniques et les sites industriels par le biais d’applications appelées Télémétrie et SCADA, et LACROIX City, qui conçoit des solutions routières intelligentes pour les administrations et les entreprises locales. Lacroix SA est présent dans plusieurs pays Européens.</v>
      </c>
      <c r="BN191" s="43"/>
      <c r="BO191" s="43"/>
      <c r="BP191" s="43"/>
      <c r="BQ191" s="43"/>
      <c r="BR191" s="13"/>
      <c r="BS191" s="13"/>
      <c r="BT191" s="13"/>
      <c r="BU191" s="13"/>
      <c r="BV191" s="13"/>
      <c r="BW191" s="4"/>
      <c r="BX191" s="21"/>
      <c r="BY191" s="13"/>
      <c r="BZ191" s="13"/>
      <c r="CA191" s="13"/>
      <c r="CB191" s="13"/>
      <c r="CC191" s="13"/>
      <c r="CD191" s="3"/>
      <c r="CE191" s="47"/>
      <c r="CF191" s="47"/>
    </row>
    <row r="192" spans="3:87">
      <c r="C192" s="43"/>
      <c r="D192" s="42">
        <f>IF(Tableau1[[#This Row],[Isin]]="",99,Tableau1[[#This Row],[Intérêt]]+Tableau1[[#This Row],[Valeur d''intérêt]]+Tableau1[[#This Row],[N° Portefeuille]])</f>
        <v>30</v>
      </c>
      <c r="E192" s="43"/>
      <c r="F192" s="42">
        <f>IF(Tableau1[[#This Row],[Portefeuille]]="p",0,Tableau1[[#This Row],[F. Investissement
Niveau d''intérêt]]*10)</f>
        <v>30</v>
      </c>
      <c r="G192" s="43">
        <f>IF(Tableau1[[#This Row],[Portefeuille]]="p",3,0)</f>
        <v>0</v>
      </c>
      <c r="H192" s="43">
        <v>3</v>
      </c>
      <c r="I192" s="43">
        <v>4</v>
      </c>
      <c r="J192" s="43"/>
      <c r="K192" s="43"/>
      <c r="L192" s="16">
        <v>1</v>
      </c>
      <c r="M19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2" s="44" t="s">
        <v>256</v>
      </c>
      <c r="O192" s="44" t="s">
        <v>4404</v>
      </c>
      <c r="P192" s="4" t="s">
        <v>84</v>
      </c>
      <c r="Q192" s="6" t="s">
        <v>85</v>
      </c>
      <c r="R192" s="6" t="s">
        <v>4405</v>
      </c>
      <c r="S192" s="6" t="s">
        <v>819</v>
      </c>
      <c r="T192" s="6"/>
      <c r="U192" s="4" t="str" cm="1">
        <f t="array" ref="U192">IFERROR(_FV(Tableau1[[#This Row],[Code Excel]],"Capitalisation boursière",TRUE),"")</f>
        <v/>
      </c>
      <c r="V192" s="4" t="str" cm="1">
        <f t="array" ref="V192">IFERROR(_FV(Tableau1[[#This Row],[Code Excel]],"Industrie"),"")</f>
        <v/>
      </c>
      <c r="W192" s="4"/>
      <c r="X192" s="4" t="str">
        <f>Tableau1[[#This Row],[Grand Secteur]]&amp;Tableau1[[#This Row],[Industrie]]</f>
        <v/>
      </c>
      <c r="Y192" s="23" t="str" cm="1">
        <f t="array" ref="Y192">IFERROR(_FV(Tableau1[[#This Row],[Code Excel]],"P/E",TRUE),"")</f>
        <v/>
      </c>
      <c r="Z192" s="43" t="str" cm="1">
        <f t="array" ref="Z192">IFERROR(_FV(Tableau1[[#This Row],[Code Excel]],"Employés"),"")</f>
        <v/>
      </c>
      <c r="AA192" s="49" t="str">
        <f>IFERROR(Tableau1[[#This Row],[Capitalisation boursière]]/Tableau1[[#This Row],[Employés]],"")</f>
        <v/>
      </c>
      <c r="AB192" s="5" t="str">
        <f>IFERROR(Tableau1[[#This Row],[REX (2021)]]/Tableau1[[#This Row],[CA 2024]],"")</f>
        <v/>
      </c>
      <c r="AC192" s="9" t="str">
        <f>IFERROR(_xlfn.XLOOKUP(Tableau1[[#This Row],[Isin]]&amp;1&amp;2021,#REF!,Tableau3[Résultat d''exploitation]),"")</f>
        <v/>
      </c>
      <c r="AD192" s="9" t="str">
        <f>IFERROR(_xlfn.XLOOKUP(Tableau1[[#This Row],[Isin]]&amp;1&amp;2019,#REF!,Tableau3[Chiffre d''affaires]),"")</f>
        <v/>
      </c>
      <c r="AE192" s="9" t="str">
        <f>IFERROR(_xlfn.XLOOKUP(Tableau1[[#This Row],[Isin]]&amp;1&amp;2024,#REF!,Tableau3[Chiffre d''affaires]),"")</f>
        <v/>
      </c>
      <c r="AF192" s="8" t="str">
        <f>IFERROR(IF((Tableau1[[#This Row],[CA 2024]]-Tableau1[[#This Row],[CA 2019]])/Tableau1[[#This Row],[CA 2019]]=-1,"",(Tableau1[[#This Row],[CA 2024]]-Tableau1[[#This Row],[CA 2019]])/Tableau1[[#This Row],[CA 2019]]),"")</f>
        <v/>
      </c>
      <c r="AG192" s="9" t="str">
        <f>IFERROR(_xlfn.XLOOKUP(Tableau1[[#This Row],[Isin]]&amp;1&amp;2021,#REF!,Tableau3[EBE]),"")</f>
        <v/>
      </c>
      <c r="AH192" s="9" t="str">
        <f>IFERROR(_xlfn.XLOOKUP(Tableau1[[#This Row],[Isin]]&amp;1&amp;2022,#REF!,Tableau3[EBE]),"")</f>
        <v/>
      </c>
      <c r="AI192" s="43"/>
      <c r="AJ192" s="43"/>
      <c r="AK192" s="43"/>
      <c r="AL192" s="43"/>
      <c r="AM192" s="43"/>
      <c r="AN192" s="9" t="str">
        <f>IFERROR(_xlfn.XLOOKUP(Tableau1[[#This Row],[Isin]]&amp;1&amp;2021,#REF!,Tableau3[Chiffre d''affaires]),"")</f>
        <v/>
      </c>
      <c r="AO192" s="43" t="e" cm="1" vm="1">
        <f t="array" ref="AO192">_FV(Tableau1[[#This Row],[Code Excel]],"P/E",TRUE)</f>
        <v>#VALUE!</v>
      </c>
      <c r="AP192" s="43" t="str">
        <f>IFERROR(_xlfn.XLOOKUP(Tableau1[[#This Row],[Isin]]&amp;1&amp;2023,#REF!,Tableau3[Résultat Net (PdG)]),"")</f>
        <v/>
      </c>
      <c r="AQ192" s="43">
        <f>IF(IFERROR(_xlfn.XLOOKUP(Tableau1[[#This Row],[Isin]]&amp;1&amp;2022,#REF!,Tableau3[Résultat Net (PdG)]),"")="",Tableau1[[#This Row],[RN Groupe 2022
Manuel]],IFERROR(_xlfn.XLOOKUP(Tableau1[[#This Row],[Isin]]&amp;1&amp;2022,#REF!,Tableau3[Résultat Net (PdG)]),""))</f>
        <v>0</v>
      </c>
      <c r="AR192" s="43"/>
      <c r="AS192" s="43">
        <f>IF(IFERROR(_xlfn.XLOOKUP(Tableau1[[#This Row],[Isin]]&amp;1&amp;2021,#REF!,Tableau3[Résultat Net (PdG)]),"")="",Tableau1[[#This Row],[RN Groupe 2021
Manuel]],IFERROR(_xlfn.XLOOKUP(Tableau1[[#This Row],[Isin]]&amp;1&amp;2021,#REF!,Tableau3[Résultat Net (PdG)]),""))</f>
        <v>0</v>
      </c>
      <c r="AT192" s="43"/>
      <c r="AU192" s="43" t="str">
        <f>IFERROR(_xlfn.XLOOKUP(Tableau1[[#This Row],[Isin]]&amp;1&amp;2020,#REF!,Tableau3[Résultat Net (PdG)]),"")</f>
        <v/>
      </c>
      <c r="AV192" s="43" t="str">
        <f>IFERROR(_xlfn.XLOOKUP(Tableau1[[#This Row],[Isin]]&amp;1&amp;2019,#REF!,Tableau3[Résultat Net (PdG)]),"")</f>
        <v/>
      </c>
      <c r="AW192" s="43" t="str">
        <f>IFERROR(_xlfn.XLOOKUP(Tableau1[[#This Row],[Isin]]&amp;1&amp;2018,#REF!,Tableau3[Résultat Net (PdG)]),"")</f>
        <v/>
      </c>
      <c r="AX192" s="43" t="str">
        <f>IFERROR(_xlfn.XLOOKUP(Tableau1[[#This Row],[Isin]]&amp;1&amp;2017,#REF!,Tableau3[Résultat Net (PdG)]),"")</f>
        <v/>
      </c>
      <c r="AY192" s="43" t="str">
        <f>IFERROR(_xlfn.XLOOKUP(Tableau1[[#This Row],[Isin]]&amp;1&amp;2016,#REF!,Tableau3[Résultat Net (PdG)]),"")</f>
        <v/>
      </c>
      <c r="AZ192" s="137" t="str">
        <f>IFERROR(Tableau1[[#This Row],[Capitalisation boursière]]/Tableau1[[#This Row],[RN Groupe 2023]],"")</f>
        <v/>
      </c>
      <c r="BA192" s="4" t="str" cm="1">
        <f t="array" ref="BA192">IFERROR(_FV(Tableau1[[#This Row],[Code Excel]],"Industrie"),"")</f>
        <v/>
      </c>
      <c r="BB192" s="43" t="e">
        <v>#N/A</v>
      </c>
      <c r="BC192" s="43" t="str">
        <f>IFERROR(_xlfn.XLOOKUP(Tableau1[[#This Row],[Isin]]&amp;1&amp;2016,#REF!,Tableau3[Capi]),"")</f>
        <v/>
      </c>
      <c r="BD192" s="43" t="str">
        <f>IFERROR(_xlfn.XLOOKUP(Tableau1[[#This Row],[Isin]]&amp;1&amp;2017,#REF!,Tableau3[Capi]),"")</f>
        <v/>
      </c>
      <c r="BE192" s="43" t="str">
        <f>IFERROR(_xlfn.XLOOKUP(Tableau1[[#This Row],[Isin]]&amp;1&amp;2018,#REF!,Tableau3[Capi]),"")</f>
        <v/>
      </c>
      <c r="BF192" s="43" t="str">
        <f>IFERROR(_xlfn.XLOOKUP(Tableau1[[#This Row],[Isin]]&amp;1&amp;2019,#REF!,Tableau3[Capi]),"")</f>
        <v/>
      </c>
      <c r="BG192" s="43" t="str">
        <f>IFERROR(_xlfn.XLOOKUP(Tableau1[[#This Row],[Isin]]&amp;1&amp;2020,#REF!,Tableau3[Capi]),"")</f>
        <v/>
      </c>
      <c r="BH192" s="43">
        <f>IF(IFERROR(_xlfn.XLOOKUP(Tableau1[[#This Row],[Isin]]&amp;1&amp;2021,#REF!,Tableau3[Capi]),"")="",Tableau1[[#This Row],[Capitalisation 2021
Manuel]],IFERROR(_xlfn.XLOOKUP(Tableau1[[#This Row],[Isin]]&amp;1&amp;2021,#REF!,Tableau3[Capi]),""))</f>
        <v>0</v>
      </c>
      <c r="BI192" s="43"/>
      <c r="BJ192" s="43">
        <f>IF(IFERROR(_xlfn.XLOOKUP(Tableau1[[#This Row],[Isin]]&amp;1&amp;2022,#REF!,Tableau3[Capi]),"")="",Tableau1[[#This Row],[Capitalisation 2022
Manuel]],IFERROR(_xlfn.XLOOKUP(Tableau1[[#This Row],[Isin]]&amp;1&amp;2022,#REF!,Tableau3[Capi]),""))</f>
        <v>0</v>
      </c>
      <c r="BK192" s="43"/>
      <c r="BL192" s="43" t="str">
        <f>Tableau1[[#This Row],[Capitalisation boursière]]</f>
        <v/>
      </c>
      <c r="BM192" s="162" t="e" cm="1" vm="2">
        <f t="array" ref="BM192">_FV(Tableau1[[#This Row],[Code Excel]],"Description")</f>
        <v>#VALUE!</v>
      </c>
      <c r="BN192" s="43"/>
      <c r="BO192" s="43"/>
      <c r="BP192" s="43"/>
      <c r="BQ192" s="43"/>
      <c r="BR192" s="13"/>
      <c r="BS192" s="13"/>
      <c r="BT192" s="13"/>
      <c r="BU192" s="13"/>
      <c r="BV192" s="13"/>
      <c r="BW192" s="4"/>
      <c r="BX192" s="21"/>
      <c r="BY192" s="13"/>
      <c r="BZ192" s="13"/>
      <c r="CA192" s="13"/>
      <c r="CB192" s="21"/>
      <c r="CC192" s="21"/>
      <c r="CD192" s="3"/>
      <c r="CE192" s="47"/>
      <c r="CF192" s="47"/>
      <c r="CI192" s="21"/>
    </row>
    <row r="193" spans="3:87" s="21" customFormat="1">
      <c r="C193" s="42"/>
      <c r="D193" s="42">
        <f>IF(Tableau1[[#This Row],[Isin]]="",99,Tableau1[[#This Row],[Intérêt]]+Tableau1[[#This Row],[Valeur d''intérêt]]+Tableau1[[#This Row],[N° Portefeuille]])</f>
        <v>30</v>
      </c>
      <c r="E193" s="42"/>
      <c r="F193" s="42">
        <f>IF(Tableau1[[#This Row],[Portefeuille]]="p",0,Tableau1[[#This Row],[F. Investissement
Niveau d''intérêt]]*10)</f>
        <v>30</v>
      </c>
      <c r="G193" s="42">
        <f>IF(Tableau1[[#This Row],[Portefeuille]]="p",3,0)</f>
        <v>0</v>
      </c>
      <c r="H193" s="42">
        <v>3</v>
      </c>
      <c r="I193" s="42">
        <v>4</v>
      </c>
      <c r="J193" s="42"/>
      <c r="K193" s="43"/>
      <c r="L193" s="16">
        <v>1</v>
      </c>
      <c r="M19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3" s="44" t="s">
        <v>3930</v>
      </c>
      <c r="O193" s="44" t="s">
        <v>4404</v>
      </c>
      <c r="P193" s="4" t="s">
        <v>99</v>
      </c>
      <c r="Q193" s="6" t="s">
        <v>100</v>
      </c>
      <c r="R193" s="6"/>
      <c r="S193" s="6" t="s">
        <v>244</v>
      </c>
      <c r="T193" s="6" t="e" vm="176">
        <v>#VALUE!</v>
      </c>
      <c r="U193" s="61" cm="1">
        <f t="array" aca="1" ref="U193" ca="1">IFERROR(_FV(Tableau1[[#This Row],[Code Excel]],"Capitalisation boursière",TRUE),"")</f>
        <v>55885520000</v>
      </c>
      <c r="V193" s="4" t="str" cm="1">
        <f t="array" aca="1" ref="V193" ca="1">IFERROR(_FV(Tableau1[[#This Row],[Code Excel]],"Industrie"),"")</f>
        <v>Construction Materials</v>
      </c>
      <c r="W193" s="4" t="s">
        <v>1926</v>
      </c>
      <c r="X193" s="4" t="str">
        <f ca="1">Tableau1[[#This Row],[Grand Secteur]]&amp;Tableau1[[#This Row],[Industrie]]</f>
        <v>ConstructionConstruction Materials</v>
      </c>
      <c r="Y193" s="23" cm="1">
        <f t="array" aca="1" ref="Y193" ca="1">IFERROR(_FV(Tableau1[[#This Row],[Code Excel]],"P/E",TRUE),"")</f>
        <v>18.486599999999999</v>
      </c>
      <c r="Z193" s="43" cm="1">
        <f t="array" aca="1" ref="Z193" ca="1">IFERROR(_FV(Tableau1[[#This Row],[Code Excel]],"Employés"),"")</f>
        <v>63665</v>
      </c>
      <c r="AA193" s="46">
        <f ca="1">IFERROR(Tableau1[[#This Row],[Capitalisation boursière]]/Tableau1[[#This Row],[Employés]],"")</f>
        <v>877806.0158642896</v>
      </c>
      <c r="AB193" s="5" t="str">
        <f>IFERROR(Tableau1[[#This Row],[REX (2021)]]/Tableau1[[#This Row],[CA 2024]],"")</f>
        <v/>
      </c>
      <c r="AC193" s="9" t="str">
        <f>IFERROR(_xlfn.XLOOKUP(Tableau1[[#This Row],[Isin]]&amp;1&amp;2021,#REF!,Tableau3[Résultat d''exploitation]),"")</f>
        <v/>
      </c>
      <c r="AD193" s="9" t="str">
        <f>IFERROR(_xlfn.XLOOKUP(Tableau1[[#This Row],[Isin]]&amp;1&amp;2019,#REF!,Tableau3[Chiffre d''affaires]),"")</f>
        <v/>
      </c>
      <c r="AE193" s="9" t="str">
        <f>IFERROR(_xlfn.XLOOKUP(Tableau1[[#This Row],[Isin]]&amp;1&amp;2024,#REF!,Tableau3[Chiffre d''affaires]),"")</f>
        <v/>
      </c>
      <c r="AF193" s="8" t="str">
        <f>IFERROR(IF((Tableau1[[#This Row],[CA 2024]]-Tableau1[[#This Row],[CA 2019]])/Tableau1[[#This Row],[CA 2019]]=-1,"",(Tableau1[[#This Row],[CA 2024]]-Tableau1[[#This Row],[CA 2019]])/Tableau1[[#This Row],[CA 2019]]),"")</f>
        <v/>
      </c>
      <c r="AG193" s="9" t="str">
        <f>IFERROR(_xlfn.XLOOKUP(Tableau1[[#This Row],[Isin]]&amp;1&amp;2021,#REF!,Tableau3[EBE]),"")</f>
        <v/>
      </c>
      <c r="AH193" s="9" t="str">
        <f>IFERROR(_xlfn.XLOOKUP(Tableau1[[#This Row],[Isin]]&amp;1&amp;2022,#REF!,Tableau3[EBE]),"")</f>
        <v/>
      </c>
      <c r="AI193" s="43" t="s">
        <v>4329</v>
      </c>
      <c r="AJ193" s="43" t="s">
        <v>3150</v>
      </c>
      <c r="AK193" s="43" t="s">
        <v>3431</v>
      </c>
      <c r="AL193" s="43" t="s">
        <v>3148</v>
      </c>
      <c r="AM193" s="43"/>
      <c r="AN193" s="9" t="str">
        <f>IFERROR(_xlfn.XLOOKUP(Tableau1[[#This Row],[Isin]]&amp;1&amp;2021,#REF!,Tableau3[Chiffre d''affaires]),"")</f>
        <v/>
      </c>
      <c r="AO193" s="43" cm="1">
        <f t="array" aca="1" ref="AO193" ca="1">_FV(Tableau1[[#This Row],[Code Excel]],"P/E",TRUE)</f>
        <v>18.486599999999999</v>
      </c>
      <c r="AP193" s="43" t="str">
        <f>IFERROR(_xlfn.XLOOKUP(Tableau1[[#This Row],[Isin]]&amp;1&amp;2023,#REF!,Tableau3[Résultat Net (PdG)]),"")</f>
        <v/>
      </c>
      <c r="AQ193" s="43">
        <f>IF(IFERROR(_xlfn.XLOOKUP(Tableau1[[#This Row],[Isin]]&amp;1&amp;2022,#REF!,Tableau3[Résultat Net (PdG)]),"")="",Tableau1[[#This Row],[RN Groupe 2022
Manuel]],IFERROR(_xlfn.XLOOKUP(Tableau1[[#This Row],[Isin]]&amp;1&amp;2022,#REF!,Tableau3[Résultat Net (PdG)]),""))</f>
        <v>0</v>
      </c>
      <c r="AR193" s="43"/>
      <c r="AS193" s="43">
        <f>IF(IFERROR(_xlfn.XLOOKUP(Tableau1[[#This Row],[Isin]]&amp;1&amp;2021,#REF!,Tableau3[Résultat Net (PdG)]),"")="",Tableau1[[#This Row],[RN Groupe 2021
Manuel]],IFERROR(_xlfn.XLOOKUP(Tableau1[[#This Row],[Isin]]&amp;1&amp;2021,#REF!,Tableau3[Résultat Net (PdG)]),""))</f>
        <v>0</v>
      </c>
      <c r="AT193" s="43"/>
      <c r="AU193" s="43" t="str">
        <f>IFERROR(_xlfn.XLOOKUP(Tableau1[[#This Row],[Isin]]&amp;1&amp;2020,#REF!,Tableau3[Résultat Net (PdG)]),"")</f>
        <v/>
      </c>
      <c r="AV193" s="43" t="str">
        <f>IFERROR(_xlfn.XLOOKUP(Tableau1[[#This Row],[Isin]]&amp;1&amp;2019,#REF!,Tableau3[Résultat Net (PdG)]),"")</f>
        <v/>
      </c>
      <c r="AW193" s="43" t="str">
        <f>IFERROR(_xlfn.XLOOKUP(Tableau1[[#This Row],[Isin]]&amp;1&amp;2018,#REF!,Tableau3[Résultat Net (PdG)]),"")</f>
        <v/>
      </c>
      <c r="AX193" s="43" t="str">
        <f>IFERROR(_xlfn.XLOOKUP(Tableau1[[#This Row],[Isin]]&amp;1&amp;2017,#REF!,Tableau3[Résultat Net (PdG)]),"")</f>
        <v/>
      </c>
      <c r="AY193" s="43" t="str">
        <f>IFERROR(_xlfn.XLOOKUP(Tableau1[[#This Row],[Isin]]&amp;1&amp;2016,#REF!,Tableau3[Résultat Net (PdG)]),"")</f>
        <v/>
      </c>
      <c r="AZ193" s="137" t="str">
        <f ca="1">IFERROR(Tableau1[[#This Row],[Capitalisation boursière]]/Tableau1[[#This Row],[RN Groupe 2023]],"")</f>
        <v/>
      </c>
      <c r="BA193" s="4" t="str" cm="1">
        <f t="array" aca="1" ref="BA193" ca="1">IFERROR(_FV(Tableau1[[#This Row],[Code Excel]],"Industrie"),"")</f>
        <v>Construction Materials</v>
      </c>
      <c r="BB193" s="43" t="e">
        <v>#N/A</v>
      </c>
      <c r="BC193" s="43" t="str">
        <f>IFERROR(_xlfn.XLOOKUP(Tableau1[[#This Row],[Isin]]&amp;1&amp;2016,#REF!,Tableau3[Capi]),"")</f>
        <v/>
      </c>
      <c r="BD193" s="43" t="str">
        <f>IFERROR(_xlfn.XLOOKUP(Tableau1[[#This Row],[Isin]]&amp;1&amp;2017,#REF!,Tableau3[Capi]),"")</f>
        <v/>
      </c>
      <c r="BE193" s="43" t="str">
        <f>IFERROR(_xlfn.XLOOKUP(Tableau1[[#This Row],[Isin]]&amp;1&amp;2018,#REF!,Tableau3[Capi]),"")</f>
        <v/>
      </c>
      <c r="BF193" s="43" t="str">
        <f>IFERROR(_xlfn.XLOOKUP(Tableau1[[#This Row],[Isin]]&amp;1&amp;2019,#REF!,Tableau3[Capi]),"")</f>
        <v/>
      </c>
      <c r="BG193" s="43" t="str">
        <f>IFERROR(_xlfn.XLOOKUP(Tableau1[[#This Row],[Isin]]&amp;1&amp;2020,#REF!,Tableau3[Capi]),"")</f>
        <v/>
      </c>
      <c r="BH193" s="43">
        <f>IF(IFERROR(_xlfn.XLOOKUP(Tableau1[[#This Row],[Isin]]&amp;1&amp;2021,#REF!,Tableau3[Capi]),"")="",Tableau1[[#This Row],[Capitalisation 2021
Manuel]],IFERROR(_xlfn.XLOOKUP(Tableau1[[#This Row],[Isin]]&amp;1&amp;2021,#REF!,Tableau3[Capi]),""))</f>
        <v>0</v>
      </c>
      <c r="BI193" s="43"/>
      <c r="BJ193" s="43">
        <f>IF(IFERROR(_xlfn.XLOOKUP(Tableau1[[#This Row],[Isin]]&amp;1&amp;2022,#REF!,Tableau3[Capi]),"")="",Tableau1[[#This Row],[Capitalisation 2022
Manuel]],IFERROR(_xlfn.XLOOKUP(Tableau1[[#This Row],[Isin]]&amp;1&amp;2022,#REF!,Tableau3[Capi]),""))</f>
        <v>0</v>
      </c>
      <c r="BK193" s="43"/>
      <c r="BL193" s="43">
        <f ca="1">Tableau1[[#This Row],[Capitalisation boursière]]</f>
        <v>55885520000</v>
      </c>
      <c r="BM193" s="162" t="str" cm="1">
        <f t="array" aca="1" ref="BM193" ca="1">_FV(Tableau1[[#This Row],[Code Excel]],"Description")</f>
        <v>Holcim AG est une société suisse opérant dans l’industrie des matériaux de construction. Les secteurs d’activité de la société comprennent le ciment, les granulats, le béton prêt à l’emploi et les solutions et produits. La division des ciments est engagée dans les ciments durables et les liants hydrauliques. Le segment des granulats se concentre sur l’agrégat de fabrication qui est utilisé comme matière première pour le béton, la maçonnerie et l’asphalte, ainsi que pour les matériaux de base pour les routes, les décharges et les bâtiments. Le béton prêt à l’emploi comprend les produits de béton prêt à l’emploi, le béton auto-remplissant et autonivelant, le béton architectural, le béton isolant et le béton perméable. Solutions &amp; Products propose des produits préfabriqués et en béton pour les bâtiments spécialisés et les solutions de toiture. Le Segment propose également des mortiers pour la construction d’impression 3D.</v>
      </c>
      <c r="BN193" s="43"/>
      <c r="BO193" s="43"/>
      <c r="BP193" s="43"/>
      <c r="BQ193" s="43"/>
      <c r="BR193" s="13"/>
      <c r="BS193" s="13"/>
      <c r="BT193" s="13"/>
      <c r="BU193" s="13"/>
      <c r="BV193" s="13"/>
      <c r="BW193" s="4"/>
      <c r="BY193" s="13"/>
      <c r="BZ193" s="13"/>
      <c r="CA193" s="13"/>
      <c r="CD193" s="3"/>
      <c r="CE193" s="47"/>
      <c r="CF193" s="47"/>
      <c r="CG193" s="6"/>
      <c r="CH193" s="6"/>
      <c r="CI193" s="6"/>
    </row>
    <row r="194" spans="3:87" s="21" customFormat="1">
      <c r="C194" s="43"/>
      <c r="D194" s="42">
        <f>IF(Tableau1[[#This Row],[Isin]]="",99,Tableau1[[#This Row],[Intérêt]]+Tableau1[[#This Row],[Valeur d''intérêt]]+Tableau1[[#This Row],[N° Portefeuille]])</f>
        <v>30</v>
      </c>
      <c r="E194" s="43"/>
      <c r="F194" s="42">
        <f>IF(Tableau1[[#This Row],[Portefeuille]]="p",0,Tableau1[[#This Row],[F. Investissement
Niveau d''intérêt]]*10)</f>
        <v>30</v>
      </c>
      <c r="G194" s="43">
        <f>IF(Tableau1[[#This Row],[Portefeuille]]="p",3,0)</f>
        <v>0</v>
      </c>
      <c r="H194" s="43">
        <v>3</v>
      </c>
      <c r="I194" s="43">
        <v>4</v>
      </c>
      <c r="J194" s="43"/>
      <c r="K194" s="43"/>
      <c r="L194" s="16">
        <v>1</v>
      </c>
      <c r="M19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4" s="44" t="s">
        <v>2017</v>
      </c>
      <c r="O194" s="44" t="s">
        <v>2018</v>
      </c>
      <c r="P194" s="4" t="s">
        <v>84</v>
      </c>
      <c r="Q194" s="6" t="s">
        <v>85</v>
      </c>
      <c r="R194" s="6"/>
      <c r="S194" s="6" t="s">
        <v>2020</v>
      </c>
      <c r="T194" s="6" t="e" vm="177">
        <v>#VALUE!</v>
      </c>
      <c r="U194" s="46" cm="1">
        <f t="array" aca="1" ref="U194" ca="1">IFERROR(_FV(Tableau1[[#This Row],[Code Excel]],"Capitalisation boursière",TRUE),"")</f>
        <v>2911315000</v>
      </c>
      <c r="V194" s="4" t="str" cm="1">
        <f t="array" aca="1" ref="V194" ca="1">IFERROR(_FV(Tableau1[[#This Row],[Code Excel]],"Industrie"),"")</f>
        <v>Media &amp; Publishing</v>
      </c>
      <c r="W194" s="4" t="s">
        <v>2018</v>
      </c>
      <c r="X194" s="4" t="str">
        <f ca="1">Tableau1[[#This Row],[Grand Secteur]]&amp;Tableau1[[#This Row],[Industrie]]</f>
        <v>MédiaMedia &amp; Publishing</v>
      </c>
      <c r="Y194" s="23" cm="1">
        <f t="array" aca="1" ref="Y194" ca="1">IFERROR(_FV(Tableau1[[#This Row],[Code Excel]],"P/E",TRUE),"")</f>
        <v>17.0459</v>
      </c>
      <c r="Z194" s="43" cm="1">
        <f t="array" aca="1" ref="Z194" ca="1">IFERROR(_FV(Tableau1[[#This Row],[Code Excel]],"Employés"),"")</f>
        <v>33091</v>
      </c>
      <c r="AA194" s="49">
        <f ca="1">IFERROR(Tableau1[[#This Row],[Capitalisation boursière]]/Tableau1[[#This Row],[Employés]],"")</f>
        <v>87979.057749841348</v>
      </c>
      <c r="AB194" s="5" t="str">
        <f>IFERROR(Tableau1[[#This Row],[REX (2021)]]/Tableau1[[#This Row],[CA 2024]],"")</f>
        <v/>
      </c>
      <c r="AC194" s="9" t="str">
        <f>IFERROR(_xlfn.XLOOKUP(Tableau1[[#This Row],[Isin]]&amp;1&amp;2021,#REF!,Tableau3[Résultat d''exploitation]),"")</f>
        <v/>
      </c>
      <c r="AD194" s="9" t="str">
        <f>IFERROR(_xlfn.XLOOKUP(Tableau1[[#This Row],[Isin]]&amp;1&amp;2019,#REF!,Tableau3[Chiffre d''affaires]),"")</f>
        <v/>
      </c>
      <c r="AE194" s="9" t="str">
        <f>IFERROR(_xlfn.XLOOKUP(Tableau1[[#This Row],[Isin]]&amp;1&amp;2024,#REF!,Tableau3[Chiffre d''affaires]),"")</f>
        <v/>
      </c>
      <c r="AF194" s="8" t="str">
        <f>IFERROR(IF((Tableau1[[#This Row],[CA 2024]]-Tableau1[[#This Row],[CA 2019]])/Tableau1[[#This Row],[CA 2019]]=-1,"",(Tableau1[[#This Row],[CA 2024]]-Tableau1[[#This Row],[CA 2019]])/Tableau1[[#This Row],[CA 2019]]),"")</f>
        <v/>
      </c>
      <c r="AG194" s="9" t="str">
        <f>IFERROR(_xlfn.XLOOKUP(Tableau1[[#This Row],[Isin]]&amp;1&amp;2021,#REF!,Tableau3[EBE]),"")</f>
        <v/>
      </c>
      <c r="AH194" s="9" t="str">
        <f>IFERROR(_xlfn.XLOOKUP(Tableau1[[#This Row],[Isin]]&amp;1&amp;2022,#REF!,Tableau3[EBE]),"")</f>
        <v/>
      </c>
      <c r="AI194" s="43" t="s">
        <v>3431</v>
      </c>
      <c r="AJ194" s="13" t="s">
        <v>3150</v>
      </c>
      <c r="AK194" s="43" t="s">
        <v>3431</v>
      </c>
      <c r="AL194" s="43" t="s">
        <v>3431</v>
      </c>
      <c r="AM194" s="43"/>
      <c r="AN194" s="9" t="str">
        <f>IFERROR(_xlfn.XLOOKUP(Tableau1[[#This Row],[Isin]]&amp;1&amp;2021,#REF!,Tableau3[Chiffre d''affaires]),"")</f>
        <v/>
      </c>
      <c r="AO194" s="43" cm="1">
        <f t="array" aca="1" ref="AO194" ca="1">_FV(Tableau1[[#This Row],[Code Excel]],"P/E",TRUE)</f>
        <v>17.0459</v>
      </c>
      <c r="AP194" s="43" t="str">
        <f>IFERROR(_xlfn.XLOOKUP(Tableau1[[#This Row],[Isin]]&amp;1&amp;2023,#REF!,Tableau3[Résultat Net (PdG)]),"")</f>
        <v/>
      </c>
      <c r="AQ194" s="43">
        <f>IF(IFERROR(_xlfn.XLOOKUP(Tableau1[[#This Row],[Isin]]&amp;1&amp;2022,#REF!,Tableau3[Résultat Net (PdG)]),"")="",Tableau1[[#This Row],[RN Groupe 2022
Manuel]],IFERROR(_xlfn.XLOOKUP(Tableau1[[#This Row],[Isin]]&amp;1&amp;2022,#REF!,Tableau3[Résultat Net (PdG)]),""))</f>
        <v>0</v>
      </c>
      <c r="AR194" s="43"/>
      <c r="AS194" s="43">
        <f>IF(IFERROR(_xlfn.XLOOKUP(Tableau1[[#This Row],[Isin]]&amp;1&amp;2021,#REF!,Tableau3[Résultat Net (PdG)]),"")="",Tableau1[[#This Row],[RN Groupe 2021
Manuel]],IFERROR(_xlfn.XLOOKUP(Tableau1[[#This Row],[Isin]]&amp;1&amp;2021,#REF!,Tableau3[Résultat Net (PdG)]),""))</f>
        <v>0</v>
      </c>
      <c r="AT194" s="43"/>
      <c r="AU194" s="43" t="str">
        <f>IFERROR(_xlfn.XLOOKUP(Tableau1[[#This Row],[Isin]]&amp;1&amp;2020,#REF!,Tableau3[Résultat Net (PdG)]),"")</f>
        <v/>
      </c>
      <c r="AV194" s="43" t="str">
        <f>IFERROR(_xlfn.XLOOKUP(Tableau1[[#This Row],[Isin]]&amp;1&amp;2019,#REF!,Tableau3[Résultat Net (PdG)]),"")</f>
        <v/>
      </c>
      <c r="AW194" s="43" t="str">
        <f>IFERROR(_xlfn.XLOOKUP(Tableau1[[#This Row],[Isin]]&amp;1&amp;2018,#REF!,Tableau3[Résultat Net (PdG)]),"")</f>
        <v/>
      </c>
      <c r="AX194" s="43" t="str">
        <f>IFERROR(_xlfn.XLOOKUP(Tableau1[[#This Row],[Isin]]&amp;1&amp;2017,#REF!,Tableau3[Résultat Net (PdG)]),"")</f>
        <v/>
      </c>
      <c r="AY194" s="43" t="str">
        <f>IFERROR(_xlfn.XLOOKUP(Tableau1[[#This Row],[Isin]]&amp;1&amp;2016,#REF!,Tableau3[Résultat Net (PdG)]),"")</f>
        <v/>
      </c>
      <c r="AZ194" s="137" t="str">
        <f ca="1">IFERROR(Tableau1[[#This Row],[Capitalisation boursière]]/Tableau1[[#This Row],[RN Groupe 2023]],"")</f>
        <v/>
      </c>
      <c r="BA194" s="4" t="str" cm="1">
        <f t="array" aca="1" ref="BA194" ca="1">IFERROR(_FV(Tableau1[[#This Row],[Code Excel]],"Industrie"),"")</f>
        <v>Media &amp; Publishing</v>
      </c>
      <c r="BB194" s="43" t="s">
        <v>3477</v>
      </c>
      <c r="BC194" s="43" t="str">
        <f>IFERROR(_xlfn.XLOOKUP(Tableau1[[#This Row],[Isin]]&amp;1&amp;2016,#REF!,Tableau3[Capi]),"")</f>
        <v/>
      </c>
      <c r="BD194" s="43" t="str">
        <f>IFERROR(_xlfn.XLOOKUP(Tableau1[[#This Row],[Isin]]&amp;1&amp;2017,#REF!,Tableau3[Capi]),"")</f>
        <v/>
      </c>
      <c r="BE194" s="43" t="str">
        <f>IFERROR(_xlfn.XLOOKUP(Tableau1[[#This Row],[Isin]]&amp;1&amp;2018,#REF!,Tableau3[Capi]),"")</f>
        <v/>
      </c>
      <c r="BF194" s="43" t="str">
        <f>IFERROR(_xlfn.XLOOKUP(Tableau1[[#This Row],[Isin]]&amp;1&amp;2019,#REF!,Tableau3[Capi]),"")</f>
        <v/>
      </c>
      <c r="BG194" s="43" t="str">
        <f>IFERROR(_xlfn.XLOOKUP(Tableau1[[#This Row],[Isin]]&amp;1&amp;2020,#REF!,Tableau3[Capi]),"")</f>
        <v/>
      </c>
      <c r="BH194" s="43">
        <f>IF(IFERROR(_xlfn.XLOOKUP(Tableau1[[#This Row],[Isin]]&amp;1&amp;2021,#REF!,Tableau3[Capi]),"")="",Tableau1[[#This Row],[Capitalisation 2021
Manuel]],IFERROR(_xlfn.XLOOKUP(Tableau1[[#This Row],[Isin]]&amp;1&amp;2021,#REF!,Tableau3[Capi]),""))</f>
        <v>0</v>
      </c>
      <c r="BI194" s="43"/>
      <c r="BJ194" s="43">
        <f>IF(IFERROR(_xlfn.XLOOKUP(Tableau1[[#This Row],[Isin]]&amp;1&amp;2022,#REF!,Tableau3[Capi]),"")="",Tableau1[[#This Row],[Capitalisation 2022
Manuel]],IFERROR(_xlfn.XLOOKUP(Tableau1[[#This Row],[Isin]]&amp;1&amp;2022,#REF!,Tableau3[Capi]),""))</f>
        <v>0</v>
      </c>
      <c r="BK194" s="43"/>
      <c r="BL194" s="43">
        <f ca="1">Tableau1[[#This Row],[Capitalisation boursière]]</f>
        <v>2911315000</v>
      </c>
      <c r="BM194" s="162" t="str" cm="1">
        <f t="array" aca="1" ref="BM194" ca="1">_FV(Tableau1[[#This Row],[Code Excel]],"Description")</f>
        <v>Lagardere sa est une société internationale basée en France qui exerce principalement ses activités dans deux divisions : Lagardere Publishing et Lagardere Travel Retail. Le périmètre du groupe Société comprend Lagardere News (Paris match, le Journal du dimanche, JDD Magazine, Europe 1, Europe 2, RFM, licence elle), Lagardere Live Entertainment (production de concerts et spectacles, gestion de salles de spectacle) et Lagardere Paris Racing (club sportif). Lagardere Publishing opère en tant qu'éditeur de livres grand public et éducatif qui contribue à leur diffusion plus large sur les usages numériques et mobiles de la lecture. Son activité concerne également des domaines de l'édition tels que les jeux de société et les jeux mobiles. Lagardere Travel Retail est l'opérateur de vente au détail dans les domaines du transport principalement dans trois secteurs d'activité : Travel Essentials, Duty Free et mode, Food and Beverage. Elle compte plus de 4 890 magasins répartis dans un millier d'aéroports, de gares et de stations de métro.</v>
      </c>
      <c r="BN194" s="43"/>
      <c r="BO194" s="43"/>
      <c r="BP194" s="43"/>
      <c r="BQ194" s="43"/>
      <c r="BR194" s="13"/>
      <c r="BS194" s="13"/>
      <c r="BT194" s="13"/>
      <c r="BU194" s="13"/>
      <c r="BV194" s="13"/>
      <c r="BW194" s="4"/>
      <c r="BY194" s="13"/>
      <c r="BZ194" s="13"/>
      <c r="CA194" s="13"/>
      <c r="CB194" s="13"/>
      <c r="CC194" s="13"/>
      <c r="CD194" s="3"/>
      <c r="CE194" s="47"/>
      <c r="CF194" s="47"/>
      <c r="CG194" s="6"/>
      <c r="CH194" s="6"/>
      <c r="CI194" s="6"/>
    </row>
    <row r="195" spans="3:87">
      <c r="C195" s="42"/>
      <c r="D195" s="42">
        <f>IF(Tableau1[[#This Row],[Isin]]="",99,Tableau1[[#This Row],[Intérêt]]+Tableau1[[#This Row],[Valeur d''intérêt]]+Tableau1[[#This Row],[N° Portefeuille]])</f>
        <v>20</v>
      </c>
      <c r="E195" s="42"/>
      <c r="F195" s="42">
        <f>IF(Tableau1[[#This Row],[Portefeuille]]="p",0,Tableau1[[#This Row],[F. Investissement
Niveau d''intérêt]]*10)</f>
        <v>20</v>
      </c>
      <c r="G195" s="42">
        <f>IF(Tableau1[[#This Row],[Portefeuille]]="p",3,0)</f>
        <v>0</v>
      </c>
      <c r="H195" s="42">
        <v>2</v>
      </c>
      <c r="I195" s="42">
        <v>1</v>
      </c>
      <c r="J195" s="42"/>
      <c r="K195" s="43"/>
      <c r="L195" s="16">
        <v>1</v>
      </c>
      <c r="M19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5" s="44" t="s">
        <v>2286</v>
      </c>
      <c r="O195" s="44" t="s">
        <v>4406</v>
      </c>
      <c r="P195" s="4" t="s">
        <v>84</v>
      </c>
      <c r="Q195" s="6" t="s">
        <v>85</v>
      </c>
      <c r="R195" s="6"/>
      <c r="S195" s="6" t="s">
        <v>2290</v>
      </c>
      <c r="T195" s="6" t="e" vm="178">
        <v>#VALUE!</v>
      </c>
      <c r="U195" s="46" cm="1">
        <f t="array" aca="1" ref="U195" ca="1">IFERROR(_FV(Tableau1[[#This Row],[Code Excel]],"Capitalisation boursière",TRUE),"")</f>
        <v>25920370000</v>
      </c>
      <c r="V195" s="4" t="str" cm="1">
        <f t="array" aca="1" ref="V195" ca="1">IFERROR(_FV(Tableau1[[#This Row],[Code Excel]],"Industrie"),"")</f>
        <v>Machinery, Equipment &amp; Components</v>
      </c>
      <c r="W195" s="4" t="s">
        <v>4321</v>
      </c>
      <c r="X195" s="4" t="str">
        <f ca="1">Tableau1[[#This Row],[Grand Secteur]]&amp;Tableau1[[#This Row],[Industrie]]</f>
        <v>EquipementiersMachinery, Equipment &amp; Components</v>
      </c>
      <c r="Y195" s="23" cm="1">
        <f t="array" aca="1" ref="Y195" ca="1">IFERROR(_FV(Tableau1[[#This Row],[Code Excel]],"P/E",TRUE),"")</f>
        <v>22.2013</v>
      </c>
      <c r="Z195" s="43" cm="1">
        <f t="array" aca="1" ref="Z195" ca="1">IFERROR(_FV(Tableau1[[#This Row],[Code Excel]],"Employés"),"")</f>
        <v>37447</v>
      </c>
      <c r="AA195" s="46">
        <f ca="1">IFERROR(Tableau1[[#This Row],[Capitalisation boursière]]/Tableau1[[#This Row],[Employés]],"")</f>
        <v>692188.15926509467</v>
      </c>
      <c r="AB195" s="5" t="str">
        <f>IFERROR(Tableau1[[#This Row],[REX (2021)]]/Tableau1[[#This Row],[CA 2024]],"")</f>
        <v/>
      </c>
      <c r="AC195" s="9" t="str">
        <f>IFERROR(_xlfn.XLOOKUP(Tableau1[[#This Row],[Isin]]&amp;1&amp;2021,#REF!,Tableau3[Résultat d''exploitation]),"")</f>
        <v/>
      </c>
      <c r="AD195" s="9" t="str">
        <f>IFERROR(_xlfn.XLOOKUP(Tableau1[[#This Row],[Isin]]&amp;1&amp;2019,#REF!,Tableau3[Chiffre d''affaires]),"")</f>
        <v/>
      </c>
      <c r="AE195" s="9" t="str">
        <f>IFERROR(_xlfn.XLOOKUP(Tableau1[[#This Row],[Isin]]&amp;1&amp;2024,#REF!,Tableau3[Chiffre d''affaires]),"")</f>
        <v/>
      </c>
      <c r="AF195" s="8" t="str">
        <f>IFERROR(IF((Tableau1[[#This Row],[CA 2024]]-Tableau1[[#This Row],[CA 2019]])/Tableau1[[#This Row],[CA 2019]]=-1,"",(Tableau1[[#This Row],[CA 2024]]-Tableau1[[#This Row],[CA 2019]])/Tableau1[[#This Row],[CA 2019]]),"")</f>
        <v/>
      </c>
      <c r="AG195" s="9" t="str">
        <f>IFERROR(_xlfn.XLOOKUP(Tableau1[[#This Row],[Isin]]&amp;1&amp;2021,#REF!,Tableau3[EBE]),"")</f>
        <v/>
      </c>
      <c r="AH195" s="9" t="str">
        <f>IFERROR(_xlfn.XLOOKUP(Tableau1[[#This Row],[Isin]]&amp;1&amp;2022,#REF!,Tableau3[EBE]),"")</f>
        <v/>
      </c>
      <c r="AI195" s="43" t="s">
        <v>4343</v>
      </c>
      <c r="AJ195" s="43" t="s">
        <v>4322</v>
      </c>
      <c r="AK195" s="43" t="s">
        <v>3431</v>
      </c>
      <c r="AL195" s="43" t="s">
        <v>3148</v>
      </c>
      <c r="AM195" s="43"/>
      <c r="AN195" s="9" t="str">
        <f>IFERROR(_xlfn.XLOOKUP(Tableau1[[#This Row],[Isin]]&amp;1&amp;2021,#REF!,Tableau3[Chiffre d''affaires]),"")</f>
        <v/>
      </c>
      <c r="AO195" s="43" cm="1">
        <f t="array" aca="1" ref="AO195" ca="1">_FV(Tableau1[[#This Row],[Code Excel]],"P/E",TRUE)</f>
        <v>22.2013</v>
      </c>
      <c r="AP195" s="43" t="str">
        <f>IFERROR(_xlfn.XLOOKUP(Tableau1[[#This Row],[Isin]]&amp;1&amp;2023,#REF!,Tableau3[Résultat Net (PdG)]),"")</f>
        <v/>
      </c>
      <c r="AQ195" s="43">
        <f>IF(IFERROR(_xlfn.XLOOKUP(Tableau1[[#This Row],[Isin]]&amp;1&amp;2022,#REF!,Tableau3[Résultat Net (PdG)]),"")="",Tableau1[[#This Row],[RN Groupe 2022
Manuel]],IFERROR(_xlfn.XLOOKUP(Tableau1[[#This Row],[Isin]]&amp;1&amp;2022,#REF!,Tableau3[Résultat Net (PdG)]),""))</f>
        <v>0</v>
      </c>
      <c r="AR195" s="140"/>
      <c r="AS195" s="43">
        <f>IF(IFERROR(_xlfn.XLOOKUP(Tableau1[[#This Row],[Isin]]&amp;1&amp;2021,#REF!,Tableau3[Résultat Net (PdG)]),"")="",Tableau1[[#This Row],[RN Groupe 2021
Manuel]],IFERROR(_xlfn.XLOOKUP(Tableau1[[#This Row],[Isin]]&amp;1&amp;2021,#REF!,Tableau3[Résultat Net (PdG)]),""))</f>
        <v>0</v>
      </c>
      <c r="AT195" s="140"/>
      <c r="AU195" s="43" t="str">
        <f>IFERROR(_xlfn.XLOOKUP(Tableau1[[#This Row],[Isin]]&amp;1&amp;2020,#REF!,Tableau3[Résultat Net (PdG)]),"")</f>
        <v/>
      </c>
      <c r="AV195" s="43" t="str">
        <f>IFERROR(_xlfn.XLOOKUP(Tableau1[[#This Row],[Isin]]&amp;1&amp;2019,#REF!,Tableau3[Résultat Net (PdG)]),"")</f>
        <v/>
      </c>
      <c r="AW195" s="43" t="str">
        <f>IFERROR(_xlfn.XLOOKUP(Tableau1[[#This Row],[Isin]]&amp;1&amp;2018,#REF!,Tableau3[Résultat Net (PdG)]),"")</f>
        <v/>
      </c>
      <c r="AX195" s="43" t="str">
        <f>IFERROR(_xlfn.XLOOKUP(Tableau1[[#This Row],[Isin]]&amp;1&amp;2017,#REF!,Tableau3[Résultat Net (PdG)]),"")</f>
        <v/>
      </c>
      <c r="AY195" s="43" t="str">
        <f>IFERROR(_xlfn.XLOOKUP(Tableau1[[#This Row],[Isin]]&amp;1&amp;2016,#REF!,Tableau3[Résultat Net (PdG)]),"")</f>
        <v/>
      </c>
      <c r="AZ195" s="137" t="str">
        <f ca="1">IFERROR(Tableau1[[#This Row],[Capitalisation boursière]]/Tableau1[[#This Row],[RN Groupe 2023]],"")</f>
        <v/>
      </c>
      <c r="BA195" s="4" t="str" cm="1">
        <f t="array" aca="1" ref="BA195" ca="1">IFERROR(_FV(Tableau1[[#This Row],[Code Excel]],"Industrie"),"")</f>
        <v>Machinery, Equipment &amp; Components</v>
      </c>
      <c r="BB195" s="43" t="s">
        <v>3518</v>
      </c>
      <c r="BC195" s="43" t="str">
        <f>IFERROR(_xlfn.XLOOKUP(Tableau1[[#This Row],[Isin]]&amp;1&amp;2016,#REF!,Tableau3[Capi]),"")</f>
        <v/>
      </c>
      <c r="BD195" s="43" t="str">
        <f>IFERROR(_xlfn.XLOOKUP(Tableau1[[#This Row],[Isin]]&amp;1&amp;2017,#REF!,Tableau3[Capi]),"")</f>
        <v/>
      </c>
      <c r="BE195" s="43" t="str">
        <f>IFERROR(_xlfn.XLOOKUP(Tableau1[[#This Row],[Isin]]&amp;1&amp;2018,#REF!,Tableau3[Capi]),"")</f>
        <v/>
      </c>
      <c r="BF195" s="43" t="str">
        <f>IFERROR(_xlfn.XLOOKUP(Tableau1[[#This Row],[Isin]]&amp;1&amp;2019,#REF!,Tableau3[Capi]),"")</f>
        <v/>
      </c>
      <c r="BG195" s="43" t="str">
        <f>IFERROR(_xlfn.XLOOKUP(Tableau1[[#This Row],[Isin]]&amp;1&amp;2020,#REF!,Tableau3[Capi]),"")</f>
        <v/>
      </c>
      <c r="BH195" s="43">
        <f>IF(IFERROR(_xlfn.XLOOKUP(Tableau1[[#This Row],[Isin]]&amp;1&amp;2021,#REF!,Tableau3[Capi]),"")="",Tableau1[[#This Row],[Capitalisation 2021
Manuel]],IFERROR(_xlfn.XLOOKUP(Tableau1[[#This Row],[Isin]]&amp;1&amp;2021,#REF!,Tableau3[Capi]),""))</f>
        <v>0</v>
      </c>
      <c r="BI195" s="142"/>
      <c r="BJ195" s="141">
        <f>IF(IFERROR(_xlfn.XLOOKUP(Tableau1[[#This Row],[Isin]]&amp;1&amp;2022,#REF!,Tableau3[Capi]),"")="",Tableau1[[#This Row],[Capitalisation 2022
Manuel]],IFERROR(_xlfn.XLOOKUP(Tableau1[[#This Row],[Isin]]&amp;1&amp;2022,#REF!,Tableau3[Capi]),""))</f>
        <v>0</v>
      </c>
      <c r="BK195" s="142"/>
      <c r="BL195" s="43">
        <f ca="1">Tableau1[[#This Row],[Capitalisation boursière]]</f>
        <v>25920370000</v>
      </c>
      <c r="BM195" s="162" t="str" cm="1">
        <f t="array" aca="1" ref="BM195" ca="1">_FV(Tableau1[[#This Row],[Code Excel]],"Description")</f>
        <v>Legrand SA, anciennement Legrand SNC, est une société de droit français. La Société est principalement spécialisée dans les infrastructures électriques et numériques du bâtiment. Sa gamme de produits est adaptée aux segments commerciaux, industriels et résidentiels du marché de la basse tension. La Société a des activités commerciales et industrielles dans plus de 90 pays. Elle bénéficie de leviers de croissance solides et à long terme. Les produits lancés par la Société sont utilisés pour l'efficacité énergétique: Radiant Light-emitting diode (LED) Advanced dimmer, et Connected 3-phase meter with Netatmo, et autres; produits connectés dans le cadre du programme Eliot: NOVO GO, dispositif portable de téléassistance, et T4 Wireless, système d'alarme incendie, entre autres; et les centres de données: Cablofil Wiremesh cable tray CF 150/900 BS, et UPS Keor SPE RT, entre autres.</v>
      </c>
      <c r="BN195" s="43"/>
      <c r="BO195" s="43"/>
      <c r="BP195" s="43"/>
      <c r="BQ195" s="43"/>
      <c r="BR195" s="13"/>
      <c r="BS195" s="13"/>
      <c r="BT195" s="13"/>
      <c r="BU195" s="13"/>
      <c r="BV195" s="13"/>
      <c r="BW195" s="4"/>
      <c r="BX195" s="21"/>
      <c r="BY195" s="13"/>
      <c r="BZ195" s="13"/>
      <c r="CA195" s="13"/>
      <c r="CB195" s="13"/>
      <c r="CC195" s="13"/>
      <c r="CD195" s="3"/>
      <c r="CE195" s="47"/>
      <c r="CF195" s="47"/>
    </row>
    <row r="196" spans="3:87">
      <c r="C196" s="43"/>
      <c r="D196" s="42">
        <f>IF(Tableau1[[#This Row],[Isin]]="",99,Tableau1[[#This Row],[Intérêt]]+Tableau1[[#This Row],[Valeur d''intérêt]]+Tableau1[[#This Row],[N° Portefeuille]])</f>
        <v>30</v>
      </c>
      <c r="E196" s="43"/>
      <c r="F196" s="42">
        <f>IF(Tableau1[[#This Row],[Portefeuille]]="p",0,Tableau1[[#This Row],[F. Investissement
Niveau d''intérêt]]*10)</f>
        <v>30</v>
      </c>
      <c r="G196" s="43">
        <f>IF(Tableau1[[#This Row],[Portefeuille]]="p",3,0)</f>
        <v>0</v>
      </c>
      <c r="H196" s="43">
        <v>3</v>
      </c>
      <c r="I196" s="43">
        <v>4</v>
      </c>
      <c r="J196" s="43"/>
      <c r="K196" s="43"/>
      <c r="L196" s="16">
        <v>0</v>
      </c>
      <c r="M19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6" s="44" t="s">
        <v>3934</v>
      </c>
      <c r="O196" s="45"/>
      <c r="P196" s="4" t="s">
        <v>564</v>
      </c>
      <c r="Q196" s="4"/>
      <c r="R196" s="6"/>
      <c r="S196" s="6" t="s">
        <v>3935</v>
      </c>
      <c r="T196" s="6" t="e" vm="179">
        <v>#VALUE!</v>
      </c>
      <c r="U196" s="46" cm="1">
        <f t="array" aca="1" ref="U196" ca="1">IFERROR(_FV(Tableau1[[#This Row],[Code Excel]],"Capitalisation boursière",TRUE),"")</f>
        <v>217118500000</v>
      </c>
      <c r="V196" s="4" t="str" cm="1">
        <f t="array" aca="1" ref="V196" ca="1">IFERROR(_FV(Tableau1[[#This Row],[Code Excel]],"Industrie"),"")</f>
        <v>Chemicals</v>
      </c>
      <c r="W196" s="4" t="s">
        <v>2431</v>
      </c>
      <c r="X196" s="4" t="str">
        <f ca="1">Tableau1[[#This Row],[Grand Secteur]]&amp;Tableau1[[#This Row],[Industrie]]</f>
        <v>ChimieChemicals</v>
      </c>
      <c r="Y196" s="23" cm="1">
        <f t="array" aca="1" ref="Y196" ca="1">IFERROR(_FV(Tableau1[[#This Row],[Code Excel]],"P/E",TRUE),"")</f>
        <v>32.61</v>
      </c>
      <c r="Z196" s="43" cm="1">
        <f t="array" aca="1" ref="Z196" ca="1">IFERROR(_FV(Tableau1[[#This Row],[Code Excel]],"Employés"),"")</f>
        <v>65289</v>
      </c>
      <c r="AA196" s="46">
        <f ca="1">IFERROR(Tableau1[[#This Row],[Capitalisation boursière]]/Tableau1[[#This Row],[Employés]],"")</f>
        <v>3325498.935502152</v>
      </c>
      <c r="AB196" s="5" t="str">
        <f>IFERROR(Tableau1[[#This Row],[REX (2021)]]/Tableau1[[#This Row],[CA 2024]],"")</f>
        <v/>
      </c>
      <c r="AC196" s="9" t="str">
        <f>IFERROR(_xlfn.XLOOKUP(Tableau1[[#This Row],[Isin]]&amp;1&amp;2021,#REF!,Tableau3[Résultat d''exploitation]),"")</f>
        <v/>
      </c>
      <c r="AD196" s="9" t="str">
        <f>IFERROR(_xlfn.XLOOKUP(Tableau1[[#This Row],[Isin]]&amp;1&amp;2019,#REF!,Tableau3[Chiffre d''affaires]),"")</f>
        <v/>
      </c>
      <c r="AE196" s="9" t="str">
        <f>IFERROR(_xlfn.XLOOKUP(Tableau1[[#This Row],[Isin]]&amp;1&amp;2024,#REF!,Tableau3[Chiffre d''affaires]),"")</f>
        <v/>
      </c>
      <c r="AF196" s="8" t="str">
        <f>IFERROR(IF((Tableau1[[#This Row],[CA 2024]]-Tableau1[[#This Row],[CA 2019]])/Tableau1[[#This Row],[CA 2019]]=-1,"",(Tableau1[[#This Row],[CA 2024]]-Tableau1[[#This Row],[CA 2019]])/Tableau1[[#This Row],[CA 2019]]),"")</f>
        <v/>
      </c>
      <c r="AG196" s="9" t="str">
        <f>IFERROR(_xlfn.XLOOKUP(Tableau1[[#This Row],[Isin]]&amp;1&amp;2021,#REF!,Tableau3[EBE]),"")</f>
        <v/>
      </c>
      <c r="AH196" s="9" t="str">
        <f>IFERROR(_xlfn.XLOOKUP(Tableau1[[#This Row],[Isin]]&amp;1&amp;2022,#REF!,Tableau3[EBE]),"")</f>
        <v/>
      </c>
      <c r="AI196" s="43" t="s">
        <v>4329</v>
      </c>
      <c r="AJ196" s="43" t="s">
        <v>3150</v>
      </c>
      <c r="AK196" s="43" t="s">
        <v>3148</v>
      </c>
      <c r="AL196" s="43"/>
      <c r="AM196" s="43"/>
      <c r="AN196" s="9" t="str">
        <f>IFERROR(_xlfn.XLOOKUP(Tableau1[[#This Row],[Isin]]&amp;1&amp;2021,#REF!,Tableau3[Chiffre d''affaires]),"")</f>
        <v/>
      </c>
      <c r="AO196" s="43" cm="1">
        <f t="array" aca="1" ref="AO196" ca="1">_FV(Tableau1[[#This Row],[Code Excel]],"P/E",TRUE)</f>
        <v>32.61</v>
      </c>
      <c r="AP196" s="43" t="str">
        <f>IFERROR(_xlfn.XLOOKUP(Tableau1[[#This Row],[Isin]]&amp;1&amp;2023,#REF!,Tableau3[Résultat Net (PdG)]),"")</f>
        <v/>
      </c>
      <c r="AQ196" s="43">
        <f>IF(IFERROR(_xlfn.XLOOKUP(Tableau1[[#This Row],[Isin]]&amp;1&amp;2022,#REF!,Tableau3[Résultat Net (PdG)]),"")="",Tableau1[[#This Row],[RN Groupe 2022
Manuel]],IFERROR(_xlfn.XLOOKUP(Tableau1[[#This Row],[Isin]]&amp;1&amp;2022,#REF!,Tableau3[Résultat Net (PdG)]),""))</f>
        <v>0</v>
      </c>
      <c r="AR196" s="43"/>
      <c r="AS196" s="43">
        <f>IF(IFERROR(_xlfn.XLOOKUP(Tableau1[[#This Row],[Isin]]&amp;1&amp;2021,#REF!,Tableau3[Résultat Net (PdG)]),"")="",Tableau1[[#This Row],[RN Groupe 2021
Manuel]],IFERROR(_xlfn.XLOOKUP(Tableau1[[#This Row],[Isin]]&amp;1&amp;2021,#REF!,Tableau3[Résultat Net (PdG)]),""))</f>
        <v>0</v>
      </c>
      <c r="AT196" s="43"/>
      <c r="AU196" s="43" t="str">
        <f>IFERROR(_xlfn.XLOOKUP(Tableau1[[#This Row],[Isin]]&amp;1&amp;2020,#REF!,Tableau3[Résultat Net (PdG)]),"")</f>
        <v/>
      </c>
      <c r="AV196" s="43" t="str">
        <f>IFERROR(_xlfn.XLOOKUP(Tableau1[[#This Row],[Isin]]&amp;1&amp;2019,#REF!,Tableau3[Résultat Net (PdG)]),"")</f>
        <v/>
      </c>
      <c r="AW196" s="43" t="str">
        <f>IFERROR(_xlfn.XLOOKUP(Tableau1[[#This Row],[Isin]]&amp;1&amp;2018,#REF!,Tableau3[Résultat Net (PdG)]),"")</f>
        <v/>
      </c>
      <c r="AX196" s="43" t="str">
        <f>IFERROR(_xlfn.XLOOKUP(Tableau1[[#This Row],[Isin]]&amp;1&amp;2017,#REF!,Tableau3[Résultat Net (PdG)]),"")</f>
        <v/>
      </c>
      <c r="AY196" s="43" t="str">
        <f>IFERROR(_xlfn.XLOOKUP(Tableau1[[#This Row],[Isin]]&amp;1&amp;2016,#REF!,Tableau3[Résultat Net (PdG)]),"")</f>
        <v/>
      </c>
      <c r="AZ196" s="137" t="str">
        <f ca="1">IFERROR(Tableau1[[#This Row],[Capitalisation boursière]]/Tableau1[[#This Row],[RN Groupe 2023]],"")</f>
        <v/>
      </c>
      <c r="BA196" s="4" t="str" cm="1">
        <f t="array" aca="1" ref="BA196" ca="1">IFERROR(_FV(Tableau1[[#This Row],[Code Excel]],"Industrie"),"")</f>
        <v>Chemicals</v>
      </c>
      <c r="BB196" s="43" t="s">
        <v>3487</v>
      </c>
      <c r="BC196" s="43" t="str">
        <f>IFERROR(_xlfn.XLOOKUP(Tableau1[[#This Row],[Isin]]&amp;1&amp;2016,#REF!,Tableau3[Capi]),"")</f>
        <v/>
      </c>
      <c r="BD196" s="43" t="str">
        <f>IFERROR(_xlfn.XLOOKUP(Tableau1[[#This Row],[Isin]]&amp;1&amp;2017,#REF!,Tableau3[Capi]),"")</f>
        <v/>
      </c>
      <c r="BE196" s="43" t="str">
        <f>IFERROR(_xlfn.XLOOKUP(Tableau1[[#This Row],[Isin]]&amp;1&amp;2018,#REF!,Tableau3[Capi]),"")</f>
        <v/>
      </c>
      <c r="BF196" s="43" t="str">
        <f>IFERROR(_xlfn.XLOOKUP(Tableau1[[#This Row],[Isin]]&amp;1&amp;2019,#REF!,Tableau3[Capi]),"")</f>
        <v/>
      </c>
      <c r="BG196" s="43" t="str">
        <f>IFERROR(_xlfn.XLOOKUP(Tableau1[[#This Row],[Isin]]&amp;1&amp;2020,#REF!,Tableau3[Capi]),"")</f>
        <v/>
      </c>
      <c r="BH196" s="43">
        <f>IF(IFERROR(_xlfn.XLOOKUP(Tableau1[[#This Row],[Isin]]&amp;1&amp;2021,#REF!,Tableau3[Capi]),"")="",Tableau1[[#This Row],[Capitalisation 2021
Manuel]],IFERROR(_xlfn.XLOOKUP(Tableau1[[#This Row],[Isin]]&amp;1&amp;2021,#REF!,Tableau3[Capi]),""))</f>
        <v>0</v>
      </c>
      <c r="BI196" s="43"/>
      <c r="BJ196" s="43">
        <f>IF(IFERROR(_xlfn.XLOOKUP(Tableau1[[#This Row],[Isin]]&amp;1&amp;2022,#REF!,Tableau3[Capi]),"")="",Tableau1[[#This Row],[Capitalisation 2022
Manuel]],IFERROR(_xlfn.XLOOKUP(Tableau1[[#This Row],[Isin]]&amp;1&amp;2022,#REF!,Tableau3[Capi]),""))</f>
        <v>0</v>
      </c>
      <c r="BK196" s="43"/>
      <c r="BL196" s="43">
        <f ca="1">Tableau1[[#This Row],[Capitalisation boursière]]</f>
        <v>217118500000</v>
      </c>
      <c r="BM196" s="162" t="str" cm="1">
        <f t="array" aca="1" ref="BM196" ca="1">_FV(Tableau1[[#This Row],[Code Excel]],"Description")</f>
        <v>Linde plc est une société de gaz industriels et d'ingénierie basée au Royaume-Uni. La société dessert une variété de marchés finaux, tels que les produits chimiques et l'énergie, l'alimentation et les boissons, l'électronique, la santé, la fabrication, métaux et mines. Les gaz industriels et les technologies de la Société sont utilisés dans d'innombrables applications, y compris la production d'hydrogène propre et de systèmes de captage du carbone essentiels à la transition énergétique, l'oxygène médical vital et les gaz spéciaux et de haute pureté pour l'électronique. Elle fournit également des solutions de traitement du gaz pour soutenir l'expansion de la clientèle, l'amélioration de l'efficacité et la réduction des émissions. Ses principaux produits dans son activité gaz industriels sont les gaz atmosphériques et les gaz de process. La Société conçoit et construit également des équipements qui produisent des gaz industriels et offre à ses clients une gamme de services de production et de traitement de gaz, tels que des usines d'oléfines, des usines de gaz naturel, des usines de séparation de l'air, des usines d'hydrogène et de gaz de synthèse et d'autres types d'usines.</v>
      </c>
      <c r="BN196" s="43"/>
      <c r="BO196" s="43"/>
      <c r="BP196" s="43"/>
      <c r="BQ196" s="43"/>
      <c r="BR196" s="13"/>
      <c r="BS196" s="13"/>
      <c r="BT196" s="13"/>
      <c r="BU196" s="13"/>
      <c r="BV196" s="13"/>
      <c r="BW196" s="4"/>
      <c r="BX196" s="21"/>
      <c r="BY196" s="13"/>
      <c r="BZ196" s="13"/>
      <c r="CA196" s="13"/>
      <c r="CB196" s="13"/>
      <c r="CC196" s="13"/>
      <c r="CD196" s="3"/>
      <c r="CE196" s="47"/>
      <c r="CF196" s="47"/>
    </row>
    <row r="197" spans="3:87">
      <c r="C197" s="42"/>
      <c r="D197" s="42">
        <f>IF(Tableau1[[#This Row],[Isin]]="",99,Tableau1[[#This Row],[Intérêt]]+Tableau1[[#This Row],[Valeur d''intérêt]]+Tableau1[[#This Row],[N° Portefeuille]])</f>
        <v>30</v>
      </c>
      <c r="E197" s="42"/>
      <c r="F197" s="42">
        <f>IF(Tableau1[[#This Row],[Portefeuille]]="p",0,Tableau1[[#This Row],[F. Investissement
Niveau d''intérêt]]*10)</f>
        <v>30</v>
      </c>
      <c r="G197" s="42">
        <f>IF(Tableau1[[#This Row],[Portefeuille]]="p",3,0)</f>
        <v>0</v>
      </c>
      <c r="H197" s="42">
        <v>3</v>
      </c>
      <c r="I197" s="42">
        <v>4</v>
      </c>
      <c r="J197" s="42"/>
      <c r="K197" s="43"/>
      <c r="L197" s="16">
        <v>0</v>
      </c>
      <c r="M19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7" s="44" t="s">
        <v>3937</v>
      </c>
      <c r="O197" s="45"/>
      <c r="P197" s="4" t="s">
        <v>99</v>
      </c>
      <c r="Q197" s="4"/>
      <c r="R197" s="6"/>
      <c r="S197" s="6" t="s">
        <v>3938</v>
      </c>
      <c r="T197" s="6" t="e" vm="180">
        <v>#VALUE!</v>
      </c>
      <c r="U197" s="46" cm="1">
        <f t="array" aca="1" ref="U197" ca="1">IFERROR(_FV(Tableau1[[#This Row],[Code Excel]],"Capitalisation boursière",TRUE),"")</f>
        <v>40490000000</v>
      </c>
      <c r="V197" s="4" t="str" cm="1">
        <f t="array" aca="1" ref="V197" ca="1">IFERROR(_FV(Tableau1[[#This Row],[Code Excel]],"Industrie"),"")</f>
        <v>Biotechnology &amp; Medical Research</v>
      </c>
      <c r="W197" s="4" t="s">
        <v>1586</v>
      </c>
      <c r="X197" s="4" t="str">
        <f ca="1">Tableau1[[#This Row],[Grand Secteur]]&amp;Tableau1[[#This Row],[Industrie]]</f>
        <v>SantéBiotechnology &amp; Medical Research</v>
      </c>
      <c r="Y197" s="23" cm="1">
        <f t="array" aca="1" ref="Y197" ca="1">IFERROR(_FV(Tableau1[[#This Row],[Code Excel]],"P/E",TRUE),"")</f>
        <v>62.847499999999997</v>
      </c>
      <c r="Z197" s="43" cm="1">
        <f t="array" aca="1" ref="Z197" ca="1">IFERROR(_FV(Tableau1[[#This Row],[Code Excel]],"Employés"),"")</f>
        <v>18686</v>
      </c>
      <c r="AA197" s="49">
        <f ca="1">IFERROR(Tableau1[[#This Row],[Capitalisation boursière]]/Tableau1[[#This Row],[Employés]],"")</f>
        <v>2166862.8920047092</v>
      </c>
      <c r="AB197" s="5" t="str">
        <f>IFERROR(Tableau1[[#This Row],[REX (2021)]]/Tableau1[[#This Row],[CA 2024]],"")</f>
        <v/>
      </c>
      <c r="AC197" s="9" t="str">
        <f>IFERROR(_xlfn.XLOOKUP(Tableau1[[#This Row],[Isin]]&amp;1&amp;2021,#REF!,Tableau3[Résultat d''exploitation]),"")</f>
        <v/>
      </c>
      <c r="AD197" s="9" t="str">
        <f>IFERROR(_xlfn.XLOOKUP(Tableau1[[#This Row],[Isin]]&amp;1&amp;2019,#REF!,Tableau3[Chiffre d''affaires]),"")</f>
        <v/>
      </c>
      <c r="AE197" s="9" t="str">
        <f>IFERROR(_xlfn.XLOOKUP(Tableau1[[#This Row],[Isin]]&amp;1&amp;2024,#REF!,Tableau3[Chiffre d''affaires]),"")</f>
        <v/>
      </c>
      <c r="AF197" s="8" t="str">
        <f>IFERROR(IF((Tableau1[[#This Row],[CA 2024]]-Tableau1[[#This Row],[CA 2019]])/Tableau1[[#This Row],[CA 2019]]=-1,"",(Tableau1[[#This Row],[CA 2024]]-Tableau1[[#This Row],[CA 2019]])/Tableau1[[#This Row],[CA 2019]]),"")</f>
        <v/>
      </c>
      <c r="AG197" s="9" t="str">
        <f>IFERROR(_xlfn.XLOOKUP(Tableau1[[#This Row],[Isin]]&amp;1&amp;2021,#REF!,Tableau3[EBE]),"")</f>
        <v/>
      </c>
      <c r="AH197" s="9" t="str">
        <f>IFERROR(_xlfn.XLOOKUP(Tableau1[[#This Row],[Isin]]&amp;1&amp;2022,#REF!,Tableau3[EBE]),"")</f>
        <v/>
      </c>
      <c r="AI197" s="13" t="s">
        <v>4324</v>
      </c>
      <c r="AJ197" s="13" t="s">
        <v>4325</v>
      </c>
      <c r="AK197" s="13" t="s">
        <v>3148</v>
      </c>
      <c r="AL197" s="43"/>
      <c r="AM197" s="43"/>
      <c r="AN197" s="9" t="str">
        <f>IFERROR(_xlfn.XLOOKUP(Tableau1[[#This Row],[Isin]]&amp;1&amp;2021,#REF!,Tableau3[Chiffre d''affaires]),"")</f>
        <v/>
      </c>
      <c r="AO197" s="43" cm="1">
        <f t="array" aca="1" ref="AO197" ca="1">_FV(Tableau1[[#This Row],[Code Excel]],"P/E",TRUE)</f>
        <v>62.847499999999997</v>
      </c>
      <c r="AP197" s="43" t="str">
        <f>IFERROR(_xlfn.XLOOKUP(Tableau1[[#This Row],[Isin]]&amp;1&amp;2023,#REF!,Tableau3[Résultat Net (PdG)]),"")</f>
        <v/>
      </c>
      <c r="AQ197" s="43">
        <f>IF(IFERROR(_xlfn.XLOOKUP(Tableau1[[#This Row],[Isin]]&amp;1&amp;2022,#REF!,Tableau3[Résultat Net (PdG)]),"")="",Tableau1[[#This Row],[RN Groupe 2022
Manuel]],IFERROR(_xlfn.XLOOKUP(Tableau1[[#This Row],[Isin]]&amp;1&amp;2022,#REF!,Tableau3[Résultat Net (PdG)]),""))</f>
        <v>0</v>
      </c>
      <c r="AR197" s="43"/>
      <c r="AS197" s="43">
        <f>IF(IFERROR(_xlfn.XLOOKUP(Tableau1[[#This Row],[Isin]]&amp;1&amp;2021,#REF!,Tableau3[Résultat Net (PdG)]),"")="",Tableau1[[#This Row],[RN Groupe 2021
Manuel]],IFERROR(_xlfn.XLOOKUP(Tableau1[[#This Row],[Isin]]&amp;1&amp;2021,#REF!,Tableau3[Résultat Net (PdG)]),""))</f>
        <v>0</v>
      </c>
      <c r="AT197" s="43"/>
      <c r="AU197" s="43" t="str">
        <f>IFERROR(_xlfn.XLOOKUP(Tableau1[[#This Row],[Isin]]&amp;1&amp;2020,#REF!,Tableau3[Résultat Net (PdG)]),"")</f>
        <v/>
      </c>
      <c r="AV197" s="43" t="str">
        <f>IFERROR(_xlfn.XLOOKUP(Tableau1[[#This Row],[Isin]]&amp;1&amp;2019,#REF!,Tableau3[Résultat Net (PdG)]),"")</f>
        <v/>
      </c>
      <c r="AW197" s="43" t="str">
        <f>IFERROR(_xlfn.XLOOKUP(Tableau1[[#This Row],[Isin]]&amp;1&amp;2018,#REF!,Tableau3[Résultat Net (PdG)]),"")</f>
        <v/>
      </c>
      <c r="AX197" s="43" t="str">
        <f>IFERROR(_xlfn.XLOOKUP(Tableau1[[#This Row],[Isin]]&amp;1&amp;2017,#REF!,Tableau3[Résultat Net (PdG)]),"")</f>
        <v/>
      </c>
      <c r="AY197" s="43" t="str">
        <f>IFERROR(_xlfn.XLOOKUP(Tableau1[[#This Row],[Isin]]&amp;1&amp;2016,#REF!,Tableau3[Résultat Net (PdG)]),"")</f>
        <v/>
      </c>
      <c r="AZ197" s="137" t="str">
        <f ca="1">IFERROR(Tableau1[[#This Row],[Capitalisation boursière]]/Tableau1[[#This Row],[RN Groupe 2023]],"")</f>
        <v/>
      </c>
      <c r="BA197" s="4" t="str" cm="1">
        <f t="array" aca="1" ref="BA197" ca="1">IFERROR(_FV(Tableau1[[#This Row],[Code Excel]],"Industrie"),"")</f>
        <v>Biotechnology &amp; Medical Research</v>
      </c>
      <c r="BB197" s="43" t="s">
        <v>3469</v>
      </c>
      <c r="BC197" s="43" t="str">
        <f>IFERROR(_xlfn.XLOOKUP(Tableau1[[#This Row],[Isin]]&amp;1&amp;2016,#REF!,Tableau3[Capi]),"")</f>
        <v/>
      </c>
      <c r="BD197" s="43" t="str">
        <f>IFERROR(_xlfn.XLOOKUP(Tableau1[[#This Row],[Isin]]&amp;1&amp;2017,#REF!,Tableau3[Capi]),"")</f>
        <v/>
      </c>
      <c r="BE197" s="43" t="str">
        <f>IFERROR(_xlfn.XLOOKUP(Tableau1[[#This Row],[Isin]]&amp;1&amp;2018,#REF!,Tableau3[Capi]),"")</f>
        <v/>
      </c>
      <c r="BF197" s="43" t="str">
        <f>IFERROR(_xlfn.XLOOKUP(Tableau1[[#This Row],[Isin]]&amp;1&amp;2019,#REF!,Tableau3[Capi]),"")</f>
        <v/>
      </c>
      <c r="BG197" s="43" t="str">
        <f>IFERROR(_xlfn.XLOOKUP(Tableau1[[#This Row],[Isin]]&amp;1&amp;2020,#REF!,Tableau3[Capi]),"")</f>
        <v/>
      </c>
      <c r="BH197" s="43">
        <f>IF(IFERROR(_xlfn.XLOOKUP(Tableau1[[#This Row],[Isin]]&amp;1&amp;2021,#REF!,Tableau3[Capi]),"")="",Tableau1[[#This Row],[Capitalisation 2021
Manuel]],IFERROR(_xlfn.XLOOKUP(Tableau1[[#This Row],[Isin]]&amp;1&amp;2021,#REF!,Tableau3[Capi]),""))</f>
        <v>0</v>
      </c>
      <c r="BI197" s="43"/>
      <c r="BJ197" s="43">
        <f>IF(IFERROR(_xlfn.XLOOKUP(Tableau1[[#This Row],[Isin]]&amp;1&amp;2022,#REF!,Tableau3[Capi]),"")="",Tableau1[[#This Row],[Capitalisation 2022
Manuel]],IFERROR(_xlfn.XLOOKUP(Tableau1[[#This Row],[Isin]]&amp;1&amp;2022,#REF!,Tableau3[Capi]),""))</f>
        <v>0</v>
      </c>
      <c r="BK197" s="43"/>
      <c r="BL197" s="43">
        <f ca="1">Tableau1[[#This Row],[Capitalisation boursière]]</f>
        <v>40490000000</v>
      </c>
      <c r="BM197" s="162" t="str" cm="1">
        <f t="array" aca="1" ref="BM197" ca="1">_FV(Tableau1[[#This Row],[Code Excel]],"Description")</f>
        <v>Lonza Group AG (Lonza) est une société holding basée en Suisse et un fournisseur des industries pharmaceutique, de la santé et des sciences de la vie. Les offres de la Société comprennent le développement et la fabrication sur mesure de médicaments et de systèmes d'administration de médicaments, ainsi que le développement de solutions antimicrobiennes pour des applications commerciales. La Société divise ses activités en deux segments : Pharma&amp;Biotech et Ingrédients de spécialité. Le secteur Pharma&amp;Biotech comprend les activités Produits biologiques, Petites molécules, Consommables et Outils de recherche de la Société. Le segment comprend des plateformes technologiques de mammifères, microbiennes, chimiques, de bioconjugués, de thérapie cellulaire et génique. Le segment Specialty Ingredients se concentre sur les applications antimicrobiennes au sein de la division Consumer Health, qui couvre les produits d'hygiène, de nutrition et de soins personnels, ainsi que les conservateurs, les gélules et les compléments alimentaires, entre autres, et la division Consumer &amp; Resources Protection, qui comprend les revêtements et les composites. , et agro-ingrédients.</v>
      </c>
      <c r="BN197" s="43"/>
      <c r="BO197" s="43"/>
      <c r="BP197" s="43"/>
      <c r="BQ197" s="43"/>
      <c r="BR197" s="13"/>
      <c r="BS197" s="13"/>
      <c r="BT197" s="13"/>
      <c r="BU197" s="13"/>
      <c r="BV197" s="13"/>
      <c r="BW197" s="4"/>
      <c r="BX197" s="21"/>
      <c r="BY197" s="13"/>
      <c r="BZ197" s="13"/>
      <c r="CA197" s="13"/>
      <c r="CB197" s="13"/>
      <c r="CC197" s="13"/>
      <c r="CD197" s="3"/>
      <c r="CE197" s="47"/>
      <c r="CF197" s="47"/>
    </row>
    <row r="198" spans="3:87">
      <c r="C198" s="43"/>
      <c r="D198" s="42">
        <f>IF(Tableau1[[#This Row],[Isin]]="",99,Tableau1[[#This Row],[Intérêt]]+Tableau1[[#This Row],[Valeur d''intérêt]]+Tableau1[[#This Row],[N° Portefeuille]])</f>
        <v>30</v>
      </c>
      <c r="E198" s="43"/>
      <c r="F198" s="42">
        <f>IF(Tableau1[[#This Row],[Portefeuille]]="p",0,Tableau1[[#This Row],[F. Investissement
Niveau d''intérêt]]*10)</f>
        <v>30</v>
      </c>
      <c r="G198" s="43">
        <f>IF(Tableau1[[#This Row],[Portefeuille]]="p",3,0)</f>
        <v>0</v>
      </c>
      <c r="H198" s="43">
        <v>3</v>
      </c>
      <c r="I198" s="43">
        <v>4</v>
      </c>
      <c r="J198" s="43"/>
      <c r="K198" s="43"/>
      <c r="L198" s="16">
        <v>1</v>
      </c>
      <c r="M19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8" s="44" t="s">
        <v>3940</v>
      </c>
      <c r="O198" s="44" t="s">
        <v>2130</v>
      </c>
      <c r="P198" s="4" t="s">
        <v>84</v>
      </c>
      <c r="Q198" s="6" t="s">
        <v>85</v>
      </c>
      <c r="R198" s="6"/>
      <c r="S198" s="6" t="s">
        <v>2132</v>
      </c>
      <c r="T198" s="6" t="e" vm="181">
        <v>#VALUE!</v>
      </c>
      <c r="U198" s="46" cm="1">
        <f t="array" aca="1" ref="U198" ca="1">IFERROR(_FV(Tableau1[[#This Row],[Code Excel]],"Capitalisation boursière",TRUE),"")</f>
        <v>184391100000</v>
      </c>
      <c r="V198" s="4" t="str" cm="1">
        <f t="array" aca="1" ref="V198" ca="1">IFERROR(_FV(Tableau1[[#This Row],[Code Excel]],"Industrie"),"")</f>
        <v>Personal &amp; Household Products &amp; Services</v>
      </c>
      <c r="W198" s="4" t="s">
        <v>1315</v>
      </c>
      <c r="X198" s="4" t="str">
        <f ca="1">Tableau1[[#This Row],[Grand Secteur]]&amp;Tableau1[[#This Row],[Industrie]]</f>
        <v>Biens de consommationPersonal &amp; Household Products &amp; Services</v>
      </c>
      <c r="Y198" s="23" cm="1">
        <f t="array" aca="1" ref="Y198" ca="1">IFERROR(_FV(Tableau1[[#This Row],[Code Excel]],"P/E",TRUE),"")</f>
        <v>28.783000000000001</v>
      </c>
      <c r="Z198" s="43" cm="1">
        <f t="array" aca="1" ref="Z198" ca="1">IFERROR(_FV(Tableau1[[#This Row],[Code Excel]],"Employés"),"")</f>
        <v>94397</v>
      </c>
      <c r="AA198" s="46">
        <f ca="1">IFERROR(Tableau1[[#This Row],[Capitalisation boursière]]/Tableau1[[#This Row],[Employés]],"")</f>
        <v>1953357.6278907168</v>
      </c>
      <c r="AB198" s="5" t="str">
        <f>IFERROR(Tableau1[[#This Row],[REX (2021)]]/Tableau1[[#This Row],[CA 2024]],"")</f>
        <v/>
      </c>
      <c r="AC198" s="9" t="str">
        <f>IFERROR(_xlfn.XLOOKUP(Tableau1[[#This Row],[Isin]]&amp;1&amp;2021,#REF!,Tableau3[Résultat d''exploitation]),"")</f>
        <v/>
      </c>
      <c r="AD198" s="9" t="str">
        <f>IFERROR(_xlfn.XLOOKUP(Tableau1[[#This Row],[Isin]]&amp;1&amp;2019,#REF!,Tableau3[Chiffre d''affaires]),"")</f>
        <v/>
      </c>
      <c r="AE198" s="9" t="str">
        <f>IFERROR(_xlfn.XLOOKUP(Tableau1[[#This Row],[Isin]]&amp;1&amp;2024,#REF!,Tableau3[Chiffre d''affaires]),"")</f>
        <v/>
      </c>
      <c r="AF198" s="8" t="str">
        <f>IFERROR(IF((Tableau1[[#This Row],[CA 2024]]-Tableau1[[#This Row],[CA 2019]])/Tableau1[[#This Row],[CA 2019]]=-1,"",(Tableau1[[#This Row],[CA 2024]]-Tableau1[[#This Row],[CA 2019]])/Tableau1[[#This Row],[CA 2019]]),"")</f>
        <v/>
      </c>
      <c r="AG198" s="9" t="str">
        <f>IFERROR(_xlfn.XLOOKUP(Tableau1[[#This Row],[Isin]]&amp;1&amp;2021,#REF!,Tableau3[EBE]),"")</f>
        <v/>
      </c>
      <c r="AH198" s="9" t="str">
        <f>IFERROR(_xlfn.XLOOKUP(Tableau1[[#This Row],[Isin]]&amp;1&amp;2022,#REF!,Tableau3[EBE]),"")</f>
        <v/>
      </c>
      <c r="AI198" s="43" t="s">
        <v>4329</v>
      </c>
      <c r="AJ198" s="43" t="s">
        <v>4348</v>
      </c>
      <c r="AK198" s="43" t="s">
        <v>3431</v>
      </c>
      <c r="AL198" s="43" t="s">
        <v>3149</v>
      </c>
      <c r="AM198" s="43"/>
      <c r="AN198" s="9" t="str">
        <f>IFERROR(_xlfn.XLOOKUP(Tableau1[[#This Row],[Isin]]&amp;1&amp;2021,#REF!,Tableau3[Chiffre d''affaires]),"")</f>
        <v/>
      </c>
      <c r="AO198" s="43" cm="1">
        <f t="array" aca="1" ref="AO198" ca="1">_FV(Tableau1[[#This Row],[Code Excel]],"P/E",TRUE)</f>
        <v>28.783000000000001</v>
      </c>
      <c r="AP198" s="43" t="str">
        <f>IFERROR(_xlfn.XLOOKUP(Tableau1[[#This Row],[Isin]]&amp;1&amp;2023,#REF!,Tableau3[Résultat Net (PdG)]),"")</f>
        <v/>
      </c>
      <c r="AQ198" s="43">
        <f>IF(IFERROR(_xlfn.XLOOKUP(Tableau1[[#This Row],[Isin]]&amp;1&amp;2022,#REF!,Tableau3[Résultat Net (PdG)]),"")="",Tableau1[[#This Row],[RN Groupe 2022
Manuel]],IFERROR(_xlfn.XLOOKUP(Tableau1[[#This Row],[Isin]]&amp;1&amp;2022,#REF!,Tableau3[Résultat Net (PdG)]),""))</f>
        <v>5700000000</v>
      </c>
      <c r="AR198" s="140">
        <v>5700000000</v>
      </c>
      <c r="AS198" s="43">
        <f>IF(IFERROR(_xlfn.XLOOKUP(Tableau1[[#This Row],[Isin]]&amp;1&amp;2021,#REF!,Tableau3[Résultat Net (PdG)]),"")="",Tableau1[[#This Row],[RN Groupe 2021
Manuel]],IFERROR(_xlfn.XLOOKUP(Tableau1[[#This Row],[Isin]]&amp;1&amp;2021,#REF!,Tableau3[Résultat Net (PdG)]),""))</f>
        <v>0</v>
      </c>
      <c r="AT198" s="140"/>
      <c r="AU198" s="43" t="str">
        <f>IFERROR(_xlfn.XLOOKUP(Tableau1[[#This Row],[Isin]]&amp;1&amp;2020,#REF!,Tableau3[Résultat Net (PdG)]),"")</f>
        <v/>
      </c>
      <c r="AV198" s="43" t="str">
        <f>IFERROR(_xlfn.XLOOKUP(Tableau1[[#This Row],[Isin]]&amp;1&amp;2019,#REF!,Tableau3[Résultat Net (PdG)]),"")</f>
        <v/>
      </c>
      <c r="AW198" s="43" t="str">
        <f>IFERROR(_xlfn.XLOOKUP(Tableau1[[#This Row],[Isin]]&amp;1&amp;2018,#REF!,Tableau3[Résultat Net (PdG)]),"")</f>
        <v/>
      </c>
      <c r="AX198" s="43" t="str">
        <f>IFERROR(_xlfn.XLOOKUP(Tableau1[[#This Row],[Isin]]&amp;1&amp;2017,#REF!,Tableau3[Résultat Net (PdG)]),"")</f>
        <v/>
      </c>
      <c r="AY198" s="43" t="str">
        <f>IFERROR(_xlfn.XLOOKUP(Tableau1[[#This Row],[Isin]]&amp;1&amp;2016,#REF!,Tableau3[Résultat Net (PdG)]),"")</f>
        <v/>
      </c>
      <c r="AZ198" s="137" t="str">
        <f ca="1">IFERROR(Tableau1[[#This Row],[Capitalisation boursière]]/Tableau1[[#This Row],[RN Groupe 2023]],"")</f>
        <v/>
      </c>
      <c r="BA198" s="4" t="str" cm="1">
        <f t="array" aca="1" ref="BA198" ca="1">IFERROR(_FV(Tableau1[[#This Row],[Code Excel]],"Industrie"),"")</f>
        <v>Personal &amp; Household Products &amp; Services</v>
      </c>
      <c r="BB198" s="43" t="s">
        <v>3518</v>
      </c>
      <c r="BC198" s="43" t="str">
        <f>IFERROR(_xlfn.XLOOKUP(Tableau1[[#This Row],[Isin]]&amp;1&amp;2016,#REF!,Tableau3[Capi]),"")</f>
        <v/>
      </c>
      <c r="BD198" s="43" t="str">
        <f>IFERROR(_xlfn.XLOOKUP(Tableau1[[#This Row],[Isin]]&amp;1&amp;2017,#REF!,Tableau3[Capi]),"")</f>
        <v/>
      </c>
      <c r="BE198" s="43" t="str">
        <f>IFERROR(_xlfn.XLOOKUP(Tableau1[[#This Row],[Isin]]&amp;1&amp;2018,#REF!,Tableau3[Capi]),"")</f>
        <v/>
      </c>
      <c r="BF198" s="43" t="str">
        <f>IFERROR(_xlfn.XLOOKUP(Tableau1[[#This Row],[Isin]]&amp;1&amp;2019,#REF!,Tableau3[Capi]),"")</f>
        <v/>
      </c>
      <c r="BG198" s="43" t="str">
        <f>IFERROR(_xlfn.XLOOKUP(Tableau1[[#This Row],[Isin]]&amp;1&amp;2020,#REF!,Tableau3[Capi]),"")</f>
        <v/>
      </c>
      <c r="BH198" s="43">
        <f>IF(IFERROR(_xlfn.XLOOKUP(Tableau1[[#This Row],[Isin]]&amp;1&amp;2021,#REF!,Tableau3[Capi]),"")="",Tableau1[[#This Row],[Capitalisation 2021
Manuel]],IFERROR(_xlfn.XLOOKUP(Tableau1[[#This Row],[Isin]]&amp;1&amp;2021,#REF!,Tableau3[Capi]),""))</f>
        <v>0</v>
      </c>
      <c r="BI198" s="142"/>
      <c r="BJ198" s="141">
        <f>IF(IFERROR(_xlfn.XLOOKUP(Tableau1[[#This Row],[Isin]]&amp;1&amp;2022,#REF!,Tableau3[Capi]),"")="",Tableau1[[#This Row],[Capitalisation 2022
Manuel]],IFERROR(_xlfn.XLOOKUP(Tableau1[[#This Row],[Isin]]&amp;1&amp;2022,#REF!,Tableau3[Capi]),""))</f>
        <v>0</v>
      </c>
      <c r="BK198" s="142"/>
      <c r="BL198" s="43">
        <f ca="1">Tableau1[[#This Row],[Capitalisation boursière]]</f>
        <v>184391100000</v>
      </c>
      <c r="BM198" s="162" t="str" cm="1">
        <f t="array" aca="1" ref="BM198" ca="1">_FV(Tableau1[[#This Row],[Code Excel]],"Description")</f>
        <v>L’Oréal SA est un groupe français de cosmétique. La société est principalement engagée et offre des produits de soins de la peau, des produits de maquillage, des produits de soins capillaires, des parfums, des produits de coloration et autres. Ses produits sont commercialisés par la distribution de masse et à distance, la distribution sélective, les salons de coiffure et les pharmacies. Sa division cosmétique est organisée en quatre divisions, cosmétiques grand public : marques L’Oral paris, Garnier, Maybelline New York et NYX maquillage professionnel, Stylenanda, Essie et Mixa, cosmétiques de luxe : Lancome, Kiehl’s, Giorgio Armani Beauty, Yves Saint Laurent Beauté, Biotherm, Helena Rubinstein, Shu Uemura, IT Cosmetics, Urban Decay, Ralph Lauren, Mugler, Viktor&amp;Rolf, Valentino, Azzaro, Prada, Takami et Aēsop, produits cosmétiques actifs : La Roche-Posay, Vichy, CeraVe, SkinCeuticals et Skinbetter Science et produits professionnels : L’Oréal Professionnel, Kérastase, Redken, Matrix et PureOlogy.</v>
      </c>
      <c r="BN198" s="43"/>
      <c r="BO198" s="43"/>
      <c r="BP198" s="43"/>
      <c r="BQ198" s="43"/>
      <c r="BR198" s="13"/>
      <c r="BS198" s="13"/>
      <c r="BT198" s="13"/>
      <c r="BU198" s="13"/>
      <c r="BV198" s="13"/>
      <c r="BW198" s="4"/>
      <c r="BX198" s="21"/>
      <c r="BY198" s="13"/>
      <c r="BZ198" s="13"/>
      <c r="CA198" s="13"/>
      <c r="CB198" s="13"/>
      <c r="CC198" s="13"/>
      <c r="CD198" s="3"/>
      <c r="CE198" s="47"/>
      <c r="CF198" s="47"/>
    </row>
    <row r="199" spans="3:87">
      <c r="C199" s="42"/>
      <c r="D199" s="42">
        <f>IF(Tableau1[[#This Row],[Isin]]="",99,Tableau1[[#This Row],[Intérêt]]+Tableau1[[#This Row],[Valeur d''intérêt]]+Tableau1[[#This Row],[N° Portefeuille]])</f>
        <v>30</v>
      </c>
      <c r="E199" s="42"/>
      <c r="F199" s="42">
        <f>IF(Tableau1[[#This Row],[Portefeuille]]="p",0,Tableau1[[#This Row],[F. Investissement
Niveau d''intérêt]]*10)</f>
        <v>30</v>
      </c>
      <c r="G199" s="42">
        <f>IF(Tableau1[[#This Row],[Portefeuille]]="p",3,0)</f>
        <v>0</v>
      </c>
      <c r="H199" s="42">
        <v>3</v>
      </c>
      <c r="I199" s="42">
        <v>4</v>
      </c>
      <c r="J199" s="42"/>
      <c r="K199" s="43"/>
      <c r="L199" s="16">
        <v>1</v>
      </c>
      <c r="M19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199" s="44" t="s">
        <v>3942</v>
      </c>
      <c r="O199" s="44" t="s">
        <v>575</v>
      </c>
      <c r="P199" s="4" t="s">
        <v>84</v>
      </c>
      <c r="Q199" s="6" t="s">
        <v>85</v>
      </c>
      <c r="R199" s="6"/>
      <c r="S199" s="6" t="s">
        <v>603</v>
      </c>
      <c r="T199" s="6" t="e" vm="182">
        <v>#VALUE!</v>
      </c>
      <c r="U199" s="46" cm="1">
        <f t="array" aca="1" ref="U199" ca="1">IFERROR(_FV(Tableau1[[#This Row],[Code Excel]],"Capitalisation boursière",TRUE),"")</f>
        <v>293633200000</v>
      </c>
      <c r="V199" s="4" t="str" cm="1">
        <f t="array" aca="1" ref="V199" ca="1">IFERROR(_FV(Tableau1[[#This Row],[Code Excel]],"Industrie"),"")</f>
        <v>Textiles &amp; Apparel</v>
      </c>
      <c r="W199" s="4" t="s">
        <v>1315</v>
      </c>
      <c r="X199" s="4" t="str">
        <f ca="1">Tableau1[[#This Row],[Grand Secteur]]&amp;Tableau1[[#This Row],[Industrie]]</f>
        <v>Biens de consommationTextiles &amp; Apparel</v>
      </c>
      <c r="Y199" s="23" cm="1">
        <f t="array" aca="1" ref="Y199" ca="1">IFERROR(_FV(Tableau1[[#This Row],[Code Excel]],"P/E",TRUE),"")</f>
        <v>22.7987</v>
      </c>
      <c r="Z199" s="43" cm="1">
        <f t="array" aca="1" ref="Z199" ca="1">IFERROR(_FV(Tableau1[[#This Row],[Code Excel]],"Employés"),"")</f>
        <v>200518</v>
      </c>
      <c r="AA199" s="46">
        <f ca="1">IFERROR(Tableau1[[#This Row],[Capitalisation boursière]]/Tableau1[[#This Row],[Employés]],"")</f>
        <v>1464373.273222354</v>
      </c>
      <c r="AB199" s="5" t="str">
        <f>IFERROR(Tableau1[[#This Row],[REX (2021)]]/Tableau1[[#This Row],[CA 2024]],"")</f>
        <v/>
      </c>
      <c r="AC199" s="9" t="str">
        <f>IFERROR(_xlfn.XLOOKUP(Tableau1[[#This Row],[Isin]]&amp;1&amp;2021,#REF!,Tableau3[Résultat d''exploitation]),"")</f>
        <v/>
      </c>
      <c r="AD199" s="9" t="str">
        <f>IFERROR(_xlfn.XLOOKUP(Tableau1[[#This Row],[Isin]]&amp;1&amp;2019,#REF!,Tableau3[Chiffre d''affaires]),"")</f>
        <v/>
      </c>
      <c r="AE199" s="9" t="str">
        <f>IFERROR(_xlfn.XLOOKUP(Tableau1[[#This Row],[Isin]]&amp;1&amp;2024,#REF!,Tableau3[Chiffre d''affaires]),"")</f>
        <v/>
      </c>
      <c r="AF199" s="8" t="str">
        <f>IFERROR(IF((Tableau1[[#This Row],[CA 2024]]-Tableau1[[#This Row],[CA 2019]])/Tableau1[[#This Row],[CA 2019]]=-1,"",(Tableau1[[#This Row],[CA 2024]]-Tableau1[[#This Row],[CA 2019]])/Tableau1[[#This Row],[CA 2019]]),"")</f>
        <v/>
      </c>
      <c r="AG199" s="9" t="str">
        <f>IFERROR(_xlfn.XLOOKUP(Tableau1[[#This Row],[Isin]]&amp;1&amp;2021,#REF!,Tableau3[EBE]),"")</f>
        <v/>
      </c>
      <c r="AH199" s="9" t="str">
        <f>IFERROR(_xlfn.XLOOKUP(Tableau1[[#This Row],[Isin]]&amp;1&amp;2022,#REF!,Tableau3[EBE]),"")</f>
        <v/>
      </c>
      <c r="AI199" s="43" t="s">
        <v>4329</v>
      </c>
      <c r="AJ199" s="43" t="s">
        <v>4348</v>
      </c>
      <c r="AK199" s="43" t="s">
        <v>3431</v>
      </c>
      <c r="AL199" s="43" t="s">
        <v>3149</v>
      </c>
      <c r="AM199" s="43"/>
      <c r="AN199" s="9" t="str">
        <f>IFERROR(_xlfn.XLOOKUP(Tableau1[[#This Row],[Isin]]&amp;1&amp;2021,#REF!,Tableau3[Chiffre d''affaires]),"")</f>
        <v/>
      </c>
      <c r="AO199" s="43" cm="1">
        <f t="array" aca="1" ref="AO199" ca="1">_FV(Tableau1[[#This Row],[Code Excel]],"P/E",TRUE)</f>
        <v>22.7987</v>
      </c>
      <c r="AP199" s="43" t="str">
        <f>IFERROR(_xlfn.XLOOKUP(Tableau1[[#This Row],[Isin]]&amp;1&amp;2023,#REF!,Tableau3[Résultat Net (PdG)]),"")</f>
        <v/>
      </c>
      <c r="AQ199" s="43">
        <f>IF(IFERROR(_xlfn.XLOOKUP(Tableau1[[#This Row],[Isin]]&amp;1&amp;2022,#REF!,Tableau3[Résultat Net (PdG)]),"")="",Tableau1[[#This Row],[RN Groupe 2022
Manuel]],IFERROR(_xlfn.XLOOKUP(Tableau1[[#This Row],[Isin]]&amp;1&amp;2022,#REF!,Tableau3[Résultat Net (PdG)]),""))</f>
        <v>0</v>
      </c>
      <c r="AR199" s="140"/>
      <c r="AS199" s="43">
        <f>IF(IFERROR(_xlfn.XLOOKUP(Tableau1[[#This Row],[Isin]]&amp;1&amp;2021,#REF!,Tableau3[Résultat Net (PdG)]),"")="",Tableau1[[#This Row],[RN Groupe 2021
Manuel]],IFERROR(_xlfn.XLOOKUP(Tableau1[[#This Row],[Isin]]&amp;1&amp;2021,#REF!,Tableau3[Résultat Net (PdG)]),""))</f>
        <v>0</v>
      </c>
      <c r="AT199" s="140"/>
      <c r="AU199" s="43" t="str">
        <f>IFERROR(_xlfn.XLOOKUP(Tableau1[[#This Row],[Isin]]&amp;1&amp;2020,#REF!,Tableau3[Résultat Net (PdG)]),"")</f>
        <v/>
      </c>
      <c r="AV199" s="43" t="str">
        <f>IFERROR(_xlfn.XLOOKUP(Tableau1[[#This Row],[Isin]]&amp;1&amp;2019,#REF!,Tableau3[Résultat Net (PdG)]),"")</f>
        <v/>
      </c>
      <c r="AW199" s="43" t="str">
        <f>IFERROR(_xlfn.XLOOKUP(Tableau1[[#This Row],[Isin]]&amp;1&amp;2018,#REF!,Tableau3[Résultat Net (PdG)]),"")</f>
        <v/>
      </c>
      <c r="AX199" s="43" t="str">
        <f>IFERROR(_xlfn.XLOOKUP(Tableau1[[#This Row],[Isin]]&amp;1&amp;2017,#REF!,Tableau3[Résultat Net (PdG)]),"")</f>
        <v/>
      </c>
      <c r="AY199" s="43" t="str">
        <f>IFERROR(_xlfn.XLOOKUP(Tableau1[[#This Row],[Isin]]&amp;1&amp;2016,#REF!,Tableau3[Résultat Net (PdG)]),"")</f>
        <v/>
      </c>
      <c r="AZ199" s="137" t="str">
        <f ca="1">IFERROR(Tableau1[[#This Row],[Capitalisation boursière]]/Tableau1[[#This Row],[RN Groupe 2023]],"")</f>
        <v/>
      </c>
      <c r="BA199" s="4" t="str" cm="1">
        <f t="array" aca="1" ref="BA199" ca="1">IFERROR(_FV(Tableau1[[#This Row],[Code Excel]],"Industrie"),"")</f>
        <v>Textiles &amp; Apparel</v>
      </c>
      <c r="BB199" s="43" t="s">
        <v>3518</v>
      </c>
      <c r="BC199" s="43" t="str">
        <f>IFERROR(_xlfn.XLOOKUP(Tableau1[[#This Row],[Isin]]&amp;1&amp;2016,#REF!,Tableau3[Capi]),"")</f>
        <v/>
      </c>
      <c r="BD199" s="43" t="str">
        <f>IFERROR(_xlfn.XLOOKUP(Tableau1[[#This Row],[Isin]]&amp;1&amp;2017,#REF!,Tableau3[Capi]),"")</f>
        <v/>
      </c>
      <c r="BE199" s="43" t="str">
        <f>IFERROR(_xlfn.XLOOKUP(Tableau1[[#This Row],[Isin]]&amp;1&amp;2018,#REF!,Tableau3[Capi]),"")</f>
        <v/>
      </c>
      <c r="BF199" s="43" t="str">
        <f>IFERROR(_xlfn.XLOOKUP(Tableau1[[#This Row],[Isin]]&amp;1&amp;2019,#REF!,Tableau3[Capi]),"")</f>
        <v/>
      </c>
      <c r="BG199" s="43" t="str">
        <f>IFERROR(_xlfn.XLOOKUP(Tableau1[[#This Row],[Isin]]&amp;1&amp;2020,#REF!,Tableau3[Capi]),"")</f>
        <v/>
      </c>
      <c r="BH199" s="43">
        <f>IF(IFERROR(_xlfn.XLOOKUP(Tableau1[[#This Row],[Isin]]&amp;1&amp;2021,#REF!,Tableau3[Capi]),"")="",Tableau1[[#This Row],[Capitalisation 2021
Manuel]],IFERROR(_xlfn.XLOOKUP(Tableau1[[#This Row],[Isin]]&amp;1&amp;2021,#REF!,Tableau3[Capi]),""))</f>
        <v>0</v>
      </c>
      <c r="BI199" s="142"/>
      <c r="BJ199" s="141">
        <f>IF(IFERROR(_xlfn.XLOOKUP(Tableau1[[#This Row],[Isin]]&amp;1&amp;2022,#REF!,Tableau3[Capi]),"")="",Tableau1[[#This Row],[Capitalisation 2022
Manuel]],IFERROR(_xlfn.XLOOKUP(Tableau1[[#This Row],[Isin]]&amp;1&amp;2022,#REF!,Tableau3[Capi]),""))</f>
        <v>0</v>
      </c>
      <c r="BK199" s="142"/>
      <c r="BL199" s="43">
        <f ca="1">Tableau1[[#This Row],[Capitalisation boursière]]</f>
        <v>293633200000</v>
      </c>
      <c r="BM199" s="162" t="str" cm="1">
        <f t="array" aca="1" ref="BM199" ca="1">_FV(Tableau1[[#This Row],[Code Excel]],"Description")</f>
        <v>LVMH Moet Hennessy Louis Vuitton SE est une société basée en France. La Société est principalement engagée dans l'offre de produits de luxe. Ses segments se répartissent entre la mode et la maroquinerie: elle propose des marques telles que Louis Vuitton, Kenzo, Celine, Fendi, Marc Jacobs et Givenchy; les montres et les bijoux proposent des marques telles que Bulgari, TAG Heuer, Zenith, Hublot, Chaumet, Fred brands et Tiffany ; les parfums et les cosmétiques comprennent les marques de parfums Christian Dior, Guerlain, Loewe et Kenzo, entre autres ; les produits de maquillage comprennent Make Up For Ever, Guerlain et Acqua di Parma, entre autres ; les vins et spiritueux comme les champagnes (marques Moët &amp; Chandon, Mercier, Veuve Clicquot Ponsardin, Dom Pérignon, entre autres), les vins tels que Cape Mentelle, Château D'Yquem, les cognacs, et le whisky (principalement Glenmorangie), entre autres.</v>
      </c>
      <c r="BN199" s="43"/>
      <c r="BO199" s="43"/>
      <c r="BP199" s="43"/>
      <c r="BQ199" s="43"/>
      <c r="BR199" s="13"/>
      <c r="BS199" s="13"/>
      <c r="BT199" s="13"/>
      <c r="BU199" s="13"/>
      <c r="BV199" s="13"/>
      <c r="BW199" s="4"/>
      <c r="BX199" s="21"/>
      <c r="BY199" s="13"/>
      <c r="BZ199" s="13"/>
      <c r="CA199" s="13"/>
      <c r="CB199" s="13"/>
      <c r="CC199" s="13"/>
      <c r="CE199" s="47"/>
      <c r="CF199" s="47"/>
    </row>
    <row r="200" spans="3:87">
      <c r="C200" s="43"/>
      <c r="D200" s="42">
        <f>IF(Tableau1[[#This Row],[Isin]]="",99,Tableau1[[#This Row],[Intérêt]]+Tableau1[[#This Row],[Valeur d''intérêt]]+Tableau1[[#This Row],[N° Portefeuille]])</f>
        <v>30</v>
      </c>
      <c r="E200" s="43"/>
      <c r="F200" s="42">
        <f>IF(Tableau1[[#This Row],[Portefeuille]]="p",0,Tableau1[[#This Row],[F. Investissement
Niveau d''intérêt]]*10)</f>
        <v>30</v>
      </c>
      <c r="G200" s="43">
        <f>IF(Tableau1[[#This Row],[Portefeuille]]="p",3,0)</f>
        <v>0</v>
      </c>
      <c r="H200" s="43">
        <v>3</v>
      </c>
      <c r="I200" s="43">
        <v>4</v>
      </c>
      <c r="J200" s="43"/>
      <c r="K200" s="43"/>
      <c r="L200" s="16">
        <v>0</v>
      </c>
      <c r="M20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0" s="44" t="s">
        <v>3944</v>
      </c>
      <c r="O200" s="45"/>
      <c r="P200" s="4" t="s">
        <v>84</v>
      </c>
      <c r="Q200" s="4"/>
      <c r="R200" s="6"/>
      <c r="S200" s="6" t="s">
        <v>3945</v>
      </c>
      <c r="T200" s="6" t="e" vm="183">
        <v>#VALUE!</v>
      </c>
      <c r="U200" s="46" cm="1">
        <f t="array" aca="1" ref="U200" ca="1">IFERROR(_FV(Tableau1[[#This Row],[Code Excel]],"Capitalisation boursière",TRUE),"")</f>
        <v>113257000</v>
      </c>
      <c r="V200" s="4" t="str" cm="1">
        <f t="array" aca="1" ref="V200" ca="1">IFERROR(_FV(Tableau1[[#This Row],[Code Excel]],"Industrie"),"")</f>
        <v>Specialty Retailers</v>
      </c>
      <c r="W200" s="4" t="s">
        <v>966</v>
      </c>
      <c r="X200" s="4" t="str">
        <f ca="1">Tableau1[[#This Row],[Grand Secteur]]&amp;Tableau1[[#This Row],[Industrie]]</f>
        <v>DistributionSpecialty Retailers</v>
      </c>
      <c r="Y200" s="23" cm="1">
        <f t="array" aca="1" ref="Y200" ca="1">IFERROR(_FV(Tableau1[[#This Row],[Code Excel]],"P/E",TRUE),"")</f>
        <v>0</v>
      </c>
      <c r="Z200" s="43" cm="1">
        <f t="array" aca="1" ref="Z200" ca="1">IFERROR(_FV(Tableau1[[#This Row],[Code Excel]],"Employés"),"")</f>
        <v>6333</v>
      </c>
      <c r="AA200" s="46">
        <f ca="1">IFERROR(Tableau1[[#This Row],[Capitalisation boursière]]/Tableau1[[#This Row],[Employés]],"")</f>
        <v>17883.625453971261</v>
      </c>
      <c r="AB200" s="5" t="str">
        <f>IFERROR(Tableau1[[#This Row],[REX (2021)]]/Tableau1[[#This Row],[CA 2024]],"")</f>
        <v/>
      </c>
      <c r="AC200" s="9" t="str">
        <f>IFERROR(_xlfn.XLOOKUP(Tableau1[[#This Row],[Isin]]&amp;1&amp;2021,#REF!,Tableau3[Résultat d''exploitation]),"")</f>
        <v/>
      </c>
      <c r="AD200" s="9" t="str">
        <f>IFERROR(_xlfn.XLOOKUP(Tableau1[[#This Row],[Isin]]&amp;1&amp;2019,#REF!,Tableau3[Chiffre d''affaires]),"")</f>
        <v/>
      </c>
      <c r="AE200" s="9" t="str">
        <f>IFERROR(_xlfn.XLOOKUP(Tableau1[[#This Row],[Isin]]&amp;1&amp;2024,#REF!,Tableau3[Chiffre d''affaires]),"")</f>
        <v/>
      </c>
      <c r="AF200" s="8" t="str">
        <f>IFERROR(IF((Tableau1[[#This Row],[CA 2024]]-Tableau1[[#This Row],[CA 2019]])/Tableau1[[#This Row],[CA 2019]]=-1,"",(Tableau1[[#This Row],[CA 2024]]-Tableau1[[#This Row],[CA 2019]])/Tableau1[[#This Row],[CA 2019]]),"")</f>
        <v/>
      </c>
      <c r="AG200" s="9" t="str">
        <f>IFERROR(_xlfn.XLOOKUP(Tableau1[[#This Row],[Isin]]&amp;1&amp;2021,#REF!,Tableau3[EBE]),"")</f>
        <v/>
      </c>
      <c r="AH200" s="9" t="str">
        <f>IFERROR(_xlfn.XLOOKUP(Tableau1[[#This Row],[Isin]]&amp;1&amp;2022,#REF!,Tableau3[EBE]),"")</f>
        <v/>
      </c>
      <c r="AI200" s="43" t="s">
        <v>3419</v>
      </c>
      <c r="AJ200" s="43" t="s">
        <v>3150</v>
      </c>
      <c r="AK200" s="43" t="s">
        <v>3149</v>
      </c>
      <c r="AL200" s="43"/>
      <c r="AM200" s="43"/>
      <c r="AN200" s="9" t="str">
        <f>IFERROR(_xlfn.XLOOKUP(Tableau1[[#This Row],[Isin]]&amp;1&amp;2021,#REF!,Tableau3[Chiffre d''affaires]),"")</f>
        <v/>
      </c>
      <c r="AO200" s="43" cm="1">
        <f t="array" aca="1" ref="AO200" ca="1">_FV(Tableau1[[#This Row],[Code Excel]],"P/E",TRUE)</f>
        <v>0</v>
      </c>
      <c r="AP200" s="43" t="str">
        <f>IFERROR(_xlfn.XLOOKUP(Tableau1[[#This Row],[Isin]]&amp;1&amp;2023,#REF!,Tableau3[Résultat Net (PdG)]),"")</f>
        <v/>
      </c>
      <c r="AQ200" s="43">
        <f>IF(IFERROR(_xlfn.XLOOKUP(Tableau1[[#This Row],[Isin]]&amp;1&amp;2022,#REF!,Tableau3[Résultat Net (PdG)]),"")="",Tableau1[[#This Row],[RN Groupe 2022
Manuel]],IFERROR(_xlfn.XLOOKUP(Tableau1[[#This Row],[Isin]]&amp;1&amp;2022,#REF!,Tableau3[Résultat Net (PdG)]),""))</f>
        <v>0</v>
      </c>
      <c r="AR200" s="43"/>
      <c r="AS200" s="43">
        <f>IF(IFERROR(_xlfn.XLOOKUP(Tableau1[[#This Row],[Isin]]&amp;1&amp;2021,#REF!,Tableau3[Résultat Net (PdG)]),"")="",Tableau1[[#This Row],[RN Groupe 2021
Manuel]],IFERROR(_xlfn.XLOOKUP(Tableau1[[#This Row],[Isin]]&amp;1&amp;2021,#REF!,Tableau3[Résultat Net (PdG)]),""))</f>
        <v>0</v>
      </c>
      <c r="AT200" s="43"/>
      <c r="AU200" s="43" t="str">
        <f>IFERROR(_xlfn.XLOOKUP(Tableau1[[#This Row],[Isin]]&amp;1&amp;2020,#REF!,Tableau3[Résultat Net (PdG)]),"")</f>
        <v/>
      </c>
      <c r="AV200" s="43" t="str">
        <f>IFERROR(_xlfn.XLOOKUP(Tableau1[[#This Row],[Isin]]&amp;1&amp;2019,#REF!,Tableau3[Résultat Net (PdG)]),"")</f>
        <v/>
      </c>
      <c r="AW200" s="43" t="str">
        <f>IFERROR(_xlfn.XLOOKUP(Tableau1[[#This Row],[Isin]]&amp;1&amp;2018,#REF!,Tableau3[Résultat Net (PdG)]),"")</f>
        <v/>
      </c>
      <c r="AX200" s="43" t="str">
        <f>IFERROR(_xlfn.XLOOKUP(Tableau1[[#This Row],[Isin]]&amp;1&amp;2017,#REF!,Tableau3[Résultat Net (PdG)]),"")</f>
        <v/>
      </c>
      <c r="AY200" s="43" t="str">
        <f>IFERROR(_xlfn.XLOOKUP(Tableau1[[#This Row],[Isin]]&amp;1&amp;2016,#REF!,Tableau3[Résultat Net (PdG)]),"")</f>
        <v/>
      </c>
      <c r="AZ200" s="137" t="str">
        <f ca="1">IFERROR(Tableau1[[#This Row],[Capitalisation boursière]]/Tableau1[[#This Row],[RN Groupe 2023]],"")</f>
        <v/>
      </c>
      <c r="BA200" s="4" t="str" cm="1">
        <f t="array" aca="1" ref="BA200" ca="1">IFERROR(_FV(Tableau1[[#This Row],[Code Excel]],"Industrie"),"")</f>
        <v>Specialty Retailers</v>
      </c>
      <c r="BB200" s="43" t="s">
        <v>3477</v>
      </c>
      <c r="BC200" s="43" t="str">
        <f>IFERROR(_xlfn.XLOOKUP(Tableau1[[#This Row],[Isin]]&amp;1&amp;2016,#REF!,Tableau3[Capi]),"")</f>
        <v/>
      </c>
      <c r="BD200" s="43" t="str">
        <f>IFERROR(_xlfn.XLOOKUP(Tableau1[[#This Row],[Isin]]&amp;1&amp;2017,#REF!,Tableau3[Capi]),"")</f>
        <v/>
      </c>
      <c r="BE200" s="43" t="str">
        <f>IFERROR(_xlfn.XLOOKUP(Tableau1[[#This Row],[Isin]]&amp;1&amp;2018,#REF!,Tableau3[Capi]),"")</f>
        <v/>
      </c>
      <c r="BF200" s="43" t="str">
        <f>IFERROR(_xlfn.XLOOKUP(Tableau1[[#This Row],[Isin]]&amp;1&amp;2019,#REF!,Tableau3[Capi]),"")</f>
        <v/>
      </c>
      <c r="BG200" s="43" t="str">
        <f>IFERROR(_xlfn.XLOOKUP(Tableau1[[#This Row],[Isin]]&amp;1&amp;2020,#REF!,Tableau3[Capi]),"")</f>
        <v/>
      </c>
      <c r="BH200" s="43">
        <f>IF(IFERROR(_xlfn.XLOOKUP(Tableau1[[#This Row],[Isin]]&amp;1&amp;2021,#REF!,Tableau3[Capi]),"")="",Tableau1[[#This Row],[Capitalisation 2021
Manuel]],IFERROR(_xlfn.XLOOKUP(Tableau1[[#This Row],[Isin]]&amp;1&amp;2021,#REF!,Tableau3[Capi]),""))</f>
        <v>0</v>
      </c>
      <c r="BI200" s="43"/>
      <c r="BJ200" s="43">
        <f>IF(IFERROR(_xlfn.XLOOKUP(Tableau1[[#This Row],[Isin]]&amp;1&amp;2022,#REF!,Tableau3[Capi]),"")="",Tableau1[[#This Row],[Capitalisation 2022
Manuel]],IFERROR(_xlfn.XLOOKUP(Tableau1[[#This Row],[Isin]]&amp;1&amp;2022,#REF!,Tableau3[Capi]),""))</f>
        <v>0</v>
      </c>
      <c r="BK200" s="43"/>
      <c r="BL200" s="43">
        <f ca="1">Tableau1[[#This Row],[Capitalisation boursière]]</f>
        <v>113257000</v>
      </c>
      <c r="BM200" s="162" t="str" cm="1">
        <f t="array" aca="1" ref="BM200" ca="1">_FV(Tableau1[[#This Row],[Code Excel]],"Description")</f>
        <v>MAISONS DU MONDE S.A. est une société basée en France qui est spécialisée dans l'industrie des détaillants d'ameublement domestique. Les collections de décoration et de mobilier que vend la Société mettent en évidence plusieurs styles. MAISONS DU MONDE S.A. développe son activité par l'intermédiaire de son réseau international de magasins, ses sites Web et ses catalogues. En outre, elle fabrique en interne une partie de son mobilier (mobilier destiné à la vente), dans deux usines en Chine (par le biais de Chin Chin, sa coentreprise avec SDH Ltd) et au Vietnam. Le portefeuille de produits de la Société comprend les produits suivants : canapés, chaises, tabourets, poufs, bancs, tables, étagères, bibliothèques, bureaux, plateaux, verres, paniers, tabliers, couverts, couvertures, rideaux, tapis, napperons, serviettes de table, lampes, miroirs, gravures, bougies, horloges et vases, entre autres.</v>
      </c>
      <c r="BN200" s="43"/>
      <c r="BO200" s="43"/>
      <c r="BP200" s="43"/>
      <c r="BQ200" s="43"/>
      <c r="BR200" s="13"/>
      <c r="BS200" s="13"/>
      <c r="BT200" s="13"/>
      <c r="BU200" s="13"/>
      <c r="BV200" s="13"/>
      <c r="BW200" s="4"/>
      <c r="BX200" s="21"/>
      <c r="BY200" s="13"/>
      <c r="BZ200" s="13"/>
      <c r="CA200" s="13"/>
      <c r="CB200" s="13"/>
      <c r="CC200" s="13"/>
      <c r="CE200" s="47"/>
      <c r="CF200" s="47"/>
    </row>
    <row r="201" spans="3:87">
      <c r="C201" s="42"/>
      <c r="D201" s="42">
        <f>IF(Tableau1[[#This Row],[Isin]]="",99,Tableau1[[#This Row],[Intérêt]]+Tableau1[[#This Row],[Valeur d''intérêt]]+Tableau1[[#This Row],[N° Portefeuille]])</f>
        <v>30</v>
      </c>
      <c r="E201" s="42"/>
      <c r="F201" s="42">
        <f>IF(Tableau1[[#This Row],[Portefeuille]]="p",0,Tableau1[[#This Row],[F. Investissement
Niveau d''intérêt]]*10)</f>
        <v>30</v>
      </c>
      <c r="G201" s="42">
        <f>IF(Tableau1[[#This Row],[Portefeuille]]="p",3,0)</f>
        <v>0</v>
      </c>
      <c r="H201" s="42">
        <v>3</v>
      </c>
      <c r="I201" s="42">
        <v>4</v>
      </c>
      <c r="J201" s="42"/>
      <c r="K201" s="43"/>
      <c r="L201" s="16">
        <v>1</v>
      </c>
      <c r="M20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1" s="44" t="s">
        <v>1835</v>
      </c>
      <c r="O201" s="44" t="s">
        <v>4396</v>
      </c>
      <c r="P201" s="4" t="s">
        <v>84</v>
      </c>
      <c r="Q201" s="6" t="s">
        <v>85</v>
      </c>
      <c r="R201" s="6"/>
      <c r="S201" s="6" t="s">
        <v>1838</v>
      </c>
      <c r="T201" s="6" t="e" vm="184">
        <v>#VALUE!</v>
      </c>
      <c r="U201" s="46" cm="1">
        <f t="array" aca="1" ref="U201" ca="1">IFERROR(_FV(Tableau1[[#This Row],[Code Excel]],"Capitalisation boursière",TRUE),"")</f>
        <v>743385800</v>
      </c>
      <c r="V201" s="4" t="str" cm="1">
        <f t="array" aca="1" ref="V201" ca="1">IFERROR(_FV(Tableau1[[#This Row],[Code Excel]],"Industrie"),"")</f>
        <v>Machinery, Equipment &amp; Components</v>
      </c>
      <c r="W201" s="4" t="s">
        <v>4380</v>
      </c>
      <c r="X201" s="4" t="str">
        <f ca="1">Tableau1[[#This Row],[Grand Secteur]]&amp;Tableau1[[#This Row],[Industrie]]</f>
        <v>MachinesMachinery, Equipment &amp; Components</v>
      </c>
      <c r="Y201" s="23" cm="1">
        <f t="array" aca="1" ref="Y201" ca="1">IFERROR(_FV(Tableau1[[#This Row],[Code Excel]],"P/E",TRUE),"")</f>
        <v>5.8930999999999996</v>
      </c>
      <c r="Z201" s="43" cm="1">
        <f t="array" aca="1" ref="Z201" ca="1">IFERROR(_FV(Tableau1[[#This Row],[Code Excel]],"Employés"),"")</f>
        <v>5464</v>
      </c>
      <c r="AA201" s="49">
        <f ca="1">IFERROR(Tableau1[[#This Row],[Capitalisation boursière]]/Tableau1[[#This Row],[Employés]],"")</f>
        <v>136051.5739385066</v>
      </c>
      <c r="AB201" s="5" t="str">
        <f>IFERROR(Tableau1[[#This Row],[REX (2021)]]/Tableau1[[#This Row],[CA 2024]],"")</f>
        <v/>
      </c>
      <c r="AC201" s="9" t="str">
        <f>IFERROR(_xlfn.XLOOKUP(Tableau1[[#This Row],[Isin]]&amp;1&amp;2021,#REF!,Tableau3[Résultat d''exploitation]),"")</f>
        <v/>
      </c>
      <c r="AD201" s="9" t="str">
        <f>IFERROR(_xlfn.XLOOKUP(Tableau1[[#This Row],[Isin]]&amp;1&amp;2019,#REF!,Tableau3[Chiffre d''affaires]),"")</f>
        <v/>
      </c>
      <c r="AE201" s="9" t="str">
        <f>IFERROR(_xlfn.XLOOKUP(Tableau1[[#This Row],[Isin]]&amp;1&amp;2024,#REF!,Tableau3[Chiffre d''affaires]),"")</f>
        <v/>
      </c>
      <c r="AF201" s="8" t="str">
        <f>IFERROR(IF((Tableau1[[#This Row],[CA 2024]]-Tableau1[[#This Row],[CA 2019]])/Tableau1[[#This Row],[CA 2019]]=-1,"",(Tableau1[[#This Row],[CA 2024]]-Tableau1[[#This Row],[CA 2019]])/Tableau1[[#This Row],[CA 2019]]),"")</f>
        <v/>
      </c>
      <c r="AG201" s="9" t="str">
        <f>IFERROR(_xlfn.XLOOKUP(Tableau1[[#This Row],[Isin]]&amp;1&amp;2021,#REF!,Tableau3[EBE]),"")</f>
        <v/>
      </c>
      <c r="AH201" s="9" t="str">
        <f>IFERROR(_xlfn.XLOOKUP(Tableau1[[#This Row],[Isin]]&amp;1&amp;2022,#REF!,Tableau3[EBE]),"")</f>
        <v/>
      </c>
      <c r="AI201" s="43" t="s">
        <v>4329</v>
      </c>
      <c r="AJ201" s="43" t="s">
        <v>4322</v>
      </c>
      <c r="AK201" s="43" t="s">
        <v>3431</v>
      </c>
      <c r="AL201" s="43" t="s">
        <v>3148</v>
      </c>
      <c r="AM201" s="43"/>
      <c r="AN201" s="9" t="str">
        <f>IFERROR(_xlfn.XLOOKUP(Tableau1[[#This Row],[Isin]]&amp;1&amp;2021,#REF!,Tableau3[Chiffre d''affaires]),"")</f>
        <v/>
      </c>
      <c r="AO201" s="43" cm="1">
        <f t="array" aca="1" ref="AO201" ca="1">_FV(Tableau1[[#This Row],[Code Excel]],"P/E",TRUE)</f>
        <v>5.8930999999999996</v>
      </c>
      <c r="AP201" s="43" t="str">
        <f>IFERROR(_xlfn.XLOOKUP(Tableau1[[#This Row],[Isin]]&amp;1&amp;2023,#REF!,Tableau3[Résultat Net (PdG)]),"")</f>
        <v/>
      </c>
      <c r="AQ201" s="43">
        <f>IF(IFERROR(_xlfn.XLOOKUP(Tableau1[[#This Row],[Isin]]&amp;1&amp;2022,#REF!,Tableau3[Résultat Net (PdG)]),"")="",Tableau1[[#This Row],[RN Groupe 2022
Manuel]],IFERROR(_xlfn.XLOOKUP(Tableau1[[#This Row],[Isin]]&amp;1&amp;2022,#REF!,Tableau3[Résultat Net (PdG)]),""))</f>
        <v>0</v>
      </c>
      <c r="AR201" s="43"/>
      <c r="AS201" s="43">
        <f>IF(IFERROR(_xlfn.XLOOKUP(Tableau1[[#This Row],[Isin]]&amp;1&amp;2021,#REF!,Tableau3[Résultat Net (PdG)]),"")="",Tableau1[[#This Row],[RN Groupe 2021
Manuel]],IFERROR(_xlfn.XLOOKUP(Tableau1[[#This Row],[Isin]]&amp;1&amp;2021,#REF!,Tableau3[Résultat Net (PdG)]),""))</f>
        <v>0</v>
      </c>
      <c r="AT201" s="43"/>
      <c r="AU201" s="43" t="str">
        <f>IFERROR(_xlfn.XLOOKUP(Tableau1[[#This Row],[Isin]]&amp;1&amp;2020,#REF!,Tableau3[Résultat Net (PdG)]),"")</f>
        <v/>
      </c>
      <c r="AV201" s="43" t="str">
        <f>IFERROR(_xlfn.XLOOKUP(Tableau1[[#This Row],[Isin]]&amp;1&amp;2019,#REF!,Tableau3[Résultat Net (PdG)]),"")</f>
        <v/>
      </c>
      <c r="AW201" s="43" t="str">
        <f>IFERROR(_xlfn.XLOOKUP(Tableau1[[#This Row],[Isin]]&amp;1&amp;2018,#REF!,Tableau3[Résultat Net (PdG)]),"")</f>
        <v/>
      </c>
      <c r="AX201" s="43" t="str">
        <f>IFERROR(_xlfn.XLOOKUP(Tableau1[[#This Row],[Isin]]&amp;1&amp;2017,#REF!,Tableau3[Résultat Net (PdG)]),"")</f>
        <v/>
      </c>
      <c r="AY201" s="43" t="str">
        <f>IFERROR(_xlfn.XLOOKUP(Tableau1[[#This Row],[Isin]]&amp;1&amp;2016,#REF!,Tableau3[Résultat Net (PdG)]),"")</f>
        <v/>
      </c>
      <c r="AZ201" s="137" t="str">
        <f ca="1">IFERROR(Tableau1[[#This Row],[Capitalisation boursière]]/Tableau1[[#This Row],[RN Groupe 2023]],"")</f>
        <v/>
      </c>
      <c r="BA201" s="4" t="str" cm="1">
        <f t="array" aca="1" ref="BA201" ca="1">IFERROR(_FV(Tableau1[[#This Row],[Code Excel]],"Industrie"),"")</f>
        <v>Machinery, Equipment &amp; Components</v>
      </c>
      <c r="BB201" s="43" t="e">
        <v>#N/A</v>
      </c>
      <c r="BC201" s="43" t="str">
        <f>IFERROR(_xlfn.XLOOKUP(Tableau1[[#This Row],[Isin]]&amp;1&amp;2016,#REF!,Tableau3[Capi]),"")</f>
        <v/>
      </c>
      <c r="BD201" s="43" t="str">
        <f>IFERROR(_xlfn.XLOOKUP(Tableau1[[#This Row],[Isin]]&amp;1&amp;2017,#REF!,Tableau3[Capi]),"")</f>
        <v/>
      </c>
      <c r="BE201" s="43" t="str">
        <f>IFERROR(_xlfn.XLOOKUP(Tableau1[[#This Row],[Isin]]&amp;1&amp;2018,#REF!,Tableau3[Capi]),"")</f>
        <v/>
      </c>
      <c r="BF201" s="43" t="str">
        <f>IFERROR(_xlfn.XLOOKUP(Tableau1[[#This Row],[Isin]]&amp;1&amp;2019,#REF!,Tableau3[Capi]),"")</f>
        <v/>
      </c>
      <c r="BG201" s="43" t="str">
        <f>IFERROR(_xlfn.XLOOKUP(Tableau1[[#This Row],[Isin]]&amp;1&amp;2020,#REF!,Tableau3[Capi]),"")</f>
        <v/>
      </c>
      <c r="BH201" s="43">
        <f>IF(IFERROR(_xlfn.XLOOKUP(Tableau1[[#This Row],[Isin]]&amp;1&amp;2021,#REF!,Tableau3[Capi]),"")="",Tableau1[[#This Row],[Capitalisation 2021
Manuel]],IFERROR(_xlfn.XLOOKUP(Tableau1[[#This Row],[Isin]]&amp;1&amp;2021,#REF!,Tableau3[Capi]),""))</f>
        <v>0</v>
      </c>
      <c r="BI201" s="43"/>
      <c r="BJ201" s="43">
        <f>IF(IFERROR(_xlfn.XLOOKUP(Tableau1[[#This Row],[Isin]]&amp;1&amp;2022,#REF!,Tableau3[Capi]),"")="",Tableau1[[#This Row],[Capitalisation 2022
Manuel]],IFERROR(_xlfn.XLOOKUP(Tableau1[[#This Row],[Isin]]&amp;1&amp;2022,#REF!,Tableau3[Capi]),""))</f>
        <v>0</v>
      </c>
      <c r="BK201" s="43"/>
      <c r="BL201" s="43">
        <f ca="1">Tableau1[[#This Row],[Capitalisation boursière]]</f>
        <v>743385800</v>
      </c>
      <c r="BM201" s="162" t="str" cm="1">
        <f t="array" aca="1" ref="BM201" ca="1">_FV(Tableau1[[#This Row],[Code Excel]],"Description")</f>
        <v>Manitou BF sa est une holding française spécialisée dans la commercialisation et la fabrication de machines pour les secteurs de la construction, de l'agriculture et de l'industrie. La Société se spécialise dans la fabrication et la commercialisation de matériel de manutention, de levage et de terrassement pour les marchés de la construction, de l'agriculture et de l'industrie. Les activités de la Société sont structurées autour de deux segments principaux : les équipements de manutention et de levage qui comprennent les équipements de manutention pour terrains accidentés (télescopiques fixes et rotatifs, chariots élévateurs pour terrains accidentés et camions embarqués), les plates-formes de travail aériennes, les chariots élévateurs industriels et semi-industriels, les chariots élévateurs pour terrains accidentés, les équipements d'entreposage, les chargeurs compacts rigides et chargeuses à chenilles, les chargeuses articulées et les chargeuses-pelleteuses; services : vente de pièces détachées et accessoires, fourniture de solutions de financement, gestion de flotte, fourniture de machines connectées, extensions de garantie et contrats de maintenance, services de formation et vente de matériel d'occasion.</v>
      </c>
      <c r="BN201" s="43"/>
      <c r="BO201" s="43"/>
      <c r="BP201" s="43"/>
      <c r="BQ201" s="43"/>
      <c r="BR201" s="13"/>
      <c r="BS201" s="13"/>
      <c r="BT201" s="13"/>
      <c r="BU201" s="13"/>
      <c r="BV201" s="13"/>
      <c r="BW201" s="4"/>
      <c r="BX201" s="21"/>
      <c r="BY201" s="13"/>
      <c r="BZ201" s="13"/>
      <c r="CA201" s="13"/>
      <c r="CB201" s="21"/>
      <c r="CC201" s="21"/>
      <c r="CD201" s="21"/>
      <c r="CE201" s="47"/>
      <c r="CF201" s="47"/>
    </row>
    <row r="202" spans="3:87" s="21" customFormat="1">
      <c r="C202" s="43"/>
      <c r="D202" s="42">
        <f>IF(Tableau1[[#This Row],[Isin]]="",99,Tableau1[[#This Row],[Intérêt]]+Tableau1[[#This Row],[Valeur d''intérêt]]+Tableau1[[#This Row],[N° Portefeuille]])</f>
        <v>30</v>
      </c>
      <c r="E202" s="43"/>
      <c r="F202" s="42">
        <f>IF(Tableau1[[#This Row],[Portefeuille]]="p",0,Tableau1[[#This Row],[F. Investissement
Niveau d''intérêt]]*10)</f>
        <v>30</v>
      </c>
      <c r="G202" s="43">
        <f>IF(Tableau1[[#This Row],[Portefeuille]]="p",3,0)</f>
        <v>0</v>
      </c>
      <c r="H202" s="43">
        <v>3</v>
      </c>
      <c r="I202" s="43">
        <v>4</v>
      </c>
      <c r="J202" s="43"/>
      <c r="K202" s="43"/>
      <c r="L202" s="16">
        <v>0</v>
      </c>
      <c r="M20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2" s="44" t="s">
        <v>3948</v>
      </c>
      <c r="O202" s="45"/>
      <c r="P202" s="4" t="s">
        <v>382</v>
      </c>
      <c r="Q202" s="4"/>
      <c r="R202" s="6"/>
      <c r="S202" s="6" t="s">
        <v>3949</v>
      </c>
      <c r="T202" s="6" t="e" vm="185">
        <v>#VALUE!</v>
      </c>
      <c r="U202" s="46" cm="1">
        <f t="array" aca="1" ref="U202" ca="1">IFERROR(_FV(Tableau1[[#This Row],[Code Excel]],"Capitalisation boursière",TRUE),"")</f>
        <v>487527003290</v>
      </c>
      <c r="V202" s="4" t="str" cm="1">
        <f t="array" aca="1" ref="V202" ca="1">IFERROR(_FV(Tableau1[[#This Row],[Code Excel]],"Industrie"),"")</f>
        <v>Software &amp; IT Services</v>
      </c>
      <c r="W202" s="4" t="s">
        <v>4335</v>
      </c>
      <c r="X202" s="4" t="str">
        <f ca="1">Tableau1[[#This Row],[Grand Secteur]]&amp;Tableau1[[#This Row],[Industrie]]</f>
        <v>FinanceSoftware &amp; IT Services</v>
      </c>
      <c r="Y202" s="23" cm="1">
        <f t="array" aca="1" ref="Y202" ca="1">IFERROR(_FV(Tableau1[[#This Row],[Code Excel]],"P/E",TRUE),"")</f>
        <v>38.9084</v>
      </c>
      <c r="Z202" s="43" cm="1">
        <f t="array" aca="1" ref="Z202" ca="1">IFERROR(_FV(Tableau1[[#This Row],[Code Excel]],"Employés"),"")</f>
        <v>35300</v>
      </c>
      <c r="AA202" s="49">
        <f ca="1">IFERROR(Tableau1[[#This Row],[Capitalisation boursière]]/Tableau1[[#This Row],[Employés]],"")</f>
        <v>13810963.266005665</v>
      </c>
      <c r="AB202" s="5" t="str">
        <f>IFERROR(Tableau1[[#This Row],[REX (2021)]]/Tableau1[[#This Row],[CA 2024]],"")</f>
        <v/>
      </c>
      <c r="AC202" s="9" t="str">
        <f>IFERROR(_xlfn.XLOOKUP(Tableau1[[#This Row],[Isin]]&amp;1&amp;2021,#REF!,Tableau3[Résultat d''exploitation]),"")</f>
        <v/>
      </c>
      <c r="AD202" s="9" t="str">
        <f>IFERROR(_xlfn.XLOOKUP(Tableau1[[#This Row],[Isin]]&amp;1&amp;2019,#REF!,Tableau3[Chiffre d''affaires]),"")</f>
        <v/>
      </c>
      <c r="AE202" s="9" t="str">
        <f>IFERROR(_xlfn.XLOOKUP(Tableau1[[#This Row],[Isin]]&amp;1&amp;2024,#REF!,Tableau3[Chiffre d''affaires]),"")</f>
        <v/>
      </c>
      <c r="AF202" s="8" t="str">
        <f>IFERROR(IF((Tableau1[[#This Row],[CA 2024]]-Tableau1[[#This Row],[CA 2019]])/Tableau1[[#This Row],[CA 2019]]=-1,"",(Tableau1[[#This Row],[CA 2024]]-Tableau1[[#This Row],[CA 2019]])/Tableau1[[#This Row],[CA 2019]]),"")</f>
        <v/>
      </c>
      <c r="AG202" s="9" t="str">
        <f>IFERROR(_xlfn.XLOOKUP(Tableau1[[#This Row],[Isin]]&amp;1&amp;2021,#REF!,Tableau3[EBE]),"")</f>
        <v/>
      </c>
      <c r="AH202" s="9" t="str">
        <f>IFERROR(_xlfn.XLOOKUP(Tableau1[[#This Row],[Isin]]&amp;1&amp;2022,#REF!,Tableau3[EBE]),"")</f>
        <v/>
      </c>
      <c r="AI202" s="43" t="s">
        <v>4324</v>
      </c>
      <c r="AJ202" s="43" t="s">
        <v>4330</v>
      </c>
      <c r="AK202" s="43" t="s">
        <v>4327</v>
      </c>
      <c r="AL202" s="43"/>
      <c r="AM202" s="43"/>
      <c r="AN202" s="9" t="str">
        <f>IFERROR(_xlfn.XLOOKUP(Tableau1[[#This Row],[Isin]]&amp;1&amp;2021,#REF!,Tableau3[Chiffre d''affaires]),"")</f>
        <v/>
      </c>
      <c r="AO202" s="43" cm="1">
        <f t="array" aca="1" ref="AO202" ca="1">_FV(Tableau1[[#This Row],[Code Excel]],"P/E",TRUE)</f>
        <v>38.9084</v>
      </c>
      <c r="AP202" s="43" t="str">
        <f>IFERROR(_xlfn.XLOOKUP(Tableau1[[#This Row],[Isin]]&amp;1&amp;2023,#REF!,Tableau3[Résultat Net (PdG)]),"")</f>
        <v/>
      </c>
      <c r="AQ202" s="43">
        <f>IF(IFERROR(_xlfn.XLOOKUP(Tableau1[[#This Row],[Isin]]&amp;1&amp;2022,#REF!,Tableau3[Résultat Net (PdG)]),"")="",Tableau1[[#This Row],[RN Groupe 2022
Manuel]],IFERROR(_xlfn.XLOOKUP(Tableau1[[#This Row],[Isin]]&amp;1&amp;2022,#REF!,Tableau3[Résultat Net (PdG)]),""))</f>
        <v>0</v>
      </c>
      <c r="AR202" s="43"/>
      <c r="AS202" s="43">
        <f>IF(IFERROR(_xlfn.XLOOKUP(Tableau1[[#This Row],[Isin]]&amp;1&amp;2021,#REF!,Tableau3[Résultat Net (PdG)]),"")="",Tableau1[[#This Row],[RN Groupe 2021
Manuel]],IFERROR(_xlfn.XLOOKUP(Tableau1[[#This Row],[Isin]]&amp;1&amp;2021,#REF!,Tableau3[Résultat Net (PdG)]),""))</f>
        <v>0</v>
      </c>
      <c r="AT202" s="43"/>
      <c r="AU202" s="43" t="str">
        <f>IFERROR(_xlfn.XLOOKUP(Tableau1[[#This Row],[Isin]]&amp;1&amp;2020,#REF!,Tableau3[Résultat Net (PdG)]),"")</f>
        <v/>
      </c>
      <c r="AV202" s="43" t="str">
        <f>IFERROR(_xlfn.XLOOKUP(Tableau1[[#This Row],[Isin]]&amp;1&amp;2019,#REF!,Tableau3[Résultat Net (PdG)]),"")</f>
        <v/>
      </c>
      <c r="AW202" s="43" t="str">
        <f>IFERROR(_xlfn.XLOOKUP(Tableau1[[#This Row],[Isin]]&amp;1&amp;2018,#REF!,Tableau3[Résultat Net (PdG)]),"")</f>
        <v/>
      </c>
      <c r="AX202" s="43" t="str">
        <f>IFERROR(_xlfn.XLOOKUP(Tableau1[[#This Row],[Isin]]&amp;1&amp;2017,#REF!,Tableau3[Résultat Net (PdG)]),"")</f>
        <v/>
      </c>
      <c r="AY202" s="43" t="str">
        <f>IFERROR(_xlfn.XLOOKUP(Tableau1[[#This Row],[Isin]]&amp;1&amp;2016,#REF!,Tableau3[Résultat Net (PdG)]),"")</f>
        <v/>
      </c>
      <c r="AZ202" s="137" t="str">
        <f ca="1">IFERROR(Tableau1[[#This Row],[Capitalisation boursière]]/Tableau1[[#This Row],[RN Groupe 2023]],"")</f>
        <v/>
      </c>
      <c r="BA202" s="4" t="str" cm="1">
        <f t="array" aca="1" ref="BA202" ca="1">IFERROR(_FV(Tableau1[[#This Row],[Code Excel]],"Industrie"),"")</f>
        <v>Software &amp; IT Services</v>
      </c>
      <c r="BB202" s="43" t="s">
        <v>3474</v>
      </c>
      <c r="BC202" s="43" t="str">
        <f>IFERROR(_xlfn.XLOOKUP(Tableau1[[#This Row],[Isin]]&amp;1&amp;2016,#REF!,Tableau3[Capi]),"")</f>
        <v/>
      </c>
      <c r="BD202" s="43" t="str">
        <f>IFERROR(_xlfn.XLOOKUP(Tableau1[[#This Row],[Isin]]&amp;1&amp;2017,#REF!,Tableau3[Capi]),"")</f>
        <v/>
      </c>
      <c r="BE202" s="43" t="str">
        <f>IFERROR(_xlfn.XLOOKUP(Tableau1[[#This Row],[Isin]]&amp;1&amp;2018,#REF!,Tableau3[Capi]),"")</f>
        <v/>
      </c>
      <c r="BF202" s="43" t="str">
        <f>IFERROR(_xlfn.XLOOKUP(Tableau1[[#This Row],[Isin]]&amp;1&amp;2019,#REF!,Tableau3[Capi]),"")</f>
        <v/>
      </c>
      <c r="BG202" s="43" t="str">
        <f>IFERROR(_xlfn.XLOOKUP(Tableau1[[#This Row],[Isin]]&amp;1&amp;2020,#REF!,Tableau3[Capi]),"")</f>
        <v/>
      </c>
      <c r="BH202" s="43">
        <f>IF(IFERROR(_xlfn.XLOOKUP(Tableau1[[#This Row],[Isin]]&amp;1&amp;2021,#REF!,Tableau3[Capi]),"")="",Tableau1[[#This Row],[Capitalisation 2021
Manuel]],IFERROR(_xlfn.XLOOKUP(Tableau1[[#This Row],[Isin]]&amp;1&amp;2021,#REF!,Tableau3[Capi]),""))</f>
        <v>0</v>
      </c>
      <c r="BI202" s="43"/>
      <c r="BJ202" s="43">
        <f>IF(IFERROR(_xlfn.XLOOKUP(Tableau1[[#This Row],[Isin]]&amp;1&amp;2022,#REF!,Tableau3[Capi]),"")="",Tableau1[[#This Row],[Capitalisation 2022
Manuel]],IFERROR(_xlfn.XLOOKUP(Tableau1[[#This Row],[Isin]]&amp;1&amp;2022,#REF!,Tableau3[Capi]),""))</f>
        <v>0</v>
      </c>
      <c r="BK202" s="43"/>
      <c r="BL202" s="43">
        <f ca="1">Tableau1[[#This Row],[Capitalisation boursière]]</f>
        <v>487527003290</v>
      </c>
      <c r="BM202" s="162" t="str" cm="1">
        <f t="array" aca="1" ref="BM202" ca="1">_FV(Tableau1[[#This Row],[Code Excel]],"Description")</f>
        <v>MasterCard Incorporated est une société technologique qui relie les consommateurs, les institutions financières, les commerçants, les gouvernements et les entreprises du monde entier, leur permettant d'utiliser des formes de paiement électroniques. Il permet aux utilisateurs d'effectuer des paiements en créant une gamme de solutions et de services de paiement utilisant ses marques : Mastercard, Maestro et Cirrus. Il permet une variété de capacités de paiement (y compris des produits et des services à valeur ajoutée et des solutions) sur son réseau multiferroviaire entre les titulaires de comptes, les commerçants, les institutions financières, les entreprises, les gouvernements et autres, offrir aux clients un partenaire pour leurs besoins de paiement. Ses produits comprennent le crédit à la consommation, le débit à la consommation, les prépayés, les comptes fournisseurs B2B, les points de vente commerciaux, les décaissements et les remises, et autres. Il offre des capacités de paiement supplémentaires qui incluent des transactions de chambre de compensation automatisées (ACH) (paiements par lots et en temps réel basés sur un compte). Elle offre également d'autres services, tels que des solutions de cybersécurité et de renseignement.</v>
      </c>
      <c r="BN202" s="43"/>
      <c r="BO202" s="43"/>
      <c r="BP202" s="43"/>
      <c r="BQ202" s="43"/>
      <c r="BR202" s="13"/>
      <c r="BS202" s="13"/>
      <c r="BT202" s="13"/>
      <c r="BU202" s="13"/>
      <c r="BV202" s="13"/>
      <c r="BW202" s="4"/>
      <c r="BZ202" s="13"/>
      <c r="CA202" s="13"/>
      <c r="CE202" s="59"/>
      <c r="CF202" s="59"/>
    </row>
    <row r="203" spans="3:87" s="21" customFormat="1">
      <c r="C203" s="42"/>
      <c r="D203" s="42">
        <f>IF(Tableau1[[#This Row],[Isin]]="",99,Tableau1[[#This Row],[Intérêt]]+Tableau1[[#This Row],[Valeur d''intérêt]]+Tableau1[[#This Row],[N° Portefeuille]])</f>
        <v>30</v>
      </c>
      <c r="E203" s="42"/>
      <c r="F203" s="42">
        <f>IF(Tableau1[[#This Row],[Portefeuille]]="p",0,Tableau1[[#This Row],[F. Investissement
Niveau d''intérêt]]*10)</f>
        <v>30</v>
      </c>
      <c r="G203" s="42">
        <f>IF(Tableau1[[#This Row],[Portefeuille]]="p",3,0)</f>
        <v>0</v>
      </c>
      <c r="H203" s="42">
        <v>3</v>
      </c>
      <c r="I203" s="42">
        <v>4</v>
      </c>
      <c r="J203" s="42"/>
      <c r="K203" s="43"/>
      <c r="L203" s="16">
        <v>0</v>
      </c>
      <c r="M20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3" s="44" t="s">
        <v>3951</v>
      </c>
      <c r="O203" s="45"/>
      <c r="P203" s="4" t="s">
        <v>382</v>
      </c>
      <c r="Q203" s="4"/>
      <c r="R203" s="6"/>
      <c r="S203" s="6" t="s">
        <v>3952</v>
      </c>
      <c r="T203" s="6" t="e" vm="186">
        <v>#VALUE!</v>
      </c>
      <c r="U203" s="46" cm="1">
        <f t="array" aca="1" ref="U203" ca="1">IFERROR(_FV(Tableau1[[#This Row],[Code Excel]],"Capitalisation boursière",TRUE),"")</f>
        <v>221257885753</v>
      </c>
      <c r="V203" s="4" t="str" cm="1">
        <f t="array" aca="1" ref="V203" ca="1">IFERROR(_FV(Tableau1[[#This Row],[Code Excel]],"Industrie"),"")</f>
        <v>Hotels &amp; Entertainment Services</v>
      </c>
      <c r="W203" s="4" t="str" cm="1">
        <f t="array" aca="1" ref="W203" ca="1">IFERROR(_FV(Tableau1[[#This Row],[Code Excel]],"Industrie"),"")</f>
        <v>Hotels &amp; Entertainment Services</v>
      </c>
      <c r="X203" s="4" t="str">
        <f ca="1">Tableau1[[#This Row],[Grand Secteur]]&amp;Tableau1[[#This Row],[Industrie]]</f>
        <v>Hotels &amp; Entertainment ServicesHotels &amp; Entertainment Services</v>
      </c>
      <c r="Y203" s="23" cm="1">
        <f t="array" aca="1" ref="Y203" ca="1">IFERROR(_FV(Tableau1[[#This Row],[Code Excel]],"P/E",TRUE),"")</f>
        <v>27.184899999999999</v>
      </c>
      <c r="Z203" s="43" cm="1">
        <f t="array" aca="1" ref="Z203" ca="1">IFERROR(_FV(Tableau1[[#This Row],[Code Excel]],"Employés"),"")</f>
        <v>150000</v>
      </c>
      <c r="AA203" s="49">
        <f ca="1">IFERROR(Tableau1[[#This Row],[Capitalisation boursière]]/Tableau1[[#This Row],[Employés]],"")</f>
        <v>1475052.5716866667</v>
      </c>
      <c r="AB203" s="5" t="str">
        <f>IFERROR(Tableau1[[#This Row],[REX (2021)]]/Tableau1[[#This Row],[CA 2024]],"")</f>
        <v/>
      </c>
      <c r="AC203" s="9" t="str">
        <f>IFERROR(_xlfn.XLOOKUP(Tableau1[[#This Row],[Isin]]&amp;1&amp;2021,#REF!,Tableau3[Résultat d''exploitation]),"")</f>
        <v/>
      </c>
      <c r="AD203" s="9" t="str">
        <f>IFERROR(_xlfn.XLOOKUP(Tableau1[[#This Row],[Isin]]&amp;1&amp;2019,#REF!,Tableau3[Chiffre d''affaires]),"")</f>
        <v/>
      </c>
      <c r="AE203" s="9" t="str">
        <f>IFERROR(_xlfn.XLOOKUP(Tableau1[[#This Row],[Isin]]&amp;1&amp;2024,#REF!,Tableau3[Chiffre d''affaires]),"")</f>
        <v/>
      </c>
      <c r="AF203" s="8" t="str">
        <f>IFERROR(IF((Tableau1[[#This Row],[CA 2024]]-Tableau1[[#This Row],[CA 2019]])/Tableau1[[#This Row],[CA 2019]]=-1,"",(Tableau1[[#This Row],[CA 2024]]-Tableau1[[#This Row],[CA 2019]])/Tableau1[[#This Row],[CA 2019]]),"")</f>
        <v/>
      </c>
      <c r="AG203" s="9" t="str">
        <f>IFERROR(_xlfn.XLOOKUP(Tableau1[[#This Row],[Isin]]&amp;1&amp;2021,#REF!,Tableau3[EBE]),"")</f>
        <v/>
      </c>
      <c r="AH203" s="9" t="str">
        <f>IFERROR(_xlfn.XLOOKUP(Tableau1[[#This Row],[Isin]]&amp;1&amp;2022,#REF!,Tableau3[EBE]),"")</f>
        <v/>
      </c>
      <c r="AI203" s="43" t="s">
        <v>3419</v>
      </c>
      <c r="AJ203" s="43" t="s">
        <v>3150</v>
      </c>
      <c r="AK203" s="43" t="s">
        <v>3419</v>
      </c>
      <c r="AL203" s="43"/>
      <c r="AM203" s="43"/>
      <c r="AN203" s="9" t="str">
        <f>IFERROR(_xlfn.XLOOKUP(Tableau1[[#This Row],[Isin]]&amp;1&amp;2021,#REF!,Tableau3[Chiffre d''affaires]),"")</f>
        <v/>
      </c>
      <c r="AO203" s="43" cm="1">
        <f t="array" aca="1" ref="AO203" ca="1">_FV(Tableau1[[#This Row],[Code Excel]],"P/E",TRUE)</f>
        <v>27.184899999999999</v>
      </c>
      <c r="AP203" s="43" t="str">
        <f>IFERROR(_xlfn.XLOOKUP(Tableau1[[#This Row],[Isin]]&amp;1&amp;2023,#REF!,Tableau3[Résultat Net (PdG)]),"")</f>
        <v/>
      </c>
      <c r="AQ203" s="43">
        <f>IF(IFERROR(_xlfn.XLOOKUP(Tableau1[[#This Row],[Isin]]&amp;1&amp;2022,#REF!,Tableau3[Résultat Net (PdG)]),"")="",Tableau1[[#This Row],[RN Groupe 2022
Manuel]],IFERROR(_xlfn.XLOOKUP(Tableau1[[#This Row],[Isin]]&amp;1&amp;2022,#REF!,Tableau3[Résultat Net (PdG)]),""))</f>
        <v>0</v>
      </c>
      <c r="AR203" s="43"/>
      <c r="AS203" s="43">
        <f>IF(IFERROR(_xlfn.XLOOKUP(Tableau1[[#This Row],[Isin]]&amp;1&amp;2021,#REF!,Tableau3[Résultat Net (PdG)]),"")="",Tableau1[[#This Row],[RN Groupe 2021
Manuel]],IFERROR(_xlfn.XLOOKUP(Tableau1[[#This Row],[Isin]]&amp;1&amp;2021,#REF!,Tableau3[Résultat Net (PdG)]),""))</f>
        <v>0</v>
      </c>
      <c r="AT203" s="43"/>
      <c r="AU203" s="43" t="str">
        <f>IFERROR(_xlfn.XLOOKUP(Tableau1[[#This Row],[Isin]]&amp;1&amp;2020,#REF!,Tableau3[Résultat Net (PdG)]),"")</f>
        <v/>
      </c>
      <c r="AV203" s="43" t="str">
        <f>IFERROR(_xlfn.XLOOKUP(Tableau1[[#This Row],[Isin]]&amp;1&amp;2019,#REF!,Tableau3[Résultat Net (PdG)]),"")</f>
        <v/>
      </c>
      <c r="AW203" s="43" t="str">
        <f>IFERROR(_xlfn.XLOOKUP(Tableau1[[#This Row],[Isin]]&amp;1&amp;2018,#REF!,Tableau3[Résultat Net (PdG)]),"")</f>
        <v/>
      </c>
      <c r="AX203" s="43" t="str">
        <f>IFERROR(_xlfn.XLOOKUP(Tableau1[[#This Row],[Isin]]&amp;1&amp;2017,#REF!,Tableau3[Résultat Net (PdG)]),"")</f>
        <v/>
      </c>
      <c r="AY203" s="43" t="str">
        <f>IFERROR(_xlfn.XLOOKUP(Tableau1[[#This Row],[Isin]]&amp;1&amp;2016,#REF!,Tableau3[Résultat Net (PdG)]),"")</f>
        <v/>
      </c>
      <c r="AZ203" s="137" t="str">
        <f ca="1">IFERROR(Tableau1[[#This Row],[Capitalisation boursière]]/Tableau1[[#This Row],[RN Groupe 2023]],"")</f>
        <v/>
      </c>
      <c r="BA203" s="4" t="str" cm="1">
        <f t="array" aca="1" ref="BA203" ca="1">IFERROR(_FV(Tableau1[[#This Row],[Code Excel]],"Industrie"),"")</f>
        <v>Hotels &amp; Entertainment Services</v>
      </c>
      <c r="BB203" s="43" t="s">
        <v>3464</v>
      </c>
      <c r="BC203" s="43" t="str">
        <f>IFERROR(_xlfn.XLOOKUP(Tableau1[[#This Row],[Isin]]&amp;1&amp;2016,#REF!,Tableau3[Capi]),"")</f>
        <v/>
      </c>
      <c r="BD203" s="43" t="str">
        <f>IFERROR(_xlfn.XLOOKUP(Tableau1[[#This Row],[Isin]]&amp;1&amp;2017,#REF!,Tableau3[Capi]),"")</f>
        <v/>
      </c>
      <c r="BE203" s="43" t="str">
        <f>IFERROR(_xlfn.XLOOKUP(Tableau1[[#This Row],[Isin]]&amp;1&amp;2018,#REF!,Tableau3[Capi]),"")</f>
        <v/>
      </c>
      <c r="BF203" s="43" t="str">
        <f>IFERROR(_xlfn.XLOOKUP(Tableau1[[#This Row],[Isin]]&amp;1&amp;2019,#REF!,Tableau3[Capi]),"")</f>
        <v/>
      </c>
      <c r="BG203" s="43" t="str">
        <f>IFERROR(_xlfn.XLOOKUP(Tableau1[[#This Row],[Isin]]&amp;1&amp;2020,#REF!,Tableau3[Capi]),"")</f>
        <v/>
      </c>
      <c r="BH203" s="43">
        <f>IF(IFERROR(_xlfn.XLOOKUP(Tableau1[[#This Row],[Isin]]&amp;1&amp;2021,#REF!,Tableau3[Capi]),"")="",Tableau1[[#This Row],[Capitalisation 2021
Manuel]],IFERROR(_xlfn.XLOOKUP(Tableau1[[#This Row],[Isin]]&amp;1&amp;2021,#REF!,Tableau3[Capi]),""))</f>
        <v>0</v>
      </c>
      <c r="BI203" s="43"/>
      <c r="BJ203" s="43">
        <f>IF(IFERROR(_xlfn.XLOOKUP(Tableau1[[#This Row],[Isin]]&amp;1&amp;2022,#REF!,Tableau3[Capi]),"")="",Tableau1[[#This Row],[Capitalisation 2022
Manuel]],IFERROR(_xlfn.XLOOKUP(Tableau1[[#This Row],[Isin]]&amp;1&amp;2022,#REF!,Tableau3[Capi]),""))</f>
        <v>0</v>
      </c>
      <c r="BK203" s="43"/>
      <c r="BL203" s="43">
        <f ca="1">Tableau1[[#This Row],[Capitalisation boursière]]</f>
        <v>221257885753</v>
      </c>
      <c r="BM203" s="162" t="str" cm="1">
        <f t="array" aca="1" ref="BM203" ca="1">_FV(Tableau1[[#This Row],[Code Excel]],"Description")</f>
        <v>McDonald's Corporation est un détaillant de services alimentaires avec plus de 40 000 succursales dans plus de 100 pays. Le secteur de la Société comprend les États-Unis, les marchés exploités à l'international et les marchés agréés et entreprises en développement international. Le segment marchés exploités à l'international comprend les marchés ou les pays dans lesquels la Société exploite et franchise des restaurants, notamment l'Australie, le Canada, la France, l'Allemagne, Italie, Pologne, Espagne et Royaume-Uni. Ce segment est franchisé à plus de 89%. Le segment International Development Licensed Markets &amp; Corporate est composé de titulaires de licence en développement et de marchés affiliés dans le système McDonald's. Ce segment est franchisé à environ 98%. Son menu comprend des hamburgers et des cheeseburgers, le Big Mac, le Quarter Pounder avec fromage, le filet-O-Fish et plusieurs sandwichs au poulet comme le McChicken, le McCrispy et le McSpicy. Environ 95 % des restaurants McDonald's dans le monde sont détenus et exploités par des propriétaires d'entreprises locales indépendantes.</v>
      </c>
      <c r="BN203" s="43"/>
      <c r="BO203" s="43"/>
      <c r="BP203" s="43"/>
      <c r="BQ203" s="43"/>
      <c r="BR203" s="13"/>
      <c r="BS203" s="13"/>
      <c r="BT203" s="13"/>
      <c r="BU203" s="13"/>
      <c r="BV203" s="13"/>
      <c r="BW203" s="4"/>
      <c r="BY203" s="13"/>
      <c r="BZ203" s="13"/>
      <c r="CA203" s="13"/>
      <c r="CE203" s="59"/>
      <c r="CF203" s="59"/>
    </row>
    <row r="204" spans="3:87">
      <c r="C204" s="43"/>
      <c r="D204" s="42">
        <f>IF(Tableau1[[#This Row],[Isin]]="",99,Tableau1[[#This Row],[Intérêt]]+Tableau1[[#This Row],[Valeur d''intérêt]]+Tableau1[[#This Row],[N° Portefeuille]])</f>
        <v>30</v>
      </c>
      <c r="E204" s="43"/>
      <c r="F204" s="42">
        <f>IF(Tableau1[[#This Row],[Portefeuille]]="p",0,Tableau1[[#This Row],[F. Investissement
Niveau d''intérêt]]*10)</f>
        <v>30</v>
      </c>
      <c r="G204" s="43">
        <f>IF(Tableau1[[#This Row],[Portefeuille]]="p",3,0)</f>
        <v>0</v>
      </c>
      <c r="H204" s="43">
        <v>3</v>
      </c>
      <c r="I204" s="43">
        <v>4</v>
      </c>
      <c r="J204" s="43"/>
      <c r="K204" s="43"/>
      <c r="L204" s="16">
        <v>0</v>
      </c>
      <c r="M20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4" s="44" t="s">
        <v>3954</v>
      </c>
      <c r="O204" s="45"/>
      <c r="P204" s="4" t="s">
        <v>84</v>
      </c>
      <c r="Q204" s="4"/>
      <c r="R204" s="6"/>
      <c r="S204" s="6" t="s">
        <v>3955</v>
      </c>
      <c r="T204" s="6" t="e" vm="187">
        <v>#VALUE!</v>
      </c>
      <c r="U204" s="46" cm="1">
        <f t="array" aca="1" ref="U204" ca="1">IFERROR(_FV(Tableau1[[#This Row],[Code Excel]],"Capitalisation boursière",TRUE),"")</f>
        <v>25475160</v>
      </c>
      <c r="V204" s="4" t="str" cm="1">
        <f t="array" aca="1" ref="V204" ca="1">IFERROR(_FV(Tableau1[[#This Row],[Code Excel]],"Industrie"),"")</f>
        <v>Machinery, Equipment &amp; Components</v>
      </c>
      <c r="W204" s="4" t="s">
        <v>4321</v>
      </c>
      <c r="X204" s="4" t="str">
        <f ca="1">Tableau1[[#This Row],[Grand Secteur]]&amp;Tableau1[[#This Row],[Industrie]]</f>
        <v>EquipementiersMachinery, Equipment &amp; Components</v>
      </c>
      <c r="Y204" s="23" t="str" cm="1">
        <f t="array" ref="Y204">IFERROR(_FV(Tableau1[[#This Row],[Code Excel]],"P/E",TRUE),"")</f>
        <v/>
      </c>
      <c r="Z204" s="43" cm="1">
        <f t="array" aca="1" ref="Z204" ca="1">IFERROR(_FV(Tableau1[[#This Row],[Code Excel]],"Employés"),"")</f>
        <v>258</v>
      </c>
      <c r="AA204" s="46">
        <f ca="1">IFERROR(Tableau1[[#This Row],[Capitalisation boursière]]/Tableau1[[#This Row],[Employés]],"")</f>
        <v>98740.930232558138</v>
      </c>
      <c r="AB204" s="5" t="str">
        <f>IFERROR(Tableau1[[#This Row],[REX (2021)]]/Tableau1[[#This Row],[CA 2024]],"")</f>
        <v/>
      </c>
      <c r="AC204" s="9" t="str">
        <f>IFERROR(_xlfn.XLOOKUP(Tableau1[[#This Row],[Isin]]&amp;1&amp;2021,#REF!,Tableau3[Résultat d''exploitation]),"")</f>
        <v/>
      </c>
      <c r="AD204" s="9" t="str">
        <f>IFERROR(_xlfn.XLOOKUP(Tableau1[[#This Row],[Isin]]&amp;1&amp;2019,#REF!,Tableau3[Chiffre d''affaires]),"")</f>
        <v/>
      </c>
      <c r="AE204" s="9" t="str">
        <f>IFERROR(_xlfn.XLOOKUP(Tableau1[[#This Row],[Isin]]&amp;1&amp;2024,#REF!,Tableau3[Chiffre d''affaires]),"")</f>
        <v/>
      </c>
      <c r="AF204" s="8" t="str">
        <f>IFERROR(IF((Tableau1[[#This Row],[CA 2024]]-Tableau1[[#This Row],[CA 2019]])/Tableau1[[#This Row],[CA 2019]]=-1,"",(Tableau1[[#This Row],[CA 2024]]-Tableau1[[#This Row],[CA 2019]])/Tableau1[[#This Row],[CA 2019]]),"")</f>
        <v/>
      </c>
      <c r="AG204" s="9" t="str">
        <f>IFERROR(_xlfn.XLOOKUP(Tableau1[[#This Row],[Isin]]&amp;1&amp;2021,#REF!,Tableau3[EBE]),"")</f>
        <v/>
      </c>
      <c r="AH204" s="9" t="str">
        <f>IFERROR(_xlfn.XLOOKUP(Tableau1[[#This Row],[Isin]]&amp;1&amp;2022,#REF!,Tableau3[EBE]),"")</f>
        <v/>
      </c>
      <c r="AI204" s="43" t="s">
        <v>3431</v>
      </c>
      <c r="AJ204" s="43" t="s">
        <v>4322</v>
      </c>
      <c r="AK204" s="43" t="s">
        <v>3431</v>
      </c>
      <c r="AL204" s="43"/>
      <c r="AM204" s="43"/>
      <c r="AN204" s="9" t="str">
        <f>IFERROR(_xlfn.XLOOKUP(Tableau1[[#This Row],[Isin]]&amp;1&amp;2021,#REF!,Tableau3[Chiffre d''affaires]),"")</f>
        <v/>
      </c>
      <c r="AO204" s="43" t="e" cm="1" vm="1">
        <f t="array" ref="AO204">_FV(Tableau1[[#This Row],[Code Excel]],"P/E",TRUE)</f>
        <v>#VALUE!</v>
      </c>
      <c r="AP204" s="43" t="str">
        <f>IFERROR(_xlfn.XLOOKUP(Tableau1[[#This Row],[Isin]]&amp;1&amp;2023,#REF!,Tableau3[Résultat Net (PdG)]),"")</f>
        <v/>
      </c>
      <c r="AQ204" s="43">
        <f>IF(IFERROR(_xlfn.XLOOKUP(Tableau1[[#This Row],[Isin]]&amp;1&amp;2022,#REF!,Tableau3[Résultat Net (PdG)]),"")="",Tableau1[[#This Row],[RN Groupe 2022
Manuel]],IFERROR(_xlfn.XLOOKUP(Tableau1[[#This Row],[Isin]]&amp;1&amp;2022,#REF!,Tableau3[Résultat Net (PdG)]),""))</f>
        <v>0</v>
      </c>
      <c r="AR204" s="43"/>
      <c r="AS204" s="43">
        <f>IF(IFERROR(_xlfn.XLOOKUP(Tableau1[[#This Row],[Isin]]&amp;1&amp;2021,#REF!,Tableau3[Résultat Net (PdG)]),"")="",Tableau1[[#This Row],[RN Groupe 2021
Manuel]],IFERROR(_xlfn.XLOOKUP(Tableau1[[#This Row],[Isin]]&amp;1&amp;2021,#REF!,Tableau3[Résultat Net (PdG)]),""))</f>
        <v>0</v>
      </c>
      <c r="AT204" s="43"/>
      <c r="AU204" s="43" t="str">
        <f>IFERROR(_xlfn.XLOOKUP(Tableau1[[#This Row],[Isin]]&amp;1&amp;2020,#REF!,Tableau3[Résultat Net (PdG)]),"")</f>
        <v/>
      </c>
      <c r="AV204" s="43" t="str">
        <f>IFERROR(_xlfn.XLOOKUP(Tableau1[[#This Row],[Isin]]&amp;1&amp;2019,#REF!,Tableau3[Résultat Net (PdG)]),"")</f>
        <v/>
      </c>
      <c r="AW204" s="43" t="str">
        <f>IFERROR(_xlfn.XLOOKUP(Tableau1[[#This Row],[Isin]]&amp;1&amp;2018,#REF!,Tableau3[Résultat Net (PdG)]),"")</f>
        <v/>
      </c>
      <c r="AX204" s="43" t="str">
        <f>IFERROR(_xlfn.XLOOKUP(Tableau1[[#This Row],[Isin]]&amp;1&amp;2017,#REF!,Tableau3[Résultat Net (PdG)]),"")</f>
        <v/>
      </c>
      <c r="AY204" s="43" t="str">
        <f>IFERROR(_xlfn.XLOOKUP(Tableau1[[#This Row],[Isin]]&amp;1&amp;2016,#REF!,Tableau3[Résultat Net (PdG)]),"")</f>
        <v/>
      </c>
      <c r="AZ204" s="137" t="str">
        <f ca="1">IFERROR(Tableau1[[#This Row],[Capitalisation boursière]]/Tableau1[[#This Row],[RN Groupe 2023]],"")</f>
        <v/>
      </c>
      <c r="BA204" s="4" t="str" cm="1">
        <f t="array" aca="1" ref="BA204" ca="1">IFERROR(_FV(Tableau1[[#This Row],[Code Excel]],"Industrie"),"")</f>
        <v>Machinery, Equipment &amp; Components</v>
      </c>
      <c r="BB204" s="43" t="s">
        <v>3477</v>
      </c>
      <c r="BC204" s="43" t="str">
        <f>IFERROR(_xlfn.XLOOKUP(Tableau1[[#This Row],[Isin]]&amp;1&amp;2016,#REF!,Tableau3[Capi]),"")</f>
        <v/>
      </c>
      <c r="BD204" s="43" t="str">
        <f>IFERROR(_xlfn.XLOOKUP(Tableau1[[#This Row],[Isin]]&amp;1&amp;2017,#REF!,Tableau3[Capi]),"")</f>
        <v/>
      </c>
      <c r="BE204" s="43" t="str">
        <f>IFERROR(_xlfn.XLOOKUP(Tableau1[[#This Row],[Isin]]&amp;1&amp;2018,#REF!,Tableau3[Capi]),"")</f>
        <v/>
      </c>
      <c r="BF204" s="43" t="str">
        <f>IFERROR(_xlfn.XLOOKUP(Tableau1[[#This Row],[Isin]]&amp;1&amp;2019,#REF!,Tableau3[Capi]),"")</f>
        <v/>
      </c>
      <c r="BG204" s="43" t="str">
        <f>IFERROR(_xlfn.XLOOKUP(Tableau1[[#This Row],[Isin]]&amp;1&amp;2020,#REF!,Tableau3[Capi]),"")</f>
        <v/>
      </c>
      <c r="BH204" s="43">
        <f>IF(IFERROR(_xlfn.XLOOKUP(Tableau1[[#This Row],[Isin]]&amp;1&amp;2021,#REF!,Tableau3[Capi]),"")="",Tableau1[[#This Row],[Capitalisation 2021
Manuel]],IFERROR(_xlfn.XLOOKUP(Tableau1[[#This Row],[Isin]]&amp;1&amp;2021,#REF!,Tableau3[Capi]),""))</f>
        <v>0</v>
      </c>
      <c r="BI204" s="43"/>
      <c r="BJ204" s="43">
        <f>IF(IFERROR(_xlfn.XLOOKUP(Tableau1[[#This Row],[Isin]]&amp;1&amp;2022,#REF!,Tableau3[Capi]),"")="",Tableau1[[#This Row],[Capitalisation 2022
Manuel]],IFERROR(_xlfn.XLOOKUP(Tableau1[[#This Row],[Isin]]&amp;1&amp;2022,#REF!,Tableau3[Capi]),""))</f>
        <v>0</v>
      </c>
      <c r="BK204" s="43"/>
      <c r="BL204" s="43">
        <f ca="1">Tableau1[[#This Row],[Capitalisation boursière]]</f>
        <v>25475160</v>
      </c>
      <c r="BM204" s="162" t="str" cm="1">
        <f t="array" aca="1" ref="BM204" ca="1">_FV(Tableau1[[#This Row],[Code Excel]],"Description")</f>
        <v>MCPHY ENERGY SAS est une société basée en France qui développe des solutions de production et de stockage de l'hydrogène pour le marché libre d'hydrogène et les marchés des énergies renouvelables. La Société vend des solutions technologiques basées sur l'hydrogène à l'état solide pour offrir un moyen de stockage d'énergie renouvelable pour le gaz industriel. Ses produits comprennent un électrolyseur, un générateur d'hydrogène qui utilise l'eau comme matière première ; des solutions de stockage d'hydrogène solide avec les séries MCP et MGH ; et d'autres moyens qui intègrent les électrolyseurs et d'autres solutions. Elle possède des bureaux dans des pays comme la France, l'Italie et l'Allemagne, et des agents et distributeurs en Europe, en Asie et en Amériques.</v>
      </c>
      <c r="BN204" s="43"/>
      <c r="BO204" s="43"/>
      <c r="BP204" s="43"/>
      <c r="BQ204" s="43"/>
      <c r="BR204" s="13"/>
      <c r="BS204" s="13"/>
      <c r="BT204" s="13"/>
      <c r="BU204" s="13"/>
      <c r="BV204" s="13"/>
      <c r="BW204" s="4"/>
      <c r="BX204" s="21"/>
      <c r="BY204" s="13"/>
      <c r="BZ204" s="13"/>
      <c r="CA204" s="13"/>
      <c r="CB204" s="13"/>
      <c r="CC204" s="13"/>
      <c r="CE204" s="47"/>
      <c r="CF204" s="47"/>
    </row>
    <row r="205" spans="3:87">
      <c r="C205" s="43"/>
      <c r="D205" s="42">
        <f>IF(Tableau1[[#This Row],[Isin]]="",99,Tableau1[[#This Row],[Intérêt]]+Tableau1[[#This Row],[Valeur d''intérêt]]+Tableau1[[#This Row],[N° Portefeuille]])</f>
        <v>30</v>
      </c>
      <c r="E205" s="43"/>
      <c r="F205" s="42">
        <f>IF(Tableau1[[#This Row],[Portefeuille]]="p",0,Tableau1[[#This Row],[F. Investissement
Niveau d''intérêt]]*10)</f>
        <v>30</v>
      </c>
      <c r="G205" s="43">
        <f>IF(Tableau1[[#This Row],[Portefeuille]]="p",3,0)</f>
        <v>0</v>
      </c>
      <c r="H205" s="42">
        <v>3</v>
      </c>
      <c r="I205" s="43">
        <v>3</v>
      </c>
      <c r="J205" s="43"/>
      <c r="K205" s="43"/>
      <c r="L205" s="16">
        <v>1</v>
      </c>
      <c r="M20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5" s="44" t="s">
        <v>3074</v>
      </c>
      <c r="O205" s="45"/>
      <c r="P205" s="4"/>
      <c r="Q205" s="4"/>
      <c r="R205" s="6"/>
      <c r="S205" s="6" t="s">
        <v>3077</v>
      </c>
      <c r="T205" s="6"/>
      <c r="U205" s="46" t="str" cm="1">
        <f t="array" ref="U205">IFERROR(_FV(Tableau1[[#This Row],[Code Excel]],"Capitalisation boursière",TRUE),"")</f>
        <v/>
      </c>
      <c r="V205" s="4" t="str" cm="1">
        <f t="array" ref="V205">IFERROR(_FV(Tableau1[[#This Row],[Code Excel]],"Industrie"),"")</f>
        <v/>
      </c>
      <c r="W205" s="4"/>
      <c r="X205" s="4" t="str">
        <f>Tableau1[[#This Row],[Grand Secteur]]&amp;Tableau1[[#This Row],[Industrie]]</f>
        <v/>
      </c>
      <c r="Y205" s="23" t="str" cm="1">
        <f t="array" ref="Y205">IFERROR(_FV(Tableau1[[#This Row],[Code Excel]],"P/E",TRUE),"")</f>
        <v/>
      </c>
      <c r="Z205" s="43" t="str" cm="1">
        <f t="array" ref="Z205">IFERROR(_FV(Tableau1[[#This Row],[Code Excel]],"Employés"),"")</f>
        <v/>
      </c>
      <c r="AA205" s="46" t="str">
        <f>IFERROR(Tableau1[[#This Row],[Capitalisation boursière]]/Tableau1[[#This Row],[Employés]],"")</f>
        <v/>
      </c>
      <c r="AB205" s="5" t="str">
        <f>IFERROR(Tableau1[[#This Row],[REX (2021)]]/Tableau1[[#This Row],[CA 2024]],"")</f>
        <v/>
      </c>
      <c r="AC205" s="9" t="str">
        <f>IFERROR(_xlfn.XLOOKUP(Tableau1[[#This Row],[Isin]]&amp;1&amp;2021,#REF!,Tableau3[Résultat d''exploitation]),"")</f>
        <v/>
      </c>
      <c r="AD205" s="9" t="str">
        <f>IFERROR(_xlfn.XLOOKUP(Tableau1[[#This Row],[Isin]]&amp;1&amp;2019,#REF!,Tableau3[Chiffre d''affaires]),"")</f>
        <v/>
      </c>
      <c r="AE205" s="9" t="str">
        <f>IFERROR(_xlfn.XLOOKUP(Tableau1[[#This Row],[Isin]]&amp;1&amp;2024,#REF!,Tableau3[Chiffre d''affaires]),"")</f>
        <v/>
      </c>
      <c r="AF205" s="8" t="str">
        <f>IFERROR(IF((Tableau1[[#This Row],[CA 2024]]-Tableau1[[#This Row],[CA 2019]])/Tableau1[[#This Row],[CA 2019]]=-1,"",(Tableau1[[#This Row],[CA 2024]]-Tableau1[[#This Row],[CA 2019]])/Tableau1[[#This Row],[CA 2019]]),"")</f>
        <v/>
      </c>
      <c r="AG205" s="9" t="str">
        <f>IFERROR(_xlfn.XLOOKUP(Tableau1[[#This Row],[Isin]]&amp;1&amp;2021,#REF!,Tableau3[EBE]),"")</f>
        <v/>
      </c>
      <c r="AH205" s="9" t="str">
        <f>IFERROR(_xlfn.XLOOKUP(Tableau1[[#This Row],[Isin]]&amp;1&amp;2022,#REF!,Tableau3[EBE]),"")</f>
        <v/>
      </c>
      <c r="AI205" s="43"/>
      <c r="AJ205" s="43"/>
      <c r="AK205" s="43"/>
      <c r="AL205" s="43"/>
      <c r="AM205" s="43"/>
      <c r="AN205" s="9" t="str">
        <f>IFERROR(_xlfn.XLOOKUP(Tableau1[[#This Row],[Isin]]&amp;1&amp;2021,#REF!,Tableau3[Chiffre d''affaires]),"")</f>
        <v/>
      </c>
      <c r="AO205" s="43" t="e" cm="1" vm="1">
        <f t="array" ref="AO205">_FV(Tableau1[[#This Row],[Code Excel]],"P/E",TRUE)</f>
        <v>#VALUE!</v>
      </c>
      <c r="AP205" s="43" t="str">
        <f>IFERROR(_xlfn.XLOOKUP(Tableau1[[#This Row],[Isin]]&amp;1&amp;2023,#REF!,Tableau3[Résultat Net (PdG)]),"")</f>
        <v/>
      </c>
      <c r="AQ205" s="43">
        <f>IF(IFERROR(_xlfn.XLOOKUP(Tableau1[[#This Row],[Isin]]&amp;1&amp;2022,#REF!,Tableau3[Résultat Net (PdG)]),"")="",Tableau1[[#This Row],[RN Groupe 2022
Manuel]],IFERROR(_xlfn.XLOOKUP(Tableau1[[#This Row],[Isin]]&amp;1&amp;2022,#REF!,Tableau3[Résultat Net (PdG)]),""))</f>
        <v>0</v>
      </c>
      <c r="AR205" s="43"/>
      <c r="AS205" s="43">
        <f>IF(IFERROR(_xlfn.XLOOKUP(Tableau1[[#This Row],[Isin]]&amp;1&amp;2021,#REF!,Tableau3[Résultat Net (PdG)]),"")="",Tableau1[[#This Row],[RN Groupe 2021
Manuel]],IFERROR(_xlfn.XLOOKUP(Tableau1[[#This Row],[Isin]]&amp;1&amp;2021,#REF!,Tableau3[Résultat Net (PdG)]),""))</f>
        <v>0</v>
      </c>
      <c r="AT205" s="43"/>
      <c r="AU205" s="43" t="str">
        <f>IFERROR(_xlfn.XLOOKUP(Tableau1[[#This Row],[Isin]]&amp;1&amp;2020,#REF!,Tableau3[Résultat Net (PdG)]),"")</f>
        <v/>
      </c>
      <c r="AV205" s="43" t="str">
        <f>IFERROR(_xlfn.XLOOKUP(Tableau1[[#This Row],[Isin]]&amp;1&amp;2019,#REF!,Tableau3[Résultat Net (PdG)]),"")</f>
        <v/>
      </c>
      <c r="AW205" s="43" t="str">
        <f>IFERROR(_xlfn.XLOOKUP(Tableau1[[#This Row],[Isin]]&amp;1&amp;2018,#REF!,Tableau3[Résultat Net (PdG)]),"")</f>
        <v/>
      </c>
      <c r="AX205" s="43" t="str">
        <f>IFERROR(_xlfn.XLOOKUP(Tableau1[[#This Row],[Isin]]&amp;1&amp;2017,#REF!,Tableau3[Résultat Net (PdG)]),"")</f>
        <v/>
      </c>
      <c r="AY205" s="43" t="str">
        <f>IFERROR(_xlfn.XLOOKUP(Tableau1[[#This Row],[Isin]]&amp;1&amp;2016,#REF!,Tableau3[Résultat Net (PdG)]),"")</f>
        <v/>
      </c>
      <c r="AZ205" s="137" t="str">
        <f>IFERROR(Tableau1[[#This Row],[Capitalisation boursière]]/Tableau1[[#This Row],[RN Groupe 2023]],"")</f>
        <v/>
      </c>
      <c r="BA205" s="4" t="str" cm="1">
        <f t="array" ref="BA205">IFERROR(_FV(Tableau1[[#This Row],[Code Excel]],"Industrie"),"")</f>
        <v/>
      </c>
      <c r="BB205" s="43">
        <v>0</v>
      </c>
      <c r="BC205" s="43" t="str">
        <f>IFERROR(_xlfn.XLOOKUP(Tableau1[[#This Row],[Isin]]&amp;1&amp;2016,#REF!,Tableau3[Capi]),"")</f>
        <v/>
      </c>
      <c r="BD205" s="43" t="str">
        <f>IFERROR(_xlfn.XLOOKUP(Tableau1[[#This Row],[Isin]]&amp;1&amp;2017,#REF!,Tableau3[Capi]),"")</f>
        <v/>
      </c>
      <c r="BE205" s="43" t="str">
        <f>IFERROR(_xlfn.XLOOKUP(Tableau1[[#This Row],[Isin]]&amp;1&amp;2018,#REF!,Tableau3[Capi]),"")</f>
        <v/>
      </c>
      <c r="BF205" s="43" t="str">
        <f>IFERROR(_xlfn.XLOOKUP(Tableau1[[#This Row],[Isin]]&amp;1&amp;2019,#REF!,Tableau3[Capi]),"")</f>
        <v/>
      </c>
      <c r="BG205" s="43" t="str">
        <f>IFERROR(_xlfn.XLOOKUP(Tableau1[[#This Row],[Isin]]&amp;1&amp;2020,#REF!,Tableau3[Capi]),"")</f>
        <v/>
      </c>
      <c r="BH205" s="43">
        <f>IF(IFERROR(_xlfn.XLOOKUP(Tableau1[[#This Row],[Isin]]&amp;1&amp;2021,#REF!,Tableau3[Capi]),"")="",Tableau1[[#This Row],[Capitalisation 2021
Manuel]],IFERROR(_xlfn.XLOOKUP(Tableau1[[#This Row],[Isin]]&amp;1&amp;2021,#REF!,Tableau3[Capi]),""))</f>
        <v>0</v>
      </c>
      <c r="BI205" s="43"/>
      <c r="BJ205" s="43">
        <f>IF(IFERROR(_xlfn.XLOOKUP(Tableau1[[#This Row],[Isin]]&amp;1&amp;2022,#REF!,Tableau3[Capi]),"")="",Tableau1[[#This Row],[Capitalisation 2022
Manuel]],IFERROR(_xlfn.XLOOKUP(Tableau1[[#This Row],[Isin]]&amp;1&amp;2022,#REF!,Tableau3[Capi]),""))</f>
        <v>0</v>
      </c>
      <c r="BK205" s="43"/>
      <c r="BL205" s="43" t="str">
        <f>Tableau1[[#This Row],[Capitalisation boursière]]</f>
        <v/>
      </c>
      <c r="BM205" s="162" t="e" cm="1" vm="2">
        <f t="array" ref="BM205">_FV(Tableau1[[#This Row],[Code Excel]],"Description")</f>
        <v>#VALUE!</v>
      </c>
      <c r="BN205" s="43"/>
      <c r="BO205" s="43"/>
      <c r="BP205" s="43"/>
      <c r="BQ205" s="43"/>
      <c r="BR205" s="13"/>
      <c r="BS205" s="13"/>
      <c r="BT205" s="13"/>
      <c r="BU205" s="13"/>
      <c r="BV205" s="13"/>
      <c r="BW205" s="4"/>
      <c r="BX205" s="21"/>
      <c r="BY205" s="13"/>
      <c r="BZ205" s="13"/>
      <c r="CA205" s="13"/>
      <c r="CB205" s="13"/>
      <c r="CC205" s="13"/>
      <c r="CE205" s="47"/>
      <c r="CF205" s="47"/>
    </row>
    <row r="206" spans="3:87">
      <c r="C206" s="43"/>
      <c r="D206" s="42">
        <f>IF(Tableau1[[#This Row],[Isin]]="",99,Tableau1[[#This Row],[Intérêt]]+Tableau1[[#This Row],[Valeur d''intérêt]]+Tableau1[[#This Row],[N° Portefeuille]])</f>
        <v>30</v>
      </c>
      <c r="E206" s="43"/>
      <c r="F206" s="42">
        <f>IF(Tableau1[[#This Row],[Portefeuille]]="p",0,Tableau1[[#This Row],[F. Investissement
Niveau d''intérêt]]*10)</f>
        <v>30</v>
      </c>
      <c r="G206" s="43">
        <f>IF(Tableau1[[#This Row],[Portefeuille]]="p",3,0)</f>
        <v>0</v>
      </c>
      <c r="H206" s="43">
        <v>3</v>
      </c>
      <c r="I206" s="43">
        <v>4</v>
      </c>
      <c r="J206" s="43"/>
      <c r="K206" s="43"/>
      <c r="L206" s="16">
        <v>1</v>
      </c>
      <c r="M20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6" s="44" t="s">
        <v>3957</v>
      </c>
      <c r="O206" s="45"/>
      <c r="P206" s="4"/>
      <c r="Q206" s="4"/>
      <c r="R206" s="6"/>
      <c r="S206" s="6" t="s">
        <v>3958</v>
      </c>
      <c r="T206" s="6" t="e" vm="188">
        <v>#VALUE!</v>
      </c>
      <c r="U206" s="46" cm="1">
        <f t="array" aca="1" ref="U206" ca="1">IFERROR(_FV(Tableau1[[#This Row],[Code Excel]],"Capitalisation boursière",TRUE),"")</f>
        <v>112389300000</v>
      </c>
      <c r="V206" s="4" t="str" cm="1">
        <f t="array" aca="1" ref="V206" ca="1">IFERROR(_FV(Tableau1[[#This Row],[Code Excel]],"Industrie"),"")</f>
        <v>Healthcare Equipment &amp; Supplies</v>
      </c>
      <c r="W206" s="4" t="s">
        <v>1586</v>
      </c>
      <c r="X206" s="4" t="str">
        <f ca="1">Tableau1[[#This Row],[Grand Secteur]]&amp;Tableau1[[#This Row],[Industrie]]</f>
        <v>SantéHealthcare Equipment &amp; Supplies</v>
      </c>
      <c r="Y206" s="23" cm="1">
        <f t="array" aca="1" ref="Y206" ca="1">IFERROR(_FV(Tableau1[[#This Row],[Code Excel]],"P/E",TRUE),"")</f>
        <v>26.7316</v>
      </c>
      <c r="Z206" s="43" cm="1">
        <f t="array" aca="1" ref="Z206" ca="1">IFERROR(_FV(Tableau1[[#This Row],[Code Excel]],"Employés"),"")</f>
        <v>95000</v>
      </c>
      <c r="AA206" s="46">
        <f ca="1">IFERROR(Tableau1[[#This Row],[Capitalisation boursière]]/Tableau1[[#This Row],[Employés]],"")</f>
        <v>1183045.2631578948</v>
      </c>
      <c r="AB206" s="5" t="str">
        <f>IFERROR(Tableau1[[#This Row],[REX (2021)]]/Tableau1[[#This Row],[CA 2024]],"")</f>
        <v/>
      </c>
      <c r="AC206" s="9" t="str">
        <f>IFERROR(_xlfn.XLOOKUP(Tableau1[[#This Row],[Isin]]&amp;1&amp;2021,#REF!,Tableau3[Résultat d''exploitation]),"")</f>
        <v/>
      </c>
      <c r="AD206" s="9" t="str">
        <f>IFERROR(_xlfn.XLOOKUP(Tableau1[[#This Row],[Isin]]&amp;1&amp;2019,#REF!,Tableau3[Chiffre d''affaires]),"")</f>
        <v/>
      </c>
      <c r="AE206" s="9" t="str">
        <f>IFERROR(_xlfn.XLOOKUP(Tableau1[[#This Row],[Isin]]&amp;1&amp;2024,#REF!,Tableau3[Chiffre d''affaires]),"")</f>
        <v/>
      </c>
      <c r="AF206" s="8" t="str">
        <f>IFERROR(IF((Tableau1[[#This Row],[CA 2024]]-Tableau1[[#This Row],[CA 2019]])/Tableau1[[#This Row],[CA 2019]]=-1,"",(Tableau1[[#This Row],[CA 2024]]-Tableau1[[#This Row],[CA 2019]])/Tableau1[[#This Row],[CA 2019]]),"")</f>
        <v/>
      </c>
      <c r="AG206" s="9" t="str">
        <f>IFERROR(_xlfn.XLOOKUP(Tableau1[[#This Row],[Isin]]&amp;1&amp;2021,#REF!,Tableau3[EBE]),"")</f>
        <v/>
      </c>
      <c r="AH206" s="9" t="str">
        <f>IFERROR(_xlfn.XLOOKUP(Tableau1[[#This Row],[Isin]]&amp;1&amp;2022,#REF!,Tableau3[EBE]),"")</f>
        <v/>
      </c>
      <c r="AI206" s="43" t="s">
        <v>4324</v>
      </c>
      <c r="AJ206" s="43" t="s">
        <v>4322</v>
      </c>
      <c r="AK206" s="13" t="s">
        <v>3148</v>
      </c>
      <c r="AL206" s="43" t="s">
        <v>4343</v>
      </c>
      <c r="AM206" s="43"/>
      <c r="AN206" s="9" t="str">
        <f>IFERROR(_xlfn.XLOOKUP(Tableau1[[#This Row],[Isin]]&amp;1&amp;2021,#REF!,Tableau3[Chiffre d''affaires]),"")</f>
        <v/>
      </c>
      <c r="AO206" s="43" cm="1">
        <f t="array" aca="1" ref="AO206" ca="1">_FV(Tableau1[[#This Row],[Code Excel]],"P/E",TRUE)</f>
        <v>26.7316</v>
      </c>
      <c r="AP206" s="43" t="str">
        <f>IFERROR(_xlfn.XLOOKUP(Tableau1[[#This Row],[Isin]]&amp;1&amp;2023,#REF!,Tableau3[Résultat Net (PdG)]),"")</f>
        <v/>
      </c>
      <c r="AQ206" s="43">
        <f>IF(IFERROR(_xlfn.XLOOKUP(Tableau1[[#This Row],[Isin]]&amp;1&amp;2022,#REF!,Tableau3[Résultat Net (PdG)]),"")="",Tableau1[[#This Row],[RN Groupe 2022
Manuel]],IFERROR(_xlfn.XLOOKUP(Tableau1[[#This Row],[Isin]]&amp;1&amp;2022,#REF!,Tableau3[Résultat Net (PdG)]),""))</f>
        <v>0</v>
      </c>
      <c r="AR206" s="43"/>
      <c r="AS206" s="43">
        <f>IF(IFERROR(_xlfn.XLOOKUP(Tableau1[[#This Row],[Isin]]&amp;1&amp;2021,#REF!,Tableau3[Résultat Net (PdG)]),"")="",Tableau1[[#This Row],[RN Groupe 2021
Manuel]],IFERROR(_xlfn.XLOOKUP(Tableau1[[#This Row],[Isin]]&amp;1&amp;2021,#REF!,Tableau3[Résultat Net (PdG)]),""))</f>
        <v>0</v>
      </c>
      <c r="AT206" s="43"/>
      <c r="AU206" s="43" t="str">
        <f>IFERROR(_xlfn.XLOOKUP(Tableau1[[#This Row],[Isin]]&amp;1&amp;2020,#REF!,Tableau3[Résultat Net (PdG)]),"")</f>
        <v/>
      </c>
      <c r="AV206" s="43" t="str">
        <f>IFERROR(_xlfn.XLOOKUP(Tableau1[[#This Row],[Isin]]&amp;1&amp;2019,#REF!,Tableau3[Résultat Net (PdG)]),"")</f>
        <v/>
      </c>
      <c r="AW206" s="43" t="str">
        <f>IFERROR(_xlfn.XLOOKUP(Tableau1[[#This Row],[Isin]]&amp;1&amp;2018,#REF!,Tableau3[Résultat Net (PdG)]),"")</f>
        <v/>
      </c>
      <c r="AX206" s="43" t="str">
        <f>IFERROR(_xlfn.XLOOKUP(Tableau1[[#This Row],[Isin]]&amp;1&amp;2017,#REF!,Tableau3[Résultat Net (PdG)]),"")</f>
        <v/>
      </c>
      <c r="AY206" s="43" t="str">
        <f>IFERROR(_xlfn.XLOOKUP(Tableau1[[#This Row],[Isin]]&amp;1&amp;2016,#REF!,Tableau3[Résultat Net (PdG)]),"")</f>
        <v/>
      </c>
      <c r="AZ206" s="137" t="str">
        <f ca="1">IFERROR(Tableau1[[#This Row],[Capitalisation boursière]]/Tableau1[[#This Row],[RN Groupe 2023]],"")</f>
        <v/>
      </c>
      <c r="BA206" s="4" t="str" cm="1">
        <f t="array" aca="1" ref="BA206" ca="1">IFERROR(_FV(Tableau1[[#This Row],[Code Excel]],"Industrie"),"")</f>
        <v>Healthcare Equipment &amp; Supplies</v>
      </c>
      <c r="BB206" s="43" t="e">
        <v>#N/A</v>
      </c>
      <c r="BC206" s="43" t="str">
        <f>IFERROR(_xlfn.XLOOKUP(Tableau1[[#This Row],[Isin]]&amp;1&amp;2016,#REF!,Tableau3[Capi]),"")</f>
        <v/>
      </c>
      <c r="BD206" s="43" t="str">
        <f>IFERROR(_xlfn.XLOOKUP(Tableau1[[#This Row],[Isin]]&amp;1&amp;2017,#REF!,Tableau3[Capi]),"")</f>
        <v/>
      </c>
      <c r="BE206" s="43" t="str">
        <f>IFERROR(_xlfn.XLOOKUP(Tableau1[[#This Row],[Isin]]&amp;1&amp;2018,#REF!,Tableau3[Capi]),"")</f>
        <v/>
      </c>
      <c r="BF206" s="43" t="str">
        <f>IFERROR(_xlfn.XLOOKUP(Tableau1[[#This Row],[Isin]]&amp;1&amp;2019,#REF!,Tableau3[Capi]),"")</f>
        <v/>
      </c>
      <c r="BG206" s="43" t="str">
        <f>IFERROR(_xlfn.XLOOKUP(Tableau1[[#This Row],[Isin]]&amp;1&amp;2020,#REF!,Tableau3[Capi]),"")</f>
        <v/>
      </c>
      <c r="BH206" s="43">
        <f>IF(IFERROR(_xlfn.XLOOKUP(Tableau1[[#This Row],[Isin]]&amp;1&amp;2021,#REF!,Tableau3[Capi]),"")="",Tableau1[[#This Row],[Capitalisation 2021
Manuel]],IFERROR(_xlfn.XLOOKUP(Tableau1[[#This Row],[Isin]]&amp;1&amp;2021,#REF!,Tableau3[Capi]),""))</f>
        <v>0</v>
      </c>
      <c r="BI206" s="43"/>
      <c r="BJ206" s="43">
        <f>IF(IFERROR(_xlfn.XLOOKUP(Tableau1[[#This Row],[Isin]]&amp;1&amp;2022,#REF!,Tableau3[Capi]),"")="",Tableau1[[#This Row],[Capitalisation 2022
Manuel]],IFERROR(_xlfn.XLOOKUP(Tableau1[[#This Row],[Isin]]&amp;1&amp;2022,#REF!,Tableau3[Capi]),""))</f>
        <v>0</v>
      </c>
      <c r="BK206" s="43"/>
      <c r="BL206" s="43">
        <f ca="1">Tableau1[[#This Row],[Capitalisation boursière]]</f>
        <v>112389300000</v>
      </c>
      <c r="BM206" s="162" t="str" cm="1">
        <f t="array" aca="1" ref="BM206" ca="1">_FV(Tableau1[[#This Row],[Code Excel]],"Description")</f>
        <v>Medtronic Public Limited Company est une société basée en Irlande, qui fournit des solutions de technologie de la santé. La catégorie de produits de la Société comprend Advanced Surgical Technology ; rythme cardiaque ; Cardiovasculaire; digestif et gastro-intestinal ; Oreille nez gorge; Chirurgie générale; Gynécologique; Neurologique; Orale et maxillo-faciale ; Surveillance des patients ; soins rénaux ; Respiratoire; Spinal &amp; Orthopédique ; Navigation chirurgicale et imagerie ; Urologique; manuels de produits ; Commande de produits et demandes de renseignements ; et performances des produits et conseils. Ses produits comprennent la stabilisation des dispositifs électroniques implantables cardiaques (CIED), les produits de greffe d'endoprothèse aortique, le logiciel de gestion de thérapie personnelle CareLink, le logiciel de gestion de thérapie CareLink Pro. Ses services et solutions comprennent les ressources du centre de chirurgie ambulatoire, les services de gestion des soins, le support des technologies de l'information (TI) de connectivité numérique, les services et le support d'équipement, le laboratoire d'innovation, le conseil en soins de santé Medtronic et la chirurgie des sinus en cabinet.</v>
      </c>
      <c r="BN206" s="43"/>
      <c r="BO206" s="43"/>
      <c r="BP206" s="43"/>
      <c r="BQ206" s="43"/>
      <c r="BR206" s="13"/>
      <c r="BS206" s="13"/>
      <c r="BT206" s="13"/>
      <c r="BU206" s="13"/>
      <c r="BV206" s="13"/>
      <c r="BW206" s="4"/>
      <c r="BX206" s="21"/>
      <c r="BY206" s="13"/>
      <c r="BZ206" s="13"/>
      <c r="CA206" s="13"/>
      <c r="CB206" s="13"/>
      <c r="CC206" s="13"/>
      <c r="CE206" s="47"/>
      <c r="CF206" s="47"/>
    </row>
    <row r="207" spans="3:87">
      <c r="C207" s="42"/>
      <c r="D207" s="42">
        <f>IF(Tableau1[[#This Row],[Isin]]="",99,Tableau1[[#This Row],[Intérêt]]+Tableau1[[#This Row],[Valeur d''intérêt]]+Tableau1[[#This Row],[N° Portefeuille]])</f>
        <v>20</v>
      </c>
      <c r="E207" s="42"/>
      <c r="F207" s="42">
        <f>IF(Tableau1[[#This Row],[Portefeuille]]="p",0,Tableau1[[#This Row],[F. Investissement
Niveau d''intérêt]]*10)</f>
        <v>20</v>
      </c>
      <c r="G207" s="42">
        <f>IF(Tableau1[[#This Row],[Portefeuille]]="p",3,0)</f>
        <v>0</v>
      </c>
      <c r="H207" s="42">
        <v>2</v>
      </c>
      <c r="I207" s="42">
        <v>1</v>
      </c>
      <c r="J207" s="42"/>
      <c r="K207" s="43"/>
      <c r="L207" s="16">
        <v>1</v>
      </c>
      <c r="M20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7" s="44" t="s">
        <v>3960</v>
      </c>
      <c r="O207" s="45"/>
      <c r="P207" s="4" t="s">
        <v>452</v>
      </c>
      <c r="Q207" s="4"/>
      <c r="R207" s="6"/>
      <c r="S207" s="6" t="s">
        <v>2705</v>
      </c>
      <c r="T207" s="6" t="e" vm="189">
        <v>#VALUE!</v>
      </c>
      <c r="U207" s="46" cm="1">
        <f t="array" aca="1" ref="U207" ca="1">IFERROR(_FV(Tableau1[[#This Row],[Code Excel]],"Capitalisation boursière",TRUE),"")</f>
        <v>2145240000</v>
      </c>
      <c r="V207" s="4" t="str" cm="1">
        <f t="array" aca="1" ref="V207" ca="1">IFERROR(_FV(Tableau1[[#This Row],[Code Excel]],"Industrie"),"")</f>
        <v>Semiconductors &amp; Semiconductor Equipment</v>
      </c>
      <c r="W207" s="4" t="s">
        <v>4371</v>
      </c>
      <c r="X207" s="4" t="str">
        <f ca="1">Tableau1[[#This Row],[Grand Secteur]]&amp;Tableau1[[#This Row],[Industrie]]</f>
        <v>Equipement TechnologiqueSemiconductors &amp; Semiconductor Equipment</v>
      </c>
      <c r="Y207" s="23" cm="1">
        <f t="array" aca="1" ref="Y207" ca="1">IFERROR(_FV(Tableau1[[#This Row],[Code Excel]],"P/E",TRUE),"")</f>
        <v>12.4947</v>
      </c>
      <c r="Z207" s="43" cm="1">
        <f t="array" aca="1" ref="Z207" ca="1">IFERROR(_FV(Tableau1[[#This Row],[Code Excel]],"Employés"),"")</f>
        <v>1951</v>
      </c>
      <c r="AA207" s="46">
        <f ca="1">IFERROR(Tableau1[[#This Row],[Capitalisation boursière]]/Tableau1[[#This Row],[Employés]],"")</f>
        <v>1099559.2004100461</v>
      </c>
      <c r="AB207" s="5" t="str">
        <f>IFERROR(Tableau1[[#This Row],[REX (2021)]]/Tableau1[[#This Row],[CA 2024]],"")</f>
        <v/>
      </c>
      <c r="AC207" s="9" t="str">
        <f>IFERROR(_xlfn.XLOOKUP(Tableau1[[#This Row],[Isin]]&amp;1&amp;2021,#REF!,Tableau3[Résultat d''exploitation]),"")</f>
        <v/>
      </c>
      <c r="AD207" s="9" t="str">
        <f>IFERROR(_xlfn.XLOOKUP(Tableau1[[#This Row],[Isin]]&amp;1&amp;2019,#REF!,Tableau3[Chiffre d''affaires]),"")</f>
        <v/>
      </c>
      <c r="AE207" s="9" t="str">
        <f>IFERROR(_xlfn.XLOOKUP(Tableau1[[#This Row],[Isin]]&amp;1&amp;2024,#REF!,Tableau3[Chiffre d''affaires]),"")</f>
        <v/>
      </c>
      <c r="AF207" s="8" t="str">
        <f>IFERROR(IF((Tableau1[[#This Row],[CA 2024]]-Tableau1[[#This Row],[CA 2019]])/Tableau1[[#This Row],[CA 2019]]=-1,"",(Tableau1[[#This Row],[CA 2024]]-Tableau1[[#This Row],[CA 2019]])/Tableau1[[#This Row],[CA 2019]]),"")</f>
        <v/>
      </c>
      <c r="AG207" s="9" t="str">
        <f>IFERROR(_xlfn.XLOOKUP(Tableau1[[#This Row],[Isin]]&amp;1&amp;2021,#REF!,Tableau3[EBE]),"")</f>
        <v/>
      </c>
      <c r="AH207" s="9" t="str">
        <f>IFERROR(_xlfn.XLOOKUP(Tableau1[[#This Row],[Isin]]&amp;1&amp;2022,#REF!,Tableau3[EBE]),"")</f>
        <v/>
      </c>
      <c r="AI207" s="43" t="s">
        <v>4324</v>
      </c>
      <c r="AJ207" s="43" t="s">
        <v>4348</v>
      </c>
      <c r="AK207" s="43" t="s">
        <v>3149</v>
      </c>
      <c r="AL207" s="43"/>
      <c r="AM207" s="43"/>
      <c r="AN207" s="9" t="str">
        <f>IFERROR(_xlfn.XLOOKUP(Tableau1[[#This Row],[Isin]]&amp;1&amp;2021,#REF!,Tableau3[Chiffre d''affaires]),"")</f>
        <v/>
      </c>
      <c r="AO207" s="43" cm="1">
        <f t="array" aca="1" ref="AO207" ca="1">_FV(Tableau1[[#This Row],[Code Excel]],"P/E",TRUE)</f>
        <v>12.4947</v>
      </c>
      <c r="AP207" s="43" t="str">
        <f>IFERROR(_xlfn.XLOOKUP(Tableau1[[#This Row],[Isin]]&amp;1&amp;2023,#REF!,Tableau3[Résultat Net (PdG)]),"")</f>
        <v/>
      </c>
      <c r="AQ207" s="43">
        <f>IF(IFERROR(_xlfn.XLOOKUP(Tableau1[[#This Row],[Isin]]&amp;1&amp;2022,#REF!,Tableau3[Résultat Net (PdG)]),"")="",Tableau1[[#This Row],[RN Groupe 2022
Manuel]],IFERROR(_xlfn.XLOOKUP(Tableau1[[#This Row],[Isin]]&amp;1&amp;2022,#REF!,Tableau3[Résultat Net (PdG)]),""))</f>
        <v>0</v>
      </c>
      <c r="AR207" s="43"/>
      <c r="AS207" s="43">
        <f>IF(IFERROR(_xlfn.XLOOKUP(Tableau1[[#This Row],[Isin]]&amp;1&amp;2021,#REF!,Tableau3[Résultat Net (PdG)]),"")="",Tableau1[[#This Row],[RN Groupe 2021
Manuel]],IFERROR(_xlfn.XLOOKUP(Tableau1[[#This Row],[Isin]]&amp;1&amp;2021,#REF!,Tableau3[Résultat Net (PdG)]),""))</f>
        <v>0</v>
      </c>
      <c r="AT207" s="43"/>
      <c r="AU207" s="43" t="str">
        <f>IFERROR(_xlfn.XLOOKUP(Tableau1[[#This Row],[Isin]]&amp;1&amp;2020,#REF!,Tableau3[Résultat Net (PdG)]),"")</f>
        <v/>
      </c>
      <c r="AV207" s="43" t="str">
        <f>IFERROR(_xlfn.XLOOKUP(Tableau1[[#This Row],[Isin]]&amp;1&amp;2019,#REF!,Tableau3[Résultat Net (PdG)]),"")</f>
        <v/>
      </c>
      <c r="AW207" s="43" t="str">
        <f>IFERROR(_xlfn.XLOOKUP(Tableau1[[#This Row],[Isin]]&amp;1&amp;2018,#REF!,Tableau3[Résultat Net (PdG)]),"")</f>
        <v/>
      </c>
      <c r="AX207" s="43" t="str">
        <f>IFERROR(_xlfn.XLOOKUP(Tableau1[[#This Row],[Isin]]&amp;1&amp;2017,#REF!,Tableau3[Résultat Net (PdG)]),"")</f>
        <v/>
      </c>
      <c r="AY207" s="43" t="str">
        <f>IFERROR(_xlfn.XLOOKUP(Tableau1[[#This Row],[Isin]]&amp;1&amp;2016,#REF!,Tableau3[Résultat Net (PdG)]),"")</f>
        <v/>
      </c>
      <c r="AZ207" s="137" t="str">
        <f ca="1">IFERROR(Tableau1[[#This Row],[Capitalisation boursière]]/Tableau1[[#This Row],[RN Groupe 2023]],"")</f>
        <v/>
      </c>
      <c r="BA207" s="4" t="str" cm="1">
        <f t="array" aca="1" ref="BA207" ca="1">IFERROR(_FV(Tableau1[[#This Row],[Code Excel]],"Industrie"),"")</f>
        <v>Semiconductors &amp; Semiconductor Equipment</v>
      </c>
      <c r="BB207" s="43" t="s">
        <v>3482</v>
      </c>
      <c r="BC207" s="43" t="str">
        <f>IFERROR(_xlfn.XLOOKUP(Tableau1[[#This Row],[Isin]]&amp;1&amp;2016,#REF!,Tableau3[Capi]),"")</f>
        <v/>
      </c>
      <c r="BD207" s="43" t="str">
        <f>IFERROR(_xlfn.XLOOKUP(Tableau1[[#This Row],[Isin]]&amp;1&amp;2017,#REF!,Tableau3[Capi]),"")</f>
        <v/>
      </c>
      <c r="BE207" s="43" t="str">
        <f>IFERROR(_xlfn.XLOOKUP(Tableau1[[#This Row],[Isin]]&amp;1&amp;2018,#REF!,Tableau3[Capi]),"")</f>
        <v/>
      </c>
      <c r="BF207" s="43" t="str">
        <f>IFERROR(_xlfn.XLOOKUP(Tableau1[[#This Row],[Isin]]&amp;1&amp;2019,#REF!,Tableau3[Capi]),"")</f>
        <v/>
      </c>
      <c r="BG207" s="43" t="str">
        <f>IFERROR(_xlfn.XLOOKUP(Tableau1[[#This Row],[Isin]]&amp;1&amp;2020,#REF!,Tableau3[Capi]),"")</f>
        <v/>
      </c>
      <c r="BH207" s="43">
        <f>IF(IFERROR(_xlfn.XLOOKUP(Tableau1[[#This Row],[Isin]]&amp;1&amp;2021,#REF!,Tableau3[Capi]),"")="",Tableau1[[#This Row],[Capitalisation 2021
Manuel]],IFERROR(_xlfn.XLOOKUP(Tableau1[[#This Row],[Isin]]&amp;1&amp;2021,#REF!,Tableau3[Capi]),""))</f>
        <v>0</v>
      </c>
      <c r="BI207" s="43"/>
      <c r="BJ207" s="43">
        <f>IF(IFERROR(_xlfn.XLOOKUP(Tableau1[[#This Row],[Isin]]&amp;1&amp;2022,#REF!,Tableau3[Capi]),"")="",Tableau1[[#This Row],[Capitalisation 2022
Manuel]],IFERROR(_xlfn.XLOOKUP(Tableau1[[#This Row],[Isin]]&amp;1&amp;2022,#REF!,Tableau3[Capi]),""))</f>
        <v>0</v>
      </c>
      <c r="BK207" s="43"/>
      <c r="BL207" s="43">
        <f ca="1">Tableau1[[#This Row],[Capitalisation boursière]]</f>
        <v>2145240000</v>
      </c>
      <c r="BM207" s="162" t="str" cm="1">
        <f t="array" aca="1" ref="BM207" ca="1">_FV(Tableau1[[#This Row],[Code Excel]],"Description")</f>
        <v>Melexis NV est une société belge qui conçoit, développe, teste et commercialise des dispositifs semi-conducteurs intégrés avancés pour une utilisation dans les systèmes électroniques automobiles. La société fournit des puces de capteur, de communication et de pilote avec sorties analogiques et numériques. Melexis divise ses activités en quatre divisions : capteurs, actionneurs, circuits radiofréquence et circuits multiplexeurs. La division capteurs comprend les activités Hall, pression et accélération. La division Actuators se compose de circuits intégrés de commande de moteur et d'esclaves LIN (local Interconnect Network). La division circuits radiofréquence fournit des solutions de connectivité et d'identification à courte portée avec des circuits intégrés RF (radiofréquence) et RFID (identification par radiofréquence). Les circuits de multiplexage sont constitués de SensorEyeC, de capteurs de lumière de pluie, d'imageurs automobiles et autres. La Société opère à travers ses filiales et succursales en Belgique, France, Allemagne, Suisse, Bulgarie, Ukraine, États-Unis, Hong Kong, Philippines</v>
      </c>
      <c r="BN207" s="43"/>
      <c r="BO207" s="43"/>
      <c r="BP207" s="43"/>
      <c r="BQ207" s="43"/>
      <c r="BR207" s="13"/>
      <c r="BS207" s="13"/>
      <c r="BT207" s="13"/>
      <c r="BU207" s="13"/>
      <c r="BV207" s="13"/>
      <c r="BW207" s="4"/>
      <c r="BX207" s="21"/>
      <c r="BY207" s="13"/>
      <c r="BZ207" s="13"/>
      <c r="CA207" s="13"/>
      <c r="CB207" s="13"/>
      <c r="CC207" s="13"/>
      <c r="CE207" s="47"/>
      <c r="CF207" s="47"/>
    </row>
    <row r="208" spans="3:87">
      <c r="C208" s="43"/>
      <c r="D208" s="42">
        <f>IF(Tableau1[[#This Row],[Isin]]="",99,Tableau1[[#This Row],[Intérêt]]+Tableau1[[#This Row],[Valeur d''intérêt]]+Tableau1[[#This Row],[N° Portefeuille]])</f>
        <v>20</v>
      </c>
      <c r="E208" s="43"/>
      <c r="F208" s="42">
        <f>IF(Tableau1[[#This Row],[Portefeuille]]="p",0,Tableau1[[#This Row],[F. Investissement
Niveau d''intérêt]]*10)</f>
        <v>20</v>
      </c>
      <c r="G208" s="43">
        <f>IF(Tableau1[[#This Row],[Portefeuille]]="p",3,0)</f>
        <v>0</v>
      </c>
      <c r="H208" s="43">
        <v>2</v>
      </c>
      <c r="I208" s="43">
        <v>2</v>
      </c>
      <c r="J208" s="43"/>
      <c r="K208" s="43"/>
      <c r="L208" s="16">
        <v>1</v>
      </c>
      <c r="M20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8" s="44" t="s">
        <v>3963</v>
      </c>
      <c r="O208" s="44" t="s">
        <v>1224</v>
      </c>
      <c r="P208" s="4" t="s">
        <v>564</v>
      </c>
      <c r="Q208" s="6" t="s">
        <v>85</v>
      </c>
      <c r="R208" s="6"/>
      <c r="S208" s="6" t="s">
        <v>2263</v>
      </c>
      <c r="T208" s="6" t="e" vm="190">
        <v>#VALUE!</v>
      </c>
      <c r="U208" s="46" cm="1">
        <f t="array" aca="1" ref="U208" ca="1">IFERROR(_FV(Tableau1[[#This Row],[Code Excel]],"Capitalisation boursière",TRUE),"")</f>
        <v>53681880000</v>
      </c>
      <c r="V208" s="4" t="str" cm="1">
        <f t="array" aca="1" ref="V208" ca="1">IFERROR(_FV(Tableau1[[#This Row],[Code Excel]],"Industrie"),"")</f>
        <v>Automobiles &amp; Auto Parts</v>
      </c>
      <c r="W208" s="4" t="s">
        <v>1224</v>
      </c>
      <c r="X208" s="4" t="str">
        <f ca="1">Tableau1[[#This Row],[Grand Secteur]]&amp;Tableau1[[#This Row],[Industrie]]</f>
        <v>AutomobileAutomobiles &amp; Auto Parts</v>
      </c>
      <c r="Y208" s="23" cm="1">
        <f t="array" aca="1" ref="Y208" ca="1">IFERROR(_FV(Tableau1[[#This Row],[Code Excel]],"P/E",TRUE),"")</f>
        <v>5.53</v>
      </c>
      <c r="Z208" s="43" cm="1">
        <f t="array" aca="1" ref="Z208" ca="1">IFERROR(_FV(Tableau1[[#This Row],[Code Excel]],"Employés"),"")</f>
        <v>163132</v>
      </c>
      <c r="AA208" s="46">
        <f ca="1">IFERROR(Tableau1[[#This Row],[Capitalisation boursière]]/Tableau1[[#This Row],[Employés]],"")</f>
        <v>329070.2008189687</v>
      </c>
      <c r="AB208" s="5" t="str">
        <f>IFERROR(Tableau1[[#This Row],[REX (2021)]]/Tableau1[[#This Row],[CA 2024]],"")</f>
        <v/>
      </c>
      <c r="AC208" s="9" t="str">
        <f>IFERROR(_xlfn.XLOOKUP(Tableau1[[#This Row],[Isin]]&amp;1&amp;2021,#REF!,Tableau3[Résultat d''exploitation]),"")</f>
        <v/>
      </c>
      <c r="AD208" s="9" t="str">
        <f>IFERROR(_xlfn.XLOOKUP(Tableau1[[#This Row],[Isin]]&amp;1&amp;2019,#REF!,Tableau3[Chiffre d''affaires]),"")</f>
        <v/>
      </c>
      <c r="AE208" s="9" t="str">
        <f>IFERROR(_xlfn.XLOOKUP(Tableau1[[#This Row],[Isin]]&amp;1&amp;2024,#REF!,Tableau3[Chiffre d''affaires]),"")</f>
        <v/>
      </c>
      <c r="AF208" s="8" t="str">
        <f>IFERROR(IF((Tableau1[[#This Row],[CA 2024]]-Tableau1[[#This Row],[CA 2019]])/Tableau1[[#This Row],[CA 2019]]=-1,"",(Tableau1[[#This Row],[CA 2024]]-Tableau1[[#This Row],[CA 2019]])/Tableau1[[#This Row],[CA 2019]]),"")</f>
        <v/>
      </c>
      <c r="AG208" s="9" t="str">
        <f>IFERROR(_xlfn.XLOOKUP(Tableau1[[#This Row],[Isin]]&amp;1&amp;2021,#REF!,Tableau3[EBE]),"")</f>
        <v/>
      </c>
      <c r="AH208" s="9" t="str">
        <f>IFERROR(_xlfn.XLOOKUP(Tableau1[[#This Row],[Isin]]&amp;1&amp;2022,#REF!,Tableau3[EBE]),"")</f>
        <v/>
      </c>
      <c r="AI208" s="43" t="s">
        <v>4329</v>
      </c>
      <c r="AJ208" s="43" t="s">
        <v>3150</v>
      </c>
      <c r="AK208" s="43" t="s">
        <v>3148</v>
      </c>
      <c r="AL208" s="43" t="s">
        <v>3149</v>
      </c>
      <c r="AM208" s="43"/>
      <c r="AN208" s="9" t="str">
        <f>IFERROR(_xlfn.XLOOKUP(Tableau1[[#This Row],[Isin]]&amp;1&amp;2021,#REF!,Tableau3[Chiffre d''affaires]),"")</f>
        <v/>
      </c>
      <c r="AO208" s="43" cm="1">
        <f t="array" aca="1" ref="AO208" ca="1">_FV(Tableau1[[#This Row],[Code Excel]],"P/E",TRUE)</f>
        <v>5.53</v>
      </c>
      <c r="AP208" s="43" t="str">
        <f>IFERROR(_xlfn.XLOOKUP(Tableau1[[#This Row],[Isin]]&amp;1&amp;2023,#REF!,Tableau3[Résultat Net (PdG)]),"")</f>
        <v/>
      </c>
      <c r="AQ208" s="43">
        <f>IF(IFERROR(_xlfn.XLOOKUP(Tableau1[[#This Row],[Isin]]&amp;1&amp;2022,#REF!,Tableau3[Résultat Net (PdG)]),"")="",Tableau1[[#This Row],[RN Groupe 2022
Manuel]],IFERROR(_xlfn.XLOOKUP(Tableau1[[#This Row],[Isin]]&amp;1&amp;2022,#REF!,Tableau3[Résultat Net (PdG)]),""))</f>
        <v>0</v>
      </c>
      <c r="AR208" s="43"/>
      <c r="AS208" s="43">
        <f>IF(IFERROR(_xlfn.XLOOKUP(Tableau1[[#This Row],[Isin]]&amp;1&amp;2021,#REF!,Tableau3[Résultat Net (PdG)]),"")="",Tableau1[[#This Row],[RN Groupe 2021
Manuel]],IFERROR(_xlfn.XLOOKUP(Tableau1[[#This Row],[Isin]]&amp;1&amp;2021,#REF!,Tableau3[Résultat Net (PdG)]),""))</f>
        <v>0</v>
      </c>
      <c r="AT208" s="43"/>
      <c r="AU208" s="43" t="str">
        <f>IFERROR(_xlfn.XLOOKUP(Tableau1[[#This Row],[Isin]]&amp;1&amp;2020,#REF!,Tableau3[Résultat Net (PdG)]),"")</f>
        <v/>
      </c>
      <c r="AV208" s="43" t="str">
        <f>IFERROR(_xlfn.XLOOKUP(Tableau1[[#This Row],[Isin]]&amp;1&amp;2019,#REF!,Tableau3[Résultat Net (PdG)]),"")</f>
        <v/>
      </c>
      <c r="AW208" s="43" t="str">
        <f>IFERROR(_xlfn.XLOOKUP(Tableau1[[#This Row],[Isin]]&amp;1&amp;2018,#REF!,Tableau3[Résultat Net (PdG)]),"")</f>
        <v/>
      </c>
      <c r="AX208" s="43" t="str">
        <f>IFERROR(_xlfn.XLOOKUP(Tableau1[[#This Row],[Isin]]&amp;1&amp;2017,#REF!,Tableau3[Résultat Net (PdG)]),"")</f>
        <v/>
      </c>
      <c r="AY208" s="43" t="str">
        <f>IFERROR(_xlfn.XLOOKUP(Tableau1[[#This Row],[Isin]]&amp;1&amp;2016,#REF!,Tableau3[Résultat Net (PdG)]),"")</f>
        <v/>
      </c>
      <c r="AZ208" s="137" t="str">
        <f ca="1">IFERROR(Tableau1[[#This Row],[Capitalisation boursière]]/Tableau1[[#This Row],[RN Groupe 2023]],"")</f>
        <v/>
      </c>
      <c r="BA208" s="4" t="str" cm="1">
        <f t="array" aca="1" ref="BA208" ca="1">IFERROR(_FV(Tableau1[[#This Row],[Code Excel]],"Industrie"),"")</f>
        <v>Automobiles &amp; Auto Parts</v>
      </c>
      <c r="BB208" s="43" t="s">
        <v>3487</v>
      </c>
      <c r="BC208" s="43" t="str">
        <f>IFERROR(_xlfn.XLOOKUP(Tableau1[[#This Row],[Isin]]&amp;1&amp;2016,#REF!,Tableau3[Capi]),"")</f>
        <v/>
      </c>
      <c r="BD208" s="43" t="str">
        <f>IFERROR(_xlfn.XLOOKUP(Tableau1[[#This Row],[Isin]]&amp;1&amp;2017,#REF!,Tableau3[Capi]),"")</f>
        <v/>
      </c>
      <c r="BE208" s="43" t="str">
        <f>IFERROR(_xlfn.XLOOKUP(Tableau1[[#This Row],[Isin]]&amp;1&amp;2018,#REF!,Tableau3[Capi]),"")</f>
        <v/>
      </c>
      <c r="BF208" s="43" t="str">
        <f>IFERROR(_xlfn.XLOOKUP(Tableau1[[#This Row],[Isin]]&amp;1&amp;2019,#REF!,Tableau3[Capi]),"")</f>
        <v/>
      </c>
      <c r="BG208" s="43" t="str">
        <f>IFERROR(_xlfn.XLOOKUP(Tableau1[[#This Row],[Isin]]&amp;1&amp;2020,#REF!,Tableau3[Capi]),"")</f>
        <v/>
      </c>
      <c r="BH208" s="43">
        <f>IF(IFERROR(_xlfn.XLOOKUP(Tableau1[[#This Row],[Isin]]&amp;1&amp;2021,#REF!,Tableau3[Capi]),"")="",Tableau1[[#This Row],[Capitalisation 2021
Manuel]],IFERROR(_xlfn.XLOOKUP(Tableau1[[#This Row],[Isin]]&amp;1&amp;2021,#REF!,Tableau3[Capi]),""))</f>
        <v>0</v>
      </c>
      <c r="BI208" s="43"/>
      <c r="BJ208" s="43">
        <f>IF(IFERROR(_xlfn.XLOOKUP(Tableau1[[#This Row],[Isin]]&amp;1&amp;2022,#REF!,Tableau3[Capi]),"")="",Tableau1[[#This Row],[Capitalisation 2022
Manuel]],IFERROR(_xlfn.XLOOKUP(Tableau1[[#This Row],[Isin]]&amp;1&amp;2022,#REF!,Tableau3[Capi]),""))</f>
        <v>0</v>
      </c>
      <c r="BK208" s="43"/>
      <c r="BL208" s="43">
        <f ca="1">Tableau1[[#This Row],[Capitalisation boursière]]</f>
        <v>53681880000</v>
      </c>
      <c r="BM208" s="162" t="str" cm="1">
        <f t="array" aca="1" ref="BM208" ca="1">_FV(Tableau1[[#This Row],[Code Excel]],"Description")</f>
        <v>Mercedes-Benz Group AG, anciennement Daimler AG (Daimler), est une société d'ingénierie automobile basée en Allemagne. La Société s'occupe du développement, de la production et de la distribution de voitures et de camionnettes en Allemagne, et de la gestion du Daimler Group. Les segments comprennent Mercedes-Benz Cars, Mercedes-Benz Vans et Daimler Financial Services. Le segment Mercedes-Benz Cars comprend les véhicules de la marque Mercedes-Benz, y compris les marques Mercedes-AMG et Mercedes-Maybach, et les petites voitures sous la marque smart, ainsi que la marque Mercedes me. The Mercedes-Benz Vans vend des fourgonnettes sous la marque Mercedes-Benz et la marque Freightliner. Daimler Mobility AG propose par ex. le financement, le leasing, l'abonnement et la location de voitures, la gestion de flotte, les services numériques, ainsi que les services de mobilité. Les services financiers de Daimler soutiennent également les ventes de ses marques automobiles dans le monde entier.</v>
      </c>
      <c r="BN208" s="43"/>
      <c r="BO208" s="43"/>
      <c r="BP208" s="43"/>
      <c r="BQ208" s="43"/>
      <c r="BR208" s="13"/>
      <c r="BS208" s="13"/>
      <c r="BT208" s="13"/>
      <c r="BU208" s="13"/>
      <c r="BV208" s="13"/>
      <c r="BW208" s="4"/>
      <c r="BX208" s="21"/>
      <c r="BY208" s="13"/>
      <c r="BZ208" s="13"/>
      <c r="CA208" s="13"/>
      <c r="CB208" s="13"/>
      <c r="CC208" s="13"/>
      <c r="CE208" s="47"/>
      <c r="CF208" s="47"/>
    </row>
    <row r="209" spans="3:85">
      <c r="C209" s="42"/>
      <c r="D209" s="42">
        <f>IF(Tableau1[[#This Row],[Isin]]="",99,Tableau1[[#This Row],[Intérêt]]+Tableau1[[#This Row],[Valeur d''intérêt]]+Tableau1[[#This Row],[N° Portefeuille]])</f>
        <v>30</v>
      </c>
      <c r="E209" s="42"/>
      <c r="F209" s="42">
        <f>IF(Tableau1[[#This Row],[Portefeuille]]="p",0,Tableau1[[#This Row],[F. Investissement
Niveau d''intérêt]]*10)</f>
        <v>30</v>
      </c>
      <c r="G209" s="42">
        <f>IF(Tableau1[[#This Row],[Portefeuille]]="p",3,0)</f>
        <v>0</v>
      </c>
      <c r="H209" s="42">
        <v>3</v>
      </c>
      <c r="I209" s="42">
        <v>4</v>
      </c>
      <c r="J209" s="42"/>
      <c r="K209" s="43"/>
      <c r="L209" s="16">
        <v>0</v>
      </c>
      <c r="M20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09" s="44" t="s">
        <v>3965</v>
      </c>
      <c r="O209" s="45"/>
      <c r="P209" s="4" t="s">
        <v>84</v>
      </c>
      <c r="Q209" s="4"/>
      <c r="R209" s="6"/>
      <c r="S209" s="6" t="s">
        <v>3966</v>
      </c>
      <c r="T209" s="6" t="e" vm="191">
        <v>#VALUE!</v>
      </c>
      <c r="U209" s="46" cm="1">
        <f t="array" aca="1" ref="U209" ca="1">IFERROR(_FV(Tableau1[[#This Row],[Code Excel]],"Capitalisation boursière",TRUE),"")</f>
        <v>1088145000</v>
      </c>
      <c r="V209" s="4" t="str" cm="1">
        <f t="array" aca="1" ref="V209" ca="1">IFERROR(_FV(Tableau1[[#This Row],[Code Excel]],"Industrie"),"")</f>
        <v>Residential &amp; Commercial REIT</v>
      </c>
      <c r="W209" s="4" t="s">
        <v>2083</v>
      </c>
      <c r="X209" s="4" t="str">
        <f ca="1">Tableau1[[#This Row],[Grand Secteur]]&amp;Tableau1[[#This Row],[Industrie]]</f>
        <v>ImmobilierResidential &amp; Commercial REIT</v>
      </c>
      <c r="Y209" s="23" cm="1">
        <f t="array" aca="1" ref="Y209" ca="1">IFERROR(_FV(Tableau1[[#This Row],[Code Excel]],"P/E",TRUE),"")</f>
        <v>20.0243</v>
      </c>
      <c r="Z209" s="43" cm="1">
        <f t="array" aca="1" ref="Z209" ca="1">IFERROR(_FV(Tableau1[[#This Row],[Code Excel]],"Employés"),"")</f>
        <v>177</v>
      </c>
      <c r="AA209" s="49">
        <f ca="1">IFERROR(Tableau1[[#This Row],[Capitalisation boursière]]/Tableau1[[#This Row],[Employés]],"")</f>
        <v>6147711.8644067794</v>
      </c>
      <c r="AB209" s="5" t="str">
        <f>IFERROR(Tableau1[[#This Row],[REX (2021)]]/Tableau1[[#This Row],[CA 2024]],"")</f>
        <v/>
      </c>
      <c r="AC209" s="9" t="str">
        <f>IFERROR(_xlfn.XLOOKUP(Tableau1[[#This Row],[Isin]]&amp;1&amp;2021,#REF!,Tableau3[Résultat d''exploitation]),"")</f>
        <v/>
      </c>
      <c r="AD209" s="9" t="str">
        <f>IFERROR(_xlfn.XLOOKUP(Tableau1[[#This Row],[Isin]]&amp;1&amp;2019,#REF!,Tableau3[Chiffre d''affaires]),"")</f>
        <v/>
      </c>
      <c r="AE209" s="9" t="str">
        <f>IFERROR(_xlfn.XLOOKUP(Tableau1[[#This Row],[Isin]]&amp;1&amp;2024,#REF!,Tableau3[Chiffre d''affaires]),"")</f>
        <v/>
      </c>
      <c r="AF209" s="8" t="str">
        <f>IFERROR(IF((Tableau1[[#This Row],[CA 2024]]-Tableau1[[#This Row],[CA 2019]])/Tableau1[[#This Row],[CA 2019]]=-1,"",(Tableau1[[#This Row],[CA 2024]]-Tableau1[[#This Row],[CA 2019]])/Tableau1[[#This Row],[CA 2019]]),"")</f>
        <v/>
      </c>
      <c r="AG209" s="9" t="str">
        <f>IFERROR(_xlfn.XLOOKUP(Tableau1[[#This Row],[Isin]]&amp;1&amp;2021,#REF!,Tableau3[EBE]),"")</f>
        <v/>
      </c>
      <c r="AH209" s="9" t="str">
        <f>IFERROR(_xlfn.XLOOKUP(Tableau1[[#This Row],[Isin]]&amp;1&amp;2022,#REF!,Tableau3[EBE]),"")</f>
        <v/>
      </c>
      <c r="AI209" s="43" t="s">
        <v>3431</v>
      </c>
      <c r="AJ209" s="43" t="s">
        <v>4322</v>
      </c>
      <c r="AK209" s="43" t="s">
        <v>3148</v>
      </c>
      <c r="AL209" s="43"/>
      <c r="AM209" s="43"/>
      <c r="AN209" s="9" t="str">
        <f>IFERROR(_xlfn.XLOOKUP(Tableau1[[#This Row],[Isin]]&amp;1&amp;2021,#REF!,Tableau3[Chiffre d''affaires]),"")</f>
        <v/>
      </c>
      <c r="AO209" s="43" cm="1">
        <f t="array" aca="1" ref="AO209" ca="1">_FV(Tableau1[[#This Row],[Code Excel]],"P/E",TRUE)</f>
        <v>20.0243</v>
      </c>
      <c r="AP209" s="43" t="str">
        <f>IFERROR(_xlfn.XLOOKUP(Tableau1[[#This Row],[Isin]]&amp;1&amp;2023,#REF!,Tableau3[Résultat Net (PdG)]),"")</f>
        <v/>
      </c>
      <c r="AQ209" s="43">
        <f>IF(IFERROR(_xlfn.XLOOKUP(Tableau1[[#This Row],[Isin]]&amp;1&amp;2022,#REF!,Tableau3[Résultat Net (PdG)]),"")="",Tableau1[[#This Row],[RN Groupe 2022
Manuel]],IFERROR(_xlfn.XLOOKUP(Tableau1[[#This Row],[Isin]]&amp;1&amp;2022,#REF!,Tableau3[Résultat Net (PdG)]),""))</f>
        <v>0</v>
      </c>
      <c r="AR209" s="43"/>
      <c r="AS209" s="43">
        <f>IF(IFERROR(_xlfn.XLOOKUP(Tableau1[[#This Row],[Isin]]&amp;1&amp;2021,#REF!,Tableau3[Résultat Net (PdG)]),"")="",Tableau1[[#This Row],[RN Groupe 2021
Manuel]],IFERROR(_xlfn.XLOOKUP(Tableau1[[#This Row],[Isin]]&amp;1&amp;2021,#REF!,Tableau3[Résultat Net (PdG)]),""))</f>
        <v>0</v>
      </c>
      <c r="AT209" s="43"/>
      <c r="AU209" s="43" t="str">
        <f>IFERROR(_xlfn.XLOOKUP(Tableau1[[#This Row],[Isin]]&amp;1&amp;2020,#REF!,Tableau3[Résultat Net (PdG)]),"")</f>
        <v/>
      </c>
      <c r="AV209" s="43" t="str">
        <f>IFERROR(_xlfn.XLOOKUP(Tableau1[[#This Row],[Isin]]&amp;1&amp;2019,#REF!,Tableau3[Résultat Net (PdG)]),"")</f>
        <v/>
      </c>
      <c r="AW209" s="43" t="str">
        <f>IFERROR(_xlfn.XLOOKUP(Tableau1[[#This Row],[Isin]]&amp;1&amp;2018,#REF!,Tableau3[Résultat Net (PdG)]),"")</f>
        <v/>
      </c>
      <c r="AX209" s="43" t="str">
        <f>IFERROR(_xlfn.XLOOKUP(Tableau1[[#This Row],[Isin]]&amp;1&amp;2017,#REF!,Tableau3[Résultat Net (PdG)]),"")</f>
        <v/>
      </c>
      <c r="AY209" s="43" t="str">
        <f>IFERROR(_xlfn.XLOOKUP(Tableau1[[#This Row],[Isin]]&amp;1&amp;2016,#REF!,Tableau3[Résultat Net (PdG)]),"")</f>
        <v/>
      </c>
      <c r="AZ209" s="137" t="str">
        <f ca="1">IFERROR(Tableau1[[#This Row],[Capitalisation boursière]]/Tableau1[[#This Row],[RN Groupe 2023]],"")</f>
        <v/>
      </c>
      <c r="BA209" s="4" t="str" cm="1">
        <f t="array" aca="1" ref="BA209" ca="1">IFERROR(_FV(Tableau1[[#This Row],[Code Excel]],"Industrie"),"")</f>
        <v>Residential &amp; Commercial REIT</v>
      </c>
      <c r="BB209" s="43" t="s">
        <v>3477</v>
      </c>
      <c r="BC209" s="43" t="str">
        <f>IFERROR(_xlfn.XLOOKUP(Tableau1[[#This Row],[Isin]]&amp;1&amp;2016,#REF!,Tableau3[Capi]),"")</f>
        <v/>
      </c>
      <c r="BD209" s="43" t="str">
        <f>IFERROR(_xlfn.XLOOKUP(Tableau1[[#This Row],[Isin]]&amp;1&amp;2017,#REF!,Tableau3[Capi]),"")</f>
        <v/>
      </c>
      <c r="BE209" s="43" t="str">
        <f>IFERROR(_xlfn.XLOOKUP(Tableau1[[#This Row],[Isin]]&amp;1&amp;2018,#REF!,Tableau3[Capi]),"")</f>
        <v/>
      </c>
      <c r="BF209" s="43" t="str">
        <f>IFERROR(_xlfn.XLOOKUP(Tableau1[[#This Row],[Isin]]&amp;1&amp;2019,#REF!,Tableau3[Capi]),"")</f>
        <v/>
      </c>
      <c r="BG209" s="43" t="str">
        <f>IFERROR(_xlfn.XLOOKUP(Tableau1[[#This Row],[Isin]]&amp;1&amp;2020,#REF!,Tableau3[Capi]),"")</f>
        <v/>
      </c>
      <c r="BH209" s="43">
        <f>IF(IFERROR(_xlfn.XLOOKUP(Tableau1[[#This Row],[Isin]]&amp;1&amp;2021,#REF!,Tableau3[Capi]),"")="",Tableau1[[#This Row],[Capitalisation 2021
Manuel]],IFERROR(_xlfn.XLOOKUP(Tableau1[[#This Row],[Isin]]&amp;1&amp;2021,#REF!,Tableau3[Capi]),""))</f>
        <v>0</v>
      </c>
      <c r="BI209" s="43"/>
      <c r="BJ209" s="43">
        <f>IF(IFERROR(_xlfn.XLOOKUP(Tableau1[[#This Row],[Isin]]&amp;1&amp;2022,#REF!,Tableau3[Capi]),"")="",Tableau1[[#This Row],[Capitalisation 2022
Manuel]],IFERROR(_xlfn.XLOOKUP(Tableau1[[#This Row],[Isin]]&amp;1&amp;2022,#REF!,Tableau3[Capi]),""))</f>
        <v>0</v>
      </c>
      <c r="BK209" s="43"/>
      <c r="BL209" s="43">
        <f ca="1">Tableau1[[#This Row],[Capitalisation boursière]]</f>
        <v>1088145000</v>
      </c>
      <c r="BM209" s="162" t="str" cm="1">
        <f t="array" aca="1" ref="BM209" ca="1">_FV(Tableau1[[#This Row],[Code Excel]],"Description")</f>
        <v>MERCIALYS S.A. est une Société basée en France, se consacrant à des exploitations immobilières. Elle a le statut de SIIC (fiducie de placement immobilier - REIT). La Société détient et gère un portefeuille d'actifs, composé principalement de biens immobiliers commerciaux, tels que les restaurants en libre-service, des grands centres commerciaux et de petits centres locaux de magasins spécialisés et de grands magasins à proximité des hypermarchés ou supermarchés détenus par le Groupe Casino. MERCIALYS S.A. loue l'espace principalement aux magasins de marques nationales, aux chaines de magasins ou franchises, ainsi qu'aux détaillants indépendants. Les fonctions d'assistance de la Société, telles que la gestion immobilière, l'administration, la finance et la comptabilité, les affaires juridiques, les enquêtes et les technologies de l'information, sont externalisées auprès de différentes unités du Groupe Casino.</v>
      </c>
      <c r="BN209" s="43"/>
      <c r="BO209" s="43"/>
      <c r="BP209" s="43"/>
      <c r="BQ209" s="43"/>
      <c r="BR209" s="13"/>
      <c r="BS209" s="13"/>
      <c r="BT209" s="13"/>
      <c r="BU209" s="13"/>
      <c r="BV209" s="13"/>
      <c r="BW209" s="4"/>
      <c r="BX209" s="21"/>
      <c r="BY209" s="13"/>
      <c r="BZ209" s="13"/>
      <c r="CA209" s="13"/>
      <c r="CB209" s="13"/>
      <c r="CC209" s="13"/>
      <c r="CE209" s="47"/>
      <c r="CF209" s="47"/>
    </row>
    <row r="210" spans="3:85">
      <c r="C210" s="43"/>
      <c r="D210" s="42">
        <f>IF(Tableau1[[#This Row],[Isin]]="",99,Tableau1[[#This Row],[Intérêt]]+Tableau1[[#This Row],[Valeur d''intérêt]]+Tableau1[[#This Row],[N° Portefeuille]])</f>
        <v>30</v>
      </c>
      <c r="E210" s="43"/>
      <c r="F210" s="42">
        <f>IF(Tableau1[[#This Row],[Portefeuille]]="p",0,Tableau1[[#This Row],[F. Investissement
Niveau d''intérêt]]*10)</f>
        <v>30</v>
      </c>
      <c r="G210" s="43">
        <f>IF(Tableau1[[#This Row],[Portefeuille]]="p",3,0)</f>
        <v>0</v>
      </c>
      <c r="H210" s="43">
        <v>3</v>
      </c>
      <c r="I210" s="43">
        <v>4</v>
      </c>
      <c r="J210" s="43"/>
      <c r="K210" s="43"/>
      <c r="L210" s="16">
        <v>0</v>
      </c>
      <c r="M21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0" s="44" t="s">
        <v>3968</v>
      </c>
      <c r="O210" s="45"/>
      <c r="P210" s="4" t="s">
        <v>382</v>
      </c>
      <c r="Q210" s="4"/>
      <c r="R210" s="6"/>
      <c r="S210" s="6" t="s">
        <v>3969</v>
      </c>
      <c r="T210" s="6" t="e" vm="192">
        <v>#VALUE!</v>
      </c>
      <c r="U210" s="46" cm="1">
        <f t="array" aca="1" ref="U210" ca="1">IFERROR(_FV(Tableau1[[#This Row],[Code Excel]],"Capitalisation boursière",TRUE),"")</f>
        <v>224084653559</v>
      </c>
      <c r="V210" s="4" t="str" cm="1">
        <f t="array" aca="1" ref="V210" ca="1">IFERROR(_FV(Tableau1[[#This Row],[Code Excel]],"Industrie"),"")</f>
        <v>Pharmaceuticals</v>
      </c>
      <c r="W210" s="4" t="s">
        <v>1586</v>
      </c>
      <c r="X210" s="4" t="str">
        <f ca="1">Tableau1[[#This Row],[Grand Secteur]]&amp;Tableau1[[#This Row],[Industrie]]</f>
        <v>SantéPharmaceuticals</v>
      </c>
      <c r="Y210" s="23" cm="1">
        <f t="array" aca="1" ref="Y210" ca="1">IFERROR(_FV(Tableau1[[#This Row],[Code Excel]],"P/E",TRUE),"")</f>
        <v>13.2486</v>
      </c>
      <c r="Z210" s="43" cm="1">
        <f t="array" aca="1" ref="Z210" ca="1">IFERROR(_FV(Tableau1[[#This Row],[Code Excel]],"Employés"),"")</f>
        <v>75000</v>
      </c>
      <c r="AA210" s="49">
        <f ca="1">IFERROR(Tableau1[[#This Row],[Capitalisation boursière]]/Tableau1[[#This Row],[Employés]],"")</f>
        <v>2987795.3807866666</v>
      </c>
      <c r="AB210" s="5" t="str">
        <f>IFERROR(Tableau1[[#This Row],[REX (2021)]]/Tableau1[[#This Row],[CA 2024]],"")</f>
        <v/>
      </c>
      <c r="AC210" s="9" t="str">
        <f>IFERROR(_xlfn.XLOOKUP(Tableau1[[#This Row],[Isin]]&amp;1&amp;2021,#REF!,Tableau3[Résultat d''exploitation]),"")</f>
        <v/>
      </c>
      <c r="AD210" s="9" t="str">
        <f>IFERROR(_xlfn.XLOOKUP(Tableau1[[#This Row],[Isin]]&amp;1&amp;2019,#REF!,Tableau3[Chiffre d''affaires]),"")</f>
        <v/>
      </c>
      <c r="AE210" s="9" t="str">
        <f>IFERROR(_xlfn.XLOOKUP(Tableau1[[#This Row],[Isin]]&amp;1&amp;2024,#REF!,Tableau3[Chiffre d''affaires]),"")</f>
        <v/>
      </c>
      <c r="AF210" s="8" t="str">
        <f>IFERROR(IF((Tableau1[[#This Row],[CA 2024]]-Tableau1[[#This Row],[CA 2019]])/Tableau1[[#This Row],[CA 2019]]=-1,"",(Tableau1[[#This Row],[CA 2024]]-Tableau1[[#This Row],[CA 2019]])/Tableau1[[#This Row],[CA 2019]]),"")</f>
        <v/>
      </c>
      <c r="AG210" s="9" t="str">
        <f>IFERROR(_xlfn.XLOOKUP(Tableau1[[#This Row],[Isin]]&amp;1&amp;2021,#REF!,Tableau3[EBE]),"")</f>
        <v/>
      </c>
      <c r="AH210" s="9" t="str">
        <f>IFERROR(_xlfn.XLOOKUP(Tableau1[[#This Row],[Isin]]&amp;1&amp;2022,#REF!,Tableau3[EBE]),"")</f>
        <v/>
      </c>
      <c r="AI210" s="13" t="s">
        <v>4324</v>
      </c>
      <c r="AJ210" s="13" t="s">
        <v>4325</v>
      </c>
      <c r="AK210" s="13" t="s">
        <v>3148</v>
      </c>
      <c r="AL210" s="43"/>
      <c r="AM210" s="43"/>
      <c r="AN210" s="9" t="str">
        <f>IFERROR(_xlfn.XLOOKUP(Tableau1[[#This Row],[Isin]]&amp;1&amp;2021,#REF!,Tableau3[Chiffre d''affaires]),"")</f>
        <v/>
      </c>
      <c r="AO210" s="43" cm="1">
        <f t="array" aca="1" ref="AO210" ca="1">_FV(Tableau1[[#This Row],[Code Excel]],"P/E",TRUE)</f>
        <v>13.2486</v>
      </c>
      <c r="AP210" s="43" t="str">
        <f>IFERROR(_xlfn.XLOOKUP(Tableau1[[#This Row],[Isin]]&amp;1&amp;2023,#REF!,Tableau3[Résultat Net (PdG)]),"")</f>
        <v/>
      </c>
      <c r="AQ210" s="43">
        <f>IF(IFERROR(_xlfn.XLOOKUP(Tableau1[[#This Row],[Isin]]&amp;1&amp;2022,#REF!,Tableau3[Résultat Net (PdG)]),"")="",Tableau1[[#This Row],[RN Groupe 2022
Manuel]],IFERROR(_xlfn.XLOOKUP(Tableau1[[#This Row],[Isin]]&amp;1&amp;2022,#REF!,Tableau3[Résultat Net (PdG)]),""))</f>
        <v>0</v>
      </c>
      <c r="AR210" s="43"/>
      <c r="AS210" s="43">
        <f>IF(IFERROR(_xlfn.XLOOKUP(Tableau1[[#This Row],[Isin]]&amp;1&amp;2021,#REF!,Tableau3[Résultat Net (PdG)]),"")="",Tableau1[[#This Row],[RN Groupe 2021
Manuel]],IFERROR(_xlfn.XLOOKUP(Tableau1[[#This Row],[Isin]]&amp;1&amp;2021,#REF!,Tableau3[Résultat Net (PdG)]),""))</f>
        <v>0</v>
      </c>
      <c r="AT210" s="43"/>
      <c r="AU210" s="43" t="str">
        <f>IFERROR(_xlfn.XLOOKUP(Tableau1[[#This Row],[Isin]]&amp;1&amp;2020,#REF!,Tableau3[Résultat Net (PdG)]),"")</f>
        <v/>
      </c>
      <c r="AV210" s="43" t="str">
        <f>IFERROR(_xlfn.XLOOKUP(Tableau1[[#This Row],[Isin]]&amp;1&amp;2019,#REF!,Tableau3[Résultat Net (PdG)]),"")</f>
        <v/>
      </c>
      <c r="AW210" s="43" t="str">
        <f>IFERROR(_xlfn.XLOOKUP(Tableau1[[#This Row],[Isin]]&amp;1&amp;2018,#REF!,Tableau3[Résultat Net (PdG)]),"")</f>
        <v/>
      </c>
      <c r="AX210" s="43" t="str">
        <f>IFERROR(_xlfn.XLOOKUP(Tableau1[[#This Row],[Isin]]&amp;1&amp;2017,#REF!,Tableau3[Résultat Net (PdG)]),"")</f>
        <v/>
      </c>
      <c r="AY210" s="43" t="str">
        <f>IFERROR(_xlfn.XLOOKUP(Tableau1[[#This Row],[Isin]]&amp;1&amp;2016,#REF!,Tableau3[Résultat Net (PdG)]),"")</f>
        <v/>
      </c>
      <c r="AZ210" s="137" t="str">
        <f ca="1">IFERROR(Tableau1[[#This Row],[Capitalisation boursière]]/Tableau1[[#This Row],[RN Groupe 2023]],"")</f>
        <v/>
      </c>
      <c r="BA210" s="4" t="str" cm="1">
        <f t="array" aca="1" ref="BA210" ca="1">IFERROR(_FV(Tableau1[[#This Row],[Code Excel]],"Industrie"),"")</f>
        <v>Pharmaceuticals</v>
      </c>
      <c r="BB210" s="43" t="s">
        <v>3464</v>
      </c>
      <c r="BC210" s="43" t="str">
        <f>IFERROR(_xlfn.XLOOKUP(Tableau1[[#This Row],[Isin]]&amp;1&amp;2016,#REF!,Tableau3[Capi]),"")</f>
        <v/>
      </c>
      <c r="BD210" s="43" t="str">
        <f>IFERROR(_xlfn.XLOOKUP(Tableau1[[#This Row],[Isin]]&amp;1&amp;2017,#REF!,Tableau3[Capi]),"")</f>
        <v/>
      </c>
      <c r="BE210" s="43" t="str">
        <f>IFERROR(_xlfn.XLOOKUP(Tableau1[[#This Row],[Isin]]&amp;1&amp;2018,#REF!,Tableau3[Capi]),"")</f>
        <v/>
      </c>
      <c r="BF210" s="43" t="str">
        <f>IFERROR(_xlfn.XLOOKUP(Tableau1[[#This Row],[Isin]]&amp;1&amp;2019,#REF!,Tableau3[Capi]),"")</f>
        <v/>
      </c>
      <c r="BG210" s="43" t="str">
        <f>IFERROR(_xlfn.XLOOKUP(Tableau1[[#This Row],[Isin]]&amp;1&amp;2020,#REF!,Tableau3[Capi]),"")</f>
        <v/>
      </c>
      <c r="BH210" s="43">
        <f>IF(IFERROR(_xlfn.XLOOKUP(Tableau1[[#This Row],[Isin]]&amp;1&amp;2021,#REF!,Tableau3[Capi]),"")="",Tableau1[[#This Row],[Capitalisation 2021
Manuel]],IFERROR(_xlfn.XLOOKUP(Tableau1[[#This Row],[Isin]]&amp;1&amp;2021,#REF!,Tableau3[Capi]),""))</f>
        <v>0</v>
      </c>
      <c r="BI210" s="43"/>
      <c r="BJ210" s="43">
        <f>IF(IFERROR(_xlfn.XLOOKUP(Tableau1[[#This Row],[Isin]]&amp;1&amp;2022,#REF!,Tableau3[Capi]),"")="",Tableau1[[#This Row],[Capitalisation 2022
Manuel]],IFERROR(_xlfn.XLOOKUP(Tableau1[[#This Row],[Isin]]&amp;1&amp;2022,#REF!,Tableau3[Capi]),""))</f>
        <v>0</v>
      </c>
      <c r="BK210" s="43"/>
      <c r="BL210" s="43">
        <f ca="1">Tableau1[[#This Row],[Capitalisation boursière]]</f>
        <v>224084653559</v>
      </c>
      <c r="BM210" s="162" t="str" cm="1">
        <f t="array" aca="1" ref="BM210" ca="1">_FV(Tableau1[[#This Row],[Code Excel]],"Description")</f>
        <v>Merck &amp; Co., Inc. est une entreprise mondiale de soins de santé. Elle offre des solutions de santé grâce à ses médicaments sur ordonnance, y compris des thérapies biologiques, des vaccins et des produits de santé animale. Le secteur pharmaceutique de la Société comprend les produits pharmaceutiques et les vaccins pour la santé humaine. Les produits pharmaceutiques pour la santé humaine consistent en des agents thérapeutiques et préventifs, généralement vendus sur ordonnance, pour le traitement de troubles humains. Elle vend ces produits pharmaceutiques de santé humaine à des grossistes et détaillants de médicaments, à des hôpitaux, à des organismes gouvernementaux et à des fournisseurs de soins de santé gérés. Son segment santé animale découvre, développe, fabrique et commercialise une gamme de produits pharmaceutiques et vaccinaux vétérinaires, ainsi que des solutions et services de gestion de la santé, pour la prévention, le traitement et le contrôle des maladies chez toutes les espèces animales et animales de compagnie. Le candidat principal de la Société, MK-6070, est un T-cellule engager ciblant le ligand delta-like 3 (DLL3), un ligand Notch canonique inhibiteur.</v>
      </c>
      <c r="BN210" s="43"/>
      <c r="BO210" s="43"/>
      <c r="BP210" s="43"/>
      <c r="BQ210" s="43"/>
      <c r="BR210" s="13"/>
      <c r="BS210" s="13"/>
      <c r="BT210" s="13"/>
      <c r="BU210" s="13"/>
      <c r="BV210" s="13"/>
      <c r="BW210" s="13"/>
      <c r="BX210" s="21"/>
      <c r="BY210" s="13"/>
      <c r="BZ210" s="13"/>
      <c r="CA210" s="11"/>
      <c r="CB210" s="13"/>
      <c r="CC210" s="13"/>
      <c r="CE210" s="47"/>
      <c r="CF210" s="47"/>
    </row>
    <row r="211" spans="3:85">
      <c r="C211" s="42"/>
      <c r="D211" s="42">
        <f>IF(Tableau1[[#This Row],[Isin]]="",99,Tableau1[[#This Row],[Intérêt]]+Tableau1[[#This Row],[Valeur d''intérêt]]+Tableau1[[#This Row],[N° Portefeuille]])</f>
        <v>30</v>
      </c>
      <c r="E211" s="42"/>
      <c r="F211" s="42">
        <f>IF(Tableau1[[#This Row],[Portefeuille]]="p",0,Tableau1[[#This Row],[F. Investissement
Niveau d''intérêt]]*10)</f>
        <v>30</v>
      </c>
      <c r="G211" s="42">
        <f>IF(Tableau1[[#This Row],[Portefeuille]]="p",3,0)</f>
        <v>0</v>
      </c>
      <c r="H211" s="42">
        <v>3</v>
      </c>
      <c r="I211" s="42">
        <v>4</v>
      </c>
      <c r="J211" s="42"/>
      <c r="K211" s="43"/>
      <c r="L211" s="16">
        <v>0</v>
      </c>
      <c r="M21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1" s="44" t="s">
        <v>3971</v>
      </c>
      <c r="O211" s="45"/>
      <c r="P211" s="4" t="s">
        <v>564</v>
      </c>
      <c r="Q211" s="4"/>
      <c r="R211" s="6"/>
      <c r="S211" s="6" t="s">
        <v>3972</v>
      </c>
      <c r="T211" s="6" t="e" vm="193">
        <v>#VALUE!</v>
      </c>
      <c r="U211" s="46" cm="1">
        <f t="array" aca="1" ref="U211" ca="1">IFERROR(_FV(Tableau1[[#This Row],[Code Excel]],"Capitalisation boursière",TRUE),"")</f>
        <v>56760250000</v>
      </c>
      <c r="V211" s="4" t="str" cm="1">
        <f t="array" aca="1" ref="V211" ca="1">IFERROR(_FV(Tableau1[[#This Row],[Code Excel]],"Industrie"),"")</f>
        <v>Pharmaceuticals</v>
      </c>
      <c r="W211" s="4" t="s">
        <v>1586</v>
      </c>
      <c r="X211" s="4" t="str">
        <f ca="1">Tableau1[[#This Row],[Grand Secteur]]&amp;Tableau1[[#This Row],[Industrie]]</f>
        <v>SantéPharmaceuticals</v>
      </c>
      <c r="Y211" s="23" cm="1">
        <f t="array" aca="1" ref="Y211" ca="1">IFERROR(_FV(Tableau1[[#This Row],[Code Excel]],"P/E",TRUE),"")</f>
        <v>20.239999999999998</v>
      </c>
      <c r="Z211" s="43" cm="1">
        <f t="array" aca="1" ref="Z211" ca="1">IFERROR(_FV(Tableau1[[#This Row],[Code Excel]],"Employés"),"")</f>
        <v>62557</v>
      </c>
      <c r="AA211" s="49">
        <f ca="1">IFERROR(Tableau1[[#This Row],[Capitalisation boursière]]/Tableau1[[#This Row],[Employés]],"")</f>
        <v>907336.50910369738</v>
      </c>
      <c r="AB211" s="5" t="str">
        <f>IFERROR(Tableau1[[#This Row],[REX (2021)]]/Tableau1[[#This Row],[CA 2024]],"")</f>
        <v/>
      </c>
      <c r="AC211" s="9" t="str">
        <f>IFERROR(_xlfn.XLOOKUP(Tableau1[[#This Row],[Isin]]&amp;1&amp;2021,#REF!,Tableau3[Résultat d''exploitation]),"")</f>
        <v/>
      </c>
      <c r="AD211" s="9" t="str">
        <f>IFERROR(_xlfn.XLOOKUP(Tableau1[[#This Row],[Isin]]&amp;1&amp;2019,#REF!,Tableau3[Chiffre d''affaires]),"")</f>
        <v/>
      </c>
      <c r="AE211" s="9" t="str">
        <f>IFERROR(_xlfn.XLOOKUP(Tableau1[[#This Row],[Isin]]&amp;1&amp;2024,#REF!,Tableau3[Chiffre d''affaires]),"")</f>
        <v/>
      </c>
      <c r="AF211" s="8" t="str">
        <f>IFERROR(IF((Tableau1[[#This Row],[CA 2024]]-Tableau1[[#This Row],[CA 2019]])/Tableau1[[#This Row],[CA 2019]]=-1,"",(Tableau1[[#This Row],[CA 2024]]-Tableau1[[#This Row],[CA 2019]])/Tableau1[[#This Row],[CA 2019]]),"")</f>
        <v/>
      </c>
      <c r="AG211" s="9" t="str">
        <f>IFERROR(_xlfn.XLOOKUP(Tableau1[[#This Row],[Isin]]&amp;1&amp;2021,#REF!,Tableau3[EBE]),"")</f>
        <v/>
      </c>
      <c r="AH211" s="9" t="str">
        <f>IFERROR(_xlfn.XLOOKUP(Tableau1[[#This Row],[Isin]]&amp;1&amp;2022,#REF!,Tableau3[EBE]),"")</f>
        <v/>
      </c>
      <c r="AI211" s="13" t="s">
        <v>4324</v>
      </c>
      <c r="AJ211" s="13" t="s">
        <v>4325</v>
      </c>
      <c r="AK211" s="13" t="s">
        <v>3148</v>
      </c>
      <c r="AL211" s="43"/>
      <c r="AM211" s="43"/>
      <c r="AN211" s="9" t="str">
        <f>IFERROR(_xlfn.XLOOKUP(Tableau1[[#This Row],[Isin]]&amp;1&amp;2021,#REF!,Tableau3[Chiffre d''affaires]),"")</f>
        <v/>
      </c>
      <c r="AO211" s="43" cm="1">
        <f t="array" aca="1" ref="AO211" ca="1">_FV(Tableau1[[#This Row],[Code Excel]],"P/E",TRUE)</f>
        <v>20.239999999999998</v>
      </c>
      <c r="AP211" s="43" t="str">
        <f>IFERROR(_xlfn.XLOOKUP(Tableau1[[#This Row],[Isin]]&amp;1&amp;2023,#REF!,Tableau3[Résultat Net (PdG)]),"")</f>
        <v/>
      </c>
      <c r="AQ211" s="43">
        <f>IF(IFERROR(_xlfn.XLOOKUP(Tableau1[[#This Row],[Isin]]&amp;1&amp;2022,#REF!,Tableau3[Résultat Net (PdG)]),"")="",Tableau1[[#This Row],[RN Groupe 2022
Manuel]],IFERROR(_xlfn.XLOOKUP(Tableau1[[#This Row],[Isin]]&amp;1&amp;2022,#REF!,Tableau3[Résultat Net (PdG)]),""))</f>
        <v>0</v>
      </c>
      <c r="AR211" s="43"/>
      <c r="AS211" s="43">
        <f>IF(IFERROR(_xlfn.XLOOKUP(Tableau1[[#This Row],[Isin]]&amp;1&amp;2021,#REF!,Tableau3[Résultat Net (PdG)]),"")="",Tableau1[[#This Row],[RN Groupe 2021
Manuel]],IFERROR(_xlfn.XLOOKUP(Tableau1[[#This Row],[Isin]]&amp;1&amp;2021,#REF!,Tableau3[Résultat Net (PdG)]),""))</f>
        <v>0</v>
      </c>
      <c r="AT211" s="43"/>
      <c r="AU211" s="43" t="str">
        <f>IFERROR(_xlfn.XLOOKUP(Tableau1[[#This Row],[Isin]]&amp;1&amp;2020,#REF!,Tableau3[Résultat Net (PdG)]),"")</f>
        <v/>
      </c>
      <c r="AV211" s="43" t="str">
        <f>IFERROR(_xlfn.XLOOKUP(Tableau1[[#This Row],[Isin]]&amp;1&amp;2019,#REF!,Tableau3[Résultat Net (PdG)]),"")</f>
        <v/>
      </c>
      <c r="AW211" s="43" t="str">
        <f>IFERROR(_xlfn.XLOOKUP(Tableau1[[#This Row],[Isin]]&amp;1&amp;2018,#REF!,Tableau3[Résultat Net (PdG)]),"")</f>
        <v/>
      </c>
      <c r="AX211" s="43" t="str">
        <f>IFERROR(_xlfn.XLOOKUP(Tableau1[[#This Row],[Isin]]&amp;1&amp;2017,#REF!,Tableau3[Résultat Net (PdG)]),"")</f>
        <v/>
      </c>
      <c r="AY211" s="43" t="str">
        <f>IFERROR(_xlfn.XLOOKUP(Tableau1[[#This Row],[Isin]]&amp;1&amp;2016,#REF!,Tableau3[Résultat Net (PdG)]),"")</f>
        <v/>
      </c>
      <c r="AZ211" s="137" t="str">
        <f ca="1">IFERROR(Tableau1[[#This Row],[Capitalisation boursière]]/Tableau1[[#This Row],[RN Groupe 2023]],"")</f>
        <v/>
      </c>
      <c r="BA211" s="4" t="str" cm="1">
        <f t="array" aca="1" ref="BA211" ca="1">IFERROR(_FV(Tableau1[[#This Row],[Code Excel]],"Industrie"),"")</f>
        <v>Pharmaceuticals</v>
      </c>
      <c r="BB211" s="43" t="s">
        <v>3487</v>
      </c>
      <c r="BC211" s="43" t="str">
        <f>IFERROR(_xlfn.XLOOKUP(Tableau1[[#This Row],[Isin]]&amp;1&amp;2016,#REF!,Tableau3[Capi]),"")</f>
        <v/>
      </c>
      <c r="BD211" s="43" t="str">
        <f>IFERROR(_xlfn.XLOOKUP(Tableau1[[#This Row],[Isin]]&amp;1&amp;2017,#REF!,Tableau3[Capi]),"")</f>
        <v/>
      </c>
      <c r="BE211" s="43" t="str">
        <f>IFERROR(_xlfn.XLOOKUP(Tableau1[[#This Row],[Isin]]&amp;1&amp;2018,#REF!,Tableau3[Capi]),"")</f>
        <v/>
      </c>
      <c r="BF211" s="43" t="str">
        <f>IFERROR(_xlfn.XLOOKUP(Tableau1[[#This Row],[Isin]]&amp;1&amp;2019,#REF!,Tableau3[Capi]),"")</f>
        <v/>
      </c>
      <c r="BG211" s="43" t="str">
        <f>IFERROR(_xlfn.XLOOKUP(Tableau1[[#This Row],[Isin]]&amp;1&amp;2020,#REF!,Tableau3[Capi]),"")</f>
        <v/>
      </c>
      <c r="BH211" s="43">
        <f>IF(IFERROR(_xlfn.XLOOKUP(Tableau1[[#This Row],[Isin]]&amp;1&amp;2021,#REF!,Tableau3[Capi]),"")="",Tableau1[[#This Row],[Capitalisation 2021
Manuel]],IFERROR(_xlfn.XLOOKUP(Tableau1[[#This Row],[Isin]]&amp;1&amp;2021,#REF!,Tableau3[Capi]),""))</f>
        <v>0</v>
      </c>
      <c r="BI211" s="43"/>
      <c r="BJ211" s="43">
        <f>IF(IFERROR(_xlfn.XLOOKUP(Tableau1[[#This Row],[Isin]]&amp;1&amp;2022,#REF!,Tableau3[Capi]),"")="",Tableau1[[#This Row],[Capitalisation 2022
Manuel]],IFERROR(_xlfn.XLOOKUP(Tableau1[[#This Row],[Isin]]&amp;1&amp;2022,#REF!,Tableau3[Capi]),""))</f>
        <v>0</v>
      </c>
      <c r="BK211" s="43"/>
      <c r="BL211" s="43">
        <f ca="1">Tableau1[[#This Row],[Capitalisation boursière]]</f>
        <v>56760250000</v>
      </c>
      <c r="BM211" s="162" t="str" cm="1">
        <f t="array" aca="1" ref="BM211" ca="1">_FV(Tableau1[[#This Row],[Code Excel]],"Description")</f>
        <v>Merck KGaA est une société scientifique et technologique basée en Allemagne. La Société exerce ses activités dans trois secteurs d'activité : Santé, Sciences de la vie et Électronique. L'activité Santé, qui opère aux États-Unis et au Canada sous le nom d'EMD Serono, se concentre sur des domaines thérapeutiques tels que les allergies, la fertilité, l'oncologie et les maladies neurodégénératives, le développement de médicaments, de substances diagnostiques et de dispositifs médicaux. L'activité Life Sciences comprend les activités de MilliporeSigma, qui fournit des solutions facilitant la recherche biotechnologique et pharmaceutique. La gamme de produits comprend des systèmes d'eau de laboratoire, des outils d'édition de gènes, des lignées cellulaires et des systèmes de fabrication de médicaments de bout en bout, entre autres. L'activité Électronique permet la vie numérique et fournit des produits chimiques spécialisés pour diverses applications, y compris les cristaux liquides pour les écrans électroniques, les matériaux pour les circuits intégrés, les pigments à effet pour les revêtements et les cosmétiques de couleur, ainsi que les matériaux fonctionnels pour les solutions énergétiques.</v>
      </c>
      <c r="BN211" s="43"/>
      <c r="BO211" s="43"/>
      <c r="BP211" s="43"/>
      <c r="BQ211" s="43"/>
      <c r="BR211" s="13"/>
      <c r="BS211" s="13"/>
      <c r="BT211" s="13"/>
      <c r="BU211" s="13"/>
      <c r="BV211" s="13"/>
      <c r="BW211" s="14"/>
      <c r="BX211" s="14"/>
      <c r="BY211" s="21"/>
      <c r="BZ211" s="13"/>
      <c r="CA211" s="13"/>
      <c r="CB211" s="13"/>
      <c r="CC211" s="13"/>
      <c r="CD211" s="13"/>
      <c r="CF211" s="47"/>
      <c r="CG211" s="47"/>
    </row>
    <row r="212" spans="3:85">
      <c r="C212" s="43"/>
      <c r="D212" s="42">
        <f>IF(Tableau1[[#This Row],[Isin]]="",99,Tableau1[[#This Row],[Intérêt]]+Tableau1[[#This Row],[Valeur d''intérêt]]+Tableau1[[#This Row],[N° Portefeuille]])</f>
        <v>3</v>
      </c>
      <c r="E212" s="42"/>
      <c r="F212" s="42">
        <f>IF(Tableau1[[#This Row],[Portefeuille]]="p",0,Tableau1[[#This Row],[F. Investissement
Niveau d''intérêt]]*10)</f>
        <v>0</v>
      </c>
      <c r="G212" s="42">
        <f>IF(Tableau1[[#This Row],[Portefeuille]]="p",3,0)</f>
        <v>3</v>
      </c>
      <c r="H212" s="42">
        <v>1</v>
      </c>
      <c r="I212" s="42">
        <v>1</v>
      </c>
      <c r="J212" s="43" t="s">
        <v>4357</v>
      </c>
      <c r="K212" s="43" t="s">
        <v>4362</v>
      </c>
      <c r="L212" s="16">
        <v>1</v>
      </c>
      <c r="M21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2" s="44" t="s">
        <v>486</v>
      </c>
      <c r="O212" s="44" t="s">
        <v>4407</v>
      </c>
      <c r="P212" s="4" t="s">
        <v>84</v>
      </c>
      <c r="Q212" s="6" t="s">
        <v>85</v>
      </c>
      <c r="R212" s="6"/>
      <c r="S212" s="6" t="s">
        <v>490</v>
      </c>
      <c r="T212" s="6" t="e" vm="194">
        <v>#VALUE!</v>
      </c>
      <c r="U212" s="46" cm="1">
        <f t="array" aca="1" ref="U212" ca="1">IFERROR(_FV(Tableau1[[#This Row],[Code Excel]],"Capitalisation boursière",TRUE),"")</f>
        <v>469808300</v>
      </c>
      <c r="V212" s="4" t="str" cm="1">
        <f t="array" aca="1" ref="V212" ca="1">IFERROR(_FV(Tableau1[[#This Row],[Code Excel]],"Industrie"),"")</f>
        <v>Consumer Goods Conglomerates</v>
      </c>
      <c r="W212" s="4" t="s">
        <v>4321</v>
      </c>
      <c r="X212" s="4" t="str">
        <f ca="1">Tableau1[[#This Row],[Grand Secteur]]&amp;Tableau1[[#This Row],[Industrie]]</f>
        <v>EquipementiersConsumer Goods Conglomerates</v>
      </c>
      <c r="Y212" s="23" cm="1">
        <f t="array" aca="1" ref="Y212" ca="1">IFERROR(_FV(Tableau1[[#This Row],[Code Excel]],"P/E",TRUE),"")</f>
        <v>6.0827999999999998</v>
      </c>
      <c r="Z212" s="43" cm="1">
        <f t="array" aca="1" ref="Z212" ca="1">IFERROR(_FV(Tableau1[[#This Row],[Code Excel]],"Employés"),"")</f>
        <v>7372</v>
      </c>
      <c r="AA212" s="46">
        <f ca="1">IFERROR(Tableau1[[#This Row],[Capitalisation boursière]]/Tableau1[[#This Row],[Employés]],"")</f>
        <v>63728.74389582203</v>
      </c>
      <c r="AB212" s="5" t="str">
        <f>IFERROR(Tableau1[[#This Row],[REX (2021)]]/Tableau1[[#This Row],[CA 2024]],"")</f>
        <v/>
      </c>
      <c r="AC212" s="9" t="str">
        <f>IFERROR(_xlfn.XLOOKUP(Tableau1[[#This Row],[Isin]]&amp;1&amp;2021,#REF!,Tableau3[Résultat d''exploitation]),"")</f>
        <v/>
      </c>
      <c r="AD212" s="9" t="str">
        <f>IFERROR(_xlfn.XLOOKUP(Tableau1[[#This Row],[Isin]]&amp;1&amp;2019,#REF!,Tableau3[Chiffre d''affaires]),"")</f>
        <v/>
      </c>
      <c r="AE212" s="9" t="str">
        <f>IFERROR(_xlfn.XLOOKUP(Tableau1[[#This Row],[Isin]]&amp;1&amp;2024,#REF!,Tableau3[Chiffre d''affaires]),"")</f>
        <v/>
      </c>
      <c r="AF212" s="8" t="str">
        <f>IFERROR(IF((Tableau1[[#This Row],[CA 2024]]-Tableau1[[#This Row],[CA 2019]])/Tableau1[[#This Row],[CA 2019]]=-1,"",(Tableau1[[#This Row],[CA 2024]]-Tableau1[[#This Row],[CA 2019]])/Tableau1[[#This Row],[CA 2019]]),"")</f>
        <v/>
      </c>
      <c r="AG212" s="9" t="str">
        <f>IFERROR(_xlfn.XLOOKUP(Tableau1[[#This Row],[Isin]]&amp;1&amp;2021,#REF!,Tableau3[EBE]),"")</f>
        <v/>
      </c>
      <c r="AH212" s="9" t="str">
        <f>IFERROR(_xlfn.XLOOKUP(Tableau1[[#This Row],[Isin]]&amp;1&amp;2022,#REF!,Tableau3[EBE]),"")</f>
        <v/>
      </c>
      <c r="AI212" s="43" t="s">
        <v>4343</v>
      </c>
      <c r="AJ212" s="43" t="s">
        <v>4322</v>
      </c>
      <c r="AK212" s="13" t="s">
        <v>3148</v>
      </c>
      <c r="AL212" s="43" t="s">
        <v>3148</v>
      </c>
      <c r="AM212" s="43"/>
      <c r="AN212" s="9" t="str">
        <f>IFERROR(_xlfn.XLOOKUP(Tableau1[[#This Row],[Isin]]&amp;1&amp;2021,#REF!,Tableau3[Chiffre d''affaires]),"")</f>
        <v/>
      </c>
      <c r="AO212" s="43" cm="1">
        <f t="array" aca="1" ref="AO212" ca="1">_FV(Tableau1[[#This Row],[Code Excel]],"P/E",TRUE)</f>
        <v>6.0827999999999998</v>
      </c>
      <c r="AP212" s="43" t="str">
        <f>IFERROR(_xlfn.XLOOKUP(Tableau1[[#This Row],[Isin]]&amp;1&amp;2023,#REF!,Tableau3[Résultat Net (PdG)]),"")</f>
        <v/>
      </c>
      <c r="AQ212" s="43">
        <f>IF(IFERROR(_xlfn.XLOOKUP(Tableau1[[#This Row],[Isin]]&amp;1&amp;2022,#REF!,Tableau3[Résultat Net (PdG)]),"")="",Tableau1[[#This Row],[RN Groupe 2022
Manuel]],IFERROR(_xlfn.XLOOKUP(Tableau1[[#This Row],[Isin]]&amp;1&amp;2022,#REF!,Tableau3[Résultat Net (PdG)]),""))</f>
        <v>0</v>
      </c>
      <c r="AR212" s="43"/>
      <c r="AS212" s="43">
        <f>IF(IFERROR(_xlfn.XLOOKUP(Tableau1[[#This Row],[Isin]]&amp;1&amp;2021,#REF!,Tableau3[Résultat Net (PdG)]),"")="",Tableau1[[#This Row],[RN Groupe 2021
Manuel]],IFERROR(_xlfn.XLOOKUP(Tableau1[[#This Row],[Isin]]&amp;1&amp;2021,#REF!,Tableau3[Résultat Net (PdG)]),""))</f>
        <v>0</v>
      </c>
      <c r="AT212" s="43"/>
      <c r="AU212" s="43" t="str">
        <f>IFERROR(_xlfn.XLOOKUP(Tableau1[[#This Row],[Isin]]&amp;1&amp;2020,#REF!,Tableau3[Résultat Net (PdG)]),"")</f>
        <v/>
      </c>
      <c r="AV212" s="43" t="str">
        <f>IFERROR(_xlfn.XLOOKUP(Tableau1[[#This Row],[Isin]]&amp;1&amp;2019,#REF!,Tableau3[Résultat Net (PdG)]),"")</f>
        <v/>
      </c>
      <c r="AW212" s="43" t="str">
        <f>IFERROR(_xlfn.XLOOKUP(Tableau1[[#This Row],[Isin]]&amp;1&amp;2018,#REF!,Tableau3[Résultat Net (PdG)]),"")</f>
        <v/>
      </c>
      <c r="AX212" s="43" t="str">
        <f>IFERROR(_xlfn.XLOOKUP(Tableau1[[#This Row],[Isin]]&amp;1&amp;2017,#REF!,Tableau3[Résultat Net (PdG)]),"")</f>
        <v/>
      </c>
      <c r="AY212" s="43" t="str">
        <f>IFERROR(_xlfn.XLOOKUP(Tableau1[[#This Row],[Isin]]&amp;1&amp;2016,#REF!,Tableau3[Résultat Net (PdG)]),"")</f>
        <v/>
      </c>
      <c r="AZ212" s="137" t="str">
        <f ca="1">IFERROR(Tableau1[[#This Row],[Capitalisation boursière]]/Tableau1[[#This Row],[RN Groupe 2023]],"")</f>
        <v/>
      </c>
      <c r="BA212" s="4" t="str" cm="1">
        <f t="array" aca="1" ref="BA212" ca="1">IFERROR(_FV(Tableau1[[#This Row],[Code Excel]],"Industrie"),"")</f>
        <v>Consumer Goods Conglomerates</v>
      </c>
      <c r="BB212" s="43" t="e">
        <v>#N/A</v>
      </c>
      <c r="BC212" s="43" t="str">
        <f>IFERROR(_xlfn.XLOOKUP(Tableau1[[#This Row],[Isin]]&amp;1&amp;2016,#REF!,Tableau3[Capi]),"")</f>
        <v/>
      </c>
      <c r="BD212" s="43" t="str">
        <f>IFERROR(_xlfn.XLOOKUP(Tableau1[[#This Row],[Isin]]&amp;1&amp;2017,#REF!,Tableau3[Capi]),"")</f>
        <v/>
      </c>
      <c r="BE212" s="43" t="str">
        <f>IFERROR(_xlfn.XLOOKUP(Tableau1[[#This Row],[Isin]]&amp;1&amp;2018,#REF!,Tableau3[Capi]),"")</f>
        <v/>
      </c>
      <c r="BF212" s="43" t="str">
        <f>IFERROR(_xlfn.XLOOKUP(Tableau1[[#This Row],[Isin]]&amp;1&amp;2019,#REF!,Tableau3[Capi]),"")</f>
        <v/>
      </c>
      <c r="BG212" s="43" t="str">
        <f>IFERROR(_xlfn.XLOOKUP(Tableau1[[#This Row],[Isin]]&amp;1&amp;2020,#REF!,Tableau3[Capi]),"")</f>
        <v/>
      </c>
      <c r="BH212" s="43">
        <f>IF(IFERROR(_xlfn.XLOOKUP(Tableau1[[#This Row],[Isin]]&amp;1&amp;2021,#REF!,Tableau3[Capi]),"")="",Tableau1[[#This Row],[Capitalisation 2021
Manuel]],IFERROR(_xlfn.XLOOKUP(Tableau1[[#This Row],[Isin]]&amp;1&amp;2021,#REF!,Tableau3[Capi]),""))</f>
        <v>0</v>
      </c>
      <c r="BI212" s="43"/>
      <c r="BJ212" s="43">
        <f>IF(IFERROR(_xlfn.XLOOKUP(Tableau1[[#This Row],[Isin]]&amp;1&amp;2022,#REF!,Tableau3[Capi]),"")="",Tableau1[[#This Row],[Capitalisation 2022
Manuel]],IFERROR(_xlfn.XLOOKUP(Tableau1[[#This Row],[Isin]]&amp;1&amp;2022,#REF!,Tableau3[Capi]),""))</f>
        <v>0</v>
      </c>
      <c r="BK212" s="43"/>
      <c r="BL212" s="43">
        <f ca="1">Tableau1[[#This Row],[Capitalisation boursière]]</f>
        <v>469808300</v>
      </c>
      <c r="BM212" s="162" t="str" cm="1">
        <f t="array" aca="1" ref="BM212" ca="1">_FV(Tableau1[[#This Row],[Code Excel]],"Description")</f>
        <v>Mersen sa, anciennement le carbone Lorraine sa, est une société française spécialisée dans la production de produits en carbone et graphite et leur application. Les activités de la Société sont réparties en deux secteurs : les matériaux avancés et l'énergie électrique. Le secteur des matériaux avancés comprend les équipements anticorrosion en graphite, les brosses et les porte-balais pour les moteurs électriques industriels, et les applications à haute température du graphite isostatique. Le secteur de l'énergie électrique comprend des solutions pour la gestion de l'énergie (à savoir l'électronique de puissance ; fournisseur de composants passifs pour l'électronique de puissance), la protection électrique et la surveillance dans la fabrication de fusibles industriels et la collecte de courant pour le marché ferroviaire. En juillet 2013, elle cède ses activités sur le site de Gresy-sur-Aix en Savoie. En décembre 2013, elle a cédé des activités spécialisées dans les agitateurs et mélangeurs et dans les échangeurs de chaleur à plaques métalliques.</v>
      </c>
      <c r="BN212" s="43"/>
      <c r="BO212" s="43"/>
      <c r="BP212" s="43"/>
      <c r="BQ212" s="43"/>
      <c r="BR212" s="13"/>
      <c r="BS212" s="13"/>
      <c r="BT212" s="13"/>
      <c r="BU212" s="13"/>
      <c r="BV212" s="13"/>
      <c r="BW212" s="14"/>
      <c r="BX212" s="14"/>
      <c r="BY212" s="21"/>
      <c r="BZ212" s="13"/>
      <c r="CA212" s="13"/>
      <c r="CB212" s="13"/>
      <c r="CC212" s="13"/>
      <c r="CD212" s="13"/>
      <c r="CF212" s="47"/>
      <c r="CG212" s="47"/>
    </row>
    <row r="213" spans="3:85">
      <c r="C213" s="42"/>
      <c r="D213" s="42">
        <f>IF(Tableau1[[#This Row],[Isin]]="",99,Tableau1[[#This Row],[Intérêt]]+Tableau1[[#This Row],[Valeur d''intérêt]]+Tableau1[[#This Row],[N° Portefeuille]])</f>
        <v>30</v>
      </c>
      <c r="E213" s="42"/>
      <c r="F213" s="42">
        <f>IF(Tableau1[[#This Row],[Portefeuille]]="p",0,Tableau1[[#This Row],[F. Investissement
Niveau d''intérêt]]*10)</f>
        <v>30</v>
      </c>
      <c r="G213" s="42">
        <f>IF(Tableau1[[#This Row],[Portefeuille]]="p",3,0)</f>
        <v>0</v>
      </c>
      <c r="H213" s="42">
        <v>3</v>
      </c>
      <c r="I213" s="42">
        <v>4</v>
      </c>
      <c r="J213" s="42"/>
      <c r="K213" s="43"/>
      <c r="L213" s="16">
        <v>0</v>
      </c>
      <c r="M21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3" s="44" t="s">
        <v>3975</v>
      </c>
      <c r="O213" s="45"/>
      <c r="P213" s="4" t="s">
        <v>84</v>
      </c>
      <c r="Q213" s="4"/>
      <c r="R213" s="6"/>
      <c r="S213" s="6" t="s">
        <v>3976</v>
      </c>
      <c r="T213" s="6" t="e" vm="195">
        <v>#VALUE!</v>
      </c>
      <c r="U213" s="46" cm="1">
        <f t="array" aca="1" ref="U213" ca="1">IFERROR(_FV(Tableau1[[#This Row],[Code Excel]],"Capitalisation boursière",TRUE),"")</f>
        <v>1784969000</v>
      </c>
      <c r="V213" s="4" t="str" cm="1">
        <f t="array" aca="1" ref="V213" ca="1">IFERROR(_FV(Tableau1[[#This Row],[Code Excel]],"Industrie"),"")</f>
        <v>Media &amp; Publishing</v>
      </c>
      <c r="W213" s="4" t="s">
        <v>2018</v>
      </c>
      <c r="X213" s="4" t="str">
        <f ca="1">Tableau1[[#This Row],[Grand Secteur]]&amp;Tableau1[[#This Row],[Industrie]]</f>
        <v>MédiaMedia &amp; Publishing</v>
      </c>
      <c r="Y213" s="23" cm="1">
        <f t="array" aca="1" ref="Y213" ca="1">IFERROR(_FV(Tableau1[[#This Row],[Code Excel]],"P/E",TRUE),"")</f>
        <v>8.2742000000000004</v>
      </c>
      <c r="Z213" s="43" cm="1">
        <f t="array" aca="1" ref="Z213" ca="1">IFERROR(_FV(Tableau1[[#This Row],[Code Excel]],"Employés"),"")</f>
        <v>2211</v>
      </c>
      <c r="AA213" s="49">
        <f ca="1">IFERROR(Tableau1[[#This Row],[Capitalisation boursière]]/Tableau1[[#This Row],[Employés]],"")</f>
        <v>807312.98055178649</v>
      </c>
      <c r="AB213" s="5" t="str">
        <f>IFERROR(Tableau1[[#This Row],[REX (2021)]]/Tableau1[[#This Row],[CA 2024]],"")</f>
        <v/>
      </c>
      <c r="AC213" s="9" t="str">
        <f>IFERROR(_xlfn.XLOOKUP(Tableau1[[#This Row],[Isin]]&amp;1&amp;2021,#REF!,Tableau3[Résultat d''exploitation]),"")</f>
        <v/>
      </c>
      <c r="AD213" s="9" t="str">
        <f>IFERROR(_xlfn.XLOOKUP(Tableau1[[#This Row],[Isin]]&amp;1&amp;2019,#REF!,Tableau3[Chiffre d''affaires]),"")</f>
        <v/>
      </c>
      <c r="AE213" s="9" t="str">
        <f>IFERROR(_xlfn.XLOOKUP(Tableau1[[#This Row],[Isin]]&amp;1&amp;2024,#REF!,Tableau3[Chiffre d''affaires]),"")</f>
        <v/>
      </c>
      <c r="AF213" s="8" t="str">
        <f>IFERROR(IF((Tableau1[[#This Row],[CA 2024]]-Tableau1[[#This Row],[CA 2019]])/Tableau1[[#This Row],[CA 2019]]=-1,"",(Tableau1[[#This Row],[CA 2024]]-Tableau1[[#This Row],[CA 2019]])/Tableau1[[#This Row],[CA 2019]]),"")</f>
        <v/>
      </c>
      <c r="AG213" s="9" t="str">
        <f>IFERROR(_xlfn.XLOOKUP(Tableau1[[#This Row],[Isin]]&amp;1&amp;2021,#REF!,Tableau3[EBE]),"")</f>
        <v/>
      </c>
      <c r="AH213" s="9" t="str">
        <f>IFERROR(_xlfn.XLOOKUP(Tableau1[[#This Row],[Isin]]&amp;1&amp;2022,#REF!,Tableau3[EBE]),"")</f>
        <v/>
      </c>
      <c r="AI213" s="43" t="s">
        <v>3431</v>
      </c>
      <c r="AJ213" s="13" t="s">
        <v>3150</v>
      </c>
      <c r="AK213" s="43" t="s">
        <v>3431</v>
      </c>
      <c r="AL213" s="43"/>
      <c r="AM213" s="43"/>
      <c r="AN213" s="9" t="str">
        <f>IFERROR(_xlfn.XLOOKUP(Tableau1[[#This Row],[Isin]]&amp;1&amp;2021,#REF!,Tableau3[Chiffre d''affaires]),"")</f>
        <v/>
      </c>
      <c r="AO213" s="43" cm="1">
        <f t="array" aca="1" ref="AO213" ca="1">_FV(Tableau1[[#This Row],[Code Excel]],"P/E",TRUE)</f>
        <v>8.2742000000000004</v>
      </c>
      <c r="AP213" s="43" t="str">
        <f>IFERROR(_xlfn.XLOOKUP(Tableau1[[#This Row],[Isin]]&amp;1&amp;2023,#REF!,Tableau3[Résultat Net (PdG)]),"")</f>
        <v/>
      </c>
      <c r="AQ213" s="43">
        <f>IF(IFERROR(_xlfn.XLOOKUP(Tableau1[[#This Row],[Isin]]&amp;1&amp;2022,#REF!,Tableau3[Résultat Net (PdG)]),"")="",Tableau1[[#This Row],[RN Groupe 2022
Manuel]],IFERROR(_xlfn.XLOOKUP(Tableau1[[#This Row],[Isin]]&amp;1&amp;2022,#REF!,Tableau3[Résultat Net (PdG)]),""))</f>
        <v>0</v>
      </c>
      <c r="AR213" s="43"/>
      <c r="AS213" s="43">
        <f>IF(IFERROR(_xlfn.XLOOKUP(Tableau1[[#This Row],[Isin]]&amp;1&amp;2021,#REF!,Tableau3[Résultat Net (PdG)]),"")="",Tableau1[[#This Row],[RN Groupe 2021
Manuel]],IFERROR(_xlfn.XLOOKUP(Tableau1[[#This Row],[Isin]]&amp;1&amp;2021,#REF!,Tableau3[Résultat Net (PdG)]),""))</f>
        <v>0</v>
      </c>
      <c r="AT213" s="43"/>
      <c r="AU213" s="43" t="str">
        <f>IFERROR(_xlfn.XLOOKUP(Tableau1[[#This Row],[Isin]]&amp;1&amp;2020,#REF!,Tableau3[Résultat Net (PdG)]),"")</f>
        <v/>
      </c>
      <c r="AV213" s="43" t="str">
        <f>IFERROR(_xlfn.XLOOKUP(Tableau1[[#This Row],[Isin]]&amp;1&amp;2019,#REF!,Tableau3[Résultat Net (PdG)]),"")</f>
        <v/>
      </c>
      <c r="AW213" s="43" t="str">
        <f>IFERROR(_xlfn.XLOOKUP(Tableau1[[#This Row],[Isin]]&amp;1&amp;2018,#REF!,Tableau3[Résultat Net (PdG)]),"")</f>
        <v/>
      </c>
      <c r="AX213" s="43" t="str">
        <f>IFERROR(_xlfn.XLOOKUP(Tableau1[[#This Row],[Isin]]&amp;1&amp;2017,#REF!,Tableau3[Résultat Net (PdG)]),"")</f>
        <v/>
      </c>
      <c r="AY213" s="43" t="str">
        <f>IFERROR(_xlfn.XLOOKUP(Tableau1[[#This Row],[Isin]]&amp;1&amp;2016,#REF!,Tableau3[Résultat Net (PdG)]),"")</f>
        <v/>
      </c>
      <c r="AZ213" s="137" t="str">
        <f ca="1">IFERROR(Tableau1[[#This Row],[Capitalisation boursière]]/Tableau1[[#This Row],[RN Groupe 2023]],"")</f>
        <v/>
      </c>
      <c r="BA213" s="4" t="str" cm="1">
        <f t="array" aca="1" ref="BA213" ca="1">IFERROR(_FV(Tableau1[[#This Row],[Code Excel]],"Industrie"),"")</f>
        <v>Media &amp; Publishing</v>
      </c>
      <c r="BB213" s="43" t="s">
        <v>3477</v>
      </c>
      <c r="BC213" s="43" t="str">
        <f>IFERROR(_xlfn.XLOOKUP(Tableau1[[#This Row],[Isin]]&amp;1&amp;2016,#REF!,Tableau3[Capi]),"")</f>
        <v/>
      </c>
      <c r="BD213" s="43" t="str">
        <f>IFERROR(_xlfn.XLOOKUP(Tableau1[[#This Row],[Isin]]&amp;1&amp;2017,#REF!,Tableau3[Capi]),"")</f>
        <v/>
      </c>
      <c r="BE213" s="43" t="str">
        <f>IFERROR(_xlfn.XLOOKUP(Tableau1[[#This Row],[Isin]]&amp;1&amp;2018,#REF!,Tableau3[Capi]),"")</f>
        <v/>
      </c>
      <c r="BF213" s="43" t="str">
        <f>IFERROR(_xlfn.XLOOKUP(Tableau1[[#This Row],[Isin]]&amp;1&amp;2019,#REF!,Tableau3[Capi]),"")</f>
        <v/>
      </c>
      <c r="BG213" s="43" t="str">
        <f>IFERROR(_xlfn.XLOOKUP(Tableau1[[#This Row],[Isin]]&amp;1&amp;2020,#REF!,Tableau3[Capi]),"")</f>
        <v/>
      </c>
      <c r="BH213" s="43">
        <f>IF(IFERROR(_xlfn.XLOOKUP(Tableau1[[#This Row],[Isin]]&amp;1&amp;2021,#REF!,Tableau3[Capi]),"")="",Tableau1[[#This Row],[Capitalisation 2021
Manuel]],IFERROR(_xlfn.XLOOKUP(Tableau1[[#This Row],[Isin]]&amp;1&amp;2021,#REF!,Tableau3[Capi]),""))</f>
        <v>0</v>
      </c>
      <c r="BI213" s="43"/>
      <c r="BJ213" s="43">
        <f>IF(IFERROR(_xlfn.XLOOKUP(Tableau1[[#This Row],[Isin]]&amp;1&amp;2022,#REF!,Tableau3[Capi]),"")="",Tableau1[[#This Row],[Capitalisation 2022
Manuel]],IFERROR(_xlfn.XLOOKUP(Tableau1[[#This Row],[Isin]]&amp;1&amp;2022,#REF!,Tableau3[Capi]),""))</f>
        <v>0</v>
      </c>
      <c r="BK213" s="43"/>
      <c r="BL213" s="43">
        <f ca="1">Tableau1[[#This Row],[Capitalisation boursière]]</f>
        <v>1784969000</v>
      </c>
      <c r="BM213" s="162" t="str" cm="1">
        <f t="array" aca="1" ref="BM213" ca="1">_FV(Tableau1[[#This Row],[Code Excel]],"Description")</f>
        <v>Metropole Television sa est une société audiovisuelle basée en France, spécialisée dans la production, la distribution et la commercialisation de programmes de télévision (TV). L'activité de la Société est répartie comme l'exploitation de chaînes de télévision, l'exploitation de stations de radio, la production de programmes et la commercialisation de droits audiovisuels. Il propose 4 chaînes gratuites (M6, W9, 6ter et Gulli), 9 chaînes payantes (Paris Premiere, TVA, M6 Music, Serie Club, Tiji, canal J, RFM TV, MCM et MCM Top) et 4 chaînes numériques (6play, 6play Max, Gulli Max et Gulli Replay). La Société offre la propriété des stations de radio RTL, RTL2 et Fun Radio et la diffusion de podcasts ; elle fournit la commercialisation de produits dérivés, la publication de magazines, l'organisation d'événements, la publication de sites Web, le téléachat, etc</v>
      </c>
      <c r="BN213" s="43"/>
      <c r="BO213" s="43"/>
      <c r="BP213" s="43"/>
      <c r="BQ213" s="43"/>
      <c r="BR213" s="13"/>
      <c r="BS213" s="13"/>
      <c r="BT213" s="13"/>
      <c r="BU213" s="13"/>
      <c r="BV213" s="13"/>
      <c r="BW213" s="14"/>
      <c r="BX213" s="14"/>
      <c r="BY213" s="21"/>
      <c r="BZ213" s="13"/>
      <c r="CA213" s="13"/>
      <c r="CB213" s="13"/>
      <c r="CC213" s="13"/>
      <c r="CD213" s="13"/>
      <c r="CF213" s="47"/>
      <c r="CG213" s="47"/>
    </row>
    <row r="214" spans="3:85">
      <c r="C214" s="43"/>
      <c r="D214" s="42">
        <f>IF(Tableau1[[#This Row],[Isin]]="",99,Tableau1[[#This Row],[Intérêt]]+Tableau1[[#This Row],[Valeur d''intérêt]]+Tableau1[[#This Row],[N° Portefeuille]])</f>
        <v>30</v>
      </c>
      <c r="E214" s="43"/>
      <c r="F214" s="42">
        <f>IF(Tableau1[[#This Row],[Portefeuille]]="p",0,Tableau1[[#This Row],[F. Investissement
Niveau d''intérêt]]*10)</f>
        <v>30</v>
      </c>
      <c r="G214" s="43">
        <f>IF(Tableau1[[#This Row],[Portefeuille]]="p",3,0)</f>
        <v>0</v>
      </c>
      <c r="H214" s="43">
        <v>3</v>
      </c>
      <c r="I214" s="43">
        <v>3</v>
      </c>
      <c r="J214" s="43"/>
      <c r="K214" s="43"/>
      <c r="L214" s="16">
        <v>1</v>
      </c>
      <c r="M21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4" s="44" t="s">
        <v>1179</v>
      </c>
      <c r="O214" s="44" t="s">
        <v>4384</v>
      </c>
      <c r="P214" s="4" t="s">
        <v>84</v>
      </c>
      <c r="Q214" s="6" t="s">
        <v>85</v>
      </c>
      <c r="R214" s="6"/>
      <c r="S214" s="6" t="s">
        <v>1183</v>
      </c>
      <c r="T214" s="6" t="e" vm="196">
        <v>#VALUE!</v>
      </c>
      <c r="U214" s="46" cm="1">
        <f t="array" aca="1" ref="U214" ca="1">IFERROR(_FV(Tableau1[[#This Row],[Code Excel]],"Capitalisation boursière",TRUE),"")</f>
        <v>23289660000</v>
      </c>
      <c r="V214" s="4" t="str" cm="1">
        <f t="array" aca="1" ref="V214" ca="1">IFERROR(_FV(Tableau1[[#This Row],[Code Excel]],"Industrie"),"")</f>
        <v>Automobiles &amp; Auto Parts</v>
      </c>
      <c r="W214" s="4" t="s">
        <v>1224</v>
      </c>
      <c r="X214" s="4" t="str">
        <f ca="1">Tableau1[[#This Row],[Grand Secteur]]&amp;Tableau1[[#This Row],[Industrie]]</f>
        <v>AutomobileAutomobiles &amp; Auto Parts</v>
      </c>
      <c r="Y214" s="23" cm="1">
        <f t="array" aca="1" ref="Y214" ca="1">IFERROR(_FV(Tableau1[[#This Row],[Code Excel]],"P/E",TRUE),"")</f>
        <v>12.4528</v>
      </c>
      <c r="Z214" s="43" cm="1">
        <f t="array" aca="1" ref="Z214" ca="1">IFERROR(_FV(Tableau1[[#This Row],[Code Excel]],"Employés"),"")</f>
        <v>132300</v>
      </c>
      <c r="AA214" s="46">
        <f ca="1">IFERROR(Tableau1[[#This Row],[Capitalisation boursière]]/Tableau1[[#This Row],[Employés]],"")</f>
        <v>176036.73469387754</v>
      </c>
      <c r="AB214" s="5" t="str">
        <f>IFERROR(Tableau1[[#This Row],[REX (2021)]]/Tableau1[[#This Row],[CA 2024]],"")</f>
        <v/>
      </c>
      <c r="AC214" s="9" t="str">
        <f>IFERROR(_xlfn.XLOOKUP(Tableau1[[#This Row],[Isin]]&amp;1&amp;2021,#REF!,Tableau3[Résultat d''exploitation]),"")</f>
        <v/>
      </c>
      <c r="AD214" s="9" t="str">
        <f>IFERROR(_xlfn.XLOOKUP(Tableau1[[#This Row],[Isin]]&amp;1&amp;2019,#REF!,Tableau3[Chiffre d''affaires]),"")</f>
        <v/>
      </c>
      <c r="AE214" s="9" t="str">
        <f>IFERROR(_xlfn.XLOOKUP(Tableau1[[#This Row],[Isin]]&amp;1&amp;2024,#REF!,Tableau3[Chiffre d''affaires]),"")</f>
        <v/>
      </c>
      <c r="AF214" s="8" t="str">
        <f>IFERROR(IF((Tableau1[[#This Row],[CA 2024]]-Tableau1[[#This Row],[CA 2019]])/Tableau1[[#This Row],[CA 2019]]=-1,"",(Tableau1[[#This Row],[CA 2024]]-Tableau1[[#This Row],[CA 2019]])/Tableau1[[#This Row],[CA 2019]]),"")</f>
        <v/>
      </c>
      <c r="AG214" s="9" t="str">
        <f>IFERROR(_xlfn.XLOOKUP(Tableau1[[#This Row],[Isin]]&amp;1&amp;2021,#REF!,Tableau3[EBE]),"")</f>
        <v/>
      </c>
      <c r="AH214" s="9" t="str">
        <f>IFERROR(_xlfn.XLOOKUP(Tableau1[[#This Row],[Isin]]&amp;1&amp;2022,#REF!,Tableau3[EBE]),"")</f>
        <v/>
      </c>
      <c r="AI214" s="43" t="s">
        <v>4329</v>
      </c>
      <c r="AJ214" s="43" t="s">
        <v>3150</v>
      </c>
      <c r="AK214" s="43" t="s">
        <v>3148</v>
      </c>
      <c r="AL214" s="43" t="s">
        <v>3149</v>
      </c>
      <c r="AM214" s="43"/>
      <c r="AN214" s="9" t="str">
        <f>IFERROR(_xlfn.XLOOKUP(Tableau1[[#This Row],[Isin]]&amp;1&amp;2021,#REF!,Tableau3[Chiffre d''affaires]),"")</f>
        <v/>
      </c>
      <c r="AO214" s="43" cm="1">
        <f t="array" aca="1" ref="AO214" ca="1">_FV(Tableau1[[#This Row],[Code Excel]],"P/E",TRUE)</f>
        <v>12.4528</v>
      </c>
      <c r="AP214" s="43" t="str">
        <f>IFERROR(_xlfn.XLOOKUP(Tableau1[[#This Row],[Isin]]&amp;1&amp;2023,#REF!,Tableau3[Résultat Net (PdG)]),"")</f>
        <v/>
      </c>
      <c r="AQ214" s="43">
        <f>IF(IFERROR(_xlfn.XLOOKUP(Tableau1[[#This Row],[Isin]]&amp;1&amp;2022,#REF!,Tableau3[Résultat Net (PdG)]),"")="",Tableau1[[#This Row],[RN Groupe 2022
Manuel]],IFERROR(_xlfn.XLOOKUP(Tableau1[[#This Row],[Isin]]&amp;1&amp;2022,#REF!,Tableau3[Résultat Net (PdG)]),""))</f>
        <v>2000000000</v>
      </c>
      <c r="AR214" s="140">
        <v>2000000000</v>
      </c>
      <c r="AS214" s="43">
        <f>IF(IFERROR(_xlfn.XLOOKUP(Tableau1[[#This Row],[Isin]]&amp;1&amp;2021,#REF!,Tableau3[Résultat Net (PdG)]),"")="",Tableau1[[#This Row],[RN Groupe 2021
Manuel]],IFERROR(_xlfn.XLOOKUP(Tableau1[[#This Row],[Isin]]&amp;1&amp;2021,#REF!,Tableau3[Résultat Net (PdG)]),""))</f>
        <v>0</v>
      </c>
      <c r="AT214" s="140"/>
      <c r="AU214" s="43" t="str">
        <f>IFERROR(_xlfn.XLOOKUP(Tableau1[[#This Row],[Isin]]&amp;1&amp;2020,#REF!,Tableau3[Résultat Net (PdG)]),"")</f>
        <v/>
      </c>
      <c r="AV214" s="43" t="str">
        <f>IFERROR(_xlfn.XLOOKUP(Tableau1[[#This Row],[Isin]]&amp;1&amp;2019,#REF!,Tableau3[Résultat Net (PdG)]),"")</f>
        <v/>
      </c>
      <c r="AW214" s="43" t="str">
        <f>IFERROR(_xlfn.XLOOKUP(Tableau1[[#This Row],[Isin]]&amp;1&amp;2018,#REF!,Tableau3[Résultat Net (PdG)]),"")</f>
        <v/>
      </c>
      <c r="AX214" s="43" t="str">
        <f>IFERROR(_xlfn.XLOOKUP(Tableau1[[#This Row],[Isin]]&amp;1&amp;2017,#REF!,Tableau3[Résultat Net (PdG)]),"")</f>
        <v/>
      </c>
      <c r="AY214" s="43" t="str">
        <f>IFERROR(_xlfn.XLOOKUP(Tableau1[[#This Row],[Isin]]&amp;1&amp;2016,#REF!,Tableau3[Résultat Net (PdG)]),"")</f>
        <v/>
      </c>
      <c r="AZ214" s="137" t="str">
        <f ca="1">IFERROR(Tableau1[[#This Row],[Capitalisation boursière]]/Tableau1[[#This Row],[RN Groupe 2023]],"")</f>
        <v/>
      </c>
      <c r="BA214" s="4" t="str" cm="1">
        <f t="array" aca="1" ref="BA214" ca="1">IFERROR(_FV(Tableau1[[#This Row],[Code Excel]],"Industrie"),"")</f>
        <v>Automobiles &amp; Auto Parts</v>
      </c>
      <c r="BB214" s="43" t="s">
        <v>3518</v>
      </c>
      <c r="BC214" s="43" t="str">
        <f>IFERROR(_xlfn.XLOOKUP(Tableau1[[#This Row],[Isin]]&amp;1&amp;2016,#REF!,Tableau3[Capi]),"")</f>
        <v/>
      </c>
      <c r="BD214" s="43" t="str">
        <f>IFERROR(_xlfn.XLOOKUP(Tableau1[[#This Row],[Isin]]&amp;1&amp;2017,#REF!,Tableau3[Capi]),"")</f>
        <v/>
      </c>
      <c r="BE214" s="43" t="str">
        <f>IFERROR(_xlfn.XLOOKUP(Tableau1[[#This Row],[Isin]]&amp;1&amp;2018,#REF!,Tableau3[Capi]),"")</f>
        <v/>
      </c>
      <c r="BF214" s="43" t="str">
        <f>IFERROR(_xlfn.XLOOKUP(Tableau1[[#This Row],[Isin]]&amp;1&amp;2019,#REF!,Tableau3[Capi]),"")</f>
        <v/>
      </c>
      <c r="BG214" s="43" t="str">
        <f>IFERROR(_xlfn.XLOOKUP(Tableau1[[#This Row],[Isin]]&amp;1&amp;2020,#REF!,Tableau3[Capi]),"")</f>
        <v/>
      </c>
      <c r="BH214" s="43">
        <f>IF(IFERROR(_xlfn.XLOOKUP(Tableau1[[#This Row],[Isin]]&amp;1&amp;2021,#REF!,Tableau3[Capi]),"")="",Tableau1[[#This Row],[Capitalisation 2021
Manuel]],IFERROR(_xlfn.XLOOKUP(Tableau1[[#This Row],[Isin]]&amp;1&amp;2021,#REF!,Tableau3[Capi]),""))</f>
        <v>0</v>
      </c>
      <c r="BI214" s="142"/>
      <c r="BJ214" s="141">
        <f>IF(IFERROR(_xlfn.XLOOKUP(Tableau1[[#This Row],[Isin]]&amp;1&amp;2022,#REF!,Tableau3[Capi]),"")="",Tableau1[[#This Row],[Capitalisation 2022
Manuel]],IFERROR(_xlfn.XLOOKUP(Tableau1[[#This Row],[Isin]]&amp;1&amp;2022,#REF!,Tableau3[Capi]),""))</f>
        <v>0</v>
      </c>
      <c r="BK214" s="142"/>
      <c r="BL214" s="43">
        <f ca="1">Tableau1[[#This Row],[Capitalisation boursière]]</f>
        <v>23289660000</v>
      </c>
      <c r="BM214" s="162" t="str" cm="1">
        <f t="array" aca="1" ref="BM214" ca="1">_FV(Tableau1[[#This Row],[Code Excel]],"Description")</f>
        <v>La Compagnie générale des Etablissements Michelin SCA est une société de mobilité basée en France. La Société opère dans trois secteurs : l'automobile, le transport routier et les activités spécialisées. Automotive, qui comprend les secteurs d'activité Automotive Business to Customers (B2C) Global Brands, Automotive B2C Regional Brands, Automotive original Equipment et Mobility Experiences. Transport routier comprend les secteurs d'activité transport longue distance, transport urbain et services &amp; solutions. Les activités spécialisées comprennent les secteurs d'activité exploitation minière, transport hors route, deux roues, aéronefs et matériaux de haute technologie. Il fournit différents types de pneus et produits et services connexes par l'intermédiaire d'un réseau de concessionnaires. Son offre de services comprend, entre autres, l'assistance aux chauffeurs routiers avec Michelin Euro Assist, le conseil en pneus de flotte, des services de maintenance et de gestion et des services d'assistance à la mobilité. En outre, il fournit des produits de style de vie de marque et des matériaux de haute technologie.</v>
      </c>
      <c r="BN214" s="43"/>
      <c r="BO214" s="43"/>
      <c r="BP214" s="43"/>
      <c r="BQ214" s="43"/>
      <c r="BR214" s="13"/>
      <c r="BS214" s="13"/>
      <c r="BT214" s="13"/>
      <c r="BU214" s="13"/>
      <c r="BV214" s="13"/>
      <c r="BW214" s="14"/>
      <c r="BX214" s="14"/>
      <c r="BY214" s="21"/>
      <c r="BZ214" s="13"/>
      <c r="CA214" s="13"/>
      <c r="CB214" s="13"/>
      <c r="CC214" s="13"/>
      <c r="CD214" s="13"/>
      <c r="CF214" s="47"/>
      <c r="CG214" s="47"/>
    </row>
    <row r="215" spans="3:85">
      <c r="C215" s="42"/>
      <c r="D215" s="42">
        <f>IF(Tableau1[[#This Row],[Isin]]="",99,Tableau1[[#This Row],[Intérêt]]+Tableau1[[#This Row],[Valeur d''intérêt]]+Tableau1[[#This Row],[N° Portefeuille]])</f>
        <v>30</v>
      </c>
      <c r="E215" s="42"/>
      <c r="F215" s="42">
        <f>IF(Tableau1[[#This Row],[Portefeuille]]="p",0,Tableau1[[#This Row],[F. Investissement
Niveau d''intérêt]]*10)</f>
        <v>30</v>
      </c>
      <c r="G215" s="42">
        <f>IF(Tableau1[[#This Row],[Portefeuille]]="p",3,0)</f>
        <v>0</v>
      </c>
      <c r="H215" s="42">
        <v>3</v>
      </c>
      <c r="I215" s="42">
        <v>3</v>
      </c>
      <c r="J215" s="42"/>
      <c r="K215" s="43"/>
      <c r="L215" s="16">
        <v>0</v>
      </c>
      <c r="M21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5" s="44" t="s">
        <v>3433</v>
      </c>
      <c r="O215" s="45"/>
      <c r="P215" s="4" t="s">
        <v>382</v>
      </c>
      <c r="Q215" s="4"/>
      <c r="R215" s="6"/>
      <c r="S215" s="6" t="s">
        <v>3367</v>
      </c>
      <c r="T215" s="6" t="e" vm="197">
        <v>#VALUE!</v>
      </c>
      <c r="U215" s="46" cm="1">
        <f t="array" aca="1" ref="U215" ca="1">IFERROR(_FV(Tableau1[[#This Row],[Code Excel]],"Capitalisation boursière",TRUE),"")</f>
        <v>2733252161940</v>
      </c>
      <c r="V215" s="4" t="str" cm="1">
        <f t="array" aca="1" ref="V215" ca="1">IFERROR(_FV(Tableau1[[#This Row],[Code Excel]],"Industrie"),"")</f>
        <v>Software &amp; IT Services</v>
      </c>
      <c r="W215" s="4" t="s">
        <v>4333</v>
      </c>
      <c r="X215" s="4" t="str">
        <f ca="1">Tableau1[[#This Row],[Grand Secteur]]&amp;Tableau1[[#This Row],[Industrie]]</f>
        <v>Logiciels et TechnologieSoftware &amp; IT Services</v>
      </c>
      <c r="Y215" s="23" cm="1">
        <f t="array" aca="1" ref="Y215" ca="1">IFERROR(_FV(Tableau1[[#This Row],[Code Excel]],"P/E",TRUE),"")</f>
        <v>29.727499999999999</v>
      </c>
      <c r="Z215" s="43" cm="1">
        <f t="array" aca="1" ref="Z215" ca="1">IFERROR(_FV(Tableau1[[#This Row],[Code Excel]],"Employés"),"")</f>
        <v>228000</v>
      </c>
      <c r="AA215" s="49">
        <f ca="1">IFERROR(Tableau1[[#This Row],[Capitalisation boursière]]/Tableau1[[#This Row],[Employés]],"")</f>
        <v>11987948.078684211</v>
      </c>
      <c r="AB215" s="5" t="str">
        <f>IFERROR(Tableau1[[#This Row],[REX (2021)]]/Tableau1[[#This Row],[CA 2024]],"")</f>
        <v/>
      </c>
      <c r="AC215" s="9" t="str">
        <f>IFERROR(_xlfn.XLOOKUP(Tableau1[[#This Row],[Isin]]&amp;1&amp;2021,#REF!,Tableau3[Résultat d''exploitation]),"")</f>
        <v/>
      </c>
      <c r="AD215" s="9" t="str">
        <f>IFERROR(_xlfn.XLOOKUP(Tableau1[[#This Row],[Isin]]&amp;1&amp;2019,#REF!,Tableau3[Chiffre d''affaires]),"")</f>
        <v/>
      </c>
      <c r="AE215" s="9" t="str">
        <f>IFERROR(_xlfn.XLOOKUP(Tableau1[[#This Row],[Isin]]&amp;1&amp;2024,#REF!,Tableau3[Chiffre d''affaires]),"")</f>
        <v/>
      </c>
      <c r="AF215" s="8" t="str">
        <f>IFERROR(IF((Tableau1[[#This Row],[CA 2024]]-Tableau1[[#This Row],[CA 2019]])/Tableau1[[#This Row],[CA 2019]]=-1,"",(Tableau1[[#This Row],[CA 2024]]-Tableau1[[#This Row],[CA 2019]])/Tableau1[[#This Row],[CA 2019]]),"")</f>
        <v/>
      </c>
      <c r="AG215" s="9" t="str">
        <f>IFERROR(_xlfn.XLOOKUP(Tableau1[[#This Row],[Isin]]&amp;1&amp;2021,#REF!,Tableau3[EBE]),"")</f>
        <v/>
      </c>
      <c r="AH215" s="9" t="str">
        <f>IFERROR(_xlfn.XLOOKUP(Tableau1[[#This Row],[Isin]]&amp;1&amp;2022,#REF!,Tableau3[EBE]),"")</f>
        <v/>
      </c>
      <c r="AI215" s="43" t="s">
        <v>4324</v>
      </c>
      <c r="AJ215" s="43" t="s">
        <v>4334</v>
      </c>
      <c r="AK215" s="43" t="s">
        <v>3148</v>
      </c>
      <c r="AL215" s="43"/>
      <c r="AM215" s="43"/>
      <c r="AN215" s="9" t="str">
        <f>IFERROR(_xlfn.XLOOKUP(Tableau1[[#This Row],[Isin]]&amp;1&amp;2021,#REF!,Tableau3[Chiffre d''affaires]),"")</f>
        <v/>
      </c>
      <c r="AO215" s="43" cm="1">
        <f t="array" aca="1" ref="AO215" ca="1">_FV(Tableau1[[#This Row],[Code Excel]],"P/E",TRUE)</f>
        <v>29.727499999999999</v>
      </c>
      <c r="AP215" s="43" t="str">
        <f>IFERROR(_xlfn.XLOOKUP(Tableau1[[#This Row],[Isin]]&amp;1&amp;2023,#REF!,Tableau3[Résultat Net (PdG)]),"")</f>
        <v/>
      </c>
      <c r="AQ215" s="43">
        <f>IF(IFERROR(_xlfn.XLOOKUP(Tableau1[[#This Row],[Isin]]&amp;1&amp;2022,#REF!,Tableau3[Résultat Net (PdG)]),"")="",Tableau1[[#This Row],[RN Groupe 2022
Manuel]],IFERROR(_xlfn.XLOOKUP(Tableau1[[#This Row],[Isin]]&amp;1&amp;2022,#REF!,Tableau3[Résultat Net (PdG)]),""))</f>
        <v>0</v>
      </c>
      <c r="AR215" s="43"/>
      <c r="AS215" s="43">
        <f>IF(IFERROR(_xlfn.XLOOKUP(Tableau1[[#This Row],[Isin]]&amp;1&amp;2021,#REF!,Tableau3[Résultat Net (PdG)]),"")="",Tableau1[[#This Row],[RN Groupe 2021
Manuel]],IFERROR(_xlfn.XLOOKUP(Tableau1[[#This Row],[Isin]]&amp;1&amp;2021,#REF!,Tableau3[Résultat Net (PdG)]),""))</f>
        <v>0</v>
      </c>
      <c r="AT215" s="43"/>
      <c r="AU215" s="43" t="str">
        <f>IFERROR(_xlfn.XLOOKUP(Tableau1[[#This Row],[Isin]]&amp;1&amp;2020,#REF!,Tableau3[Résultat Net (PdG)]),"")</f>
        <v/>
      </c>
      <c r="AV215" s="43" t="str">
        <f>IFERROR(_xlfn.XLOOKUP(Tableau1[[#This Row],[Isin]]&amp;1&amp;2019,#REF!,Tableau3[Résultat Net (PdG)]),"")</f>
        <v/>
      </c>
      <c r="AW215" s="43" t="str">
        <f>IFERROR(_xlfn.XLOOKUP(Tableau1[[#This Row],[Isin]]&amp;1&amp;2018,#REF!,Tableau3[Résultat Net (PdG)]),"")</f>
        <v/>
      </c>
      <c r="AX215" s="43" t="str">
        <f>IFERROR(_xlfn.XLOOKUP(Tableau1[[#This Row],[Isin]]&amp;1&amp;2017,#REF!,Tableau3[Résultat Net (PdG)]),"")</f>
        <v/>
      </c>
      <c r="AY215" s="43" t="str">
        <f>IFERROR(_xlfn.XLOOKUP(Tableau1[[#This Row],[Isin]]&amp;1&amp;2016,#REF!,Tableau3[Résultat Net (PdG)]),"")</f>
        <v/>
      </c>
      <c r="AZ215" s="137" t="str">
        <f ca="1">IFERROR(Tableau1[[#This Row],[Capitalisation boursière]]/Tableau1[[#This Row],[RN Groupe 2023]],"")</f>
        <v/>
      </c>
      <c r="BA215" s="4" t="str" cm="1">
        <f t="array" aca="1" ref="BA215" ca="1">IFERROR(_FV(Tableau1[[#This Row],[Code Excel]],"Industrie"),"")</f>
        <v>Software &amp; IT Services</v>
      </c>
      <c r="BB215" s="43" t="s">
        <v>3491</v>
      </c>
      <c r="BC215" s="43" t="str">
        <f>IFERROR(_xlfn.XLOOKUP(Tableau1[[#This Row],[Isin]]&amp;1&amp;2016,#REF!,Tableau3[Capi]),"")</f>
        <v/>
      </c>
      <c r="BD215" s="43" t="str">
        <f>IFERROR(_xlfn.XLOOKUP(Tableau1[[#This Row],[Isin]]&amp;1&amp;2017,#REF!,Tableau3[Capi]),"")</f>
        <v/>
      </c>
      <c r="BE215" s="43" t="str">
        <f>IFERROR(_xlfn.XLOOKUP(Tableau1[[#This Row],[Isin]]&amp;1&amp;2018,#REF!,Tableau3[Capi]),"")</f>
        <v/>
      </c>
      <c r="BF215" s="43" t="str">
        <f>IFERROR(_xlfn.XLOOKUP(Tableau1[[#This Row],[Isin]]&amp;1&amp;2019,#REF!,Tableau3[Capi]),"")</f>
        <v/>
      </c>
      <c r="BG215" s="43" t="str">
        <f>IFERROR(_xlfn.XLOOKUP(Tableau1[[#This Row],[Isin]]&amp;1&amp;2020,#REF!,Tableau3[Capi]),"")</f>
        <v/>
      </c>
      <c r="BH215" s="43">
        <f>IF(IFERROR(_xlfn.XLOOKUP(Tableau1[[#This Row],[Isin]]&amp;1&amp;2021,#REF!,Tableau3[Capi]),"")="",Tableau1[[#This Row],[Capitalisation 2021
Manuel]],IFERROR(_xlfn.XLOOKUP(Tableau1[[#This Row],[Isin]]&amp;1&amp;2021,#REF!,Tableau3[Capi]),""))</f>
        <v>0</v>
      </c>
      <c r="BI215" s="43"/>
      <c r="BJ215" s="43">
        <f>IF(IFERROR(_xlfn.XLOOKUP(Tableau1[[#This Row],[Isin]]&amp;1&amp;2022,#REF!,Tableau3[Capi]),"")="",Tableau1[[#This Row],[Capitalisation 2022
Manuel]],IFERROR(_xlfn.XLOOKUP(Tableau1[[#This Row],[Isin]]&amp;1&amp;2022,#REF!,Tableau3[Capi]),""))</f>
        <v>0</v>
      </c>
      <c r="BK215" s="43"/>
      <c r="BL215" s="43">
        <f ca="1">Tableau1[[#This Row],[Capitalisation boursière]]</f>
        <v>2733252161940</v>
      </c>
      <c r="BM215" s="162" t="str" cm="1">
        <f t="array" aca="1" ref="BM215" ca="1">_FV(Tableau1[[#This Row],[Code Excel]],"Description")</f>
        <v>Microsoft Corporation est une société de technologie. La Société développe et prend en charge des logiciels, des services, des appareils et des solutions. Les segments de la société comprennent la productivité et les processus d'affaires, le Cloud intelligent et plus d'informatique personnelle. Le segment productivité et processus d'affaires comprend les produits et services de son portefeuille de services de productivité, de communication et d'information. Ce segment comprend principalement : Office commercial, Office Consumer, LinkedIn et Dynamics Business Solutions. Le segment Intelligent Cloud comprend des produits serveur et des services cloud, notamment Azure et d'autres services cloud, SQL Server, Windows Server, Visual Studio, System Center, et les licences d'accès client (CAL) associées, Nuance et GitHub ; et les services d'entreprise, y compris les services de support d'entreprise, les solutions sectorielles et les services professionnels Nuance. Le segment plus personnel comprend principalement Windows, les périphériques, les jeux, la recherche et la publicité d'actualités.</v>
      </c>
      <c r="BN215" s="43"/>
      <c r="BO215" s="43"/>
      <c r="BP215" s="43"/>
      <c r="BQ215" s="43"/>
      <c r="BR215" s="13"/>
      <c r="BS215" s="13"/>
      <c r="BT215" s="13"/>
      <c r="BU215" s="13"/>
      <c r="BV215" s="13"/>
      <c r="BW215" s="13"/>
      <c r="BX215" s="13"/>
      <c r="BY215" s="21"/>
      <c r="BZ215" s="13"/>
      <c r="CA215" s="13"/>
      <c r="CB215" s="13"/>
      <c r="CC215" s="13"/>
      <c r="CD215" s="13"/>
      <c r="CF215" s="47"/>
      <c r="CG215" s="47"/>
    </row>
    <row r="216" spans="3:85">
      <c r="C216" s="43"/>
      <c r="D216" s="42">
        <f>IF(Tableau1[[#This Row],[Isin]]="",99,Tableau1[[#This Row],[Intérêt]]+Tableau1[[#This Row],[Valeur d''intérêt]]+Tableau1[[#This Row],[N° Portefeuille]])</f>
        <v>20</v>
      </c>
      <c r="E216" s="43"/>
      <c r="F216" s="42">
        <f>IF(Tableau1[[#This Row],[Portefeuille]]="p",0,Tableau1[[#This Row],[F. Investissement
Niveau d''intérêt]]*10)</f>
        <v>20</v>
      </c>
      <c r="G216" s="43">
        <f>IF(Tableau1[[#This Row],[Portefeuille]]="p",3,0)</f>
        <v>0</v>
      </c>
      <c r="H216" s="43">
        <v>2</v>
      </c>
      <c r="I216" s="43">
        <v>2</v>
      </c>
      <c r="J216" s="43"/>
      <c r="K216" s="43"/>
      <c r="L216" s="16">
        <v>1</v>
      </c>
      <c r="M21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6" s="44" t="s">
        <v>1656</v>
      </c>
      <c r="O216" s="44" t="s">
        <v>1592</v>
      </c>
      <c r="P216" s="4" t="s">
        <v>382</v>
      </c>
      <c r="Q216" s="6" t="s">
        <v>383</v>
      </c>
      <c r="R216" s="6"/>
      <c r="S216" s="6" t="s">
        <v>1658</v>
      </c>
      <c r="T216" s="6" t="e" vm="198">
        <v>#VALUE!</v>
      </c>
      <c r="U216" s="51" cm="1">
        <f t="array" aca="1" ref="U216" ca="1">IFERROR(_FV(Tableau1[[#This Row],[Code Excel]],"Capitalisation boursière",TRUE),"")</f>
        <v>12031700000</v>
      </c>
      <c r="V216" s="4" t="str" cm="1">
        <f t="array" aca="1" ref="V216" ca="1">IFERROR(_FV(Tableau1[[#This Row],[Code Excel]],"Industrie"),"")</f>
        <v>Biotechnology &amp; Medical Research</v>
      </c>
      <c r="W216" s="4" t="s">
        <v>1586</v>
      </c>
      <c r="X216" s="4" t="str">
        <f ca="1">Tableau1[[#This Row],[Grand Secteur]]&amp;Tableau1[[#This Row],[Industrie]]</f>
        <v>SantéBiotechnology &amp; Medical Research</v>
      </c>
      <c r="Y216" s="23" cm="1">
        <f t="array" aca="1" ref="Y216" ca="1">IFERROR(_FV(Tableau1[[#This Row],[Code Excel]],"P/E",TRUE),"")</f>
        <v>0</v>
      </c>
      <c r="Z216" s="43" cm="1">
        <f t="array" aca="1" ref="Z216" ca="1">IFERROR(_FV(Tableau1[[#This Row],[Code Excel]],"Employés"),"")</f>
        <v>5800</v>
      </c>
      <c r="AA216" s="49">
        <f ca="1">IFERROR(Tableau1[[#This Row],[Capitalisation boursière]]/Tableau1[[#This Row],[Employés]],"")</f>
        <v>2074431.0344827587</v>
      </c>
      <c r="AB216" s="5" t="str">
        <f>IFERROR(Tableau1[[#This Row],[REX (2021)]]/Tableau1[[#This Row],[CA 2024]],"")</f>
        <v/>
      </c>
      <c r="AC216" s="9" t="str">
        <f>IFERROR(_xlfn.XLOOKUP(Tableau1[[#This Row],[Isin]]&amp;1&amp;2021,#REF!,Tableau3[Résultat d''exploitation]),"")</f>
        <v/>
      </c>
      <c r="AD216" s="9" t="str">
        <f>IFERROR(_xlfn.XLOOKUP(Tableau1[[#This Row],[Isin]]&amp;1&amp;2019,#REF!,Tableau3[Chiffre d''affaires]),"")</f>
        <v/>
      </c>
      <c r="AE216" s="9" t="str">
        <f>IFERROR(_xlfn.XLOOKUP(Tableau1[[#This Row],[Isin]]&amp;1&amp;2024,#REF!,Tableau3[Chiffre d''affaires]),"")</f>
        <v/>
      </c>
      <c r="AF216" s="8" t="str">
        <f>IFERROR(IF((Tableau1[[#This Row],[CA 2024]]-Tableau1[[#This Row],[CA 2019]])/Tableau1[[#This Row],[CA 2019]]=-1,"",(Tableau1[[#This Row],[CA 2024]]-Tableau1[[#This Row],[CA 2019]])/Tableau1[[#This Row],[CA 2019]]),"")</f>
        <v/>
      </c>
      <c r="AG216" s="9" t="str">
        <f>IFERROR(_xlfn.XLOOKUP(Tableau1[[#This Row],[Isin]]&amp;1&amp;2021,#REF!,Tableau3[EBE]),"")</f>
        <v/>
      </c>
      <c r="AH216" s="9" t="str">
        <f>IFERROR(_xlfn.XLOOKUP(Tableau1[[#This Row],[Isin]]&amp;1&amp;2022,#REF!,Tableau3[EBE]),"")</f>
        <v/>
      </c>
      <c r="AI216" s="13" t="s">
        <v>4324</v>
      </c>
      <c r="AJ216" s="13" t="s">
        <v>4325</v>
      </c>
      <c r="AK216" s="13" t="s">
        <v>3148</v>
      </c>
      <c r="AL216" s="43" t="s">
        <v>4343</v>
      </c>
      <c r="AM216" s="43"/>
      <c r="AN216" s="9" t="str">
        <f>IFERROR(_xlfn.XLOOKUP(Tableau1[[#This Row],[Isin]]&amp;1&amp;2021,#REF!,Tableau3[Chiffre d''affaires]),"")</f>
        <v/>
      </c>
      <c r="AO216" s="43" cm="1">
        <f t="array" aca="1" ref="AO216" ca="1">_FV(Tableau1[[#This Row],[Code Excel]],"P/E",TRUE)</f>
        <v>0</v>
      </c>
      <c r="AP216" s="43" t="str">
        <f>IFERROR(_xlfn.XLOOKUP(Tableau1[[#This Row],[Isin]]&amp;1&amp;2023,#REF!,Tableau3[Résultat Net (PdG)]),"")</f>
        <v/>
      </c>
      <c r="AQ216" s="43">
        <f>IF(IFERROR(_xlfn.XLOOKUP(Tableau1[[#This Row],[Isin]]&amp;1&amp;2022,#REF!,Tableau3[Résultat Net (PdG)]),"")="",Tableau1[[#This Row],[RN Groupe 2022
Manuel]],IFERROR(_xlfn.XLOOKUP(Tableau1[[#This Row],[Isin]]&amp;1&amp;2022,#REF!,Tableau3[Résultat Net (PdG)]),""))</f>
        <v>0</v>
      </c>
      <c r="AR216" s="43"/>
      <c r="AS216" s="43">
        <f>IF(IFERROR(_xlfn.XLOOKUP(Tableau1[[#This Row],[Isin]]&amp;1&amp;2021,#REF!,Tableau3[Résultat Net (PdG)]),"")="",Tableau1[[#This Row],[RN Groupe 2021
Manuel]],IFERROR(_xlfn.XLOOKUP(Tableau1[[#This Row],[Isin]]&amp;1&amp;2021,#REF!,Tableau3[Résultat Net (PdG)]),""))</f>
        <v>0</v>
      </c>
      <c r="AT216" s="43"/>
      <c r="AU216" s="43" t="str">
        <f>IFERROR(_xlfn.XLOOKUP(Tableau1[[#This Row],[Isin]]&amp;1&amp;2020,#REF!,Tableau3[Résultat Net (PdG)]),"")</f>
        <v/>
      </c>
      <c r="AV216" s="43" t="str">
        <f>IFERROR(_xlfn.XLOOKUP(Tableau1[[#This Row],[Isin]]&amp;1&amp;2019,#REF!,Tableau3[Résultat Net (PdG)]),"")</f>
        <v/>
      </c>
      <c r="AW216" s="43" t="str">
        <f>IFERROR(_xlfn.XLOOKUP(Tableau1[[#This Row],[Isin]]&amp;1&amp;2018,#REF!,Tableau3[Résultat Net (PdG)]),"")</f>
        <v/>
      </c>
      <c r="AX216" s="43" t="str">
        <f>IFERROR(_xlfn.XLOOKUP(Tableau1[[#This Row],[Isin]]&amp;1&amp;2017,#REF!,Tableau3[Résultat Net (PdG)]),"")</f>
        <v/>
      </c>
      <c r="AY216" s="43" t="str">
        <f>IFERROR(_xlfn.XLOOKUP(Tableau1[[#This Row],[Isin]]&amp;1&amp;2016,#REF!,Tableau3[Résultat Net (PdG)]),"")</f>
        <v/>
      </c>
      <c r="AZ216" s="137" t="str">
        <f ca="1">IFERROR(Tableau1[[#This Row],[Capitalisation boursière]]/Tableau1[[#This Row],[RN Groupe 2023]],"")</f>
        <v/>
      </c>
      <c r="BA216" s="4" t="str" cm="1">
        <f t="array" aca="1" ref="BA216" ca="1">IFERROR(_FV(Tableau1[[#This Row],[Code Excel]],"Industrie"),"")</f>
        <v>Biotechnology &amp; Medical Research</v>
      </c>
      <c r="BB216" s="43" t="s">
        <v>3474</v>
      </c>
      <c r="BC216" s="43" t="str">
        <f>IFERROR(_xlfn.XLOOKUP(Tableau1[[#This Row],[Isin]]&amp;1&amp;2016,#REF!,Tableau3[Capi]),"")</f>
        <v/>
      </c>
      <c r="BD216" s="43" t="str">
        <f>IFERROR(_xlfn.XLOOKUP(Tableau1[[#This Row],[Isin]]&amp;1&amp;2017,#REF!,Tableau3[Capi]),"")</f>
        <v/>
      </c>
      <c r="BE216" s="43" t="str">
        <f>IFERROR(_xlfn.XLOOKUP(Tableau1[[#This Row],[Isin]]&amp;1&amp;2018,#REF!,Tableau3[Capi]),"")</f>
        <v/>
      </c>
      <c r="BF216" s="43" t="str">
        <f>IFERROR(_xlfn.XLOOKUP(Tableau1[[#This Row],[Isin]]&amp;1&amp;2019,#REF!,Tableau3[Capi]),"")</f>
        <v/>
      </c>
      <c r="BG216" s="43" t="str">
        <f>IFERROR(_xlfn.XLOOKUP(Tableau1[[#This Row],[Isin]]&amp;1&amp;2020,#REF!,Tableau3[Capi]),"")</f>
        <v/>
      </c>
      <c r="BH216" s="43">
        <f>IF(IFERROR(_xlfn.XLOOKUP(Tableau1[[#This Row],[Isin]]&amp;1&amp;2021,#REF!,Tableau3[Capi]),"")="",Tableau1[[#This Row],[Capitalisation 2021
Manuel]],IFERROR(_xlfn.XLOOKUP(Tableau1[[#This Row],[Isin]]&amp;1&amp;2021,#REF!,Tableau3[Capi]),""))</f>
        <v>0</v>
      </c>
      <c r="BI216" s="43"/>
      <c r="BJ216" s="43">
        <f>IF(IFERROR(_xlfn.XLOOKUP(Tableau1[[#This Row],[Isin]]&amp;1&amp;2022,#REF!,Tableau3[Capi]),"")="",Tableau1[[#This Row],[Capitalisation 2022
Manuel]],IFERROR(_xlfn.XLOOKUP(Tableau1[[#This Row],[Isin]]&amp;1&amp;2022,#REF!,Tableau3[Capi]),""))</f>
        <v>0</v>
      </c>
      <c r="BK216" s="43"/>
      <c r="BL216" s="43">
        <f ca="1">Tableau1[[#This Row],[Capitalisation boursière]]</f>
        <v>12031700000</v>
      </c>
      <c r="BM216" s="162" t="str" cm="1">
        <f t="array" aca="1" ref="BM216" ca="1">_FV(Tableau1[[#This Row],[Code Excel]],"Description")</f>
        <v>Moderna, Inc. est une entreprise de biotechnologie. La Société développe une nouvelle classe de médicaments à base d'acide ribonucléique messager (ARNm). Elle développe des thérapies et des vaccins pour les maladies infectieuses, l'immuno-oncologie, les maladies rares et les maladies auto-immunes, indépendamment et avec ses collaborateurs stratégiques. Les médicaments à ARNm sont conçus pour diriger les cellules du corps pour produire des protéines intracellulaires, membranaires ou sécrétées qui ont un bénéfice thérapeutique ou préventif avec le potentiel de traiter un éventail de maladies. Son portefeuille de développement diversifié comprend 45 programmes thérapeutiques et vaccinaux, dont neuf sont en phase de développement tardive. Ses produits comprennent les vaccins contre la COVID-19 (ARNm-1273/Spikevax, ARNm-1283 de nouvelle génération), le vaccin contre le VRS (ARNm-1345), les vaccins contre la grippe saisonnière (ARNm-1010, ARNm-1011, ARNm-1012, ARNm-1020 et ARNm-1030), les vaccins combinés (ARNm-1083, ARNm-1230, ARNm-1045 et ARNm-1365), vaccin CMV (ARNm-1647), vaccin EBV (ARNm-1189 et ARNm-1195) et autres.</v>
      </c>
      <c r="BN216" s="43"/>
      <c r="BO216" s="43"/>
      <c r="BP216" s="43"/>
      <c r="BQ216" s="43"/>
      <c r="BR216" s="13"/>
      <c r="BS216" s="13"/>
      <c r="BT216" s="13"/>
      <c r="BU216" s="13"/>
      <c r="BV216" s="13"/>
      <c r="BW216" s="13"/>
      <c r="BX216" s="13"/>
      <c r="BY216" s="21"/>
      <c r="BZ216" s="13"/>
      <c r="CA216" s="13"/>
      <c r="CB216" s="13"/>
      <c r="CC216" s="13"/>
      <c r="CD216" s="13"/>
      <c r="CF216" s="47"/>
      <c r="CG216" s="47"/>
    </row>
    <row r="217" spans="3:85">
      <c r="C217" s="42"/>
      <c r="D217" s="42">
        <f>IF(Tableau1[[#This Row],[Isin]]="",99,Tableau1[[#This Row],[Intérêt]]+Tableau1[[#This Row],[Valeur d''intérêt]]+Tableau1[[#This Row],[N° Portefeuille]])</f>
        <v>30</v>
      </c>
      <c r="E217" s="42"/>
      <c r="F217" s="42">
        <f>IF(Tableau1[[#This Row],[Portefeuille]]="p",0,Tableau1[[#This Row],[F. Investissement
Niveau d''intérêt]]*10)</f>
        <v>30</v>
      </c>
      <c r="G217" s="42">
        <f>IF(Tableau1[[#This Row],[Portefeuille]]="p",3,0)</f>
        <v>0</v>
      </c>
      <c r="H217" s="42">
        <v>3</v>
      </c>
      <c r="I217" s="42">
        <v>4</v>
      </c>
      <c r="J217" s="42"/>
      <c r="K217" s="43"/>
      <c r="L217" s="16">
        <v>1</v>
      </c>
      <c r="M21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7" s="44" t="s">
        <v>3982</v>
      </c>
      <c r="O217" s="44" t="s">
        <v>1395</v>
      </c>
      <c r="P217" s="4" t="s">
        <v>564</v>
      </c>
      <c r="Q217" s="6" t="s">
        <v>85</v>
      </c>
      <c r="R217" s="6"/>
      <c r="S217" s="6" t="s">
        <v>2006</v>
      </c>
      <c r="T217" s="6" t="e" vm="199">
        <v>#VALUE!</v>
      </c>
      <c r="U217" s="46" cm="1">
        <f t="array" aca="1" ref="U217" ca="1">IFERROR(_FV(Tableau1[[#This Row],[Code Excel]],"Capitalisation boursière",TRUE),"")</f>
        <v>17573700000</v>
      </c>
      <c r="V217" s="4" t="str" cm="1">
        <f t="array" aca="1" ref="V217" ca="1">IFERROR(_FV(Tableau1[[#This Row],[Code Excel]],"Industrie"),"")</f>
        <v>Aerospace &amp; Defense</v>
      </c>
      <c r="W217" s="4" t="str" cm="1">
        <f t="array" aca="1" ref="W217" ca="1">IFERROR(_FV(Tableau1[[#This Row],[Code Excel]],"Industrie"),"")</f>
        <v>Aerospace &amp; Defense</v>
      </c>
      <c r="X217" s="4" t="str">
        <f ca="1">Tableau1[[#This Row],[Grand Secteur]]&amp;Tableau1[[#This Row],[Industrie]]</f>
        <v>Aerospace &amp; DefenseAerospace &amp; Defense</v>
      </c>
      <c r="Y217" s="23" cm="1">
        <f t="array" aca="1" ref="Y217" ca="1">IFERROR(_FV(Tableau1[[#This Row],[Code Excel]],"P/E",TRUE),"")</f>
        <v>28.46</v>
      </c>
      <c r="Z217" s="43" cm="1">
        <f t="array" aca="1" ref="Z217" ca="1">IFERROR(_FV(Tableau1[[#This Row],[Code Excel]],"Employés"),"")</f>
        <v>12892</v>
      </c>
      <c r="AA217" s="46">
        <f ca="1">IFERROR(Tableau1[[#This Row],[Capitalisation boursière]]/Tableau1[[#This Row],[Employés]],"")</f>
        <v>1363147.6884889854</v>
      </c>
      <c r="AB217" s="5" t="str">
        <f>IFERROR(Tableau1[[#This Row],[REX (2021)]]/Tableau1[[#This Row],[CA 2024]],"")</f>
        <v/>
      </c>
      <c r="AC217" s="9" t="str">
        <f>IFERROR(_xlfn.XLOOKUP(Tableau1[[#This Row],[Isin]]&amp;1&amp;2021,#REF!,Tableau3[Résultat d''exploitation]),"")</f>
        <v/>
      </c>
      <c r="AD217" s="9" t="str">
        <f>IFERROR(_xlfn.XLOOKUP(Tableau1[[#This Row],[Isin]]&amp;1&amp;2019,#REF!,Tableau3[Chiffre d''affaires]),"")</f>
        <v/>
      </c>
      <c r="AE217" s="9" t="str">
        <f>IFERROR(_xlfn.XLOOKUP(Tableau1[[#This Row],[Isin]]&amp;1&amp;2024,#REF!,Tableau3[Chiffre d''affaires]),"")</f>
        <v/>
      </c>
      <c r="AF217" s="8" t="str">
        <f>IFERROR(IF((Tableau1[[#This Row],[CA 2024]]-Tableau1[[#This Row],[CA 2019]])/Tableau1[[#This Row],[CA 2019]]=-1,"",(Tableau1[[#This Row],[CA 2024]]-Tableau1[[#This Row],[CA 2019]])/Tableau1[[#This Row],[CA 2019]]),"")</f>
        <v/>
      </c>
      <c r="AG217" s="9" t="str">
        <f>IFERROR(_xlfn.XLOOKUP(Tableau1[[#This Row],[Isin]]&amp;1&amp;2021,#REF!,Tableau3[EBE]),"")</f>
        <v/>
      </c>
      <c r="AH217" s="9" t="str">
        <f>IFERROR(_xlfn.XLOOKUP(Tableau1[[#This Row],[Isin]]&amp;1&amp;2022,#REF!,Tableau3[EBE]),"")</f>
        <v/>
      </c>
      <c r="AI217" s="43" t="s">
        <v>4343</v>
      </c>
      <c r="AJ217" s="43" t="s">
        <v>4322</v>
      </c>
      <c r="AK217" s="43" t="s">
        <v>3431</v>
      </c>
      <c r="AL217" s="43" t="s">
        <v>4338</v>
      </c>
      <c r="AM217" s="43"/>
      <c r="AN217" s="9" t="str">
        <f>IFERROR(_xlfn.XLOOKUP(Tableau1[[#This Row],[Isin]]&amp;1&amp;2021,#REF!,Tableau3[Chiffre d''affaires]),"")</f>
        <v/>
      </c>
      <c r="AO217" s="43" cm="1">
        <f t="array" aca="1" ref="AO217" ca="1">_FV(Tableau1[[#This Row],[Code Excel]],"P/E",TRUE)</f>
        <v>28.46</v>
      </c>
      <c r="AP217" s="43" t="str">
        <f>IFERROR(_xlfn.XLOOKUP(Tableau1[[#This Row],[Isin]]&amp;1&amp;2023,#REF!,Tableau3[Résultat Net (PdG)]),"")</f>
        <v/>
      </c>
      <c r="AQ217" s="43">
        <f>IF(IFERROR(_xlfn.XLOOKUP(Tableau1[[#This Row],[Isin]]&amp;1&amp;2022,#REF!,Tableau3[Résultat Net (PdG)]),"")="",Tableau1[[#This Row],[RN Groupe 2022
Manuel]],IFERROR(_xlfn.XLOOKUP(Tableau1[[#This Row],[Isin]]&amp;1&amp;2022,#REF!,Tableau3[Résultat Net (PdG)]),""))</f>
        <v>0</v>
      </c>
      <c r="AR217" s="43"/>
      <c r="AS217" s="43">
        <f>IF(IFERROR(_xlfn.XLOOKUP(Tableau1[[#This Row],[Isin]]&amp;1&amp;2021,#REF!,Tableau3[Résultat Net (PdG)]),"")="",Tableau1[[#This Row],[RN Groupe 2021
Manuel]],IFERROR(_xlfn.XLOOKUP(Tableau1[[#This Row],[Isin]]&amp;1&amp;2021,#REF!,Tableau3[Résultat Net (PdG)]),""))</f>
        <v>0</v>
      </c>
      <c r="AT217" s="43"/>
      <c r="AU217" s="43" t="str">
        <f>IFERROR(_xlfn.XLOOKUP(Tableau1[[#This Row],[Isin]]&amp;1&amp;2020,#REF!,Tableau3[Résultat Net (PdG)]),"")</f>
        <v/>
      </c>
      <c r="AV217" s="43" t="str">
        <f>IFERROR(_xlfn.XLOOKUP(Tableau1[[#This Row],[Isin]]&amp;1&amp;2019,#REF!,Tableau3[Résultat Net (PdG)]),"")</f>
        <v/>
      </c>
      <c r="AW217" s="43" t="str">
        <f>IFERROR(_xlfn.XLOOKUP(Tableau1[[#This Row],[Isin]]&amp;1&amp;2018,#REF!,Tableau3[Résultat Net (PdG)]),"")</f>
        <v/>
      </c>
      <c r="AX217" s="43" t="str">
        <f>IFERROR(_xlfn.XLOOKUP(Tableau1[[#This Row],[Isin]]&amp;1&amp;2017,#REF!,Tableau3[Résultat Net (PdG)]),"")</f>
        <v/>
      </c>
      <c r="AY217" s="43" t="str">
        <f>IFERROR(_xlfn.XLOOKUP(Tableau1[[#This Row],[Isin]]&amp;1&amp;2016,#REF!,Tableau3[Résultat Net (PdG)]),"")</f>
        <v/>
      </c>
      <c r="AZ217" s="137" t="str">
        <f ca="1">IFERROR(Tableau1[[#This Row],[Capitalisation boursière]]/Tableau1[[#This Row],[RN Groupe 2023]],"")</f>
        <v/>
      </c>
      <c r="BA217" s="4" t="str" cm="1">
        <f t="array" aca="1" ref="BA217" ca="1">IFERROR(_FV(Tableau1[[#This Row],[Code Excel]],"Industrie"),"")</f>
        <v>Aerospace &amp; Defense</v>
      </c>
      <c r="BB217" s="43" t="s">
        <v>3487</v>
      </c>
      <c r="BC217" s="43" t="str">
        <f>IFERROR(_xlfn.XLOOKUP(Tableau1[[#This Row],[Isin]]&amp;1&amp;2016,#REF!,Tableau3[Capi]),"")</f>
        <v/>
      </c>
      <c r="BD217" s="43" t="str">
        <f>IFERROR(_xlfn.XLOOKUP(Tableau1[[#This Row],[Isin]]&amp;1&amp;2017,#REF!,Tableau3[Capi]),"")</f>
        <v/>
      </c>
      <c r="BE217" s="43" t="str">
        <f>IFERROR(_xlfn.XLOOKUP(Tableau1[[#This Row],[Isin]]&amp;1&amp;2018,#REF!,Tableau3[Capi]),"")</f>
        <v/>
      </c>
      <c r="BF217" s="43" t="str">
        <f>IFERROR(_xlfn.XLOOKUP(Tableau1[[#This Row],[Isin]]&amp;1&amp;2019,#REF!,Tableau3[Capi]),"")</f>
        <v/>
      </c>
      <c r="BG217" s="43" t="str">
        <f>IFERROR(_xlfn.XLOOKUP(Tableau1[[#This Row],[Isin]]&amp;1&amp;2020,#REF!,Tableau3[Capi]),"")</f>
        <v/>
      </c>
      <c r="BH217" s="43">
        <f>IF(IFERROR(_xlfn.XLOOKUP(Tableau1[[#This Row],[Isin]]&amp;1&amp;2021,#REF!,Tableau3[Capi]),"")="",Tableau1[[#This Row],[Capitalisation 2021
Manuel]],IFERROR(_xlfn.XLOOKUP(Tableau1[[#This Row],[Isin]]&amp;1&amp;2021,#REF!,Tableau3[Capi]),""))</f>
        <v>0</v>
      </c>
      <c r="BI217" s="43"/>
      <c r="BJ217" s="43">
        <f>IF(IFERROR(_xlfn.XLOOKUP(Tableau1[[#This Row],[Isin]]&amp;1&amp;2022,#REF!,Tableau3[Capi]),"")="",Tableau1[[#This Row],[Capitalisation 2022
Manuel]],IFERROR(_xlfn.XLOOKUP(Tableau1[[#This Row],[Isin]]&amp;1&amp;2022,#REF!,Tableau3[Capi]),""))</f>
        <v>0</v>
      </c>
      <c r="BK217" s="43"/>
      <c r="BL217" s="43">
        <f ca="1">Tableau1[[#This Row],[Capitalisation boursière]]</f>
        <v>17573700000</v>
      </c>
      <c r="BM217" s="162" t="str" cm="1">
        <f t="array" aca="1" ref="BM217" ca="1">_FV(Tableau1[[#This Row],[Code Excel]],"Description")</f>
        <v>MTU Aero Engines AG est un fabricant allemand de moteurs d'avions militaires dans toutes les catégories de poussée et de puissance et de turbines à gaz stationnaires. La Société opère dans deux secteurs : le secteur des moteurs commerciaux et militaires (OEM) et le secteur de la maintenance commerciale (MRO). Le segment des moteurs commerciaux et militaires (OEM) couvre le développement et la production de modules, de composants et de pièces pour les programmes de moteurs, y compris l'assemblage final, ainsi que les services de maintenance. Le secteur de l'entretien commercial (MRO) couvre toutes les activités liées à l'entretien, à la réparation et à la révision des moteurs commerciaux et des services connexes. Elle opère par le biais de nombreuses filiales en Europe, en Amérique, en Asie et en Australie.</v>
      </c>
      <c r="BN217" s="43"/>
      <c r="BO217" s="43"/>
      <c r="BP217" s="43"/>
      <c r="BQ217" s="43"/>
      <c r="BR217" s="13"/>
      <c r="BS217" s="13"/>
      <c r="BT217" s="13"/>
      <c r="BU217" s="13"/>
      <c r="BV217" s="13"/>
      <c r="BW217" s="13"/>
      <c r="BX217" s="13"/>
      <c r="BY217" s="21"/>
      <c r="BZ217" s="13"/>
      <c r="CA217" s="13"/>
      <c r="CB217" s="13"/>
      <c r="CC217" s="13"/>
      <c r="CD217" s="13"/>
      <c r="CF217" s="47"/>
      <c r="CG217" s="47"/>
    </row>
    <row r="218" spans="3:85">
      <c r="C218" s="43"/>
      <c r="D218" s="42">
        <f>IF(Tableau1[[#This Row],[Isin]]="",99,Tableau1[[#This Row],[Intérêt]]+Tableau1[[#This Row],[Valeur d''intérêt]]+Tableau1[[#This Row],[N° Portefeuille]])</f>
        <v>30</v>
      </c>
      <c r="E218" s="43"/>
      <c r="F218" s="42">
        <f>IF(Tableau1[[#This Row],[Portefeuille]]="p",0,Tableau1[[#This Row],[F. Investissement
Niveau d''intérêt]]*10)</f>
        <v>30</v>
      </c>
      <c r="G218" s="43">
        <f>IF(Tableau1[[#This Row],[Portefeuille]]="p",3,0)</f>
        <v>0</v>
      </c>
      <c r="H218" s="43">
        <v>3</v>
      </c>
      <c r="I218" s="43">
        <v>4</v>
      </c>
      <c r="J218" s="43"/>
      <c r="K218" s="43"/>
      <c r="L218" s="16">
        <v>1</v>
      </c>
      <c r="M21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8" s="44" t="s">
        <v>640</v>
      </c>
      <c r="O218" s="44" t="s">
        <v>575</v>
      </c>
      <c r="P218" s="4" t="s">
        <v>47</v>
      </c>
      <c r="Q218" s="6" t="s">
        <v>48</v>
      </c>
      <c r="R218" s="6"/>
      <c r="S218" s="6" t="s">
        <v>642</v>
      </c>
      <c r="T218" s="6" t="e" vm="200">
        <v>#VALUE!</v>
      </c>
      <c r="U218" s="55" cm="1">
        <f t="array" aca="1" ref="U218" ca="1">IFERROR(_FV(Tableau1[[#This Row],[Code Excel]],"Capitalisation boursière",TRUE),"")</f>
        <v>61660790</v>
      </c>
      <c r="V218" s="4" t="str" cm="1">
        <f t="array" aca="1" ref="V218" ca="1">IFERROR(_FV(Tableau1[[#This Row],[Code Excel]],"Industrie"),"")</f>
        <v>Textiles &amp; Apparel</v>
      </c>
      <c r="W218" s="4" t="s">
        <v>1315</v>
      </c>
      <c r="X218" s="4" t="str">
        <f ca="1">Tableau1[[#This Row],[Grand Secteur]]&amp;Tableau1[[#This Row],[Industrie]]</f>
        <v>Biens de consommationTextiles &amp; Apparel</v>
      </c>
      <c r="Y218" s="23" cm="1">
        <f t="array" aca="1" ref="Y218" ca="1">IFERROR(_FV(Tableau1[[#This Row],[Code Excel]],"P/E",TRUE),"")</f>
        <v>0</v>
      </c>
      <c r="Z218" s="43" cm="1">
        <f t="array" aca="1" ref="Z218" ca="1">IFERROR(_FV(Tableau1[[#This Row],[Code Excel]],"Employés"),"")</f>
        <v>1300</v>
      </c>
      <c r="AA218" s="46">
        <f ca="1">IFERROR(Tableau1[[#This Row],[Capitalisation boursière]]/Tableau1[[#This Row],[Employés]],"")</f>
        <v>47431.376923076925</v>
      </c>
      <c r="AB218" s="5" t="str">
        <f>IFERROR(Tableau1[[#This Row],[REX (2021)]]/Tableau1[[#This Row],[CA 2024]],"")</f>
        <v/>
      </c>
      <c r="AC218" s="9" t="str">
        <f>IFERROR(_xlfn.XLOOKUP(Tableau1[[#This Row],[Isin]]&amp;1&amp;2021,#REF!,Tableau3[Résultat d''exploitation]),"")</f>
        <v/>
      </c>
      <c r="AD218" s="9" t="str">
        <f>IFERROR(_xlfn.XLOOKUP(Tableau1[[#This Row],[Isin]]&amp;1&amp;2019,#REF!,Tableau3[Chiffre d''affaires]),"")</f>
        <v/>
      </c>
      <c r="AE218" s="9" t="str">
        <f>IFERROR(_xlfn.XLOOKUP(Tableau1[[#This Row],[Isin]]&amp;1&amp;2024,#REF!,Tableau3[Chiffre d''affaires]),"")</f>
        <v/>
      </c>
      <c r="AF218" s="8" t="str">
        <f>IFERROR(IF((Tableau1[[#This Row],[CA 2024]]-Tableau1[[#This Row],[CA 2019]])/Tableau1[[#This Row],[CA 2019]]=-1,"",(Tableau1[[#This Row],[CA 2024]]-Tableau1[[#This Row],[CA 2019]])/Tableau1[[#This Row],[CA 2019]]),"")</f>
        <v/>
      </c>
      <c r="AG218" s="9" t="str">
        <f>IFERROR(_xlfn.XLOOKUP(Tableau1[[#This Row],[Isin]]&amp;1&amp;2021,#REF!,Tableau3[EBE]),"")</f>
        <v/>
      </c>
      <c r="AH218" s="9" t="str">
        <f>IFERROR(_xlfn.XLOOKUP(Tableau1[[#This Row],[Isin]]&amp;1&amp;2022,#REF!,Tableau3[EBE]),"")</f>
        <v/>
      </c>
      <c r="AI218" s="43" t="s">
        <v>4329</v>
      </c>
      <c r="AJ218" s="43" t="s">
        <v>4348</v>
      </c>
      <c r="AK218" s="43" t="s">
        <v>3431</v>
      </c>
      <c r="AL218" s="43" t="s">
        <v>3149</v>
      </c>
      <c r="AM218" s="43"/>
      <c r="AN218" s="9" t="str">
        <f>IFERROR(_xlfn.XLOOKUP(Tableau1[[#This Row],[Isin]]&amp;1&amp;2021,#REF!,Tableau3[Chiffre d''affaires]),"")</f>
        <v/>
      </c>
      <c r="AO218" s="43" cm="1">
        <f t="array" aca="1" ref="AO218" ca="1">_FV(Tableau1[[#This Row],[Code Excel]],"P/E",TRUE)</f>
        <v>0</v>
      </c>
      <c r="AP218" s="43" t="str">
        <f>IFERROR(_xlfn.XLOOKUP(Tableau1[[#This Row],[Isin]]&amp;1&amp;2023,#REF!,Tableau3[Résultat Net (PdG)]),"")</f>
        <v/>
      </c>
      <c r="AQ218" s="43">
        <f>IF(IFERROR(_xlfn.XLOOKUP(Tableau1[[#This Row],[Isin]]&amp;1&amp;2022,#REF!,Tableau3[Résultat Net (PdG)]),"")="",Tableau1[[#This Row],[RN Groupe 2022
Manuel]],IFERROR(_xlfn.XLOOKUP(Tableau1[[#This Row],[Isin]]&amp;1&amp;2022,#REF!,Tableau3[Résultat Net (PdG)]),""))</f>
        <v>0</v>
      </c>
      <c r="AR218" s="43"/>
      <c r="AS218" s="43">
        <f>IF(IFERROR(_xlfn.XLOOKUP(Tableau1[[#This Row],[Isin]]&amp;1&amp;2021,#REF!,Tableau3[Résultat Net (PdG)]),"")="",Tableau1[[#This Row],[RN Groupe 2021
Manuel]],IFERROR(_xlfn.XLOOKUP(Tableau1[[#This Row],[Isin]]&amp;1&amp;2021,#REF!,Tableau3[Résultat Net (PdG)]),""))</f>
        <v>0</v>
      </c>
      <c r="AT218" s="43"/>
      <c r="AU218" s="43" t="str">
        <f>IFERROR(_xlfn.XLOOKUP(Tableau1[[#This Row],[Isin]]&amp;1&amp;2020,#REF!,Tableau3[Résultat Net (PdG)]),"")</f>
        <v/>
      </c>
      <c r="AV218" s="43" t="str">
        <f>IFERROR(_xlfn.XLOOKUP(Tableau1[[#This Row],[Isin]]&amp;1&amp;2019,#REF!,Tableau3[Résultat Net (PdG)]),"")</f>
        <v/>
      </c>
      <c r="AW218" s="43" t="str">
        <f>IFERROR(_xlfn.XLOOKUP(Tableau1[[#This Row],[Isin]]&amp;1&amp;2018,#REF!,Tableau3[Résultat Net (PdG)]),"")</f>
        <v/>
      </c>
      <c r="AX218" s="43" t="str">
        <f>IFERROR(_xlfn.XLOOKUP(Tableau1[[#This Row],[Isin]]&amp;1&amp;2017,#REF!,Tableau3[Résultat Net (PdG)]),"")</f>
        <v/>
      </c>
      <c r="AY218" s="43" t="str">
        <f>IFERROR(_xlfn.XLOOKUP(Tableau1[[#This Row],[Isin]]&amp;1&amp;2016,#REF!,Tableau3[Résultat Net (PdG)]),"")</f>
        <v/>
      </c>
      <c r="AZ218" s="137" t="str">
        <f ca="1">IFERROR(Tableau1[[#This Row],[Capitalisation boursière]]/Tableau1[[#This Row],[RN Groupe 2023]],"")</f>
        <v/>
      </c>
      <c r="BA218" s="4" t="str" cm="1">
        <f t="array" aca="1" ref="BA218" ca="1">IFERROR(_FV(Tableau1[[#This Row],[Code Excel]],"Industrie"),"")</f>
        <v>Textiles &amp; Apparel</v>
      </c>
      <c r="BB218" s="43" t="e">
        <v>#N/A</v>
      </c>
      <c r="BC218" s="43" t="str">
        <f>IFERROR(_xlfn.XLOOKUP(Tableau1[[#This Row],[Isin]]&amp;1&amp;2016,#REF!,Tableau3[Capi]),"")</f>
        <v/>
      </c>
      <c r="BD218" s="43" t="str">
        <f>IFERROR(_xlfn.XLOOKUP(Tableau1[[#This Row],[Isin]]&amp;1&amp;2017,#REF!,Tableau3[Capi]),"")</f>
        <v/>
      </c>
      <c r="BE218" s="43" t="str">
        <f>IFERROR(_xlfn.XLOOKUP(Tableau1[[#This Row],[Isin]]&amp;1&amp;2018,#REF!,Tableau3[Capi]),"")</f>
        <v/>
      </c>
      <c r="BF218" s="43" t="str">
        <f>IFERROR(_xlfn.XLOOKUP(Tableau1[[#This Row],[Isin]]&amp;1&amp;2019,#REF!,Tableau3[Capi]),"")</f>
        <v/>
      </c>
      <c r="BG218" s="43" t="str">
        <f>IFERROR(_xlfn.XLOOKUP(Tableau1[[#This Row],[Isin]]&amp;1&amp;2020,#REF!,Tableau3[Capi]),"")</f>
        <v/>
      </c>
      <c r="BH218" s="43">
        <f>IF(IFERROR(_xlfn.XLOOKUP(Tableau1[[#This Row],[Isin]]&amp;1&amp;2021,#REF!,Tableau3[Capi]),"")="",Tableau1[[#This Row],[Capitalisation 2021
Manuel]],IFERROR(_xlfn.XLOOKUP(Tableau1[[#This Row],[Isin]]&amp;1&amp;2021,#REF!,Tableau3[Capi]),""))</f>
        <v>0</v>
      </c>
      <c r="BI218" s="43"/>
      <c r="BJ218" s="43">
        <f>IF(IFERROR(_xlfn.XLOOKUP(Tableau1[[#This Row],[Isin]]&amp;1&amp;2022,#REF!,Tableau3[Capi]),"")="",Tableau1[[#This Row],[Capitalisation 2022
Manuel]],IFERROR(_xlfn.XLOOKUP(Tableau1[[#This Row],[Isin]]&amp;1&amp;2022,#REF!,Tableau3[Capi]),""))</f>
        <v>0</v>
      </c>
      <c r="BK218" s="43"/>
      <c r="BL218" s="43">
        <f ca="1">Tableau1[[#This Row],[Capitalisation boursière]]</f>
        <v>61660790</v>
      </c>
      <c r="BM218" s="162" t="str" cm="1">
        <f t="array" aca="1" ref="BM218" ca="1">_FV(Tableau1[[#This Row],[Code Excel]],"Description")</f>
        <v>Mulberry Group plc is a United Kingdom-based sustainable luxury brand. The Company sources, designs and manufactures leather goods, including bag ranges and other lifestyle accessories, which it sells direct-to-customer across approximately 190 countries through its integrated digital channels and store network. In other territories, the Company works with selected local partners to deliver its products to customers. It designs, manufactures and manages the Mulberry brand. It has two factories in Somerset, over 100 stores and a digital flagship. Its product categories include women, men, gifts and pre-loved. Its products include bags, icons, mini and micro bags, small leather goods, accessories, travel, home, ready-to-wear, shoes and gifts. Its women's bag category products include icons, shoulder bags, satchels, totes, clutches, mini and micro bags, and backpacks. The Company's men's accessories category products include scarves, hats and gloves, ties and cufflinks, and sunglasses.</v>
      </c>
      <c r="BN218" s="43"/>
      <c r="BO218" s="43"/>
      <c r="BP218" s="43"/>
      <c r="BQ218" s="43"/>
      <c r="BR218" s="13"/>
      <c r="BS218" s="13"/>
      <c r="BT218" s="13"/>
      <c r="BU218" s="13"/>
      <c r="BV218" s="13"/>
      <c r="BW218" s="29"/>
      <c r="BX218" s="29"/>
      <c r="BY218" s="21"/>
      <c r="BZ218" s="13"/>
      <c r="CA218" s="13"/>
      <c r="CB218" s="13"/>
      <c r="CC218" s="13"/>
      <c r="CD218" s="13"/>
      <c r="CF218" s="47"/>
      <c r="CG218" s="47"/>
    </row>
    <row r="219" spans="3:85">
      <c r="C219" s="42"/>
      <c r="D219" s="42">
        <f>IF(Tableau1[[#This Row],[Isin]]="",99,Tableau1[[#This Row],[Intérêt]]+Tableau1[[#This Row],[Valeur d''intérêt]]+Tableau1[[#This Row],[N° Portefeuille]])</f>
        <v>30</v>
      </c>
      <c r="E219" s="42"/>
      <c r="F219" s="42">
        <f>IF(Tableau1[[#This Row],[Portefeuille]]="p",0,Tableau1[[#This Row],[F. Investissement
Niveau d''intérêt]]*10)</f>
        <v>30</v>
      </c>
      <c r="G219" s="42">
        <f>IF(Tableau1[[#This Row],[Portefeuille]]="p",3,0)</f>
        <v>0</v>
      </c>
      <c r="H219" s="42">
        <v>3</v>
      </c>
      <c r="I219" s="42">
        <v>4</v>
      </c>
      <c r="J219" s="42"/>
      <c r="K219" s="43"/>
      <c r="L219" s="16">
        <v>0</v>
      </c>
      <c r="M21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19" s="44" t="s">
        <v>3985</v>
      </c>
      <c r="O219" s="45"/>
      <c r="P219" s="4" t="s">
        <v>564</v>
      </c>
      <c r="Q219" s="4"/>
      <c r="R219" s="6"/>
      <c r="S219" s="6" t="s">
        <v>3986</v>
      </c>
      <c r="T219" s="6" t="e" vm="201">
        <v>#VALUE!</v>
      </c>
      <c r="U219" s="46" cm="1">
        <f t="array" aca="1" ref="U219" ca="1">IFERROR(_FV(Tableau1[[#This Row],[Code Excel]],"Capitalisation boursière",TRUE),"")</f>
        <v>78597550000</v>
      </c>
      <c r="V219" s="4" t="str" cm="1">
        <f t="array" aca="1" ref="V219" ca="1">IFERROR(_FV(Tableau1[[#This Row],[Code Excel]],"Industrie"),"")</f>
        <v>Insurance</v>
      </c>
      <c r="W219" s="4" t="s">
        <v>4336</v>
      </c>
      <c r="X219" s="4" t="str">
        <f ca="1">Tableau1[[#This Row],[Grand Secteur]]&amp;Tableau1[[#This Row],[Industrie]]</f>
        <v>AssuranceInsurance</v>
      </c>
      <c r="Y219" s="23" cm="1">
        <f t="array" aca="1" ref="Y219" ca="1">IFERROR(_FV(Tableau1[[#This Row],[Code Excel]],"P/E",TRUE),"")</f>
        <v>13.73</v>
      </c>
      <c r="Z219" s="43" cm="1">
        <f t="array" aca="1" ref="Z219" ca="1">IFERROR(_FV(Tableau1[[#This Row],[Code Excel]],"Employés"),"")</f>
        <v>43584</v>
      </c>
      <c r="AA219" s="46">
        <f ca="1">IFERROR(Tableau1[[#This Row],[Capitalisation boursière]]/Tableau1[[#This Row],[Employés]],"")</f>
        <v>1803357.8836270191</v>
      </c>
      <c r="AB219" s="5" t="str">
        <f>IFERROR(Tableau1[[#This Row],[REX (2021)]]/Tableau1[[#This Row],[CA 2024]],"")</f>
        <v/>
      </c>
      <c r="AC219" s="9" t="str">
        <f>IFERROR(_xlfn.XLOOKUP(Tableau1[[#This Row],[Isin]]&amp;1&amp;2021,#REF!,Tableau3[Résultat d''exploitation]),"")</f>
        <v/>
      </c>
      <c r="AD219" s="9" t="str">
        <f>IFERROR(_xlfn.XLOOKUP(Tableau1[[#This Row],[Isin]]&amp;1&amp;2019,#REF!,Tableau3[Chiffre d''affaires]),"")</f>
        <v/>
      </c>
      <c r="AE219" s="9" t="str">
        <f>IFERROR(_xlfn.XLOOKUP(Tableau1[[#This Row],[Isin]]&amp;1&amp;2024,#REF!,Tableau3[Chiffre d''affaires]),"")</f>
        <v/>
      </c>
      <c r="AF219" s="8" t="str">
        <f>IFERROR(IF((Tableau1[[#This Row],[CA 2024]]-Tableau1[[#This Row],[CA 2019]])/Tableau1[[#This Row],[CA 2019]]=-1,"",(Tableau1[[#This Row],[CA 2024]]-Tableau1[[#This Row],[CA 2019]])/Tableau1[[#This Row],[CA 2019]]),"")</f>
        <v/>
      </c>
      <c r="AG219" s="9" t="str">
        <f>IFERROR(_xlfn.XLOOKUP(Tableau1[[#This Row],[Isin]]&amp;1&amp;2021,#REF!,Tableau3[EBE]),"")</f>
        <v/>
      </c>
      <c r="AH219" s="9" t="str">
        <f>IFERROR(_xlfn.XLOOKUP(Tableau1[[#This Row],[Isin]]&amp;1&amp;2022,#REF!,Tableau3[EBE]),"")</f>
        <v/>
      </c>
      <c r="AI219" s="43" t="s">
        <v>4329</v>
      </c>
      <c r="AJ219" s="43" t="s">
        <v>4322</v>
      </c>
      <c r="AK219" s="43" t="s">
        <v>3431</v>
      </c>
      <c r="AL219" s="43"/>
      <c r="AM219" s="43"/>
      <c r="AN219" s="9" t="str">
        <f>IFERROR(_xlfn.XLOOKUP(Tableau1[[#This Row],[Isin]]&amp;1&amp;2021,#REF!,Tableau3[Chiffre d''affaires]),"")</f>
        <v/>
      </c>
      <c r="AO219" s="43" cm="1">
        <f t="array" aca="1" ref="AO219" ca="1">_FV(Tableau1[[#This Row],[Code Excel]],"P/E",TRUE)</f>
        <v>13.73</v>
      </c>
      <c r="AP219" s="43" t="str">
        <f>IFERROR(_xlfn.XLOOKUP(Tableau1[[#This Row],[Isin]]&amp;1&amp;2023,#REF!,Tableau3[Résultat Net (PdG)]),"")</f>
        <v/>
      </c>
      <c r="AQ219" s="43">
        <f>IF(IFERROR(_xlfn.XLOOKUP(Tableau1[[#This Row],[Isin]]&amp;1&amp;2022,#REF!,Tableau3[Résultat Net (PdG)]),"")="",Tableau1[[#This Row],[RN Groupe 2022
Manuel]],IFERROR(_xlfn.XLOOKUP(Tableau1[[#This Row],[Isin]]&amp;1&amp;2022,#REF!,Tableau3[Résultat Net (PdG)]),""))</f>
        <v>0</v>
      </c>
      <c r="AR219" s="43"/>
      <c r="AS219" s="43">
        <f>IF(IFERROR(_xlfn.XLOOKUP(Tableau1[[#This Row],[Isin]]&amp;1&amp;2021,#REF!,Tableau3[Résultat Net (PdG)]),"")="",Tableau1[[#This Row],[RN Groupe 2021
Manuel]],IFERROR(_xlfn.XLOOKUP(Tableau1[[#This Row],[Isin]]&amp;1&amp;2021,#REF!,Tableau3[Résultat Net (PdG)]),""))</f>
        <v>0</v>
      </c>
      <c r="AT219" s="43"/>
      <c r="AU219" s="43" t="str">
        <f>IFERROR(_xlfn.XLOOKUP(Tableau1[[#This Row],[Isin]]&amp;1&amp;2020,#REF!,Tableau3[Résultat Net (PdG)]),"")</f>
        <v/>
      </c>
      <c r="AV219" s="43" t="str">
        <f>IFERROR(_xlfn.XLOOKUP(Tableau1[[#This Row],[Isin]]&amp;1&amp;2019,#REF!,Tableau3[Résultat Net (PdG)]),"")</f>
        <v/>
      </c>
      <c r="AW219" s="43" t="str">
        <f>IFERROR(_xlfn.XLOOKUP(Tableau1[[#This Row],[Isin]]&amp;1&amp;2018,#REF!,Tableau3[Résultat Net (PdG)]),"")</f>
        <v/>
      </c>
      <c r="AX219" s="43" t="str">
        <f>IFERROR(_xlfn.XLOOKUP(Tableau1[[#This Row],[Isin]]&amp;1&amp;2017,#REF!,Tableau3[Résultat Net (PdG)]),"")</f>
        <v/>
      </c>
      <c r="AY219" s="43" t="str">
        <f>IFERROR(_xlfn.XLOOKUP(Tableau1[[#This Row],[Isin]]&amp;1&amp;2016,#REF!,Tableau3[Résultat Net (PdG)]),"")</f>
        <v/>
      </c>
      <c r="AZ219" s="137" t="str">
        <f ca="1">IFERROR(Tableau1[[#This Row],[Capitalisation boursière]]/Tableau1[[#This Row],[RN Groupe 2023]],"")</f>
        <v/>
      </c>
      <c r="BA219" s="4" t="str" cm="1">
        <f t="array" aca="1" ref="BA219" ca="1">IFERROR(_FV(Tableau1[[#This Row],[Code Excel]],"Industrie"),"")</f>
        <v>Insurance</v>
      </c>
      <c r="BB219" s="43" t="s">
        <v>3487</v>
      </c>
      <c r="BC219" s="43" t="str">
        <f>IFERROR(_xlfn.XLOOKUP(Tableau1[[#This Row],[Isin]]&amp;1&amp;2016,#REF!,Tableau3[Capi]),"")</f>
        <v/>
      </c>
      <c r="BD219" s="43" t="str">
        <f>IFERROR(_xlfn.XLOOKUP(Tableau1[[#This Row],[Isin]]&amp;1&amp;2017,#REF!,Tableau3[Capi]),"")</f>
        <v/>
      </c>
      <c r="BE219" s="43" t="str">
        <f>IFERROR(_xlfn.XLOOKUP(Tableau1[[#This Row],[Isin]]&amp;1&amp;2018,#REF!,Tableau3[Capi]),"")</f>
        <v/>
      </c>
      <c r="BF219" s="43" t="str">
        <f>IFERROR(_xlfn.XLOOKUP(Tableau1[[#This Row],[Isin]]&amp;1&amp;2019,#REF!,Tableau3[Capi]),"")</f>
        <v/>
      </c>
      <c r="BG219" s="43" t="str">
        <f>IFERROR(_xlfn.XLOOKUP(Tableau1[[#This Row],[Isin]]&amp;1&amp;2020,#REF!,Tableau3[Capi]),"")</f>
        <v/>
      </c>
      <c r="BH219" s="43">
        <f>IF(IFERROR(_xlfn.XLOOKUP(Tableau1[[#This Row],[Isin]]&amp;1&amp;2021,#REF!,Tableau3[Capi]),"")="",Tableau1[[#This Row],[Capitalisation 2021
Manuel]],IFERROR(_xlfn.XLOOKUP(Tableau1[[#This Row],[Isin]]&amp;1&amp;2021,#REF!,Tableau3[Capi]),""))</f>
        <v>0</v>
      </c>
      <c r="BI219" s="43"/>
      <c r="BJ219" s="43">
        <f>IF(IFERROR(_xlfn.XLOOKUP(Tableau1[[#This Row],[Isin]]&amp;1&amp;2022,#REF!,Tableau3[Capi]),"")="",Tableau1[[#This Row],[Capitalisation 2022
Manuel]],IFERROR(_xlfn.XLOOKUP(Tableau1[[#This Row],[Isin]]&amp;1&amp;2022,#REF!,Tableau3[Capi]),""))</f>
        <v>0</v>
      </c>
      <c r="BK219" s="43"/>
      <c r="BL219" s="43">
        <f ca="1">Tableau1[[#This Row],[Capitalisation boursière]]</f>
        <v>78597550000</v>
      </c>
      <c r="BM219" s="162" t="str" cm="1">
        <f t="array" aca="1" ref="BM219" ca="1">_FV(Tableau1[[#This Row],[Code Excel]],"Description")</f>
        <v>Muenchener Rueckversicherungs Gesellschaft AG à Muenchen est une société allemande qui exerce des activités de réassurance et d'assurance. La Société divise ses activités en cinq secteurs : la réassurance vie et santé, qui comprend les activités mondiales de réassurance vie et santé ; la réassurance de biens et de risques divers, qui comprend les activités mondiales de réassurance de biens et de risques divers; ERGO Life and Health Germany, qui comprend les activités allemandes d'assurance vie et santé primaires, les activités allemandes d'assurance directe de dommages corporels et les activités mondiales d'assurance voyage ; ERGO Property-Casualty Germany, qui comprend les activités allemandes d'assurance de dommages corporels, à l'exclusion des activités directes ; et ERGO International, qui comprend les activités d'assurance primaire d'ERGO en dehors de l'Allemagne.</v>
      </c>
      <c r="BN219" s="43"/>
      <c r="BO219" s="43"/>
      <c r="BP219" s="43"/>
      <c r="BQ219" s="43"/>
      <c r="BR219" s="13"/>
      <c r="BS219" s="13"/>
      <c r="BT219" s="13"/>
      <c r="BU219" s="13"/>
      <c r="BV219" s="13"/>
      <c r="BW219" s="13"/>
      <c r="BX219" s="13"/>
      <c r="BY219" s="21"/>
      <c r="BZ219" s="13"/>
      <c r="CA219" s="13"/>
      <c r="CB219" s="13"/>
      <c r="CC219" s="13"/>
      <c r="CD219" s="13"/>
      <c r="CF219" s="47"/>
      <c r="CG219" s="47"/>
    </row>
    <row r="220" spans="3:85">
      <c r="C220" s="43"/>
      <c r="D220" s="42">
        <f>IF(Tableau1[[#This Row],[Isin]]="",99,Tableau1[[#This Row],[Intérêt]]+Tableau1[[#This Row],[Valeur d''intérêt]]+Tableau1[[#This Row],[N° Portefeuille]])</f>
        <v>30</v>
      </c>
      <c r="E220" s="43"/>
      <c r="F220" s="42">
        <f>IF(Tableau1[[#This Row],[Portefeuille]]="p",0,Tableau1[[#This Row],[F. Investissement
Niveau d''intérêt]]*10)</f>
        <v>30</v>
      </c>
      <c r="G220" s="43">
        <f>IF(Tableau1[[#This Row],[Portefeuille]]="p",3,0)</f>
        <v>0</v>
      </c>
      <c r="H220" s="43">
        <v>3</v>
      </c>
      <c r="I220" s="43">
        <v>3</v>
      </c>
      <c r="J220" s="43"/>
      <c r="K220" s="43"/>
      <c r="L220" s="16">
        <v>1</v>
      </c>
      <c r="M22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0" s="44" t="s">
        <v>3369</v>
      </c>
      <c r="O220" s="44" t="s">
        <v>4408</v>
      </c>
      <c r="P220" s="4" t="s">
        <v>84</v>
      </c>
      <c r="Q220" s="6" t="s">
        <v>85</v>
      </c>
      <c r="R220" s="6"/>
      <c r="S220" s="6" t="s">
        <v>2519</v>
      </c>
      <c r="T220" s="6" t="e" vm="202">
        <v>#VALUE!</v>
      </c>
      <c r="U220" s="46" cm="1">
        <f t="array" aca="1" ref="U220" ca="1">IFERROR(_FV(Tableau1[[#This Row],[Code Excel]],"Capitalisation boursière",TRUE),"")</f>
        <v>5923852000</v>
      </c>
      <c r="V220" s="4" t="str" cm="1">
        <f t="array" aca="1" ref="V220" ca="1">IFERROR(_FV(Tableau1[[#This Row],[Code Excel]],"Industrie"),"")</f>
        <v>Electrical Utilities &amp; IPPs</v>
      </c>
      <c r="W220" s="4" t="s">
        <v>371</v>
      </c>
      <c r="X220" s="4" t="str">
        <f ca="1">Tableau1[[#This Row],[Grand Secteur]]&amp;Tableau1[[#This Row],[Industrie]]</f>
        <v>EnergieElectrical Utilities &amp; IPPs</v>
      </c>
      <c r="Y220" s="23" cm="1">
        <f t="array" aca="1" ref="Y220" ca="1">IFERROR(_FV(Tableau1[[#This Row],[Code Excel]],"P/E",TRUE),"")</f>
        <v>433.33330000000001</v>
      </c>
      <c r="Z220" s="43" cm="1">
        <f t="array" aca="1" ref="Z220" ca="1">IFERROR(_FV(Tableau1[[#This Row],[Code Excel]],"Employés"),"")</f>
        <v>439</v>
      </c>
      <c r="AA220" s="46">
        <f ca="1">IFERROR(Tableau1[[#This Row],[Capitalisation boursière]]/Tableau1[[#This Row],[Employés]],"")</f>
        <v>13493968.109339409</v>
      </c>
      <c r="AB220" s="5" t="str">
        <f>IFERROR(Tableau1[[#This Row],[REX (2021)]]/Tableau1[[#This Row],[CA 2024]],"")</f>
        <v/>
      </c>
      <c r="AC220" s="9" t="str">
        <f>IFERROR(_xlfn.XLOOKUP(Tableau1[[#This Row],[Isin]]&amp;1&amp;2021,#REF!,Tableau3[Résultat d''exploitation]),"")</f>
        <v/>
      </c>
      <c r="AD220" s="9" t="str">
        <f>IFERROR(_xlfn.XLOOKUP(Tableau1[[#This Row],[Isin]]&amp;1&amp;2019,#REF!,Tableau3[Chiffre d''affaires]),"")</f>
        <v/>
      </c>
      <c r="AE220" s="9" t="str">
        <f>IFERROR(_xlfn.XLOOKUP(Tableau1[[#This Row],[Isin]]&amp;1&amp;2024,#REF!,Tableau3[Chiffre d''affaires]),"")</f>
        <v/>
      </c>
      <c r="AF220" s="8" t="str">
        <f>IFERROR(IF((Tableau1[[#This Row],[CA 2024]]-Tableau1[[#This Row],[CA 2019]])/Tableau1[[#This Row],[CA 2019]]=-1,"",(Tableau1[[#This Row],[CA 2024]]-Tableau1[[#This Row],[CA 2019]])/Tableau1[[#This Row],[CA 2019]]),"")</f>
        <v/>
      </c>
      <c r="AG220" s="9" t="str">
        <f>IFERROR(_xlfn.XLOOKUP(Tableau1[[#This Row],[Isin]]&amp;1&amp;2021,#REF!,Tableau3[EBE]),"")</f>
        <v/>
      </c>
      <c r="AH220" s="9" t="str">
        <f>IFERROR(_xlfn.XLOOKUP(Tableau1[[#This Row],[Isin]]&amp;1&amp;2022,#REF!,Tableau3[EBE]),"")</f>
        <v/>
      </c>
      <c r="AI220" s="43" t="s">
        <v>4343</v>
      </c>
      <c r="AJ220" s="43" t="s">
        <v>4348</v>
      </c>
      <c r="AK220" s="43" t="s">
        <v>3431</v>
      </c>
      <c r="AL220" s="43" t="s">
        <v>3149</v>
      </c>
      <c r="AM220" s="43"/>
      <c r="AN220" s="9" t="str">
        <f>IFERROR(_xlfn.XLOOKUP(Tableau1[[#This Row],[Isin]]&amp;1&amp;2021,#REF!,Tableau3[Chiffre d''affaires]),"")</f>
        <v/>
      </c>
      <c r="AO220" s="43" cm="1">
        <f t="array" aca="1" ref="AO220" ca="1">_FV(Tableau1[[#This Row],[Code Excel]],"P/E",TRUE)</f>
        <v>433.33330000000001</v>
      </c>
      <c r="AP220" s="43" t="str">
        <f>IFERROR(_xlfn.XLOOKUP(Tableau1[[#This Row],[Isin]]&amp;1&amp;2023,#REF!,Tableau3[Résultat Net (PdG)]),"")</f>
        <v/>
      </c>
      <c r="AQ220" s="43">
        <f>IF(IFERROR(_xlfn.XLOOKUP(Tableau1[[#This Row],[Isin]]&amp;1&amp;2022,#REF!,Tableau3[Résultat Net (PdG)]),"")="",Tableau1[[#This Row],[RN Groupe 2022
Manuel]],IFERROR(_xlfn.XLOOKUP(Tableau1[[#This Row],[Isin]]&amp;1&amp;2022,#REF!,Tableau3[Résultat Net (PdG)]),""))</f>
        <v>0</v>
      </c>
      <c r="AR220" s="43"/>
      <c r="AS220" s="43">
        <f>IF(IFERROR(_xlfn.XLOOKUP(Tableau1[[#This Row],[Isin]]&amp;1&amp;2021,#REF!,Tableau3[Résultat Net (PdG)]),"")="",Tableau1[[#This Row],[RN Groupe 2021
Manuel]],IFERROR(_xlfn.XLOOKUP(Tableau1[[#This Row],[Isin]]&amp;1&amp;2021,#REF!,Tableau3[Résultat Net (PdG)]),""))</f>
        <v>0</v>
      </c>
      <c r="AT220" s="43"/>
      <c r="AU220" s="43" t="str">
        <f>IFERROR(_xlfn.XLOOKUP(Tableau1[[#This Row],[Isin]]&amp;1&amp;2020,#REF!,Tableau3[Résultat Net (PdG)]),"")</f>
        <v/>
      </c>
      <c r="AV220" s="43" t="str">
        <f>IFERROR(_xlfn.XLOOKUP(Tableau1[[#This Row],[Isin]]&amp;1&amp;2019,#REF!,Tableau3[Résultat Net (PdG)]),"")</f>
        <v/>
      </c>
      <c r="AW220" s="43" t="str">
        <f>IFERROR(_xlfn.XLOOKUP(Tableau1[[#This Row],[Isin]]&amp;1&amp;2018,#REF!,Tableau3[Résultat Net (PdG)]),"")</f>
        <v/>
      </c>
      <c r="AX220" s="43" t="str">
        <f>IFERROR(_xlfn.XLOOKUP(Tableau1[[#This Row],[Isin]]&amp;1&amp;2017,#REF!,Tableau3[Résultat Net (PdG)]),"")</f>
        <v/>
      </c>
      <c r="AY220" s="43" t="str">
        <f>IFERROR(_xlfn.XLOOKUP(Tableau1[[#This Row],[Isin]]&amp;1&amp;2016,#REF!,Tableau3[Résultat Net (PdG)]),"")</f>
        <v/>
      </c>
      <c r="AZ220" s="137" t="str">
        <f ca="1">IFERROR(Tableau1[[#This Row],[Capitalisation boursière]]/Tableau1[[#This Row],[RN Groupe 2023]],"")</f>
        <v/>
      </c>
      <c r="BA220" s="4" t="s">
        <v>371</v>
      </c>
      <c r="BB220" s="43" t="s">
        <v>3477</v>
      </c>
      <c r="BC220" s="43" t="str">
        <f>IFERROR(_xlfn.XLOOKUP(Tableau1[[#This Row],[Isin]]&amp;1&amp;2016,#REF!,Tableau3[Capi]),"")</f>
        <v/>
      </c>
      <c r="BD220" s="43" t="str">
        <f>IFERROR(_xlfn.XLOOKUP(Tableau1[[#This Row],[Isin]]&amp;1&amp;2017,#REF!,Tableau3[Capi]),"")</f>
        <v/>
      </c>
      <c r="BE220" s="43" t="str">
        <f>IFERROR(_xlfn.XLOOKUP(Tableau1[[#This Row],[Isin]]&amp;1&amp;2018,#REF!,Tableau3[Capi]),"")</f>
        <v/>
      </c>
      <c r="BF220" s="43" t="str">
        <f>IFERROR(_xlfn.XLOOKUP(Tableau1[[#This Row],[Isin]]&amp;1&amp;2019,#REF!,Tableau3[Capi]),"")</f>
        <v/>
      </c>
      <c r="BG220" s="43" t="str">
        <f>IFERROR(_xlfn.XLOOKUP(Tableau1[[#This Row],[Isin]]&amp;1&amp;2020,#REF!,Tableau3[Capi]),"")</f>
        <v/>
      </c>
      <c r="BH220" s="43">
        <f>IF(IFERROR(_xlfn.XLOOKUP(Tableau1[[#This Row],[Isin]]&amp;1&amp;2021,#REF!,Tableau3[Capi]),"")="",Tableau1[[#This Row],[Capitalisation 2021
Manuel]],IFERROR(_xlfn.XLOOKUP(Tableau1[[#This Row],[Isin]]&amp;1&amp;2021,#REF!,Tableau3[Capi]),""))</f>
        <v>0</v>
      </c>
      <c r="BI220" s="43"/>
      <c r="BJ220" s="43">
        <f>IF(IFERROR(_xlfn.XLOOKUP(Tableau1[[#This Row],[Isin]]&amp;1&amp;2022,#REF!,Tableau3[Capi]),"")="",Tableau1[[#This Row],[Capitalisation 2022
Manuel]],IFERROR(_xlfn.XLOOKUP(Tableau1[[#This Row],[Isin]]&amp;1&amp;2022,#REF!,Tableau3[Capi]),""))</f>
        <v>0</v>
      </c>
      <c r="BK220" s="43"/>
      <c r="BL220" s="43">
        <f ca="1">Tableau1[[#This Row],[Capitalisation boursière]]</f>
        <v>5923852000</v>
      </c>
      <c r="BM220" s="162" t="str" cm="1">
        <f t="array" aca="1" ref="BM220" ca="1">_FV(Tableau1[[#This Row],[Code Excel]],"Description")</f>
        <v>Neoen SAS est une société française spécialisée dans le secteur des énergies renouvelables. La Société exploite, finance et développe un certain nombre de centrales électriques à partir de diverses sources d'énergie, notamment l'énergie solaire, éolienne et la biomasse. Son portefeuille de centrales comprend providencia, ombrineo, degrussa, cestas, ygos, luxey, geloux, seixal, cabrela, coruche, hornsdale I, bussy-lettree, raucourt II, villacerf, bais et trans, reclainville, chapelle vallon et la montagne. Outre la France, la Société est présente dans de nombreux autres pays tels que le Portugal, l'Australie, l'Australie, la Jordanie, la Zambie, le Mozambique, l'Argentine, la Jamaïque, le Mexique, l'Égypte et le Salvador, entre autres.</v>
      </c>
      <c r="BN220" s="43"/>
      <c r="BO220" s="43"/>
      <c r="BP220" s="43"/>
      <c r="BQ220" s="43"/>
      <c r="BR220" s="13"/>
      <c r="BS220" s="13"/>
      <c r="BT220" s="13"/>
      <c r="BU220" s="13"/>
      <c r="BV220" s="13"/>
      <c r="BW220" s="13"/>
      <c r="BX220" s="13"/>
      <c r="BY220" s="21"/>
      <c r="BZ220" s="13"/>
      <c r="CA220" s="13"/>
      <c r="CB220" s="13"/>
      <c r="CC220" s="13"/>
      <c r="CD220" s="13"/>
      <c r="CF220" s="47"/>
      <c r="CG220" s="47"/>
    </row>
    <row r="221" spans="3:85">
      <c r="C221" s="42"/>
      <c r="D221" s="42">
        <f>IF(Tableau1[[#This Row],[Isin]]="",99,Tableau1[[#This Row],[Intérêt]]+Tableau1[[#This Row],[Valeur d''intérêt]]+Tableau1[[#This Row],[N° Portefeuille]])</f>
        <v>30</v>
      </c>
      <c r="E221" s="42"/>
      <c r="F221" s="42">
        <f>IF(Tableau1[[#This Row],[Portefeuille]]="p",0,Tableau1[[#This Row],[F. Investissement
Niveau d''intérêt]]*10)</f>
        <v>30</v>
      </c>
      <c r="G221" s="42">
        <f>IF(Tableau1[[#This Row],[Portefeuille]]="p",3,0)</f>
        <v>0</v>
      </c>
      <c r="H221" s="42">
        <v>3</v>
      </c>
      <c r="I221" s="42">
        <v>4</v>
      </c>
      <c r="J221" s="42"/>
      <c r="K221" s="43"/>
      <c r="L221" s="16">
        <v>0</v>
      </c>
      <c r="M22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1" s="44" t="s">
        <v>3989</v>
      </c>
      <c r="O221" s="45"/>
      <c r="P221" s="4" t="s">
        <v>99</v>
      </c>
      <c r="Q221" s="4"/>
      <c r="R221" s="6"/>
      <c r="S221" s="6" t="s">
        <v>3990</v>
      </c>
      <c r="T221" s="6" t="e" vm="203">
        <v>#VALUE!</v>
      </c>
      <c r="U221" s="46" cm="1">
        <f t="array" aca="1" ref="U221" ca="1">IFERROR(_FV(Tableau1[[#This Row],[Code Excel]],"Capitalisation boursière",TRUE),"")</f>
        <v>236428800000</v>
      </c>
      <c r="V221" s="4" t="str" cm="1">
        <f t="array" aca="1" ref="V221" ca="1">IFERROR(_FV(Tableau1[[#This Row],[Code Excel]],"Industrie"),"")</f>
        <v>Food &amp; Tobacco</v>
      </c>
      <c r="W221" s="4" t="s">
        <v>1315</v>
      </c>
      <c r="X221" s="4" t="str">
        <f ca="1">Tableau1[[#This Row],[Grand Secteur]]&amp;Tableau1[[#This Row],[Industrie]]</f>
        <v>Biens de consommationFood &amp; Tobacco</v>
      </c>
      <c r="Y221" s="23" cm="1">
        <f t="array" aca="1" ref="Y221" ca="1">IFERROR(_FV(Tableau1[[#This Row],[Code Excel]],"P/E",TRUE),"")</f>
        <v>21.536999999999999</v>
      </c>
      <c r="Z221" s="43" cm="1">
        <f t="array" aca="1" ref="Z221" ca="1">IFERROR(_FV(Tableau1[[#This Row],[Code Excel]],"Employés"),"")</f>
        <v>277000</v>
      </c>
      <c r="AA221" s="46">
        <f ca="1">IFERROR(Tableau1[[#This Row],[Capitalisation boursière]]/Tableau1[[#This Row],[Employés]],"")</f>
        <v>853533.57400722022</v>
      </c>
      <c r="AB221" s="5" t="str">
        <f>IFERROR(Tableau1[[#This Row],[REX (2021)]]/Tableau1[[#This Row],[CA 2024]],"")</f>
        <v/>
      </c>
      <c r="AC221" s="9" t="str">
        <f>IFERROR(_xlfn.XLOOKUP(Tableau1[[#This Row],[Isin]]&amp;1&amp;2021,#REF!,Tableau3[Résultat d''exploitation]),"")</f>
        <v/>
      </c>
      <c r="AD221" s="9" t="str">
        <f>IFERROR(_xlfn.XLOOKUP(Tableau1[[#This Row],[Isin]]&amp;1&amp;2019,#REF!,Tableau3[Chiffre d''affaires]),"")</f>
        <v/>
      </c>
      <c r="AE221" s="9" t="str">
        <f>IFERROR(_xlfn.XLOOKUP(Tableau1[[#This Row],[Isin]]&amp;1&amp;2024,#REF!,Tableau3[Chiffre d''affaires]),"")</f>
        <v/>
      </c>
      <c r="AF221" s="8" t="str">
        <f>IFERROR(IF((Tableau1[[#This Row],[CA 2024]]-Tableau1[[#This Row],[CA 2019]])/Tableau1[[#This Row],[CA 2019]]=-1,"",(Tableau1[[#This Row],[CA 2024]]-Tableau1[[#This Row],[CA 2019]])/Tableau1[[#This Row],[CA 2019]]),"")</f>
        <v/>
      </c>
      <c r="AG221" s="9" t="str">
        <f>IFERROR(_xlfn.XLOOKUP(Tableau1[[#This Row],[Isin]]&amp;1&amp;2021,#REF!,Tableau3[EBE]),"")</f>
        <v/>
      </c>
      <c r="AH221" s="9" t="str">
        <f>IFERROR(_xlfn.XLOOKUP(Tableau1[[#This Row],[Isin]]&amp;1&amp;2022,#REF!,Tableau3[EBE]),"")</f>
        <v/>
      </c>
      <c r="AI221" s="43" t="s">
        <v>3431</v>
      </c>
      <c r="AJ221" s="43" t="s">
        <v>3150</v>
      </c>
      <c r="AK221" s="43" t="s">
        <v>3149</v>
      </c>
      <c r="AL221" s="43"/>
      <c r="AM221" s="43"/>
      <c r="AN221" s="9" t="str">
        <f>IFERROR(_xlfn.XLOOKUP(Tableau1[[#This Row],[Isin]]&amp;1&amp;2021,#REF!,Tableau3[Chiffre d''affaires]),"")</f>
        <v/>
      </c>
      <c r="AO221" s="43" cm="1">
        <f t="array" aca="1" ref="AO221" ca="1">_FV(Tableau1[[#This Row],[Code Excel]],"P/E",TRUE)</f>
        <v>21.536999999999999</v>
      </c>
      <c r="AP221" s="43" t="str">
        <f>IFERROR(_xlfn.XLOOKUP(Tableau1[[#This Row],[Isin]]&amp;1&amp;2023,#REF!,Tableau3[Résultat Net (PdG)]),"")</f>
        <v/>
      </c>
      <c r="AQ221" s="43">
        <f>IF(IFERROR(_xlfn.XLOOKUP(Tableau1[[#This Row],[Isin]]&amp;1&amp;2022,#REF!,Tableau3[Résultat Net (PdG)]),"")="",Tableau1[[#This Row],[RN Groupe 2022
Manuel]],IFERROR(_xlfn.XLOOKUP(Tableau1[[#This Row],[Isin]]&amp;1&amp;2022,#REF!,Tableau3[Résultat Net (PdG)]),""))</f>
        <v>0</v>
      </c>
      <c r="AR221" s="43"/>
      <c r="AS221" s="43">
        <f>IF(IFERROR(_xlfn.XLOOKUP(Tableau1[[#This Row],[Isin]]&amp;1&amp;2021,#REF!,Tableau3[Résultat Net (PdG)]),"")="",Tableau1[[#This Row],[RN Groupe 2021
Manuel]],IFERROR(_xlfn.XLOOKUP(Tableau1[[#This Row],[Isin]]&amp;1&amp;2021,#REF!,Tableau3[Résultat Net (PdG)]),""))</f>
        <v>0</v>
      </c>
      <c r="AT221" s="43"/>
      <c r="AU221" s="43" t="str">
        <f>IFERROR(_xlfn.XLOOKUP(Tableau1[[#This Row],[Isin]]&amp;1&amp;2020,#REF!,Tableau3[Résultat Net (PdG)]),"")</f>
        <v/>
      </c>
      <c r="AV221" s="43" t="str">
        <f>IFERROR(_xlfn.XLOOKUP(Tableau1[[#This Row],[Isin]]&amp;1&amp;2019,#REF!,Tableau3[Résultat Net (PdG)]),"")</f>
        <v/>
      </c>
      <c r="AW221" s="43" t="str">
        <f>IFERROR(_xlfn.XLOOKUP(Tableau1[[#This Row],[Isin]]&amp;1&amp;2018,#REF!,Tableau3[Résultat Net (PdG)]),"")</f>
        <v/>
      </c>
      <c r="AX221" s="43" t="str">
        <f>IFERROR(_xlfn.XLOOKUP(Tableau1[[#This Row],[Isin]]&amp;1&amp;2017,#REF!,Tableau3[Résultat Net (PdG)]),"")</f>
        <v/>
      </c>
      <c r="AY221" s="43" t="str">
        <f>IFERROR(_xlfn.XLOOKUP(Tableau1[[#This Row],[Isin]]&amp;1&amp;2016,#REF!,Tableau3[Résultat Net (PdG)]),"")</f>
        <v/>
      </c>
      <c r="AZ221" s="137" t="str">
        <f ca="1">IFERROR(Tableau1[[#This Row],[Capitalisation boursière]]/Tableau1[[#This Row],[RN Groupe 2023]],"")</f>
        <v/>
      </c>
      <c r="BA221" s="4" t="str" cm="1">
        <f t="array" aca="1" ref="BA221" ca="1">IFERROR(_FV(Tableau1[[#This Row],[Code Excel]],"Industrie"),"")</f>
        <v>Food &amp; Tobacco</v>
      </c>
      <c r="BB221" s="43" t="s">
        <v>3469</v>
      </c>
      <c r="BC221" s="43" t="str">
        <f>IFERROR(_xlfn.XLOOKUP(Tableau1[[#This Row],[Isin]]&amp;1&amp;2016,#REF!,Tableau3[Capi]),"")</f>
        <v/>
      </c>
      <c r="BD221" s="43" t="str">
        <f>IFERROR(_xlfn.XLOOKUP(Tableau1[[#This Row],[Isin]]&amp;1&amp;2017,#REF!,Tableau3[Capi]),"")</f>
        <v/>
      </c>
      <c r="BE221" s="43" t="str">
        <f>IFERROR(_xlfn.XLOOKUP(Tableau1[[#This Row],[Isin]]&amp;1&amp;2018,#REF!,Tableau3[Capi]),"")</f>
        <v/>
      </c>
      <c r="BF221" s="43" t="str">
        <f>IFERROR(_xlfn.XLOOKUP(Tableau1[[#This Row],[Isin]]&amp;1&amp;2019,#REF!,Tableau3[Capi]),"")</f>
        <v/>
      </c>
      <c r="BG221" s="43" t="str">
        <f>IFERROR(_xlfn.XLOOKUP(Tableau1[[#This Row],[Isin]]&amp;1&amp;2020,#REF!,Tableau3[Capi]),"")</f>
        <v/>
      </c>
      <c r="BH221" s="43">
        <f>IF(IFERROR(_xlfn.XLOOKUP(Tableau1[[#This Row],[Isin]]&amp;1&amp;2021,#REF!,Tableau3[Capi]),"")="",Tableau1[[#This Row],[Capitalisation 2021
Manuel]],IFERROR(_xlfn.XLOOKUP(Tableau1[[#This Row],[Isin]]&amp;1&amp;2021,#REF!,Tableau3[Capi]),""))</f>
        <v>0</v>
      </c>
      <c r="BI221" s="43"/>
      <c r="BJ221" s="43">
        <f>IF(IFERROR(_xlfn.XLOOKUP(Tableau1[[#This Row],[Isin]]&amp;1&amp;2022,#REF!,Tableau3[Capi]),"")="",Tableau1[[#This Row],[Capitalisation 2022
Manuel]],IFERROR(_xlfn.XLOOKUP(Tableau1[[#This Row],[Isin]]&amp;1&amp;2022,#REF!,Tableau3[Capi]),""))</f>
        <v>0</v>
      </c>
      <c r="BK221" s="43"/>
      <c r="BL221" s="43">
        <f ca="1">Tableau1[[#This Row],[Capitalisation boursière]]</f>
        <v>236428800000</v>
      </c>
      <c r="BM221" s="162" t="str" cm="1">
        <f t="array" aca="1" ref="BM221" ca="1">_FV(Tableau1[[#This Row],[Code Excel]],"Description")</f>
        <v>Nestlé S.A. est une entreprise spécialisée dans la nutrition, la santé et le bien-être. Les segments de la Société sont la Zone Europe, Moyen-Orient et Afrique du Nord (EMENA) ; Zone Amériques (AMS); Zone Asie, Océanie et Afrique sub-saharienne (AOA) ; Nestlé Waters; Nestlé Nutrition et autres entreprises. La Société exerce ses activités aux États-Unis, dans la région de la Grande Chine, en Suisse et dans le reste du monde. Les catégories de produits de la Société comprennent les boissons énergétiques et liquides ; l'eau; produits laitiers et glaces; sciences de la nutrition et de la santé; plats préparés et aides culinaires; confiserie et PetCare. Ses autres activités commerciales comprennent les activités de Nestlé Professional, Nespresso, Nestlé Health Science et Nestlé Skin Health. Elle opère dans environ 190 pays à travers le monde. Il a des ventes dans divers pays, dont les États-Unis, la région de la Grande Chine, le Brésil, le Mexique, l'Allemagne, le Royaume-Uni, l'Italie, le Canada, la France, la Turquie, l'Ukraine, la Géorgie, la Hongrie, Malte, la Roumanie, l'Espagne et la Suisse.</v>
      </c>
      <c r="BN221" s="43"/>
      <c r="BO221" s="43"/>
      <c r="BP221" s="43"/>
      <c r="BQ221" s="43"/>
      <c r="BR221" s="13"/>
      <c r="BS221" s="13"/>
      <c r="BT221" s="13"/>
      <c r="BU221" s="13"/>
      <c r="BV221" s="13"/>
      <c r="BW221" s="13"/>
      <c r="BX221" s="13"/>
      <c r="BY221" s="21"/>
      <c r="BZ221" s="13"/>
      <c r="CA221" s="13"/>
      <c r="CB221" s="13"/>
      <c r="CC221" s="11"/>
      <c r="CD221" s="11"/>
      <c r="CF221" s="47"/>
      <c r="CG221" s="47"/>
    </row>
    <row r="222" spans="3:85">
      <c r="C222" s="43"/>
      <c r="D222" s="42">
        <f>IF(Tableau1[[#This Row],[Isin]]="",99,Tableau1[[#This Row],[Intérêt]]+Tableau1[[#This Row],[Valeur d''intérêt]]+Tableau1[[#This Row],[N° Portefeuille]])</f>
        <v>30</v>
      </c>
      <c r="E222" s="43"/>
      <c r="F222" s="42">
        <f>IF(Tableau1[[#This Row],[Portefeuille]]="p",0,Tableau1[[#This Row],[F. Investissement
Niveau d''intérêt]]*10)</f>
        <v>30</v>
      </c>
      <c r="G222" s="43">
        <f>IF(Tableau1[[#This Row],[Portefeuille]]="p",3,0)</f>
        <v>0</v>
      </c>
      <c r="H222" s="43">
        <v>3</v>
      </c>
      <c r="I222" s="43">
        <v>4</v>
      </c>
      <c r="J222" s="43"/>
      <c r="K222" s="43"/>
      <c r="L222" s="16">
        <v>0</v>
      </c>
      <c r="M22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2" s="44" t="s">
        <v>3992</v>
      </c>
      <c r="O222" s="45"/>
      <c r="P222" s="4" t="s">
        <v>382</v>
      </c>
      <c r="Q222" s="4"/>
      <c r="R222" s="6"/>
      <c r="S222" s="6" t="s">
        <v>3993</v>
      </c>
      <c r="T222" s="6" t="e" vm="204">
        <v>#VALUE!</v>
      </c>
      <c r="U222" s="46" cm="1">
        <f t="array" aca="1" ref="U222" ca="1">IFERROR(_FV(Tableau1[[#This Row],[Code Excel]],"Capitalisation boursière",TRUE),"")</f>
        <v>387674120944</v>
      </c>
      <c r="V222" s="4" t="str" cm="1">
        <f t="array" aca="1" ref="V222" ca="1">IFERROR(_FV(Tableau1[[#This Row],[Code Excel]],"Industrie"),"")</f>
        <v>Software &amp; IT Services</v>
      </c>
      <c r="W222" s="4" t="s">
        <v>4333</v>
      </c>
      <c r="X222" s="4" t="str">
        <f ca="1">Tableau1[[#This Row],[Grand Secteur]]&amp;Tableau1[[#This Row],[Industrie]]</f>
        <v>Logiciels et TechnologieSoftware &amp; IT Services</v>
      </c>
      <c r="Y222" s="23" cm="1">
        <f t="array" aca="1" ref="Y222" ca="1">IFERROR(_FV(Tableau1[[#This Row],[Code Excel]],"P/E",TRUE),"")</f>
        <v>45.515300000000003</v>
      </c>
      <c r="Z222" s="43" cm="1">
        <f t="array" aca="1" ref="Z222" ca="1">IFERROR(_FV(Tableau1[[#This Row],[Code Excel]],"Employés"),"")</f>
        <v>14000</v>
      </c>
      <c r="AA222" s="49">
        <f ca="1">IFERROR(Tableau1[[#This Row],[Capitalisation boursière]]/Tableau1[[#This Row],[Employés]],"")</f>
        <v>27691008.638857141</v>
      </c>
      <c r="AB222" s="5" t="str">
        <f>IFERROR(Tableau1[[#This Row],[REX (2021)]]/Tableau1[[#This Row],[CA 2024]],"")</f>
        <v/>
      </c>
      <c r="AC222" s="9" t="str">
        <f>IFERROR(_xlfn.XLOOKUP(Tableau1[[#This Row],[Isin]]&amp;1&amp;2021,#REF!,Tableau3[Résultat d''exploitation]),"")</f>
        <v/>
      </c>
      <c r="AD222" s="9" t="str">
        <f>IFERROR(_xlfn.XLOOKUP(Tableau1[[#This Row],[Isin]]&amp;1&amp;2019,#REF!,Tableau3[Chiffre d''affaires]),"")</f>
        <v/>
      </c>
      <c r="AE222" s="9" t="str">
        <f>IFERROR(_xlfn.XLOOKUP(Tableau1[[#This Row],[Isin]]&amp;1&amp;2024,#REF!,Tableau3[Chiffre d''affaires]),"")</f>
        <v/>
      </c>
      <c r="AF222" s="8" t="str">
        <f>IFERROR(IF((Tableau1[[#This Row],[CA 2024]]-Tableau1[[#This Row],[CA 2019]])/Tableau1[[#This Row],[CA 2019]]=-1,"",(Tableau1[[#This Row],[CA 2024]]-Tableau1[[#This Row],[CA 2019]])/Tableau1[[#This Row],[CA 2019]]),"")</f>
        <v/>
      </c>
      <c r="AG222" s="9" t="str">
        <f>IFERROR(_xlfn.XLOOKUP(Tableau1[[#This Row],[Isin]]&amp;1&amp;2021,#REF!,Tableau3[EBE]),"")</f>
        <v/>
      </c>
      <c r="AH222" s="9" t="str">
        <f>IFERROR(_xlfn.XLOOKUP(Tableau1[[#This Row],[Isin]]&amp;1&amp;2022,#REF!,Tableau3[EBE]),"")</f>
        <v/>
      </c>
      <c r="AI222" s="43" t="s">
        <v>4324</v>
      </c>
      <c r="AJ222" s="43" t="s">
        <v>4334</v>
      </c>
      <c r="AK222" s="43" t="s">
        <v>3148</v>
      </c>
      <c r="AL222" s="43"/>
      <c r="AM222" s="43"/>
      <c r="AN222" s="9" t="str">
        <f>IFERROR(_xlfn.XLOOKUP(Tableau1[[#This Row],[Isin]]&amp;1&amp;2021,#REF!,Tableau3[Chiffre d''affaires]),"")</f>
        <v/>
      </c>
      <c r="AO222" s="43" cm="1">
        <f t="array" aca="1" ref="AO222" ca="1">_FV(Tableau1[[#This Row],[Code Excel]],"P/E",TRUE)</f>
        <v>45.515300000000003</v>
      </c>
      <c r="AP222" s="43" t="str">
        <f>IFERROR(_xlfn.XLOOKUP(Tableau1[[#This Row],[Isin]]&amp;1&amp;2023,#REF!,Tableau3[Résultat Net (PdG)]),"")</f>
        <v/>
      </c>
      <c r="AQ222" s="43">
        <f>IF(IFERROR(_xlfn.XLOOKUP(Tableau1[[#This Row],[Isin]]&amp;1&amp;2022,#REF!,Tableau3[Résultat Net (PdG)]),"")="",Tableau1[[#This Row],[RN Groupe 2022
Manuel]],IFERROR(_xlfn.XLOOKUP(Tableau1[[#This Row],[Isin]]&amp;1&amp;2022,#REF!,Tableau3[Résultat Net (PdG)]),""))</f>
        <v>0</v>
      </c>
      <c r="AR222" s="43"/>
      <c r="AS222" s="43">
        <f>IF(IFERROR(_xlfn.XLOOKUP(Tableau1[[#This Row],[Isin]]&amp;1&amp;2021,#REF!,Tableau3[Résultat Net (PdG)]),"")="",Tableau1[[#This Row],[RN Groupe 2021
Manuel]],IFERROR(_xlfn.XLOOKUP(Tableau1[[#This Row],[Isin]]&amp;1&amp;2021,#REF!,Tableau3[Résultat Net (PdG)]),""))</f>
        <v>0</v>
      </c>
      <c r="AT222" s="43"/>
      <c r="AU222" s="43" t="str">
        <f>IFERROR(_xlfn.XLOOKUP(Tableau1[[#This Row],[Isin]]&amp;1&amp;2020,#REF!,Tableau3[Résultat Net (PdG)]),"")</f>
        <v/>
      </c>
      <c r="AV222" s="43" t="str">
        <f>IFERROR(_xlfn.XLOOKUP(Tableau1[[#This Row],[Isin]]&amp;1&amp;2019,#REF!,Tableau3[Résultat Net (PdG)]),"")</f>
        <v/>
      </c>
      <c r="AW222" s="43" t="str">
        <f>IFERROR(_xlfn.XLOOKUP(Tableau1[[#This Row],[Isin]]&amp;1&amp;2018,#REF!,Tableau3[Résultat Net (PdG)]),"")</f>
        <v/>
      </c>
      <c r="AX222" s="43" t="str">
        <f>IFERROR(_xlfn.XLOOKUP(Tableau1[[#This Row],[Isin]]&amp;1&amp;2017,#REF!,Tableau3[Résultat Net (PdG)]),"")</f>
        <v/>
      </c>
      <c r="AY222" s="43" t="str">
        <f>IFERROR(_xlfn.XLOOKUP(Tableau1[[#This Row],[Isin]]&amp;1&amp;2016,#REF!,Tableau3[Résultat Net (PdG)]),"")</f>
        <v/>
      </c>
      <c r="AZ222" s="137" t="str">
        <f ca="1">IFERROR(Tableau1[[#This Row],[Capitalisation boursière]]/Tableau1[[#This Row],[RN Groupe 2023]],"")</f>
        <v/>
      </c>
      <c r="BA222" s="4" t="str" cm="1">
        <f t="array" aca="1" ref="BA222" ca="1">IFERROR(_FV(Tableau1[[#This Row],[Code Excel]],"Industrie"),"")</f>
        <v>Software &amp; IT Services</v>
      </c>
      <c r="BB222" s="43" t="s">
        <v>3491</v>
      </c>
      <c r="BC222" s="43" t="str">
        <f>IFERROR(_xlfn.XLOOKUP(Tableau1[[#This Row],[Isin]]&amp;1&amp;2016,#REF!,Tableau3[Capi]),"")</f>
        <v/>
      </c>
      <c r="BD222" s="43" t="str">
        <f>IFERROR(_xlfn.XLOOKUP(Tableau1[[#This Row],[Isin]]&amp;1&amp;2017,#REF!,Tableau3[Capi]),"")</f>
        <v/>
      </c>
      <c r="BE222" s="43" t="str">
        <f>IFERROR(_xlfn.XLOOKUP(Tableau1[[#This Row],[Isin]]&amp;1&amp;2018,#REF!,Tableau3[Capi]),"")</f>
        <v/>
      </c>
      <c r="BF222" s="43" t="str">
        <f>IFERROR(_xlfn.XLOOKUP(Tableau1[[#This Row],[Isin]]&amp;1&amp;2019,#REF!,Tableau3[Capi]),"")</f>
        <v/>
      </c>
      <c r="BG222" s="43" t="str">
        <f>IFERROR(_xlfn.XLOOKUP(Tableau1[[#This Row],[Isin]]&amp;1&amp;2020,#REF!,Tableau3[Capi]),"")</f>
        <v/>
      </c>
      <c r="BH222" s="43">
        <f>IF(IFERROR(_xlfn.XLOOKUP(Tableau1[[#This Row],[Isin]]&amp;1&amp;2021,#REF!,Tableau3[Capi]),"")="",Tableau1[[#This Row],[Capitalisation 2021
Manuel]],IFERROR(_xlfn.XLOOKUP(Tableau1[[#This Row],[Isin]]&amp;1&amp;2021,#REF!,Tableau3[Capi]),""))</f>
        <v>0</v>
      </c>
      <c r="BI222" s="43"/>
      <c r="BJ222" s="43">
        <f>IF(IFERROR(_xlfn.XLOOKUP(Tableau1[[#This Row],[Isin]]&amp;1&amp;2022,#REF!,Tableau3[Capi]),"")="",Tableau1[[#This Row],[Capitalisation 2022
Manuel]],IFERROR(_xlfn.XLOOKUP(Tableau1[[#This Row],[Isin]]&amp;1&amp;2022,#REF!,Tableau3[Capi]),""))</f>
        <v>0</v>
      </c>
      <c r="BK222" s="43"/>
      <c r="BL222" s="43">
        <f ca="1">Tableau1[[#This Row],[Capitalisation boursière]]</f>
        <v>387674120944</v>
      </c>
      <c r="BM222" s="162" t="str" cm="1">
        <f t="array" aca="1" ref="BM222" ca="1">_FV(Tableau1[[#This Row],[Code Excel]],"Description")</f>
        <v>Netflix, Inc. est un fournisseur de services de divertissement. La Société acquiert, concède des licences et produit du contenu, y compris des émissions originales. La Société offre des abonnements payants dans environ 190 pays offrant des séries télévisées, des films et des jeux dans une grande variété de genres et de langues. Ses membres peuvent jouer, mettre en pause et reprendre le visionnage autant de fois qu'ils le souhaitent, à tout moment, n'importe où, et peuvent modifier leurs plans à tout moment. La Société offre à ses membres la possibilité de recevoir du contenu en continu par le biais d'une foule d'appareils connectés à Internet, y compris des téléviseurs, des lecteurs vidéo numériques, des décodeurs de télévision et des appareils mobiles. La Société a également conclu des ententes avec divers opérateurs de câblodistribution, de satellite et de télécommunications pour rendre son service disponible par l'intermédiaire de décodeurs de télévision. Les régimes payés de la Société vont de l'équivalent en dollars des États-Unis de 1 $ à 28 $ par mois, et les prix des comptes secondaires des membres supplémentaires vont de l'équivalent en dollars des États-Unis de 2 $ à 8 $ par mois.</v>
      </c>
      <c r="BN222" s="43"/>
      <c r="BO222" s="43"/>
      <c r="BP222" s="43"/>
      <c r="BQ222" s="43"/>
      <c r="BR222" s="13"/>
      <c r="BS222" s="13"/>
      <c r="BT222" s="13"/>
      <c r="BU222" s="13"/>
      <c r="BV222" s="13"/>
      <c r="BW222" s="13"/>
      <c r="BX222" s="13"/>
      <c r="BY222" s="21"/>
      <c r="BZ222" s="13"/>
      <c r="CA222" s="13"/>
      <c r="CB222" s="13"/>
      <c r="CC222" s="11"/>
      <c r="CD222" s="11"/>
      <c r="CF222" s="47"/>
      <c r="CG222" s="47"/>
    </row>
    <row r="223" spans="3:85">
      <c r="C223" s="42"/>
      <c r="D223" s="42">
        <f>IF(Tableau1[[#This Row],[Isin]]="",99,Tableau1[[#This Row],[Intérêt]]+Tableau1[[#This Row],[Valeur d''intérêt]]+Tableau1[[#This Row],[N° Portefeuille]])</f>
        <v>20</v>
      </c>
      <c r="E223" s="43"/>
      <c r="F223" s="42">
        <f>IF(Tableau1[[#This Row],[Portefeuille]]="p",0,Tableau1[[#This Row],[F. Investissement
Niveau d''intérêt]]*10)</f>
        <v>20</v>
      </c>
      <c r="G223" s="43">
        <f>IF(Tableau1[[#This Row],[Portefeuille]]="p",3,0)</f>
        <v>0</v>
      </c>
      <c r="H223" s="42">
        <v>2</v>
      </c>
      <c r="I223" s="43">
        <v>2</v>
      </c>
      <c r="J223" s="42"/>
      <c r="K223" s="43"/>
      <c r="L223" s="16">
        <v>1</v>
      </c>
      <c r="M22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3" s="44" t="s">
        <v>1101</v>
      </c>
      <c r="O223" s="44" t="s">
        <v>4409</v>
      </c>
      <c r="P223" s="4" t="s">
        <v>84</v>
      </c>
      <c r="Q223" s="6" t="s">
        <v>85</v>
      </c>
      <c r="R223" s="6"/>
      <c r="S223" s="6" t="s">
        <v>1104</v>
      </c>
      <c r="T223" s="6" t="e" vm="205">
        <v>#VALUE!</v>
      </c>
      <c r="U223" s="46" cm="1">
        <f t="array" aca="1" ref="U223" ca="1">IFERROR(_FV(Tableau1[[#This Row],[Code Excel]],"Capitalisation boursière",TRUE),"")</f>
        <v>4084378000</v>
      </c>
      <c r="V223" s="4" t="str" cm="1">
        <f t="array" aca="1" ref="V223" ca="1">IFERROR(_FV(Tableau1[[#This Row],[Code Excel]],"Industrie"),"")</f>
        <v>Machinery, Equipment &amp; Components</v>
      </c>
      <c r="W223" s="4" t="s">
        <v>4321</v>
      </c>
      <c r="X223" s="4" t="str">
        <f ca="1">Tableau1[[#This Row],[Grand Secteur]]&amp;Tableau1[[#This Row],[Industrie]]</f>
        <v>EquipementiersMachinery, Equipment &amp; Components</v>
      </c>
      <c r="Y223" s="23" cm="1">
        <f t="array" aca="1" ref="Y223" ca="1">IFERROR(_FV(Tableau1[[#This Row],[Code Excel]],"P/E",TRUE),"")</f>
        <v>14.6149</v>
      </c>
      <c r="Z223" s="43" cm="1">
        <f t="array" aca="1" ref="Z223" ca="1">IFERROR(_FV(Tableau1[[#This Row],[Code Excel]],"Employés"),"")</f>
        <v>28367</v>
      </c>
      <c r="AA223" s="46">
        <f ca="1">IFERROR(Tableau1[[#This Row],[Capitalisation boursière]]/Tableau1[[#This Row],[Employés]],"")</f>
        <v>143983.43145203934</v>
      </c>
      <c r="AB223" s="5" t="str">
        <f>IFERROR(Tableau1[[#This Row],[REX (2021)]]/Tableau1[[#This Row],[CA 2024]],"")</f>
        <v/>
      </c>
      <c r="AC223" s="9" t="str">
        <f>IFERROR(_xlfn.XLOOKUP(Tableau1[[#This Row],[Isin]]&amp;1&amp;2021,#REF!,Tableau3[Résultat d''exploitation]),"")</f>
        <v/>
      </c>
      <c r="AD223" s="9" t="str">
        <f>IFERROR(_xlfn.XLOOKUP(Tableau1[[#This Row],[Isin]]&amp;1&amp;2019,#REF!,Tableau3[Chiffre d''affaires]),"")</f>
        <v/>
      </c>
      <c r="AE223" s="9" t="str">
        <f>IFERROR(_xlfn.XLOOKUP(Tableau1[[#This Row],[Isin]]&amp;1&amp;2024,#REF!,Tableau3[Chiffre d''affaires]),"")</f>
        <v/>
      </c>
      <c r="AF223" s="8" t="str">
        <f>IFERROR(IF((Tableau1[[#This Row],[CA 2024]]-Tableau1[[#This Row],[CA 2019]])/Tableau1[[#This Row],[CA 2019]]=-1,"",(Tableau1[[#This Row],[CA 2024]]-Tableau1[[#This Row],[CA 2019]])/Tableau1[[#This Row],[CA 2019]]),"")</f>
        <v/>
      </c>
      <c r="AG223" s="9" t="str">
        <f>IFERROR(_xlfn.XLOOKUP(Tableau1[[#This Row],[Isin]]&amp;1&amp;2021,#REF!,Tableau3[EBE]),"")</f>
        <v/>
      </c>
      <c r="AH223" s="9" t="str">
        <f>IFERROR(_xlfn.XLOOKUP(Tableau1[[#This Row],[Isin]]&amp;1&amp;2022,#REF!,Tableau3[EBE]),"")</f>
        <v/>
      </c>
      <c r="AI223" s="43" t="s">
        <v>4343</v>
      </c>
      <c r="AJ223" s="43" t="s">
        <v>4348</v>
      </c>
      <c r="AK223" s="43" t="s">
        <v>3431</v>
      </c>
      <c r="AL223" s="43" t="s">
        <v>3431</v>
      </c>
      <c r="AM223" s="43"/>
      <c r="AN223" s="9" t="str">
        <f>IFERROR(_xlfn.XLOOKUP(Tableau1[[#This Row],[Isin]]&amp;1&amp;2021,#REF!,Tableau3[Chiffre d''affaires]),"")</f>
        <v/>
      </c>
      <c r="AO223" s="43" cm="1">
        <f t="array" aca="1" ref="AO223" ca="1">_FV(Tableau1[[#This Row],[Code Excel]],"P/E",TRUE)</f>
        <v>14.6149</v>
      </c>
      <c r="AP223" s="43" t="str">
        <f>IFERROR(_xlfn.XLOOKUP(Tableau1[[#This Row],[Isin]]&amp;1&amp;2023,#REF!,Tableau3[Résultat Net (PdG)]),"")</f>
        <v/>
      </c>
      <c r="AQ223" s="43">
        <f>IF(IFERROR(_xlfn.XLOOKUP(Tableau1[[#This Row],[Isin]]&amp;1&amp;2022,#REF!,Tableau3[Résultat Net (PdG)]),"")="",Tableau1[[#This Row],[RN Groupe 2022
Manuel]],IFERROR(_xlfn.XLOOKUP(Tableau1[[#This Row],[Isin]]&amp;1&amp;2022,#REF!,Tableau3[Résultat Net (PdG)]),""))</f>
        <v>0</v>
      </c>
      <c r="AR223" s="43"/>
      <c r="AS223" s="43">
        <f>IF(IFERROR(_xlfn.XLOOKUP(Tableau1[[#This Row],[Isin]]&amp;1&amp;2021,#REF!,Tableau3[Résultat Net (PdG)]),"")="",Tableau1[[#This Row],[RN Groupe 2021
Manuel]],IFERROR(_xlfn.XLOOKUP(Tableau1[[#This Row],[Isin]]&amp;1&amp;2021,#REF!,Tableau3[Résultat Net (PdG)]),""))</f>
        <v>0</v>
      </c>
      <c r="AT223" s="43"/>
      <c r="AU223" s="43" t="str">
        <f>IFERROR(_xlfn.XLOOKUP(Tableau1[[#This Row],[Isin]]&amp;1&amp;2020,#REF!,Tableau3[Résultat Net (PdG)]),"")</f>
        <v/>
      </c>
      <c r="AV223" s="43" t="str">
        <f>IFERROR(_xlfn.XLOOKUP(Tableau1[[#This Row],[Isin]]&amp;1&amp;2019,#REF!,Tableau3[Résultat Net (PdG)]),"")</f>
        <v/>
      </c>
      <c r="AW223" s="43" t="str">
        <f>IFERROR(_xlfn.XLOOKUP(Tableau1[[#This Row],[Isin]]&amp;1&amp;2018,#REF!,Tableau3[Résultat Net (PdG)]),"")</f>
        <v/>
      </c>
      <c r="AX223" s="43" t="str">
        <f>IFERROR(_xlfn.XLOOKUP(Tableau1[[#This Row],[Isin]]&amp;1&amp;2017,#REF!,Tableau3[Résultat Net (PdG)]),"")</f>
        <v/>
      </c>
      <c r="AY223" s="43" t="str">
        <f>IFERROR(_xlfn.XLOOKUP(Tableau1[[#This Row],[Isin]]&amp;1&amp;2016,#REF!,Tableau3[Résultat Net (PdG)]),"")</f>
        <v/>
      </c>
      <c r="AZ223" s="137" t="str">
        <f ca="1">IFERROR(Tableau1[[#This Row],[Capitalisation boursière]]/Tableau1[[#This Row],[RN Groupe 2023]],"")</f>
        <v/>
      </c>
      <c r="BA223" s="4" t="str" cm="1">
        <f t="array" aca="1" ref="BA223" ca="1">IFERROR(_FV(Tableau1[[#This Row],[Code Excel]],"Industrie"),"")</f>
        <v>Machinery, Equipment &amp; Components</v>
      </c>
      <c r="BB223" s="43" t="s">
        <v>3477</v>
      </c>
      <c r="BC223" s="43" t="str">
        <f>IFERROR(_xlfn.XLOOKUP(Tableau1[[#This Row],[Isin]]&amp;1&amp;2016,#REF!,Tableau3[Capi]),"")</f>
        <v/>
      </c>
      <c r="BD223" s="43" t="str">
        <f>IFERROR(_xlfn.XLOOKUP(Tableau1[[#This Row],[Isin]]&amp;1&amp;2017,#REF!,Tableau3[Capi]),"")</f>
        <v/>
      </c>
      <c r="BE223" s="43" t="str">
        <f>IFERROR(_xlfn.XLOOKUP(Tableau1[[#This Row],[Isin]]&amp;1&amp;2018,#REF!,Tableau3[Capi]),"")</f>
        <v/>
      </c>
      <c r="BF223" s="43" t="str">
        <f>IFERROR(_xlfn.XLOOKUP(Tableau1[[#This Row],[Isin]]&amp;1&amp;2019,#REF!,Tableau3[Capi]),"")</f>
        <v/>
      </c>
      <c r="BG223" s="43" t="str">
        <f>IFERROR(_xlfn.XLOOKUP(Tableau1[[#This Row],[Isin]]&amp;1&amp;2020,#REF!,Tableau3[Capi]),"")</f>
        <v/>
      </c>
      <c r="BH223" s="43">
        <f>IF(IFERROR(_xlfn.XLOOKUP(Tableau1[[#This Row],[Isin]]&amp;1&amp;2021,#REF!,Tableau3[Capi]),"")="",Tableau1[[#This Row],[Capitalisation 2021
Manuel]],IFERROR(_xlfn.XLOOKUP(Tableau1[[#This Row],[Isin]]&amp;1&amp;2021,#REF!,Tableau3[Capi]),""))</f>
        <v>0</v>
      </c>
      <c r="BI223" s="43"/>
      <c r="BJ223" s="43">
        <f>IF(IFERROR(_xlfn.XLOOKUP(Tableau1[[#This Row],[Isin]]&amp;1&amp;2022,#REF!,Tableau3[Capi]),"")="",Tableau1[[#This Row],[Capitalisation 2022
Manuel]],IFERROR(_xlfn.XLOOKUP(Tableau1[[#This Row],[Isin]]&amp;1&amp;2022,#REF!,Tableau3[Capi]),""))</f>
        <v>0</v>
      </c>
      <c r="BK223" s="43"/>
      <c r="BL223" s="43">
        <f ca="1">Tableau1[[#This Row],[Capitalisation boursière]]</f>
        <v>4084378000</v>
      </c>
      <c r="BM223" s="162" t="str" cm="1">
        <f t="array" aca="1" ref="BM223" ca="1">_FV(Tableau1[[#This Row],[Code Excel]],"Description")</f>
        <v>Nexans sa est une société française engagée dans l'industrie du câble. Elle fournit des câbles et des systèmes de câblage en cuivre et en fibre optique aux marchés des infrastructures énergétiques, des télécommunications et des données, des bâtiments et des réseaux locaux (LAN). La Société va au-delà des câbles pour offrir à ses clients un service complet qui exploite la technologie numérique pour maximiser la performance et l'efficacité de leurs actifs critiques. Elle conçoit des solutions et des services tout au long de la chaîne de valeur dans trois grands domaines d'activité, tels que le bâtiment et les Territoires (y compris les services publics et l'e-mobilité), la haute tension et les projets (couvrant les parcs éoliens offshore, les interconnexions sous-marines, la haute tension terrestre), et industrie &amp; solutions (y compris les énergies renouvelables, le transport, le pétrole et le gaz, l'automatisation, et autres).</v>
      </c>
      <c r="BN223" s="43"/>
      <c r="BO223" s="43"/>
      <c r="BP223" s="43"/>
      <c r="BQ223" s="43"/>
      <c r="BR223" s="13"/>
      <c r="BS223" s="13"/>
      <c r="BT223" s="13"/>
      <c r="BU223" s="13"/>
      <c r="BV223" s="13"/>
      <c r="BW223" s="13"/>
      <c r="BX223" s="13"/>
      <c r="BY223" s="21"/>
      <c r="BZ223" s="13"/>
      <c r="CA223" s="13"/>
      <c r="CB223" s="13"/>
      <c r="CC223" s="13"/>
      <c r="CD223" s="13"/>
      <c r="CF223" s="47"/>
      <c r="CG223" s="47"/>
    </row>
    <row r="224" spans="3:85" s="21" customFormat="1">
      <c r="C224" s="43"/>
      <c r="D224" s="42">
        <f>IF(Tableau1[[#This Row],[Isin]]="",99,Tableau1[[#This Row],[Intérêt]]+Tableau1[[#This Row],[Valeur d''intérêt]]+Tableau1[[#This Row],[N° Portefeuille]])</f>
        <v>20</v>
      </c>
      <c r="E224" s="43"/>
      <c r="F224" s="42">
        <f>IF(Tableau1[[#This Row],[Portefeuille]]="p",0,Tableau1[[#This Row],[F. Investissement
Niveau d''intérêt]]*10)</f>
        <v>20</v>
      </c>
      <c r="G224" s="43">
        <f>IF(Tableau1[[#This Row],[Portefeuille]]="p",3,0)</f>
        <v>0</v>
      </c>
      <c r="H224" s="43">
        <v>2</v>
      </c>
      <c r="I224" s="43">
        <v>2</v>
      </c>
      <c r="J224" s="43"/>
      <c r="K224" s="43"/>
      <c r="L224" s="16">
        <v>1</v>
      </c>
      <c r="M22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4" s="44" t="s">
        <v>2555</v>
      </c>
      <c r="O224" s="44" t="s">
        <v>2083</v>
      </c>
      <c r="P224" s="4" t="s">
        <v>84</v>
      </c>
      <c r="Q224" s="6" t="s">
        <v>85</v>
      </c>
      <c r="R224" s="6"/>
      <c r="S224" s="6" t="s">
        <v>2557</v>
      </c>
      <c r="T224" s="6" t="e" vm="206">
        <v>#VALUE!</v>
      </c>
      <c r="U224" s="46" cm="1">
        <f t="array" aca="1" ref="U224" ca="1">IFERROR(_FV(Tableau1[[#This Row],[Code Excel]],"Capitalisation boursière",TRUE),"")</f>
        <v>565787600</v>
      </c>
      <c r="V224" s="4" t="str" cm="1">
        <f t="array" aca="1" ref="V224" ca="1">IFERROR(_FV(Tableau1[[#This Row],[Code Excel]],"Industrie"),"")</f>
        <v>Real Estate Operations</v>
      </c>
      <c r="W224" s="4" t="s">
        <v>2083</v>
      </c>
      <c r="X224" s="4" t="str">
        <f ca="1">Tableau1[[#This Row],[Grand Secteur]]&amp;Tableau1[[#This Row],[Industrie]]</f>
        <v>ImmobilierReal Estate Operations</v>
      </c>
      <c r="Y224" s="23" cm="1">
        <f t="array" aca="1" ref="Y224" ca="1">IFERROR(_FV(Tableau1[[#This Row],[Code Excel]],"P/E",TRUE),"")</f>
        <v>0</v>
      </c>
      <c r="Z224" s="43" cm="1">
        <f t="array" aca="1" ref="Z224" ca="1">IFERROR(_FV(Tableau1[[#This Row],[Code Excel]],"Employés"),"")</f>
        <v>4619</v>
      </c>
      <c r="AA224" s="49">
        <f ca="1">IFERROR(Tableau1[[#This Row],[Capitalisation boursière]]/Tableau1[[#This Row],[Employés]],"")</f>
        <v>122491.36176661614</v>
      </c>
      <c r="AB224" s="5" t="str">
        <f>IFERROR(Tableau1[[#This Row],[REX (2021)]]/Tableau1[[#This Row],[CA 2024]],"")</f>
        <v/>
      </c>
      <c r="AC224" s="9" t="str">
        <f>IFERROR(_xlfn.XLOOKUP(Tableau1[[#This Row],[Isin]]&amp;1&amp;2021,#REF!,Tableau3[Résultat d''exploitation]),"")</f>
        <v/>
      </c>
      <c r="AD224" s="9" t="str">
        <f>IFERROR(_xlfn.XLOOKUP(Tableau1[[#This Row],[Isin]]&amp;1&amp;2019,#REF!,Tableau3[Chiffre d''affaires]),"")</f>
        <v/>
      </c>
      <c r="AE224" s="9" t="str">
        <f>IFERROR(_xlfn.XLOOKUP(Tableau1[[#This Row],[Isin]]&amp;1&amp;2024,#REF!,Tableau3[Chiffre d''affaires]),"")</f>
        <v/>
      </c>
      <c r="AF224" s="8" t="str">
        <f>IFERROR(IF((Tableau1[[#This Row],[CA 2024]]-Tableau1[[#This Row],[CA 2019]])/Tableau1[[#This Row],[CA 2019]]=-1,"",(Tableau1[[#This Row],[CA 2024]]-Tableau1[[#This Row],[CA 2019]])/Tableau1[[#This Row],[CA 2019]]),"")</f>
        <v/>
      </c>
      <c r="AG224" s="9" t="str">
        <f>IFERROR(_xlfn.XLOOKUP(Tableau1[[#This Row],[Isin]]&amp;1&amp;2021,#REF!,Tableau3[EBE]),"")</f>
        <v/>
      </c>
      <c r="AH224" s="9" t="str">
        <f>IFERROR(_xlfn.XLOOKUP(Tableau1[[#This Row],[Isin]]&amp;1&amp;2022,#REF!,Tableau3[EBE]),"")</f>
        <v/>
      </c>
      <c r="AI224" s="43" t="s">
        <v>3431</v>
      </c>
      <c r="AJ224" s="43" t="s">
        <v>4322</v>
      </c>
      <c r="AK224" s="43" t="s">
        <v>3148</v>
      </c>
      <c r="AL224" s="43" t="s">
        <v>3431</v>
      </c>
      <c r="AM224" s="43"/>
      <c r="AN224" s="9" t="str">
        <f>IFERROR(_xlfn.XLOOKUP(Tableau1[[#This Row],[Isin]]&amp;1&amp;2021,#REF!,Tableau3[Chiffre d''affaires]),"")</f>
        <v/>
      </c>
      <c r="AO224" s="43" cm="1">
        <f t="array" aca="1" ref="AO224" ca="1">_FV(Tableau1[[#This Row],[Code Excel]],"P/E",TRUE)</f>
        <v>0</v>
      </c>
      <c r="AP224" s="43" t="str">
        <f>IFERROR(_xlfn.XLOOKUP(Tableau1[[#This Row],[Isin]]&amp;1&amp;2023,#REF!,Tableau3[Résultat Net (PdG)]),"")</f>
        <v/>
      </c>
      <c r="AQ224" s="43">
        <f>IF(IFERROR(_xlfn.XLOOKUP(Tableau1[[#This Row],[Isin]]&amp;1&amp;2022,#REF!,Tableau3[Résultat Net (PdG)]),"")="",Tableau1[[#This Row],[RN Groupe 2022
Manuel]],IFERROR(_xlfn.XLOOKUP(Tableau1[[#This Row],[Isin]]&amp;1&amp;2022,#REF!,Tableau3[Résultat Net (PdG)]),""))</f>
        <v>0</v>
      </c>
      <c r="AR224" s="43"/>
      <c r="AS224" s="43">
        <f>IF(IFERROR(_xlfn.XLOOKUP(Tableau1[[#This Row],[Isin]]&amp;1&amp;2021,#REF!,Tableau3[Résultat Net (PdG)]),"")="",Tableau1[[#This Row],[RN Groupe 2021
Manuel]],IFERROR(_xlfn.XLOOKUP(Tableau1[[#This Row],[Isin]]&amp;1&amp;2021,#REF!,Tableau3[Résultat Net (PdG)]),""))</f>
        <v>0</v>
      </c>
      <c r="AT224" s="43"/>
      <c r="AU224" s="43" t="str">
        <f>IFERROR(_xlfn.XLOOKUP(Tableau1[[#This Row],[Isin]]&amp;1&amp;2020,#REF!,Tableau3[Résultat Net (PdG)]),"")</f>
        <v/>
      </c>
      <c r="AV224" s="43" t="str">
        <f>IFERROR(_xlfn.XLOOKUP(Tableau1[[#This Row],[Isin]]&amp;1&amp;2019,#REF!,Tableau3[Résultat Net (PdG)]),"")</f>
        <v/>
      </c>
      <c r="AW224" s="43" t="str">
        <f>IFERROR(_xlfn.XLOOKUP(Tableau1[[#This Row],[Isin]]&amp;1&amp;2018,#REF!,Tableau3[Résultat Net (PdG)]),"")</f>
        <v/>
      </c>
      <c r="AX224" s="43" t="str">
        <f>IFERROR(_xlfn.XLOOKUP(Tableau1[[#This Row],[Isin]]&amp;1&amp;2017,#REF!,Tableau3[Résultat Net (PdG)]),"")</f>
        <v/>
      </c>
      <c r="AY224" s="43" t="str">
        <f>IFERROR(_xlfn.XLOOKUP(Tableau1[[#This Row],[Isin]]&amp;1&amp;2016,#REF!,Tableau3[Résultat Net (PdG)]),"")</f>
        <v/>
      </c>
      <c r="AZ224" s="137" t="str">
        <f ca="1">IFERROR(Tableau1[[#This Row],[Capitalisation boursière]]/Tableau1[[#This Row],[RN Groupe 2023]],"")</f>
        <v/>
      </c>
      <c r="BA224" s="4" t="str" cm="1">
        <f t="array" aca="1" ref="BA224" ca="1">IFERROR(_FV(Tableau1[[#This Row],[Code Excel]],"Industrie"),"")</f>
        <v>Real Estate Operations</v>
      </c>
      <c r="BB224" s="43" t="s">
        <v>3477</v>
      </c>
      <c r="BC224" s="43" t="str">
        <f>IFERROR(_xlfn.XLOOKUP(Tableau1[[#This Row],[Isin]]&amp;1&amp;2016,#REF!,Tableau3[Capi]),"")</f>
        <v/>
      </c>
      <c r="BD224" s="43" t="str">
        <f>IFERROR(_xlfn.XLOOKUP(Tableau1[[#This Row],[Isin]]&amp;1&amp;2017,#REF!,Tableau3[Capi]),"")</f>
        <v/>
      </c>
      <c r="BE224" s="43" t="str">
        <f>IFERROR(_xlfn.XLOOKUP(Tableau1[[#This Row],[Isin]]&amp;1&amp;2018,#REF!,Tableau3[Capi]),"")</f>
        <v/>
      </c>
      <c r="BF224" s="43" t="str">
        <f>IFERROR(_xlfn.XLOOKUP(Tableau1[[#This Row],[Isin]]&amp;1&amp;2019,#REF!,Tableau3[Capi]),"")</f>
        <v/>
      </c>
      <c r="BG224" s="43" t="str">
        <f>IFERROR(_xlfn.XLOOKUP(Tableau1[[#This Row],[Isin]]&amp;1&amp;2020,#REF!,Tableau3[Capi]),"")</f>
        <v/>
      </c>
      <c r="BH224" s="43">
        <f>IF(IFERROR(_xlfn.XLOOKUP(Tableau1[[#This Row],[Isin]]&amp;1&amp;2021,#REF!,Tableau3[Capi]),"")="",Tableau1[[#This Row],[Capitalisation 2021
Manuel]],IFERROR(_xlfn.XLOOKUP(Tableau1[[#This Row],[Isin]]&amp;1&amp;2021,#REF!,Tableau3[Capi]),""))</f>
        <v>0</v>
      </c>
      <c r="BI224" s="43"/>
      <c r="BJ224" s="43">
        <f>IF(IFERROR(_xlfn.XLOOKUP(Tableau1[[#This Row],[Isin]]&amp;1&amp;2022,#REF!,Tableau3[Capi]),"")="",Tableau1[[#This Row],[Capitalisation 2022
Manuel]],IFERROR(_xlfn.XLOOKUP(Tableau1[[#This Row],[Isin]]&amp;1&amp;2022,#REF!,Tableau3[Capi]),""))</f>
        <v>0</v>
      </c>
      <c r="BK224" s="43"/>
      <c r="BL224" s="43">
        <f ca="1">Tableau1[[#This Row],[Capitalisation boursière]]</f>
        <v>565787600</v>
      </c>
      <c r="BM224" s="162" t="str" cm="1">
        <f t="array" aca="1" ref="BM224" ca="1">_FV(Tableau1[[#This Row],[Code Excel]],"Description")</f>
        <v>NEXITY S.A. est un promoteur d'immobilier résidentiel et commercial basé à Paris, en France. En tant que développeur de l'immobilier résidentiel, la Société offre des solutions dans les maisons individuelles, les immeubles d'habitation, et le développement complet des quartiers avec des maisons disponibles à la location ou à l'achat, des espaces commerciaux et des installations publiques. Elle dispose de plusieurs filiales engagées dans différentes divisions, telles que Nexity Entreprises qui est spécialisée dans les bâtiments gratte-ciel, les nouveaux immeubles de bureaux et les rénovations structurelles. Geprim est spécialisée dans les entrepôts, les centres de distribution et les unités à usage mixte. Nexity Services fournit des services le long de toutes les étapes de conception d'un projet, l'achat, la gestion quotidienne, la rénovation et la vente. Le Groupe est également actif au niveau international et il est présent en Belgique, en Espagne, en Italie et au Portugal. Il opère à travers Costame, entre autres.</v>
      </c>
      <c r="BN224" s="43"/>
      <c r="BO224" s="43"/>
      <c r="BP224" s="43"/>
      <c r="BQ224" s="43"/>
      <c r="BR224" s="13"/>
      <c r="BS224" s="13"/>
      <c r="BT224" s="13"/>
      <c r="BU224" s="13"/>
      <c r="BV224" s="13"/>
      <c r="BW224" s="13"/>
      <c r="BX224" s="13"/>
      <c r="BZ224" s="13"/>
      <c r="CA224" s="13"/>
      <c r="CB224" s="13"/>
      <c r="CC224" s="13"/>
      <c r="CD224" s="13"/>
      <c r="CE224" s="6"/>
      <c r="CF224" s="59"/>
      <c r="CG224" s="59"/>
    </row>
    <row r="225" spans="3:85">
      <c r="C225" s="42"/>
      <c r="D225" s="42">
        <f>IF(Tableau1[[#This Row],[Isin]]="",99,Tableau1[[#This Row],[Intérêt]]+Tableau1[[#This Row],[Valeur d''intérêt]]+Tableau1[[#This Row],[N° Portefeuille]])</f>
        <v>30</v>
      </c>
      <c r="E225" s="42"/>
      <c r="F225" s="42">
        <f>IF(Tableau1[[#This Row],[Portefeuille]]="p",0,Tableau1[[#This Row],[F. Investissement
Niveau d''intérêt]]*10)</f>
        <v>30</v>
      </c>
      <c r="G225" s="42">
        <f>IF(Tableau1[[#This Row],[Portefeuille]]="p",3,0)</f>
        <v>0</v>
      </c>
      <c r="H225" s="42">
        <v>3</v>
      </c>
      <c r="I225" s="42">
        <v>4</v>
      </c>
      <c r="J225" s="42"/>
      <c r="K225" s="43"/>
      <c r="L225" s="16">
        <v>0</v>
      </c>
      <c r="M22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5" s="44" t="s">
        <v>3998</v>
      </c>
      <c r="O225" s="45"/>
      <c r="P225" s="4" t="s">
        <v>382</v>
      </c>
      <c r="Q225" s="4"/>
      <c r="R225" s="6"/>
      <c r="S225" s="6" t="s">
        <v>3999</v>
      </c>
      <c r="T225" s="6" t="e" vm="207">
        <v>#VALUE!</v>
      </c>
      <c r="U225" s="46" cm="1">
        <f t="array" aca="1" ref="U225" ca="1">IFERROR(_FV(Tableau1[[#This Row],[Code Excel]],"Capitalisation boursière",TRUE),"")</f>
        <v>94057685930</v>
      </c>
      <c r="V225" s="4" t="str" cm="1">
        <f t="array" aca="1" ref="V225" ca="1">IFERROR(_FV(Tableau1[[#This Row],[Code Excel]],"Industrie"),"")</f>
        <v>Textiles &amp; Apparel</v>
      </c>
      <c r="W225" s="4" t="s">
        <v>1315</v>
      </c>
      <c r="X225" s="4" t="str">
        <f ca="1">Tableau1[[#This Row],[Grand Secteur]]&amp;Tableau1[[#This Row],[Industrie]]</f>
        <v>Biens de consommationTextiles &amp; Apparel</v>
      </c>
      <c r="Y225" s="23" cm="1">
        <f t="array" aca="1" ref="Y225" ca="1">IFERROR(_FV(Tableau1[[#This Row],[Code Excel]],"P/E",TRUE),"")</f>
        <v>21.031700000000001</v>
      </c>
      <c r="Z225" s="43" cm="1">
        <f t="array" aca="1" ref="Z225" ca="1">IFERROR(_FV(Tableau1[[#This Row],[Code Excel]],"Employés"),"")</f>
        <v>79400</v>
      </c>
      <c r="AA225" s="46">
        <f ca="1">IFERROR(Tableau1[[#This Row],[Capitalisation boursière]]/Tableau1[[#This Row],[Employés]],"")</f>
        <v>1184605.6162468514</v>
      </c>
      <c r="AB225" s="5" t="str">
        <f>IFERROR(Tableau1[[#This Row],[REX (2021)]]/Tableau1[[#This Row],[CA 2024]],"")</f>
        <v/>
      </c>
      <c r="AC225" s="9" t="str">
        <f>IFERROR(_xlfn.XLOOKUP(Tableau1[[#This Row],[Isin]]&amp;1&amp;2021,#REF!,Tableau3[Résultat d''exploitation]),"")</f>
        <v/>
      </c>
      <c r="AD225" s="9" t="str">
        <f>IFERROR(_xlfn.XLOOKUP(Tableau1[[#This Row],[Isin]]&amp;1&amp;2019,#REF!,Tableau3[Chiffre d''affaires]),"")</f>
        <v/>
      </c>
      <c r="AE225" s="9" t="str">
        <f>IFERROR(_xlfn.XLOOKUP(Tableau1[[#This Row],[Isin]]&amp;1&amp;2024,#REF!,Tableau3[Chiffre d''affaires]),"")</f>
        <v/>
      </c>
      <c r="AF225" s="8" t="str">
        <f>IFERROR(IF((Tableau1[[#This Row],[CA 2024]]-Tableau1[[#This Row],[CA 2019]])/Tableau1[[#This Row],[CA 2019]]=-1,"",(Tableau1[[#This Row],[CA 2024]]-Tableau1[[#This Row],[CA 2019]])/Tableau1[[#This Row],[CA 2019]]),"")</f>
        <v/>
      </c>
      <c r="AG225" s="9" t="str">
        <f>IFERROR(_xlfn.XLOOKUP(Tableau1[[#This Row],[Isin]]&amp;1&amp;2021,#REF!,Tableau3[EBE]),"")</f>
        <v/>
      </c>
      <c r="AH225" s="9" t="str">
        <f>IFERROR(_xlfn.XLOOKUP(Tableau1[[#This Row],[Isin]]&amp;1&amp;2022,#REF!,Tableau3[EBE]),"")</f>
        <v/>
      </c>
      <c r="AI225" s="43" t="s">
        <v>4329</v>
      </c>
      <c r="AJ225" s="43" t="s">
        <v>4331</v>
      </c>
      <c r="AK225" s="43" t="s">
        <v>3431</v>
      </c>
      <c r="AL225" s="43"/>
      <c r="AM225" s="43"/>
      <c r="AN225" s="9" t="str">
        <f>IFERROR(_xlfn.XLOOKUP(Tableau1[[#This Row],[Isin]]&amp;1&amp;2021,#REF!,Tableau3[Chiffre d''affaires]),"")</f>
        <v/>
      </c>
      <c r="AO225" s="43" cm="1">
        <f t="array" aca="1" ref="AO225" ca="1">_FV(Tableau1[[#This Row],[Code Excel]],"P/E",TRUE)</f>
        <v>21.031700000000001</v>
      </c>
      <c r="AP225" s="43" t="str">
        <f>IFERROR(_xlfn.XLOOKUP(Tableau1[[#This Row],[Isin]]&amp;1&amp;2023,#REF!,Tableau3[Résultat Net (PdG)]),"")</f>
        <v/>
      </c>
      <c r="AQ225" s="43">
        <f>IF(IFERROR(_xlfn.XLOOKUP(Tableau1[[#This Row],[Isin]]&amp;1&amp;2022,#REF!,Tableau3[Résultat Net (PdG)]),"")="",Tableau1[[#This Row],[RN Groupe 2022
Manuel]],IFERROR(_xlfn.XLOOKUP(Tableau1[[#This Row],[Isin]]&amp;1&amp;2022,#REF!,Tableau3[Résultat Net (PdG)]),""))</f>
        <v>0</v>
      </c>
      <c r="AR225" s="43"/>
      <c r="AS225" s="43">
        <f>IF(IFERROR(_xlfn.XLOOKUP(Tableau1[[#This Row],[Isin]]&amp;1&amp;2021,#REF!,Tableau3[Résultat Net (PdG)]),"")="",Tableau1[[#This Row],[RN Groupe 2021
Manuel]],IFERROR(_xlfn.XLOOKUP(Tableau1[[#This Row],[Isin]]&amp;1&amp;2021,#REF!,Tableau3[Résultat Net (PdG)]),""))</f>
        <v>0</v>
      </c>
      <c r="AT225" s="43"/>
      <c r="AU225" s="43" t="str">
        <f>IFERROR(_xlfn.XLOOKUP(Tableau1[[#This Row],[Isin]]&amp;1&amp;2020,#REF!,Tableau3[Résultat Net (PdG)]),"")</f>
        <v/>
      </c>
      <c r="AV225" s="43" t="str">
        <f>IFERROR(_xlfn.XLOOKUP(Tableau1[[#This Row],[Isin]]&amp;1&amp;2019,#REF!,Tableau3[Résultat Net (PdG)]),"")</f>
        <v/>
      </c>
      <c r="AW225" s="43" t="str">
        <f>IFERROR(_xlfn.XLOOKUP(Tableau1[[#This Row],[Isin]]&amp;1&amp;2018,#REF!,Tableau3[Résultat Net (PdG)]),"")</f>
        <v/>
      </c>
      <c r="AX225" s="43" t="str">
        <f>IFERROR(_xlfn.XLOOKUP(Tableau1[[#This Row],[Isin]]&amp;1&amp;2017,#REF!,Tableau3[Résultat Net (PdG)]),"")</f>
        <v/>
      </c>
      <c r="AY225" s="43" t="str">
        <f>IFERROR(_xlfn.XLOOKUP(Tableau1[[#This Row],[Isin]]&amp;1&amp;2016,#REF!,Tableau3[Résultat Net (PdG)]),"")</f>
        <v/>
      </c>
      <c r="AZ225" s="137" t="str">
        <f ca="1">IFERROR(Tableau1[[#This Row],[Capitalisation boursière]]/Tableau1[[#This Row],[RN Groupe 2023]],"")</f>
        <v/>
      </c>
      <c r="BA225" s="4" t="str" cm="1">
        <f t="array" aca="1" ref="BA225" ca="1">IFERROR(_FV(Tableau1[[#This Row],[Code Excel]],"Industrie"),"")</f>
        <v>Textiles &amp; Apparel</v>
      </c>
      <c r="BB225" s="43" t="s">
        <v>3464</v>
      </c>
      <c r="BC225" s="43" t="str">
        <f>IFERROR(_xlfn.XLOOKUP(Tableau1[[#This Row],[Isin]]&amp;1&amp;2016,#REF!,Tableau3[Capi]),"")</f>
        <v/>
      </c>
      <c r="BD225" s="43" t="str">
        <f>IFERROR(_xlfn.XLOOKUP(Tableau1[[#This Row],[Isin]]&amp;1&amp;2017,#REF!,Tableau3[Capi]),"")</f>
        <v/>
      </c>
      <c r="BE225" s="43" t="str">
        <f>IFERROR(_xlfn.XLOOKUP(Tableau1[[#This Row],[Isin]]&amp;1&amp;2018,#REF!,Tableau3[Capi]),"")</f>
        <v/>
      </c>
      <c r="BF225" s="43" t="str">
        <f>IFERROR(_xlfn.XLOOKUP(Tableau1[[#This Row],[Isin]]&amp;1&amp;2019,#REF!,Tableau3[Capi]),"")</f>
        <v/>
      </c>
      <c r="BG225" s="43" t="str">
        <f>IFERROR(_xlfn.XLOOKUP(Tableau1[[#This Row],[Isin]]&amp;1&amp;2020,#REF!,Tableau3[Capi]),"")</f>
        <v/>
      </c>
      <c r="BH225" s="43">
        <f>IF(IFERROR(_xlfn.XLOOKUP(Tableau1[[#This Row],[Isin]]&amp;1&amp;2021,#REF!,Tableau3[Capi]),"")="",Tableau1[[#This Row],[Capitalisation 2021
Manuel]],IFERROR(_xlfn.XLOOKUP(Tableau1[[#This Row],[Isin]]&amp;1&amp;2021,#REF!,Tableau3[Capi]),""))</f>
        <v>0</v>
      </c>
      <c r="BI225" s="43"/>
      <c r="BJ225" s="43">
        <f>IF(IFERROR(_xlfn.XLOOKUP(Tableau1[[#This Row],[Isin]]&amp;1&amp;2022,#REF!,Tableau3[Capi]),"")="",Tableau1[[#This Row],[Capitalisation 2022
Manuel]],IFERROR(_xlfn.XLOOKUP(Tableau1[[#This Row],[Isin]]&amp;1&amp;2022,#REF!,Tableau3[Capi]),""))</f>
        <v>0</v>
      </c>
      <c r="BK225" s="43"/>
      <c r="BL225" s="43">
        <f ca="1">Tableau1[[#This Row],[Capitalisation boursière]]</f>
        <v>94057685930</v>
      </c>
      <c r="BM225" s="162" t="str" cm="1">
        <f t="array" aca="1" ref="BM225" ca="1">_FV(Tableau1[[#This Row],[Code Excel]],"Description")</f>
        <v>NIKE, Inc. conçoit, commercialise et distribue des chaussures de sport, des vêtements, des équipements et accessoires et des services pour les activités sportives et de remise en forme. Les secteurs d'exploitation de la Société comprennent l'Amérique du Nord, l'Europe, le moyen-Orient et l'Afrique (EMEA), la Grande Chine et l'Asie-Pacifique et l'Amérique latine (APLA). Elle vend une gamme d'équipements et d'accessoires sous la marque NIKE, y compris des sacs, des chaussettes, des ballons de sport, des lunettes, garde-temps, appareils numériques, chauves-souris, gants, équipement de protection et autres équipements conçus pour les activités sportives. Elle conçoit également des produits spécifiquement pour la marque Jordan et Converse. La marque Jordan conçoit, distribue et concède sous licence des chaussures, des vêtements et des accessoires sportifs et décontractés principalement axés sur les performances et la culture du basket-ball en utilisant la marque Jumpman. La société conçoit, distribue et concède sous licence des baskets, des vêtements et des accessoires décontractés sous les marques Chuck Taylor, All Star, One Star, Star Chevron et Jack Purcell.</v>
      </c>
      <c r="BN225" s="43"/>
      <c r="BO225" s="43"/>
      <c r="BP225" s="43"/>
      <c r="BQ225" s="43"/>
      <c r="BR225" s="13"/>
      <c r="BS225" s="13"/>
      <c r="BT225" s="13"/>
      <c r="BU225" s="13"/>
      <c r="BV225" s="13"/>
      <c r="BW225" s="13"/>
      <c r="BX225" s="13"/>
      <c r="BY225" s="21"/>
      <c r="BZ225" s="13"/>
      <c r="CA225" s="13"/>
      <c r="CB225" s="13"/>
      <c r="CC225" s="13"/>
      <c r="CD225" s="13"/>
      <c r="CF225" s="47"/>
      <c r="CG225" s="47"/>
    </row>
    <row r="226" spans="3:85">
      <c r="C226" s="43"/>
      <c r="D226" s="42">
        <f>IF(Tableau1[[#This Row],[Isin]]="",99,Tableau1[[#This Row],[Intérêt]]+Tableau1[[#This Row],[Valeur d''intérêt]]+Tableau1[[#This Row],[N° Portefeuille]])</f>
        <v>30</v>
      </c>
      <c r="E226" s="43"/>
      <c r="F226" s="42">
        <f>IF(Tableau1[[#This Row],[Portefeuille]]="p",0,Tableau1[[#This Row],[F. Investissement
Niveau d''intérêt]]*10)</f>
        <v>30</v>
      </c>
      <c r="G226" s="43">
        <f>IF(Tableau1[[#This Row],[Portefeuille]]="p",3,0)</f>
        <v>0</v>
      </c>
      <c r="H226" s="43">
        <v>3</v>
      </c>
      <c r="I226" s="43">
        <v>4</v>
      </c>
      <c r="J226" s="43"/>
      <c r="K226" s="43"/>
      <c r="L226" s="16">
        <v>0</v>
      </c>
      <c r="M22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6" s="44" t="s">
        <v>4001</v>
      </c>
      <c r="O226" s="45"/>
      <c r="P226" s="4" t="s">
        <v>427</v>
      </c>
      <c r="Q226" s="4"/>
      <c r="R226" s="6"/>
      <c r="S226" s="6" t="s">
        <v>4002</v>
      </c>
      <c r="T226" s="6" t="e" vm="208">
        <v>#VALUE!</v>
      </c>
      <c r="U226" s="46" cm="1">
        <f t="array" aca="1" ref="U226" ca="1">IFERROR(_FV(Tableau1[[#This Row],[Code Excel]],"Capitalisation boursière",TRUE),"")</f>
        <v>13875020000</v>
      </c>
      <c r="V226" s="4" t="str" cm="1">
        <f t="array" aca="1" ref="V226" ca="1">IFERROR(_FV(Tableau1[[#This Row],[Code Excel]],"Industrie"),"")</f>
        <v>Insurance</v>
      </c>
      <c r="W226" s="4" t="s">
        <v>4336</v>
      </c>
      <c r="X226" s="4" t="str">
        <f ca="1">Tableau1[[#This Row],[Grand Secteur]]&amp;Tableau1[[#This Row],[Industrie]]</f>
        <v>AssuranceInsurance</v>
      </c>
      <c r="Y226" s="23" cm="1">
        <f t="array" aca="1" ref="Y226" ca="1">IFERROR(_FV(Tableau1[[#This Row],[Code Excel]],"P/E",TRUE),"")</f>
        <v>12.145</v>
      </c>
      <c r="Z226" s="43" cm="1">
        <f t="array" aca="1" ref="Z226" ca="1">IFERROR(_FV(Tableau1[[#This Row],[Code Excel]],"Employés"),"")</f>
        <v>15990</v>
      </c>
      <c r="AA226" s="46">
        <f ca="1">IFERROR(Tableau1[[#This Row],[Capitalisation boursière]]/Tableau1[[#This Row],[Employés]],"")</f>
        <v>867731.08192620391</v>
      </c>
      <c r="AB226" s="5" t="str">
        <f>IFERROR(Tableau1[[#This Row],[REX (2021)]]/Tableau1[[#This Row],[CA 2024]],"")</f>
        <v/>
      </c>
      <c r="AC226" s="9" t="str">
        <f>IFERROR(_xlfn.XLOOKUP(Tableau1[[#This Row],[Isin]]&amp;1&amp;2021,#REF!,Tableau3[Résultat d''exploitation]),"")</f>
        <v/>
      </c>
      <c r="AD226" s="9" t="str">
        <f>IFERROR(_xlfn.XLOOKUP(Tableau1[[#This Row],[Isin]]&amp;1&amp;2019,#REF!,Tableau3[Chiffre d''affaires]),"")</f>
        <v/>
      </c>
      <c r="AE226" s="9" t="str">
        <f>IFERROR(_xlfn.XLOOKUP(Tableau1[[#This Row],[Isin]]&amp;1&amp;2024,#REF!,Tableau3[Chiffre d''affaires]),"")</f>
        <v/>
      </c>
      <c r="AF226" s="8" t="str">
        <f>IFERROR(IF((Tableau1[[#This Row],[CA 2024]]-Tableau1[[#This Row],[CA 2019]])/Tableau1[[#This Row],[CA 2019]]=-1,"",(Tableau1[[#This Row],[CA 2024]]-Tableau1[[#This Row],[CA 2019]])/Tableau1[[#This Row],[CA 2019]]),"")</f>
        <v/>
      </c>
      <c r="AG226" s="9" t="str">
        <f>IFERROR(_xlfn.XLOOKUP(Tableau1[[#This Row],[Isin]]&amp;1&amp;2021,#REF!,Tableau3[EBE]),"")</f>
        <v/>
      </c>
      <c r="AH226" s="9" t="str">
        <f>IFERROR(_xlfn.XLOOKUP(Tableau1[[#This Row],[Isin]]&amp;1&amp;2022,#REF!,Tableau3[EBE]),"")</f>
        <v/>
      </c>
      <c r="AI226" s="43" t="s">
        <v>4329</v>
      </c>
      <c r="AJ226" s="43" t="s">
        <v>4322</v>
      </c>
      <c r="AK226" s="43" t="s">
        <v>3431</v>
      </c>
      <c r="AL226" s="43"/>
      <c r="AM226" s="43"/>
      <c r="AN226" s="9" t="str">
        <f>IFERROR(_xlfn.XLOOKUP(Tableau1[[#This Row],[Isin]]&amp;1&amp;2021,#REF!,Tableau3[Chiffre d''affaires]),"")</f>
        <v/>
      </c>
      <c r="AO226" s="43" cm="1">
        <f t="array" aca="1" ref="AO226" ca="1">_FV(Tableau1[[#This Row],[Code Excel]],"P/E",TRUE)</f>
        <v>12.145</v>
      </c>
      <c r="AP226" s="43" t="str">
        <f>IFERROR(_xlfn.XLOOKUP(Tableau1[[#This Row],[Isin]]&amp;1&amp;2023,#REF!,Tableau3[Résultat Net (PdG)]),"")</f>
        <v/>
      </c>
      <c r="AQ226" s="43">
        <f>IF(IFERROR(_xlfn.XLOOKUP(Tableau1[[#This Row],[Isin]]&amp;1&amp;2022,#REF!,Tableau3[Résultat Net (PdG)]),"")="",Tableau1[[#This Row],[RN Groupe 2022
Manuel]],IFERROR(_xlfn.XLOOKUP(Tableau1[[#This Row],[Isin]]&amp;1&amp;2022,#REF!,Tableau3[Résultat Net (PdG)]),""))</f>
        <v>0</v>
      </c>
      <c r="AR226" s="43"/>
      <c r="AS226" s="43">
        <f>IF(IFERROR(_xlfn.XLOOKUP(Tableau1[[#This Row],[Isin]]&amp;1&amp;2021,#REF!,Tableau3[Résultat Net (PdG)]),"")="",Tableau1[[#This Row],[RN Groupe 2021
Manuel]],IFERROR(_xlfn.XLOOKUP(Tableau1[[#This Row],[Isin]]&amp;1&amp;2021,#REF!,Tableau3[Résultat Net (PdG)]),""))</f>
        <v>0</v>
      </c>
      <c r="AT226" s="43"/>
      <c r="AU226" s="43" t="str">
        <f>IFERROR(_xlfn.XLOOKUP(Tableau1[[#This Row],[Isin]]&amp;1&amp;2020,#REF!,Tableau3[Résultat Net (PdG)]),"")</f>
        <v/>
      </c>
      <c r="AV226" s="43" t="str">
        <f>IFERROR(_xlfn.XLOOKUP(Tableau1[[#This Row],[Isin]]&amp;1&amp;2019,#REF!,Tableau3[Résultat Net (PdG)]),"")</f>
        <v/>
      </c>
      <c r="AW226" s="43" t="str">
        <f>IFERROR(_xlfn.XLOOKUP(Tableau1[[#This Row],[Isin]]&amp;1&amp;2018,#REF!,Tableau3[Résultat Net (PdG)]),"")</f>
        <v/>
      </c>
      <c r="AX226" s="43" t="str">
        <f>IFERROR(_xlfn.XLOOKUP(Tableau1[[#This Row],[Isin]]&amp;1&amp;2017,#REF!,Tableau3[Résultat Net (PdG)]),"")</f>
        <v/>
      </c>
      <c r="AY226" s="43" t="str">
        <f>IFERROR(_xlfn.XLOOKUP(Tableau1[[#This Row],[Isin]]&amp;1&amp;2016,#REF!,Tableau3[Résultat Net (PdG)]),"")</f>
        <v/>
      </c>
      <c r="AZ226" s="137" t="str">
        <f ca="1">IFERROR(Tableau1[[#This Row],[Capitalisation boursière]]/Tableau1[[#This Row],[RN Groupe 2023]],"")</f>
        <v/>
      </c>
      <c r="BA226" s="4" t="str" cm="1">
        <f t="array" aca="1" ref="BA226" ca="1">IFERROR(_FV(Tableau1[[#This Row],[Code Excel]],"Industrie"),"")</f>
        <v>Insurance</v>
      </c>
      <c r="BB226" s="43" t="s">
        <v>3496</v>
      </c>
      <c r="BC226" s="43" t="str">
        <f>IFERROR(_xlfn.XLOOKUP(Tableau1[[#This Row],[Isin]]&amp;1&amp;2016,#REF!,Tableau3[Capi]),"")</f>
        <v/>
      </c>
      <c r="BD226" s="43" t="str">
        <f>IFERROR(_xlfn.XLOOKUP(Tableau1[[#This Row],[Isin]]&amp;1&amp;2017,#REF!,Tableau3[Capi]),"")</f>
        <v/>
      </c>
      <c r="BE226" s="43" t="str">
        <f>IFERROR(_xlfn.XLOOKUP(Tableau1[[#This Row],[Isin]]&amp;1&amp;2018,#REF!,Tableau3[Capi]),"")</f>
        <v/>
      </c>
      <c r="BF226" s="43" t="str">
        <f>IFERROR(_xlfn.XLOOKUP(Tableau1[[#This Row],[Isin]]&amp;1&amp;2019,#REF!,Tableau3[Capi]),"")</f>
        <v/>
      </c>
      <c r="BG226" s="43" t="str">
        <f>IFERROR(_xlfn.XLOOKUP(Tableau1[[#This Row],[Isin]]&amp;1&amp;2020,#REF!,Tableau3[Capi]),"")</f>
        <v/>
      </c>
      <c r="BH226" s="43">
        <f>IF(IFERROR(_xlfn.XLOOKUP(Tableau1[[#This Row],[Isin]]&amp;1&amp;2021,#REF!,Tableau3[Capi]),"")="",Tableau1[[#This Row],[Capitalisation 2021
Manuel]],IFERROR(_xlfn.XLOOKUP(Tableau1[[#This Row],[Isin]]&amp;1&amp;2021,#REF!,Tableau3[Capi]),""))</f>
        <v>0</v>
      </c>
      <c r="BI226" s="43"/>
      <c r="BJ226" s="43">
        <f>IF(IFERROR(_xlfn.XLOOKUP(Tableau1[[#This Row],[Isin]]&amp;1&amp;2022,#REF!,Tableau3[Capi]),"")="",Tableau1[[#This Row],[Capitalisation 2022
Manuel]],IFERROR(_xlfn.XLOOKUP(Tableau1[[#This Row],[Isin]]&amp;1&amp;2022,#REF!,Tableau3[Capi]),""))</f>
        <v>0</v>
      </c>
      <c r="BK226" s="43"/>
      <c r="BL226" s="43">
        <f ca="1">Tableau1[[#This Row],[Capitalisation boursière]]</f>
        <v>13875020000</v>
      </c>
      <c r="BM226" s="162" t="str" cm="1">
        <f t="array" aca="1" ref="BM226" ca="1">_FV(Tableau1[[#This Row],[Code Excel]],"Description")</f>
        <v>NN Group N.V. est une société d'assurance et de gestion de placements basée aux Pays-Bas. Elle exploite sept segments. Le segment Pays-Bas Vie offre des produits d'assurance-vie individuelle et de groupe et des pensions. Le segment Pays-Bas Non-Vie fournit les assurances automobiles, de transport, d'incendie, de responsabilité et de voyage, ainsi que des produits de protection de revenu. L'Assurance Europe comprend l'assurance-vie offerte dans 11 pays européens, les pensions, l'assurance non-vie en Belgique et en Espagne et l'assurance des soins de santé en Grèce. Le segment Japon Vie offre des assurances-vie d'entreprises. La Gestion d'Investissement fournit des produits d'investissement et des services consultatifs. Le segment Autres comprend les affaires de la Banque Nationale-Nederlanden et le réassureur interne de la Société, ING Re, ainsi que des résultats de holding et autres. Le Japon Bloc Fermé VA comprend l'assurance-vie individuelle à prime unique bloc fermé à rente variable. En juillet 2014, ING Groep NV a réduit sa participation dans la Société à 68,1 %.</v>
      </c>
      <c r="BN226" s="43"/>
      <c r="BO226" s="43"/>
      <c r="BP226" s="43"/>
      <c r="BQ226" s="43"/>
      <c r="BR226" s="13"/>
      <c r="BS226" s="13"/>
      <c r="BT226" s="13"/>
      <c r="BU226" s="13"/>
      <c r="BV226" s="13"/>
      <c r="BW226" s="13"/>
      <c r="BX226" s="13"/>
      <c r="BY226" s="21"/>
      <c r="BZ226" s="13"/>
      <c r="CA226" s="13"/>
      <c r="CB226" s="13"/>
      <c r="CC226" s="13"/>
      <c r="CD226" s="13"/>
      <c r="CF226" s="47"/>
      <c r="CG226" s="47"/>
    </row>
    <row r="227" spans="3:85">
      <c r="C227" s="42"/>
      <c r="D227" s="42">
        <f>IF(Tableau1[[#This Row],[Isin]]="",99,Tableau1[[#This Row],[Intérêt]]+Tableau1[[#This Row],[Valeur d''intérêt]]+Tableau1[[#This Row],[N° Portefeuille]])</f>
        <v>30</v>
      </c>
      <c r="E227" s="42"/>
      <c r="F227" s="42">
        <f>IF(Tableau1[[#This Row],[Portefeuille]]="p",0,Tableau1[[#This Row],[F. Investissement
Niveau d''intérêt]]*10)</f>
        <v>30</v>
      </c>
      <c r="G227" s="42">
        <f>IF(Tableau1[[#This Row],[Portefeuille]]="p",3,0)</f>
        <v>0</v>
      </c>
      <c r="H227" s="42">
        <v>3</v>
      </c>
      <c r="I227" s="42">
        <v>4</v>
      </c>
      <c r="J227" s="42"/>
      <c r="K227" s="43"/>
      <c r="L227" s="16">
        <v>1</v>
      </c>
      <c r="M22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7" s="44" t="s">
        <v>1328</v>
      </c>
      <c r="O227" s="44" t="s">
        <v>4410</v>
      </c>
      <c r="P227" s="4" t="s">
        <v>564</v>
      </c>
      <c r="Q227" s="6" t="s">
        <v>85</v>
      </c>
      <c r="R227" s="6"/>
      <c r="S227" s="6" t="s">
        <v>1332</v>
      </c>
      <c r="T227" s="6" t="e" vm="209">
        <v>#VALUE!</v>
      </c>
      <c r="U227" s="46" cm="1">
        <f t="array" aca="1" ref="U227" ca="1">IFERROR(_FV(Tableau1[[#This Row],[Code Excel]],"Capitalisation boursière",TRUE),"")</f>
        <v>3490007000</v>
      </c>
      <c r="V227" s="4" t="str" cm="1">
        <f t="array" aca="1" ref="V227" ca="1">IFERROR(_FV(Tableau1[[#This Row],[Code Excel]],"Industrie"),"")</f>
        <v>Machinery, Equipment &amp; Components</v>
      </c>
      <c r="W227" s="4" t="s">
        <v>371</v>
      </c>
      <c r="X227" s="4" t="str">
        <f ca="1">Tableau1[[#This Row],[Grand Secteur]]&amp;Tableau1[[#This Row],[Industrie]]</f>
        <v>EnergieMachinery, Equipment &amp; Components</v>
      </c>
      <c r="Y227" s="23" cm="1">
        <f t="array" aca="1" ref="Y227" ca="1">IFERROR(_FV(Tableau1[[#This Row],[Code Excel]],"P/E",TRUE),"")</f>
        <v>482.35</v>
      </c>
      <c r="Z227" s="43" cm="1">
        <f t="array" aca="1" ref="Z227" ca="1">IFERROR(_FV(Tableau1[[#This Row],[Code Excel]],"Employés"),"")</f>
        <v>10405</v>
      </c>
      <c r="AA227" s="46">
        <f ca="1">IFERROR(Tableau1[[#This Row],[Capitalisation boursière]]/Tableau1[[#This Row],[Employés]],"")</f>
        <v>335416.33829889476</v>
      </c>
      <c r="AB227" s="5" t="str">
        <f>IFERROR(Tableau1[[#This Row],[REX (2021)]]/Tableau1[[#This Row],[CA 2024]],"")</f>
        <v/>
      </c>
      <c r="AC227" s="9" t="str">
        <f>IFERROR(_xlfn.XLOOKUP(Tableau1[[#This Row],[Isin]]&amp;1&amp;2021,#REF!,Tableau3[Résultat d''exploitation]),"")</f>
        <v/>
      </c>
      <c r="AD227" s="9" t="str">
        <f>IFERROR(_xlfn.XLOOKUP(Tableau1[[#This Row],[Isin]]&amp;1&amp;2019,#REF!,Tableau3[Chiffre d''affaires]),"")</f>
        <v/>
      </c>
      <c r="AE227" s="9" t="str">
        <f>IFERROR(_xlfn.XLOOKUP(Tableau1[[#This Row],[Isin]]&amp;1&amp;2024,#REF!,Tableau3[Chiffre d''affaires]),"")</f>
        <v/>
      </c>
      <c r="AF227" s="8" t="str">
        <f>IFERROR(IF((Tableau1[[#This Row],[CA 2024]]-Tableau1[[#This Row],[CA 2019]])/Tableau1[[#This Row],[CA 2019]]=-1,"",(Tableau1[[#This Row],[CA 2024]]-Tableau1[[#This Row],[CA 2019]])/Tableau1[[#This Row],[CA 2019]]),"")</f>
        <v/>
      </c>
      <c r="AG227" s="9" t="str">
        <f>IFERROR(_xlfn.XLOOKUP(Tableau1[[#This Row],[Isin]]&amp;1&amp;2021,#REF!,Tableau3[EBE]),"")</f>
        <v/>
      </c>
      <c r="AH227" s="9" t="str">
        <f>IFERROR(_xlfn.XLOOKUP(Tableau1[[#This Row],[Isin]]&amp;1&amp;2022,#REF!,Tableau3[EBE]),"")</f>
        <v/>
      </c>
      <c r="AI227" s="43" t="s">
        <v>3431</v>
      </c>
      <c r="AJ227" s="43" t="s">
        <v>4348</v>
      </c>
      <c r="AK227" s="43" t="s">
        <v>3149</v>
      </c>
      <c r="AL227" s="43" t="s">
        <v>3419</v>
      </c>
      <c r="AM227" s="43"/>
      <c r="AN227" s="9" t="str">
        <f>IFERROR(_xlfn.XLOOKUP(Tableau1[[#This Row],[Isin]]&amp;1&amp;2021,#REF!,Tableau3[Chiffre d''affaires]),"")</f>
        <v/>
      </c>
      <c r="AO227" s="43" cm="1">
        <f t="array" aca="1" ref="AO227" ca="1">_FV(Tableau1[[#This Row],[Code Excel]],"P/E",TRUE)</f>
        <v>482.35</v>
      </c>
      <c r="AP227" s="43" t="str">
        <f>IFERROR(_xlfn.XLOOKUP(Tableau1[[#This Row],[Isin]]&amp;1&amp;2023,#REF!,Tableau3[Résultat Net (PdG)]),"")</f>
        <v/>
      </c>
      <c r="AQ227" s="43">
        <f>IF(IFERROR(_xlfn.XLOOKUP(Tableau1[[#This Row],[Isin]]&amp;1&amp;2022,#REF!,Tableau3[Résultat Net (PdG)]),"")="",Tableau1[[#This Row],[RN Groupe 2022
Manuel]],IFERROR(_xlfn.XLOOKUP(Tableau1[[#This Row],[Isin]]&amp;1&amp;2022,#REF!,Tableau3[Résultat Net (PdG)]),""))</f>
        <v>0</v>
      </c>
      <c r="AR227" s="43"/>
      <c r="AS227" s="43">
        <f>IF(IFERROR(_xlfn.XLOOKUP(Tableau1[[#This Row],[Isin]]&amp;1&amp;2021,#REF!,Tableau3[Résultat Net (PdG)]),"")="",Tableau1[[#This Row],[RN Groupe 2021
Manuel]],IFERROR(_xlfn.XLOOKUP(Tableau1[[#This Row],[Isin]]&amp;1&amp;2021,#REF!,Tableau3[Résultat Net (PdG)]),""))</f>
        <v>0</v>
      </c>
      <c r="AT227" s="43"/>
      <c r="AU227" s="43" t="str">
        <f>IFERROR(_xlfn.XLOOKUP(Tableau1[[#This Row],[Isin]]&amp;1&amp;2020,#REF!,Tableau3[Résultat Net (PdG)]),"")</f>
        <v/>
      </c>
      <c r="AV227" s="43" t="str">
        <f>IFERROR(_xlfn.XLOOKUP(Tableau1[[#This Row],[Isin]]&amp;1&amp;2019,#REF!,Tableau3[Résultat Net (PdG)]),"")</f>
        <v/>
      </c>
      <c r="AW227" s="43" t="str">
        <f>IFERROR(_xlfn.XLOOKUP(Tableau1[[#This Row],[Isin]]&amp;1&amp;2018,#REF!,Tableau3[Résultat Net (PdG)]),"")</f>
        <v/>
      </c>
      <c r="AX227" s="43" t="str">
        <f>IFERROR(_xlfn.XLOOKUP(Tableau1[[#This Row],[Isin]]&amp;1&amp;2017,#REF!,Tableau3[Résultat Net (PdG)]),"")</f>
        <v/>
      </c>
      <c r="AY227" s="43" t="str">
        <f>IFERROR(_xlfn.XLOOKUP(Tableau1[[#This Row],[Isin]]&amp;1&amp;2016,#REF!,Tableau3[Résultat Net (PdG)]),"")</f>
        <v/>
      </c>
      <c r="AZ227" s="137" t="str">
        <f ca="1">IFERROR(Tableau1[[#This Row],[Capitalisation boursière]]/Tableau1[[#This Row],[RN Groupe 2023]],"")</f>
        <v/>
      </c>
      <c r="BA227" s="4" t="s">
        <v>3527</v>
      </c>
      <c r="BB227" s="43" t="e">
        <v>#N/A</v>
      </c>
      <c r="BC227" s="43" t="str">
        <f>IFERROR(_xlfn.XLOOKUP(Tableau1[[#This Row],[Isin]]&amp;1&amp;2016,#REF!,Tableau3[Capi]),"")</f>
        <v/>
      </c>
      <c r="BD227" s="43" t="str">
        <f>IFERROR(_xlfn.XLOOKUP(Tableau1[[#This Row],[Isin]]&amp;1&amp;2017,#REF!,Tableau3[Capi]),"")</f>
        <v/>
      </c>
      <c r="BE227" s="43" t="str">
        <f>IFERROR(_xlfn.XLOOKUP(Tableau1[[#This Row],[Isin]]&amp;1&amp;2018,#REF!,Tableau3[Capi]),"")</f>
        <v/>
      </c>
      <c r="BF227" s="43" t="str">
        <f>IFERROR(_xlfn.XLOOKUP(Tableau1[[#This Row],[Isin]]&amp;1&amp;2019,#REF!,Tableau3[Capi]),"")</f>
        <v/>
      </c>
      <c r="BG227" s="43" t="str">
        <f>IFERROR(_xlfn.XLOOKUP(Tableau1[[#This Row],[Isin]]&amp;1&amp;2020,#REF!,Tableau3[Capi]),"")</f>
        <v/>
      </c>
      <c r="BH227" s="43">
        <f>IF(IFERROR(_xlfn.XLOOKUP(Tableau1[[#This Row],[Isin]]&amp;1&amp;2021,#REF!,Tableau3[Capi]),"")="",Tableau1[[#This Row],[Capitalisation 2021
Manuel]],IFERROR(_xlfn.XLOOKUP(Tableau1[[#This Row],[Isin]]&amp;1&amp;2021,#REF!,Tableau3[Capi]),""))</f>
        <v>0</v>
      </c>
      <c r="BI227" s="43"/>
      <c r="BJ227" s="43">
        <f>IF(IFERROR(_xlfn.XLOOKUP(Tableau1[[#This Row],[Isin]]&amp;1&amp;2022,#REF!,Tableau3[Capi]),"")="",Tableau1[[#This Row],[Capitalisation 2022
Manuel]],IFERROR(_xlfn.XLOOKUP(Tableau1[[#This Row],[Isin]]&amp;1&amp;2022,#REF!,Tableau3[Capi]),""))</f>
        <v>0</v>
      </c>
      <c r="BK227" s="43"/>
      <c r="BL227" s="43">
        <f ca="1">Tableau1[[#This Row],[Capitalisation boursière]]</f>
        <v>3490007000</v>
      </c>
      <c r="BM227" s="162" t="str" cm="1">
        <f t="array" aca="1" ref="BM227" ca="1">_FV(Tableau1[[#This Row],[Code Excel]],"Description")</f>
        <v>Nordex se est une société holding basée en Allemagne qui, avec ses filiales, développe, fabrique et distribue des systèmes éoliens, spécialisés dans les éoliennes, en Allemagne et dans d'autres pays. Sous la marque Nordex, la Société propose des éoliennes Nordex N90/2500, N100/2500 et N117/2400. En plus du développement et de la production de systèmes éoliens, la Société fournit également des services préliminaires de développement de projets pour soutenir la commercialisation, ainsi que l'acquisition des droits et la création de l'infrastructure nécessaire à la construction de systèmes éoliens à des endroits appropriés. La Société est active dans le développement de projets sur près de quatre marchés : la France, la Pologne, la Suède et l'Amérique. La Société possède des bureaux et des filiales dans le monde entier et des installations de production en Allemagne, en Chine et aux États-Unis. La Société détient des participations dans d'autres sociétés, dont Beebe Wind LLC, Big Berry Wind Farm LLC, Flat Rock Wind LLC et Green Hills Wind LLC, entre autres.</v>
      </c>
      <c r="BN227" s="43"/>
      <c r="BO227" s="43"/>
      <c r="BP227" s="43"/>
      <c r="BQ227" s="43"/>
      <c r="BR227" s="13"/>
      <c r="BS227" s="13"/>
      <c r="BT227" s="13"/>
      <c r="BU227" s="13"/>
      <c r="BV227" s="13"/>
      <c r="BW227" s="13"/>
      <c r="BX227" s="13"/>
      <c r="BY227" s="21"/>
      <c r="BZ227" s="13"/>
      <c r="CA227" s="13"/>
      <c r="CB227" s="13"/>
      <c r="CC227" s="13"/>
      <c r="CD227" s="13"/>
      <c r="CF227" s="47"/>
      <c r="CG227" s="47"/>
    </row>
    <row r="228" spans="3:85">
      <c r="C228" s="43"/>
      <c r="D228" s="42">
        <f>IF(Tableau1[[#This Row],[Isin]]="",99,Tableau1[[#This Row],[Intérêt]]+Tableau1[[#This Row],[Valeur d''intérêt]]+Tableau1[[#This Row],[N° Portefeuille]])</f>
        <v>30</v>
      </c>
      <c r="E228" s="43"/>
      <c r="F228" s="42">
        <f>IF(Tableau1[[#This Row],[Portefeuille]]="p",0,Tableau1[[#This Row],[F. Investissement
Niveau d''intérêt]]*10)</f>
        <v>30</v>
      </c>
      <c r="G228" s="43">
        <f>IF(Tableau1[[#This Row],[Portefeuille]]="p",3,0)</f>
        <v>0</v>
      </c>
      <c r="H228" s="43">
        <v>3</v>
      </c>
      <c r="I228" s="43">
        <v>4</v>
      </c>
      <c r="J228" s="43"/>
      <c r="K228" s="43"/>
      <c r="L228" s="16">
        <v>0</v>
      </c>
      <c r="M22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8" s="44" t="s">
        <v>4005</v>
      </c>
      <c r="O228" s="45"/>
      <c r="P228" s="4" t="s">
        <v>99</v>
      </c>
      <c r="Q228" s="4"/>
      <c r="R228" s="6"/>
      <c r="S228" s="6" t="s">
        <v>4006</v>
      </c>
      <c r="T228" s="6" t="e" vm="210">
        <v>#VALUE!</v>
      </c>
      <c r="U228" s="46" cm="1">
        <f t="array" aca="1" ref="U228" ca="1">IFERROR(_FV(Tableau1[[#This Row],[Code Excel]],"Capitalisation boursière",TRUE),"")</f>
        <v>208090700000</v>
      </c>
      <c r="V228" s="4" t="str" cm="1">
        <f t="array" aca="1" ref="V228" ca="1">IFERROR(_FV(Tableau1[[#This Row],[Code Excel]],"Industrie"),"")</f>
        <v>Pharmaceuticals</v>
      </c>
      <c r="W228" s="4" t="s">
        <v>1586</v>
      </c>
      <c r="X228" s="4" t="str">
        <f ca="1">Tableau1[[#This Row],[Grand Secteur]]&amp;Tableau1[[#This Row],[Industrie]]</f>
        <v>SantéPharmaceuticals</v>
      </c>
      <c r="Y228" s="23" cm="1">
        <f t="array" aca="1" ref="Y228" ca="1">IFERROR(_FV(Tableau1[[#This Row],[Code Excel]],"P/E",TRUE),"")</f>
        <v>18.502800000000001</v>
      </c>
      <c r="Z228" s="43" cm="1">
        <f t="array" aca="1" ref="Z228" ca="1">IFERROR(_FV(Tableau1[[#This Row],[Code Excel]],"Employés"),"")</f>
        <v>75883</v>
      </c>
      <c r="AA228" s="49">
        <f ca="1">IFERROR(Tableau1[[#This Row],[Capitalisation boursière]]/Tableau1[[#This Row],[Employés]],"")</f>
        <v>2742257.1590474811</v>
      </c>
      <c r="AB228" s="5" t="str">
        <f>IFERROR(Tableau1[[#This Row],[REX (2021)]]/Tableau1[[#This Row],[CA 2024]],"")</f>
        <v/>
      </c>
      <c r="AC228" s="9" t="str">
        <f>IFERROR(_xlfn.XLOOKUP(Tableau1[[#This Row],[Isin]]&amp;1&amp;2021,#REF!,Tableau3[Résultat d''exploitation]),"")</f>
        <v/>
      </c>
      <c r="AD228" s="9" t="str">
        <f>IFERROR(_xlfn.XLOOKUP(Tableau1[[#This Row],[Isin]]&amp;1&amp;2019,#REF!,Tableau3[Chiffre d''affaires]),"")</f>
        <v/>
      </c>
      <c r="AE228" s="9" t="str">
        <f>IFERROR(_xlfn.XLOOKUP(Tableau1[[#This Row],[Isin]]&amp;1&amp;2024,#REF!,Tableau3[Chiffre d''affaires]),"")</f>
        <v/>
      </c>
      <c r="AF228" s="8" t="str">
        <f>IFERROR(IF((Tableau1[[#This Row],[CA 2024]]-Tableau1[[#This Row],[CA 2019]])/Tableau1[[#This Row],[CA 2019]]=-1,"",(Tableau1[[#This Row],[CA 2024]]-Tableau1[[#This Row],[CA 2019]])/Tableau1[[#This Row],[CA 2019]]),"")</f>
        <v/>
      </c>
      <c r="AG228" s="9" t="str">
        <f>IFERROR(_xlfn.XLOOKUP(Tableau1[[#This Row],[Isin]]&amp;1&amp;2021,#REF!,Tableau3[EBE]),"")</f>
        <v/>
      </c>
      <c r="AH228" s="9" t="str">
        <f>IFERROR(_xlfn.XLOOKUP(Tableau1[[#This Row],[Isin]]&amp;1&amp;2022,#REF!,Tableau3[EBE]),"")</f>
        <v/>
      </c>
      <c r="AI228" s="13" t="s">
        <v>4324</v>
      </c>
      <c r="AJ228" s="13" t="s">
        <v>4325</v>
      </c>
      <c r="AK228" s="13" t="s">
        <v>3148</v>
      </c>
      <c r="AL228" s="43"/>
      <c r="AM228" s="43"/>
      <c r="AN228" s="9" t="str">
        <f>IFERROR(_xlfn.XLOOKUP(Tableau1[[#This Row],[Isin]]&amp;1&amp;2021,#REF!,Tableau3[Chiffre d''affaires]),"")</f>
        <v/>
      </c>
      <c r="AO228" s="43" cm="1">
        <f t="array" aca="1" ref="AO228" ca="1">_FV(Tableau1[[#This Row],[Code Excel]],"P/E",TRUE)</f>
        <v>18.502800000000001</v>
      </c>
      <c r="AP228" s="43" t="str">
        <f>IFERROR(_xlfn.XLOOKUP(Tableau1[[#This Row],[Isin]]&amp;1&amp;2023,#REF!,Tableau3[Résultat Net (PdG)]),"")</f>
        <v/>
      </c>
      <c r="AQ228" s="43">
        <f>IF(IFERROR(_xlfn.XLOOKUP(Tableau1[[#This Row],[Isin]]&amp;1&amp;2022,#REF!,Tableau3[Résultat Net (PdG)]),"")="",Tableau1[[#This Row],[RN Groupe 2022
Manuel]],IFERROR(_xlfn.XLOOKUP(Tableau1[[#This Row],[Isin]]&amp;1&amp;2022,#REF!,Tableau3[Résultat Net (PdG)]),""))</f>
        <v>0</v>
      </c>
      <c r="AR228" s="43"/>
      <c r="AS228" s="43">
        <f>IF(IFERROR(_xlfn.XLOOKUP(Tableau1[[#This Row],[Isin]]&amp;1&amp;2021,#REF!,Tableau3[Résultat Net (PdG)]),"")="",Tableau1[[#This Row],[RN Groupe 2021
Manuel]],IFERROR(_xlfn.XLOOKUP(Tableau1[[#This Row],[Isin]]&amp;1&amp;2021,#REF!,Tableau3[Résultat Net (PdG)]),""))</f>
        <v>0</v>
      </c>
      <c r="AT228" s="43"/>
      <c r="AU228" s="43" t="str">
        <f>IFERROR(_xlfn.XLOOKUP(Tableau1[[#This Row],[Isin]]&amp;1&amp;2020,#REF!,Tableau3[Résultat Net (PdG)]),"")</f>
        <v/>
      </c>
      <c r="AV228" s="43" t="str">
        <f>IFERROR(_xlfn.XLOOKUP(Tableau1[[#This Row],[Isin]]&amp;1&amp;2019,#REF!,Tableau3[Résultat Net (PdG)]),"")</f>
        <v/>
      </c>
      <c r="AW228" s="43" t="str">
        <f>IFERROR(_xlfn.XLOOKUP(Tableau1[[#This Row],[Isin]]&amp;1&amp;2018,#REF!,Tableau3[Résultat Net (PdG)]),"")</f>
        <v/>
      </c>
      <c r="AX228" s="43" t="str">
        <f>IFERROR(_xlfn.XLOOKUP(Tableau1[[#This Row],[Isin]]&amp;1&amp;2017,#REF!,Tableau3[Résultat Net (PdG)]),"")</f>
        <v/>
      </c>
      <c r="AY228" s="43" t="str">
        <f>IFERROR(_xlfn.XLOOKUP(Tableau1[[#This Row],[Isin]]&amp;1&amp;2016,#REF!,Tableau3[Résultat Net (PdG)]),"")</f>
        <v/>
      </c>
      <c r="AZ228" s="137" t="str">
        <f ca="1">IFERROR(Tableau1[[#This Row],[Capitalisation boursière]]/Tableau1[[#This Row],[RN Groupe 2023]],"")</f>
        <v/>
      </c>
      <c r="BA228" s="4" t="str" cm="1">
        <f t="array" aca="1" ref="BA228" ca="1">IFERROR(_FV(Tableau1[[#This Row],[Code Excel]],"Industrie"),"")</f>
        <v>Pharmaceuticals</v>
      </c>
      <c r="BB228" s="43" t="s">
        <v>3469</v>
      </c>
      <c r="BC228" s="43" t="str">
        <f>IFERROR(_xlfn.XLOOKUP(Tableau1[[#This Row],[Isin]]&amp;1&amp;2016,#REF!,Tableau3[Capi]),"")</f>
        <v/>
      </c>
      <c r="BD228" s="43" t="str">
        <f>IFERROR(_xlfn.XLOOKUP(Tableau1[[#This Row],[Isin]]&amp;1&amp;2017,#REF!,Tableau3[Capi]),"")</f>
        <v/>
      </c>
      <c r="BE228" s="43" t="str">
        <f>IFERROR(_xlfn.XLOOKUP(Tableau1[[#This Row],[Isin]]&amp;1&amp;2018,#REF!,Tableau3[Capi]),"")</f>
        <v/>
      </c>
      <c r="BF228" s="43" t="str">
        <f>IFERROR(_xlfn.XLOOKUP(Tableau1[[#This Row],[Isin]]&amp;1&amp;2019,#REF!,Tableau3[Capi]),"")</f>
        <v/>
      </c>
      <c r="BG228" s="43" t="str">
        <f>IFERROR(_xlfn.XLOOKUP(Tableau1[[#This Row],[Isin]]&amp;1&amp;2020,#REF!,Tableau3[Capi]),"")</f>
        <v/>
      </c>
      <c r="BH228" s="43">
        <f>IF(IFERROR(_xlfn.XLOOKUP(Tableau1[[#This Row],[Isin]]&amp;1&amp;2021,#REF!,Tableau3[Capi]),"")="",Tableau1[[#This Row],[Capitalisation 2021
Manuel]],IFERROR(_xlfn.XLOOKUP(Tableau1[[#This Row],[Isin]]&amp;1&amp;2021,#REF!,Tableau3[Capi]),""))</f>
        <v>0</v>
      </c>
      <c r="BI228" s="43"/>
      <c r="BJ228" s="43">
        <f>IF(IFERROR(_xlfn.XLOOKUP(Tableau1[[#This Row],[Isin]]&amp;1&amp;2022,#REF!,Tableau3[Capi]),"")="",Tableau1[[#This Row],[Capitalisation 2022
Manuel]],IFERROR(_xlfn.XLOOKUP(Tableau1[[#This Row],[Isin]]&amp;1&amp;2022,#REF!,Tableau3[Capi]),""))</f>
        <v>0</v>
      </c>
      <c r="BK228" s="43"/>
      <c r="BL228" s="43">
        <f ca="1">Tableau1[[#This Row],[Capitalisation boursière]]</f>
        <v>208090700000</v>
      </c>
      <c r="BM228" s="162" t="str" cm="1">
        <f t="array" aca="1" ref="BM228" ca="1">_FV(Tableau1[[#This Row],[Code Excel]],"Description")</f>
        <v>Novartis AG est une société pharmaceutique basée en Suisse. La Société développe, fabrique et commercialise des médicaments d'ordonnance de marque et génériques, des ingrédients pharmaceutiques actifs (API), des biosimilaires et des produits ophtalmiques. La Société utilise la science et les technologies numériques pour les traitements dans les domaines de l'immunologie, de la dermatologie, du cancer, de l'ophtalmologie, des neurosciences, des maladies respiratoires, cardiovasculaires, rénales et métaboliques. Les activités commerciales de la Société sont divisées en deux segments : Médicaments innovants, qui comprend des médicaments d'ordonnance innovants protégés par un brevet pour la tension artérielle, le cancer et d'autres affections, et Sandoz, qui comprend des produits pharmaceutiques génériques et des biosimilaires.</v>
      </c>
      <c r="BN228" s="43"/>
      <c r="BO228" s="43"/>
      <c r="BP228" s="43"/>
      <c r="BQ228" s="43"/>
      <c r="BR228" s="13"/>
      <c r="BS228" s="13"/>
      <c r="BT228" s="13"/>
      <c r="BU228" s="13"/>
      <c r="BV228" s="13"/>
      <c r="BW228" s="13"/>
      <c r="BX228" s="13"/>
      <c r="BY228" s="21"/>
      <c r="BZ228" s="13"/>
      <c r="CA228" s="13"/>
      <c r="CB228" s="13"/>
      <c r="CC228" s="13"/>
      <c r="CD228" s="13"/>
      <c r="CF228" s="47"/>
      <c r="CG228" s="47"/>
    </row>
    <row r="229" spans="3:85">
      <c r="C229" s="42"/>
      <c r="D229" s="42">
        <f>IF(Tableau1[[#This Row],[Isin]]="",99,Tableau1[[#This Row],[Intérêt]]+Tableau1[[#This Row],[Valeur d''intérêt]]+Tableau1[[#This Row],[N° Portefeuille]])</f>
        <v>20</v>
      </c>
      <c r="E229" s="42"/>
      <c r="F229" s="42">
        <f>IF(Tableau1[[#This Row],[Portefeuille]]="p",0,Tableau1[[#This Row],[F. Investissement
Niveau d''intérêt]]*10)</f>
        <v>20</v>
      </c>
      <c r="G229" s="42">
        <f>IF(Tableau1[[#This Row],[Portefeuille]]="p",3,0)</f>
        <v>0</v>
      </c>
      <c r="H229" s="42">
        <v>2</v>
      </c>
      <c r="I229" s="42">
        <v>2</v>
      </c>
      <c r="J229" s="42"/>
      <c r="K229" s="43"/>
      <c r="L229" s="16">
        <v>1</v>
      </c>
      <c r="M22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29" s="44" t="s">
        <v>2612</v>
      </c>
      <c r="O229" s="44" t="s">
        <v>4411</v>
      </c>
      <c r="P229" s="4" t="s">
        <v>382</v>
      </c>
      <c r="Q229" s="6" t="s">
        <v>383</v>
      </c>
      <c r="R229" s="6"/>
      <c r="S229" s="6" t="s">
        <v>2615</v>
      </c>
      <c r="T229" s="6" t="e" vm="211">
        <v>#VALUE!</v>
      </c>
      <c r="U229" s="51" cm="1">
        <f t="array" aca="1" ref="U229" ca="1">IFERROR(_FV(Tableau1[[#This Row],[Code Excel]],"Capitalisation boursière",TRUE),"")</f>
        <v>2535648000000</v>
      </c>
      <c r="V229" s="4" t="str" cm="1">
        <f t="array" aca="1" ref="V229" ca="1">IFERROR(_FV(Tableau1[[#This Row],[Code Excel]],"Industrie"),"")</f>
        <v>Semiconductors &amp; Semiconductor Equipment</v>
      </c>
      <c r="W229" s="4" t="s">
        <v>4371</v>
      </c>
      <c r="X229" s="4" t="str">
        <f ca="1">Tableau1[[#This Row],[Grand Secteur]]&amp;Tableau1[[#This Row],[Industrie]]</f>
        <v>Equipement TechnologiqueSemiconductors &amp; Semiconductor Equipment</v>
      </c>
      <c r="Y229" s="23" cm="1">
        <f t="array" aca="1" ref="Y229" ca="1">IFERROR(_FV(Tableau1[[#This Row],[Code Excel]],"P/E",TRUE),"")</f>
        <v>35.574100000000001</v>
      </c>
      <c r="Z229" s="43" cm="1">
        <f t="array" aca="1" ref="Z229" ca="1">IFERROR(_FV(Tableau1[[#This Row],[Code Excel]],"Employés"),"")</f>
        <v>36000</v>
      </c>
      <c r="AA229" s="46">
        <f ca="1">IFERROR(Tableau1[[#This Row],[Capitalisation boursière]]/Tableau1[[#This Row],[Employés]],"")</f>
        <v>70434666.666666672</v>
      </c>
      <c r="AB229" s="5" t="str">
        <f>IFERROR(Tableau1[[#This Row],[REX (2021)]]/Tableau1[[#This Row],[CA 2024]],"")</f>
        <v/>
      </c>
      <c r="AC229" s="9" t="str">
        <f>IFERROR(_xlfn.XLOOKUP(Tableau1[[#This Row],[Isin]]&amp;1&amp;2021,#REF!,Tableau3[Résultat d''exploitation]),"")</f>
        <v/>
      </c>
      <c r="AD229" s="9" t="str">
        <f>IFERROR(_xlfn.XLOOKUP(Tableau1[[#This Row],[Isin]]&amp;1&amp;2019,#REF!,Tableau3[Chiffre d''affaires]),"")</f>
        <v/>
      </c>
      <c r="AE229" s="9" t="str">
        <f>IFERROR(_xlfn.XLOOKUP(Tableau1[[#This Row],[Isin]]&amp;1&amp;2024,#REF!,Tableau3[Chiffre d''affaires]),"")</f>
        <v/>
      </c>
      <c r="AF229" s="8" t="str">
        <f>IFERROR(IF((Tableau1[[#This Row],[CA 2024]]-Tableau1[[#This Row],[CA 2019]])/Tableau1[[#This Row],[CA 2019]]=-1,"",(Tableau1[[#This Row],[CA 2024]]-Tableau1[[#This Row],[CA 2019]])/Tableau1[[#This Row],[CA 2019]]),"")</f>
        <v/>
      </c>
      <c r="AG229" s="9" t="str">
        <f>IFERROR(_xlfn.XLOOKUP(Tableau1[[#This Row],[Isin]]&amp;1&amp;2021,#REF!,Tableau3[EBE]),"")</f>
        <v/>
      </c>
      <c r="AH229" s="9" t="str">
        <f>IFERROR(_xlfn.XLOOKUP(Tableau1[[#This Row],[Isin]]&amp;1&amp;2022,#REF!,Tableau3[EBE]),"")</f>
        <v/>
      </c>
      <c r="AI229" s="43" t="s">
        <v>4324</v>
      </c>
      <c r="AJ229" s="43" t="s">
        <v>4348</v>
      </c>
      <c r="AK229" s="43" t="s">
        <v>3149</v>
      </c>
      <c r="AL229" s="43" t="s">
        <v>3148</v>
      </c>
      <c r="AM229" s="43"/>
      <c r="AN229" s="9" t="str">
        <f>IFERROR(_xlfn.XLOOKUP(Tableau1[[#This Row],[Isin]]&amp;1&amp;2021,#REF!,Tableau3[Chiffre d''affaires]),"")</f>
        <v/>
      </c>
      <c r="AO229" s="43" cm="1">
        <f t="array" aca="1" ref="AO229" ca="1">_FV(Tableau1[[#This Row],[Code Excel]],"P/E",TRUE)</f>
        <v>35.574100000000001</v>
      </c>
      <c r="AP229" s="43" t="str">
        <f>IFERROR(_xlfn.XLOOKUP(Tableau1[[#This Row],[Isin]]&amp;1&amp;2023,#REF!,Tableau3[Résultat Net (PdG)]),"")</f>
        <v/>
      </c>
      <c r="AQ229" s="43">
        <f>IF(IFERROR(_xlfn.XLOOKUP(Tableau1[[#This Row],[Isin]]&amp;1&amp;2022,#REF!,Tableau3[Résultat Net (PdG)]),"")="",Tableau1[[#This Row],[RN Groupe 2022
Manuel]],IFERROR(_xlfn.XLOOKUP(Tableau1[[#This Row],[Isin]]&amp;1&amp;2022,#REF!,Tableau3[Résultat Net (PdG)]),""))</f>
        <v>0</v>
      </c>
      <c r="AR229" s="43"/>
      <c r="AS229" s="43">
        <f>IF(IFERROR(_xlfn.XLOOKUP(Tableau1[[#This Row],[Isin]]&amp;1&amp;2021,#REF!,Tableau3[Résultat Net (PdG)]),"")="",Tableau1[[#This Row],[RN Groupe 2021
Manuel]],IFERROR(_xlfn.XLOOKUP(Tableau1[[#This Row],[Isin]]&amp;1&amp;2021,#REF!,Tableau3[Résultat Net (PdG)]),""))</f>
        <v>0</v>
      </c>
      <c r="AT229" s="43"/>
      <c r="AU229" s="43" t="str">
        <f>IFERROR(_xlfn.XLOOKUP(Tableau1[[#This Row],[Isin]]&amp;1&amp;2020,#REF!,Tableau3[Résultat Net (PdG)]),"")</f>
        <v/>
      </c>
      <c r="AV229" s="43" t="str">
        <f>IFERROR(_xlfn.XLOOKUP(Tableau1[[#This Row],[Isin]]&amp;1&amp;2019,#REF!,Tableau3[Résultat Net (PdG)]),"")</f>
        <v/>
      </c>
      <c r="AW229" s="43" t="str">
        <f>IFERROR(_xlfn.XLOOKUP(Tableau1[[#This Row],[Isin]]&amp;1&amp;2018,#REF!,Tableau3[Résultat Net (PdG)]),"")</f>
        <v/>
      </c>
      <c r="AX229" s="43" t="str">
        <f>IFERROR(_xlfn.XLOOKUP(Tableau1[[#This Row],[Isin]]&amp;1&amp;2017,#REF!,Tableau3[Résultat Net (PdG)]),"")</f>
        <v/>
      </c>
      <c r="AY229" s="43" t="str">
        <f>IFERROR(_xlfn.XLOOKUP(Tableau1[[#This Row],[Isin]]&amp;1&amp;2016,#REF!,Tableau3[Résultat Net (PdG)]),"")</f>
        <v/>
      </c>
      <c r="AZ229" s="137" t="str">
        <f ca="1">IFERROR(Tableau1[[#This Row],[Capitalisation boursière]]/Tableau1[[#This Row],[RN Groupe 2023]],"")</f>
        <v/>
      </c>
      <c r="BA229" s="4" t="str" cm="1">
        <f t="array" aca="1" ref="BA229" ca="1">IFERROR(_FV(Tableau1[[#This Row],[Code Excel]],"Industrie"),"")</f>
        <v>Semiconductors &amp; Semiconductor Equipment</v>
      </c>
      <c r="BB229" s="43" t="s">
        <v>3491</v>
      </c>
      <c r="BC229" s="43" t="str">
        <f>IFERROR(_xlfn.XLOOKUP(Tableau1[[#This Row],[Isin]]&amp;1&amp;2016,#REF!,Tableau3[Capi]),"")</f>
        <v/>
      </c>
      <c r="BD229" s="43" t="str">
        <f>IFERROR(_xlfn.XLOOKUP(Tableau1[[#This Row],[Isin]]&amp;1&amp;2017,#REF!,Tableau3[Capi]),"")</f>
        <v/>
      </c>
      <c r="BE229" s="43" t="str">
        <f>IFERROR(_xlfn.XLOOKUP(Tableau1[[#This Row],[Isin]]&amp;1&amp;2018,#REF!,Tableau3[Capi]),"")</f>
        <v/>
      </c>
      <c r="BF229" s="43" t="str">
        <f>IFERROR(_xlfn.XLOOKUP(Tableau1[[#This Row],[Isin]]&amp;1&amp;2019,#REF!,Tableau3[Capi]),"")</f>
        <v/>
      </c>
      <c r="BG229" s="43" t="str">
        <f>IFERROR(_xlfn.XLOOKUP(Tableau1[[#This Row],[Isin]]&amp;1&amp;2020,#REF!,Tableau3[Capi]),"")</f>
        <v/>
      </c>
      <c r="BH229" s="43">
        <f>IF(IFERROR(_xlfn.XLOOKUP(Tableau1[[#This Row],[Isin]]&amp;1&amp;2021,#REF!,Tableau3[Capi]),"")="",Tableau1[[#This Row],[Capitalisation 2021
Manuel]],IFERROR(_xlfn.XLOOKUP(Tableau1[[#This Row],[Isin]]&amp;1&amp;2021,#REF!,Tableau3[Capi]),""))</f>
        <v>0</v>
      </c>
      <c r="BI229" s="43"/>
      <c r="BJ229" s="43">
        <f>IF(IFERROR(_xlfn.XLOOKUP(Tableau1[[#This Row],[Isin]]&amp;1&amp;2022,#REF!,Tableau3[Capi]),"")="",Tableau1[[#This Row],[Capitalisation 2022
Manuel]],IFERROR(_xlfn.XLOOKUP(Tableau1[[#This Row],[Isin]]&amp;1&amp;2022,#REF!,Tableau3[Capi]),""))</f>
        <v>0</v>
      </c>
      <c r="BK229" s="43"/>
      <c r="BL229" s="43">
        <f ca="1">Tableau1[[#This Row],[Capitalisation boursière]]</f>
        <v>2535648000000</v>
      </c>
      <c r="BM229" s="162" t="str" cm="1">
        <f t="array" aca="1" ref="BM229" ca="1">_FV(Tableau1[[#This Row],[Code Excel]],"Description")</f>
        <v>NVIDIA Corporation est une société d'infrastructure informatique full stack. La société accélère l'informatique pour aider à résoudre les problèmes de calcul. Les segments de la société comprennent le calcul et la mise en réseau et les graphiques. Le segment Compute &amp; Networking comprend sa plate-forme informatique accélérée de centre de données ; la mise en réseau ; l'intelligence artificielle automobile (IA), le cockpit, les accords de développement de conduite autonome et les solutions de véhicules autonomes ; les plates-formes informatiques de véhicules électriques ; NVIDIA ai Enterprise et d'autres logiciels. Le segment graphique comprend les GPU GeForce pour les jeux et les ordinateurs personnels (PC), le service de streaming de jeux GeForce NOW et l'infrastructure connexe, ainsi que les solutions pour les plateformes de jeux ; les GPU Quadro/NVIDIA RTX pour les graphiques des stations de travail d'entreprise ; le GPU virtuel (vGPU), logiciel pour l'informatique visuelle et virtuelle basée sur le cloud ; les plateformes automobiles pour les systèmes d'infodivertissement; et des logiciels d'entreprise omnidirectionnels pour la création et l'exploitation de métaverse et d'applications Internet tridimensionnelles.</v>
      </c>
      <c r="BN229" s="43"/>
      <c r="BO229" s="43"/>
      <c r="BP229" s="43"/>
      <c r="BQ229" s="43"/>
      <c r="BR229" s="13"/>
      <c r="BS229" s="13"/>
      <c r="BT229" s="13"/>
      <c r="BU229" s="13"/>
      <c r="BV229" s="13"/>
      <c r="BW229" s="13"/>
      <c r="BX229" s="13"/>
      <c r="BY229" s="21"/>
      <c r="BZ229" s="13"/>
      <c r="CA229" s="13"/>
      <c r="CB229" s="13"/>
      <c r="CC229" s="13"/>
      <c r="CD229" s="13"/>
      <c r="CF229" s="47"/>
      <c r="CG229" s="47"/>
    </row>
    <row r="230" spans="3:85">
      <c r="C230" s="43"/>
      <c r="D230" s="42">
        <f>IF(Tableau1[[#This Row],[Isin]]="",99,Tableau1[[#This Row],[Intérêt]]+Tableau1[[#This Row],[Valeur d''intérêt]]+Tableau1[[#This Row],[N° Portefeuille]])</f>
        <v>3</v>
      </c>
      <c r="E230" s="42"/>
      <c r="F230" s="42">
        <f>IF(Tableau1[[#This Row],[Portefeuille]]="p",0,Tableau1[[#This Row],[F. Investissement
Niveau d''intérêt]]*10)</f>
        <v>0</v>
      </c>
      <c r="G230" s="42">
        <f>IF(Tableau1[[#This Row],[Portefeuille]]="p",3,0)</f>
        <v>3</v>
      </c>
      <c r="H230" s="42">
        <v>3</v>
      </c>
      <c r="I230" s="42">
        <v>3</v>
      </c>
      <c r="J230" s="43" t="s">
        <v>4357</v>
      </c>
      <c r="K230" s="43" t="s">
        <v>4362</v>
      </c>
      <c r="L230" s="16">
        <v>1</v>
      </c>
      <c r="M23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0" s="44" t="s">
        <v>1857</v>
      </c>
      <c r="O230" s="44" t="s">
        <v>1315</v>
      </c>
      <c r="P230" s="4" t="s">
        <v>452</v>
      </c>
      <c r="Q230" s="6" t="s">
        <v>85</v>
      </c>
      <c r="R230" s="6"/>
      <c r="S230" s="6" t="s">
        <v>1860</v>
      </c>
      <c r="T230" s="6" t="e" vm="212">
        <v>#VALUE!</v>
      </c>
      <c r="U230" s="46" cm="1">
        <f t="array" aca="1" ref="U230" ca="1">IFERROR(_FV(Tableau1[[#This Row],[Code Excel]],"Capitalisation boursière",TRUE),"")</f>
        <v>712303500</v>
      </c>
      <c r="V230" s="4" t="str" cm="1">
        <f t="array" aca="1" ref="V230" ca="1">IFERROR(_FV(Tableau1[[#This Row],[Code Excel]],"Industrie"),"")</f>
        <v>Personal &amp; Household Products &amp; Services</v>
      </c>
      <c r="W230" s="4" t="s">
        <v>1315</v>
      </c>
      <c r="X230" s="4" t="str">
        <f ca="1">Tableau1[[#This Row],[Grand Secteur]]&amp;Tableau1[[#This Row],[Industrie]]</f>
        <v>Biens de consommationPersonal &amp; Household Products &amp; Services</v>
      </c>
      <c r="Y230" s="23" cm="1">
        <f t="array" aca="1" ref="Y230" ca="1">IFERROR(_FV(Tableau1[[#This Row],[Code Excel]],"P/E",TRUE),"")</f>
        <v>33.592199999999998</v>
      </c>
      <c r="Z230" s="43" cm="1">
        <f t="array" aca="1" ref="Z230" ca="1">IFERROR(_FV(Tableau1[[#This Row],[Code Excel]],"Employés"),"")</f>
        <v>6896</v>
      </c>
      <c r="AA230" s="46">
        <f ca="1">IFERROR(Tableau1[[#This Row],[Capitalisation boursière]]/Tableau1[[#This Row],[Employés]],"")</f>
        <v>103292.27088167053</v>
      </c>
      <c r="AB230" s="5" t="str">
        <f>IFERROR(Tableau1[[#This Row],[REX (2021)]]/Tableau1[[#This Row],[CA 2024]],"")</f>
        <v/>
      </c>
      <c r="AC230" s="9" t="str">
        <f>IFERROR(_xlfn.XLOOKUP(Tableau1[[#This Row],[Isin]]&amp;1&amp;2021,#REF!,Tableau3[Résultat d''exploitation]),"")</f>
        <v/>
      </c>
      <c r="AD230" s="9" t="str">
        <f>IFERROR(_xlfn.XLOOKUP(Tableau1[[#This Row],[Isin]]&amp;1&amp;2019,#REF!,Tableau3[Chiffre d''affaires]),"")</f>
        <v/>
      </c>
      <c r="AE230" s="9" t="str">
        <f>IFERROR(_xlfn.XLOOKUP(Tableau1[[#This Row],[Isin]]&amp;1&amp;2024,#REF!,Tableau3[Chiffre d''affaires]),"")</f>
        <v/>
      </c>
      <c r="AF230" s="8" t="str">
        <f>IFERROR(IF((Tableau1[[#This Row],[CA 2024]]-Tableau1[[#This Row],[CA 2019]])/Tableau1[[#This Row],[CA 2019]]=-1,"",(Tableau1[[#This Row],[CA 2024]]-Tableau1[[#This Row],[CA 2019]])/Tableau1[[#This Row],[CA 2019]]),"")</f>
        <v/>
      </c>
      <c r="AG230" s="9" t="str">
        <f>IFERROR(_xlfn.XLOOKUP(Tableau1[[#This Row],[Isin]]&amp;1&amp;2021,#REF!,Tableau3[EBE]),"")</f>
        <v/>
      </c>
      <c r="AH230" s="9" t="str">
        <f>IFERROR(_xlfn.XLOOKUP(Tableau1[[#This Row],[Isin]]&amp;1&amp;2022,#REF!,Tableau3[EBE]),"")</f>
        <v/>
      </c>
      <c r="AI230" s="43" t="s">
        <v>3431</v>
      </c>
      <c r="AJ230" s="43" t="s">
        <v>3150</v>
      </c>
      <c r="AK230" s="43" t="s">
        <v>3431</v>
      </c>
      <c r="AL230" s="43" t="s">
        <v>3149</v>
      </c>
      <c r="AM230" s="43"/>
      <c r="AN230" s="9" t="str">
        <f>IFERROR(_xlfn.XLOOKUP(Tableau1[[#This Row],[Isin]]&amp;1&amp;2021,#REF!,Tableau3[Chiffre d''affaires]),"")</f>
        <v/>
      </c>
      <c r="AO230" s="43" cm="1">
        <f t="array" aca="1" ref="AO230" ca="1">_FV(Tableau1[[#This Row],[Code Excel]],"P/E",TRUE)</f>
        <v>33.592199999999998</v>
      </c>
      <c r="AP230" s="43" t="str">
        <f>IFERROR(_xlfn.XLOOKUP(Tableau1[[#This Row],[Isin]]&amp;1&amp;2023,#REF!,Tableau3[Résultat Net (PdG)]),"")</f>
        <v/>
      </c>
      <c r="AQ230" s="43">
        <f>IF(IFERROR(_xlfn.XLOOKUP(Tableau1[[#This Row],[Isin]]&amp;1&amp;2022,#REF!,Tableau3[Résultat Net (PdG)]),"")="",Tableau1[[#This Row],[RN Groupe 2022
Manuel]],IFERROR(_xlfn.XLOOKUP(Tableau1[[#This Row],[Isin]]&amp;1&amp;2022,#REF!,Tableau3[Résultat Net (PdG)]),""))</f>
        <v>0</v>
      </c>
      <c r="AR230" s="43"/>
      <c r="AS230" s="43">
        <f>IF(IFERROR(_xlfn.XLOOKUP(Tableau1[[#This Row],[Isin]]&amp;1&amp;2021,#REF!,Tableau3[Résultat Net (PdG)]),"")="",Tableau1[[#This Row],[RN Groupe 2021
Manuel]],IFERROR(_xlfn.XLOOKUP(Tableau1[[#This Row],[Isin]]&amp;1&amp;2021,#REF!,Tableau3[Résultat Net (PdG)]),""))</f>
        <v>0</v>
      </c>
      <c r="AT230" s="43"/>
      <c r="AU230" s="43" t="str">
        <f>IFERROR(_xlfn.XLOOKUP(Tableau1[[#This Row],[Isin]]&amp;1&amp;2020,#REF!,Tableau3[Résultat Net (PdG)]),"")</f>
        <v/>
      </c>
      <c r="AV230" s="43" t="str">
        <f>IFERROR(_xlfn.XLOOKUP(Tableau1[[#This Row],[Isin]]&amp;1&amp;2019,#REF!,Tableau3[Résultat Net (PdG)]),"")</f>
        <v/>
      </c>
      <c r="AW230" s="43" t="str">
        <f>IFERROR(_xlfn.XLOOKUP(Tableau1[[#This Row],[Isin]]&amp;1&amp;2018,#REF!,Tableau3[Résultat Net (PdG)]),"")</f>
        <v/>
      </c>
      <c r="AX230" s="43" t="str">
        <f>IFERROR(_xlfn.XLOOKUP(Tableau1[[#This Row],[Isin]]&amp;1&amp;2017,#REF!,Tableau3[Résultat Net (PdG)]),"")</f>
        <v/>
      </c>
      <c r="AY230" s="43" t="str">
        <f>IFERROR(_xlfn.XLOOKUP(Tableau1[[#This Row],[Isin]]&amp;1&amp;2016,#REF!,Tableau3[Résultat Net (PdG)]),"")</f>
        <v/>
      </c>
      <c r="AZ230" s="137" t="str">
        <f ca="1">IFERROR(Tableau1[[#This Row],[Capitalisation boursière]]/Tableau1[[#This Row],[RN Groupe 2023]],"")</f>
        <v/>
      </c>
      <c r="BA230" s="4" t="str" cm="1">
        <f t="array" aca="1" ref="BA230" ca="1">IFERROR(_FV(Tableau1[[#This Row],[Code Excel]],"Industrie"),"")</f>
        <v>Personal &amp; Household Products &amp; Services</v>
      </c>
      <c r="BB230" s="43" t="s">
        <v>4010</v>
      </c>
      <c r="BC230" s="43" t="str">
        <f>IFERROR(_xlfn.XLOOKUP(Tableau1[[#This Row],[Isin]]&amp;1&amp;2016,#REF!,Tableau3[Capi]),"")</f>
        <v/>
      </c>
      <c r="BD230" s="43" t="str">
        <f>IFERROR(_xlfn.XLOOKUP(Tableau1[[#This Row],[Isin]]&amp;1&amp;2017,#REF!,Tableau3[Capi]),"")</f>
        <v/>
      </c>
      <c r="BE230" s="43" t="str">
        <f>IFERROR(_xlfn.XLOOKUP(Tableau1[[#This Row],[Isin]]&amp;1&amp;2018,#REF!,Tableau3[Capi]),"")</f>
        <v/>
      </c>
      <c r="BF230" s="43" t="str">
        <f>IFERROR(_xlfn.XLOOKUP(Tableau1[[#This Row],[Isin]]&amp;1&amp;2019,#REF!,Tableau3[Capi]),"")</f>
        <v/>
      </c>
      <c r="BG230" s="43" t="str">
        <f>IFERROR(_xlfn.XLOOKUP(Tableau1[[#This Row],[Isin]]&amp;1&amp;2020,#REF!,Tableau3[Capi]),"")</f>
        <v/>
      </c>
      <c r="BH230" s="43">
        <f>IF(IFERROR(_xlfn.XLOOKUP(Tableau1[[#This Row],[Isin]]&amp;1&amp;2021,#REF!,Tableau3[Capi]),"")="",Tableau1[[#This Row],[Capitalisation 2021
Manuel]],IFERROR(_xlfn.XLOOKUP(Tableau1[[#This Row],[Isin]]&amp;1&amp;2021,#REF!,Tableau3[Capi]),""))</f>
        <v>0</v>
      </c>
      <c r="BI230" s="43"/>
      <c r="BJ230" s="43">
        <f>IF(IFERROR(_xlfn.XLOOKUP(Tableau1[[#This Row],[Isin]]&amp;1&amp;2022,#REF!,Tableau3[Capi]),"")="",Tableau1[[#This Row],[Capitalisation 2022
Manuel]],IFERROR(_xlfn.XLOOKUP(Tableau1[[#This Row],[Isin]]&amp;1&amp;2022,#REF!,Tableau3[Capi]),""))</f>
        <v>0</v>
      </c>
      <c r="BK230" s="43"/>
      <c r="BL230" s="43">
        <f ca="1">Tableau1[[#This Row],[Capitalisation boursière]]</f>
        <v>712303500</v>
      </c>
      <c r="BM230" s="162" t="str" cm="1">
        <f t="array" aca="1" ref="BM230" ca="1">_FV(Tableau1[[#This Row],[Code Excel]],"Description")</f>
        <v>Ontex Group NV est une société basée en Belgique, qui opère dans l'industrie manufacturière. La Société est un producteur de solutions d'hygiène personnelle jetables pour bébés, femmes et adultes. Il propose une gamme de produits tels que des couches pour bébés, des pantalons pour bébés, des lingettes humides pour bébés, des tampons, des protège-slips, des tampons, des produits contre l'incontinence légère, des pull-ups, des couches pour ceinture, des systèmes de ruban tout-en-un, des tampons en forme et des sous-couches. Ses produits sont distribués par le biais de marques partenaires de vente au détail, ainsi que sous ses propres marques (canbebe, canped et Moltex,) à travers plusieurs canaux de distribution, tels que le commerce de détail, les établissements de soins et les pharmacies. La Société est présente en Europe, en Amérique du Nord, au Brésil, en Afrique du Nord, en Australie et en Asie, entre autres.</v>
      </c>
      <c r="BN230" s="43"/>
      <c r="BO230" s="43"/>
      <c r="BP230" s="43"/>
      <c r="BQ230" s="43"/>
      <c r="BR230" s="13"/>
      <c r="BS230" s="13"/>
      <c r="BT230" s="13"/>
      <c r="BU230" s="13"/>
      <c r="BV230" s="13"/>
      <c r="BW230" s="13"/>
      <c r="BX230" s="13"/>
      <c r="BY230" s="21"/>
      <c r="BZ230" s="13"/>
      <c r="CA230" s="13"/>
      <c r="CB230" s="13"/>
      <c r="CC230" s="13"/>
      <c r="CD230" s="13"/>
      <c r="CF230" s="47"/>
      <c r="CG230" s="47"/>
    </row>
    <row r="231" spans="3:85">
      <c r="C231" s="42"/>
      <c r="D231" s="42">
        <f>IF(Tableau1[[#This Row],[Isin]]="",99,Tableau1[[#This Row],[Intérêt]]+Tableau1[[#This Row],[Valeur d''intérêt]]+Tableau1[[#This Row],[N° Portefeuille]])</f>
        <v>30</v>
      </c>
      <c r="E231" s="42"/>
      <c r="F231" s="42">
        <f>IF(Tableau1[[#This Row],[Portefeuille]]="p",0,Tableau1[[#This Row],[F. Investissement
Niveau d''intérêt]]*10)</f>
        <v>30</v>
      </c>
      <c r="G231" s="42">
        <f>IF(Tableau1[[#This Row],[Portefeuille]]="p",3,0)</f>
        <v>0</v>
      </c>
      <c r="H231" s="42">
        <v>3</v>
      </c>
      <c r="I231" s="42">
        <v>4</v>
      </c>
      <c r="J231" s="42"/>
      <c r="K231" s="43"/>
      <c r="L231" s="16">
        <v>1</v>
      </c>
      <c r="M23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1" s="44" t="s">
        <v>1736</v>
      </c>
      <c r="O231" s="44" t="s">
        <v>4360</v>
      </c>
      <c r="P231" s="4" t="s">
        <v>84</v>
      </c>
      <c r="Q231" s="6" t="s">
        <v>85</v>
      </c>
      <c r="R231" s="6"/>
      <c r="S231" s="6" t="s">
        <v>1739</v>
      </c>
      <c r="T231" s="6" t="e" vm="213">
        <v>#VALUE!</v>
      </c>
      <c r="U231" s="46" cm="1">
        <f t="array" aca="1" ref="U231" ca="1">IFERROR(_FV(Tableau1[[#This Row],[Code Excel]],"Capitalisation boursière",TRUE),"")</f>
        <v>31521670000</v>
      </c>
      <c r="V231" s="4" t="str" cm="1">
        <f t="array" aca="1" ref="V231" ca="1">IFERROR(_FV(Tableau1[[#This Row],[Code Excel]],"Industrie"),"")</f>
        <v>Telecommunications Services</v>
      </c>
      <c r="W231" s="4" t="s">
        <v>1737</v>
      </c>
      <c r="X231" s="4" t="str">
        <f ca="1">Tableau1[[#This Row],[Grand Secteur]]&amp;Tableau1[[#This Row],[Industrie]]</f>
        <v>TélécommunicationTelecommunications Services</v>
      </c>
      <c r="Y231" s="23" cm="1">
        <f t="array" aca="1" ref="Y231" ca="1">IFERROR(_FV(Tableau1[[#This Row],[Code Excel]],"P/E",TRUE),"")</f>
        <v>14.491899999999999</v>
      </c>
      <c r="Z231" s="43" cm="1">
        <f t="array" aca="1" ref="Z231" ca="1">IFERROR(_FV(Tableau1[[#This Row],[Code Excel]],"Employés"),"")</f>
        <v>119270</v>
      </c>
      <c r="AA231" s="49">
        <f ca="1">IFERROR(Tableau1[[#This Row],[Capitalisation boursière]]/Tableau1[[#This Row],[Employés]],"")</f>
        <v>264288.33738576341</v>
      </c>
      <c r="AB231" s="5" t="str">
        <f>IFERROR(Tableau1[[#This Row],[REX (2021)]]/Tableau1[[#This Row],[CA 2024]],"")</f>
        <v/>
      </c>
      <c r="AC231" s="9" t="str">
        <f>IFERROR(_xlfn.XLOOKUP(Tableau1[[#This Row],[Isin]]&amp;1&amp;2021,#REF!,Tableau3[Résultat d''exploitation]),"")</f>
        <v/>
      </c>
      <c r="AD231" s="9" t="str">
        <f>IFERROR(_xlfn.XLOOKUP(Tableau1[[#This Row],[Isin]]&amp;1&amp;2019,#REF!,Tableau3[Chiffre d''affaires]),"")</f>
        <v/>
      </c>
      <c r="AE231" s="9" t="str">
        <f>IFERROR(_xlfn.XLOOKUP(Tableau1[[#This Row],[Isin]]&amp;1&amp;2024,#REF!,Tableau3[Chiffre d''affaires]),"")</f>
        <v/>
      </c>
      <c r="AF231" s="8" t="str">
        <f>IFERROR(IF((Tableau1[[#This Row],[CA 2024]]-Tableau1[[#This Row],[CA 2019]])/Tableau1[[#This Row],[CA 2019]]=-1,"",(Tableau1[[#This Row],[CA 2024]]-Tableau1[[#This Row],[CA 2019]])/Tableau1[[#This Row],[CA 2019]]),"")</f>
        <v/>
      </c>
      <c r="AG231" s="9" t="str">
        <f>IFERROR(_xlfn.XLOOKUP(Tableau1[[#This Row],[Isin]]&amp;1&amp;2021,#REF!,Tableau3[EBE]),"")</f>
        <v/>
      </c>
      <c r="AH231" s="9" t="str">
        <f>IFERROR(_xlfn.XLOOKUP(Tableau1[[#This Row],[Isin]]&amp;1&amp;2022,#REF!,Tableau3[EBE]),"")</f>
        <v/>
      </c>
      <c r="AI231" s="43" t="s">
        <v>4343</v>
      </c>
      <c r="AJ231" s="43" t="s">
        <v>3150</v>
      </c>
      <c r="AK231" s="43" t="s">
        <v>3149</v>
      </c>
      <c r="AL231" s="43" t="s">
        <v>3149</v>
      </c>
      <c r="AM231" s="43"/>
      <c r="AN231" s="9" t="str">
        <f>IFERROR(_xlfn.XLOOKUP(Tableau1[[#This Row],[Isin]]&amp;1&amp;2021,#REF!,Tableau3[Chiffre d''affaires]),"")</f>
        <v/>
      </c>
      <c r="AO231" s="43" cm="1">
        <f t="array" aca="1" ref="AO231" ca="1">_FV(Tableau1[[#This Row],[Code Excel]],"P/E",TRUE)</f>
        <v>14.491899999999999</v>
      </c>
      <c r="AP231" s="43" t="str">
        <f>IFERROR(_xlfn.XLOOKUP(Tableau1[[#This Row],[Isin]]&amp;1&amp;2023,#REF!,Tableau3[Résultat Net (PdG)]),"")</f>
        <v/>
      </c>
      <c r="AQ231" s="43">
        <f>IF(IFERROR(_xlfn.XLOOKUP(Tableau1[[#This Row],[Isin]]&amp;1&amp;2022,#REF!,Tableau3[Résultat Net (PdG)]),"")="",Tableau1[[#This Row],[RN Groupe 2022
Manuel]],IFERROR(_xlfn.XLOOKUP(Tableau1[[#This Row],[Isin]]&amp;1&amp;2022,#REF!,Tableau3[Résultat Net (PdG)]),""))</f>
        <v>0</v>
      </c>
      <c r="AR231" s="140"/>
      <c r="AS231" s="43">
        <f>IF(IFERROR(_xlfn.XLOOKUP(Tableau1[[#This Row],[Isin]]&amp;1&amp;2021,#REF!,Tableau3[Résultat Net (PdG)]),"")="",Tableau1[[#This Row],[RN Groupe 2021
Manuel]],IFERROR(_xlfn.XLOOKUP(Tableau1[[#This Row],[Isin]]&amp;1&amp;2021,#REF!,Tableau3[Résultat Net (PdG)]),""))</f>
        <v>0</v>
      </c>
      <c r="AT231" s="140"/>
      <c r="AU231" s="43" t="str">
        <f>IFERROR(_xlfn.XLOOKUP(Tableau1[[#This Row],[Isin]]&amp;1&amp;2020,#REF!,Tableau3[Résultat Net (PdG)]),"")</f>
        <v/>
      </c>
      <c r="AV231" s="43" t="str">
        <f>IFERROR(_xlfn.XLOOKUP(Tableau1[[#This Row],[Isin]]&amp;1&amp;2019,#REF!,Tableau3[Résultat Net (PdG)]),"")</f>
        <v/>
      </c>
      <c r="AW231" s="43" t="str">
        <f>IFERROR(_xlfn.XLOOKUP(Tableau1[[#This Row],[Isin]]&amp;1&amp;2018,#REF!,Tableau3[Résultat Net (PdG)]),"")</f>
        <v/>
      </c>
      <c r="AX231" s="43" t="str">
        <f>IFERROR(_xlfn.XLOOKUP(Tableau1[[#This Row],[Isin]]&amp;1&amp;2017,#REF!,Tableau3[Résultat Net (PdG)]),"")</f>
        <v/>
      </c>
      <c r="AY231" s="43" t="str">
        <f>IFERROR(_xlfn.XLOOKUP(Tableau1[[#This Row],[Isin]]&amp;1&amp;2016,#REF!,Tableau3[Résultat Net (PdG)]),"")</f>
        <v/>
      </c>
      <c r="AZ231" s="137" t="str">
        <f ca="1">IFERROR(Tableau1[[#This Row],[Capitalisation boursière]]/Tableau1[[#This Row],[RN Groupe 2023]],"")</f>
        <v/>
      </c>
      <c r="BA231" s="4" t="str" cm="1">
        <f t="array" aca="1" ref="BA231" ca="1">IFERROR(_FV(Tableau1[[#This Row],[Code Excel]],"Industrie"),"")</f>
        <v>Telecommunications Services</v>
      </c>
      <c r="BB231" s="43" t="s">
        <v>3518</v>
      </c>
      <c r="BC231" s="43" t="str">
        <f>IFERROR(_xlfn.XLOOKUP(Tableau1[[#This Row],[Isin]]&amp;1&amp;2016,#REF!,Tableau3[Capi]),"")</f>
        <v/>
      </c>
      <c r="BD231" s="43" t="str">
        <f>IFERROR(_xlfn.XLOOKUP(Tableau1[[#This Row],[Isin]]&amp;1&amp;2017,#REF!,Tableau3[Capi]),"")</f>
        <v/>
      </c>
      <c r="BE231" s="43" t="str">
        <f>IFERROR(_xlfn.XLOOKUP(Tableau1[[#This Row],[Isin]]&amp;1&amp;2018,#REF!,Tableau3[Capi]),"")</f>
        <v/>
      </c>
      <c r="BF231" s="43" t="str">
        <f>IFERROR(_xlfn.XLOOKUP(Tableau1[[#This Row],[Isin]]&amp;1&amp;2019,#REF!,Tableau3[Capi]),"")</f>
        <v/>
      </c>
      <c r="BG231" s="43" t="str">
        <f>IFERROR(_xlfn.XLOOKUP(Tableau1[[#This Row],[Isin]]&amp;1&amp;2020,#REF!,Tableau3[Capi]),"")</f>
        <v/>
      </c>
      <c r="BH231" s="43">
        <f>IF(IFERROR(_xlfn.XLOOKUP(Tableau1[[#This Row],[Isin]]&amp;1&amp;2021,#REF!,Tableau3[Capi]),"")="",Tableau1[[#This Row],[Capitalisation 2021
Manuel]],IFERROR(_xlfn.XLOOKUP(Tableau1[[#This Row],[Isin]]&amp;1&amp;2021,#REF!,Tableau3[Capi]),""))</f>
        <v>0</v>
      </c>
      <c r="BI231" s="142"/>
      <c r="BJ231" s="141">
        <f>IF(IFERROR(_xlfn.XLOOKUP(Tableau1[[#This Row],[Isin]]&amp;1&amp;2022,#REF!,Tableau3[Capi]),"")="",Tableau1[[#This Row],[Capitalisation 2022
Manuel]],IFERROR(_xlfn.XLOOKUP(Tableau1[[#This Row],[Isin]]&amp;1&amp;2022,#REF!,Tableau3[Capi]),""))</f>
        <v>0</v>
      </c>
      <c r="BK231" s="142"/>
      <c r="BL231" s="43">
        <f ca="1">Tableau1[[#This Row],[Capitalisation boursière]]</f>
        <v>31521670000</v>
      </c>
      <c r="BM231" s="162" t="str" cm="1">
        <f t="array" aca="1" ref="BM231" ca="1">_FV(Tableau1[[#This Row],[Code Excel]],"Description")</f>
        <v>Orange sa est un opérateur de télécommunications multiservices basé en France. La société opère sur sept segments : France, Espagne, Europe, Afrique et moyen-Orient, entreprises, opérateurs internationaux et services partagés, Orange Bank. La France comprend tous les services de communication fixe et mobile aux consommateurs et aux entreprises ainsi que les services aux opérateurs. L'Espagne couvre la téléphonie fixe et mobile et la fibre optique. Europe (Pologne, Belgique, Luxembourg, Roumanie, Slovaquie, et Moldavie) fournit un haut débit fixe et mobile. Afrique &amp; moyen-Orient opère principalement sur les marchés mobiles, mais fournit également des services de téléphonie et d'Internet fixe. Enterprise fournit un soutien à la transformation numérique. Les opérateurs internationaux et les services partagés comprennent les opérateurs internationaux et les activités d'OCS et Orange Studio dans le contenu, entre autres. Orange Bank fournit des services financiers mobiles. Orange sa est la société mère du groupe Orange.</v>
      </c>
      <c r="BN231" s="43"/>
      <c r="BO231" s="43"/>
      <c r="BP231" s="43"/>
      <c r="BQ231" s="43"/>
      <c r="BR231" s="13"/>
      <c r="BS231" s="13"/>
      <c r="BT231" s="13"/>
      <c r="BU231" s="13"/>
      <c r="BV231" s="13"/>
      <c r="BW231" s="13"/>
      <c r="BX231" s="13"/>
      <c r="BY231" s="21"/>
      <c r="BZ231" s="13"/>
      <c r="CA231" s="13"/>
      <c r="CB231" s="13"/>
      <c r="CC231" s="13"/>
      <c r="CD231" s="13"/>
      <c r="CF231" s="47"/>
      <c r="CG231" s="47"/>
    </row>
    <row r="232" spans="3:85">
      <c r="C232" s="43"/>
      <c r="D232" s="42">
        <f>IF(Tableau1[[#This Row],[Isin]]="",99,Tableau1[[#This Row],[Intérêt]]+Tableau1[[#This Row],[Valeur d''intérêt]]+Tableau1[[#This Row],[N° Portefeuille]])</f>
        <v>30</v>
      </c>
      <c r="E232" s="43"/>
      <c r="F232" s="42">
        <f>IF(Tableau1[[#This Row],[Portefeuille]]="p",0,Tableau1[[#This Row],[F. Investissement
Niveau d''intérêt]]*10)</f>
        <v>30</v>
      </c>
      <c r="G232" s="43">
        <f>IF(Tableau1[[#This Row],[Portefeuille]]="p",3,0)</f>
        <v>0</v>
      </c>
      <c r="H232" s="43">
        <v>3</v>
      </c>
      <c r="I232" s="43">
        <v>4</v>
      </c>
      <c r="J232" s="43"/>
      <c r="K232" s="43"/>
      <c r="L232" s="16">
        <v>1</v>
      </c>
      <c r="M23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2" s="44" t="s">
        <v>1964</v>
      </c>
      <c r="O232" s="44" t="s">
        <v>4412</v>
      </c>
      <c r="P232" s="4" t="s">
        <v>84</v>
      </c>
      <c r="Q232" s="6" t="s">
        <v>85</v>
      </c>
      <c r="R232" s="6" t="s">
        <v>4361</v>
      </c>
      <c r="S232" s="6" t="s">
        <v>819</v>
      </c>
      <c r="T232" s="6"/>
      <c r="U232" s="4" t="str" cm="1">
        <f t="array" ref="U232">IFERROR(_FV(Tableau1[[#This Row],[Code Excel]],"Capitalisation boursière",TRUE),"")</f>
        <v/>
      </c>
      <c r="V232" s="4" t="str" cm="1">
        <f t="array" ref="V232">IFERROR(_FV(Tableau1[[#This Row],[Code Excel]],"Industrie"),"")</f>
        <v/>
      </c>
      <c r="W232" s="4"/>
      <c r="X232" s="4" t="str">
        <f>Tableau1[[#This Row],[Grand Secteur]]&amp;Tableau1[[#This Row],[Industrie]]</f>
        <v/>
      </c>
      <c r="Y232" s="23" t="str" cm="1">
        <f t="array" ref="Y232">IFERROR(_FV(Tableau1[[#This Row],[Code Excel]],"P/E",TRUE),"")</f>
        <v/>
      </c>
      <c r="Z232" s="43" t="str" cm="1">
        <f t="array" ref="Z232">IFERROR(_FV(Tableau1[[#This Row],[Code Excel]],"Employés"),"")</f>
        <v/>
      </c>
      <c r="AA232" s="49" t="str">
        <f>IFERROR(Tableau1[[#This Row],[Capitalisation boursière]]/Tableau1[[#This Row],[Employés]],"")</f>
        <v/>
      </c>
      <c r="AB232" s="5" t="str">
        <f>IFERROR(Tableau1[[#This Row],[REX (2021)]]/Tableau1[[#This Row],[CA 2024]],"")</f>
        <v/>
      </c>
      <c r="AC232" s="9" t="str">
        <f>IFERROR(_xlfn.XLOOKUP(Tableau1[[#This Row],[Isin]]&amp;1&amp;2021,#REF!,Tableau3[Résultat d''exploitation]),"")</f>
        <v/>
      </c>
      <c r="AD232" s="9" t="str">
        <f>IFERROR(_xlfn.XLOOKUP(Tableau1[[#This Row],[Isin]]&amp;1&amp;2019,#REF!,Tableau3[Chiffre d''affaires]),"")</f>
        <v/>
      </c>
      <c r="AE232" s="9" t="str">
        <f>IFERROR(_xlfn.XLOOKUP(Tableau1[[#This Row],[Isin]]&amp;1&amp;2024,#REF!,Tableau3[Chiffre d''affaires]),"")</f>
        <v/>
      </c>
      <c r="AF232" s="8" t="str">
        <f>IFERROR(IF((Tableau1[[#This Row],[CA 2024]]-Tableau1[[#This Row],[CA 2019]])/Tableau1[[#This Row],[CA 2019]]=-1,"",(Tableau1[[#This Row],[CA 2024]]-Tableau1[[#This Row],[CA 2019]])/Tableau1[[#This Row],[CA 2019]]),"")</f>
        <v/>
      </c>
      <c r="AG232" s="9" t="str">
        <f>IFERROR(_xlfn.XLOOKUP(Tableau1[[#This Row],[Isin]]&amp;1&amp;2021,#REF!,Tableau3[EBE]),"")</f>
        <v/>
      </c>
      <c r="AH232" s="9" t="str">
        <f>IFERROR(_xlfn.XLOOKUP(Tableau1[[#This Row],[Isin]]&amp;1&amp;2022,#REF!,Tableau3[EBE]),"")</f>
        <v/>
      </c>
      <c r="AI232" s="43"/>
      <c r="AJ232" s="43"/>
      <c r="AK232" s="43"/>
      <c r="AL232" s="43"/>
      <c r="AM232" s="43"/>
      <c r="AN232" s="9" t="str">
        <f>IFERROR(_xlfn.XLOOKUP(Tableau1[[#This Row],[Isin]]&amp;1&amp;2021,#REF!,Tableau3[Chiffre d''affaires]),"")</f>
        <v/>
      </c>
      <c r="AO232" s="43" t="e" cm="1" vm="1">
        <f t="array" ref="AO232">_FV(Tableau1[[#This Row],[Code Excel]],"P/E",TRUE)</f>
        <v>#VALUE!</v>
      </c>
      <c r="AP232" s="43" t="str">
        <f>IFERROR(_xlfn.XLOOKUP(Tableau1[[#This Row],[Isin]]&amp;1&amp;2023,#REF!,Tableau3[Résultat Net (PdG)]),"")</f>
        <v/>
      </c>
      <c r="AQ232" s="43">
        <f>IF(IFERROR(_xlfn.XLOOKUP(Tableau1[[#This Row],[Isin]]&amp;1&amp;2022,#REF!,Tableau3[Résultat Net (PdG)]),"")="",Tableau1[[#This Row],[RN Groupe 2022
Manuel]],IFERROR(_xlfn.XLOOKUP(Tableau1[[#This Row],[Isin]]&amp;1&amp;2022,#REF!,Tableau3[Résultat Net (PdG)]),""))</f>
        <v>0</v>
      </c>
      <c r="AR232" s="43"/>
      <c r="AS232" s="43">
        <f>IF(IFERROR(_xlfn.XLOOKUP(Tableau1[[#This Row],[Isin]]&amp;1&amp;2021,#REF!,Tableau3[Résultat Net (PdG)]),"")="",Tableau1[[#This Row],[RN Groupe 2021
Manuel]],IFERROR(_xlfn.XLOOKUP(Tableau1[[#This Row],[Isin]]&amp;1&amp;2021,#REF!,Tableau3[Résultat Net (PdG)]),""))</f>
        <v>0</v>
      </c>
      <c r="AT232" s="43"/>
      <c r="AU232" s="43" t="str">
        <f>IFERROR(_xlfn.XLOOKUP(Tableau1[[#This Row],[Isin]]&amp;1&amp;2020,#REF!,Tableau3[Résultat Net (PdG)]),"")</f>
        <v/>
      </c>
      <c r="AV232" s="43" t="str">
        <f>IFERROR(_xlfn.XLOOKUP(Tableau1[[#This Row],[Isin]]&amp;1&amp;2019,#REF!,Tableau3[Résultat Net (PdG)]),"")</f>
        <v/>
      </c>
      <c r="AW232" s="43" t="str">
        <f>IFERROR(_xlfn.XLOOKUP(Tableau1[[#This Row],[Isin]]&amp;1&amp;2018,#REF!,Tableau3[Résultat Net (PdG)]),"")</f>
        <v/>
      </c>
      <c r="AX232" s="43" t="str">
        <f>IFERROR(_xlfn.XLOOKUP(Tableau1[[#This Row],[Isin]]&amp;1&amp;2017,#REF!,Tableau3[Résultat Net (PdG)]),"")</f>
        <v/>
      </c>
      <c r="AY232" s="43" t="str">
        <f>IFERROR(_xlfn.XLOOKUP(Tableau1[[#This Row],[Isin]]&amp;1&amp;2016,#REF!,Tableau3[Résultat Net (PdG)]),"")</f>
        <v/>
      </c>
      <c r="AZ232" s="137" t="str">
        <f>IFERROR(Tableau1[[#This Row],[Capitalisation boursière]]/Tableau1[[#This Row],[RN Groupe 2023]],"")</f>
        <v/>
      </c>
      <c r="BA232" s="4" t="str" cm="1">
        <f t="array" ref="BA232">IFERROR(_FV(Tableau1[[#This Row],[Code Excel]],"Industrie"),"")</f>
        <v/>
      </c>
      <c r="BB232" s="43" t="e">
        <v>#N/A</v>
      </c>
      <c r="BC232" s="43" t="str">
        <f>IFERROR(_xlfn.XLOOKUP(Tableau1[[#This Row],[Isin]]&amp;1&amp;2016,#REF!,Tableau3[Capi]),"")</f>
        <v/>
      </c>
      <c r="BD232" s="43" t="str">
        <f>IFERROR(_xlfn.XLOOKUP(Tableau1[[#This Row],[Isin]]&amp;1&amp;2017,#REF!,Tableau3[Capi]),"")</f>
        <v/>
      </c>
      <c r="BE232" s="43" t="str">
        <f>IFERROR(_xlfn.XLOOKUP(Tableau1[[#This Row],[Isin]]&amp;1&amp;2018,#REF!,Tableau3[Capi]),"")</f>
        <v/>
      </c>
      <c r="BF232" s="43" t="str">
        <f>IFERROR(_xlfn.XLOOKUP(Tableau1[[#This Row],[Isin]]&amp;1&amp;2019,#REF!,Tableau3[Capi]),"")</f>
        <v/>
      </c>
      <c r="BG232" s="43" t="str">
        <f>IFERROR(_xlfn.XLOOKUP(Tableau1[[#This Row],[Isin]]&amp;1&amp;2020,#REF!,Tableau3[Capi]),"")</f>
        <v/>
      </c>
      <c r="BH232" s="43">
        <f>IF(IFERROR(_xlfn.XLOOKUP(Tableau1[[#This Row],[Isin]]&amp;1&amp;2021,#REF!,Tableau3[Capi]),"")="",Tableau1[[#This Row],[Capitalisation 2021
Manuel]],IFERROR(_xlfn.XLOOKUP(Tableau1[[#This Row],[Isin]]&amp;1&amp;2021,#REF!,Tableau3[Capi]),""))</f>
        <v>0</v>
      </c>
      <c r="BI232" s="43"/>
      <c r="BJ232" s="43">
        <f>IF(IFERROR(_xlfn.XLOOKUP(Tableau1[[#This Row],[Isin]]&amp;1&amp;2022,#REF!,Tableau3[Capi]),"")="",Tableau1[[#This Row],[Capitalisation 2022
Manuel]],IFERROR(_xlfn.XLOOKUP(Tableau1[[#This Row],[Isin]]&amp;1&amp;2022,#REF!,Tableau3[Capi]),""))</f>
        <v>0</v>
      </c>
      <c r="BK232" s="43"/>
      <c r="BL232" s="43" t="str">
        <f>Tableau1[[#This Row],[Capitalisation boursière]]</f>
        <v/>
      </c>
      <c r="BM232" s="162" t="e" cm="1" vm="2">
        <f t="array" ref="BM232">_FV(Tableau1[[#This Row],[Code Excel]],"Description")</f>
        <v>#VALUE!</v>
      </c>
      <c r="BN232" s="43"/>
      <c r="BO232" s="43"/>
      <c r="BP232" s="43"/>
      <c r="BQ232" s="43"/>
      <c r="BR232" s="13"/>
      <c r="BS232" s="13"/>
      <c r="BT232" s="13"/>
      <c r="BU232" s="13"/>
      <c r="BV232" s="13"/>
      <c r="BW232" s="13"/>
      <c r="BX232" s="13"/>
      <c r="BY232" s="21"/>
      <c r="BZ232" s="13"/>
      <c r="CA232" s="13"/>
      <c r="CB232" s="13"/>
      <c r="CC232" s="13"/>
      <c r="CD232" s="13"/>
      <c r="CF232" s="47"/>
      <c r="CG232" s="47"/>
    </row>
    <row r="233" spans="3:85">
      <c r="C233" s="42"/>
      <c r="D233" s="42">
        <f>IF(Tableau1[[#This Row],[Isin]]="",99,Tableau1[[#This Row],[Intérêt]]+Tableau1[[#This Row],[Valeur d''intérêt]]+Tableau1[[#This Row],[N° Portefeuille]])</f>
        <v>30</v>
      </c>
      <c r="E233" s="42"/>
      <c r="F233" s="42">
        <f>IF(Tableau1[[#This Row],[Portefeuille]]="p",0,Tableau1[[#This Row],[F. Investissement
Niveau d''intérêt]]*10)</f>
        <v>30</v>
      </c>
      <c r="G233" s="42">
        <f>IF(Tableau1[[#This Row],[Portefeuille]]="p",3,0)</f>
        <v>0</v>
      </c>
      <c r="H233" s="42">
        <v>3</v>
      </c>
      <c r="I233" s="42">
        <v>4</v>
      </c>
      <c r="J233" s="42"/>
      <c r="K233" s="43"/>
      <c r="L233" s="16">
        <v>1</v>
      </c>
      <c r="M23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3" s="44" t="s">
        <v>1308</v>
      </c>
      <c r="O233" s="44" t="s">
        <v>1293</v>
      </c>
      <c r="P233" s="4" t="s">
        <v>84</v>
      </c>
      <c r="Q233" s="6" t="s">
        <v>85</v>
      </c>
      <c r="R233" s="6"/>
      <c r="S233" s="6" t="s">
        <v>1310</v>
      </c>
      <c r="T233" s="6" t="e" vm="214">
        <v>#VALUE!</v>
      </c>
      <c r="U233" s="46" cm="1">
        <f t="array" aca="1" ref="U233" ca="1">IFERROR(_FV(Tableau1[[#This Row],[Code Excel]],"Capitalisation boursière",TRUE),"")</f>
        <v>1765186000</v>
      </c>
      <c r="V233" s="4" t="str" cm="1">
        <f t="array" aca="1" ref="V233" ca="1">IFERROR(_FV(Tableau1[[#This Row],[Code Excel]],"Industrie"),"")</f>
        <v>Healthcare Providers &amp; Services</v>
      </c>
      <c r="W233" s="4" t="s">
        <v>1586</v>
      </c>
      <c r="X233" s="4" t="str">
        <f ca="1">Tableau1[[#This Row],[Grand Secteur]]&amp;Tableau1[[#This Row],[Industrie]]</f>
        <v>SantéHealthcare Providers &amp; Services</v>
      </c>
      <c r="Y233" s="23" cm="1">
        <f t="array" aca="1" ref="Y233" ca="1">IFERROR(_FV(Tableau1[[#This Row],[Code Excel]],"P/E",TRUE),"")</f>
        <v>1.67E-3</v>
      </c>
      <c r="Z233" s="43" cm="1">
        <f t="array" aca="1" ref="Z233" ca="1">IFERROR(_FV(Tableau1[[#This Row],[Code Excel]],"Employés"),"")</f>
        <v>78476</v>
      </c>
      <c r="AA233" s="49">
        <f ca="1">IFERROR(Tableau1[[#This Row],[Capitalisation boursière]]/Tableau1[[#This Row],[Employés]],"")</f>
        <v>22493.322799327183</v>
      </c>
      <c r="AB233" s="5" t="str">
        <f>IFERROR(Tableau1[[#This Row],[REX (2021)]]/Tableau1[[#This Row],[CA 2024]],"")</f>
        <v/>
      </c>
      <c r="AC233" s="9" t="str">
        <f>IFERROR(_xlfn.XLOOKUP(Tableau1[[#This Row],[Isin]]&amp;1&amp;2021,#REF!,Tableau3[Résultat d''exploitation]),"")</f>
        <v/>
      </c>
      <c r="AD233" s="9" t="str">
        <f>IFERROR(_xlfn.XLOOKUP(Tableau1[[#This Row],[Isin]]&amp;1&amp;2019,#REF!,Tableau3[Chiffre d''affaires]),"")</f>
        <v/>
      </c>
      <c r="AE233" s="9" t="str">
        <f>IFERROR(_xlfn.XLOOKUP(Tableau1[[#This Row],[Isin]]&amp;1&amp;2024,#REF!,Tableau3[Chiffre d''affaires]),"")</f>
        <v/>
      </c>
      <c r="AF233" s="8" t="str">
        <f>IFERROR(IF((Tableau1[[#This Row],[CA 2024]]-Tableau1[[#This Row],[CA 2019]])/Tableau1[[#This Row],[CA 2019]]=-1,"",(Tableau1[[#This Row],[CA 2024]]-Tableau1[[#This Row],[CA 2019]])/Tableau1[[#This Row],[CA 2019]]),"")</f>
        <v/>
      </c>
      <c r="AG233" s="9" t="str">
        <f>IFERROR(_xlfn.XLOOKUP(Tableau1[[#This Row],[Isin]]&amp;1&amp;2021,#REF!,Tableau3[EBE]),"")</f>
        <v/>
      </c>
      <c r="AH233" s="9" t="str">
        <f>IFERROR(_xlfn.XLOOKUP(Tableau1[[#This Row],[Isin]]&amp;1&amp;2022,#REF!,Tableau3[EBE]),"")</f>
        <v/>
      </c>
      <c r="AI233" s="13" t="s">
        <v>3419</v>
      </c>
      <c r="AJ233" s="13" t="s">
        <v>4322</v>
      </c>
      <c r="AK233" s="13" t="s">
        <v>3419</v>
      </c>
      <c r="AL233" s="43" t="s">
        <v>3431</v>
      </c>
      <c r="AM233" s="43"/>
      <c r="AN233" s="9" t="str">
        <f>IFERROR(_xlfn.XLOOKUP(Tableau1[[#This Row],[Isin]]&amp;1&amp;2021,#REF!,Tableau3[Chiffre d''affaires]),"")</f>
        <v/>
      </c>
      <c r="AO233" s="43" cm="1">
        <f t="array" aca="1" ref="AO233" ca="1">_FV(Tableau1[[#This Row],[Code Excel]],"P/E",TRUE)</f>
        <v>1.67E-3</v>
      </c>
      <c r="AP233" s="43" t="str">
        <f>IFERROR(_xlfn.XLOOKUP(Tableau1[[#This Row],[Isin]]&amp;1&amp;2023,#REF!,Tableau3[Résultat Net (PdG)]),"")</f>
        <v/>
      </c>
      <c r="AQ233" s="43">
        <f>IF(IFERROR(_xlfn.XLOOKUP(Tableau1[[#This Row],[Isin]]&amp;1&amp;2022,#REF!,Tableau3[Résultat Net (PdG)]),"")="",Tableau1[[#This Row],[RN Groupe 2022
Manuel]],IFERROR(_xlfn.XLOOKUP(Tableau1[[#This Row],[Isin]]&amp;1&amp;2022,#REF!,Tableau3[Résultat Net (PdG)]),""))</f>
        <v>0</v>
      </c>
      <c r="AR233" s="43"/>
      <c r="AS233" s="43">
        <f>IF(IFERROR(_xlfn.XLOOKUP(Tableau1[[#This Row],[Isin]]&amp;1&amp;2021,#REF!,Tableau3[Résultat Net (PdG)]),"")="",Tableau1[[#This Row],[RN Groupe 2021
Manuel]],IFERROR(_xlfn.XLOOKUP(Tableau1[[#This Row],[Isin]]&amp;1&amp;2021,#REF!,Tableau3[Résultat Net (PdG)]),""))</f>
        <v>0</v>
      </c>
      <c r="AT233" s="43"/>
      <c r="AU233" s="43" t="str">
        <f>IFERROR(_xlfn.XLOOKUP(Tableau1[[#This Row],[Isin]]&amp;1&amp;2020,#REF!,Tableau3[Résultat Net (PdG)]),"")</f>
        <v/>
      </c>
      <c r="AV233" s="43" t="str">
        <f>IFERROR(_xlfn.XLOOKUP(Tableau1[[#This Row],[Isin]]&amp;1&amp;2019,#REF!,Tableau3[Résultat Net (PdG)]),"")</f>
        <v/>
      </c>
      <c r="AW233" s="43" t="str">
        <f>IFERROR(_xlfn.XLOOKUP(Tableau1[[#This Row],[Isin]]&amp;1&amp;2018,#REF!,Tableau3[Résultat Net (PdG)]),"")</f>
        <v/>
      </c>
      <c r="AX233" s="43" t="str">
        <f>IFERROR(_xlfn.XLOOKUP(Tableau1[[#This Row],[Isin]]&amp;1&amp;2017,#REF!,Tableau3[Résultat Net (PdG)]),"")</f>
        <v/>
      </c>
      <c r="AY233" s="43" t="str">
        <f>IFERROR(_xlfn.XLOOKUP(Tableau1[[#This Row],[Isin]]&amp;1&amp;2016,#REF!,Tableau3[Résultat Net (PdG)]),"")</f>
        <v/>
      </c>
      <c r="AZ233" s="137" t="str">
        <f ca="1">IFERROR(Tableau1[[#This Row],[Capitalisation boursière]]/Tableau1[[#This Row],[RN Groupe 2023]],"")</f>
        <v/>
      </c>
      <c r="BA233" s="4" t="str" cm="1">
        <f t="array" aca="1" ref="BA233" ca="1">IFERROR(_FV(Tableau1[[#This Row],[Code Excel]],"Industrie"),"")</f>
        <v>Healthcare Providers &amp; Services</v>
      </c>
      <c r="BB233" s="43" t="s">
        <v>3477</v>
      </c>
      <c r="BC233" s="43" t="str">
        <f>IFERROR(_xlfn.XLOOKUP(Tableau1[[#This Row],[Isin]]&amp;1&amp;2016,#REF!,Tableau3[Capi]),"")</f>
        <v/>
      </c>
      <c r="BD233" s="43" t="str">
        <f>IFERROR(_xlfn.XLOOKUP(Tableau1[[#This Row],[Isin]]&amp;1&amp;2017,#REF!,Tableau3[Capi]),"")</f>
        <v/>
      </c>
      <c r="BE233" s="43" t="str">
        <f>IFERROR(_xlfn.XLOOKUP(Tableau1[[#This Row],[Isin]]&amp;1&amp;2018,#REF!,Tableau3[Capi]),"")</f>
        <v/>
      </c>
      <c r="BF233" s="43" t="str">
        <f>IFERROR(_xlfn.XLOOKUP(Tableau1[[#This Row],[Isin]]&amp;1&amp;2019,#REF!,Tableau3[Capi]),"")</f>
        <v/>
      </c>
      <c r="BG233" s="43" t="str">
        <f>IFERROR(_xlfn.XLOOKUP(Tableau1[[#This Row],[Isin]]&amp;1&amp;2020,#REF!,Tableau3[Capi]),"")</f>
        <v/>
      </c>
      <c r="BH233" s="43">
        <f>IF(IFERROR(_xlfn.XLOOKUP(Tableau1[[#This Row],[Isin]]&amp;1&amp;2021,#REF!,Tableau3[Capi]),"")="",Tableau1[[#This Row],[Capitalisation 2021
Manuel]],IFERROR(_xlfn.XLOOKUP(Tableau1[[#This Row],[Isin]]&amp;1&amp;2021,#REF!,Tableau3[Capi]),""))</f>
        <v>0</v>
      </c>
      <c r="BI233" s="43"/>
      <c r="BJ233" s="43">
        <f>IF(IFERROR(_xlfn.XLOOKUP(Tableau1[[#This Row],[Isin]]&amp;1&amp;2022,#REF!,Tableau3[Capi]),"")="",Tableau1[[#This Row],[Capitalisation 2022
Manuel]],IFERROR(_xlfn.XLOOKUP(Tableau1[[#This Row],[Isin]]&amp;1&amp;2022,#REF!,Tableau3[Capi]),""))</f>
        <v>0</v>
      </c>
      <c r="BK233" s="43"/>
      <c r="BL233" s="43">
        <f ca="1">Tableau1[[#This Row],[Capitalisation boursière]]</f>
        <v>1765186000</v>
      </c>
      <c r="BM233" s="162" t="str" cm="1">
        <f t="array" aca="1" ref="BM233" ca="1">_FV(Tableau1[[#This Row],[Code Excel]],"Description")</f>
        <v>EMEIS SA, anciennement ORPEA SA, est une société basée en France, spécialisée dans l'administration de soins et d'accompagnement personnalisés aux personnes vulnérables. La société est active dans l'exploitation de maisons de retraite, de cliniques ambulatoires et de réadaptation et de soins psychiatriques. Elle propose une gamme d'autres services, allant du traitement ambulatoire, des soins postopératoires et de la physiothérapie aux soins infirmiers, aux soins gériatriques, aux services psychiatriques et aux maisons de soins de longue durée. Les cliniques de soins médicaux et de réadaptation offrent des services aux patients qui ont subi une intervention chirurgicale ou un épisode de maladie chronique. Les maisons de retraite offrent des résidences pour personnes âgées où les personnes âgées nécessitant une attention personnelle peuvent effectuer leurs tâches quotidiennes.</v>
      </c>
      <c r="BN233" s="43"/>
      <c r="BO233" s="43"/>
      <c r="BP233" s="43"/>
      <c r="BQ233" s="43"/>
      <c r="BR233" s="13"/>
      <c r="BS233" s="13"/>
      <c r="BT233" s="13"/>
      <c r="BU233" s="13"/>
      <c r="BV233" s="13"/>
      <c r="BW233" s="13"/>
      <c r="BX233" s="13"/>
      <c r="BY233" s="21"/>
      <c r="BZ233" s="13"/>
      <c r="CA233" s="13"/>
      <c r="CB233" s="13"/>
      <c r="CC233" s="13"/>
      <c r="CD233" s="13"/>
      <c r="CF233" s="47"/>
      <c r="CG233" s="47"/>
    </row>
    <row r="234" spans="3:85">
      <c r="C234" s="43"/>
      <c r="D234" s="42">
        <f>IF(Tableau1[[#This Row],[Isin]]="",99,Tableau1[[#This Row],[Intérêt]]+Tableau1[[#This Row],[Valeur d''intérêt]]+Tableau1[[#This Row],[N° Portefeuille]])</f>
        <v>30</v>
      </c>
      <c r="E234" s="43"/>
      <c r="F234" s="42">
        <f>IF(Tableau1[[#This Row],[Portefeuille]]="p",0,Tableau1[[#This Row],[F. Investissement
Niveau d''intérêt]]*10)</f>
        <v>30</v>
      </c>
      <c r="G234" s="43">
        <f>IF(Tableau1[[#This Row],[Portefeuille]]="p",3,0)</f>
        <v>0</v>
      </c>
      <c r="H234" s="43">
        <v>3</v>
      </c>
      <c r="I234" s="43">
        <v>3</v>
      </c>
      <c r="J234" s="43"/>
      <c r="K234" s="43"/>
      <c r="L234" s="16">
        <v>1</v>
      </c>
      <c r="M23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4" s="44" t="s">
        <v>4014</v>
      </c>
      <c r="O234" s="44" t="s">
        <v>855</v>
      </c>
      <c r="P234" s="4" t="s">
        <v>84</v>
      </c>
      <c r="Q234" s="6" t="s">
        <v>85</v>
      </c>
      <c r="R234" s="6"/>
      <c r="S234" s="6" t="s">
        <v>857</v>
      </c>
      <c r="T234" s="6" t="e" vm="215">
        <v>#VALUE!</v>
      </c>
      <c r="U234" s="46" cm="1">
        <f t="array" aca="1" ref="U234" ca="1">IFERROR(_FV(Tableau1[[#This Row],[Code Excel]],"Capitalisation boursière",TRUE),"")</f>
        <v>1124496000</v>
      </c>
      <c r="V234" s="4" t="str" cm="1">
        <f t="array" aca="1" ref="V234" ca="1">IFERROR(_FV(Tableau1[[#This Row],[Code Excel]],"Industrie"),"")</f>
        <v>Software &amp; IT Services</v>
      </c>
      <c r="W234" s="4" t="s">
        <v>4333</v>
      </c>
      <c r="X234" s="4" t="str">
        <f ca="1">Tableau1[[#This Row],[Grand Secteur]]&amp;Tableau1[[#This Row],[Industrie]]</f>
        <v>Logiciels et TechnologieSoftware &amp; IT Services</v>
      </c>
      <c r="Y234" s="23" t="str" cm="1">
        <f t="array" ref="Y234">IFERROR(_FV(Tableau1[[#This Row],[Code Excel]],"P/E",TRUE),"")</f>
        <v/>
      </c>
      <c r="Z234" s="43" cm="1">
        <f t="array" aca="1" ref="Z234" ca="1">IFERROR(_FV(Tableau1[[#This Row],[Code Excel]],"Employés"),"")</f>
        <v>2939</v>
      </c>
      <c r="AA234" s="49">
        <f ca="1">IFERROR(Tableau1[[#This Row],[Capitalisation boursière]]/Tableau1[[#This Row],[Employés]],"")</f>
        <v>382611.77271180676</v>
      </c>
      <c r="AB234" s="5" t="str">
        <f>IFERROR(Tableau1[[#This Row],[REX (2021)]]/Tableau1[[#This Row],[CA 2024]],"")</f>
        <v/>
      </c>
      <c r="AC234" s="9" t="str">
        <f>IFERROR(_xlfn.XLOOKUP(Tableau1[[#This Row],[Isin]]&amp;1&amp;2021,#REF!,Tableau3[Résultat d''exploitation]),"")</f>
        <v/>
      </c>
      <c r="AD234" s="9" t="str">
        <f>IFERROR(_xlfn.XLOOKUP(Tableau1[[#This Row],[Isin]]&amp;1&amp;2019,#REF!,Tableau3[Chiffre d''affaires]),"")</f>
        <v/>
      </c>
      <c r="AE234" s="9" t="str">
        <f>IFERROR(_xlfn.XLOOKUP(Tableau1[[#This Row],[Isin]]&amp;1&amp;2024,#REF!,Tableau3[Chiffre d''affaires]),"")</f>
        <v/>
      </c>
      <c r="AF234" s="8" t="str">
        <f>IFERROR(IF((Tableau1[[#This Row],[CA 2024]]-Tableau1[[#This Row],[CA 2019]])/Tableau1[[#This Row],[CA 2019]]=-1,"",(Tableau1[[#This Row],[CA 2024]]-Tableau1[[#This Row],[CA 2019]])/Tableau1[[#This Row],[CA 2019]]),"")</f>
        <v/>
      </c>
      <c r="AG234" s="9" t="str">
        <f>IFERROR(_xlfn.XLOOKUP(Tableau1[[#This Row],[Isin]]&amp;1&amp;2021,#REF!,Tableau3[EBE]),"")</f>
        <v/>
      </c>
      <c r="AH234" s="9" t="str">
        <f>IFERROR(_xlfn.XLOOKUP(Tableau1[[#This Row],[Isin]]&amp;1&amp;2022,#REF!,Tableau3[EBE]),"")</f>
        <v/>
      </c>
      <c r="AI234" s="43" t="s">
        <v>4329</v>
      </c>
      <c r="AJ234" s="43" t="s">
        <v>4334</v>
      </c>
      <c r="AK234" s="43" t="s">
        <v>3149</v>
      </c>
      <c r="AL234" s="43" t="s">
        <v>3431</v>
      </c>
      <c r="AM234" s="43"/>
      <c r="AN234" s="9" t="str">
        <f>IFERROR(_xlfn.XLOOKUP(Tableau1[[#This Row],[Isin]]&amp;1&amp;2021,#REF!,Tableau3[Chiffre d''affaires]),"")</f>
        <v/>
      </c>
      <c r="AO234" s="43" t="e" cm="1" vm="1">
        <f t="array" ref="AO234">_FV(Tableau1[[#This Row],[Code Excel]],"P/E",TRUE)</f>
        <v>#VALUE!</v>
      </c>
      <c r="AP234" s="43" t="str">
        <f>IFERROR(_xlfn.XLOOKUP(Tableau1[[#This Row],[Isin]]&amp;1&amp;2023,#REF!,Tableau3[Résultat Net (PdG)]),"")</f>
        <v/>
      </c>
      <c r="AQ234" s="43">
        <f>IF(IFERROR(_xlfn.XLOOKUP(Tableau1[[#This Row],[Isin]]&amp;1&amp;2022,#REF!,Tableau3[Résultat Net (PdG)]),"")="",Tableau1[[#This Row],[RN Groupe 2022
Manuel]],IFERROR(_xlfn.XLOOKUP(Tableau1[[#This Row],[Isin]]&amp;1&amp;2022,#REF!,Tableau3[Résultat Net (PdG)]),""))</f>
        <v>0</v>
      </c>
      <c r="AR234" s="43"/>
      <c r="AS234" s="43">
        <f>IF(IFERROR(_xlfn.XLOOKUP(Tableau1[[#This Row],[Isin]]&amp;1&amp;2021,#REF!,Tableau3[Résultat Net (PdG)]),"")="",Tableau1[[#This Row],[RN Groupe 2021
Manuel]],IFERROR(_xlfn.XLOOKUP(Tableau1[[#This Row],[Isin]]&amp;1&amp;2021,#REF!,Tableau3[Résultat Net (PdG)]),""))</f>
        <v>0</v>
      </c>
      <c r="AT234" s="43"/>
      <c r="AU234" s="43" t="str">
        <f>IFERROR(_xlfn.XLOOKUP(Tableau1[[#This Row],[Isin]]&amp;1&amp;2020,#REF!,Tableau3[Résultat Net (PdG)]),"")</f>
        <v/>
      </c>
      <c r="AV234" s="43" t="str">
        <f>IFERROR(_xlfn.XLOOKUP(Tableau1[[#This Row],[Isin]]&amp;1&amp;2019,#REF!,Tableau3[Résultat Net (PdG)]),"")</f>
        <v/>
      </c>
      <c r="AW234" s="43" t="str">
        <f>IFERROR(_xlfn.XLOOKUP(Tableau1[[#This Row],[Isin]]&amp;1&amp;2018,#REF!,Tableau3[Résultat Net (PdG)]),"")</f>
        <v/>
      </c>
      <c r="AX234" s="43" t="str">
        <f>IFERROR(_xlfn.XLOOKUP(Tableau1[[#This Row],[Isin]]&amp;1&amp;2017,#REF!,Tableau3[Résultat Net (PdG)]),"")</f>
        <v/>
      </c>
      <c r="AY234" s="43" t="str">
        <f>IFERROR(_xlfn.XLOOKUP(Tableau1[[#This Row],[Isin]]&amp;1&amp;2016,#REF!,Tableau3[Résultat Net (PdG)]),"")</f>
        <v/>
      </c>
      <c r="AZ234" s="137" t="str">
        <f ca="1">IFERROR(Tableau1[[#This Row],[Capitalisation boursière]]/Tableau1[[#This Row],[RN Groupe 2023]],"")</f>
        <v/>
      </c>
      <c r="BA234" s="4" t="str" cm="1">
        <f t="array" aca="1" ref="BA234" ca="1">IFERROR(_FV(Tableau1[[#This Row],[Code Excel]],"Industrie"),"")</f>
        <v>Software &amp; IT Services</v>
      </c>
      <c r="BB234" s="43" t="s">
        <v>3477</v>
      </c>
      <c r="BC234" s="43" t="str">
        <f>IFERROR(_xlfn.XLOOKUP(Tableau1[[#This Row],[Isin]]&amp;1&amp;2016,#REF!,Tableau3[Capi]),"")</f>
        <v/>
      </c>
      <c r="BD234" s="43" t="str">
        <f>IFERROR(_xlfn.XLOOKUP(Tableau1[[#This Row],[Isin]]&amp;1&amp;2017,#REF!,Tableau3[Capi]),"")</f>
        <v/>
      </c>
      <c r="BE234" s="43" t="str">
        <f>IFERROR(_xlfn.XLOOKUP(Tableau1[[#This Row],[Isin]]&amp;1&amp;2018,#REF!,Tableau3[Capi]),"")</f>
        <v/>
      </c>
      <c r="BF234" s="43" t="str">
        <f>IFERROR(_xlfn.XLOOKUP(Tableau1[[#This Row],[Isin]]&amp;1&amp;2019,#REF!,Tableau3[Capi]),"")</f>
        <v/>
      </c>
      <c r="BG234" s="43" t="str">
        <f>IFERROR(_xlfn.XLOOKUP(Tableau1[[#This Row],[Isin]]&amp;1&amp;2020,#REF!,Tableau3[Capi]),"")</f>
        <v/>
      </c>
      <c r="BH234" s="43">
        <f>IF(IFERROR(_xlfn.XLOOKUP(Tableau1[[#This Row],[Isin]]&amp;1&amp;2021,#REF!,Tableau3[Capi]),"")="",Tableau1[[#This Row],[Capitalisation 2021
Manuel]],IFERROR(_xlfn.XLOOKUP(Tableau1[[#This Row],[Isin]]&amp;1&amp;2021,#REF!,Tableau3[Capi]),""))</f>
        <v>0</v>
      </c>
      <c r="BI234" s="43"/>
      <c r="BJ234" s="43">
        <f>IF(IFERROR(_xlfn.XLOOKUP(Tableau1[[#This Row],[Isin]]&amp;1&amp;2022,#REF!,Tableau3[Capi]),"")="",Tableau1[[#This Row],[Capitalisation 2022
Manuel]],IFERROR(_xlfn.XLOOKUP(Tableau1[[#This Row],[Isin]]&amp;1&amp;2022,#REF!,Tableau3[Capi]),""))</f>
        <v>0</v>
      </c>
      <c r="BK234" s="43"/>
      <c r="BL234" s="43">
        <f ca="1">Tableau1[[#This Row],[Capitalisation boursière]]</f>
        <v>1124496000</v>
      </c>
      <c r="BM234" s="162" t="str" cm="1">
        <f t="array" aca="1" ref="BM234" ca="1">_FV(Tableau1[[#This Row],[Code Excel]],"Description")</f>
        <v>OVH Groupe SAS est une société française qui est un fournisseur de services Internet. Son portefeuille de produits et services comprend des noms de domaine, des services de messagerie électronique, de l'hébergement, des solutions cloud, de la téléphonie, et les solutions VoIP (Voice over Internet Protocol), entre autres. La société fournit également des solutions logicielles axées sur l'exploitation du cloud et le traitement des données. Il fournit un service cloud qui comprend des solutions de calcul, des solutions de stockage, des solutions de Big Data et de machine learning, le paiement à l'utilisation, l'intelligence artificielle et le machine learning. Il offre une solution d'entreprise qui comprend un cloud privé, des solutions de plan de reprise après sinistre, la migration du centre de données vers le cloud, l'interconnexion entre les serveurs physiques et un cloud sécurisé, des solutions certifiées pour l'hébergement de données sensibles et une solution de virtualisation VMware gérée.</v>
      </c>
      <c r="BN234" s="43"/>
      <c r="BO234" s="43"/>
      <c r="BP234" s="43"/>
      <c r="BQ234" s="43"/>
      <c r="BR234" s="13"/>
      <c r="BS234" s="13"/>
      <c r="BT234" s="13"/>
      <c r="BU234" s="13"/>
      <c r="BV234" s="13"/>
      <c r="BW234" s="13"/>
      <c r="BX234" s="13"/>
      <c r="BY234" s="21"/>
      <c r="BZ234" s="13"/>
      <c r="CA234" s="13"/>
      <c r="CB234" s="13"/>
      <c r="CC234" s="13"/>
      <c r="CD234" s="13"/>
      <c r="CF234" s="47"/>
      <c r="CG234" s="47"/>
    </row>
    <row r="235" spans="3:85">
      <c r="C235" s="42"/>
      <c r="D235" s="42">
        <f>IF(Tableau1[[#This Row],[Isin]]="",99,Tableau1[[#This Row],[Intérêt]]+Tableau1[[#This Row],[Valeur d''intérêt]]+Tableau1[[#This Row],[N° Portefeuille]])</f>
        <v>30</v>
      </c>
      <c r="E235" s="42"/>
      <c r="F235" s="42">
        <f>IF(Tableau1[[#This Row],[Portefeuille]]="p",0,Tableau1[[#This Row],[F. Investissement
Niveau d''intérêt]]*10)</f>
        <v>30</v>
      </c>
      <c r="G235" s="42">
        <f>IF(Tableau1[[#This Row],[Portefeuille]]="p",3,0)</f>
        <v>0</v>
      </c>
      <c r="H235" s="42">
        <v>3</v>
      </c>
      <c r="I235" s="42">
        <v>4</v>
      </c>
      <c r="J235" s="42"/>
      <c r="K235" s="43"/>
      <c r="L235" s="16">
        <v>0</v>
      </c>
      <c r="M23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5" s="44" t="s">
        <v>4016</v>
      </c>
      <c r="O235" s="45"/>
      <c r="P235" s="4" t="s">
        <v>99</v>
      </c>
      <c r="Q235" s="4"/>
      <c r="R235" s="6"/>
      <c r="S235" s="6" t="s">
        <v>4017</v>
      </c>
      <c r="T235" s="6" t="e" vm="216">
        <v>#VALUE!</v>
      </c>
      <c r="U235" s="46" cm="1">
        <f t="array" aca="1" ref="U235" ca="1">IFERROR(_FV(Tableau1[[#This Row],[Code Excel]],"Capitalisation boursière",TRUE),"")</f>
        <v>34483050000</v>
      </c>
      <c r="V235" s="4" t="str" cm="1">
        <f t="array" aca="1" ref="V235" ca="1">IFERROR(_FV(Tableau1[[#This Row],[Code Excel]],"Industrie"),"")</f>
        <v>Investment Banking &amp; Investment Services</v>
      </c>
      <c r="W235" s="4" t="s">
        <v>4335</v>
      </c>
      <c r="X235" s="4" t="str">
        <f ca="1">Tableau1[[#This Row],[Grand Secteur]]&amp;Tableau1[[#This Row],[Industrie]]</f>
        <v>FinanceInvestment Banking &amp; Investment Services</v>
      </c>
      <c r="Y235" s="23" cm="1">
        <f t="array" aca="1" ref="Y235" ca="1">IFERROR(_FV(Tableau1[[#This Row],[Code Excel]],"P/E",TRUE),"")</f>
        <v>29.992999999999999</v>
      </c>
      <c r="Z235" s="43" cm="1">
        <f t="array" aca="1" ref="Z235" ca="1">IFERROR(_FV(Tableau1[[#This Row],[Code Excel]],"Employés"),"")</f>
        <v>1775</v>
      </c>
      <c r="AA235" s="49">
        <f ca="1">IFERROR(Tableau1[[#This Row],[Capitalisation boursière]]/Tableau1[[#This Row],[Employés]],"")</f>
        <v>19427070.422535211</v>
      </c>
      <c r="AB235" s="5" t="str">
        <f>IFERROR(Tableau1[[#This Row],[REX (2021)]]/Tableau1[[#This Row],[CA 2024]],"")</f>
        <v/>
      </c>
      <c r="AC235" s="9" t="str">
        <f>IFERROR(_xlfn.XLOOKUP(Tableau1[[#This Row],[Isin]]&amp;1&amp;2021,#REF!,Tableau3[Résultat d''exploitation]),"")</f>
        <v/>
      </c>
      <c r="AD235" s="9" t="str">
        <f>IFERROR(_xlfn.XLOOKUP(Tableau1[[#This Row],[Isin]]&amp;1&amp;2019,#REF!,Tableau3[Chiffre d''affaires]),"")</f>
        <v/>
      </c>
      <c r="AE235" s="9" t="str">
        <f>IFERROR(_xlfn.XLOOKUP(Tableau1[[#This Row],[Isin]]&amp;1&amp;2024,#REF!,Tableau3[Chiffre d''affaires]),"")</f>
        <v/>
      </c>
      <c r="AF235" s="8" t="str">
        <f>IFERROR(IF((Tableau1[[#This Row],[CA 2024]]-Tableau1[[#This Row],[CA 2019]])/Tableau1[[#This Row],[CA 2019]]=-1,"",(Tableau1[[#This Row],[CA 2024]]-Tableau1[[#This Row],[CA 2019]])/Tableau1[[#This Row],[CA 2019]]),"")</f>
        <v/>
      </c>
      <c r="AG235" s="9" t="str">
        <f>IFERROR(_xlfn.XLOOKUP(Tableau1[[#This Row],[Isin]]&amp;1&amp;2021,#REF!,Tableau3[EBE]),"")</f>
        <v/>
      </c>
      <c r="AH235" s="9" t="str">
        <f>IFERROR(_xlfn.XLOOKUP(Tableau1[[#This Row],[Isin]]&amp;1&amp;2022,#REF!,Tableau3[EBE]),"")</f>
        <v/>
      </c>
      <c r="AI235" s="43" t="s">
        <v>4343</v>
      </c>
      <c r="AJ235" s="43" t="s">
        <v>4356</v>
      </c>
      <c r="AK235" s="43" t="s">
        <v>3149</v>
      </c>
      <c r="AL235" s="43"/>
      <c r="AM235" s="43"/>
      <c r="AN235" s="9" t="str">
        <f>IFERROR(_xlfn.XLOOKUP(Tableau1[[#This Row],[Isin]]&amp;1&amp;2021,#REF!,Tableau3[Chiffre d''affaires]),"")</f>
        <v/>
      </c>
      <c r="AO235" s="43" cm="1">
        <f t="array" aca="1" ref="AO235" ca="1">_FV(Tableau1[[#This Row],[Code Excel]],"P/E",TRUE)</f>
        <v>29.992999999999999</v>
      </c>
      <c r="AP235" s="43" t="str">
        <f>IFERROR(_xlfn.XLOOKUP(Tableau1[[#This Row],[Isin]]&amp;1&amp;2023,#REF!,Tableau3[Résultat Net (PdG)]),"")</f>
        <v/>
      </c>
      <c r="AQ235" s="43">
        <f>IF(IFERROR(_xlfn.XLOOKUP(Tableau1[[#This Row],[Isin]]&amp;1&amp;2022,#REF!,Tableau3[Résultat Net (PdG)]),"")="",Tableau1[[#This Row],[RN Groupe 2022
Manuel]],IFERROR(_xlfn.XLOOKUP(Tableau1[[#This Row],[Isin]]&amp;1&amp;2022,#REF!,Tableau3[Résultat Net (PdG)]),""))</f>
        <v>0</v>
      </c>
      <c r="AR235" s="43"/>
      <c r="AS235" s="43">
        <f>IF(IFERROR(_xlfn.XLOOKUP(Tableau1[[#This Row],[Isin]]&amp;1&amp;2021,#REF!,Tableau3[Résultat Net (PdG)]),"")="",Tableau1[[#This Row],[RN Groupe 2021
Manuel]],IFERROR(_xlfn.XLOOKUP(Tableau1[[#This Row],[Isin]]&amp;1&amp;2021,#REF!,Tableau3[Résultat Net (PdG)]),""))</f>
        <v>0</v>
      </c>
      <c r="AT235" s="43"/>
      <c r="AU235" s="43" t="str">
        <f>IFERROR(_xlfn.XLOOKUP(Tableau1[[#This Row],[Isin]]&amp;1&amp;2020,#REF!,Tableau3[Résultat Net (PdG)]),"")</f>
        <v/>
      </c>
      <c r="AV235" s="43" t="str">
        <f>IFERROR(_xlfn.XLOOKUP(Tableau1[[#This Row],[Isin]]&amp;1&amp;2019,#REF!,Tableau3[Résultat Net (PdG)]),"")</f>
        <v/>
      </c>
      <c r="AW235" s="43" t="str">
        <f>IFERROR(_xlfn.XLOOKUP(Tableau1[[#This Row],[Isin]]&amp;1&amp;2018,#REF!,Tableau3[Résultat Net (PdG)]),"")</f>
        <v/>
      </c>
      <c r="AX235" s="43" t="str">
        <f>IFERROR(_xlfn.XLOOKUP(Tableau1[[#This Row],[Isin]]&amp;1&amp;2017,#REF!,Tableau3[Résultat Net (PdG)]),"")</f>
        <v/>
      </c>
      <c r="AY235" s="43" t="str">
        <f>IFERROR(_xlfn.XLOOKUP(Tableau1[[#This Row],[Isin]]&amp;1&amp;2016,#REF!,Tableau3[Résultat Net (PdG)]),"")</f>
        <v/>
      </c>
      <c r="AZ235" s="137" t="str">
        <f ca="1">IFERROR(Tableau1[[#This Row],[Capitalisation boursière]]/Tableau1[[#This Row],[RN Groupe 2023]],"")</f>
        <v/>
      </c>
      <c r="BA235" s="4" t="str" cm="1">
        <f t="array" aca="1" ref="BA235" ca="1">IFERROR(_FV(Tableau1[[#This Row],[Code Excel]],"Industrie"),"")</f>
        <v>Investment Banking &amp; Investment Services</v>
      </c>
      <c r="BB235" s="43" t="s">
        <v>3469</v>
      </c>
      <c r="BC235" s="43" t="str">
        <f>IFERROR(_xlfn.XLOOKUP(Tableau1[[#This Row],[Isin]]&amp;1&amp;2016,#REF!,Tableau3[Capi]),"")</f>
        <v/>
      </c>
      <c r="BD235" s="43" t="str">
        <f>IFERROR(_xlfn.XLOOKUP(Tableau1[[#This Row],[Isin]]&amp;1&amp;2017,#REF!,Tableau3[Capi]),"")</f>
        <v/>
      </c>
      <c r="BE235" s="43" t="str">
        <f>IFERROR(_xlfn.XLOOKUP(Tableau1[[#This Row],[Isin]]&amp;1&amp;2018,#REF!,Tableau3[Capi]),"")</f>
        <v/>
      </c>
      <c r="BF235" s="43" t="str">
        <f>IFERROR(_xlfn.XLOOKUP(Tableau1[[#This Row],[Isin]]&amp;1&amp;2019,#REF!,Tableau3[Capi]),"")</f>
        <v/>
      </c>
      <c r="BG235" s="43" t="str">
        <f>IFERROR(_xlfn.XLOOKUP(Tableau1[[#This Row],[Isin]]&amp;1&amp;2020,#REF!,Tableau3[Capi]),"")</f>
        <v/>
      </c>
      <c r="BH235" s="43">
        <f>IF(IFERROR(_xlfn.XLOOKUP(Tableau1[[#This Row],[Isin]]&amp;1&amp;2021,#REF!,Tableau3[Capi]),"")="",Tableau1[[#This Row],[Capitalisation 2021
Manuel]],IFERROR(_xlfn.XLOOKUP(Tableau1[[#This Row],[Isin]]&amp;1&amp;2021,#REF!,Tableau3[Capi]),""))</f>
        <v>0</v>
      </c>
      <c r="BI235" s="43"/>
      <c r="BJ235" s="43">
        <f>IF(IFERROR(_xlfn.XLOOKUP(Tableau1[[#This Row],[Isin]]&amp;1&amp;2022,#REF!,Tableau3[Capi]),"")="",Tableau1[[#This Row],[Capitalisation 2022
Manuel]],IFERROR(_xlfn.XLOOKUP(Tableau1[[#This Row],[Isin]]&amp;1&amp;2022,#REF!,Tableau3[Capi]),""))</f>
        <v>0</v>
      </c>
      <c r="BK235" s="43"/>
      <c r="BL235" s="43">
        <f ca="1">Tableau1[[#This Row],[Capitalisation boursière]]</f>
        <v>34483050000</v>
      </c>
      <c r="BM235" s="162" t="str" cm="1">
        <f t="array" aca="1" ref="BM235" ca="1">_FV(Tableau1[[#This Row],[Code Excel]],"Description")</f>
        <v>Partners Group Holding AG est une société de gestion d'investissements sur les marchés privés mondiaux basée en Suisse. Elle gère une large gamme de portefeuilles personnalisés pour une clientèle internationale d'investisseurs institutionnels. La Société exerce ses activités dans les secteurs d'activité suivants : Le capital-investissement qui fait référence aux investissements réalisés dans des entreprises privées ; Dette privée qui fait référence au financement par emprunt de sociétés ou de projets privés, qui permet aux investisseurs d'accéder à des opportunités d'investissement qui ne sont pas disponibles sur le marché des obligations d'entreprises publiques ; Immobilier privé qui fait référence aux investissements réalisés dans des actifs immobiliers privés, y compris une gamme d'opportunités d'investissement, allant des complexes de logements et des espaces de bureaux aux centres commerciaux et aux bâtiments industriels, et Infrastructure privée qui fait référence aux investissements réalisés dans des actifs d'infrastructure privés, tels que le transport , communication, énergie conventionnelle, énergie renouvelable, infrastructure énergétique, eau, infrastructure sociale et gestion des déchets.</v>
      </c>
      <c r="BN235" s="43"/>
      <c r="BO235" s="43"/>
      <c r="BP235" s="43"/>
      <c r="BQ235" s="43"/>
      <c r="BR235" s="13"/>
      <c r="BS235" s="13"/>
      <c r="BT235" s="13"/>
      <c r="BU235" s="13"/>
      <c r="BV235" s="13"/>
      <c r="BW235" s="13"/>
      <c r="BX235" s="13"/>
      <c r="BY235" s="21"/>
      <c r="BZ235" s="13"/>
      <c r="CA235" s="13"/>
      <c r="CB235" s="13"/>
      <c r="CC235" s="13"/>
      <c r="CD235" s="13"/>
      <c r="CF235" s="47"/>
      <c r="CG235" s="47"/>
    </row>
    <row r="236" spans="3:85">
      <c r="C236" s="43"/>
      <c r="D236" s="42">
        <f>IF(Tableau1[[#This Row],[Isin]]="",99,Tableau1[[#This Row],[Intérêt]]+Tableau1[[#This Row],[Valeur d''intérêt]]+Tableau1[[#This Row],[N° Portefeuille]])</f>
        <v>30</v>
      </c>
      <c r="E236" s="43"/>
      <c r="F236" s="42">
        <f>IF(Tableau1[[#This Row],[Portefeuille]]="p",0,Tableau1[[#This Row],[F. Investissement
Niveau d''intérêt]]*10)</f>
        <v>30</v>
      </c>
      <c r="G236" s="43">
        <f>IF(Tableau1[[#This Row],[Portefeuille]]="p",3,0)</f>
        <v>0</v>
      </c>
      <c r="H236" s="43">
        <v>3</v>
      </c>
      <c r="I236" s="43">
        <v>4</v>
      </c>
      <c r="J236" s="43"/>
      <c r="K236" s="43"/>
      <c r="L236" s="16">
        <v>1</v>
      </c>
      <c r="M23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6" s="44" t="s">
        <v>4019</v>
      </c>
      <c r="O236" s="45"/>
      <c r="P236" s="4" t="s">
        <v>382</v>
      </c>
      <c r="Q236" s="6" t="s">
        <v>383</v>
      </c>
      <c r="R236" s="6"/>
      <c r="S236" s="6" t="s">
        <v>2504</v>
      </c>
      <c r="T236" s="6" t="e" vm="217">
        <v>#VALUE!</v>
      </c>
      <c r="U236" s="46" cm="1">
        <f t="array" aca="1" ref="U236" ca="1">IFERROR(_FV(Tableau1[[#This Row],[Code Excel]],"Capitalisation boursière",TRUE),"")</f>
        <v>2400231497</v>
      </c>
      <c r="V236" s="4" t="str" cm="1">
        <f t="array" aca="1" ref="V236" ca="1">IFERROR(_FV(Tableau1[[#This Row],[Code Excel]],"Industrie"),"")</f>
        <v>Leisure Products</v>
      </c>
      <c r="W236" s="4" t="s">
        <v>1315</v>
      </c>
      <c r="X236" s="4" t="str">
        <f ca="1">Tableau1[[#This Row],[Grand Secteur]]&amp;Tableau1[[#This Row],[Industrie]]</f>
        <v>Biens de consommationLeisure Products</v>
      </c>
      <c r="Y236" s="23" cm="1">
        <f t="array" aca="1" ref="Y236" ca="1">IFERROR(_FV(Tableau1[[#This Row],[Code Excel]],"P/E",TRUE),"")</f>
        <v>0</v>
      </c>
      <c r="Z236" s="43" cm="1">
        <f t="array" aca="1" ref="Z236" ca="1">IFERROR(_FV(Tableau1[[#This Row],[Code Excel]],"Employés"),"")</f>
        <v>2853</v>
      </c>
      <c r="AA236" s="46">
        <f ca="1">IFERROR(Tableau1[[#This Row],[Capitalisation boursière]]/Tableau1[[#This Row],[Employés]],"")</f>
        <v>841300.91026989138</v>
      </c>
      <c r="AB236" s="5" t="str">
        <f>IFERROR(Tableau1[[#This Row],[REX (2021)]]/Tableau1[[#This Row],[CA 2024]],"")</f>
        <v/>
      </c>
      <c r="AC236" s="9" t="str">
        <f>IFERROR(_xlfn.XLOOKUP(Tableau1[[#This Row],[Isin]]&amp;1&amp;2021,#REF!,Tableau3[Résultat d''exploitation]),"")</f>
        <v/>
      </c>
      <c r="AD236" s="9" t="str">
        <f>IFERROR(_xlfn.XLOOKUP(Tableau1[[#This Row],[Isin]]&amp;1&amp;2019,#REF!,Tableau3[Chiffre d''affaires]),"")</f>
        <v/>
      </c>
      <c r="AE236" s="9" t="str">
        <f>IFERROR(_xlfn.XLOOKUP(Tableau1[[#This Row],[Isin]]&amp;1&amp;2024,#REF!,Tableau3[Chiffre d''affaires]),"")</f>
        <v/>
      </c>
      <c r="AF236" s="8" t="str">
        <f>IFERROR(IF((Tableau1[[#This Row],[CA 2024]]-Tableau1[[#This Row],[CA 2019]])/Tableau1[[#This Row],[CA 2019]]=-1,"",(Tableau1[[#This Row],[CA 2024]]-Tableau1[[#This Row],[CA 2019]])/Tableau1[[#This Row],[CA 2019]]),"")</f>
        <v/>
      </c>
      <c r="AG236" s="9" t="str">
        <f>IFERROR(_xlfn.XLOOKUP(Tableau1[[#This Row],[Isin]]&amp;1&amp;2021,#REF!,Tableau3[EBE]),"")</f>
        <v/>
      </c>
      <c r="AH236" s="9" t="str">
        <f>IFERROR(_xlfn.XLOOKUP(Tableau1[[#This Row],[Isin]]&amp;1&amp;2022,#REF!,Tableau3[EBE]),"")</f>
        <v/>
      </c>
      <c r="AI236" s="43" t="s">
        <v>3431</v>
      </c>
      <c r="AJ236" s="43" t="s">
        <v>4403</v>
      </c>
      <c r="AK236" s="43" t="s">
        <v>3431</v>
      </c>
      <c r="AL236" s="43" t="s">
        <v>3431</v>
      </c>
      <c r="AM236" s="43"/>
      <c r="AN236" s="9" t="str">
        <f>IFERROR(_xlfn.XLOOKUP(Tableau1[[#This Row],[Isin]]&amp;1&amp;2021,#REF!,Tableau3[Chiffre d''affaires]),"")</f>
        <v/>
      </c>
      <c r="AO236" s="43" cm="1">
        <f t="array" aca="1" ref="AO236" ca="1">_FV(Tableau1[[#This Row],[Code Excel]],"P/E",TRUE)</f>
        <v>0</v>
      </c>
      <c r="AP236" s="43" t="str">
        <f>IFERROR(_xlfn.XLOOKUP(Tableau1[[#This Row],[Isin]]&amp;1&amp;2023,#REF!,Tableau3[Résultat Net (PdG)]),"")</f>
        <v/>
      </c>
      <c r="AQ236" s="43">
        <f>IF(IFERROR(_xlfn.XLOOKUP(Tableau1[[#This Row],[Isin]]&amp;1&amp;2022,#REF!,Tableau3[Résultat Net (PdG)]),"")="",Tableau1[[#This Row],[RN Groupe 2022
Manuel]],IFERROR(_xlfn.XLOOKUP(Tableau1[[#This Row],[Isin]]&amp;1&amp;2022,#REF!,Tableau3[Résultat Net (PdG)]),""))</f>
        <v>0</v>
      </c>
      <c r="AR236" s="43"/>
      <c r="AS236" s="43">
        <f>IF(IFERROR(_xlfn.XLOOKUP(Tableau1[[#This Row],[Isin]]&amp;1&amp;2021,#REF!,Tableau3[Résultat Net (PdG)]),"")="",Tableau1[[#This Row],[RN Groupe 2021
Manuel]],IFERROR(_xlfn.XLOOKUP(Tableau1[[#This Row],[Isin]]&amp;1&amp;2021,#REF!,Tableau3[Résultat Net (PdG)]),""))</f>
        <v>0</v>
      </c>
      <c r="AT236" s="43"/>
      <c r="AU236" s="43" t="str">
        <f>IFERROR(_xlfn.XLOOKUP(Tableau1[[#This Row],[Isin]]&amp;1&amp;2020,#REF!,Tableau3[Résultat Net (PdG)]),"")</f>
        <v/>
      </c>
      <c r="AV236" s="43" t="str">
        <f>IFERROR(_xlfn.XLOOKUP(Tableau1[[#This Row],[Isin]]&amp;1&amp;2019,#REF!,Tableau3[Résultat Net (PdG)]),"")</f>
        <v/>
      </c>
      <c r="AW236" s="43" t="str">
        <f>IFERROR(_xlfn.XLOOKUP(Tableau1[[#This Row],[Isin]]&amp;1&amp;2018,#REF!,Tableau3[Résultat Net (PdG)]),"")</f>
        <v/>
      </c>
      <c r="AX236" s="43" t="str">
        <f>IFERROR(_xlfn.XLOOKUP(Tableau1[[#This Row],[Isin]]&amp;1&amp;2017,#REF!,Tableau3[Résultat Net (PdG)]),"")</f>
        <v/>
      </c>
      <c r="AY236" s="43" t="str">
        <f>IFERROR(_xlfn.XLOOKUP(Tableau1[[#This Row],[Isin]]&amp;1&amp;2016,#REF!,Tableau3[Résultat Net (PdG)]),"")</f>
        <v/>
      </c>
      <c r="AZ236" s="137" t="str">
        <f ca="1">IFERROR(Tableau1[[#This Row],[Capitalisation boursière]]/Tableau1[[#This Row],[RN Groupe 2023]],"")</f>
        <v/>
      </c>
      <c r="BA236" s="4" t="str" cm="1">
        <f t="array" aca="1" ref="BA236" ca="1">IFERROR(_FV(Tableau1[[#This Row],[Code Excel]],"Industrie"),"")</f>
        <v>Leisure Products</v>
      </c>
      <c r="BB236" s="43" t="e">
        <v>#N/A</v>
      </c>
      <c r="BC236" s="43" t="str">
        <f>IFERROR(_xlfn.XLOOKUP(Tableau1[[#This Row],[Isin]]&amp;1&amp;2016,#REF!,Tableau3[Capi]),"")</f>
        <v/>
      </c>
      <c r="BD236" s="43" t="str">
        <f>IFERROR(_xlfn.XLOOKUP(Tableau1[[#This Row],[Isin]]&amp;1&amp;2017,#REF!,Tableau3[Capi]),"")</f>
        <v/>
      </c>
      <c r="BE236" s="43" t="str">
        <f>IFERROR(_xlfn.XLOOKUP(Tableau1[[#This Row],[Isin]]&amp;1&amp;2018,#REF!,Tableau3[Capi]),"")</f>
        <v/>
      </c>
      <c r="BF236" s="43" t="str">
        <f>IFERROR(_xlfn.XLOOKUP(Tableau1[[#This Row],[Isin]]&amp;1&amp;2019,#REF!,Tableau3[Capi]),"")</f>
        <v/>
      </c>
      <c r="BG236" s="43" t="str">
        <f>IFERROR(_xlfn.XLOOKUP(Tableau1[[#This Row],[Isin]]&amp;1&amp;2020,#REF!,Tableau3[Capi]),"")</f>
        <v/>
      </c>
      <c r="BH236" s="43">
        <f>IF(IFERROR(_xlfn.XLOOKUP(Tableau1[[#This Row],[Isin]]&amp;1&amp;2021,#REF!,Tableau3[Capi]),"")="",Tableau1[[#This Row],[Capitalisation 2021
Manuel]],IFERROR(_xlfn.XLOOKUP(Tableau1[[#This Row],[Isin]]&amp;1&amp;2021,#REF!,Tableau3[Capi]),""))</f>
        <v>0</v>
      </c>
      <c r="BI236" s="43"/>
      <c r="BJ236" s="43">
        <f>IF(IFERROR(_xlfn.XLOOKUP(Tableau1[[#This Row],[Isin]]&amp;1&amp;2022,#REF!,Tableau3[Capi]),"")="",Tableau1[[#This Row],[Capitalisation 2022
Manuel]],IFERROR(_xlfn.XLOOKUP(Tableau1[[#This Row],[Isin]]&amp;1&amp;2022,#REF!,Tableau3[Capi]),""))</f>
        <v>0</v>
      </c>
      <c r="BK236" s="43"/>
      <c r="BL236" s="43">
        <f ca="1">Tableau1[[#This Row],[Capitalisation boursière]]</f>
        <v>2400231497</v>
      </c>
      <c r="BM236" s="162" t="str" cm="1">
        <f t="array" aca="1" ref="BM236" ca="1">_FV(Tableau1[[#This Row],[Code Excel]],"Description")</f>
        <v>Peloton Interactive, Inc. est un fournisseur de plateformes interactives de fitness. La société propose à ses membres une remise en forme connectée et basée sur la technologie ainsi que la diffusion en continu de cours immersifs dirigés par un instructeur, à tout moment et en tout lieu. Ses segments comprennent les produits de fitness connectés et les abonnements. Le secteur Produits de fitness connectés comprend le portefeuille de produits de fitness connectés et d'accessoires associés de la société, les produits de fitness de marque Precor, les services de livraison et d'installation, les vêtements de marque Peloton, les accords de garantie prolongée et les contrats de services commerciaux. Ses produits de fitness connectés comprennent Peloton Bike, Peloton Bike+, Peloton Tread, Peloton Tread+, Peloton Guide et Peloton Row. Le segment Abonnements donne accès au contenu de sa bibliothèque de cours de fitness en direct et à la demande. Ses abonnements sont proposés au mois ou prépayés. Elle vend ses produits directement aux clients via une plateforme de vente multicanal et via des tiers.</v>
      </c>
      <c r="BN236" s="43"/>
      <c r="BO236" s="43"/>
      <c r="BP236" s="43"/>
      <c r="BQ236" s="43"/>
      <c r="BR236" s="13"/>
      <c r="BS236" s="13"/>
      <c r="BT236" s="13"/>
      <c r="BU236" s="13"/>
      <c r="BV236" s="13"/>
      <c r="BW236" s="13"/>
      <c r="BX236" s="13"/>
      <c r="BY236" s="21"/>
      <c r="BZ236" s="13"/>
      <c r="CA236" s="13"/>
      <c r="CB236" s="13"/>
      <c r="CC236" s="13"/>
      <c r="CD236" s="13"/>
      <c r="CF236" s="47"/>
      <c r="CG236" s="47"/>
    </row>
    <row r="237" spans="3:85">
      <c r="C237" s="42"/>
      <c r="D237" s="42">
        <f>IF(Tableau1[[#This Row],[Isin]]="",99,Tableau1[[#This Row],[Intérêt]]+Tableau1[[#This Row],[Valeur d''intérêt]]+Tableau1[[#This Row],[N° Portefeuille]])</f>
        <v>20</v>
      </c>
      <c r="E237" s="42"/>
      <c r="F237" s="42">
        <f>IF(Tableau1[[#This Row],[Portefeuille]]="p",0,Tableau1[[#This Row],[F. Investissement
Niveau d''intérêt]]*10)</f>
        <v>20</v>
      </c>
      <c r="G237" s="42">
        <f>IF(Tableau1[[#This Row],[Portefeuille]]="p",3,0)</f>
        <v>0</v>
      </c>
      <c r="H237" s="42">
        <v>2</v>
      </c>
      <c r="I237" s="42">
        <v>4</v>
      </c>
      <c r="J237" s="42"/>
      <c r="K237" s="43"/>
      <c r="L237" s="16">
        <v>0</v>
      </c>
      <c r="M23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7" s="44" t="s">
        <v>4022</v>
      </c>
      <c r="O237" s="45"/>
      <c r="P237" s="4" t="s">
        <v>84</v>
      </c>
      <c r="Q237" s="4"/>
      <c r="R237" s="6"/>
      <c r="S237" s="6" t="s">
        <v>222</v>
      </c>
      <c r="T237" s="6" t="e" vm="218">
        <v>#VALUE!</v>
      </c>
      <c r="U237" s="46" cm="1">
        <f t="array" aca="1" ref="U237" ca="1">IFERROR(_FV(Tableau1[[#This Row],[Code Excel]],"Capitalisation boursière",TRUE),"")</f>
        <v>23743580000</v>
      </c>
      <c r="V237" s="4" t="str" cm="1">
        <f t="array" aca="1" ref="V237" ca="1">IFERROR(_FV(Tableau1[[#This Row],[Code Excel]],"Industrie"),"")</f>
        <v>Beverages</v>
      </c>
      <c r="W237" s="4" t="s">
        <v>1315</v>
      </c>
      <c r="X237" s="4" t="str">
        <f ca="1">Tableau1[[#This Row],[Grand Secteur]]&amp;Tableau1[[#This Row],[Industrie]]</f>
        <v>Biens de consommationBeverages</v>
      </c>
      <c r="Y237" s="23" cm="1">
        <f t="array" aca="1" ref="Y237" ca="1">IFERROR(_FV(Tableau1[[#This Row],[Code Excel]],"P/E",TRUE),"")</f>
        <v>21.568899999999999</v>
      </c>
      <c r="Z237" s="43" cm="1">
        <f t="array" aca="1" ref="Z237" ca="1">IFERROR(_FV(Tableau1[[#This Row],[Code Excel]],"Employés"),"")</f>
        <v>19557</v>
      </c>
      <c r="AA237" s="46">
        <f ca="1">IFERROR(Tableau1[[#This Row],[Capitalisation boursière]]/Tableau1[[#This Row],[Employés]],"")</f>
        <v>1214070.6652349543</v>
      </c>
      <c r="AB237" s="5" t="str">
        <f>IFERROR(Tableau1[[#This Row],[REX (2021)]]/Tableau1[[#This Row],[CA 2024]],"")</f>
        <v/>
      </c>
      <c r="AC237" s="9" t="str">
        <f>IFERROR(_xlfn.XLOOKUP(Tableau1[[#This Row],[Isin]]&amp;1&amp;2021,#REF!,Tableau3[Résultat d''exploitation]),"")</f>
        <v/>
      </c>
      <c r="AD237" s="9" t="str">
        <f>IFERROR(_xlfn.XLOOKUP(Tableau1[[#This Row],[Isin]]&amp;1&amp;2019,#REF!,Tableau3[Chiffre d''affaires]),"")</f>
        <v/>
      </c>
      <c r="AE237" s="9" t="str">
        <f>IFERROR(_xlfn.XLOOKUP(Tableau1[[#This Row],[Isin]]&amp;1&amp;2024,#REF!,Tableau3[Chiffre d''affaires]),"")</f>
        <v/>
      </c>
      <c r="AF237" s="8" t="str">
        <f>IFERROR(IF((Tableau1[[#This Row],[CA 2024]]-Tableau1[[#This Row],[CA 2019]])/Tableau1[[#This Row],[CA 2019]]=-1,"",(Tableau1[[#This Row],[CA 2024]]-Tableau1[[#This Row],[CA 2019]])/Tableau1[[#This Row],[CA 2019]]),"")</f>
        <v/>
      </c>
      <c r="AG237" s="9" t="str">
        <f>IFERROR(_xlfn.XLOOKUP(Tableau1[[#This Row],[Isin]]&amp;1&amp;2021,#REF!,Tableau3[EBE]),"")</f>
        <v/>
      </c>
      <c r="AH237" s="9" t="str">
        <f>IFERROR(_xlfn.XLOOKUP(Tableau1[[#This Row],[Isin]]&amp;1&amp;2022,#REF!,Tableau3[EBE]),"")</f>
        <v/>
      </c>
      <c r="AI237" s="43" t="s">
        <v>3431</v>
      </c>
      <c r="AJ237" s="43" t="s">
        <v>4322</v>
      </c>
      <c r="AK237" s="43" t="s">
        <v>3148</v>
      </c>
      <c r="AL237" s="43"/>
      <c r="AM237" s="43"/>
      <c r="AN237" s="9" t="str">
        <f>IFERROR(_xlfn.XLOOKUP(Tableau1[[#This Row],[Isin]]&amp;1&amp;2021,#REF!,Tableau3[Chiffre d''affaires]),"")</f>
        <v/>
      </c>
      <c r="AO237" s="43" cm="1">
        <f t="array" aca="1" ref="AO237" ca="1">_FV(Tableau1[[#This Row],[Code Excel]],"P/E",TRUE)</f>
        <v>21.568899999999999</v>
      </c>
      <c r="AP237" s="43" t="str">
        <f>IFERROR(_xlfn.XLOOKUP(Tableau1[[#This Row],[Isin]]&amp;1&amp;2023,#REF!,Tableau3[Résultat Net (PdG)]),"")</f>
        <v/>
      </c>
      <c r="AQ237" s="43">
        <f>IF(IFERROR(_xlfn.XLOOKUP(Tableau1[[#This Row],[Isin]]&amp;1&amp;2022,#REF!,Tableau3[Résultat Net (PdG)]),"")="",Tableau1[[#This Row],[RN Groupe 2022
Manuel]],IFERROR(_xlfn.XLOOKUP(Tableau1[[#This Row],[Isin]]&amp;1&amp;2022,#REF!,Tableau3[Résultat Net (PdG)]),""))</f>
        <v>1996000000</v>
      </c>
      <c r="AR237" s="140">
        <v>1996000000</v>
      </c>
      <c r="AS237" s="43">
        <f>IF(IFERROR(_xlfn.XLOOKUP(Tableau1[[#This Row],[Isin]]&amp;1&amp;2021,#REF!,Tableau3[Résultat Net (PdG)]),"")="",Tableau1[[#This Row],[RN Groupe 2021
Manuel]],IFERROR(_xlfn.XLOOKUP(Tableau1[[#This Row],[Isin]]&amp;1&amp;2021,#REF!,Tableau3[Résultat Net (PdG)]),""))</f>
        <v>1305000000</v>
      </c>
      <c r="AT237" s="140">
        <v>1305000000</v>
      </c>
      <c r="AU237" s="43" t="str">
        <f>IFERROR(_xlfn.XLOOKUP(Tableau1[[#This Row],[Isin]]&amp;1&amp;2020,#REF!,Tableau3[Résultat Net (PdG)]),"")</f>
        <v/>
      </c>
      <c r="AV237" s="43" t="str">
        <f>IFERROR(_xlfn.XLOOKUP(Tableau1[[#This Row],[Isin]]&amp;1&amp;2019,#REF!,Tableau3[Résultat Net (PdG)]),"")</f>
        <v/>
      </c>
      <c r="AW237" s="43" t="str">
        <f>IFERROR(_xlfn.XLOOKUP(Tableau1[[#This Row],[Isin]]&amp;1&amp;2018,#REF!,Tableau3[Résultat Net (PdG)]),"")</f>
        <v/>
      </c>
      <c r="AX237" s="43" t="str">
        <f>IFERROR(_xlfn.XLOOKUP(Tableau1[[#This Row],[Isin]]&amp;1&amp;2017,#REF!,Tableau3[Résultat Net (PdG)]),"")</f>
        <v/>
      </c>
      <c r="AY237" s="43" t="str">
        <f>IFERROR(_xlfn.XLOOKUP(Tableau1[[#This Row],[Isin]]&amp;1&amp;2016,#REF!,Tableau3[Résultat Net (PdG)]),"")</f>
        <v/>
      </c>
      <c r="AZ237" s="137" t="str">
        <f ca="1">IFERROR(Tableau1[[#This Row],[Capitalisation boursière]]/Tableau1[[#This Row],[RN Groupe 2023]],"")</f>
        <v/>
      </c>
      <c r="BA237" s="4" t="str" cm="1">
        <f t="array" aca="1" ref="BA237" ca="1">IFERROR(_FV(Tableau1[[#This Row],[Code Excel]],"Industrie"),"")</f>
        <v>Beverages</v>
      </c>
      <c r="BB237" s="43" t="s">
        <v>3518</v>
      </c>
      <c r="BC237" s="43" t="str">
        <f>IFERROR(_xlfn.XLOOKUP(Tableau1[[#This Row],[Isin]]&amp;1&amp;2016,#REF!,Tableau3[Capi]),"")</f>
        <v/>
      </c>
      <c r="BD237" s="43" t="str">
        <f>IFERROR(_xlfn.XLOOKUP(Tableau1[[#This Row],[Isin]]&amp;1&amp;2017,#REF!,Tableau3[Capi]),"")</f>
        <v/>
      </c>
      <c r="BE237" s="43" t="str">
        <f>IFERROR(_xlfn.XLOOKUP(Tableau1[[#This Row],[Isin]]&amp;1&amp;2018,#REF!,Tableau3[Capi]),"")</f>
        <v/>
      </c>
      <c r="BF237" s="43" t="str">
        <f>IFERROR(_xlfn.XLOOKUP(Tableau1[[#This Row],[Isin]]&amp;1&amp;2019,#REF!,Tableau3[Capi]),"")</f>
        <v/>
      </c>
      <c r="BG237" s="43" t="str">
        <f>IFERROR(_xlfn.XLOOKUP(Tableau1[[#This Row],[Isin]]&amp;1&amp;2020,#REF!,Tableau3[Capi]),"")</f>
        <v/>
      </c>
      <c r="BH237" s="43">
        <f>IF(IFERROR(_xlfn.XLOOKUP(Tableau1[[#This Row],[Isin]]&amp;1&amp;2021,#REF!,Tableau3[Capi]),"")="",Tableau1[[#This Row],[Capitalisation 2021
Manuel]],IFERROR(_xlfn.XLOOKUP(Tableau1[[#This Row],[Isin]]&amp;1&amp;2021,#REF!,Tableau3[Capi]),""))</f>
        <v>48136005000</v>
      </c>
      <c r="BI237" s="142">
        <v>48136005000</v>
      </c>
      <c r="BJ237" s="141">
        <f>IF(IFERROR(_xlfn.XLOOKUP(Tableau1[[#This Row],[Isin]]&amp;1&amp;2022,#REF!,Tableau3[Capi]),"")="",Tableau1[[#This Row],[Capitalisation 2022
Manuel]],IFERROR(_xlfn.XLOOKUP(Tableau1[[#This Row],[Isin]]&amp;1&amp;2022,#REF!,Tableau3[Capi]),""))</f>
        <v>47863477000</v>
      </c>
      <c r="BK237" s="142">
        <v>47863477000</v>
      </c>
      <c r="BL237" s="43">
        <f ca="1">Tableau1[[#This Row],[Capitalisation boursière]]</f>
        <v>23743580000</v>
      </c>
      <c r="BM237" s="162" t="str" cm="1">
        <f t="array" aca="1" ref="BM237" ca="1">_FV(Tableau1[[#This Row],[Code Excel]],"Description")</f>
        <v>Pernod Ricard sa est un producteur mondial de vins et spiritueux basé en France. Elle opère à travers trois segments géographiques : Amérique, Europe et Asie/reste du monde. La Société détient un portefeuille de marques, dont Absolut Vodka, Ricard Pastis, Ballantine's, Chivas Regal, Royal Salute, et les whiskies écossais Glenlivet, le whisky irlandais Jameson, le cognac Martell, le rhum Havana Club, le gin Beefeater, liqueur Malibu, champagnes Mumm et Perrier-jouet, ainsi que Jacob's Creek, Brancott Estate, Campo Viejo et Kenwood Wines, entre autres.</v>
      </c>
      <c r="BN237" s="43"/>
      <c r="BO237" s="43"/>
      <c r="BP237" s="43"/>
      <c r="BQ237" s="43"/>
      <c r="BR237" s="13"/>
      <c r="BS237" s="13"/>
      <c r="BT237" s="13"/>
      <c r="BU237" s="13"/>
      <c r="BV237" s="13"/>
      <c r="BW237" s="13"/>
      <c r="BX237" s="13"/>
      <c r="BY237" s="21"/>
      <c r="BZ237" s="13"/>
      <c r="CA237" s="13"/>
      <c r="CB237" s="13"/>
      <c r="CC237" s="13"/>
      <c r="CD237" s="13"/>
      <c r="CF237" s="47"/>
      <c r="CG237" s="47"/>
    </row>
    <row r="238" spans="3:85">
      <c r="C238" s="43"/>
      <c r="D238" s="42">
        <f>IF(Tableau1[[#This Row],[Isin]]="",99,Tableau1[[#This Row],[Intérêt]]+Tableau1[[#This Row],[Valeur d''intérêt]]+Tableau1[[#This Row],[N° Portefeuille]])</f>
        <v>3</v>
      </c>
      <c r="E238" s="42"/>
      <c r="F238" s="42">
        <f>IF(Tableau1[[#This Row],[Portefeuille]]="p",0,Tableau1[[#This Row],[F. Investissement
Niveau d''intérêt]]*10)</f>
        <v>0</v>
      </c>
      <c r="G238" s="42">
        <f>IF(Tableau1[[#This Row],[Portefeuille]]="p",3,0)</f>
        <v>3</v>
      </c>
      <c r="H238" s="42">
        <v>1</v>
      </c>
      <c r="I238" s="42">
        <v>1</v>
      </c>
      <c r="J238" s="43" t="s">
        <v>4357</v>
      </c>
      <c r="K238" s="43" t="s">
        <v>4362</v>
      </c>
      <c r="L238" s="16">
        <v>1</v>
      </c>
      <c r="M23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8" s="44" t="s">
        <v>4024</v>
      </c>
      <c r="O238" s="44" t="s">
        <v>2188</v>
      </c>
      <c r="P238" s="4" t="s">
        <v>84</v>
      </c>
      <c r="Q238" s="6" t="s">
        <v>85</v>
      </c>
      <c r="R238" s="6"/>
      <c r="S238" s="6" t="s">
        <v>2189</v>
      </c>
      <c r="T238" s="6" t="e" vm="219">
        <v>#VALUE!</v>
      </c>
      <c r="U238" s="46" cm="1">
        <f t="array" aca="1" ref="U238" ca="1">IFERROR(_FV(Tableau1[[#This Row],[Code Excel]],"Capitalisation boursière",TRUE),"")</f>
        <v>1794426000</v>
      </c>
      <c r="V238" s="4" t="str" cm="1">
        <f t="array" aca="1" ref="V238" ca="1">IFERROR(_FV(Tableau1[[#This Row],[Code Excel]],"Industrie"),"")</f>
        <v>Investment Banking &amp; Investment Services</v>
      </c>
      <c r="W238" s="4" t="s">
        <v>2188</v>
      </c>
      <c r="X238" s="4" t="str">
        <f ca="1">Tableau1[[#This Row],[Grand Secteur]]&amp;Tableau1[[#This Row],[Industrie]]</f>
        <v>HoldingInvestment Banking &amp; Investment Services</v>
      </c>
      <c r="Y238" s="23" cm="1">
        <f t="array" aca="1" ref="Y238" ca="1">IFERROR(_FV(Tableau1[[#This Row],[Code Excel]],"P/E",TRUE),"")</f>
        <v>15.961</v>
      </c>
      <c r="Z238" s="43" cm="1">
        <f t="array" aca="1" ref="Z238" ca="1">IFERROR(_FV(Tableau1[[#This Row],[Code Excel]],"Employés"),"")</f>
        <v>32</v>
      </c>
      <c r="AA238" s="49">
        <f ca="1">IFERROR(Tableau1[[#This Row],[Capitalisation boursière]]/Tableau1[[#This Row],[Employés]],"")</f>
        <v>56075812.5</v>
      </c>
      <c r="AB238" s="5" t="str">
        <f>IFERROR(Tableau1[[#This Row],[REX (2021)]]/Tableau1[[#This Row],[CA 2024]],"")</f>
        <v/>
      </c>
      <c r="AC238" s="9" t="str">
        <f>IFERROR(_xlfn.XLOOKUP(Tableau1[[#This Row],[Isin]]&amp;1&amp;2021,#REF!,Tableau3[Résultat d''exploitation]),"")</f>
        <v/>
      </c>
      <c r="AD238" s="9" t="str">
        <f>IFERROR(_xlfn.XLOOKUP(Tableau1[[#This Row],[Isin]]&amp;1&amp;2019,#REF!,Tableau3[Chiffre d''affaires]),"")</f>
        <v/>
      </c>
      <c r="AE238" s="9" t="str">
        <f>IFERROR(_xlfn.XLOOKUP(Tableau1[[#This Row],[Isin]]&amp;1&amp;2024,#REF!,Tableau3[Chiffre d''affaires]),"")</f>
        <v/>
      </c>
      <c r="AF238" s="8" t="str">
        <f>IFERROR(IF((Tableau1[[#This Row],[CA 2024]]-Tableau1[[#This Row],[CA 2019]])/Tableau1[[#This Row],[CA 2019]]=-1,"",(Tableau1[[#This Row],[CA 2024]]-Tableau1[[#This Row],[CA 2019]])/Tableau1[[#This Row],[CA 2019]]),"")</f>
        <v/>
      </c>
      <c r="AG238" s="9" t="str">
        <f>IFERROR(_xlfn.XLOOKUP(Tableau1[[#This Row],[Isin]]&amp;1&amp;2021,#REF!,Tableau3[EBE]),"")</f>
        <v/>
      </c>
      <c r="AH238" s="9" t="str">
        <f>IFERROR(_xlfn.XLOOKUP(Tableau1[[#This Row],[Isin]]&amp;1&amp;2022,#REF!,Tableau3[EBE]),"")</f>
        <v/>
      </c>
      <c r="AI238" s="43" t="s">
        <v>4329</v>
      </c>
      <c r="AJ238" s="43" t="s">
        <v>4330</v>
      </c>
      <c r="AK238" s="43" t="s">
        <v>3419</v>
      </c>
      <c r="AL238" s="43" t="s">
        <v>819</v>
      </c>
      <c r="AM238" s="43"/>
      <c r="AN238" s="9" t="str">
        <f>IFERROR(_xlfn.XLOOKUP(Tableau1[[#This Row],[Isin]]&amp;1&amp;2021,#REF!,Tableau3[Chiffre d''affaires]),"")</f>
        <v/>
      </c>
      <c r="AO238" s="43" cm="1">
        <f t="array" aca="1" ref="AO238" ca="1">_FV(Tableau1[[#This Row],[Code Excel]],"P/E",TRUE)</f>
        <v>15.961</v>
      </c>
      <c r="AP238" s="43" t="str">
        <f>IFERROR(_xlfn.XLOOKUP(Tableau1[[#This Row],[Isin]]&amp;1&amp;2023,#REF!,Tableau3[Résultat Net (PdG)]),"")</f>
        <v/>
      </c>
      <c r="AQ238" s="43">
        <f>IF(IFERROR(_xlfn.XLOOKUP(Tableau1[[#This Row],[Isin]]&amp;1&amp;2022,#REF!,Tableau3[Résultat Net (PdG)]),"")="",Tableau1[[#This Row],[RN Groupe 2022
Manuel]],IFERROR(_xlfn.XLOOKUP(Tableau1[[#This Row],[Isin]]&amp;1&amp;2022,#REF!,Tableau3[Résultat Net (PdG)]),""))</f>
        <v>0</v>
      </c>
      <c r="AR238" s="43"/>
      <c r="AS238" s="43">
        <f>IF(IFERROR(_xlfn.XLOOKUP(Tableau1[[#This Row],[Isin]]&amp;1&amp;2021,#REF!,Tableau3[Résultat Net (PdG)]),"")="",Tableau1[[#This Row],[RN Groupe 2021
Manuel]],IFERROR(_xlfn.XLOOKUP(Tableau1[[#This Row],[Isin]]&amp;1&amp;2021,#REF!,Tableau3[Résultat Net (PdG)]),""))</f>
        <v>0</v>
      </c>
      <c r="AT238" s="43"/>
      <c r="AU238" s="43" t="str">
        <f>IFERROR(_xlfn.XLOOKUP(Tableau1[[#This Row],[Isin]]&amp;1&amp;2020,#REF!,Tableau3[Résultat Net (PdG)]),"")</f>
        <v/>
      </c>
      <c r="AV238" s="43" t="str">
        <f>IFERROR(_xlfn.XLOOKUP(Tableau1[[#This Row],[Isin]]&amp;1&amp;2019,#REF!,Tableau3[Résultat Net (PdG)]),"")</f>
        <v/>
      </c>
      <c r="AW238" s="43" t="str">
        <f>IFERROR(_xlfn.XLOOKUP(Tableau1[[#This Row],[Isin]]&amp;1&amp;2018,#REF!,Tableau3[Résultat Net (PdG)]),"")</f>
        <v/>
      </c>
      <c r="AX238" s="43" t="str">
        <f>IFERROR(_xlfn.XLOOKUP(Tableau1[[#This Row],[Isin]]&amp;1&amp;2017,#REF!,Tableau3[Résultat Net (PdG)]),"")</f>
        <v/>
      </c>
      <c r="AY238" s="43" t="str">
        <f>IFERROR(_xlfn.XLOOKUP(Tableau1[[#This Row],[Isin]]&amp;1&amp;2016,#REF!,Tableau3[Résultat Net (PdG)]),"")</f>
        <v/>
      </c>
      <c r="AZ238" s="137" t="str">
        <f ca="1">IFERROR(Tableau1[[#This Row],[Capitalisation boursière]]/Tableau1[[#This Row],[RN Groupe 2023]],"")</f>
        <v/>
      </c>
      <c r="BA238" s="4" t="str" cm="1">
        <f t="array" aca="1" ref="BA238" ca="1">IFERROR(_FV(Tableau1[[#This Row],[Code Excel]],"Industrie"),"")</f>
        <v>Investment Banking &amp; Investment Services</v>
      </c>
      <c r="BB238" s="43" t="s">
        <v>3845</v>
      </c>
      <c r="BC238" s="43" t="str">
        <f>IFERROR(_xlfn.XLOOKUP(Tableau1[[#This Row],[Isin]]&amp;1&amp;2016,#REF!,Tableau3[Capi]),"")</f>
        <v/>
      </c>
      <c r="BD238" s="43" t="str">
        <f>IFERROR(_xlfn.XLOOKUP(Tableau1[[#This Row],[Isin]]&amp;1&amp;2017,#REF!,Tableau3[Capi]),"")</f>
        <v/>
      </c>
      <c r="BE238" s="43" t="str">
        <f>IFERROR(_xlfn.XLOOKUP(Tableau1[[#This Row],[Isin]]&amp;1&amp;2018,#REF!,Tableau3[Capi]),"")</f>
        <v/>
      </c>
      <c r="BF238" s="43" t="str">
        <f>IFERROR(_xlfn.XLOOKUP(Tableau1[[#This Row],[Isin]]&amp;1&amp;2019,#REF!,Tableau3[Capi]),"")</f>
        <v/>
      </c>
      <c r="BG238" s="43" t="str">
        <f>IFERROR(_xlfn.XLOOKUP(Tableau1[[#This Row],[Isin]]&amp;1&amp;2020,#REF!,Tableau3[Capi]),"")</f>
        <v/>
      </c>
      <c r="BH238" s="43">
        <f>IF(IFERROR(_xlfn.XLOOKUP(Tableau1[[#This Row],[Isin]]&amp;1&amp;2021,#REF!,Tableau3[Capi]),"")="",Tableau1[[#This Row],[Capitalisation 2021
Manuel]],IFERROR(_xlfn.XLOOKUP(Tableau1[[#This Row],[Isin]]&amp;1&amp;2021,#REF!,Tableau3[Capi]),""))</f>
        <v>0</v>
      </c>
      <c r="BI238" s="43"/>
      <c r="BJ238" s="43">
        <f>IF(IFERROR(_xlfn.XLOOKUP(Tableau1[[#This Row],[Isin]]&amp;1&amp;2022,#REF!,Tableau3[Capi]),"")="",Tableau1[[#This Row],[Capitalisation 2022
Manuel]],IFERROR(_xlfn.XLOOKUP(Tableau1[[#This Row],[Isin]]&amp;1&amp;2022,#REF!,Tableau3[Capi]),""))</f>
        <v>0</v>
      </c>
      <c r="BK238" s="43"/>
      <c r="BL238" s="43">
        <f ca="1">Tableau1[[#This Row],[Capitalisation boursière]]</f>
        <v>1794426000</v>
      </c>
      <c r="BM238" s="162" t="str" cm="1">
        <f t="array" aca="1" ref="BM238" ca="1">_FV(Tableau1[[#This Row],[Code Excel]],"Description")</f>
        <v>Peugeot Invest SA (anciennement FFP SA) est une société holding d'investissement basée en France. La Société est engagée dans des activités d'investissement telles que des actifs diversifiés, constitués de participations minoritaires directes, de véhicules de capital-investissement, de co-investissements et d'immobilier. Elle exerce son activité au travers de ses participations directes et indirectes pour progresser dans les domaines de la gouvernance, de l'action sociale et de la protection de l'environnement. La Société exerce ses activités par l'intermédiaire de ses filiales.</v>
      </c>
      <c r="BN238" s="43"/>
      <c r="BO238" s="43"/>
      <c r="BP238" s="43"/>
      <c r="BQ238" s="43"/>
      <c r="BR238" s="13"/>
      <c r="BS238" s="13"/>
      <c r="BT238" s="13"/>
      <c r="BU238" s="13"/>
      <c r="BV238" s="13"/>
      <c r="BW238" s="13"/>
      <c r="BX238" s="13"/>
      <c r="BY238" s="21"/>
      <c r="BZ238" s="13"/>
      <c r="CA238" s="13"/>
      <c r="CB238" s="13"/>
      <c r="CC238" s="13"/>
      <c r="CD238" s="13"/>
      <c r="CF238" s="4"/>
      <c r="CG238" s="4"/>
    </row>
    <row r="239" spans="3:85">
      <c r="C239" s="42"/>
      <c r="D239" s="42">
        <f>IF(Tableau1[[#This Row],[Isin]]="",99,Tableau1[[#This Row],[Intérêt]]+Tableau1[[#This Row],[Valeur d''intérêt]]+Tableau1[[#This Row],[N° Portefeuille]])</f>
        <v>30</v>
      </c>
      <c r="E239" s="42"/>
      <c r="F239" s="42">
        <f>IF(Tableau1[[#This Row],[Portefeuille]]="p",0,Tableau1[[#This Row],[F. Investissement
Niveau d''intérêt]]*10)</f>
        <v>30</v>
      </c>
      <c r="G239" s="42">
        <f>IF(Tableau1[[#This Row],[Portefeuille]]="p",3,0)</f>
        <v>0</v>
      </c>
      <c r="H239" s="42">
        <v>3</v>
      </c>
      <c r="I239" s="42">
        <v>3</v>
      </c>
      <c r="J239" s="42"/>
      <c r="K239" s="43"/>
      <c r="L239" s="16">
        <v>0</v>
      </c>
      <c r="M23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39" s="44" t="s">
        <v>3383</v>
      </c>
      <c r="O239" s="45"/>
      <c r="P239" s="4" t="s">
        <v>382</v>
      </c>
      <c r="Q239" s="4"/>
      <c r="R239" s="6"/>
      <c r="S239" s="6" t="s">
        <v>3382</v>
      </c>
      <c r="T239" s="6" t="e" vm="220">
        <v>#VALUE!</v>
      </c>
      <c r="U239" s="46" cm="1">
        <f t="array" aca="1" ref="U239" ca="1">IFERROR(_FV(Tableau1[[#This Row],[Code Excel]],"Capitalisation boursière",TRUE),"")</f>
        <v>141162514950</v>
      </c>
      <c r="V239" s="4" t="str" cm="1">
        <f t="array" aca="1" ref="V239" ca="1">IFERROR(_FV(Tableau1[[#This Row],[Code Excel]],"Industrie"),"")</f>
        <v>Pharmaceuticals</v>
      </c>
      <c r="W239" s="4" t="s">
        <v>1586</v>
      </c>
      <c r="X239" s="4" t="str">
        <f ca="1">Tableau1[[#This Row],[Grand Secteur]]&amp;Tableau1[[#This Row],[Industrie]]</f>
        <v>SantéPharmaceuticals</v>
      </c>
      <c r="Y239" s="23" cm="1">
        <f t="array" aca="1" ref="Y239" ca="1">IFERROR(_FV(Tableau1[[#This Row],[Code Excel]],"P/E",TRUE),"")</f>
        <v>17.917300000000001</v>
      </c>
      <c r="Z239" s="43" cm="1">
        <f t="array" aca="1" ref="Z239" ca="1">IFERROR(_FV(Tableau1[[#This Row],[Code Excel]],"Employés"),"")</f>
        <v>81000</v>
      </c>
      <c r="AA239" s="49">
        <f ca="1">IFERROR(Tableau1[[#This Row],[Capitalisation boursière]]/Tableau1[[#This Row],[Employés]],"")</f>
        <v>1742747.098148148</v>
      </c>
      <c r="AB239" s="5" t="str">
        <f>IFERROR(Tableau1[[#This Row],[REX (2021)]]/Tableau1[[#This Row],[CA 2024]],"")</f>
        <v/>
      </c>
      <c r="AC239" s="9" t="str">
        <f>IFERROR(_xlfn.XLOOKUP(Tableau1[[#This Row],[Isin]]&amp;1&amp;2021,#REF!,Tableau3[Résultat d''exploitation]),"")</f>
        <v/>
      </c>
      <c r="AD239" s="9" t="str">
        <f>IFERROR(_xlfn.XLOOKUP(Tableau1[[#This Row],[Isin]]&amp;1&amp;2019,#REF!,Tableau3[Chiffre d''affaires]),"")</f>
        <v/>
      </c>
      <c r="AE239" s="9" t="str">
        <f>IFERROR(_xlfn.XLOOKUP(Tableau1[[#This Row],[Isin]]&amp;1&amp;2024,#REF!,Tableau3[Chiffre d''affaires]),"")</f>
        <v/>
      </c>
      <c r="AF239" s="8" t="str">
        <f>IFERROR(IF((Tableau1[[#This Row],[CA 2024]]-Tableau1[[#This Row],[CA 2019]])/Tableau1[[#This Row],[CA 2019]]=-1,"",(Tableau1[[#This Row],[CA 2024]]-Tableau1[[#This Row],[CA 2019]])/Tableau1[[#This Row],[CA 2019]]),"")</f>
        <v/>
      </c>
      <c r="AG239" s="9" t="str">
        <f>IFERROR(_xlfn.XLOOKUP(Tableau1[[#This Row],[Isin]]&amp;1&amp;2021,#REF!,Tableau3[EBE]),"")</f>
        <v/>
      </c>
      <c r="AH239" s="9" t="str">
        <f>IFERROR(_xlfn.XLOOKUP(Tableau1[[#This Row],[Isin]]&amp;1&amp;2022,#REF!,Tableau3[EBE]),"")</f>
        <v/>
      </c>
      <c r="AI239" s="13" t="s">
        <v>4324</v>
      </c>
      <c r="AJ239" s="13" t="s">
        <v>4325</v>
      </c>
      <c r="AK239" s="13" t="s">
        <v>3148</v>
      </c>
      <c r="AL239" s="43"/>
      <c r="AM239" s="43"/>
      <c r="AN239" s="9" t="str">
        <f>IFERROR(_xlfn.XLOOKUP(Tableau1[[#This Row],[Isin]]&amp;1&amp;2021,#REF!,Tableau3[Chiffre d''affaires]),"")</f>
        <v/>
      </c>
      <c r="AO239" s="43" cm="1">
        <f t="array" aca="1" ref="AO239" ca="1">_FV(Tableau1[[#This Row],[Code Excel]],"P/E",TRUE)</f>
        <v>17.917300000000001</v>
      </c>
      <c r="AP239" s="43" t="str">
        <f>IFERROR(_xlfn.XLOOKUP(Tableau1[[#This Row],[Isin]]&amp;1&amp;2023,#REF!,Tableau3[Résultat Net (PdG)]),"")</f>
        <v/>
      </c>
      <c r="AQ239" s="43">
        <f>IF(IFERROR(_xlfn.XLOOKUP(Tableau1[[#This Row],[Isin]]&amp;1&amp;2022,#REF!,Tableau3[Résultat Net (PdG)]),"")="",Tableau1[[#This Row],[RN Groupe 2022
Manuel]],IFERROR(_xlfn.XLOOKUP(Tableau1[[#This Row],[Isin]]&amp;1&amp;2022,#REF!,Tableau3[Résultat Net (PdG)]),""))</f>
        <v>0</v>
      </c>
      <c r="AR239" s="43"/>
      <c r="AS239" s="43">
        <f>IF(IFERROR(_xlfn.XLOOKUP(Tableau1[[#This Row],[Isin]]&amp;1&amp;2021,#REF!,Tableau3[Résultat Net (PdG)]),"")="",Tableau1[[#This Row],[RN Groupe 2021
Manuel]],IFERROR(_xlfn.XLOOKUP(Tableau1[[#This Row],[Isin]]&amp;1&amp;2021,#REF!,Tableau3[Résultat Net (PdG)]),""))</f>
        <v>0</v>
      </c>
      <c r="AT239" s="43"/>
      <c r="AU239" s="43" t="str">
        <f>IFERROR(_xlfn.XLOOKUP(Tableau1[[#This Row],[Isin]]&amp;1&amp;2020,#REF!,Tableau3[Résultat Net (PdG)]),"")</f>
        <v/>
      </c>
      <c r="AV239" s="43" t="str">
        <f>IFERROR(_xlfn.XLOOKUP(Tableau1[[#This Row],[Isin]]&amp;1&amp;2019,#REF!,Tableau3[Résultat Net (PdG)]),"")</f>
        <v/>
      </c>
      <c r="AW239" s="43" t="str">
        <f>IFERROR(_xlfn.XLOOKUP(Tableau1[[#This Row],[Isin]]&amp;1&amp;2018,#REF!,Tableau3[Résultat Net (PdG)]),"")</f>
        <v/>
      </c>
      <c r="AX239" s="43" t="str">
        <f>IFERROR(_xlfn.XLOOKUP(Tableau1[[#This Row],[Isin]]&amp;1&amp;2017,#REF!,Tableau3[Résultat Net (PdG)]),"")</f>
        <v/>
      </c>
      <c r="AY239" s="43" t="str">
        <f>IFERROR(_xlfn.XLOOKUP(Tableau1[[#This Row],[Isin]]&amp;1&amp;2016,#REF!,Tableau3[Résultat Net (PdG)]),"")</f>
        <v/>
      </c>
      <c r="AZ239" s="137" t="str">
        <f ca="1">IFERROR(Tableau1[[#This Row],[Capitalisation boursière]]/Tableau1[[#This Row],[RN Groupe 2023]],"")</f>
        <v/>
      </c>
      <c r="BA239" s="4" t="str" cm="1">
        <f t="array" aca="1" ref="BA239" ca="1">IFERROR(_FV(Tableau1[[#This Row],[Code Excel]],"Industrie"),"")</f>
        <v>Pharmaceuticals</v>
      </c>
      <c r="BB239" s="43" t="s">
        <v>3464</v>
      </c>
      <c r="BC239" s="43" t="str">
        <f>IFERROR(_xlfn.XLOOKUP(Tableau1[[#This Row],[Isin]]&amp;1&amp;2016,#REF!,Tableau3[Capi]),"")</f>
        <v/>
      </c>
      <c r="BD239" s="43" t="str">
        <f>IFERROR(_xlfn.XLOOKUP(Tableau1[[#This Row],[Isin]]&amp;1&amp;2017,#REF!,Tableau3[Capi]),"")</f>
        <v/>
      </c>
      <c r="BE239" s="43" t="str">
        <f>IFERROR(_xlfn.XLOOKUP(Tableau1[[#This Row],[Isin]]&amp;1&amp;2018,#REF!,Tableau3[Capi]),"")</f>
        <v/>
      </c>
      <c r="BF239" s="43" t="str">
        <f>IFERROR(_xlfn.XLOOKUP(Tableau1[[#This Row],[Isin]]&amp;1&amp;2019,#REF!,Tableau3[Capi]),"")</f>
        <v/>
      </c>
      <c r="BG239" s="43" t="str">
        <f>IFERROR(_xlfn.XLOOKUP(Tableau1[[#This Row],[Isin]]&amp;1&amp;2020,#REF!,Tableau3[Capi]),"")</f>
        <v/>
      </c>
      <c r="BH239" s="43">
        <f>IF(IFERROR(_xlfn.XLOOKUP(Tableau1[[#This Row],[Isin]]&amp;1&amp;2021,#REF!,Tableau3[Capi]),"")="",Tableau1[[#This Row],[Capitalisation 2021
Manuel]],IFERROR(_xlfn.XLOOKUP(Tableau1[[#This Row],[Isin]]&amp;1&amp;2021,#REF!,Tableau3[Capi]),""))</f>
        <v>0</v>
      </c>
      <c r="BI239" s="43"/>
      <c r="BJ239" s="43">
        <f>IF(IFERROR(_xlfn.XLOOKUP(Tableau1[[#This Row],[Isin]]&amp;1&amp;2022,#REF!,Tableau3[Capi]),"")="",Tableau1[[#This Row],[Capitalisation 2022
Manuel]],IFERROR(_xlfn.XLOOKUP(Tableau1[[#This Row],[Isin]]&amp;1&amp;2022,#REF!,Tableau3[Capi]),""))</f>
        <v>0</v>
      </c>
      <c r="BK239" s="43"/>
      <c r="BL239" s="43">
        <f ca="1">Tableau1[[#This Row],[Capitalisation boursière]]</f>
        <v>141162514950</v>
      </c>
      <c r="BM239" s="162" t="str" cm="1">
        <f t="array" aca="1" ref="BM239" ca="1">_FV(Tableau1[[#This Row],[Code Excel]],"Description")</f>
        <v>Pfizer Inc. est une société biopharmaceutique mondiale axée sur la recherche. La Société est engagée dans la découverte, le développement, la fabrication, la commercialisation, la vente et la distribution de produits biopharmaceutiques dans le monde entier. Son segment biopharmaceutique est engagé dans le secteur biopharmaceutique scientifique. Son segment biopharmaceutique comprend la division oncologie de Pfizer, la division commerciale américaine de Pfizer et la division commerciale internationale de Pfizer. Ses catégories de produits comprennent l'oncologie, les soins primaires et les soins spécialisés. Ses produits d'oncologie incluent Ibrance, Xtandi, Inlyta, Bosulif, Lorbrena, Braftovi, Mektovi, Padcev, Adcetris, Talzenna, Tukysa, Elrexfio et Tivdak. Ses produits de soins primaires comprennent Eliquis, Nurtec ODT/Vydura, Comirnaty, la famille Prevnar, Abrysvo, FSME/IMMUN-TicoVac, Paxlovid et Lucira par Pfizer. Ses produits de soins spécialisés comprennent Xeljanz, Enbrel (à l'extérieur des États-Unis et du Canada), Inflectra, Cibinqo, Litfulo, famille Vyndaqel, Genotropin, Sulperazon, Zavicefta, Medrol et Panzyga.</v>
      </c>
      <c r="BN239" s="43"/>
      <c r="BO239" s="43"/>
      <c r="BP239" s="43"/>
      <c r="BQ239" s="43"/>
      <c r="BR239" s="13"/>
      <c r="BS239" s="13"/>
      <c r="BT239" s="13"/>
      <c r="BU239" s="13"/>
      <c r="BV239" s="13"/>
      <c r="BW239" s="13"/>
      <c r="BX239" s="13"/>
      <c r="BY239" s="21"/>
      <c r="BZ239" s="13"/>
      <c r="CA239" s="13"/>
      <c r="CB239" s="13"/>
      <c r="CC239" s="13"/>
      <c r="CD239" s="13"/>
      <c r="CF239" s="4"/>
      <c r="CG239" s="4"/>
    </row>
    <row r="240" spans="3:85">
      <c r="C240" s="43"/>
      <c r="D240" s="42">
        <f>IF(Tableau1[[#This Row],[Isin]]="",99,Tableau1[[#This Row],[Intérêt]]+Tableau1[[#This Row],[Valeur d''intérêt]]+Tableau1[[#This Row],[N° Portefeuille]])</f>
        <v>30</v>
      </c>
      <c r="E240" s="43"/>
      <c r="F240" s="42">
        <f>IF(Tableau1[[#This Row],[Portefeuille]]="p",0,Tableau1[[#This Row],[F. Investissement
Niveau d''intérêt]]*10)</f>
        <v>30</v>
      </c>
      <c r="G240" s="43">
        <f>IF(Tableau1[[#This Row],[Portefeuille]]="p",3,0)</f>
        <v>0</v>
      </c>
      <c r="H240" s="43">
        <v>3</v>
      </c>
      <c r="I240" s="43">
        <v>4</v>
      </c>
      <c r="J240" s="43"/>
      <c r="K240" s="43"/>
      <c r="L240" s="16">
        <v>1</v>
      </c>
      <c r="M24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0" s="44" t="s">
        <v>1498</v>
      </c>
      <c r="O240" s="44" t="s">
        <v>4413</v>
      </c>
      <c r="P240" s="4" t="s">
        <v>84</v>
      </c>
      <c r="Q240" s="6" t="s">
        <v>85</v>
      </c>
      <c r="R240" s="6" t="s">
        <v>4361</v>
      </c>
      <c r="S240" s="6" t="s">
        <v>819</v>
      </c>
      <c r="T240" s="6"/>
      <c r="U240" s="4" t="str" cm="1">
        <f t="array" ref="U240">IFERROR(_FV(Tableau1[[#This Row],[Code Excel]],"Capitalisation boursière",TRUE),"")</f>
        <v/>
      </c>
      <c r="V240" s="4" t="str" cm="1">
        <f t="array" ref="V240">IFERROR(_FV(Tableau1[[#This Row],[Code Excel]],"Industrie"),"")</f>
        <v/>
      </c>
      <c r="W240" s="4"/>
      <c r="X240" s="4" t="str">
        <f>Tableau1[[#This Row],[Grand Secteur]]&amp;Tableau1[[#This Row],[Industrie]]</f>
        <v/>
      </c>
      <c r="Y240" s="23" t="str" cm="1">
        <f t="array" ref="Y240">IFERROR(_FV(Tableau1[[#This Row],[Code Excel]],"P/E",TRUE),"")</f>
        <v/>
      </c>
      <c r="Z240" s="43" t="str" cm="1">
        <f t="array" ref="Z240">IFERROR(_FV(Tableau1[[#This Row],[Code Excel]],"Employés"),"")</f>
        <v/>
      </c>
      <c r="AA240" s="49" t="str">
        <f>IFERROR(Tableau1[[#This Row],[Capitalisation boursière]]/Tableau1[[#This Row],[Employés]],"")</f>
        <v/>
      </c>
      <c r="AB240" s="5" t="str">
        <f>IFERROR(Tableau1[[#This Row],[REX (2021)]]/Tableau1[[#This Row],[CA 2024]],"")</f>
        <v/>
      </c>
      <c r="AC240" s="9" t="str">
        <f>IFERROR(_xlfn.XLOOKUP(Tableau1[[#This Row],[Isin]]&amp;1&amp;2021,#REF!,Tableau3[Résultat d''exploitation]),"")</f>
        <v/>
      </c>
      <c r="AD240" s="9" t="str">
        <f>IFERROR(_xlfn.XLOOKUP(Tableau1[[#This Row],[Isin]]&amp;1&amp;2019,#REF!,Tableau3[Chiffre d''affaires]),"")</f>
        <v/>
      </c>
      <c r="AE240" s="9" t="str">
        <f>IFERROR(_xlfn.XLOOKUP(Tableau1[[#This Row],[Isin]]&amp;1&amp;2024,#REF!,Tableau3[Chiffre d''affaires]),"")</f>
        <v/>
      </c>
      <c r="AF240" s="8" t="str">
        <f>IFERROR(IF((Tableau1[[#This Row],[CA 2024]]-Tableau1[[#This Row],[CA 2019]])/Tableau1[[#This Row],[CA 2019]]=-1,"",(Tableau1[[#This Row],[CA 2024]]-Tableau1[[#This Row],[CA 2019]])/Tableau1[[#This Row],[CA 2019]]),"")</f>
        <v/>
      </c>
      <c r="AG240" s="9" t="str">
        <f>IFERROR(_xlfn.XLOOKUP(Tableau1[[#This Row],[Isin]]&amp;1&amp;2021,#REF!,Tableau3[EBE]),"")</f>
        <v/>
      </c>
      <c r="AH240" s="9" t="str">
        <f>IFERROR(_xlfn.XLOOKUP(Tableau1[[#This Row],[Isin]]&amp;1&amp;2022,#REF!,Tableau3[EBE]),"")</f>
        <v/>
      </c>
      <c r="AI240" s="43"/>
      <c r="AJ240" s="43"/>
      <c r="AK240" s="43"/>
      <c r="AL240" s="43"/>
      <c r="AM240" s="43"/>
      <c r="AN240" s="9" t="str">
        <f>IFERROR(_xlfn.XLOOKUP(Tableau1[[#This Row],[Isin]]&amp;1&amp;2021,#REF!,Tableau3[Chiffre d''affaires]),"")</f>
        <v/>
      </c>
      <c r="AO240" s="43" t="e" cm="1" vm="1">
        <f t="array" ref="AO240">_FV(Tableau1[[#This Row],[Code Excel]],"P/E",TRUE)</f>
        <v>#VALUE!</v>
      </c>
      <c r="AP240" s="43" t="str">
        <f>IFERROR(_xlfn.XLOOKUP(Tableau1[[#This Row],[Isin]]&amp;1&amp;2023,#REF!,Tableau3[Résultat Net (PdG)]),"")</f>
        <v/>
      </c>
      <c r="AQ240" s="43">
        <f>IF(IFERROR(_xlfn.XLOOKUP(Tableau1[[#This Row],[Isin]]&amp;1&amp;2022,#REF!,Tableau3[Résultat Net (PdG)]),"")="",Tableau1[[#This Row],[RN Groupe 2022
Manuel]],IFERROR(_xlfn.XLOOKUP(Tableau1[[#This Row],[Isin]]&amp;1&amp;2022,#REF!,Tableau3[Résultat Net (PdG)]),""))</f>
        <v>0</v>
      </c>
      <c r="AR240" s="43"/>
      <c r="AS240" s="43">
        <f>IF(IFERROR(_xlfn.XLOOKUP(Tableau1[[#This Row],[Isin]]&amp;1&amp;2021,#REF!,Tableau3[Résultat Net (PdG)]),"")="",Tableau1[[#This Row],[RN Groupe 2021
Manuel]],IFERROR(_xlfn.XLOOKUP(Tableau1[[#This Row],[Isin]]&amp;1&amp;2021,#REF!,Tableau3[Résultat Net (PdG)]),""))</f>
        <v>0</v>
      </c>
      <c r="AT240" s="43"/>
      <c r="AU240" s="43" t="str">
        <f>IFERROR(_xlfn.XLOOKUP(Tableau1[[#This Row],[Isin]]&amp;1&amp;2020,#REF!,Tableau3[Résultat Net (PdG)]),"")</f>
        <v/>
      </c>
      <c r="AV240" s="43" t="str">
        <f>IFERROR(_xlfn.XLOOKUP(Tableau1[[#This Row],[Isin]]&amp;1&amp;2019,#REF!,Tableau3[Résultat Net (PdG)]),"")</f>
        <v/>
      </c>
      <c r="AW240" s="43" t="str">
        <f>IFERROR(_xlfn.XLOOKUP(Tableau1[[#This Row],[Isin]]&amp;1&amp;2018,#REF!,Tableau3[Résultat Net (PdG)]),"")</f>
        <v/>
      </c>
      <c r="AX240" s="43" t="str">
        <f>IFERROR(_xlfn.XLOOKUP(Tableau1[[#This Row],[Isin]]&amp;1&amp;2017,#REF!,Tableau3[Résultat Net (PdG)]),"")</f>
        <v/>
      </c>
      <c r="AY240" s="43" t="str">
        <f>IFERROR(_xlfn.XLOOKUP(Tableau1[[#This Row],[Isin]]&amp;1&amp;2016,#REF!,Tableau3[Résultat Net (PdG)]),"")</f>
        <v/>
      </c>
      <c r="AZ240" s="137" t="str">
        <f>IFERROR(Tableau1[[#This Row],[Capitalisation boursière]]/Tableau1[[#This Row],[RN Groupe 2023]],"")</f>
        <v/>
      </c>
      <c r="BA240" s="4" t="str" cm="1">
        <f t="array" ref="BA240">IFERROR(_FV(Tableau1[[#This Row],[Code Excel]],"Industrie"),"")</f>
        <v/>
      </c>
      <c r="BB240" s="43" t="e">
        <v>#N/A</v>
      </c>
      <c r="BC240" s="43" t="str">
        <f>IFERROR(_xlfn.XLOOKUP(Tableau1[[#This Row],[Isin]]&amp;1&amp;2016,#REF!,Tableau3[Capi]),"")</f>
        <v/>
      </c>
      <c r="BD240" s="43" t="str">
        <f>IFERROR(_xlfn.XLOOKUP(Tableau1[[#This Row],[Isin]]&amp;1&amp;2017,#REF!,Tableau3[Capi]),"")</f>
        <v/>
      </c>
      <c r="BE240" s="43" t="str">
        <f>IFERROR(_xlfn.XLOOKUP(Tableau1[[#This Row],[Isin]]&amp;1&amp;2018,#REF!,Tableau3[Capi]),"")</f>
        <v/>
      </c>
      <c r="BF240" s="43" t="str">
        <f>IFERROR(_xlfn.XLOOKUP(Tableau1[[#This Row],[Isin]]&amp;1&amp;2019,#REF!,Tableau3[Capi]),"")</f>
        <v/>
      </c>
      <c r="BG240" s="43" t="str">
        <f>IFERROR(_xlfn.XLOOKUP(Tableau1[[#This Row],[Isin]]&amp;1&amp;2020,#REF!,Tableau3[Capi]),"")</f>
        <v/>
      </c>
      <c r="BH240" s="43">
        <f>IF(IFERROR(_xlfn.XLOOKUP(Tableau1[[#This Row],[Isin]]&amp;1&amp;2021,#REF!,Tableau3[Capi]),"")="",Tableau1[[#This Row],[Capitalisation 2021
Manuel]],IFERROR(_xlfn.XLOOKUP(Tableau1[[#This Row],[Isin]]&amp;1&amp;2021,#REF!,Tableau3[Capi]),""))</f>
        <v>0</v>
      </c>
      <c r="BI240" s="43"/>
      <c r="BJ240" s="43">
        <f>IF(IFERROR(_xlfn.XLOOKUP(Tableau1[[#This Row],[Isin]]&amp;1&amp;2022,#REF!,Tableau3[Capi]),"")="",Tableau1[[#This Row],[Capitalisation 2022
Manuel]],IFERROR(_xlfn.XLOOKUP(Tableau1[[#This Row],[Isin]]&amp;1&amp;2022,#REF!,Tableau3[Capi]),""))</f>
        <v>0</v>
      </c>
      <c r="BK240" s="43"/>
      <c r="BL240" s="43" t="str">
        <f>Tableau1[[#This Row],[Capitalisation boursière]]</f>
        <v/>
      </c>
      <c r="BM240" s="162" t="e" cm="1" vm="2">
        <f t="array" ref="BM240">_FV(Tableau1[[#This Row],[Code Excel]],"Description")</f>
        <v>#VALUE!</v>
      </c>
      <c r="BN240" s="43"/>
      <c r="BO240" s="43"/>
      <c r="BP240" s="43"/>
      <c r="BQ240" s="43"/>
      <c r="BR240" s="13"/>
      <c r="BS240" s="13"/>
      <c r="BT240" s="13"/>
      <c r="BU240" s="13"/>
      <c r="BV240" s="13"/>
      <c r="BW240" s="13"/>
      <c r="BX240" s="13"/>
      <c r="BY240" s="21"/>
      <c r="BZ240" s="13"/>
      <c r="CA240" s="13"/>
      <c r="CB240" s="13"/>
      <c r="CC240" s="13"/>
      <c r="CD240" s="13"/>
      <c r="CF240" s="4"/>
      <c r="CG240" s="4"/>
    </row>
    <row r="241" spans="3:85">
      <c r="C241" s="42"/>
      <c r="D241" s="42">
        <f>IF(Tableau1[[#This Row],[Isin]]="",99,Tableau1[[#This Row],[Intérêt]]+Tableau1[[#This Row],[Valeur d''intérêt]]+Tableau1[[#This Row],[N° Portefeuille]])</f>
        <v>30</v>
      </c>
      <c r="E241" s="42"/>
      <c r="F241" s="42">
        <f>IF(Tableau1[[#This Row],[Portefeuille]]="p",0,Tableau1[[#This Row],[F. Investissement
Niveau d''intérêt]]*10)</f>
        <v>30</v>
      </c>
      <c r="G241" s="42">
        <f>IF(Tableau1[[#This Row],[Portefeuille]]="p",3,0)</f>
        <v>0</v>
      </c>
      <c r="H241" s="42">
        <v>3</v>
      </c>
      <c r="I241" s="42">
        <v>4</v>
      </c>
      <c r="J241" s="42"/>
      <c r="K241" s="43"/>
      <c r="L241" s="16">
        <v>1</v>
      </c>
      <c r="M24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1" s="44" t="s">
        <v>4028</v>
      </c>
      <c r="O241" s="44" t="s">
        <v>4395</v>
      </c>
      <c r="P241" s="4" t="s">
        <v>84</v>
      </c>
      <c r="Q241" s="6" t="s">
        <v>85</v>
      </c>
      <c r="R241" s="6"/>
      <c r="S241" s="6" t="s">
        <v>1285</v>
      </c>
      <c r="T241" s="6" t="e" vm="221">
        <v>#VALUE!</v>
      </c>
      <c r="U241" s="46" cm="1">
        <f t="array" aca="1" ref="U241" ca="1">IFERROR(_FV(Tableau1[[#This Row],[Code Excel]],"Capitalisation boursière",TRUE),"")</f>
        <v>1329324000</v>
      </c>
      <c r="V241" s="4" t="str" cm="1">
        <f t="array" aca="1" ref="V241" ca="1">IFERROR(_FV(Tableau1[[#This Row],[Code Excel]],"Industrie"),"")</f>
        <v>Automobiles &amp; Auto Parts</v>
      </c>
      <c r="W241" s="4" t="s">
        <v>1224</v>
      </c>
      <c r="X241" s="4" t="str">
        <f ca="1">Tableau1[[#This Row],[Grand Secteur]]&amp;Tableau1[[#This Row],[Industrie]]</f>
        <v>AutomobileAutomobiles &amp; Auto Parts</v>
      </c>
      <c r="Y241" s="23" cm="1">
        <f t="array" aca="1" ref="Y241" ca="1">IFERROR(_FV(Tableau1[[#This Row],[Code Excel]],"P/E",TRUE),"")</f>
        <v>7.8094999999999999</v>
      </c>
      <c r="Z241" s="43" cm="1">
        <f t="array" aca="1" ref="Z241" ca="1">IFERROR(_FV(Tableau1[[#This Row],[Code Excel]],"Employés"),"")</f>
        <v>29213</v>
      </c>
      <c r="AA241" s="46">
        <f ca="1">IFERROR(Tableau1[[#This Row],[Capitalisation boursière]]/Tableau1[[#This Row],[Employés]],"")</f>
        <v>45504.535651935781</v>
      </c>
      <c r="AB241" s="5" t="str">
        <f>IFERROR(Tableau1[[#This Row],[REX (2021)]]/Tableau1[[#This Row],[CA 2024]],"")</f>
        <v/>
      </c>
      <c r="AC241" s="9" t="str">
        <f>IFERROR(_xlfn.XLOOKUP(Tableau1[[#This Row],[Isin]]&amp;1&amp;2021,#REF!,Tableau3[Résultat d''exploitation]),"")</f>
        <v/>
      </c>
      <c r="AD241" s="9" t="str">
        <f>IFERROR(_xlfn.XLOOKUP(Tableau1[[#This Row],[Isin]]&amp;1&amp;2019,#REF!,Tableau3[Chiffre d''affaires]),"")</f>
        <v/>
      </c>
      <c r="AE241" s="9" t="str">
        <f>IFERROR(_xlfn.XLOOKUP(Tableau1[[#This Row],[Isin]]&amp;1&amp;2024,#REF!,Tableau3[Chiffre d''affaires]),"")</f>
        <v/>
      </c>
      <c r="AF241" s="8" t="str">
        <f>IFERROR(IF((Tableau1[[#This Row],[CA 2024]]-Tableau1[[#This Row],[CA 2019]])/Tableau1[[#This Row],[CA 2019]]=-1,"",(Tableau1[[#This Row],[CA 2024]]-Tableau1[[#This Row],[CA 2019]])/Tableau1[[#This Row],[CA 2019]]),"")</f>
        <v/>
      </c>
      <c r="AG241" s="9" t="str">
        <f>IFERROR(_xlfn.XLOOKUP(Tableau1[[#This Row],[Isin]]&amp;1&amp;2021,#REF!,Tableau3[EBE]),"")</f>
        <v/>
      </c>
      <c r="AH241" s="9" t="str">
        <f>IFERROR(_xlfn.XLOOKUP(Tableau1[[#This Row],[Isin]]&amp;1&amp;2022,#REF!,Tableau3[EBE]),"")</f>
        <v/>
      </c>
      <c r="AI241" s="43" t="s">
        <v>4329</v>
      </c>
      <c r="AJ241" s="43" t="s">
        <v>3150</v>
      </c>
      <c r="AK241" s="43" t="s">
        <v>3148</v>
      </c>
      <c r="AL241" s="43" t="s">
        <v>3149</v>
      </c>
      <c r="AM241" s="43"/>
      <c r="AN241" s="9" t="str">
        <f>IFERROR(_xlfn.XLOOKUP(Tableau1[[#This Row],[Isin]]&amp;1&amp;2021,#REF!,Tableau3[Chiffre d''affaires]),"")</f>
        <v/>
      </c>
      <c r="AO241" s="43" cm="1">
        <f t="array" aca="1" ref="AO241" ca="1">_FV(Tableau1[[#This Row],[Code Excel]],"P/E",TRUE)</f>
        <v>7.8094999999999999</v>
      </c>
      <c r="AP241" s="43" t="str">
        <f>IFERROR(_xlfn.XLOOKUP(Tableau1[[#This Row],[Isin]]&amp;1&amp;2023,#REF!,Tableau3[Résultat Net (PdG)]),"")</f>
        <v/>
      </c>
      <c r="AQ241" s="43">
        <f>IF(IFERROR(_xlfn.XLOOKUP(Tableau1[[#This Row],[Isin]]&amp;1&amp;2022,#REF!,Tableau3[Résultat Net (PdG)]),"")="",Tableau1[[#This Row],[RN Groupe 2022
Manuel]],IFERROR(_xlfn.XLOOKUP(Tableau1[[#This Row],[Isin]]&amp;1&amp;2022,#REF!,Tableau3[Résultat Net (PdG)]),""))</f>
        <v>0</v>
      </c>
      <c r="AR241" s="43"/>
      <c r="AS241" s="43">
        <f>IF(IFERROR(_xlfn.XLOOKUP(Tableau1[[#This Row],[Isin]]&amp;1&amp;2021,#REF!,Tableau3[Résultat Net (PdG)]),"")="",Tableau1[[#This Row],[RN Groupe 2021
Manuel]],IFERROR(_xlfn.XLOOKUP(Tableau1[[#This Row],[Isin]]&amp;1&amp;2021,#REF!,Tableau3[Résultat Net (PdG)]),""))</f>
        <v>0</v>
      </c>
      <c r="AT241" s="43"/>
      <c r="AU241" s="43" t="str">
        <f>IFERROR(_xlfn.XLOOKUP(Tableau1[[#This Row],[Isin]]&amp;1&amp;2020,#REF!,Tableau3[Résultat Net (PdG)]),"")</f>
        <v/>
      </c>
      <c r="AV241" s="43" t="str">
        <f>IFERROR(_xlfn.XLOOKUP(Tableau1[[#This Row],[Isin]]&amp;1&amp;2019,#REF!,Tableau3[Résultat Net (PdG)]),"")</f>
        <v/>
      </c>
      <c r="AW241" s="43" t="str">
        <f>IFERROR(_xlfn.XLOOKUP(Tableau1[[#This Row],[Isin]]&amp;1&amp;2018,#REF!,Tableau3[Résultat Net (PdG)]),"")</f>
        <v/>
      </c>
      <c r="AX241" s="43" t="str">
        <f>IFERROR(_xlfn.XLOOKUP(Tableau1[[#This Row],[Isin]]&amp;1&amp;2017,#REF!,Tableau3[Résultat Net (PdG)]),"")</f>
        <v/>
      </c>
      <c r="AY241" s="43" t="str">
        <f>IFERROR(_xlfn.XLOOKUP(Tableau1[[#This Row],[Isin]]&amp;1&amp;2016,#REF!,Tableau3[Résultat Net (PdG)]),"")</f>
        <v/>
      </c>
      <c r="AZ241" s="137" t="str">
        <f ca="1">IFERROR(Tableau1[[#This Row],[Capitalisation boursière]]/Tableau1[[#This Row],[RN Groupe 2023]],"")</f>
        <v/>
      </c>
      <c r="BA241" s="4" t="str" cm="1">
        <f t="array" aca="1" ref="BA241" ca="1">IFERROR(_FV(Tableau1[[#This Row],[Code Excel]],"Industrie"),"")</f>
        <v>Automobiles &amp; Auto Parts</v>
      </c>
      <c r="BB241" s="43" t="s">
        <v>3477</v>
      </c>
      <c r="BC241" s="43" t="str">
        <f>IFERROR(_xlfn.XLOOKUP(Tableau1[[#This Row],[Isin]]&amp;1&amp;2016,#REF!,Tableau3[Capi]),"")</f>
        <v/>
      </c>
      <c r="BD241" s="43" t="str">
        <f>IFERROR(_xlfn.XLOOKUP(Tableau1[[#This Row],[Isin]]&amp;1&amp;2017,#REF!,Tableau3[Capi]),"")</f>
        <v/>
      </c>
      <c r="BE241" s="43" t="str">
        <f>IFERROR(_xlfn.XLOOKUP(Tableau1[[#This Row],[Isin]]&amp;1&amp;2018,#REF!,Tableau3[Capi]),"")</f>
        <v/>
      </c>
      <c r="BF241" s="43" t="str">
        <f>IFERROR(_xlfn.XLOOKUP(Tableau1[[#This Row],[Isin]]&amp;1&amp;2019,#REF!,Tableau3[Capi]),"")</f>
        <v/>
      </c>
      <c r="BG241" s="43" t="str">
        <f>IFERROR(_xlfn.XLOOKUP(Tableau1[[#This Row],[Isin]]&amp;1&amp;2020,#REF!,Tableau3[Capi]),"")</f>
        <v/>
      </c>
      <c r="BH241" s="43">
        <f>IF(IFERROR(_xlfn.XLOOKUP(Tableau1[[#This Row],[Isin]]&amp;1&amp;2021,#REF!,Tableau3[Capi]),"")="",Tableau1[[#This Row],[Capitalisation 2021
Manuel]],IFERROR(_xlfn.XLOOKUP(Tableau1[[#This Row],[Isin]]&amp;1&amp;2021,#REF!,Tableau3[Capi]),""))</f>
        <v>0</v>
      </c>
      <c r="BI241" s="43"/>
      <c r="BJ241" s="43">
        <f>IF(IFERROR(_xlfn.XLOOKUP(Tableau1[[#This Row],[Isin]]&amp;1&amp;2022,#REF!,Tableau3[Capi]),"")="",Tableau1[[#This Row],[Capitalisation 2022
Manuel]],IFERROR(_xlfn.XLOOKUP(Tableau1[[#This Row],[Isin]]&amp;1&amp;2022,#REF!,Tableau3[Capi]),""))</f>
        <v>0</v>
      </c>
      <c r="BK241" s="43"/>
      <c r="BL241" s="43">
        <f ca="1">Tableau1[[#This Row],[Capitalisation boursière]]</f>
        <v>1329324000</v>
      </c>
      <c r="BM241" s="162" t="str" cm="1">
        <f t="array" aca="1" ref="BM241" ca="1">_FV(Tableau1[[#This Row],[Code Excel]],"Description")</f>
        <v>Opmobility SE, anciennement Compagnie Plastic Omnium SE, est un groupe de transformation du plastique basé en France et exerçant des activités dans les secteurs de l'automobile et de l'environnement. La Division Automobile comprend deux activités : Pièces Auto Extérieur, proposée par Plastic Omnium Auto Extérieur, et Systèmes de Carburant, proposée par Inergy Automotive Systems, entre autres. La Division Environnement est spécialisée dans la conteneurisation des déchets, la signalisation urbaine et routière et l'urbanisme, assurée par Plastic Omnium Systèmes Urbains, SULO et Compagnie Signature. La Compagnie Plastic Omnium SA est présente en Europe et en Amérique du Nord et du Sud, notamment en Allemagne, en Belgique, en Pologne, en Suède, en Roumanie, aux États-Unis, au Canada, en Argentine et au Brésil. La Société exploite un centre de développement à Lozorno, en Slovaquie, pour ses opérations de composants extérieurs et structurels. Elle possède également un certain nombre d’usines et de centres de recherche et développement à travers le monde.</v>
      </c>
      <c r="BN241" s="43"/>
      <c r="BO241" s="43"/>
      <c r="BP241" s="43"/>
      <c r="BQ241" s="43"/>
      <c r="BR241" s="13"/>
      <c r="BS241" s="13"/>
      <c r="BT241" s="13"/>
      <c r="BU241" s="13"/>
      <c r="BV241" s="13"/>
      <c r="BW241" s="13"/>
      <c r="BX241" s="13"/>
      <c r="BY241" s="21"/>
      <c r="BZ241" s="13"/>
      <c r="CA241" s="13"/>
      <c r="CB241" s="13"/>
      <c r="CC241" s="13"/>
      <c r="CD241" s="13"/>
      <c r="CF241" s="4"/>
      <c r="CG241" s="4"/>
    </row>
    <row r="242" spans="3:85">
      <c r="C242" s="43"/>
      <c r="D242" s="42">
        <f>IF(Tableau1[[#This Row],[Isin]]="",99,Tableau1[[#This Row],[Intérêt]]+Tableau1[[#This Row],[Valeur d''intérêt]]+Tableau1[[#This Row],[N° Portefeuille]])</f>
        <v>30</v>
      </c>
      <c r="E242" s="43"/>
      <c r="F242" s="42">
        <f>IF(Tableau1[[#This Row],[Portefeuille]]="p",0,Tableau1[[#This Row],[F. Investissement
Niveau d''intérêt]]*10)</f>
        <v>30</v>
      </c>
      <c r="G242" s="43">
        <f>IF(Tableau1[[#This Row],[Portefeuille]]="p",3,0)</f>
        <v>0</v>
      </c>
      <c r="H242" s="43">
        <v>3</v>
      </c>
      <c r="I242" s="43">
        <v>4</v>
      </c>
      <c r="J242" s="43"/>
      <c r="K242" s="43"/>
      <c r="L242" s="16">
        <v>0</v>
      </c>
      <c r="M24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2" s="44" t="s">
        <v>4030</v>
      </c>
      <c r="O242" s="45"/>
      <c r="P242" s="4" t="s">
        <v>564</v>
      </c>
      <c r="Q242" s="4"/>
      <c r="R242" s="6"/>
      <c r="S242" s="6" t="s">
        <v>4031</v>
      </c>
      <c r="T242" s="6" t="e" vm="222">
        <v>#VALUE!</v>
      </c>
      <c r="U242" s="46" cm="1">
        <f t="array" aca="1" ref="U242" ca="1">IFERROR(_FV(Tableau1[[#This Row],[Code Excel]],"Capitalisation boursière",TRUE),"")</f>
        <v>5459565000</v>
      </c>
      <c r="V242" s="4" t="str" cm="1">
        <f t="array" aca="1" ref="V242" ca="1">IFERROR(_FV(Tableau1[[#This Row],[Code Excel]],"Industrie"),"")</f>
        <v>Automobiles &amp; Auto Parts</v>
      </c>
      <c r="W242" s="4" t="s">
        <v>1224</v>
      </c>
      <c r="X242" s="4" t="str">
        <f ca="1">Tableau1[[#This Row],[Grand Secteur]]&amp;Tableau1[[#This Row],[Industrie]]</f>
        <v>AutomobileAutomobiles &amp; Auto Parts</v>
      </c>
      <c r="Y242" s="23" t="str" cm="1">
        <f t="array" ref="Y242">IFERROR(_FV(Tableau1[[#This Row],[Code Excel]],"P/E",TRUE),"")</f>
        <v/>
      </c>
      <c r="Z242" s="43" cm="1">
        <f t="array" aca="1" ref="Z242" ca="1">IFERROR(_FV(Tableau1[[#This Row],[Code Excel]],"Employés"),"")</f>
        <v>48</v>
      </c>
      <c r="AA242" s="46">
        <f ca="1">IFERROR(Tableau1[[#This Row],[Capitalisation boursière]]/Tableau1[[#This Row],[Employés]],"")</f>
        <v>113740937.5</v>
      </c>
      <c r="AB242" s="5" t="str">
        <f>IFERROR(Tableau1[[#This Row],[REX (2021)]]/Tableau1[[#This Row],[CA 2024]],"")</f>
        <v/>
      </c>
      <c r="AC242" s="9" t="str">
        <f>IFERROR(_xlfn.XLOOKUP(Tableau1[[#This Row],[Isin]]&amp;1&amp;2021,#REF!,Tableau3[Résultat d''exploitation]),"")</f>
        <v/>
      </c>
      <c r="AD242" s="9" t="str">
        <f>IFERROR(_xlfn.XLOOKUP(Tableau1[[#This Row],[Isin]]&amp;1&amp;2019,#REF!,Tableau3[Chiffre d''affaires]),"")</f>
        <v/>
      </c>
      <c r="AE242" s="9" t="str">
        <f>IFERROR(_xlfn.XLOOKUP(Tableau1[[#This Row],[Isin]]&amp;1&amp;2024,#REF!,Tableau3[Chiffre d''affaires]),"")</f>
        <v/>
      </c>
      <c r="AF242" s="8" t="str">
        <f>IFERROR(IF((Tableau1[[#This Row],[CA 2024]]-Tableau1[[#This Row],[CA 2019]])/Tableau1[[#This Row],[CA 2019]]=-1,"",(Tableau1[[#This Row],[CA 2024]]-Tableau1[[#This Row],[CA 2019]])/Tableau1[[#This Row],[CA 2019]]),"")</f>
        <v/>
      </c>
      <c r="AG242" s="9" t="str">
        <f>IFERROR(_xlfn.XLOOKUP(Tableau1[[#This Row],[Isin]]&amp;1&amp;2021,#REF!,Tableau3[EBE]),"")</f>
        <v/>
      </c>
      <c r="AH242" s="9" t="str">
        <f>IFERROR(_xlfn.XLOOKUP(Tableau1[[#This Row],[Isin]]&amp;1&amp;2022,#REF!,Tableau3[EBE]),"")</f>
        <v/>
      </c>
      <c r="AI242" s="43" t="s">
        <v>4329</v>
      </c>
      <c r="AJ242" s="43" t="s">
        <v>3150</v>
      </c>
      <c r="AK242" s="43" t="s">
        <v>3148</v>
      </c>
      <c r="AL242" s="43"/>
      <c r="AM242" s="43"/>
      <c r="AN242" s="9" t="str">
        <f>IFERROR(_xlfn.XLOOKUP(Tableau1[[#This Row],[Isin]]&amp;1&amp;2021,#REF!,Tableau3[Chiffre d''affaires]),"")</f>
        <v/>
      </c>
      <c r="AO242" s="43" t="e" cm="1" vm="1">
        <f t="array" ref="AO242">_FV(Tableau1[[#This Row],[Code Excel]],"P/E",TRUE)</f>
        <v>#VALUE!</v>
      </c>
      <c r="AP242" s="43" t="str">
        <f>IFERROR(_xlfn.XLOOKUP(Tableau1[[#This Row],[Isin]]&amp;1&amp;2023,#REF!,Tableau3[Résultat Net (PdG)]),"")</f>
        <v/>
      </c>
      <c r="AQ242" s="43">
        <f>IF(IFERROR(_xlfn.XLOOKUP(Tableau1[[#This Row],[Isin]]&amp;1&amp;2022,#REF!,Tableau3[Résultat Net (PdG)]),"")="",Tableau1[[#This Row],[RN Groupe 2022
Manuel]],IFERROR(_xlfn.XLOOKUP(Tableau1[[#This Row],[Isin]]&amp;1&amp;2022,#REF!,Tableau3[Résultat Net (PdG)]),""))</f>
        <v>0</v>
      </c>
      <c r="AR242" s="43"/>
      <c r="AS242" s="43">
        <f>IF(IFERROR(_xlfn.XLOOKUP(Tableau1[[#This Row],[Isin]]&amp;1&amp;2021,#REF!,Tableau3[Résultat Net (PdG)]),"")="",Tableau1[[#This Row],[RN Groupe 2021
Manuel]],IFERROR(_xlfn.XLOOKUP(Tableau1[[#This Row],[Isin]]&amp;1&amp;2021,#REF!,Tableau3[Résultat Net (PdG)]),""))</f>
        <v>0</v>
      </c>
      <c r="AT242" s="43"/>
      <c r="AU242" s="43" t="str">
        <f>IFERROR(_xlfn.XLOOKUP(Tableau1[[#This Row],[Isin]]&amp;1&amp;2020,#REF!,Tableau3[Résultat Net (PdG)]),"")</f>
        <v/>
      </c>
      <c r="AV242" s="43" t="str">
        <f>IFERROR(_xlfn.XLOOKUP(Tableau1[[#This Row],[Isin]]&amp;1&amp;2019,#REF!,Tableau3[Résultat Net (PdG)]),"")</f>
        <v/>
      </c>
      <c r="AW242" s="43" t="str">
        <f>IFERROR(_xlfn.XLOOKUP(Tableau1[[#This Row],[Isin]]&amp;1&amp;2018,#REF!,Tableau3[Résultat Net (PdG)]),"")</f>
        <v/>
      </c>
      <c r="AX242" s="43" t="str">
        <f>IFERROR(_xlfn.XLOOKUP(Tableau1[[#This Row],[Isin]]&amp;1&amp;2017,#REF!,Tableau3[Résultat Net (PdG)]),"")</f>
        <v/>
      </c>
      <c r="AY242" s="43" t="str">
        <f>IFERROR(_xlfn.XLOOKUP(Tableau1[[#This Row],[Isin]]&amp;1&amp;2016,#REF!,Tableau3[Résultat Net (PdG)]),"")</f>
        <v/>
      </c>
      <c r="AZ242" s="137" t="str">
        <f ca="1">IFERROR(Tableau1[[#This Row],[Capitalisation boursière]]/Tableau1[[#This Row],[RN Groupe 2023]],"")</f>
        <v/>
      </c>
      <c r="BA242" s="4" t="str" cm="1">
        <f t="array" aca="1" ref="BA242" ca="1">IFERROR(_FV(Tableau1[[#This Row],[Code Excel]],"Industrie"),"")</f>
        <v>Automobiles &amp; Auto Parts</v>
      </c>
      <c r="BB242" s="43" t="s">
        <v>3487</v>
      </c>
      <c r="BC242" s="43" t="str">
        <f>IFERROR(_xlfn.XLOOKUP(Tableau1[[#This Row],[Isin]]&amp;1&amp;2016,#REF!,Tableau3[Capi]),"")</f>
        <v/>
      </c>
      <c r="BD242" s="43" t="str">
        <f>IFERROR(_xlfn.XLOOKUP(Tableau1[[#This Row],[Isin]]&amp;1&amp;2017,#REF!,Tableau3[Capi]),"")</f>
        <v/>
      </c>
      <c r="BE242" s="43" t="str">
        <f>IFERROR(_xlfn.XLOOKUP(Tableau1[[#This Row],[Isin]]&amp;1&amp;2018,#REF!,Tableau3[Capi]),"")</f>
        <v/>
      </c>
      <c r="BF242" s="43" t="str">
        <f>IFERROR(_xlfn.XLOOKUP(Tableau1[[#This Row],[Isin]]&amp;1&amp;2019,#REF!,Tableau3[Capi]),"")</f>
        <v/>
      </c>
      <c r="BG242" s="43" t="str">
        <f>IFERROR(_xlfn.XLOOKUP(Tableau1[[#This Row],[Isin]]&amp;1&amp;2020,#REF!,Tableau3[Capi]),"")</f>
        <v/>
      </c>
      <c r="BH242" s="43">
        <f>IF(IFERROR(_xlfn.XLOOKUP(Tableau1[[#This Row],[Isin]]&amp;1&amp;2021,#REF!,Tableau3[Capi]),"")="",Tableau1[[#This Row],[Capitalisation 2021
Manuel]],IFERROR(_xlfn.XLOOKUP(Tableau1[[#This Row],[Isin]]&amp;1&amp;2021,#REF!,Tableau3[Capi]),""))</f>
        <v>0</v>
      </c>
      <c r="BI242" s="43"/>
      <c r="BJ242" s="43">
        <f>IF(IFERROR(_xlfn.XLOOKUP(Tableau1[[#This Row],[Isin]]&amp;1&amp;2022,#REF!,Tableau3[Capi]),"")="",Tableau1[[#This Row],[Capitalisation 2022
Manuel]],IFERROR(_xlfn.XLOOKUP(Tableau1[[#This Row],[Isin]]&amp;1&amp;2022,#REF!,Tableau3[Capi]),""))</f>
        <v>0</v>
      </c>
      <c r="BK242" s="43"/>
      <c r="BL242" s="43">
        <f ca="1">Tableau1[[#This Row],[Capitalisation boursière]]</f>
        <v>5459565000</v>
      </c>
      <c r="BM242" s="162" t="str" cm="1">
        <f t="array" aca="1" ref="BM242" ca="1">_FV(Tableau1[[#This Row],[Code Excel]],"Description")</f>
        <v>Porsche Automobil Holding SE (Porsche SE) est une société holding basée en Allemagne, active dans l'industrie automobile, avec des investissements dans les domaines de la mobilité et de la technologie industrielle. Les activités commerciales de la Société comprennent l'acquisition, la détention et la gestion ainsi que la cession d'investissements. Ses investissements sont divisés en deux catégories : les investissements de base et les investissements de portefeuille. Elle est engagée dans la détention et la gestion de ses investissements dans Volkswagen AG, à travers laquelle la Société gère 10 marques automobiles de cinq pays européens : Volkswagen Passenger Cars, Audi, SEAT, Skoda, Bentley, Lamborghini, Porsche, Ducati, Scania, MAN et autres. Ces investissements à long terme dans Volkswagen AG et Porsche AG constituent la catégorie d'investissements de base. Dans la catégorie des investissements de portefeuille, elle détient des participations minoritaires dans plusieurs sociétés technologiques en Amérique du Nord, en Europe et en Israël, ainsi qu'en investissant dans des fonds de capital-investissement et de capital-risque.</v>
      </c>
      <c r="BN242" s="43"/>
      <c r="BO242" s="43"/>
      <c r="BP242" s="43"/>
      <c r="BQ242" s="43"/>
      <c r="BR242" s="13"/>
      <c r="BS242" s="13"/>
      <c r="BT242" s="13"/>
      <c r="BU242" s="13"/>
      <c r="BV242" s="13"/>
      <c r="BW242" s="13"/>
      <c r="BX242" s="13"/>
      <c r="BY242" s="21"/>
      <c r="BZ242" s="13"/>
      <c r="CA242" s="13"/>
      <c r="CB242" s="13"/>
      <c r="CC242" s="13"/>
      <c r="CD242" s="13"/>
      <c r="CF242" s="4"/>
      <c r="CG242" s="4"/>
    </row>
    <row r="243" spans="3:85">
      <c r="C243" s="42"/>
      <c r="D243" s="42">
        <f>IF(Tableau1[[#This Row],[Isin]]="",99,Tableau1[[#This Row],[Intérêt]]+Tableau1[[#This Row],[Valeur d''intérêt]]+Tableau1[[#This Row],[N° Portefeuille]])</f>
        <v>30</v>
      </c>
      <c r="E243" s="42"/>
      <c r="F243" s="42">
        <f>IF(Tableau1[[#This Row],[Portefeuille]]="p",0,Tableau1[[#This Row],[F. Investissement
Niveau d''intérêt]]*10)</f>
        <v>30</v>
      </c>
      <c r="G243" s="42">
        <f>IF(Tableau1[[#This Row],[Portefeuille]]="p",3,0)</f>
        <v>0</v>
      </c>
      <c r="H243" s="42">
        <v>3</v>
      </c>
      <c r="I243" s="42">
        <v>4</v>
      </c>
      <c r="J243" s="42"/>
      <c r="K243" s="43"/>
      <c r="L243" s="16">
        <v>1</v>
      </c>
      <c r="M24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3" s="44" t="s">
        <v>4033</v>
      </c>
      <c r="O243" s="44" t="s">
        <v>575</v>
      </c>
      <c r="P243" s="4" t="s">
        <v>619</v>
      </c>
      <c r="Q243" s="6" t="s">
        <v>85</v>
      </c>
      <c r="R243" s="6"/>
      <c r="S243" s="6" t="s">
        <v>632</v>
      </c>
      <c r="T243" s="6" t="e" vm="223">
        <v>#VALUE!</v>
      </c>
      <c r="U243" s="51" cm="1">
        <f t="array" aca="1" ref="U243" ca="1">IFERROR(_FV(Tableau1[[#This Row],[Code Excel]],"Capitalisation boursière",TRUE),"")</f>
        <v>140991200000</v>
      </c>
      <c r="V243" s="4" t="str" cm="1">
        <f t="array" aca="1" ref="V243" ca="1">IFERROR(_FV(Tableau1[[#This Row],[Code Excel]],"Industrie"),"")</f>
        <v>Textiles &amp; Apparel</v>
      </c>
      <c r="W243" s="4" t="s">
        <v>1315</v>
      </c>
      <c r="X243" s="4" t="str">
        <f ca="1">Tableau1[[#This Row],[Grand Secteur]]&amp;Tableau1[[#This Row],[Industrie]]</f>
        <v>Biens de consommationTextiles &amp; Apparel</v>
      </c>
      <c r="Y243" s="23" cm="1">
        <f t="array" aca="1" ref="Y243" ca="1">IFERROR(_FV(Tableau1[[#This Row],[Code Excel]],"P/E",TRUE),"")</f>
        <v>22.375900000000001</v>
      </c>
      <c r="Z243" s="43" cm="1">
        <f t="array" aca="1" ref="Z243" ca="1">IFERROR(_FV(Tableau1[[#This Row],[Code Excel]],"Employés"),"")</f>
        <v>14933</v>
      </c>
      <c r="AA243" s="46">
        <f ca="1">IFERROR(Tableau1[[#This Row],[Capitalisation boursière]]/Tableau1[[#This Row],[Employés]],"")</f>
        <v>9441585.7496819124</v>
      </c>
      <c r="AB243" s="5" t="str">
        <f>IFERROR(Tableau1[[#This Row],[REX (2021)]]/Tableau1[[#This Row],[CA 2024]],"")</f>
        <v/>
      </c>
      <c r="AC243" s="9" t="str">
        <f>IFERROR(_xlfn.XLOOKUP(Tableau1[[#This Row],[Isin]]&amp;1&amp;2021,#REF!,Tableau3[Résultat d''exploitation]),"")</f>
        <v/>
      </c>
      <c r="AD243" s="9" t="str">
        <f>IFERROR(_xlfn.XLOOKUP(Tableau1[[#This Row],[Isin]]&amp;1&amp;2019,#REF!,Tableau3[Chiffre d''affaires]),"")</f>
        <v/>
      </c>
      <c r="AE243" s="9" t="str">
        <f>IFERROR(_xlfn.XLOOKUP(Tableau1[[#This Row],[Isin]]&amp;1&amp;2024,#REF!,Tableau3[Chiffre d''affaires]),"")</f>
        <v/>
      </c>
      <c r="AF243" s="8" t="str">
        <f>IFERROR(IF((Tableau1[[#This Row],[CA 2024]]-Tableau1[[#This Row],[CA 2019]])/Tableau1[[#This Row],[CA 2019]]=-1,"",(Tableau1[[#This Row],[CA 2024]]-Tableau1[[#This Row],[CA 2019]])/Tableau1[[#This Row],[CA 2019]]),"")</f>
        <v/>
      </c>
      <c r="AG243" s="9" t="str">
        <f>IFERROR(_xlfn.XLOOKUP(Tableau1[[#This Row],[Isin]]&amp;1&amp;2021,#REF!,Tableau3[EBE]),"")</f>
        <v/>
      </c>
      <c r="AH243" s="9" t="str">
        <f>IFERROR(_xlfn.XLOOKUP(Tableau1[[#This Row],[Isin]]&amp;1&amp;2022,#REF!,Tableau3[EBE]),"")</f>
        <v/>
      </c>
      <c r="AI243" s="43" t="s">
        <v>4329</v>
      </c>
      <c r="AJ243" s="43" t="s">
        <v>4348</v>
      </c>
      <c r="AK243" s="43" t="s">
        <v>3431</v>
      </c>
      <c r="AL243" s="43" t="s">
        <v>3149</v>
      </c>
      <c r="AM243" s="43"/>
      <c r="AN243" s="9" t="str">
        <f>IFERROR(_xlfn.XLOOKUP(Tableau1[[#This Row],[Isin]]&amp;1&amp;2021,#REF!,Tableau3[Chiffre d''affaires]),"")</f>
        <v/>
      </c>
      <c r="AO243" s="43" cm="1">
        <f t="array" aca="1" ref="AO243" ca="1">_FV(Tableau1[[#This Row],[Code Excel]],"P/E",TRUE)</f>
        <v>22.375900000000001</v>
      </c>
      <c r="AP243" s="43" t="str">
        <f>IFERROR(_xlfn.XLOOKUP(Tableau1[[#This Row],[Isin]]&amp;1&amp;2023,#REF!,Tableau3[Résultat Net (PdG)]),"")</f>
        <v/>
      </c>
      <c r="AQ243" s="43">
        <f>IF(IFERROR(_xlfn.XLOOKUP(Tableau1[[#This Row],[Isin]]&amp;1&amp;2022,#REF!,Tableau3[Résultat Net (PdG)]),"")="",Tableau1[[#This Row],[RN Groupe 2022
Manuel]],IFERROR(_xlfn.XLOOKUP(Tableau1[[#This Row],[Isin]]&amp;1&amp;2022,#REF!,Tableau3[Résultat Net (PdG)]),""))</f>
        <v>0</v>
      </c>
      <c r="AR243" s="43"/>
      <c r="AS243" s="43">
        <f>IF(IFERROR(_xlfn.XLOOKUP(Tableau1[[#This Row],[Isin]]&amp;1&amp;2021,#REF!,Tableau3[Résultat Net (PdG)]),"")="",Tableau1[[#This Row],[RN Groupe 2021
Manuel]],IFERROR(_xlfn.XLOOKUP(Tableau1[[#This Row],[Isin]]&amp;1&amp;2021,#REF!,Tableau3[Résultat Net (PdG)]),""))</f>
        <v>0</v>
      </c>
      <c r="AT243" s="43"/>
      <c r="AU243" s="43" t="str">
        <f>IFERROR(_xlfn.XLOOKUP(Tableau1[[#This Row],[Isin]]&amp;1&amp;2020,#REF!,Tableau3[Résultat Net (PdG)]),"")</f>
        <v/>
      </c>
      <c r="AV243" s="43" t="str">
        <f>IFERROR(_xlfn.XLOOKUP(Tableau1[[#This Row],[Isin]]&amp;1&amp;2019,#REF!,Tableau3[Résultat Net (PdG)]),"")</f>
        <v/>
      </c>
      <c r="AW243" s="43" t="str">
        <f>IFERROR(_xlfn.XLOOKUP(Tableau1[[#This Row],[Isin]]&amp;1&amp;2018,#REF!,Tableau3[Résultat Net (PdG)]),"")</f>
        <v/>
      </c>
      <c r="AX243" s="43" t="str">
        <f>IFERROR(_xlfn.XLOOKUP(Tableau1[[#This Row],[Isin]]&amp;1&amp;2017,#REF!,Tableau3[Résultat Net (PdG)]),"")</f>
        <v/>
      </c>
      <c r="AY243" s="43" t="str">
        <f>IFERROR(_xlfn.XLOOKUP(Tableau1[[#This Row],[Isin]]&amp;1&amp;2016,#REF!,Tableau3[Résultat Net (PdG)]),"")</f>
        <v/>
      </c>
      <c r="AZ243" s="137" t="str">
        <f ca="1">IFERROR(Tableau1[[#This Row],[Capitalisation boursière]]/Tableau1[[#This Row],[RN Groupe 2023]],"")</f>
        <v/>
      </c>
      <c r="BA243" s="4" t="str" cm="1">
        <f t="array" aca="1" ref="BA243" ca="1">IFERROR(_FV(Tableau1[[#This Row],[Code Excel]],"Industrie"),"")</f>
        <v>Textiles &amp; Apparel</v>
      </c>
      <c r="BB243" s="43" t="e">
        <v>#N/A</v>
      </c>
      <c r="BC243" s="43" t="str">
        <f>IFERROR(_xlfn.XLOOKUP(Tableau1[[#This Row],[Isin]]&amp;1&amp;2016,#REF!,Tableau3[Capi]),"")</f>
        <v/>
      </c>
      <c r="BD243" s="43" t="str">
        <f>IFERROR(_xlfn.XLOOKUP(Tableau1[[#This Row],[Isin]]&amp;1&amp;2017,#REF!,Tableau3[Capi]),"")</f>
        <v/>
      </c>
      <c r="BE243" s="43" t="str">
        <f>IFERROR(_xlfn.XLOOKUP(Tableau1[[#This Row],[Isin]]&amp;1&amp;2018,#REF!,Tableau3[Capi]),"")</f>
        <v/>
      </c>
      <c r="BF243" s="43" t="str">
        <f>IFERROR(_xlfn.XLOOKUP(Tableau1[[#This Row],[Isin]]&amp;1&amp;2019,#REF!,Tableau3[Capi]),"")</f>
        <v/>
      </c>
      <c r="BG243" s="43" t="str">
        <f>IFERROR(_xlfn.XLOOKUP(Tableau1[[#This Row],[Isin]]&amp;1&amp;2020,#REF!,Tableau3[Capi]),"")</f>
        <v/>
      </c>
      <c r="BH243" s="43">
        <f>IF(IFERROR(_xlfn.XLOOKUP(Tableau1[[#This Row],[Isin]]&amp;1&amp;2021,#REF!,Tableau3[Capi]),"")="",Tableau1[[#This Row],[Capitalisation 2021
Manuel]],IFERROR(_xlfn.XLOOKUP(Tableau1[[#This Row],[Isin]]&amp;1&amp;2021,#REF!,Tableau3[Capi]),""))</f>
        <v>0</v>
      </c>
      <c r="BI243" s="43"/>
      <c r="BJ243" s="43">
        <f>IF(IFERROR(_xlfn.XLOOKUP(Tableau1[[#This Row],[Isin]]&amp;1&amp;2022,#REF!,Tableau3[Capi]),"")="",Tableau1[[#This Row],[Capitalisation 2022
Manuel]],IFERROR(_xlfn.XLOOKUP(Tableau1[[#This Row],[Isin]]&amp;1&amp;2022,#REF!,Tableau3[Capi]),""))</f>
        <v>0</v>
      </c>
      <c r="BK243" s="43"/>
      <c r="BL243" s="43">
        <f ca="1">Tableau1[[#This Row],[Capitalisation boursière]]</f>
        <v>140991200000</v>
      </c>
      <c r="BM243" s="162" t="str" cm="1">
        <f t="array" aca="1" ref="BM243" ca="1">_FV(Tableau1[[#This Row],[Code Excel]],"Description")</f>
        <v>Prada SpA is an Italy-based company engaged in fashion industry. The Company is a parent of the Prada Group. The Company, along with its subsidiaries, is engaged in the design, production and distribution of leather goods, handbags, clothing, eyewear, fragrances, footwear and accessories. Prada SpA manufactures jackets, trousers, skirts, dresses, sweaters, blouses, as well as perfumes and watches, among others. The Company trades its products through several brands, such as Prada, Miu Miu, The Church and The Car Shoe. Prada SpA operates in approximately 70 countries through directly operated stores, franchise operated stores, a network of selected multi-brand stores and department stores. Prada Spa operates through a numerous subsidiaries, including Artisans Shoes Srl, Angelo Marchesi Srl, Prada Far East BV, Tannerie Megisserie Hervy SAS and Prada SA, among others.</v>
      </c>
      <c r="BN243" s="43"/>
      <c r="BO243" s="43"/>
      <c r="BP243" s="43"/>
      <c r="BQ243" s="43"/>
      <c r="BR243" s="13"/>
      <c r="BS243" s="13"/>
      <c r="BT243" s="13"/>
      <c r="BU243" s="13"/>
      <c r="BV243" s="13"/>
      <c r="BW243" s="13"/>
      <c r="BX243" s="13"/>
      <c r="BY243" s="21"/>
      <c r="BZ243" s="13"/>
      <c r="CA243" s="13"/>
      <c r="CB243" s="13"/>
      <c r="CC243" s="13"/>
      <c r="CD243" s="13"/>
      <c r="CF243" s="4"/>
      <c r="CG243" s="4"/>
    </row>
    <row r="244" spans="3:85">
      <c r="C244" s="43"/>
      <c r="D244" s="42">
        <f>IF(Tableau1[[#This Row],[Isin]]="",99,Tableau1[[#This Row],[Intérêt]]+Tableau1[[#This Row],[Valeur d''intérêt]]+Tableau1[[#This Row],[N° Portefeuille]])</f>
        <v>30</v>
      </c>
      <c r="E244" s="43"/>
      <c r="F244" s="42">
        <f>IF(Tableau1[[#This Row],[Portefeuille]]="p",0,Tableau1[[#This Row],[F. Investissement
Niveau d''intérêt]]*10)</f>
        <v>30</v>
      </c>
      <c r="G244" s="43">
        <f>IF(Tableau1[[#This Row],[Portefeuille]]="p",3,0)</f>
        <v>0</v>
      </c>
      <c r="H244" s="43">
        <v>3</v>
      </c>
      <c r="I244" s="43">
        <v>4</v>
      </c>
      <c r="J244" s="43"/>
      <c r="K244" s="43"/>
      <c r="L244" s="16">
        <v>1</v>
      </c>
      <c r="M24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4" s="44" t="s">
        <v>2494</v>
      </c>
      <c r="O244" s="44" t="s">
        <v>4414</v>
      </c>
      <c r="P244" s="4" t="s">
        <v>382</v>
      </c>
      <c r="Q244" s="6" t="s">
        <v>383</v>
      </c>
      <c r="R244" s="6"/>
      <c r="S244" s="6" t="s">
        <v>2498</v>
      </c>
      <c r="T244" s="6" t="e" vm="224">
        <v>#VALUE!</v>
      </c>
      <c r="U244" s="51" cm="1">
        <f t="array" aca="1" ref="U244" ca="1">IFERROR(_FV(Tableau1[[#This Row],[Code Excel]],"Capitalisation boursière",TRUE),"")</f>
        <v>102751699600</v>
      </c>
      <c r="V244" s="4" t="str" cm="1">
        <f t="array" aca="1" ref="V244" ca="1">IFERROR(_FV(Tableau1[[#This Row],[Code Excel]],"Industrie"),"")</f>
        <v>Residential &amp; Commercial REIT</v>
      </c>
      <c r="W244" s="4" t="s">
        <v>2083</v>
      </c>
      <c r="X244" s="4" t="str">
        <f ca="1">Tableau1[[#This Row],[Grand Secteur]]&amp;Tableau1[[#This Row],[Industrie]]</f>
        <v>ImmobilierResidential &amp; Commercial REIT</v>
      </c>
      <c r="Y244" s="23" cm="1">
        <f t="array" aca="1" ref="Y244" ca="1">IFERROR(_FV(Tableau1[[#This Row],[Code Excel]],"P/E",TRUE),"")</f>
        <v>27.577999999999999</v>
      </c>
      <c r="Z244" s="43" cm="1">
        <f t="array" aca="1" ref="Z244" ca="1">IFERROR(_FV(Tableau1[[#This Row],[Code Excel]],"Employés"),"")</f>
        <v>2703</v>
      </c>
      <c r="AA244" s="49">
        <f ca="1">IFERROR(Tableau1[[#This Row],[Capitalisation boursière]]/Tableau1[[#This Row],[Employés]],"")</f>
        <v>38013947.317795046</v>
      </c>
      <c r="AB244" s="5" t="str">
        <f>IFERROR(Tableau1[[#This Row],[REX (2021)]]/Tableau1[[#This Row],[CA 2024]],"")</f>
        <v/>
      </c>
      <c r="AC244" s="9" t="str">
        <f>IFERROR(_xlfn.XLOOKUP(Tableau1[[#This Row],[Isin]]&amp;1&amp;2021,#REF!,Tableau3[Résultat d''exploitation]),"")</f>
        <v/>
      </c>
      <c r="AD244" s="9" t="str">
        <f>IFERROR(_xlfn.XLOOKUP(Tableau1[[#This Row],[Isin]]&amp;1&amp;2019,#REF!,Tableau3[Chiffre d''affaires]),"")</f>
        <v/>
      </c>
      <c r="AE244" s="9" t="str">
        <f>IFERROR(_xlfn.XLOOKUP(Tableau1[[#This Row],[Isin]]&amp;1&amp;2024,#REF!,Tableau3[Chiffre d''affaires]),"")</f>
        <v/>
      </c>
      <c r="AF244" s="8" t="str">
        <f>IFERROR(IF((Tableau1[[#This Row],[CA 2024]]-Tableau1[[#This Row],[CA 2019]])/Tableau1[[#This Row],[CA 2019]]=-1,"",(Tableau1[[#This Row],[CA 2024]]-Tableau1[[#This Row],[CA 2019]])/Tableau1[[#This Row],[CA 2019]]),"")</f>
        <v/>
      </c>
      <c r="AG244" s="9" t="str">
        <f>IFERROR(_xlfn.XLOOKUP(Tableau1[[#This Row],[Isin]]&amp;1&amp;2021,#REF!,Tableau3[EBE]),"")</f>
        <v/>
      </c>
      <c r="AH244" s="9" t="str">
        <f>IFERROR(_xlfn.XLOOKUP(Tableau1[[#This Row],[Isin]]&amp;1&amp;2022,#REF!,Tableau3[EBE]),"")</f>
        <v/>
      </c>
      <c r="AI244" s="43" t="s">
        <v>3431</v>
      </c>
      <c r="AJ244" s="43" t="s">
        <v>4348</v>
      </c>
      <c r="AK244" s="43" t="s">
        <v>3431</v>
      </c>
      <c r="AL244" s="43" t="s">
        <v>3431</v>
      </c>
      <c r="AM244" s="43"/>
      <c r="AN244" s="9" t="str">
        <f>IFERROR(_xlfn.XLOOKUP(Tableau1[[#This Row],[Isin]]&amp;1&amp;2021,#REF!,Tableau3[Chiffre d''affaires]),"")</f>
        <v/>
      </c>
      <c r="AO244" s="43" cm="1">
        <f t="array" aca="1" ref="AO244" ca="1">_FV(Tableau1[[#This Row],[Code Excel]],"P/E",TRUE)</f>
        <v>27.577999999999999</v>
      </c>
      <c r="AP244" s="43" t="str">
        <f>IFERROR(_xlfn.XLOOKUP(Tableau1[[#This Row],[Isin]]&amp;1&amp;2023,#REF!,Tableau3[Résultat Net (PdG)]),"")</f>
        <v/>
      </c>
      <c r="AQ244" s="43">
        <f>IF(IFERROR(_xlfn.XLOOKUP(Tableau1[[#This Row],[Isin]]&amp;1&amp;2022,#REF!,Tableau3[Résultat Net (PdG)]),"")="",Tableau1[[#This Row],[RN Groupe 2022
Manuel]],IFERROR(_xlfn.XLOOKUP(Tableau1[[#This Row],[Isin]]&amp;1&amp;2022,#REF!,Tableau3[Résultat Net (PdG)]),""))</f>
        <v>0</v>
      </c>
      <c r="AR244" s="43"/>
      <c r="AS244" s="43">
        <f>IF(IFERROR(_xlfn.XLOOKUP(Tableau1[[#This Row],[Isin]]&amp;1&amp;2021,#REF!,Tableau3[Résultat Net (PdG)]),"")="",Tableau1[[#This Row],[RN Groupe 2021
Manuel]],IFERROR(_xlfn.XLOOKUP(Tableau1[[#This Row],[Isin]]&amp;1&amp;2021,#REF!,Tableau3[Résultat Net (PdG)]),""))</f>
        <v>0</v>
      </c>
      <c r="AT244" s="43"/>
      <c r="AU244" s="43" t="str">
        <f>IFERROR(_xlfn.XLOOKUP(Tableau1[[#This Row],[Isin]]&amp;1&amp;2020,#REF!,Tableau3[Résultat Net (PdG)]),"")</f>
        <v/>
      </c>
      <c r="AV244" s="43" t="str">
        <f>IFERROR(_xlfn.XLOOKUP(Tableau1[[#This Row],[Isin]]&amp;1&amp;2019,#REF!,Tableau3[Résultat Net (PdG)]),"")</f>
        <v/>
      </c>
      <c r="AW244" s="43" t="str">
        <f>IFERROR(_xlfn.XLOOKUP(Tableau1[[#This Row],[Isin]]&amp;1&amp;2018,#REF!,Tableau3[Résultat Net (PdG)]),"")</f>
        <v/>
      </c>
      <c r="AX244" s="43" t="str">
        <f>IFERROR(_xlfn.XLOOKUP(Tableau1[[#This Row],[Isin]]&amp;1&amp;2017,#REF!,Tableau3[Résultat Net (PdG)]),"")</f>
        <v/>
      </c>
      <c r="AY244" s="43" t="str">
        <f>IFERROR(_xlfn.XLOOKUP(Tableau1[[#This Row],[Isin]]&amp;1&amp;2016,#REF!,Tableau3[Résultat Net (PdG)]),"")</f>
        <v/>
      </c>
      <c r="AZ244" s="137" t="str">
        <f ca="1">IFERROR(Tableau1[[#This Row],[Capitalisation boursière]]/Tableau1[[#This Row],[RN Groupe 2023]],"")</f>
        <v/>
      </c>
      <c r="BA244" s="4" t="str" cm="1">
        <f t="array" aca="1" ref="BA244" ca="1">IFERROR(_FV(Tableau1[[#This Row],[Code Excel]],"Industrie"),"")</f>
        <v>Residential &amp; Commercial REIT</v>
      </c>
      <c r="BB244" s="43" t="e">
        <v>#N/A</v>
      </c>
      <c r="BC244" s="43" t="str">
        <f>IFERROR(_xlfn.XLOOKUP(Tableau1[[#This Row],[Isin]]&amp;1&amp;2016,#REF!,Tableau3[Capi]),"")</f>
        <v/>
      </c>
      <c r="BD244" s="43" t="str">
        <f>IFERROR(_xlfn.XLOOKUP(Tableau1[[#This Row],[Isin]]&amp;1&amp;2017,#REF!,Tableau3[Capi]),"")</f>
        <v/>
      </c>
      <c r="BE244" s="43" t="str">
        <f>IFERROR(_xlfn.XLOOKUP(Tableau1[[#This Row],[Isin]]&amp;1&amp;2018,#REF!,Tableau3[Capi]),"")</f>
        <v/>
      </c>
      <c r="BF244" s="43" t="str">
        <f>IFERROR(_xlfn.XLOOKUP(Tableau1[[#This Row],[Isin]]&amp;1&amp;2019,#REF!,Tableau3[Capi]),"")</f>
        <v/>
      </c>
      <c r="BG244" s="43" t="str">
        <f>IFERROR(_xlfn.XLOOKUP(Tableau1[[#This Row],[Isin]]&amp;1&amp;2020,#REF!,Tableau3[Capi]),"")</f>
        <v/>
      </c>
      <c r="BH244" s="43">
        <f>IF(IFERROR(_xlfn.XLOOKUP(Tableau1[[#This Row],[Isin]]&amp;1&amp;2021,#REF!,Tableau3[Capi]),"")="",Tableau1[[#This Row],[Capitalisation 2021
Manuel]],IFERROR(_xlfn.XLOOKUP(Tableau1[[#This Row],[Isin]]&amp;1&amp;2021,#REF!,Tableau3[Capi]),""))</f>
        <v>0</v>
      </c>
      <c r="BI244" s="43"/>
      <c r="BJ244" s="43">
        <f>IF(IFERROR(_xlfn.XLOOKUP(Tableau1[[#This Row],[Isin]]&amp;1&amp;2022,#REF!,Tableau3[Capi]),"")="",Tableau1[[#This Row],[Capitalisation 2022
Manuel]],IFERROR(_xlfn.XLOOKUP(Tableau1[[#This Row],[Isin]]&amp;1&amp;2022,#REF!,Tableau3[Capi]),""))</f>
        <v>0</v>
      </c>
      <c r="BK244" s="43"/>
      <c r="BL244" s="43">
        <f ca="1">Tableau1[[#This Row],[Capitalisation boursière]]</f>
        <v>102751699600</v>
      </c>
      <c r="BM244" s="162" t="str" cm="1">
        <f t="array" aca="1" ref="BM244" ca="1">_FV(Tableau1[[#This Row],[Code Excel]],"Description")</f>
        <v>Prologis, Inc. est une société immobilière entièrement intégrée. La Société opère dans deux secteurs : les opérations immobilières (opérations de location et développement) et les immobilisations stratégiques. Le segment opérations immobilières représente la propriété et le développement des propriétés logistiques. Le secteur Capital stratégique représente la gestion d'entreprises de co-investissement non consolidées et d'autres entreprises. Elle exploite, gère et mesure le rendement opérationnel de ses propriétés sur une base de propriété et de gestion (O&amp;M). Son portefeuille d'exploitation et d'entretien comprend ses propriétés consolidées, ainsi que les propriétés détenues par ses entreprises de co-investissement non consolidées, qu'elle gère. La Société gère son portefeuille et fournit des services immobiliers, y compris la location, la gestion immobilière, le développement, les acquisitions et les aliénations. Elle possède, gère et développe des installations logistiques dans environ 19 pays sur quatre continents. Il sert à Amsterdam, Denver, Mexico, Shanghai, Singapour, et Tokyo.</v>
      </c>
      <c r="BN244" s="43"/>
      <c r="BO244" s="43"/>
      <c r="BP244" s="43"/>
      <c r="BQ244" s="43"/>
      <c r="BR244" s="13"/>
      <c r="BS244" s="13"/>
      <c r="BT244" s="13"/>
      <c r="BU244" s="13"/>
      <c r="BV244" s="13"/>
      <c r="BW244" s="13"/>
      <c r="BX244" s="13"/>
      <c r="BY244" s="21"/>
      <c r="BZ244" s="13"/>
      <c r="CA244" s="13"/>
      <c r="CB244" s="13"/>
      <c r="CC244" s="13"/>
      <c r="CD244" s="13"/>
      <c r="CF244" s="4"/>
      <c r="CG244" s="4"/>
    </row>
    <row r="245" spans="3:85">
      <c r="C245" s="43"/>
      <c r="D245" s="42">
        <f>IF(Tableau1[[#This Row],[Isin]]="",99,Tableau1[[#This Row],[Intérêt]]+Tableau1[[#This Row],[Valeur d''intérêt]]+Tableau1[[#This Row],[N° Portefeuille]])</f>
        <v>3</v>
      </c>
      <c r="E245" s="43"/>
      <c r="F245" s="42">
        <f>IF(Tableau1[[#This Row],[Portefeuille]]="p",0,Tableau1[[#This Row],[F. Investissement
Niveau d''intérêt]]*10)</f>
        <v>0</v>
      </c>
      <c r="G245" s="43">
        <f>IF(Tableau1[[#This Row],[Portefeuille]]="p",3,0)</f>
        <v>3</v>
      </c>
      <c r="H245" s="42">
        <v>1</v>
      </c>
      <c r="I245" s="43">
        <v>4</v>
      </c>
      <c r="J245" s="43"/>
      <c r="K245" s="43" t="s">
        <v>4362</v>
      </c>
      <c r="L245" s="16">
        <v>1</v>
      </c>
      <c r="M24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5" s="64" t="s">
        <v>2373</v>
      </c>
      <c r="O245" s="45"/>
      <c r="P245" s="4"/>
      <c r="Q245" s="4"/>
      <c r="R245" s="6"/>
      <c r="S245" s="4" t="s">
        <v>2377</v>
      </c>
      <c r="T245" s="67"/>
      <c r="U245" s="46" t="str" cm="1">
        <f t="array" ref="U245">IFERROR(_FV(Tableau1[[#This Row],[Code Excel]],"Capitalisation boursière",TRUE),"")</f>
        <v/>
      </c>
      <c r="V245" s="4" t="str" cm="1">
        <f t="array" ref="V245">IFERROR(_FV(Tableau1[[#This Row],[Code Excel]],"Industrie"),"")</f>
        <v/>
      </c>
      <c r="X245" s="4" t="str">
        <f>Tableau1[[#This Row],[Grand Secteur]]&amp;Tableau1[[#This Row],[Industrie]]</f>
        <v/>
      </c>
      <c r="Y245" s="65" t="str" cm="1">
        <f t="array" ref="Y245">IFERROR(_FV(Tableau1[[#This Row],[Code Excel]],"P/E",TRUE),"")</f>
        <v/>
      </c>
      <c r="Z245" s="43" t="str" cm="1">
        <f t="array" ref="Z245">IFERROR(_FV(Tableau1[[#This Row],[Code Excel]],"Employés"),"")</f>
        <v/>
      </c>
      <c r="AA245" s="49" t="str">
        <f>IFERROR(Tableau1[[#This Row],[Capitalisation boursière]]/Tableau1[[#This Row],[Employés]],"")</f>
        <v/>
      </c>
      <c r="AB245" s="5" t="str">
        <f>IFERROR(Tableau1[[#This Row],[REX (2021)]]/Tableau1[[#This Row],[CA 2024]],"")</f>
        <v/>
      </c>
      <c r="AC245" s="43" t="str">
        <f>IFERROR(_xlfn.XLOOKUP(Tableau1[[#This Row],[Isin]]&amp;1&amp;2021,#REF!,Tableau3[Résultat d''exploitation]),"")</f>
        <v/>
      </c>
      <c r="AD245" s="43" t="str">
        <f>IFERROR(_xlfn.XLOOKUP(Tableau1[[#This Row],[Isin]]&amp;1&amp;2019,#REF!,Tableau3[Chiffre d''affaires]),"")</f>
        <v/>
      </c>
      <c r="AE245" s="43" t="str">
        <f>IFERROR(_xlfn.XLOOKUP(Tableau1[[#This Row],[Isin]]&amp;1&amp;2024,#REF!,Tableau3[Chiffre d''affaires]),"")</f>
        <v/>
      </c>
      <c r="AF245" s="297" t="str">
        <f>IFERROR(IF((Tableau1[[#This Row],[CA 2024]]-Tableau1[[#This Row],[CA 2019]])/Tableau1[[#This Row],[CA 2019]]=-1,"",(Tableau1[[#This Row],[CA 2024]]-Tableau1[[#This Row],[CA 2019]])/Tableau1[[#This Row],[CA 2019]]),"")</f>
        <v/>
      </c>
      <c r="AG245" s="9" t="str">
        <f>IFERROR(_xlfn.XLOOKUP(Tableau1[[#This Row],[Isin]]&amp;1&amp;2021,#REF!,Tableau3[EBE]),"")</f>
        <v/>
      </c>
      <c r="AH245" s="9" t="str">
        <f>IFERROR(_xlfn.XLOOKUP(Tableau1[[#This Row],[Isin]]&amp;1&amp;2022,#REF!,Tableau3[EBE]),"")</f>
        <v/>
      </c>
      <c r="AI245" s="43"/>
      <c r="AJ245" s="43"/>
      <c r="AK245" s="43"/>
      <c r="AL245" s="43"/>
      <c r="AM245" s="43"/>
      <c r="AN245" s="43" t="str">
        <f>IFERROR(_xlfn.XLOOKUP(Tableau1[[#This Row],[Isin]]&amp;1&amp;2021,#REF!,Tableau3[Chiffre d''affaires]),"")</f>
        <v/>
      </c>
      <c r="AO245" s="43" t="e" cm="1" vm="1">
        <f t="array" ref="AO245">_FV(Tableau1[[#This Row],[Code Excel]],"P/E",TRUE)</f>
        <v>#VALUE!</v>
      </c>
      <c r="AP245" s="43" t="str">
        <f>IFERROR(_xlfn.XLOOKUP(Tableau1[[#This Row],[Isin]]&amp;1&amp;2023,#REF!,Tableau3[Résultat Net (PdG)]),"")</f>
        <v/>
      </c>
      <c r="AQ245" s="43">
        <f>IF(IFERROR(_xlfn.XLOOKUP(Tableau1[[#This Row],[Isin]]&amp;1&amp;2022,#REF!,Tableau3[Résultat Net (PdG)]),"")="",Tableau1[[#This Row],[RN Groupe 2022
Manuel]],IFERROR(_xlfn.XLOOKUP(Tableau1[[#This Row],[Isin]]&amp;1&amp;2022,#REF!,Tableau3[Résultat Net (PdG)]),""))</f>
        <v>0</v>
      </c>
      <c r="AR245" s="43"/>
      <c r="AS245" s="43">
        <f>IF(IFERROR(_xlfn.XLOOKUP(Tableau1[[#This Row],[Isin]]&amp;1&amp;2021,#REF!,Tableau3[Résultat Net (PdG)]),"")="",Tableau1[[#This Row],[RN Groupe 2021
Manuel]],IFERROR(_xlfn.XLOOKUP(Tableau1[[#This Row],[Isin]]&amp;1&amp;2021,#REF!,Tableau3[Résultat Net (PdG)]),""))</f>
        <v>0</v>
      </c>
      <c r="AT245" s="43"/>
      <c r="AU245" s="43"/>
      <c r="AV245" s="43"/>
      <c r="AW245" s="43"/>
      <c r="AX245" s="43"/>
      <c r="AY245" s="43" t="str">
        <f>IFERROR(_xlfn.XLOOKUP(Tableau1[[#This Row],[Isin]]&amp;1&amp;2016,#REF!,Tableau3[Résultat Net (PdG)]),"")</f>
        <v/>
      </c>
      <c r="AZ245" s="137" t="str">
        <f>IFERROR(Tableau1[[#This Row],[Capitalisation boursière]]/Tableau1[[#This Row],[RN Groupe 2023]],"")</f>
        <v/>
      </c>
      <c r="BA245" s="43" t="str" cm="1">
        <f t="array" ref="BA245">IFERROR(_FV(Tableau1[[#This Row],[Code Excel]],"Industrie"),"")</f>
        <v/>
      </c>
      <c r="BB245" s="43"/>
      <c r="BC245" s="43" t="str">
        <f>IFERROR(_xlfn.XLOOKUP(Tableau1[[#This Row],[Isin]]&amp;1&amp;2016,#REF!,Tableau3[Capi]),"")</f>
        <v/>
      </c>
      <c r="BD245" s="43" t="str">
        <f>IFERROR(_xlfn.XLOOKUP(Tableau1[[#This Row],[Isin]]&amp;1&amp;2017,#REF!,Tableau3[Capi]),"")</f>
        <v/>
      </c>
      <c r="BE245" s="43" t="str">
        <f>IFERROR(_xlfn.XLOOKUP(Tableau1[[#This Row],[Isin]]&amp;1&amp;2018,#REF!,Tableau3[Capi]),"")</f>
        <v/>
      </c>
      <c r="BF245" s="43" t="str">
        <f>IFERROR(_xlfn.XLOOKUP(Tableau1[[#This Row],[Isin]]&amp;1&amp;2019,#REF!,Tableau3[Capi]),"")</f>
        <v/>
      </c>
      <c r="BG245" s="43" t="str">
        <f>IFERROR(_xlfn.XLOOKUP(Tableau1[[#This Row],[Isin]]&amp;1&amp;2020,#REF!,Tableau3[Capi]),"")</f>
        <v/>
      </c>
      <c r="BH245" s="43">
        <f>IF(IFERROR(_xlfn.XLOOKUP(Tableau1[[#This Row],[Isin]]&amp;1&amp;2021,#REF!,Tableau3[Capi]),"")="",Tableau1[[#This Row],[Capitalisation 2021
Manuel]],IFERROR(_xlfn.XLOOKUP(Tableau1[[#This Row],[Isin]]&amp;1&amp;2021,#REF!,Tableau3[Capi]),""))</f>
        <v>0</v>
      </c>
      <c r="BI245" s="43"/>
      <c r="BJ245" s="43">
        <f>IF(IFERROR(_xlfn.XLOOKUP(Tableau1[[#This Row],[Isin]]&amp;1&amp;2022,#REF!,Tableau3[Capi]),"")="",Tableau1[[#This Row],[Capitalisation 2022
Manuel]],IFERROR(_xlfn.XLOOKUP(Tableau1[[#This Row],[Isin]]&amp;1&amp;2022,#REF!,Tableau3[Capi]),""))</f>
        <v>0</v>
      </c>
      <c r="BK245" s="43"/>
      <c r="BL245" s="43" t="str">
        <f>Tableau1[[#This Row],[Capitalisation boursière]]</f>
        <v/>
      </c>
      <c r="BM245" s="162" t="e" cm="1" vm="2">
        <f t="array" ref="BM245">_FV(Tableau1[[#This Row],[Code Excel]],"Description")</f>
        <v>#VALUE!</v>
      </c>
      <c r="BN245" s="43"/>
      <c r="BO245" s="43"/>
      <c r="BP245" s="43"/>
      <c r="BQ245" s="43"/>
      <c r="BR245" s="13"/>
      <c r="BS245" s="13"/>
      <c r="BT245" s="13"/>
      <c r="BU245" s="13"/>
      <c r="BV245" s="13"/>
      <c r="BW245" s="13"/>
      <c r="BX245" s="13"/>
      <c r="BY245" s="21"/>
      <c r="BZ245" s="13"/>
      <c r="CA245" s="13"/>
      <c r="CB245" s="13"/>
      <c r="CC245" s="13"/>
      <c r="CD245" s="13"/>
      <c r="CF245" s="4"/>
      <c r="CG245" s="4"/>
    </row>
    <row r="246" spans="3:85">
      <c r="C246" s="42"/>
      <c r="D246" s="42">
        <f>IF(Tableau1[[#This Row],[Isin]]="",99,Tableau1[[#This Row],[Intérêt]]+Tableau1[[#This Row],[Valeur d''intérêt]]+Tableau1[[#This Row],[N° Portefeuille]])</f>
        <v>30</v>
      </c>
      <c r="E246" s="42"/>
      <c r="F246" s="42">
        <f>IF(Tableau1[[#This Row],[Portefeuille]]="p",0,Tableau1[[#This Row],[F. Investissement
Niveau d''intérêt]]*10)</f>
        <v>30</v>
      </c>
      <c r="G246" s="42">
        <f>IF(Tableau1[[#This Row],[Portefeuille]]="p",3,0)</f>
        <v>0</v>
      </c>
      <c r="H246" s="42">
        <v>3</v>
      </c>
      <c r="I246" s="42">
        <v>4</v>
      </c>
      <c r="J246" s="42"/>
      <c r="K246" s="43"/>
      <c r="L246" s="16">
        <v>1</v>
      </c>
      <c r="M24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6" s="44" t="s">
        <v>4036</v>
      </c>
      <c r="O246" s="45"/>
      <c r="P246" s="4" t="s">
        <v>427</v>
      </c>
      <c r="Q246" s="4"/>
      <c r="R246" s="6"/>
      <c r="S246" s="6" t="s">
        <v>4037</v>
      </c>
      <c r="T246" s="6" t="e" vm="225">
        <v>#VALUE!</v>
      </c>
      <c r="U246" s="46" cm="1">
        <f t="array" aca="1" ref="U246" ca="1">IFERROR(_FV(Tableau1[[#This Row],[Code Excel]],"Capitalisation boursière",TRUE),"")</f>
        <v>101918900000</v>
      </c>
      <c r="V246" s="4" t="str" cm="1">
        <f t="array" aca="1" ref="V246" ca="1">IFERROR(_FV(Tableau1[[#This Row],[Code Excel]],"Industrie"),"")</f>
        <v>Software &amp; IT Services</v>
      </c>
      <c r="W246" s="4" t="s">
        <v>4333</v>
      </c>
      <c r="X246" s="4" t="str">
        <f ca="1">Tableau1[[#This Row],[Grand Secteur]]&amp;Tableau1[[#This Row],[Industrie]]</f>
        <v>Logiciels et TechnologieSoftware &amp; IT Services</v>
      </c>
      <c r="Y246" s="23" cm="1">
        <f t="array" aca="1" ref="Y246" ca="1">IFERROR(_FV(Tableau1[[#This Row],[Code Excel]],"P/E",TRUE),"")</f>
        <v>14.970700000000001</v>
      </c>
      <c r="Z246" s="43" cm="1">
        <f t="array" aca="1" ref="Z246" ca="1">IFERROR(_FV(Tableau1[[#This Row],[Code Excel]],"Employés"),"")</f>
        <v>21048</v>
      </c>
      <c r="AA246" s="49">
        <f ca="1">IFERROR(Tableau1[[#This Row],[Capitalisation boursière]]/Tableau1[[#This Row],[Employés]],"")</f>
        <v>4842213.0368681112</v>
      </c>
      <c r="AB246" s="5" t="str">
        <f>IFERROR(Tableau1[[#This Row],[REX (2021)]]/Tableau1[[#This Row],[CA 2024]],"")</f>
        <v/>
      </c>
      <c r="AC246" s="9" t="str">
        <f>IFERROR(_xlfn.XLOOKUP(Tableau1[[#This Row],[Isin]]&amp;1&amp;2021,#REF!,Tableau3[Résultat d''exploitation]),"")</f>
        <v/>
      </c>
      <c r="AD246" s="9" t="str">
        <f>IFERROR(_xlfn.XLOOKUP(Tableau1[[#This Row],[Isin]]&amp;1&amp;2019,#REF!,Tableau3[Chiffre d''affaires]),"")</f>
        <v/>
      </c>
      <c r="AE246" s="9" t="str">
        <f>IFERROR(_xlfn.XLOOKUP(Tableau1[[#This Row],[Isin]]&amp;1&amp;2024,#REF!,Tableau3[Chiffre d''affaires]),"")</f>
        <v/>
      </c>
      <c r="AF246" s="8" t="str">
        <f>IFERROR(IF((Tableau1[[#This Row],[CA 2024]]-Tableau1[[#This Row],[CA 2019]])/Tableau1[[#This Row],[CA 2019]]=-1,"",(Tableau1[[#This Row],[CA 2024]]-Tableau1[[#This Row],[CA 2019]])/Tableau1[[#This Row],[CA 2019]]),"")</f>
        <v/>
      </c>
      <c r="AG246" s="9" t="str">
        <f>IFERROR(_xlfn.XLOOKUP(Tableau1[[#This Row],[Isin]]&amp;1&amp;2021,#REF!,Tableau3[EBE]),"")</f>
        <v/>
      </c>
      <c r="AH246" s="9" t="str">
        <f>IFERROR(_xlfn.XLOOKUP(Tableau1[[#This Row],[Isin]]&amp;1&amp;2022,#REF!,Tableau3[EBE]),"")</f>
        <v/>
      </c>
      <c r="AI246" s="43" t="s">
        <v>4324</v>
      </c>
      <c r="AJ246" s="43" t="s">
        <v>4334</v>
      </c>
      <c r="AK246" s="43" t="s">
        <v>3148</v>
      </c>
      <c r="AL246" s="43"/>
      <c r="AM246" s="43"/>
      <c r="AN246" s="9" t="str">
        <f>IFERROR(_xlfn.XLOOKUP(Tableau1[[#This Row],[Isin]]&amp;1&amp;2021,#REF!,Tableau3[Chiffre d''affaires]),"")</f>
        <v/>
      </c>
      <c r="AO246" s="43" cm="1">
        <f t="array" aca="1" ref="AO246" ca="1">_FV(Tableau1[[#This Row],[Code Excel]],"P/E",TRUE)</f>
        <v>14.970700000000001</v>
      </c>
      <c r="AP246" s="43" t="str">
        <f>IFERROR(_xlfn.XLOOKUP(Tableau1[[#This Row],[Isin]]&amp;1&amp;2023,#REF!,Tableau3[Résultat Net (PdG)]),"")</f>
        <v/>
      </c>
      <c r="AQ246" s="43">
        <f>IF(IFERROR(_xlfn.XLOOKUP(Tableau1[[#This Row],[Isin]]&amp;1&amp;2022,#REF!,Tableau3[Résultat Net (PdG)]),"")="",Tableau1[[#This Row],[RN Groupe 2022
Manuel]],IFERROR(_xlfn.XLOOKUP(Tableau1[[#This Row],[Isin]]&amp;1&amp;2022,#REF!,Tableau3[Résultat Net (PdG)]),""))</f>
        <v>0</v>
      </c>
      <c r="AR246" s="43"/>
      <c r="AS246" s="43">
        <f>IF(IFERROR(_xlfn.XLOOKUP(Tableau1[[#This Row],[Isin]]&amp;1&amp;2021,#REF!,Tableau3[Résultat Net (PdG)]),"")="",Tableau1[[#This Row],[RN Groupe 2021
Manuel]],IFERROR(_xlfn.XLOOKUP(Tableau1[[#This Row],[Isin]]&amp;1&amp;2021,#REF!,Tableau3[Résultat Net (PdG)]),""))</f>
        <v>0</v>
      </c>
      <c r="AT246" s="43"/>
      <c r="AU246" s="43" t="str">
        <f>IFERROR(_xlfn.XLOOKUP(Tableau1[[#This Row],[Isin]]&amp;1&amp;2020,#REF!,Tableau3[Résultat Net (PdG)]),"")</f>
        <v/>
      </c>
      <c r="AV246" s="43" t="str">
        <f>IFERROR(_xlfn.XLOOKUP(Tableau1[[#This Row],[Isin]]&amp;1&amp;2019,#REF!,Tableau3[Résultat Net (PdG)]),"")</f>
        <v/>
      </c>
      <c r="AW246" s="43" t="str">
        <f>IFERROR(_xlfn.XLOOKUP(Tableau1[[#This Row],[Isin]]&amp;1&amp;2018,#REF!,Tableau3[Résultat Net (PdG)]),"")</f>
        <v/>
      </c>
      <c r="AX246" s="43" t="str">
        <f>IFERROR(_xlfn.XLOOKUP(Tableau1[[#This Row],[Isin]]&amp;1&amp;2017,#REF!,Tableau3[Résultat Net (PdG)]),"")</f>
        <v/>
      </c>
      <c r="AY246" s="43" t="str">
        <f>IFERROR(_xlfn.XLOOKUP(Tableau1[[#This Row],[Isin]]&amp;1&amp;2016,#REF!,Tableau3[Résultat Net (PdG)]),"")</f>
        <v/>
      </c>
      <c r="AZ246" s="137" t="str">
        <f ca="1">IFERROR(Tableau1[[#This Row],[Capitalisation boursière]]/Tableau1[[#This Row],[RN Groupe 2023]],"")</f>
        <v/>
      </c>
      <c r="BA246" s="4" t="str" cm="1">
        <f t="array" aca="1" ref="BA246" ca="1">IFERROR(_FV(Tableau1[[#This Row],[Code Excel]],"Industrie"),"")</f>
        <v>Software &amp; IT Services</v>
      </c>
      <c r="BB246" s="43" t="s">
        <v>3496</v>
      </c>
      <c r="BC246" s="43" t="str">
        <f>IFERROR(_xlfn.XLOOKUP(Tableau1[[#This Row],[Isin]]&amp;1&amp;2016,#REF!,Tableau3[Capi]),"")</f>
        <v/>
      </c>
      <c r="BD246" s="43" t="str">
        <f>IFERROR(_xlfn.XLOOKUP(Tableau1[[#This Row],[Isin]]&amp;1&amp;2017,#REF!,Tableau3[Capi]),"")</f>
        <v/>
      </c>
      <c r="BE246" s="43" t="str">
        <f>IFERROR(_xlfn.XLOOKUP(Tableau1[[#This Row],[Isin]]&amp;1&amp;2018,#REF!,Tableau3[Capi]),"")</f>
        <v/>
      </c>
      <c r="BF246" s="43" t="str">
        <f>IFERROR(_xlfn.XLOOKUP(Tableau1[[#This Row],[Isin]]&amp;1&amp;2019,#REF!,Tableau3[Capi]),"")</f>
        <v/>
      </c>
      <c r="BG246" s="43" t="str">
        <f>IFERROR(_xlfn.XLOOKUP(Tableau1[[#This Row],[Isin]]&amp;1&amp;2020,#REF!,Tableau3[Capi]),"")</f>
        <v/>
      </c>
      <c r="BH246" s="43">
        <f>IF(IFERROR(_xlfn.XLOOKUP(Tableau1[[#This Row],[Isin]]&amp;1&amp;2021,#REF!,Tableau3[Capi]),"")="",Tableau1[[#This Row],[Capitalisation 2021
Manuel]],IFERROR(_xlfn.XLOOKUP(Tableau1[[#This Row],[Isin]]&amp;1&amp;2021,#REF!,Tableau3[Capi]),""))</f>
        <v>0</v>
      </c>
      <c r="BI246" s="43"/>
      <c r="BJ246" s="43">
        <f>IF(IFERROR(_xlfn.XLOOKUP(Tableau1[[#This Row],[Isin]]&amp;1&amp;2022,#REF!,Tableau3[Capi]),"")="",Tableau1[[#This Row],[Capitalisation 2022
Manuel]],IFERROR(_xlfn.XLOOKUP(Tableau1[[#This Row],[Isin]]&amp;1&amp;2022,#REF!,Tableau3[Capi]),""))</f>
        <v>0</v>
      </c>
      <c r="BK246" s="43"/>
      <c r="BL246" s="43">
        <f ca="1">Tableau1[[#This Row],[Capitalisation boursière]]</f>
        <v>101918900000</v>
      </c>
      <c r="BM246" s="162" t="str" cm="1">
        <f t="array" aca="1" ref="BM246" ca="1">_FV(Tableau1[[#This Row],[Code Excel]],"Description")</f>
        <v>Prosus NV, anciennement Myriad International Holdings NV, est un groupe Internet mondial de consommateurs basé aux Pays-Bas. La société est organisée en six secteurs d’activité : petites annonces, paiements et technologies financières, livraison de nourriture, commerce électronique, entreprises et voyages. Il détient également des investissements dans des actifs sociaux et Internet cotés. Le domaine d'activité Petites annonces gère les marchés mobiles et numériques. Le domaine d'activité paiements et technologies financières comprend PayU, une plateforme de services de paiement. Le domaine d'activité Livraison alimentaire gère les entreprises de livraison alimentaire. Le domaine d'activité Voyages exploite une plateforme de voyages en ligne. Le domaine d'activité commerce électronique comprend les entreprises de commerce électronique grand public. Le secteur d'activité Venture recherche et investit dans des entreprises en démarrage.</v>
      </c>
      <c r="BN246" s="43"/>
      <c r="BO246" s="43"/>
      <c r="BP246" s="43"/>
      <c r="BQ246" s="43"/>
      <c r="BR246" s="13"/>
      <c r="BS246" s="13"/>
      <c r="BT246" s="13"/>
      <c r="BU246" s="13"/>
      <c r="BV246" s="13"/>
      <c r="BW246" s="13"/>
      <c r="BX246" s="13"/>
      <c r="BY246" s="21"/>
      <c r="BZ246" s="13"/>
      <c r="CA246" s="13"/>
      <c r="CB246" s="13"/>
      <c r="CC246" s="13"/>
      <c r="CD246" s="13"/>
      <c r="CF246" s="4"/>
      <c r="CG246" s="4"/>
    </row>
    <row r="247" spans="3:85">
      <c r="C247" s="43"/>
      <c r="D247" s="42">
        <f>IF(Tableau1[[#This Row],[Isin]]="",99,Tableau1[[#This Row],[Intérêt]]+Tableau1[[#This Row],[Valeur d''intérêt]]+Tableau1[[#This Row],[N° Portefeuille]])</f>
        <v>30</v>
      </c>
      <c r="E247" s="43"/>
      <c r="F247" s="42">
        <f>IF(Tableau1[[#This Row],[Portefeuille]]="p",0,Tableau1[[#This Row],[F. Investissement
Niveau d''intérêt]]*10)</f>
        <v>30</v>
      </c>
      <c r="G247" s="43">
        <f>IF(Tableau1[[#This Row],[Portefeuille]]="p",3,0)</f>
        <v>0</v>
      </c>
      <c r="H247" s="43">
        <v>3</v>
      </c>
      <c r="I247" s="43">
        <v>4</v>
      </c>
      <c r="J247" s="43"/>
      <c r="K247" s="43"/>
      <c r="L247" s="16">
        <v>0</v>
      </c>
      <c r="M24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7" s="44" t="s">
        <v>4039</v>
      </c>
      <c r="O247" s="45"/>
      <c r="P247" s="4" t="s">
        <v>452</v>
      </c>
      <c r="Q247" s="4"/>
      <c r="R247" s="6"/>
      <c r="S247" s="6" t="s">
        <v>4040</v>
      </c>
      <c r="T247" s="6" t="e" vm="226">
        <v>#VALUE!</v>
      </c>
      <c r="U247" s="46" cm="1">
        <f t="array" aca="1" ref="U247" ca="1">IFERROR(_FV(Tableau1[[#This Row],[Code Excel]],"Capitalisation boursière",TRUE),"")</f>
        <v>2310402000</v>
      </c>
      <c r="V247" s="4" t="str" cm="1">
        <f t="array" aca="1" ref="V247" ca="1">IFERROR(_FV(Tableau1[[#This Row],[Code Excel]],"Industrie"),"")</f>
        <v>Telecommunications Services</v>
      </c>
      <c r="W247" s="4" t="s">
        <v>1737</v>
      </c>
      <c r="X247" s="4" t="str">
        <f ca="1">Tableau1[[#This Row],[Grand Secteur]]&amp;Tableau1[[#This Row],[Industrie]]</f>
        <v>TélécommunicationTelecommunications Services</v>
      </c>
      <c r="Y247" s="23" cm="1">
        <f t="array" aca="1" ref="Y247" ca="1">IFERROR(_FV(Tableau1[[#This Row],[Code Excel]],"P/E",TRUE),"")</f>
        <v>4.9518000000000004</v>
      </c>
      <c r="Z247" s="43" cm="1">
        <f t="array" aca="1" ref="Z247" ca="1">IFERROR(_FV(Tableau1[[#This Row],[Code Excel]],"Employés"),"")</f>
        <v>13131</v>
      </c>
      <c r="AA247" s="49">
        <f ca="1">IFERROR(Tableau1[[#This Row],[Capitalisation boursière]]/Tableau1[[#This Row],[Employés]],"")</f>
        <v>175950.19419693854</v>
      </c>
      <c r="AB247" s="5" t="str">
        <f>IFERROR(Tableau1[[#This Row],[REX (2021)]]/Tableau1[[#This Row],[CA 2024]],"")</f>
        <v/>
      </c>
      <c r="AC247" s="9" t="str">
        <f>IFERROR(_xlfn.XLOOKUP(Tableau1[[#This Row],[Isin]]&amp;1&amp;2021,#REF!,Tableau3[Résultat d''exploitation]),"")</f>
        <v/>
      </c>
      <c r="AD247" s="9" t="str">
        <f>IFERROR(_xlfn.XLOOKUP(Tableau1[[#This Row],[Isin]]&amp;1&amp;2019,#REF!,Tableau3[Chiffre d''affaires]),"")</f>
        <v/>
      </c>
      <c r="AE247" s="9" t="str">
        <f>IFERROR(_xlfn.XLOOKUP(Tableau1[[#This Row],[Isin]]&amp;1&amp;2024,#REF!,Tableau3[Chiffre d''affaires]),"")</f>
        <v/>
      </c>
      <c r="AF247" s="8" t="str">
        <f>IFERROR(IF((Tableau1[[#This Row],[CA 2024]]-Tableau1[[#This Row],[CA 2019]])/Tableau1[[#This Row],[CA 2019]]=-1,"",(Tableau1[[#This Row],[CA 2024]]-Tableau1[[#This Row],[CA 2019]])/Tableau1[[#This Row],[CA 2019]]),"")</f>
        <v/>
      </c>
      <c r="AG247" s="9" t="str">
        <f>IFERROR(_xlfn.XLOOKUP(Tableau1[[#This Row],[Isin]]&amp;1&amp;2021,#REF!,Tableau3[EBE]),"")</f>
        <v/>
      </c>
      <c r="AH247" s="9" t="str">
        <f>IFERROR(_xlfn.XLOOKUP(Tableau1[[#This Row],[Isin]]&amp;1&amp;2022,#REF!,Tableau3[EBE]),"")</f>
        <v/>
      </c>
      <c r="AI247" s="13" t="s">
        <v>4324</v>
      </c>
      <c r="AJ247" s="43" t="s">
        <v>4376</v>
      </c>
      <c r="AK247" s="43" t="s">
        <v>4377</v>
      </c>
      <c r="AL247" s="43"/>
      <c r="AM247" s="43"/>
      <c r="AN247" s="9" t="str">
        <f>IFERROR(_xlfn.XLOOKUP(Tableau1[[#This Row],[Isin]]&amp;1&amp;2021,#REF!,Tableau3[Chiffre d''affaires]),"")</f>
        <v/>
      </c>
      <c r="AO247" s="43" cm="1">
        <f t="array" aca="1" ref="AO247" ca="1">_FV(Tableau1[[#This Row],[Code Excel]],"P/E",TRUE)</f>
        <v>4.9518000000000004</v>
      </c>
      <c r="AP247" s="43" t="str">
        <f>IFERROR(_xlfn.XLOOKUP(Tableau1[[#This Row],[Isin]]&amp;1&amp;2023,#REF!,Tableau3[Résultat Net (PdG)]),"")</f>
        <v/>
      </c>
      <c r="AQ247" s="43">
        <f>IF(IFERROR(_xlfn.XLOOKUP(Tableau1[[#This Row],[Isin]]&amp;1&amp;2022,#REF!,Tableau3[Résultat Net (PdG)]),"")="",Tableau1[[#This Row],[RN Groupe 2022
Manuel]],IFERROR(_xlfn.XLOOKUP(Tableau1[[#This Row],[Isin]]&amp;1&amp;2022,#REF!,Tableau3[Résultat Net (PdG)]),""))</f>
        <v>0</v>
      </c>
      <c r="AR247" s="43"/>
      <c r="AS247" s="43">
        <f>IF(IFERROR(_xlfn.XLOOKUP(Tableau1[[#This Row],[Isin]]&amp;1&amp;2021,#REF!,Tableau3[Résultat Net (PdG)]),"")="",Tableau1[[#This Row],[RN Groupe 2021
Manuel]],IFERROR(_xlfn.XLOOKUP(Tableau1[[#This Row],[Isin]]&amp;1&amp;2021,#REF!,Tableau3[Résultat Net (PdG)]),""))</f>
        <v>0</v>
      </c>
      <c r="AT247" s="43"/>
      <c r="AU247" s="43" t="str">
        <f>IFERROR(_xlfn.XLOOKUP(Tableau1[[#This Row],[Isin]]&amp;1&amp;2020,#REF!,Tableau3[Résultat Net (PdG)]),"")</f>
        <v/>
      </c>
      <c r="AV247" s="43" t="str">
        <f>IFERROR(_xlfn.XLOOKUP(Tableau1[[#This Row],[Isin]]&amp;1&amp;2019,#REF!,Tableau3[Résultat Net (PdG)]),"")</f>
        <v/>
      </c>
      <c r="AW247" s="43" t="str">
        <f>IFERROR(_xlfn.XLOOKUP(Tableau1[[#This Row],[Isin]]&amp;1&amp;2018,#REF!,Tableau3[Résultat Net (PdG)]),"")</f>
        <v/>
      </c>
      <c r="AX247" s="43" t="str">
        <f>IFERROR(_xlfn.XLOOKUP(Tableau1[[#This Row],[Isin]]&amp;1&amp;2017,#REF!,Tableau3[Résultat Net (PdG)]),"")</f>
        <v/>
      </c>
      <c r="AY247" s="43" t="str">
        <f>IFERROR(_xlfn.XLOOKUP(Tableau1[[#This Row],[Isin]]&amp;1&amp;2016,#REF!,Tableau3[Résultat Net (PdG)]),"")</f>
        <v/>
      </c>
      <c r="AZ247" s="137" t="str">
        <f ca="1">IFERROR(Tableau1[[#This Row],[Capitalisation boursière]]/Tableau1[[#This Row],[RN Groupe 2023]],"")</f>
        <v/>
      </c>
      <c r="BA247" s="4" t="str" cm="1">
        <f t="array" aca="1" ref="BA247" ca="1">IFERROR(_FV(Tableau1[[#This Row],[Code Excel]],"Industrie"),"")</f>
        <v>Telecommunications Services</v>
      </c>
      <c r="BB247" s="43" t="s">
        <v>3482</v>
      </c>
      <c r="BC247" s="43" t="str">
        <f>IFERROR(_xlfn.XLOOKUP(Tableau1[[#This Row],[Isin]]&amp;1&amp;2016,#REF!,Tableau3[Capi]),"")</f>
        <v/>
      </c>
      <c r="BD247" s="43" t="str">
        <f>IFERROR(_xlfn.XLOOKUP(Tableau1[[#This Row],[Isin]]&amp;1&amp;2017,#REF!,Tableau3[Capi]),"")</f>
        <v/>
      </c>
      <c r="BE247" s="43" t="str">
        <f>IFERROR(_xlfn.XLOOKUP(Tableau1[[#This Row],[Isin]]&amp;1&amp;2018,#REF!,Tableau3[Capi]),"")</f>
        <v/>
      </c>
      <c r="BF247" s="43" t="str">
        <f>IFERROR(_xlfn.XLOOKUP(Tableau1[[#This Row],[Isin]]&amp;1&amp;2019,#REF!,Tableau3[Capi]),"")</f>
        <v/>
      </c>
      <c r="BG247" s="43" t="str">
        <f>IFERROR(_xlfn.XLOOKUP(Tableau1[[#This Row],[Isin]]&amp;1&amp;2020,#REF!,Tableau3[Capi]),"")</f>
        <v/>
      </c>
      <c r="BH247" s="43">
        <f>IF(IFERROR(_xlfn.XLOOKUP(Tableau1[[#This Row],[Isin]]&amp;1&amp;2021,#REF!,Tableau3[Capi]),"")="",Tableau1[[#This Row],[Capitalisation 2021
Manuel]],IFERROR(_xlfn.XLOOKUP(Tableau1[[#This Row],[Isin]]&amp;1&amp;2021,#REF!,Tableau3[Capi]),""))</f>
        <v>0</v>
      </c>
      <c r="BI247" s="43"/>
      <c r="BJ247" s="43">
        <f>IF(IFERROR(_xlfn.XLOOKUP(Tableau1[[#This Row],[Isin]]&amp;1&amp;2022,#REF!,Tableau3[Capi]),"")="",Tableau1[[#This Row],[Capitalisation 2022
Manuel]],IFERROR(_xlfn.XLOOKUP(Tableau1[[#This Row],[Isin]]&amp;1&amp;2022,#REF!,Tableau3[Capi]),""))</f>
        <v>0</v>
      </c>
      <c r="BK247" s="43"/>
      <c r="BL247" s="43">
        <f ca="1">Tableau1[[#This Row],[Capitalisation boursière]]</f>
        <v>2310402000</v>
      </c>
      <c r="BM247" s="162" t="str" cm="1">
        <f t="array" aca="1" ref="BM247" ca="1">_FV(Tableau1[[#This Row],[Code Excel]],"Description")</f>
        <v>Proximus NV est une société basée en Belgique qui exerce ses activités dans les secteurs des télécommunications, de l'information, de la communication et de la technologie (TIC). Elle fournit des services de téléphonie, d'Internet, de télévision et de TIC basés sur le réseau à travers les marques Proximus et Scarlet. En outre, la Société transforme une gamme de technologies, telles que l'Internet des objets (IoT), le Big Data, le Cloud et la sécurité, en solutions. Proximus NV exploite BICS en tant que filiale, qui est un opérateur vocal et fournisseur de services de données mobiles dans le monde entier. En outre, TeleSign, la filiale de la Société, propose la plateforme de communication en tant que service (CPaaS). Proximus NV est active sur les marchés nationaux et internationaux en fournissant des services aux clients résidentiels, professionnels et publics.</v>
      </c>
      <c r="BN247" s="43"/>
      <c r="BO247" s="43"/>
      <c r="BP247" s="43"/>
      <c r="BQ247" s="43"/>
      <c r="BR247" s="13"/>
      <c r="BS247" s="13"/>
      <c r="BT247" s="13"/>
      <c r="BU247" s="13"/>
      <c r="BV247" s="13"/>
      <c r="BW247" s="13"/>
      <c r="BX247" s="13"/>
      <c r="BY247" s="21"/>
      <c r="BZ247" s="13"/>
      <c r="CA247" s="13"/>
      <c r="CB247" s="13"/>
      <c r="CC247" s="13"/>
      <c r="CD247" s="13"/>
      <c r="CF247" s="4"/>
      <c r="CG247" s="4"/>
    </row>
    <row r="248" spans="3:85">
      <c r="C248" s="42"/>
      <c r="D248" s="42">
        <f>IF(Tableau1[[#This Row],[Isin]]="",99,Tableau1[[#This Row],[Intérêt]]+Tableau1[[#This Row],[Valeur d''intérêt]]+Tableau1[[#This Row],[N° Portefeuille]])</f>
        <v>30</v>
      </c>
      <c r="E248" s="42"/>
      <c r="F248" s="42">
        <f>IF(Tableau1[[#This Row],[Portefeuille]]="p",0,Tableau1[[#This Row],[F. Investissement
Niveau d''intérêt]]*10)</f>
        <v>30</v>
      </c>
      <c r="G248" s="42">
        <f>IF(Tableau1[[#This Row],[Portefeuille]]="p",3,0)</f>
        <v>0</v>
      </c>
      <c r="H248" s="42">
        <v>3</v>
      </c>
      <c r="I248" s="42">
        <v>4</v>
      </c>
      <c r="J248" s="42"/>
      <c r="K248" s="43"/>
      <c r="L248" s="16">
        <v>1</v>
      </c>
      <c r="M24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8" s="44" t="s">
        <v>1716</v>
      </c>
      <c r="O248" s="44" t="s">
        <v>2018</v>
      </c>
      <c r="P248" s="4" t="s">
        <v>84</v>
      </c>
      <c r="Q248" s="6" t="s">
        <v>85</v>
      </c>
      <c r="R248" s="6"/>
      <c r="S248" s="6" t="s">
        <v>1719</v>
      </c>
      <c r="T248" s="6" t="e" vm="227">
        <v>#VALUE!</v>
      </c>
      <c r="U248" s="46" cm="1">
        <f t="array" aca="1" ref="U248" ca="1">IFERROR(_FV(Tableau1[[#This Row],[Code Excel]],"Capitalisation boursière",TRUE),"")</f>
        <v>22888070000</v>
      </c>
      <c r="V248" s="4" t="str" cm="1">
        <f t="array" aca="1" ref="V248" ca="1">IFERROR(_FV(Tableau1[[#This Row],[Code Excel]],"Industrie"),"")</f>
        <v>Media &amp; Publishing</v>
      </c>
      <c r="W248" s="4" t="s">
        <v>2018</v>
      </c>
      <c r="X248" s="4" t="str">
        <f ca="1">Tableau1[[#This Row],[Grand Secteur]]&amp;Tableau1[[#This Row],[Industrie]]</f>
        <v>MédiaMedia &amp; Publishing</v>
      </c>
      <c r="Y248" s="23" cm="1">
        <f t="array" aca="1" ref="Y248" ca="1">IFERROR(_FV(Tableau1[[#This Row],[Code Excel]],"P/E",TRUE),"")</f>
        <v>13.1408</v>
      </c>
      <c r="Z248" s="43" cm="1">
        <f t="array" aca="1" ref="Z248" ca="1">IFERROR(_FV(Tableau1[[#This Row],[Code Excel]],"Employés"),"")</f>
        <v>106907</v>
      </c>
      <c r="AA248" s="49">
        <f ca="1">IFERROR(Tableau1[[#This Row],[Capitalisation boursière]]/Tableau1[[#This Row],[Employés]],"")</f>
        <v>214093.27733450569</v>
      </c>
      <c r="AB248" s="5" t="str">
        <f>IFERROR(Tableau1[[#This Row],[REX (2021)]]/Tableau1[[#This Row],[CA 2024]],"")</f>
        <v/>
      </c>
      <c r="AC248" s="9" t="str">
        <f>IFERROR(_xlfn.XLOOKUP(Tableau1[[#This Row],[Isin]]&amp;1&amp;2021,#REF!,Tableau3[Résultat d''exploitation]),"")</f>
        <v/>
      </c>
      <c r="AD248" s="9" t="str">
        <f>IFERROR(_xlfn.XLOOKUP(Tableau1[[#This Row],[Isin]]&amp;1&amp;2019,#REF!,Tableau3[Chiffre d''affaires]),"")</f>
        <v/>
      </c>
      <c r="AE248" s="9" t="str">
        <f>IFERROR(_xlfn.XLOOKUP(Tableau1[[#This Row],[Isin]]&amp;1&amp;2024,#REF!,Tableau3[Chiffre d''affaires]),"")</f>
        <v/>
      </c>
      <c r="AF248" s="8" t="str">
        <f>IFERROR(IF((Tableau1[[#This Row],[CA 2024]]-Tableau1[[#This Row],[CA 2019]])/Tableau1[[#This Row],[CA 2019]]=-1,"",(Tableau1[[#This Row],[CA 2024]]-Tableau1[[#This Row],[CA 2019]])/Tableau1[[#This Row],[CA 2019]]),"")</f>
        <v/>
      </c>
      <c r="AG248" s="9" t="str">
        <f>IFERROR(_xlfn.XLOOKUP(Tableau1[[#This Row],[Isin]]&amp;1&amp;2021,#REF!,Tableau3[EBE]),"")</f>
        <v/>
      </c>
      <c r="AH248" s="9" t="str">
        <f>IFERROR(_xlfn.XLOOKUP(Tableau1[[#This Row],[Isin]]&amp;1&amp;2022,#REF!,Tableau3[EBE]),"")</f>
        <v/>
      </c>
      <c r="AI248" s="43" t="s">
        <v>3431</v>
      </c>
      <c r="AJ248" s="13" t="s">
        <v>4322</v>
      </c>
      <c r="AK248" s="43" t="s">
        <v>3431</v>
      </c>
      <c r="AL248" s="43" t="s">
        <v>3419</v>
      </c>
      <c r="AM248" s="43"/>
      <c r="AN248" s="9" t="str">
        <f>IFERROR(_xlfn.XLOOKUP(Tableau1[[#This Row],[Isin]]&amp;1&amp;2021,#REF!,Tableau3[Chiffre d''affaires]),"")</f>
        <v/>
      </c>
      <c r="AO248" s="43" cm="1">
        <f t="array" aca="1" ref="AO248" ca="1">_FV(Tableau1[[#This Row],[Code Excel]],"P/E",TRUE)</f>
        <v>13.1408</v>
      </c>
      <c r="AP248" s="43" t="str">
        <f>IFERROR(_xlfn.XLOOKUP(Tableau1[[#This Row],[Isin]]&amp;1&amp;2023,#REF!,Tableau3[Résultat Net (PdG)]),"")</f>
        <v/>
      </c>
      <c r="AQ248" s="43">
        <f>IF(IFERROR(_xlfn.XLOOKUP(Tableau1[[#This Row],[Isin]]&amp;1&amp;2022,#REF!,Tableau3[Résultat Net (PdG)]),"")="",Tableau1[[#This Row],[RN Groupe 2022
Manuel]],IFERROR(_xlfn.XLOOKUP(Tableau1[[#This Row],[Isin]]&amp;1&amp;2022,#REF!,Tableau3[Résultat Net (PdG)]),""))</f>
        <v>1220000000</v>
      </c>
      <c r="AR248" s="140">
        <v>1220000000</v>
      </c>
      <c r="AS248" s="43">
        <f>IF(IFERROR(_xlfn.XLOOKUP(Tableau1[[#This Row],[Isin]]&amp;1&amp;2021,#REF!,Tableau3[Résultat Net (PdG)]),"")="",Tableau1[[#This Row],[RN Groupe 2021
Manuel]],IFERROR(_xlfn.XLOOKUP(Tableau1[[#This Row],[Isin]]&amp;1&amp;2021,#REF!,Tableau3[Résultat Net (PdG)]),""))</f>
        <v>1027000000</v>
      </c>
      <c r="AT248" s="140">
        <v>1027000000</v>
      </c>
      <c r="AU248" s="43" t="str">
        <f>IFERROR(_xlfn.XLOOKUP(Tableau1[[#This Row],[Isin]]&amp;1&amp;2020,#REF!,Tableau3[Résultat Net (PdG)]),"")</f>
        <v/>
      </c>
      <c r="AV248" s="43" t="str">
        <f>IFERROR(_xlfn.XLOOKUP(Tableau1[[#This Row],[Isin]]&amp;1&amp;2019,#REF!,Tableau3[Résultat Net (PdG)]),"")</f>
        <v/>
      </c>
      <c r="AW248" s="43" t="str">
        <f>IFERROR(_xlfn.XLOOKUP(Tableau1[[#This Row],[Isin]]&amp;1&amp;2018,#REF!,Tableau3[Résultat Net (PdG)]),"")</f>
        <v/>
      </c>
      <c r="AX248" s="43" t="str">
        <f>IFERROR(_xlfn.XLOOKUP(Tableau1[[#This Row],[Isin]]&amp;1&amp;2017,#REF!,Tableau3[Résultat Net (PdG)]),"")</f>
        <v/>
      </c>
      <c r="AY248" s="43" t="str">
        <f>IFERROR(_xlfn.XLOOKUP(Tableau1[[#This Row],[Isin]]&amp;1&amp;2016,#REF!,Tableau3[Résultat Net (PdG)]),"")</f>
        <v/>
      </c>
      <c r="AZ248" s="137" t="str">
        <f ca="1">IFERROR(Tableau1[[#This Row],[Capitalisation boursière]]/Tableau1[[#This Row],[RN Groupe 2023]],"")</f>
        <v/>
      </c>
      <c r="BA248" s="4" t="str" cm="1">
        <f t="array" aca="1" ref="BA248" ca="1">IFERROR(_FV(Tableau1[[#This Row],[Code Excel]],"Industrie"),"")</f>
        <v>Media &amp; Publishing</v>
      </c>
      <c r="BB248" s="43" t="s">
        <v>3518</v>
      </c>
      <c r="BC248" s="43" t="str">
        <f>IFERROR(_xlfn.XLOOKUP(Tableau1[[#This Row],[Isin]]&amp;1&amp;2016,#REF!,Tableau3[Capi]),"")</f>
        <v/>
      </c>
      <c r="BD248" s="43" t="str">
        <f>IFERROR(_xlfn.XLOOKUP(Tableau1[[#This Row],[Isin]]&amp;1&amp;2017,#REF!,Tableau3[Capi]),"")</f>
        <v/>
      </c>
      <c r="BE248" s="43" t="str">
        <f>IFERROR(_xlfn.XLOOKUP(Tableau1[[#This Row],[Isin]]&amp;1&amp;2018,#REF!,Tableau3[Capi]),"")</f>
        <v/>
      </c>
      <c r="BF248" s="43" t="str">
        <f>IFERROR(_xlfn.XLOOKUP(Tableau1[[#This Row],[Isin]]&amp;1&amp;2019,#REF!,Tableau3[Capi]),"")</f>
        <v/>
      </c>
      <c r="BG248" s="43" t="str">
        <f>IFERROR(_xlfn.XLOOKUP(Tableau1[[#This Row],[Isin]]&amp;1&amp;2020,#REF!,Tableau3[Capi]),"")</f>
        <v/>
      </c>
      <c r="BH248" s="43">
        <f>IF(IFERROR(_xlfn.XLOOKUP(Tableau1[[#This Row],[Isin]]&amp;1&amp;2021,#REF!,Tableau3[Capi]),"")="",Tableau1[[#This Row],[Capitalisation 2021
Manuel]],IFERROR(_xlfn.XLOOKUP(Tableau1[[#This Row],[Isin]]&amp;1&amp;2021,#REF!,Tableau3[Capi]),""))</f>
        <v>17835998000</v>
      </c>
      <c r="BI248" s="142">
        <v>17835998000</v>
      </c>
      <c r="BJ248" s="141">
        <f>IF(IFERROR(_xlfn.XLOOKUP(Tableau1[[#This Row],[Isin]]&amp;1&amp;2022,#REF!,Tableau3[Capi]),"")="",Tableau1[[#This Row],[Capitalisation 2022
Manuel]],IFERROR(_xlfn.XLOOKUP(Tableau1[[#This Row],[Isin]]&amp;1&amp;2022,#REF!,Tableau3[Capi]),""))</f>
        <v>15380383000</v>
      </c>
      <c r="BK248" s="142">
        <v>15380383000</v>
      </c>
      <c r="BL248" s="43">
        <f ca="1">Tableau1[[#This Row],[Capitalisation boursière]]</f>
        <v>22888070000</v>
      </c>
      <c r="BM248" s="162" t="str" cm="1">
        <f t="array" aca="1" ref="BM248" ca="1">_FV(Tableau1[[#This Row],[Code Excel]],"Description")</f>
        <v>Publicis Groupe sa est un groupe de communication basé en France. Elle offre une gamme complète de services de publicité et de communication organisés en quatre pôles de solutions : Publicis Communications, Publicis Media, Publicis Sapient et Publicis Health. Publicis Communications, le centre de communication créative, comprend Leo Burnett, Saatchi &amp; Saatchi, Publicis Worldwide, BBH, Marcel, Fallon, MSLGROUP et des réseaux prodigieux. Publicis Sapient est spécialisé dans les services de transformation numérique. Publicis Media est une agence médiatique mondiale dotée de capacités en matière d'investissement, de stratégie, d'analyses et d'analyses, de données et de technologies, de commerce, marketing de performance et contenu. Publicis Health se concentre sur la transformation des activités de santé et de bien-être. Le Groupe opère dans cinq régions géographiques : Europe, Amérique du Nord, Asie Pacifique, Amérique latine moyen-Orient et Afrique.</v>
      </c>
      <c r="BN248" s="43"/>
      <c r="BO248" s="43"/>
      <c r="BP248" s="43"/>
      <c r="BQ248" s="43"/>
      <c r="BR248" s="13"/>
      <c r="BS248" s="13"/>
      <c r="BT248" s="13"/>
      <c r="BU248" s="13"/>
      <c r="BV248" s="13"/>
      <c r="BW248" s="13"/>
      <c r="BX248" s="13"/>
      <c r="BY248" s="21"/>
      <c r="BZ248" s="13"/>
      <c r="CA248" s="13"/>
      <c r="CB248" s="13"/>
      <c r="CC248" s="13"/>
      <c r="CD248" s="13"/>
      <c r="CF248" s="4"/>
      <c r="CG248" s="4"/>
    </row>
    <row r="249" spans="3:85">
      <c r="C249" s="43"/>
      <c r="D249" s="42">
        <f>IF(Tableau1[[#This Row],[Isin]]="",99,Tableau1[[#This Row],[Intérêt]]+Tableau1[[#This Row],[Valeur d''intérêt]]+Tableau1[[#This Row],[N° Portefeuille]])</f>
        <v>30</v>
      </c>
      <c r="E249" s="43"/>
      <c r="F249" s="42">
        <f>IF(Tableau1[[#This Row],[Portefeuille]]="p",0,Tableau1[[#This Row],[F. Investissement
Niveau d''intérêt]]*10)</f>
        <v>30</v>
      </c>
      <c r="G249" s="43">
        <f>IF(Tableau1[[#This Row],[Portefeuille]]="p",3,0)</f>
        <v>0</v>
      </c>
      <c r="H249" s="43">
        <v>3</v>
      </c>
      <c r="I249" s="43">
        <v>4</v>
      </c>
      <c r="J249" s="43"/>
      <c r="K249" s="43"/>
      <c r="L249" s="16">
        <v>1</v>
      </c>
      <c r="M24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49" s="44" t="s">
        <v>4043</v>
      </c>
      <c r="O249" s="44" t="s">
        <v>4415</v>
      </c>
      <c r="P249" s="4" t="s">
        <v>564</v>
      </c>
      <c r="Q249" s="6" t="s">
        <v>85</v>
      </c>
      <c r="R249" s="6"/>
      <c r="S249" s="6" t="s">
        <v>565</v>
      </c>
      <c r="T249" s="6" t="e" vm="228">
        <v>#VALUE!</v>
      </c>
      <c r="U249" s="46" cm="1">
        <f t="array" aca="1" ref="U249" ca="1">IFERROR(_FV(Tableau1[[#This Row],[Code Excel]],"Capitalisation boursière",TRUE),"")</f>
        <v>3387670000</v>
      </c>
      <c r="V249" s="4" t="str" cm="1">
        <f t="array" aca="1" ref="V249" ca="1">IFERROR(_FV(Tableau1[[#This Row],[Code Excel]],"Industrie"),"")</f>
        <v>Textiles &amp; Apparel</v>
      </c>
      <c r="W249" s="4" t="s">
        <v>1315</v>
      </c>
      <c r="X249" s="4" t="str">
        <f ca="1">Tableau1[[#This Row],[Grand Secteur]]&amp;Tableau1[[#This Row],[Industrie]]</f>
        <v>Biens de consommationTextiles &amp; Apparel</v>
      </c>
      <c r="Y249" s="23" cm="1">
        <f t="array" aca="1" ref="Y249" ca="1">IFERROR(_FV(Tableau1[[#This Row],[Code Excel]],"P/E",TRUE),"")</f>
        <v>12.57</v>
      </c>
      <c r="Z249" s="43" cm="1">
        <f t="array" aca="1" ref="Z249" ca="1">IFERROR(_FV(Tableau1[[#This Row],[Code Excel]],"Employés"),"")</f>
        <v>19599</v>
      </c>
      <c r="AA249" s="46">
        <f ca="1">IFERROR(Tableau1[[#This Row],[Capitalisation boursière]]/Tableau1[[#This Row],[Employés]],"")</f>
        <v>172849.12495535487</v>
      </c>
      <c r="AB249" s="5" t="str">
        <f>IFERROR(Tableau1[[#This Row],[REX (2021)]]/Tableau1[[#This Row],[CA 2024]],"")</f>
        <v/>
      </c>
      <c r="AC249" s="9" t="str">
        <f>IFERROR(_xlfn.XLOOKUP(Tableau1[[#This Row],[Isin]]&amp;1&amp;2021,#REF!,Tableau3[Résultat d''exploitation]),"")</f>
        <v/>
      </c>
      <c r="AD249" s="9" t="str">
        <f>IFERROR(_xlfn.XLOOKUP(Tableau1[[#This Row],[Isin]]&amp;1&amp;2019,#REF!,Tableau3[Chiffre d''affaires]),"")</f>
        <v/>
      </c>
      <c r="AE249" s="9" t="str">
        <f>IFERROR(_xlfn.XLOOKUP(Tableau1[[#This Row],[Isin]]&amp;1&amp;2024,#REF!,Tableau3[Chiffre d''affaires]),"")</f>
        <v/>
      </c>
      <c r="AF249" s="8" t="str">
        <f>IFERROR(IF((Tableau1[[#This Row],[CA 2024]]-Tableau1[[#This Row],[CA 2019]])/Tableau1[[#This Row],[CA 2019]]=-1,"",(Tableau1[[#This Row],[CA 2024]]-Tableau1[[#This Row],[CA 2019]])/Tableau1[[#This Row],[CA 2019]]),"")</f>
        <v/>
      </c>
      <c r="AG249" s="9" t="str">
        <f>IFERROR(_xlfn.XLOOKUP(Tableau1[[#This Row],[Isin]]&amp;1&amp;2021,#REF!,Tableau3[EBE]),"")</f>
        <v/>
      </c>
      <c r="AH249" s="9" t="str">
        <f>IFERROR(_xlfn.XLOOKUP(Tableau1[[#This Row],[Isin]]&amp;1&amp;2022,#REF!,Tableau3[EBE]),"")</f>
        <v/>
      </c>
      <c r="AI249" s="43" t="s">
        <v>3431</v>
      </c>
      <c r="AJ249" s="43" t="s">
        <v>4348</v>
      </c>
      <c r="AK249" s="43" t="s">
        <v>3149</v>
      </c>
      <c r="AL249" s="43" t="s">
        <v>3431</v>
      </c>
      <c r="AM249" s="43"/>
      <c r="AN249" s="9" t="str">
        <f>IFERROR(_xlfn.XLOOKUP(Tableau1[[#This Row],[Isin]]&amp;1&amp;2021,#REF!,Tableau3[Chiffre d''affaires]),"")</f>
        <v/>
      </c>
      <c r="AO249" s="43" cm="1">
        <f t="array" aca="1" ref="AO249" ca="1">_FV(Tableau1[[#This Row],[Code Excel]],"P/E",TRUE)</f>
        <v>12.57</v>
      </c>
      <c r="AP249" s="43" t="str">
        <f>IFERROR(_xlfn.XLOOKUP(Tableau1[[#This Row],[Isin]]&amp;1&amp;2023,#REF!,Tableau3[Résultat Net (PdG)]),"")</f>
        <v/>
      </c>
      <c r="AQ249" s="43">
        <f>IF(IFERROR(_xlfn.XLOOKUP(Tableau1[[#This Row],[Isin]]&amp;1&amp;2022,#REF!,Tableau3[Résultat Net (PdG)]),"")="",Tableau1[[#This Row],[RN Groupe 2022
Manuel]],IFERROR(_xlfn.XLOOKUP(Tableau1[[#This Row],[Isin]]&amp;1&amp;2022,#REF!,Tableau3[Résultat Net (PdG)]),""))</f>
        <v>0</v>
      </c>
      <c r="AR249" s="43"/>
      <c r="AS249" s="43">
        <f>IF(IFERROR(_xlfn.XLOOKUP(Tableau1[[#This Row],[Isin]]&amp;1&amp;2021,#REF!,Tableau3[Résultat Net (PdG)]),"")="",Tableau1[[#This Row],[RN Groupe 2021
Manuel]],IFERROR(_xlfn.XLOOKUP(Tableau1[[#This Row],[Isin]]&amp;1&amp;2021,#REF!,Tableau3[Résultat Net (PdG)]),""))</f>
        <v>0</v>
      </c>
      <c r="AT249" s="43"/>
      <c r="AU249" s="43" t="str">
        <f>IFERROR(_xlfn.XLOOKUP(Tableau1[[#This Row],[Isin]]&amp;1&amp;2020,#REF!,Tableau3[Résultat Net (PdG)]),"")</f>
        <v/>
      </c>
      <c r="AV249" s="43" t="str">
        <f>IFERROR(_xlfn.XLOOKUP(Tableau1[[#This Row],[Isin]]&amp;1&amp;2019,#REF!,Tableau3[Résultat Net (PdG)]),"")</f>
        <v/>
      </c>
      <c r="AW249" s="43" t="str">
        <f>IFERROR(_xlfn.XLOOKUP(Tableau1[[#This Row],[Isin]]&amp;1&amp;2018,#REF!,Tableau3[Résultat Net (PdG)]),"")</f>
        <v/>
      </c>
      <c r="AX249" s="43" t="str">
        <f>IFERROR(_xlfn.XLOOKUP(Tableau1[[#This Row],[Isin]]&amp;1&amp;2017,#REF!,Tableau3[Résultat Net (PdG)]),"")</f>
        <v/>
      </c>
      <c r="AY249" s="43" t="str">
        <f>IFERROR(_xlfn.XLOOKUP(Tableau1[[#This Row],[Isin]]&amp;1&amp;2016,#REF!,Tableau3[Résultat Net (PdG)]),"")</f>
        <v/>
      </c>
      <c r="AZ249" s="137" t="str">
        <f ca="1">IFERROR(Tableau1[[#This Row],[Capitalisation boursière]]/Tableau1[[#This Row],[RN Groupe 2023]],"")</f>
        <v/>
      </c>
      <c r="BA249" s="4" t="str" cm="1">
        <f t="array" aca="1" ref="BA249" ca="1">IFERROR(_FV(Tableau1[[#This Row],[Code Excel]],"Industrie"),"")</f>
        <v>Textiles &amp; Apparel</v>
      </c>
      <c r="BB249" s="43" t="s">
        <v>3487</v>
      </c>
      <c r="BC249" s="43" t="str">
        <f>IFERROR(_xlfn.XLOOKUP(Tableau1[[#This Row],[Isin]]&amp;1&amp;2016,#REF!,Tableau3[Capi]),"")</f>
        <v/>
      </c>
      <c r="BD249" s="43" t="str">
        <f>IFERROR(_xlfn.XLOOKUP(Tableau1[[#This Row],[Isin]]&amp;1&amp;2017,#REF!,Tableau3[Capi]),"")</f>
        <v/>
      </c>
      <c r="BE249" s="43" t="str">
        <f>IFERROR(_xlfn.XLOOKUP(Tableau1[[#This Row],[Isin]]&amp;1&amp;2018,#REF!,Tableau3[Capi]),"")</f>
        <v/>
      </c>
      <c r="BF249" s="43" t="str">
        <f>IFERROR(_xlfn.XLOOKUP(Tableau1[[#This Row],[Isin]]&amp;1&amp;2019,#REF!,Tableau3[Capi]),"")</f>
        <v/>
      </c>
      <c r="BG249" s="43" t="str">
        <f>IFERROR(_xlfn.XLOOKUP(Tableau1[[#This Row],[Isin]]&amp;1&amp;2020,#REF!,Tableau3[Capi]),"")</f>
        <v/>
      </c>
      <c r="BH249" s="43">
        <f>IF(IFERROR(_xlfn.XLOOKUP(Tableau1[[#This Row],[Isin]]&amp;1&amp;2021,#REF!,Tableau3[Capi]),"")="",Tableau1[[#This Row],[Capitalisation 2021
Manuel]],IFERROR(_xlfn.XLOOKUP(Tableau1[[#This Row],[Isin]]&amp;1&amp;2021,#REF!,Tableau3[Capi]),""))</f>
        <v>0</v>
      </c>
      <c r="BI249" s="43"/>
      <c r="BJ249" s="43">
        <f>IF(IFERROR(_xlfn.XLOOKUP(Tableau1[[#This Row],[Isin]]&amp;1&amp;2022,#REF!,Tableau3[Capi]),"")="",Tableau1[[#This Row],[Capitalisation 2022
Manuel]],IFERROR(_xlfn.XLOOKUP(Tableau1[[#This Row],[Isin]]&amp;1&amp;2022,#REF!,Tableau3[Capi]),""))</f>
        <v>0</v>
      </c>
      <c r="BK249" s="43"/>
      <c r="BL249" s="43">
        <f ca="1">Tableau1[[#This Row],[Capitalisation boursière]]</f>
        <v>3387670000</v>
      </c>
      <c r="BM249" s="162" t="str" cm="1">
        <f t="array" aca="1" ref="BM249" ca="1">_FV(Tableau1[[#This Row],[Code Excel]],"Description")</f>
        <v>PUMA SE est une société basée en Allemagne qui conçoit, développe, vend et commercialise des chaussures de sport, des vêtements et des accessoires. Les segments de la Société comprennent l’Europe, le Moyen-Orient et l’Afrique (EMEA), les Amériques (Amérique du Nord et latine) et l’Asie/Pacifique. La Société offre des produits de performance, ainsi que de style sportif dans six unités commerciales : Teamsport, Running and Training, Basketball, Golf, Motorsport, Sportstyle, Accessoires et licences. La Société est engagée dans la vente de produits des marques PUMA et COBRA Golf à travers le commerce de gros et de détail, ainsi que des ventes directement aux consommateurs dans ses magasins de détail et magasins en ligne. La Société commercialise et distribue ses produits à travers le monde principalement à travers ses filiales dans environ 120 pays. Pour différents segments de produits, tels que les parfums, les lunettes et les montres, la Société délivre des licences autorisant des partenaires indépendants à concevoir, développer et vendre ces produits.</v>
      </c>
      <c r="BN249" s="43"/>
      <c r="BO249" s="43"/>
      <c r="BP249" s="43"/>
      <c r="BQ249" s="43"/>
      <c r="BR249" s="13"/>
      <c r="BS249" s="13"/>
      <c r="BT249" s="13"/>
      <c r="BU249" s="13"/>
      <c r="BV249" s="13"/>
      <c r="BW249" s="13"/>
      <c r="BX249" s="13"/>
      <c r="BY249" s="21"/>
      <c r="BZ249" s="13"/>
      <c r="CA249" s="13"/>
      <c r="CB249" s="13"/>
      <c r="CC249" s="13"/>
      <c r="CD249" s="13"/>
      <c r="CF249" s="4"/>
      <c r="CG249" s="4"/>
    </row>
    <row r="250" spans="3:85">
      <c r="C250" s="42"/>
      <c r="D250" s="42">
        <f>IF(Tableau1[[#This Row],[Isin]]="",99,Tableau1[[#This Row],[Intérêt]]+Tableau1[[#This Row],[Valeur d''intérêt]]+Tableau1[[#This Row],[N° Portefeuille]])</f>
        <v>30</v>
      </c>
      <c r="E250" s="42"/>
      <c r="F250" s="42">
        <f>IF(Tableau1[[#This Row],[Portefeuille]]="p",0,Tableau1[[#This Row],[F. Investissement
Niveau d''intérêt]]*10)</f>
        <v>30</v>
      </c>
      <c r="G250" s="42">
        <f>IF(Tableau1[[#This Row],[Portefeuille]]="p",3,0)</f>
        <v>0</v>
      </c>
      <c r="H250" s="42">
        <v>3</v>
      </c>
      <c r="I250" s="42">
        <v>4</v>
      </c>
      <c r="J250" s="42"/>
      <c r="K250" s="43"/>
      <c r="L250" s="16">
        <v>0</v>
      </c>
      <c r="M25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0" s="44" t="s">
        <v>4045</v>
      </c>
      <c r="O250" s="45"/>
      <c r="P250" s="4" t="s">
        <v>427</v>
      </c>
      <c r="Q250" s="4"/>
      <c r="R250" s="6"/>
      <c r="S250" s="6" t="s">
        <v>4046</v>
      </c>
      <c r="T250" s="6" t="e" vm="229">
        <v>#VALUE!</v>
      </c>
      <c r="U250" s="46" cm="1">
        <f t="array" aca="1" ref="U250" ca="1">IFERROR(_FV(Tableau1[[#This Row],[Code Excel]],"Capitalisation boursière",TRUE),"")</f>
        <v>8610915000</v>
      </c>
      <c r="V250" s="4" t="str" cm="1">
        <f t="array" aca="1" ref="V250" ca="1">IFERROR(_FV(Tableau1[[#This Row],[Code Excel]],"Industrie"),"")</f>
        <v>Biotechnology &amp; Medical Research</v>
      </c>
      <c r="W250" s="4" t="s">
        <v>1586</v>
      </c>
      <c r="X250" s="4" t="str">
        <f ca="1">Tableau1[[#This Row],[Grand Secteur]]&amp;Tableau1[[#This Row],[Industrie]]</f>
        <v>SantéBiotechnology &amp; Medical Research</v>
      </c>
      <c r="Y250" s="23" cm="1">
        <f t="array" aca="1" ref="Y250" ca="1">IFERROR(_FV(Tableau1[[#This Row],[Code Excel]],"P/E",TRUE),"")</f>
        <v>101.13</v>
      </c>
      <c r="Z250" s="43" cm="1">
        <f t="array" aca="1" ref="Z250" ca="1">IFERROR(_FV(Tableau1[[#This Row],[Code Excel]],"Employés"),"")</f>
        <v>5800</v>
      </c>
      <c r="AA250" s="49">
        <f ca="1">IFERROR(Tableau1[[#This Row],[Capitalisation boursière]]/Tableau1[[#This Row],[Employés]],"")</f>
        <v>1484640.5172413792</v>
      </c>
      <c r="AB250" s="5" t="str">
        <f>IFERROR(Tableau1[[#This Row],[REX (2021)]]/Tableau1[[#This Row],[CA 2024]],"")</f>
        <v/>
      </c>
      <c r="AC250" s="9" t="str">
        <f>IFERROR(_xlfn.XLOOKUP(Tableau1[[#This Row],[Isin]]&amp;1&amp;2021,#REF!,Tableau3[Résultat d''exploitation]),"")</f>
        <v/>
      </c>
      <c r="AD250" s="9" t="str">
        <f>IFERROR(_xlfn.XLOOKUP(Tableau1[[#This Row],[Isin]]&amp;1&amp;2019,#REF!,Tableau3[Chiffre d''affaires]),"")</f>
        <v/>
      </c>
      <c r="AE250" s="9" t="str">
        <f>IFERROR(_xlfn.XLOOKUP(Tableau1[[#This Row],[Isin]]&amp;1&amp;2024,#REF!,Tableau3[Chiffre d''affaires]),"")</f>
        <v/>
      </c>
      <c r="AF250" s="8" t="str">
        <f>IFERROR(IF((Tableau1[[#This Row],[CA 2024]]-Tableau1[[#This Row],[CA 2019]])/Tableau1[[#This Row],[CA 2019]]=-1,"",(Tableau1[[#This Row],[CA 2024]]-Tableau1[[#This Row],[CA 2019]])/Tableau1[[#This Row],[CA 2019]]),"")</f>
        <v/>
      </c>
      <c r="AG250" s="9" t="str">
        <f>IFERROR(_xlfn.XLOOKUP(Tableau1[[#This Row],[Isin]]&amp;1&amp;2021,#REF!,Tableau3[EBE]),"")</f>
        <v/>
      </c>
      <c r="AH250" s="9" t="str">
        <f>IFERROR(_xlfn.XLOOKUP(Tableau1[[#This Row],[Isin]]&amp;1&amp;2022,#REF!,Tableau3[EBE]),"")</f>
        <v/>
      </c>
      <c r="AI250" s="13" t="s">
        <v>4324</v>
      </c>
      <c r="AJ250" s="13" t="s">
        <v>4325</v>
      </c>
      <c r="AK250" s="13" t="s">
        <v>3148</v>
      </c>
      <c r="AL250" s="43"/>
      <c r="AM250" s="43"/>
      <c r="AN250" s="9" t="str">
        <f>IFERROR(_xlfn.XLOOKUP(Tableau1[[#This Row],[Isin]]&amp;1&amp;2021,#REF!,Tableau3[Chiffre d''affaires]),"")</f>
        <v/>
      </c>
      <c r="AO250" s="43" cm="1">
        <f t="array" aca="1" ref="AO250" ca="1">_FV(Tableau1[[#This Row],[Code Excel]],"P/E",TRUE)</f>
        <v>101.13</v>
      </c>
      <c r="AP250" s="43" t="str">
        <f>IFERROR(_xlfn.XLOOKUP(Tableau1[[#This Row],[Isin]]&amp;1&amp;2023,#REF!,Tableau3[Résultat Net (PdG)]),"")</f>
        <v/>
      </c>
      <c r="AQ250" s="43">
        <f>IF(IFERROR(_xlfn.XLOOKUP(Tableau1[[#This Row],[Isin]]&amp;1&amp;2022,#REF!,Tableau3[Résultat Net (PdG)]),"")="",Tableau1[[#This Row],[RN Groupe 2022
Manuel]],IFERROR(_xlfn.XLOOKUP(Tableau1[[#This Row],[Isin]]&amp;1&amp;2022,#REF!,Tableau3[Résultat Net (PdG)]),""))</f>
        <v>0</v>
      </c>
      <c r="AR250" s="43"/>
      <c r="AS250" s="43">
        <f>IF(IFERROR(_xlfn.XLOOKUP(Tableau1[[#This Row],[Isin]]&amp;1&amp;2021,#REF!,Tableau3[Résultat Net (PdG)]),"")="",Tableau1[[#This Row],[RN Groupe 2021
Manuel]],IFERROR(_xlfn.XLOOKUP(Tableau1[[#This Row],[Isin]]&amp;1&amp;2021,#REF!,Tableau3[Résultat Net (PdG)]),""))</f>
        <v>0</v>
      </c>
      <c r="AT250" s="43"/>
      <c r="AU250" s="43" t="str">
        <f>IFERROR(_xlfn.XLOOKUP(Tableau1[[#This Row],[Isin]]&amp;1&amp;2020,#REF!,Tableau3[Résultat Net (PdG)]),"")</f>
        <v/>
      </c>
      <c r="AV250" s="43" t="str">
        <f>IFERROR(_xlfn.XLOOKUP(Tableau1[[#This Row],[Isin]]&amp;1&amp;2019,#REF!,Tableau3[Résultat Net (PdG)]),"")</f>
        <v/>
      </c>
      <c r="AW250" s="43" t="str">
        <f>IFERROR(_xlfn.XLOOKUP(Tableau1[[#This Row],[Isin]]&amp;1&amp;2018,#REF!,Tableau3[Résultat Net (PdG)]),"")</f>
        <v/>
      </c>
      <c r="AX250" s="43" t="str">
        <f>IFERROR(_xlfn.XLOOKUP(Tableau1[[#This Row],[Isin]]&amp;1&amp;2017,#REF!,Tableau3[Résultat Net (PdG)]),"")</f>
        <v/>
      </c>
      <c r="AY250" s="43" t="str">
        <f>IFERROR(_xlfn.XLOOKUP(Tableau1[[#This Row],[Isin]]&amp;1&amp;2016,#REF!,Tableau3[Résultat Net (PdG)]),"")</f>
        <v/>
      </c>
      <c r="AZ250" s="137" t="str">
        <f ca="1">IFERROR(Tableau1[[#This Row],[Capitalisation boursière]]/Tableau1[[#This Row],[RN Groupe 2023]],"")</f>
        <v/>
      </c>
      <c r="BA250" s="4" t="str" cm="1">
        <f t="array" aca="1" ref="BA250" ca="1">IFERROR(_FV(Tableau1[[#This Row],[Code Excel]],"Industrie"),"")</f>
        <v>Biotechnology &amp; Medical Research</v>
      </c>
      <c r="BB250" s="43" t="s">
        <v>3487</v>
      </c>
      <c r="BC250" s="43" t="str">
        <f>IFERROR(_xlfn.XLOOKUP(Tableau1[[#This Row],[Isin]]&amp;1&amp;2016,#REF!,Tableau3[Capi]),"")</f>
        <v/>
      </c>
      <c r="BD250" s="43" t="str">
        <f>IFERROR(_xlfn.XLOOKUP(Tableau1[[#This Row],[Isin]]&amp;1&amp;2017,#REF!,Tableau3[Capi]),"")</f>
        <v/>
      </c>
      <c r="BE250" s="43" t="str">
        <f>IFERROR(_xlfn.XLOOKUP(Tableau1[[#This Row],[Isin]]&amp;1&amp;2018,#REF!,Tableau3[Capi]),"")</f>
        <v/>
      </c>
      <c r="BF250" s="43" t="str">
        <f>IFERROR(_xlfn.XLOOKUP(Tableau1[[#This Row],[Isin]]&amp;1&amp;2019,#REF!,Tableau3[Capi]),"")</f>
        <v/>
      </c>
      <c r="BG250" s="43" t="str">
        <f>IFERROR(_xlfn.XLOOKUP(Tableau1[[#This Row],[Isin]]&amp;1&amp;2020,#REF!,Tableau3[Capi]),"")</f>
        <v/>
      </c>
      <c r="BH250" s="43">
        <f>IF(IFERROR(_xlfn.XLOOKUP(Tableau1[[#This Row],[Isin]]&amp;1&amp;2021,#REF!,Tableau3[Capi]),"")="",Tableau1[[#This Row],[Capitalisation 2021
Manuel]],IFERROR(_xlfn.XLOOKUP(Tableau1[[#This Row],[Isin]]&amp;1&amp;2021,#REF!,Tableau3[Capi]),""))</f>
        <v>0</v>
      </c>
      <c r="BI250" s="43"/>
      <c r="BJ250" s="43">
        <f>IF(IFERROR(_xlfn.XLOOKUP(Tableau1[[#This Row],[Isin]]&amp;1&amp;2022,#REF!,Tableau3[Capi]),"")="",Tableau1[[#This Row],[Capitalisation 2022
Manuel]],IFERROR(_xlfn.XLOOKUP(Tableau1[[#This Row],[Isin]]&amp;1&amp;2022,#REF!,Tableau3[Capi]),""))</f>
        <v>0</v>
      </c>
      <c r="BK250" s="43"/>
      <c r="BL250" s="43">
        <f ca="1">Tableau1[[#This Row],[Capitalisation boursière]]</f>
        <v>8610915000</v>
      </c>
      <c r="BM250" s="162" t="str" cm="1">
        <f t="array" aca="1" ref="BM250" ca="1">_FV(Tableau1[[#This Row],[Code Excel]],"Description")</f>
        <v>Qiagen NV est une société holding basée aux Pays-Bas. La Société fournit des solutions « Sample to Insight » qui transforment les échantillons biologiques en connaissances moléculaires. Ses solutions Sample to Insight intègrent des technologies d'échantillonnage et d'analyse, des systèmes bioinformatiques et d'automatisation. Ses technologies d'échantillonnage sont utilisées pour isoler et préparer l'acide désoxyribonucléique (ADN), l'acide ribonucléique (ARN) et les protéines à partir du sang ou d'autres liquides, de tissus, de plantes ou d'autres matériaux. Ses technologies de dosage rendent ces biomolécules visibles à des fins d'analyse, par exemple pour identifier les informations génétiques d'un agent pathogène ou une mutation génétique dans une tumeur. Ses solutions bioinformatiques interprètent les données pour fournir des informations exploitables. Les plateformes d'automatisation de l'entreprise, basées sur la réaction en chaîne de la polymérase (PCR), le séquençage de nouvelle génération (NGS) et d'autres technologies, relient ces éléments entre eux dans les flux de travail des tests moléculaires, de l'échantillon à l'analyse.</v>
      </c>
      <c r="BN250" s="43"/>
      <c r="BO250" s="43"/>
      <c r="BP250" s="43"/>
      <c r="BQ250" s="43"/>
      <c r="BR250" s="13"/>
      <c r="BS250" s="13"/>
      <c r="BT250" s="13"/>
      <c r="BU250" s="13"/>
      <c r="BV250" s="13"/>
      <c r="BW250" s="13"/>
      <c r="BX250" s="13"/>
      <c r="BY250" s="21"/>
      <c r="BZ250" s="13"/>
      <c r="CA250" s="13"/>
      <c r="CB250" s="13"/>
      <c r="CC250" s="13"/>
      <c r="CD250" s="13"/>
      <c r="CF250" s="4"/>
      <c r="CG250" s="4"/>
    </row>
    <row r="251" spans="3:85">
      <c r="C251" s="43"/>
      <c r="D251" s="42">
        <f>IF(Tableau1[[#This Row],[Isin]]="",99,Tableau1[[#This Row],[Intérêt]]+Tableau1[[#This Row],[Valeur d''intérêt]]+Tableau1[[#This Row],[N° Portefeuille]])</f>
        <v>30</v>
      </c>
      <c r="E251" s="43"/>
      <c r="F251" s="42">
        <f>IF(Tableau1[[#This Row],[Portefeuille]]="p",0,Tableau1[[#This Row],[F. Investissement
Niveau d''intérêt]]*10)</f>
        <v>30</v>
      </c>
      <c r="G251" s="43">
        <f>IF(Tableau1[[#This Row],[Portefeuille]]="p",3,0)</f>
        <v>0</v>
      </c>
      <c r="H251" s="43">
        <v>3</v>
      </c>
      <c r="I251" s="43">
        <v>4</v>
      </c>
      <c r="J251" s="43"/>
      <c r="K251" s="43"/>
      <c r="L251" s="16">
        <v>1</v>
      </c>
      <c r="M25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1" s="44" t="s">
        <v>4048</v>
      </c>
      <c r="O251" s="44" t="s">
        <v>4416</v>
      </c>
      <c r="P251" s="4" t="s">
        <v>382</v>
      </c>
      <c r="Q251" s="6" t="s">
        <v>383</v>
      </c>
      <c r="R251" s="6"/>
      <c r="S251" s="6" t="s">
        <v>658</v>
      </c>
      <c r="T251" s="6" t="e" vm="230">
        <v>#VALUE!</v>
      </c>
      <c r="U251" s="51" cm="1">
        <f t="array" aca="1" ref="U251" ca="1">IFERROR(_FV(Tableau1[[#This Row],[Code Excel]],"Capitalisation boursière",TRUE),"")</f>
        <v>13134470204</v>
      </c>
      <c r="V251" s="4" t="str" cm="1">
        <f t="array" aca="1" ref="V251" ca="1">IFERROR(_FV(Tableau1[[#This Row],[Code Excel]],"Industrie"),"")</f>
        <v>Textiles &amp; Apparel</v>
      </c>
      <c r="W251" s="4" t="s">
        <v>1315</v>
      </c>
      <c r="X251" s="4" t="str">
        <f ca="1">Tableau1[[#This Row],[Grand Secteur]]&amp;Tableau1[[#This Row],[Industrie]]</f>
        <v>Biens de consommationTextiles &amp; Apparel</v>
      </c>
      <c r="Y251" s="23" cm="1">
        <f t="array" aca="1" ref="Y251" ca="1">IFERROR(_FV(Tableau1[[#This Row],[Code Excel]],"P/E",TRUE),"")</f>
        <v>19.639199999999999</v>
      </c>
      <c r="Z251" s="43" cm="1">
        <f t="array" aca="1" ref="Z251" ca="1">IFERROR(_FV(Tableau1[[#This Row],[Code Excel]],"Employés"),"")</f>
        <v>14800</v>
      </c>
      <c r="AA251" s="46">
        <f ca="1">IFERROR(Tableau1[[#This Row],[Capitalisation boursière]]/Tableau1[[#This Row],[Employés]],"")</f>
        <v>887464.202972973</v>
      </c>
      <c r="AB251" s="5" t="str">
        <f>IFERROR(Tableau1[[#This Row],[REX (2021)]]/Tableau1[[#This Row],[CA 2024]],"")</f>
        <v/>
      </c>
      <c r="AC251" s="9" t="str">
        <f>IFERROR(_xlfn.XLOOKUP(Tableau1[[#This Row],[Isin]]&amp;1&amp;2021,#REF!,Tableau3[Résultat d''exploitation]),"")</f>
        <v/>
      </c>
      <c r="AD251" s="9" t="str">
        <f>IFERROR(_xlfn.XLOOKUP(Tableau1[[#This Row],[Isin]]&amp;1&amp;2019,#REF!,Tableau3[Chiffre d''affaires]),"")</f>
        <v/>
      </c>
      <c r="AE251" s="9" t="str">
        <f>IFERROR(_xlfn.XLOOKUP(Tableau1[[#This Row],[Isin]]&amp;1&amp;2024,#REF!,Tableau3[Chiffre d''affaires]),"")</f>
        <v/>
      </c>
      <c r="AF251" s="8" t="str">
        <f>IFERROR(IF((Tableau1[[#This Row],[CA 2024]]-Tableau1[[#This Row],[CA 2019]])/Tableau1[[#This Row],[CA 2019]]=-1,"",(Tableau1[[#This Row],[CA 2024]]-Tableau1[[#This Row],[CA 2019]])/Tableau1[[#This Row],[CA 2019]]),"")</f>
        <v/>
      </c>
      <c r="AG251" s="9" t="str">
        <f>IFERROR(_xlfn.XLOOKUP(Tableau1[[#This Row],[Isin]]&amp;1&amp;2021,#REF!,Tableau3[EBE]),"")</f>
        <v/>
      </c>
      <c r="AH251" s="9" t="str">
        <f>IFERROR(_xlfn.XLOOKUP(Tableau1[[#This Row],[Isin]]&amp;1&amp;2022,#REF!,Tableau3[EBE]),"")</f>
        <v/>
      </c>
      <c r="AI251" s="43" t="s">
        <v>4329</v>
      </c>
      <c r="AJ251" s="43" t="s">
        <v>4348</v>
      </c>
      <c r="AK251" s="43" t="s">
        <v>3431</v>
      </c>
      <c r="AL251" s="43" t="s">
        <v>3149</v>
      </c>
      <c r="AM251" s="43"/>
      <c r="AN251" s="9" t="str">
        <f>IFERROR(_xlfn.XLOOKUP(Tableau1[[#This Row],[Isin]]&amp;1&amp;2021,#REF!,Tableau3[Chiffre d''affaires]),"")</f>
        <v/>
      </c>
      <c r="AO251" s="43" cm="1">
        <f t="array" aca="1" ref="AO251" ca="1">_FV(Tableau1[[#This Row],[Code Excel]],"P/E",TRUE)</f>
        <v>19.639199999999999</v>
      </c>
      <c r="AP251" s="43" t="str">
        <f>IFERROR(_xlfn.XLOOKUP(Tableau1[[#This Row],[Isin]]&amp;1&amp;2023,#REF!,Tableau3[Résultat Net (PdG)]),"")</f>
        <v/>
      </c>
      <c r="AQ251" s="43">
        <f>IF(IFERROR(_xlfn.XLOOKUP(Tableau1[[#This Row],[Isin]]&amp;1&amp;2022,#REF!,Tableau3[Résultat Net (PdG)]),"")="",Tableau1[[#This Row],[RN Groupe 2022
Manuel]],IFERROR(_xlfn.XLOOKUP(Tableau1[[#This Row],[Isin]]&amp;1&amp;2022,#REF!,Tableau3[Résultat Net (PdG)]),""))</f>
        <v>0</v>
      </c>
      <c r="AR251" s="43"/>
      <c r="AS251" s="43">
        <f>IF(IFERROR(_xlfn.XLOOKUP(Tableau1[[#This Row],[Isin]]&amp;1&amp;2021,#REF!,Tableau3[Résultat Net (PdG)]),"")="",Tableau1[[#This Row],[RN Groupe 2021
Manuel]],IFERROR(_xlfn.XLOOKUP(Tableau1[[#This Row],[Isin]]&amp;1&amp;2021,#REF!,Tableau3[Résultat Net (PdG)]),""))</f>
        <v>0</v>
      </c>
      <c r="AT251" s="43"/>
      <c r="AU251" s="43" t="str">
        <f>IFERROR(_xlfn.XLOOKUP(Tableau1[[#This Row],[Isin]]&amp;1&amp;2020,#REF!,Tableau3[Résultat Net (PdG)]),"")</f>
        <v/>
      </c>
      <c r="AV251" s="43" t="str">
        <f>IFERROR(_xlfn.XLOOKUP(Tableau1[[#This Row],[Isin]]&amp;1&amp;2019,#REF!,Tableau3[Résultat Net (PdG)]),"")</f>
        <v/>
      </c>
      <c r="AW251" s="43" t="str">
        <f>IFERROR(_xlfn.XLOOKUP(Tableau1[[#This Row],[Isin]]&amp;1&amp;2018,#REF!,Tableau3[Résultat Net (PdG)]),"")</f>
        <v/>
      </c>
      <c r="AX251" s="43" t="str">
        <f>IFERROR(_xlfn.XLOOKUP(Tableau1[[#This Row],[Isin]]&amp;1&amp;2017,#REF!,Tableau3[Résultat Net (PdG)]),"")</f>
        <v/>
      </c>
      <c r="AY251" s="43" t="str">
        <f>IFERROR(_xlfn.XLOOKUP(Tableau1[[#This Row],[Isin]]&amp;1&amp;2016,#REF!,Tableau3[Résultat Net (PdG)]),"")</f>
        <v/>
      </c>
      <c r="AZ251" s="137" t="str">
        <f ca="1">IFERROR(Tableau1[[#This Row],[Capitalisation boursière]]/Tableau1[[#This Row],[RN Groupe 2023]],"")</f>
        <v/>
      </c>
      <c r="BA251" s="4" t="str" cm="1">
        <f t="array" aca="1" ref="BA251" ca="1">IFERROR(_FV(Tableau1[[#This Row],[Code Excel]],"Industrie"),"")</f>
        <v>Textiles &amp; Apparel</v>
      </c>
      <c r="BB251" s="43" t="e">
        <v>#N/A</v>
      </c>
      <c r="BC251" s="43" t="str">
        <f>IFERROR(_xlfn.XLOOKUP(Tableau1[[#This Row],[Isin]]&amp;1&amp;2016,#REF!,Tableau3[Capi]),"")</f>
        <v/>
      </c>
      <c r="BD251" s="43" t="str">
        <f>IFERROR(_xlfn.XLOOKUP(Tableau1[[#This Row],[Isin]]&amp;1&amp;2017,#REF!,Tableau3[Capi]),"")</f>
        <v/>
      </c>
      <c r="BE251" s="43" t="str">
        <f>IFERROR(_xlfn.XLOOKUP(Tableau1[[#This Row],[Isin]]&amp;1&amp;2018,#REF!,Tableau3[Capi]),"")</f>
        <v/>
      </c>
      <c r="BF251" s="43" t="str">
        <f>IFERROR(_xlfn.XLOOKUP(Tableau1[[#This Row],[Isin]]&amp;1&amp;2019,#REF!,Tableau3[Capi]),"")</f>
        <v/>
      </c>
      <c r="BG251" s="43" t="str">
        <f>IFERROR(_xlfn.XLOOKUP(Tableau1[[#This Row],[Isin]]&amp;1&amp;2020,#REF!,Tableau3[Capi]),"")</f>
        <v/>
      </c>
      <c r="BH251" s="43">
        <f>IF(IFERROR(_xlfn.XLOOKUP(Tableau1[[#This Row],[Isin]]&amp;1&amp;2021,#REF!,Tableau3[Capi]),"")="",Tableau1[[#This Row],[Capitalisation 2021
Manuel]],IFERROR(_xlfn.XLOOKUP(Tableau1[[#This Row],[Isin]]&amp;1&amp;2021,#REF!,Tableau3[Capi]),""))</f>
        <v>0</v>
      </c>
      <c r="BI251" s="43"/>
      <c r="BJ251" s="43">
        <f>IF(IFERROR(_xlfn.XLOOKUP(Tableau1[[#This Row],[Isin]]&amp;1&amp;2022,#REF!,Tableau3[Capi]),"")="",Tableau1[[#This Row],[Capitalisation 2022
Manuel]],IFERROR(_xlfn.XLOOKUP(Tableau1[[#This Row],[Isin]]&amp;1&amp;2022,#REF!,Tableau3[Capi]),""))</f>
        <v>0</v>
      </c>
      <c r="BK251" s="43"/>
      <c r="BL251" s="43">
        <f ca="1">Tableau1[[#This Row],[Capitalisation boursière]]</f>
        <v>13134470204</v>
      </c>
      <c r="BM251" s="162" t="str" cm="1">
        <f t="array" aca="1" ref="BM251" ca="1">_FV(Tableau1[[#This Row],[Code Excel]],"Description")</f>
        <v>Ralph Lauren Corporation est engagée dans la conception, la commercialisation et la distribution de produits de style de vie de luxe, y compris les vêtements, les chaussures et les accessoires, la maison, les parfums et l'hôtellerie. Ses segments comprennent l'Amérique du Nord, l'Europe et l'Asie. Ses marques incluent Ralph Lauren, Ralph Lauren Collection, Ralph Lauren Purple Label, Polo Ralph Lauren, Double RL, Lauren Ralph Lauren, Polo Ralph Lauren Children et Chaps, entre autres. Ses produits vestimentaires comprennent des collections de vêtements pour hommes, femmes et enfants. Sa gamme de chaussures et d'accessoires comprend des chaussures décontractées, des chaussures habillées, des bottes, des baskets, des sandales, des lunettes, des montres, des bijoux de mode et raffinés, des foulards et des chapeaux. Sa gamme de produits pour la maison comprend des lignes de lit et de bain, des meubles, des tissus et des revêtements muraux, des luminaires, des dessus de table, du linge de cuisine, des revêtements de sol et des articles cadeaux. Sa collection hôtelière comprend ses restaurants, dont le Polo Bar à New York et le restaurant RL situé à Chicago.</v>
      </c>
      <c r="BN251" s="43"/>
      <c r="BO251" s="43"/>
      <c r="BP251" s="43"/>
      <c r="BQ251" s="43"/>
      <c r="BR251" s="13"/>
      <c r="BS251" s="13"/>
      <c r="BT251" s="13"/>
      <c r="BU251" s="13"/>
      <c r="BV251" s="13"/>
      <c r="BW251" s="13"/>
      <c r="BX251" s="13"/>
      <c r="BY251" s="21"/>
      <c r="BZ251" s="13"/>
      <c r="CA251" s="13"/>
      <c r="CB251" s="13"/>
      <c r="CC251" s="13"/>
      <c r="CD251" s="13"/>
      <c r="CF251" s="4"/>
      <c r="CG251" s="4"/>
    </row>
    <row r="252" spans="3:85">
      <c r="C252" s="43"/>
      <c r="D252" s="42">
        <f>IF(Tableau1[[#This Row],[Isin]]="",99,Tableau1[[#This Row],[Intérêt]]+Tableau1[[#This Row],[Valeur d''intérêt]]+Tableau1[[#This Row],[N° Portefeuille]])</f>
        <v>0</v>
      </c>
      <c r="E252" s="43"/>
      <c r="F252" s="42">
        <f>IF(Tableau1[[#This Row],[Portefeuille]]="p",0,Tableau1[[#This Row],[F. Investissement
Niveau d''intérêt]]*10)</f>
        <v>0</v>
      </c>
      <c r="G252" s="43">
        <f>IF(Tableau1[[#This Row],[Portefeuille]]="p",3,0)</f>
        <v>0</v>
      </c>
      <c r="H252" s="42"/>
      <c r="I252" s="43"/>
      <c r="J252" s="43"/>
      <c r="K252" s="43"/>
      <c r="L252" s="16">
        <v>1</v>
      </c>
      <c r="M25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2" s="64" t="s">
        <v>4050</v>
      </c>
      <c r="O252" s="68"/>
      <c r="P252" s="4"/>
      <c r="Q252" s="4"/>
      <c r="R252" s="6"/>
      <c r="S252" s="6" t="s">
        <v>3094</v>
      </c>
      <c r="T252" s="4" t="e" vm="231">
        <v>#VALUE!</v>
      </c>
      <c r="U252" s="46" cm="1">
        <f t="array" aca="1" ref="U252" ca="1">IFERROR(_FV(Tableau1[[#This Row],[Code Excel]],"Capitalisation boursière",TRUE),"")</f>
        <v>1148053000</v>
      </c>
      <c r="V252" s="4" t="str" cm="1">
        <f t="array" aca="1" ref="V252" ca="1">IFERROR(_FV(Tableau1[[#This Row],[Code Excel]],"Industrie"),"")</f>
        <v>Healthcare Providers &amp; Services</v>
      </c>
      <c r="X252" s="4" t="str">
        <f ca="1">Tableau1[[#This Row],[Grand Secteur]]&amp;Tableau1[[#This Row],[Industrie]]</f>
        <v>Healthcare Providers &amp; Services</v>
      </c>
      <c r="Y252" s="65" cm="1">
        <f t="array" aca="1" ref="Y252" ca="1">IFERROR(_FV(Tableau1[[#This Row],[Code Excel]],"P/E",TRUE),"")</f>
        <v>0</v>
      </c>
      <c r="Z252" s="43" cm="1">
        <f t="array" aca="1" ref="Z252" ca="1">IFERROR(_FV(Tableau1[[#This Row],[Code Excel]],"Employés"),"")</f>
        <v>34218</v>
      </c>
      <c r="AA252" s="49">
        <f ca="1">IFERROR(Tableau1[[#This Row],[Capitalisation boursière]]/Tableau1[[#This Row],[Employés]],"")</f>
        <v>33551.142673446724</v>
      </c>
      <c r="AB252" s="5" t="str">
        <f>IFERROR(Tableau1[[#This Row],[REX (2021)]]/Tableau1[[#This Row],[CA 2024]],"")</f>
        <v/>
      </c>
      <c r="AC252" s="43" t="str">
        <f>IFERROR(_xlfn.XLOOKUP(Tableau1[[#This Row],[Isin]]&amp;1&amp;2021,#REF!,Tableau3[Résultat d''exploitation]),"")</f>
        <v/>
      </c>
      <c r="AD252" s="43" t="str">
        <f>IFERROR(_xlfn.XLOOKUP(Tableau1[[#This Row],[Isin]]&amp;1&amp;2019,#REF!,Tableau3[Chiffre d''affaires]),"")</f>
        <v/>
      </c>
      <c r="AE252" s="43" t="str">
        <f>IFERROR(_xlfn.XLOOKUP(Tableau1[[#This Row],[Isin]]&amp;1&amp;2024,#REF!,Tableau3[Chiffre d''affaires]),"")</f>
        <v/>
      </c>
      <c r="AF252" s="297" t="str">
        <f>IFERROR(IF((Tableau1[[#This Row],[CA 2024]]-Tableau1[[#This Row],[CA 2019]])/Tableau1[[#This Row],[CA 2019]]=-1,"",(Tableau1[[#This Row],[CA 2024]]-Tableau1[[#This Row],[CA 2019]])/Tableau1[[#This Row],[CA 2019]]),"")</f>
        <v/>
      </c>
      <c r="AG252" s="9" t="str">
        <f>IFERROR(_xlfn.XLOOKUP(Tableau1[[#This Row],[Isin]]&amp;1&amp;2021,#REF!,Tableau3[EBE]),"")</f>
        <v/>
      </c>
      <c r="AH252" s="9" t="str">
        <f>IFERROR(_xlfn.XLOOKUP(Tableau1[[#This Row],[Isin]]&amp;1&amp;2022,#REF!,Tableau3[EBE]),"")</f>
        <v/>
      </c>
      <c r="AI252" s="43"/>
      <c r="AJ252" s="43"/>
      <c r="AK252" s="43"/>
      <c r="AL252" s="43"/>
      <c r="AM252" s="43"/>
      <c r="AN252" s="43" t="str">
        <f>IFERROR(_xlfn.XLOOKUP(Tableau1[[#This Row],[Isin]]&amp;1&amp;2021,#REF!,Tableau3[Chiffre d''affaires]),"")</f>
        <v/>
      </c>
      <c r="AO252" s="43" cm="1">
        <f t="array" aca="1" ref="AO252" ca="1">_FV(Tableau1[[#This Row],[Code Excel]],"P/E",TRUE)</f>
        <v>0</v>
      </c>
      <c r="AP252" s="43" t="str">
        <f>IFERROR(_xlfn.XLOOKUP(Tableau1[[#This Row],[Isin]]&amp;1&amp;2023,#REF!,Tableau3[Résultat Net (PdG)]),"")</f>
        <v/>
      </c>
      <c r="AQ252" s="43">
        <f>IF(IFERROR(_xlfn.XLOOKUP(Tableau1[[#This Row],[Isin]]&amp;1&amp;2022,#REF!,Tableau3[Résultat Net (PdG)]),"")="",Tableau1[[#This Row],[RN Groupe 2022
Manuel]],IFERROR(_xlfn.XLOOKUP(Tableau1[[#This Row],[Isin]]&amp;1&amp;2022,#REF!,Tableau3[Résultat Net (PdG)]),""))</f>
        <v>0</v>
      </c>
      <c r="AR252" s="43"/>
      <c r="AS252" s="43">
        <f>IF(IFERROR(_xlfn.XLOOKUP(Tableau1[[#This Row],[Isin]]&amp;1&amp;2021,#REF!,Tableau3[Résultat Net (PdG)]),"")="",Tableau1[[#This Row],[RN Groupe 2021
Manuel]],IFERROR(_xlfn.XLOOKUP(Tableau1[[#This Row],[Isin]]&amp;1&amp;2021,#REF!,Tableau3[Résultat Net (PdG)]),""))</f>
        <v>0</v>
      </c>
      <c r="AT252" s="43"/>
      <c r="AU252" s="43"/>
      <c r="AV252" s="43"/>
      <c r="AW252" s="43"/>
      <c r="AX252" s="43"/>
      <c r="AY252" s="43" t="str">
        <f>IFERROR(_xlfn.XLOOKUP(Tableau1[[#This Row],[Isin]]&amp;1&amp;2016,#REF!,Tableau3[Résultat Net (PdG)]),"")</f>
        <v/>
      </c>
      <c r="AZ252" s="137" t="str">
        <f ca="1">IFERROR(Tableau1[[#This Row],[Capitalisation boursière]]/Tableau1[[#This Row],[RN Groupe 2023]],"")</f>
        <v/>
      </c>
      <c r="BA252" s="43" t="str" cm="1">
        <f t="array" aca="1" ref="BA252" ca="1">IFERROR(_FV(Tableau1[[#This Row],[Code Excel]],"Industrie"),"")</f>
        <v>Healthcare Providers &amp; Services</v>
      </c>
      <c r="BB252" s="43"/>
      <c r="BC252" s="43" t="str">
        <f>IFERROR(_xlfn.XLOOKUP(Tableau1[[#This Row],[Isin]]&amp;1&amp;2016,#REF!,Tableau3[Capi]),"")</f>
        <v/>
      </c>
      <c r="BD252" s="43" t="str">
        <f>IFERROR(_xlfn.XLOOKUP(Tableau1[[#This Row],[Isin]]&amp;1&amp;2017,#REF!,Tableau3[Capi]),"")</f>
        <v/>
      </c>
      <c r="BE252" s="43" t="str">
        <f>IFERROR(_xlfn.XLOOKUP(Tableau1[[#This Row],[Isin]]&amp;1&amp;2018,#REF!,Tableau3[Capi]),"")</f>
        <v/>
      </c>
      <c r="BF252" s="43" t="str">
        <f>IFERROR(_xlfn.XLOOKUP(Tableau1[[#This Row],[Isin]]&amp;1&amp;2019,#REF!,Tableau3[Capi]),"")</f>
        <v/>
      </c>
      <c r="BG252" s="43" t="str">
        <f>IFERROR(_xlfn.XLOOKUP(Tableau1[[#This Row],[Isin]]&amp;1&amp;2020,#REF!,Tableau3[Capi]),"")</f>
        <v/>
      </c>
      <c r="BH252" s="43">
        <f>IF(IFERROR(_xlfn.XLOOKUP(Tableau1[[#This Row],[Isin]]&amp;1&amp;2021,#REF!,Tableau3[Capi]),"")="",Tableau1[[#This Row],[Capitalisation 2021
Manuel]],IFERROR(_xlfn.XLOOKUP(Tableau1[[#This Row],[Isin]]&amp;1&amp;2021,#REF!,Tableau3[Capi]),""))</f>
        <v>0</v>
      </c>
      <c r="BI252" s="43"/>
      <c r="BJ252" s="43">
        <f>IF(IFERROR(_xlfn.XLOOKUP(Tableau1[[#This Row],[Isin]]&amp;1&amp;2022,#REF!,Tableau3[Capi]),"")="",Tableau1[[#This Row],[Capitalisation 2022
Manuel]],IFERROR(_xlfn.XLOOKUP(Tableau1[[#This Row],[Isin]]&amp;1&amp;2022,#REF!,Tableau3[Capi]),""))</f>
        <v>0</v>
      </c>
      <c r="BK252" s="43"/>
      <c r="BL252" s="43">
        <f ca="1">Tableau1[[#This Row],[Capitalisation boursière]]</f>
        <v>1148053000</v>
      </c>
      <c r="BM252" s="162" t="str" cm="1">
        <f t="array" aca="1" ref="BM252" ca="1">_FV(Tableau1[[#This Row],[Code Excel]],"Description")</f>
        <v>RAMSAY GENERALE DE SANTE S.A., anciennement Générale de Santé SA (GDS), est une société basée en France spécialisée dans la fourniture de services de santé hospitaliers privés. La Société propose une gamme de services hospitaliers et, en partenariat avec des spécialistes médicaux indépendants, fournit un éventail de services de soins, comprenant la cancérologie et la radiothérapie ; le traitement de l'alcoolisme et de l'obésité ; la remise en état, telles que la réadaptation cardiaque et rééducation orthopédique et neurologique et les diagnostics, tels que l'imagerie et l'analyse médicales. En outre, la Société développe une prise en charge globale des soins, avec un soutien personnel avant, pendant et après l'hospitalisation. La Société exploite environ 75 établissements en France. La Société opère à travers un certain nombre de filiales, telles que HPM Hopital Privé Metropole SAS. Ramsay Health Care (UK) Ltd est le principal actionnaire de la Société.</v>
      </c>
      <c r="BN252" s="43"/>
      <c r="BO252" s="43"/>
      <c r="BP252" s="43"/>
      <c r="BQ252" s="43"/>
      <c r="BR252" s="13"/>
      <c r="BS252" s="13"/>
      <c r="BT252" s="13"/>
      <c r="BU252" s="13"/>
      <c r="BV252" s="13"/>
      <c r="BW252" s="13"/>
      <c r="BX252" s="13"/>
      <c r="BY252" s="21"/>
      <c r="BZ252" s="13"/>
      <c r="CA252" s="13"/>
      <c r="CB252" s="13"/>
      <c r="CC252" s="13"/>
      <c r="CD252" s="13"/>
      <c r="CF252" s="4"/>
      <c r="CG252" s="4"/>
    </row>
    <row r="253" spans="3:85">
      <c r="C253" s="42"/>
      <c r="D253" s="42">
        <f>IF(Tableau1[[#This Row],[Isin]]="",99,Tableau1[[#This Row],[Intérêt]]+Tableau1[[#This Row],[Valeur d''intérêt]]+Tableau1[[#This Row],[N° Portefeuille]])</f>
        <v>30</v>
      </c>
      <c r="E253" s="42"/>
      <c r="F253" s="42">
        <f>IF(Tableau1[[#This Row],[Portefeuille]]="p",0,Tableau1[[#This Row],[F. Investissement
Niveau d''intérêt]]*10)</f>
        <v>30</v>
      </c>
      <c r="G253" s="42">
        <f>IF(Tableau1[[#This Row],[Portefeuille]]="p",3,0)</f>
        <v>0</v>
      </c>
      <c r="H253" s="42">
        <v>3</v>
      </c>
      <c r="I253" s="42">
        <v>4</v>
      </c>
      <c r="J253" s="42"/>
      <c r="K253" s="43"/>
      <c r="L253" s="16">
        <v>0</v>
      </c>
      <c r="M25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3" s="44" t="s">
        <v>4052</v>
      </c>
      <c r="O253" s="45"/>
      <c r="P253" s="4" t="s">
        <v>427</v>
      </c>
      <c r="Q253" s="4"/>
      <c r="R253" s="6"/>
      <c r="S253" s="6" t="s">
        <v>4053</v>
      </c>
      <c r="T253" s="6" t="e" vm="232">
        <v>#VALUE!</v>
      </c>
      <c r="U253" s="46" cm="1">
        <f t="array" aca="1" ref="U253" ca="1">IFERROR(_FV(Tableau1[[#This Row],[Code Excel]],"Capitalisation boursière",TRUE),"")</f>
        <v>7144338000</v>
      </c>
      <c r="V253" s="4" t="str" cm="1">
        <f t="array" aca="1" ref="V253" ca="1">IFERROR(_FV(Tableau1[[#This Row],[Code Excel]],"Industrie"),"")</f>
        <v>Professional &amp; Commercial Services</v>
      </c>
      <c r="W253" s="4" t="s">
        <v>2918</v>
      </c>
      <c r="X253" s="4" t="str">
        <f ca="1">Tableau1[[#This Row],[Grand Secteur]]&amp;Tableau1[[#This Row],[Industrie]]</f>
        <v>B to BProfessional &amp; Commercial Services</v>
      </c>
      <c r="Y253" s="23" cm="1">
        <f t="array" aca="1" ref="Y253" ca="1">IFERROR(_FV(Tableau1[[#This Row],[Code Excel]],"P/E",TRUE),"")</f>
        <v>62.038600000000002</v>
      </c>
      <c r="Z253" s="43" cm="1">
        <f t="array" aca="1" ref="Z253" ca="1">IFERROR(_FV(Tableau1[[#This Row],[Code Excel]],"Employés"),"")</f>
        <v>41400</v>
      </c>
      <c r="AA253" s="46">
        <f ca="1">IFERROR(Tableau1[[#This Row],[Capitalisation boursière]]/Tableau1[[#This Row],[Employés]],"")</f>
        <v>172568.55072463769</v>
      </c>
      <c r="AB253" s="5" t="str">
        <f>IFERROR(Tableau1[[#This Row],[REX (2021)]]/Tableau1[[#This Row],[CA 2024]],"")</f>
        <v/>
      </c>
      <c r="AC253" s="9" t="str">
        <f>IFERROR(_xlfn.XLOOKUP(Tableau1[[#This Row],[Isin]]&amp;1&amp;2021,#REF!,Tableau3[Résultat d''exploitation]),"")</f>
        <v/>
      </c>
      <c r="AD253" s="9" t="str">
        <f>IFERROR(_xlfn.XLOOKUP(Tableau1[[#This Row],[Isin]]&amp;1&amp;2019,#REF!,Tableau3[Chiffre d''affaires]),"")</f>
        <v/>
      </c>
      <c r="AE253" s="9" t="str">
        <f>IFERROR(_xlfn.XLOOKUP(Tableau1[[#This Row],[Isin]]&amp;1&amp;2024,#REF!,Tableau3[Chiffre d''affaires]),"")</f>
        <v/>
      </c>
      <c r="AF253" s="8" t="str">
        <f>IFERROR(IF((Tableau1[[#This Row],[CA 2024]]-Tableau1[[#This Row],[CA 2019]])/Tableau1[[#This Row],[CA 2019]]=-1,"",(Tableau1[[#This Row],[CA 2024]]-Tableau1[[#This Row],[CA 2019]])/Tableau1[[#This Row],[CA 2019]]),"")</f>
        <v/>
      </c>
      <c r="AG253" s="9" t="str">
        <f>IFERROR(_xlfn.XLOOKUP(Tableau1[[#This Row],[Isin]]&amp;1&amp;2021,#REF!,Tableau3[EBE]),"")</f>
        <v/>
      </c>
      <c r="AH253" s="9" t="str">
        <f>IFERROR(_xlfn.XLOOKUP(Tableau1[[#This Row],[Isin]]&amp;1&amp;2022,#REF!,Tableau3[EBE]),"")</f>
        <v/>
      </c>
      <c r="AI253" s="43" t="s">
        <v>3419</v>
      </c>
      <c r="AJ253" s="43" t="s">
        <v>4322</v>
      </c>
      <c r="AK253" s="43" t="s">
        <v>3431</v>
      </c>
      <c r="AL253" s="43"/>
      <c r="AM253" s="43"/>
      <c r="AN253" s="9" t="str">
        <f>IFERROR(_xlfn.XLOOKUP(Tableau1[[#This Row],[Isin]]&amp;1&amp;2021,#REF!,Tableau3[Chiffre d''affaires]),"")</f>
        <v/>
      </c>
      <c r="AO253" s="43" cm="1">
        <f t="array" aca="1" ref="AO253" ca="1">_FV(Tableau1[[#This Row],[Code Excel]],"P/E",TRUE)</f>
        <v>62.038600000000002</v>
      </c>
      <c r="AP253" s="43" t="str">
        <f>IFERROR(_xlfn.XLOOKUP(Tableau1[[#This Row],[Isin]]&amp;1&amp;2023,#REF!,Tableau3[Résultat Net (PdG)]),"")</f>
        <v/>
      </c>
      <c r="AQ253" s="43">
        <f>IF(IFERROR(_xlfn.XLOOKUP(Tableau1[[#This Row],[Isin]]&amp;1&amp;2022,#REF!,Tableau3[Résultat Net (PdG)]),"")="",Tableau1[[#This Row],[RN Groupe 2022
Manuel]],IFERROR(_xlfn.XLOOKUP(Tableau1[[#This Row],[Isin]]&amp;1&amp;2022,#REF!,Tableau3[Résultat Net (PdG)]),""))</f>
        <v>0</v>
      </c>
      <c r="AR253" s="43"/>
      <c r="AS253" s="43">
        <f>IF(IFERROR(_xlfn.XLOOKUP(Tableau1[[#This Row],[Isin]]&amp;1&amp;2021,#REF!,Tableau3[Résultat Net (PdG)]),"")="",Tableau1[[#This Row],[RN Groupe 2021
Manuel]],IFERROR(_xlfn.XLOOKUP(Tableau1[[#This Row],[Isin]]&amp;1&amp;2021,#REF!,Tableau3[Résultat Net (PdG)]),""))</f>
        <v>0</v>
      </c>
      <c r="AT253" s="43"/>
      <c r="AU253" s="43" t="str">
        <f>IFERROR(_xlfn.XLOOKUP(Tableau1[[#This Row],[Isin]]&amp;1&amp;2020,#REF!,Tableau3[Résultat Net (PdG)]),"")</f>
        <v/>
      </c>
      <c r="AV253" s="43" t="str">
        <f>IFERROR(_xlfn.XLOOKUP(Tableau1[[#This Row],[Isin]]&amp;1&amp;2019,#REF!,Tableau3[Résultat Net (PdG)]),"")</f>
        <v/>
      </c>
      <c r="AW253" s="43" t="str">
        <f>IFERROR(_xlfn.XLOOKUP(Tableau1[[#This Row],[Isin]]&amp;1&amp;2018,#REF!,Tableau3[Résultat Net (PdG)]),"")</f>
        <v/>
      </c>
      <c r="AX253" s="43" t="str">
        <f>IFERROR(_xlfn.XLOOKUP(Tableau1[[#This Row],[Isin]]&amp;1&amp;2017,#REF!,Tableau3[Résultat Net (PdG)]),"")</f>
        <v/>
      </c>
      <c r="AY253" s="43" t="str">
        <f>IFERROR(_xlfn.XLOOKUP(Tableau1[[#This Row],[Isin]]&amp;1&amp;2016,#REF!,Tableau3[Résultat Net (PdG)]),"")</f>
        <v/>
      </c>
      <c r="AZ253" s="137" t="str">
        <f ca="1">IFERROR(Tableau1[[#This Row],[Capitalisation boursière]]/Tableau1[[#This Row],[RN Groupe 2023]],"")</f>
        <v/>
      </c>
      <c r="BA253" s="4" t="str" cm="1">
        <f t="array" aca="1" ref="BA253" ca="1">IFERROR(_FV(Tableau1[[#This Row],[Code Excel]],"Industrie"),"")</f>
        <v>Professional &amp; Commercial Services</v>
      </c>
      <c r="BB253" s="43" t="s">
        <v>3496</v>
      </c>
      <c r="BC253" s="43" t="str">
        <f>IFERROR(_xlfn.XLOOKUP(Tableau1[[#This Row],[Isin]]&amp;1&amp;2016,#REF!,Tableau3[Capi]),"")</f>
        <v/>
      </c>
      <c r="BD253" s="43" t="str">
        <f>IFERROR(_xlfn.XLOOKUP(Tableau1[[#This Row],[Isin]]&amp;1&amp;2017,#REF!,Tableau3[Capi]),"")</f>
        <v/>
      </c>
      <c r="BE253" s="43" t="str">
        <f>IFERROR(_xlfn.XLOOKUP(Tableau1[[#This Row],[Isin]]&amp;1&amp;2018,#REF!,Tableau3[Capi]),"")</f>
        <v/>
      </c>
      <c r="BF253" s="43" t="str">
        <f>IFERROR(_xlfn.XLOOKUP(Tableau1[[#This Row],[Isin]]&amp;1&amp;2019,#REF!,Tableau3[Capi]),"")</f>
        <v/>
      </c>
      <c r="BG253" s="43" t="str">
        <f>IFERROR(_xlfn.XLOOKUP(Tableau1[[#This Row],[Isin]]&amp;1&amp;2020,#REF!,Tableau3[Capi]),"")</f>
        <v/>
      </c>
      <c r="BH253" s="43">
        <f>IF(IFERROR(_xlfn.XLOOKUP(Tableau1[[#This Row],[Isin]]&amp;1&amp;2021,#REF!,Tableau3[Capi]),"")="",Tableau1[[#This Row],[Capitalisation 2021
Manuel]],IFERROR(_xlfn.XLOOKUP(Tableau1[[#This Row],[Isin]]&amp;1&amp;2021,#REF!,Tableau3[Capi]),""))</f>
        <v>0</v>
      </c>
      <c r="BI253" s="43"/>
      <c r="BJ253" s="43">
        <f>IF(IFERROR(_xlfn.XLOOKUP(Tableau1[[#This Row],[Isin]]&amp;1&amp;2022,#REF!,Tableau3[Capi]),"")="",Tableau1[[#This Row],[Capitalisation 2022
Manuel]],IFERROR(_xlfn.XLOOKUP(Tableau1[[#This Row],[Isin]]&amp;1&amp;2022,#REF!,Tableau3[Capi]),""))</f>
        <v>0</v>
      </c>
      <c r="BK253" s="43"/>
      <c r="BL253" s="43">
        <f ca="1">Tableau1[[#This Row],[Capitalisation boursière]]</f>
        <v>7144338000</v>
      </c>
      <c r="BM253" s="162" t="str" cm="1">
        <f t="array" aca="1" ref="BM253" ca="1">_FV(Tableau1[[#This Row],[Code Excel]],"Description")</f>
        <v>Randstad NV, anciennement Randstad Holding NV, est un prestataire de services de recrutement basé aux Pays-Bas. Elle a trois concepts de services principaux : Le concept de dotation en personnel, qui recrute des travailleurs dans l'enseignement secondaire par le biais de placements temporaires ou permanents, et propose des services relatifs aux ressources humaines (RH), qui comprennent des services de paie, d'aide au reclassement, d'externalisation et de conseils, entre autres ; le concept de services internalisés, qui fournit des solutions de main-d'œuvre sur site pour la gestion des employés ayant des compétences spécifiques, principalement dans les secteurs de la fabrication et de la logistique ; et le concept professionnel qui couvre le recrutement des superviseurs, des gestionnaires, des professionnels, des spécialistes en contrat provisoire et des consultants possédant des qualifications professionnelles dans les domaines suivants : ingénierie, technologies de l'information (TI), finance, RH, juridique, et marketing et communications. La société est active dans les pays suivants : Pays-Bas, Allemagne, Royaume-Uni et États-Unis, entre autres. Elle possède également Twago, une plateforme pour travailleurs indépendants.</v>
      </c>
      <c r="BN253" s="43"/>
      <c r="BO253" s="43"/>
      <c r="BP253" s="43"/>
      <c r="BQ253" s="43"/>
      <c r="BR253" s="13"/>
      <c r="BS253" s="13"/>
      <c r="BT253" s="13"/>
      <c r="BU253" s="13"/>
      <c r="BV253" s="13"/>
      <c r="BW253" s="13"/>
      <c r="BX253" s="13"/>
      <c r="BY253" s="21"/>
      <c r="BZ253" s="13"/>
      <c r="CA253" s="13"/>
      <c r="CB253" s="13"/>
      <c r="CC253" s="13"/>
      <c r="CD253" s="13"/>
      <c r="CF253" s="4"/>
      <c r="CG253" s="4"/>
    </row>
    <row r="254" spans="3:85">
      <c r="C254" s="43"/>
      <c r="D254" s="42">
        <f>IF(Tableau1[[#This Row],[Isin]]="",99,Tableau1[[#This Row],[Intérêt]]+Tableau1[[#This Row],[Valeur d''intérêt]]+Tableau1[[#This Row],[N° Portefeuille]])</f>
        <v>30</v>
      </c>
      <c r="E254" s="43"/>
      <c r="F254" s="42">
        <f>IF(Tableau1[[#This Row],[Portefeuille]]="p",0,Tableau1[[#This Row],[F. Investissement
Niveau d''intérêt]]*10)</f>
        <v>30</v>
      </c>
      <c r="G254" s="43">
        <f>IF(Tableau1[[#This Row],[Portefeuille]]="p",3,0)</f>
        <v>0</v>
      </c>
      <c r="H254" s="42">
        <v>3</v>
      </c>
      <c r="I254" s="43">
        <v>4</v>
      </c>
      <c r="J254" s="43"/>
      <c r="K254" s="43"/>
      <c r="L254" s="16">
        <v>0</v>
      </c>
      <c r="M25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4" s="44" t="s">
        <v>4055</v>
      </c>
      <c r="O254" s="45"/>
      <c r="P254" s="4" t="s">
        <v>382</v>
      </c>
      <c r="Q254" s="4"/>
      <c r="R254" s="6"/>
      <c r="S254" s="6" t="s">
        <v>4056</v>
      </c>
      <c r="T254" s="6" t="e" vm="233">
        <v>#VALUE!</v>
      </c>
      <c r="U254" s="46" cm="1">
        <f t="array" aca="1" ref="U254" ca="1">IFERROR(_FV(Tableau1[[#This Row],[Code Excel]],"Capitalisation boursière",TRUE),"")</f>
        <v>175470878700</v>
      </c>
      <c r="V254" s="4" t="str" cm="1">
        <f t="array" aca="1" ref="V254" ca="1">IFERROR(_FV(Tableau1[[#This Row],[Code Excel]],"Industrie"),"")</f>
        <v>Aerospace &amp; Defense</v>
      </c>
      <c r="W254" s="4" t="str" cm="1">
        <f t="array" aca="1" ref="W254" ca="1">IFERROR(_FV(Tableau1[[#This Row],[Code Excel]],"Industrie"),"")</f>
        <v>Aerospace &amp; Defense</v>
      </c>
      <c r="X254" s="4" t="str">
        <f ca="1">Tableau1[[#This Row],[Grand Secteur]]&amp;Tableau1[[#This Row],[Industrie]]</f>
        <v>Aerospace &amp; DefenseAerospace &amp; Defense</v>
      </c>
      <c r="Y254" s="23" cm="1">
        <f t="array" aca="1" ref="Y254" ca="1">IFERROR(_FV(Tableau1[[#This Row],[Code Excel]],"P/E",TRUE),"")</f>
        <v>37.081699999999998</v>
      </c>
      <c r="Z254" s="43" cm="1">
        <f t="array" aca="1" ref="Z254" ca="1">IFERROR(_FV(Tableau1[[#This Row],[Code Excel]],"Employés"),"")</f>
        <v>186000</v>
      </c>
      <c r="AA254" s="46">
        <f ca="1">IFERROR(Tableau1[[#This Row],[Capitalisation boursière]]/Tableau1[[#This Row],[Employés]],"")</f>
        <v>943391.82096774189</v>
      </c>
      <c r="AB254" s="5" t="str">
        <f>IFERROR(Tableau1[[#This Row],[REX (2021)]]/Tableau1[[#This Row],[CA 2024]],"")</f>
        <v/>
      </c>
      <c r="AC254" s="9" t="str">
        <f>IFERROR(_xlfn.XLOOKUP(Tableau1[[#This Row],[Isin]]&amp;1&amp;2021,#REF!,Tableau3[Résultat d''exploitation]),"")</f>
        <v/>
      </c>
      <c r="AD254" s="9" t="str">
        <f>IFERROR(_xlfn.XLOOKUP(Tableau1[[#This Row],[Isin]]&amp;1&amp;2019,#REF!,Tableau3[Chiffre d''affaires]),"")</f>
        <v/>
      </c>
      <c r="AE254" s="9" t="str">
        <f>IFERROR(_xlfn.XLOOKUP(Tableau1[[#This Row],[Isin]]&amp;1&amp;2024,#REF!,Tableau3[Chiffre d''affaires]),"")</f>
        <v/>
      </c>
      <c r="AF254" s="8" t="str">
        <f>IFERROR(IF((Tableau1[[#This Row],[CA 2024]]-Tableau1[[#This Row],[CA 2019]])/Tableau1[[#This Row],[CA 2019]]=-1,"",(Tableau1[[#This Row],[CA 2024]]-Tableau1[[#This Row],[CA 2019]])/Tableau1[[#This Row],[CA 2019]]),"")</f>
        <v/>
      </c>
      <c r="AG254" s="9" t="str">
        <f>IFERROR(_xlfn.XLOOKUP(Tableau1[[#This Row],[Isin]]&amp;1&amp;2021,#REF!,Tableau3[EBE]),"")</f>
        <v/>
      </c>
      <c r="AH254" s="9" t="str">
        <f>IFERROR(_xlfn.XLOOKUP(Tableau1[[#This Row],[Isin]]&amp;1&amp;2022,#REF!,Tableau3[EBE]),"")</f>
        <v/>
      </c>
      <c r="AI254" s="43" t="s">
        <v>4343</v>
      </c>
      <c r="AJ254" s="43" t="s">
        <v>4322</v>
      </c>
      <c r="AK254" s="43" t="s">
        <v>3431</v>
      </c>
      <c r="AL254" s="43"/>
      <c r="AM254" s="43"/>
      <c r="AN254" s="9" t="str">
        <f>IFERROR(_xlfn.XLOOKUP(Tableau1[[#This Row],[Isin]]&amp;1&amp;2021,#REF!,Tableau3[Chiffre d''affaires]),"")</f>
        <v/>
      </c>
      <c r="AO254" s="43" cm="1">
        <f t="array" aca="1" ref="AO254" ca="1">_FV(Tableau1[[#This Row],[Code Excel]],"P/E",TRUE)</f>
        <v>37.081699999999998</v>
      </c>
      <c r="AP254" s="43" t="str">
        <f>IFERROR(_xlfn.XLOOKUP(Tableau1[[#This Row],[Isin]]&amp;1&amp;2023,#REF!,Tableau3[Résultat Net (PdG)]),"")</f>
        <v/>
      </c>
      <c r="AQ254" s="43">
        <f>IF(IFERROR(_xlfn.XLOOKUP(Tableau1[[#This Row],[Isin]]&amp;1&amp;2022,#REF!,Tableau3[Résultat Net (PdG)]),"")="",Tableau1[[#This Row],[RN Groupe 2022
Manuel]],IFERROR(_xlfn.XLOOKUP(Tableau1[[#This Row],[Isin]]&amp;1&amp;2022,#REF!,Tableau3[Résultat Net (PdG)]),""))</f>
        <v>0</v>
      </c>
      <c r="AR254" s="43"/>
      <c r="AS254" s="43">
        <f>IF(IFERROR(_xlfn.XLOOKUP(Tableau1[[#This Row],[Isin]]&amp;1&amp;2021,#REF!,Tableau3[Résultat Net (PdG)]),"")="",Tableau1[[#This Row],[RN Groupe 2021
Manuel]],IFERROR(_xlfn.XLOOKUP(Tableau1[[#This Row],[Isin]]&amp;1&amp;2021,#REF!,Tableau3[Résultat Net (PdG)]),""))</f>
        <v>0</v>
      </c>
      <c r="AT254" s="43"/>
      <c r="AU254" s="43" t="str">
        <f>IFERROR(_xlfn.XLOOKUP(Tableau1[[#This Row],[Isin]]&amp;1&amp;2020,#REF!,Tableau3[Résultat Net (PdG)]),"")</f>
        <v/>
      </c>
      <c r="AV254" s="43" t="str">
        <f>IFERROR(_xlfn.XLOOKUP(Tableau1[[#This Row],[Isin]]&amp;1&amp;2019,#REF!,Tableau3[Résultat Net (PdG)]),"")</f>
        <v/>
      </c>
      <c r="AW254" s="43" t="str">
        <f>IFERROR(_xlfn.XLOOKUP(Tableau1[[#This Row],[Isin]]&amp;1&amp;2018,#REF!,Tableau3[Résultat Net (PdG)]),"")</f>
        <v/>
      </c>
      <c r="AX254" s="43" t="str">
        <f>IFERROR(_xlfn.XLOOKUP(Tableau1[[#This Row],[Isin]]&amp;1&amp;2017,#REF!,Tableau3[Résultat Net (PdG)]),"")</f>
        <v/>
      </c>
      <c r="AY254" s="43" t="str">
        <f>IFERROR(_xlfn.XLOOKUP(Tableau1[[#This Row],[Isin]]&amp;1&amp;2016,#REF!,Tableau3[Résultat Net (PdG)]),"")</f>
        <v/>
      </c>
      <c r="AZ254" s="137" t="str">
        <f ca="1">IFERROR(Tableau1[[#This Row],[Capitalisation boursière]]/Tableau1[[#This Row],[RN Groupe 2023]],"")</f>
        <v/>
      </c>
      <c r="BA254" s="4" t="str" cm="1">
        <f t="array" aca="1" ref="BA254" ca="1">IFERROR(_FV(Tableau1[[#This Row],[Code Excel]],"Industrie"),"")</f>
        <v>Aerospace &amp; Defense</v>
      </c>
      <c r="BB254" s="43" t="s">
        <v>3464</v>
      </c>
      <c r="BC254" s="43" t="str">
        <f>IFERROR(_xlfn.XLOOKUP(Tableau1[[#This Row],[Isin]]&amp;1&amp;2016,#REF!,Tableau3[Capi]),"")</f>
        <v/>
      </c>
      <c r="BD254" s="43" t="str">
        <f>IFERROR(_xlfn.XLOOKUP(Tableau1[[#This Row],[Isin]]&amp;1&amp;2017,#REF!,Tableau3[Capi]),"")</f>
        <v/>
      </c>
      <c r="BE254" s="43" t="str">
        <f>IFERROR(_xlfn.XLOOKUP(Tableau1[[#This Row],[Isin]]&amp;1&amp;2018,#REF!,Tableau3[Capi]),"")</f>
        <v/>
      </c>
      <c r="BF254" s="43" t="str">
        <f>IFERROR(_xlfn.XLOOKUP(Tableau1[[#This Row],[Isin]]&amp;1&amp;2019,#REF!,Tableau3[Capi]),"")</f>
        <v/>
      </c>
      <c r="BG254" s="43" t="str">
        <f>IFERROR(_xlfn.XLOOKUP(Tableau1[[#This Row],[Isin]]&amp;1&amp;2020,#REF!,Tableau3[Capi]),"")</f>
        <v/>
      </c>
      <c r="BH254" s="43">
        <f>IF(IFERROR(_xlfn.XLOOKUP(Tableau1[[#This Row],[Isin]]&amp;1&amp;2021,#REF!,Tableau3[Capi]),"")="",Tableau1[[#This Row],[Capitalisation 2021
Manuel]],IFERROR(_xlfn.XLOOKUP(Tableau1[[#This Row],[Isin]]&amp;1&amp;2021,#REF!,Tableau3[Capi]),""))</f>
        <v>0</v>
      </c>
      <c r="BI254" s="43"/>
      <c r="BJ254" s="43">
        <f>IF(IFERROR(_xlfn.XLOOKUP(Tableau1[[#This Row],[Isin]]&amp;1&amp;2022,#REF!,Tableau3[Capi]),"")="",Tableau1[[#This Row],[Capitalisation 2022
Manuel]],IFERROR(_xlfn.XLOOKUP(Tableau1[[#This Row],[Isin]]&amp;1&amp;2022,#REF!,Tableau3[Capi]),""))</f>
        <v>0</v>
      </c>
      <c r="BK254" s="43"/>
      <c r="BL254" s="43">
        <f ca="1">Tableau1[[#This Row],[Capitalisation boursière]]</f>
        <v>175470878700</v>
      </c>
      <c r="BM254" s="162" t="str" cm="1">
        <f t="array" aca="1" ref="BM254" ca="1">_FV(Tableau1[[#This Row],[Code Excel]],"Description")</f>
        <v>RTX Corporation est une société aérospatiale et de défense. La société fait progresser l'aviation, conçoit des systèmes de défense intégrés et développe des solutions technologiques. La société opère dans trois secteurs : Collins Aerospace, Pratt &amp; Whitney et Raytheon. Le segment Collins Aerospace fournit des produits aérospatiaux et de défense technologiquement avancés et des solutions de service après-vente pour les constructeurs aéronautiques, les compagnies aériennes et l'aviation régionale, d'affaires et générale, ainsi que pour les opérations spatiales commerciales et de défense. Le segment Pratt &amp; Whitney fournit des moteurs d'avion pour les clients commerciaux, de défense, d'avions d'affaires et d'aviation générale. Raytheon segment fournit des systèmes avancés de défense aérienne et antimissile, effecteurs, hypersoniques, capteurs et radars, services de cybersécurité, et des solutions spatiales intégrées pour les clients gouvernementaux et commerciaux.</v>
      </c>
      <c r="BN254" s="43"/>
      <c r="BO254" s="43"/>
      <c r="BP254" s="43"/>
      <c r="BQ254" s="43"/>
      <c r="BR254" s="13"/>
      <c r="BS254" s="13"/>
      <c r="BT254" s="13"/>
      <c r="BU254" s="13"/>
      <c r="BV254" s="13"/>
      <c r="BW254" s="13"/>
      <c r="BX254" s="13"/>
      <c r="BY254" s="21"/>
      <c r="BZ254" s="13"/>
      <c r="CA254" s="13"/>
      <c r="CB254" s="13"/>
      <c r="CC254" s="13"/>
      <c r="CD254" s="13"/>
      <c r="CF254" s="4"/>
      <c r="CG254" s="4"/>
    </row>
    <row r="255" spans="3:85">
      <c r="C255" s="42"/>
      <c r="D255" s="42">
        <f>IF(Tableau1[[#This Row],[Isin]]="",99,Tableau1[[#This Row],[Intérêt]]+Tableau1[[#This Row],[Valeur d''intérêt]]+Tableau1[[#This Row],[N° Portefeuille]])</f>
        <v>30</v>
      </c>
      <c r="E255" s="42"/>
      <c r="F255" s="42">
        <f>IF(Tableau1[[#This Row],[Portefeuille]]="p",0,Tableau1[[#This Row],[F. Investissement
Niveau d''intérêt]]*10)</f>
        <v>30</v>
      </c>
      <c r="G255" s="42">
        <f>IF(Tableau1[[#This Row],[Portefeuille]]="p",3,0)</f>
        <v>0</v>
      </c>
      <c r="H255" s="42">
        <v>3</v>
      </c>
      <c r="I255" s="42">
        <v>4</v>
      </c>
      <c r="J255" s="42"/>
      <c r="K255" s="43"/>
      <c r="L255" s="16">
        <v>0</v>
      </c>
      <c r="M25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5" s="44" t="s">
        <v>4058</v>
      </c>
      <c r="O255" s="45"/>
      <c r="P255" s="4" t="s">
        <v>382</v>
      </c>
      <c r="Q255" s="4"/>
      <c r="R255" s="6"/>
      <c r="S255" s="6" t="s">
        <v>4059</v>
      </c>
      <c r="T255" s="6" t="e" vm="234">
        <v>#VALUE!</v>
      </c>
      <c r="U255" s="46" cm="1">
        <f t="array" aca="1" ref="U255" ca="1">IFERROR(_FV(Tableau1[[#This Row],[Code Excel]],"Capitalisation boursière",TRUE),"")</f>
        <v>69119994951</v>
      </c>
      <c r="V255" s="4" t="str" cm="1">
        <f t="array" aca="1" ref="V255" ca="1">IFERROR(_FV(Tableau1[[#This Row],[Code Excel]],"Industrie"),"")</f>
        <v>Biotechnology &amp; Medical Research</v>
      </c>
      <c r="W255" s="4" t="s">
        <v>1586</v>
      </c>
      <c r="X255" s="4" t="str">
        <f ca="1">Tableau1[[#This Row],[Grand Secteur]]&amp;Tableau1[[#This Row],[Industrie]]</f>
        <v>SantéBiotechnology &amp; Medical Research</v>
      </c>
      <c r="Y255" s="23" cm="1">
        <f t="array" aca="1" ref="Y255" ca="1">IFERROR(_FV(Tableau1[[#This Row],[Code Excel]],"P/E",TRUE),"")</f>
        <v>16.245899999999999</v>
      </c>
      <c r="Z255" s="43" cm="1">
        <f t="array" aca="1" ref="Z255" ca="1">IFERROR(_FV(Tableau1[[#This Row],[Code Excel]],"Employés"),"")</f>
        <v>15106</v>
      </c>
      <c r="AA255" s="49">
        <f ca="1">IFERROR(Tableau1[[#This Row],[Capitalisation boursière]]/Tableau1[[#This Row],[Employés]],"")</f>
        <v>4575664.9643188138</v>
      </c>
      <c r="AB255" s="5" t="str">
        <f>IFERROR(Tableau1[[#This Row],[REX (2021)]]/Tableau1[[#This Row],[CA 2024]],"")</f>
        <v/>
      </c>
      <c r="AC255" s="9" t="str">
        <f>IFERROR(_xlfn.XLOOKUP(Tableau1[[#This Row],[Isin]]&amp;1&amp;2021,#REF!,Tableau3[Résultat d''exploitation]),"")</f>
        <v/>
      </c>
      <c r="AD255" s="9" t="str">
        <f>IFERROR(_xlfn.XLOOKUP(Tableau1[[#This Row],[Isin]]&amp;1&amp;2019,#REF!,Tableau3[Chiffre d''affaires]),"")</f>
        <v/>
      </c>
      <c r="AE255" s="9" t="str">
        <f>IFERROR(_xlfn.XLOOKUP(Tableau1[[#This Row],[Isin]]&amp;1&amp;2024,#REF!,Tableau3[Chiffre d''affaires]),"")</f>
        <v/>
      </c>
      <c r="AF255" s="8" t="str">
        <f>IFERROR(IF((Tableau1[[#This Row],[CA 2024]]-Tableau1[[#This Row],[CA 2019]])/Tableau1[[#This Row],[CA 2019]]=-1,"",(Tableau1[[#This Row],[CA 2024]]-Tableau1[[#This Row],[CA 2019]])/Tableau1[[#This Row],[CA 2019]]),"")</f>
        <v/>
      </c>
      <c r="AG255" s="9" t="str">
        <f>IFERROR(_xlfn.XLOOKUP(Tableau1[[#This Row],[Isin]]&amp;1&amp;2021,#REF!,Tableau3[EBE]),"")</f>
        <v/>
      </c>
      <c r="AH255" s="9" t="str">
        <f>IFERROR(_xlfn.XLOOKUP(Tableau1[[#This Row],[Isin]]&amp;1&amp;2022,#REF!,Tableau3[EBE]),"")</f>
        <v/>
      </c>
      <c r="AI255" s="13" t="s">
        <v>4324</v>
      </c>
      <c r="AJ255" s="13" t="s">
        <v>4325</v>
      </c>
      <c r="AK255" s="13" t="s">
        <v>3148</v>
      </c>
      <c r="AL255" s="43"/>
      <c r="AM255" s="43"/>
      <c r="AN255" s="9" t="str">
        <f>IFERROR(_xlfn.XLOOKUP(Tableau1[[#This Row],[Isin]]&amp;1&amp;2021,#REF!,Tableau3[Chiffre d''affaires]),"")</f>
        <v/>
      </c>
      <c r="AO255" s="43" cm="1">
        <f t="array" aca="1" ref="AO255" ca="1">_FV(Tableau1[[#This Row],[Code Excel]],"P/E",TRUE)</f>
        <v>16.245899999999999</v>
      </c>
      <c r="AP255" s="43" t="str">
        <f>IFERROR(_xlfn.XLOOKUP(Tableau1[[#This Row],[Isin]]&amp;1&amp;2023,#REF!,Tableau3[Résultat Net (PdG)]),"")</f>
        <v/>
      </c>
      <c r="AQ255" s="43">
        <f>IF(IFERROR(_xlfn.XLOOKUP(Tableau1[[#This Row],[Isin]]&amp;1&amp;2022,#REF!,Tableau3[Résultat Net (PdG)]),"")="",Tableau1[[#This Row],[RN Groupe 2022
Manuel]],IFERROR(_xlfn.XLOOKUP(Tableau1[[#This Row],[Isin]]&amp;1&amp;2022,#REF!,Tableau3[Résultat Net (PdG)]),""))</f>
        <v>0</v>
      </c>
      <c r="AR255" s="43"/>
      <c r="AS255" s="43">
        <f>IF(IFERROR(_xlfn.XLOOKUP(Tableau1[[#This Row],[Isin]]&amp;1&amp;2021,#REF!,Tableau3[Résultat Net (PdG)]),"")="",Tableau1[[#This Row],[RN Groupe 2021
Manuel]],IFERROR(_xlfn.XLOOKUP(Tableau1[[#This Row],[Isin]]&amp;1&amp;2021,#REF!,Tableau3[Résultat Net (PdG)]),""))</f>
        <v>0</v>
      </c>
      <c r="AT255" s="43"/>
      <c r="AU255" s="43" t="str">
        <f>IFERROR(_xlfn.XLOOKUP(Tableau1[[#This Row],[Isin]]&amp;1&amp;2020,#REF!,Tableau3[Résultat Net (PdG)]),"")</f>
        <v/>
      </c>
      <c r="AV255" s="43" t="str">
        <f>IFERROR(_xlfn.XLOOKUP(Tableau1[[#This Row],[Isin]]&amp;1&amp;2019,#REF!,Tableau3[Résultat Net (PdG)]),"")</f>
        <v/>
      </c>
      <c r="AW255" s="43" t="str">
        <f>IFERROR(_xlfn.XLOOKUP(Tableau1[[#This Row],[Isin]]&amp;1&amp;2018,#REF!,Tableau3[Résultat Net (PdG)]),"")</f>
        <v/>
      </c>
      <c r="AX255" s="43" t="str">
        <f>IFERROR(_xlfn.XLOOKUP(Tableau1[[#This Row],[Isin]]&amp;1&amp;2017,#REF!,Tableau3[Résultat Net (PdG)]),"")</f>
        <v/>
      </c>
      <c r="AY255" s="43" t="str">
        <f>IFERROR(_xlfn.XLOOKUP(Tableau1[[#This Row],[Isin]]&amp;1&amp;2016,#REF!,Tableau3[Résultat Net (PdG)]),"")</f>
        <v/>
      </c>
      <c r="AZ255" s="137" t="str">
        <f ca="1">IFERROR(Tableau1[[#This Row],[Capitalisation boursière]]/Tableau1[[#This Row],[RN Groupe 2023]],"")</f>
        <v/>
      </c>
      <c r="BA255" s="4" t="str" cm="1">
        <f t="array" aca="1" ref="BA255" ca="1">IFERROR(_FV(Tableau1[[#This Row],[Code Excel]],"Industrie"),"")</f>
        <v>Biotechnology &amp; Medical Research</v>
      </c>
      <c r="BB255" s="43" t="s">
        <v>3491</v>
      </c>
      <c r="BC255" s="43" t="str">
        <f>IFERROR(_xlfn.XLOOKUP(Tableau1[[#This Row],[Isin]]&amp;1&amp;2016,#REF!,Tableau3[Capi]),"")</f>
        <v/>
      </c>
      <c r="BD255" s="43" t="str">
        <f>IFERROR(_xlfn.XLOOKUP(Tableau1[[#This Row],[Isin]]&amp;1&amp;2017,#REF!,Tableau3[Capi]),"")</f>
        <v/>
      </c>
      <c r="BE255" s="43" t="str">
        <f>IFERROR(_xlfn.XLOOKUP(Tableau1[[#This Row],[Isin]]&amp;1&amp;2018,#REF!,Tableau3[Capi]),"")</f>
        <v/>
      </c>
      <c r="BF255" s="43" t="str">
        <f>IFERROR(_xlfn.XLOOKUP(Tableau1[[#This Row],[Isin]]&amp;1&amp;2019,#REF!,Tableau3[Capi]),"")</f>
        <v/>
      </c>
      <c r="BG255" s="43" t="str">
        <f>IFERROR(_xlfn.XLOOKUP(Tableau1[[#This Row],[Isin]]&amp;1&amp;2020,#REF!,Tableau3[Capi]),"")</f>
        <v/>
      </c>
      <c r="BH255" s="43">
        <f>IF(IFERROR(_xlfn.XLOOKUP(Tableau1[[#This Row],[Isin]]&amp;1&amp;2021,#REF!,Tableau3[Capi]),"")="",Tableau1[[#This Row],[Capitalisation 2021
Manuel]],IFERROR(_xlfn.XLOOKUP(Tableau1[[#This Row],[Isin]]&amp;1&amp;2021,#REF!,Tableau3[Capi]),""))</f>
        <v>0</v>
      </c>
      <c r="BI255" s="43"/>
      <c r="BJ255" s="43">
        <f>IF(IFERROR(_xlfn.XLOOKUP(Tableau1[[#This Row],[Isin]]&amp;1&amp;2022,#REF!,Tableau3[Capi]),"")="",Tableau1[[#This Row],[Capitalisation 2022
Manuel]],IFERROR(_xlfn.XLOOKUP(Tableau1[[#This Row],[Isin]]&amp;1&amp;2022,#REF!,Tableau3[Capi]),""))</f>
        <v>0</v>
      </c>
      <c r="BK255" s="43"/>
      <c r="BL255" s="43">
        <f ca="1">Tableau1[[#This Row],[Capitalisation boursière]]</f>
        <v>69119994951</v>
      </c>
      <c r="BM255" s="162" t="str" cm="1">
        <f t="array" aca="1" ref="BM255" ca="1">_FV(Tableau1[[#This Row],[Code Excel]],"Description")</f>
        <v>Regeneron Pharmaceuticals, Inc. est une société de biotechnologie entièrement intégrée. La Société invente, développe, fabrique et commercialise des médicaments pour les personnes atteintes de maladies graves. Ses produits et candidats produits en développement sont conçus pour aider les patients atteints de maladies oculaires, de maladies allergiques et inflammatoires, de cancer, de maladies cardiovasculaires et métaboliques, de troubles hématologiques, de maladies infectieuses et de maladies rares. Il aide à accélérer et à améliorer le processus traditionnel de développement de médicaments grâce à ses technologies VelociSuite. Ses produits commercialisés comprennent EYLEA (aflibercept) injection ; Dupixent (dupilumab) injection ; Libtayo (cemiplimab) injection ; Praluent (alirocumab) injection ; REGEN-COV; Kevzara (sarilumab) injection, et autres. Les programmes de thérapie cellulaire auto-immune et d'oncologie de la Société sur les tumeurs solides comprennent le programme bbT369 dans le B-NHL, SC-DARIC33 dans la LAM, MUC16 dans le cancer de l'ovaire, MAGE-A4, auto-immune et plusieurs cibles anonymes.</v>
      </c>
      <c r="BN255" s="43"/>
      <c r="BO255" s="43"/>
      <c r="BP255" s="43"/>
      <c r="BQ255" s="43"/>
      <c r="BR255" s="13"/>
      <c r="BS255" s="13"/>
      <c r="BT255" s="13"/>
      <c r="BU255" s="13"/>
      <c r="BV255" s="13"/>
      <c r="BW255" s="13"/>
      <c r="BX255" s="13"/>
      <c r="BY255" s="21"/>
      <c r="BZ255" s="13"/>
      <c r="CA255" s="13"/>
      <c r="CB255" s="13"/>
      <c r="CC255" s="13"/>
      <c r="CD255" s="13"/>
      <c r="CF255" s="4"/>
      <c r="CG255" s="4"/>
    </row>
    <row r="256" spans="3:85">
      <c r="C256" s="43"/>
      <c r="D256" s="42">
        <f>IF(Tableau1[[#This Row],[Isin]]="",99,Tableau1[[#This Row],[Intérêt]]+Tableau1[[#This Row],[Valeur d''intérêt]]+Tableau1[[#This Row],[N° Portefeuille]])</f>
        <v>30</v>
      </c>
      <c r="E256" s="43"/>
      <c r="F256" s="42">
        <f>IF(Tableau1[[#This Row],[Portefeuille]]="p",0,Tableau1[[#This Row],[F. Investissement
Niveau d''intérêt]]*10)</f>
        <v>30</v>
      </c>
      <c r="G256" s="43">
        <f>IF(Tableau1[[#This Row],[Portefeuille]]="p",3,0)</f>
        <v>0</v>
      </c>
      <c r="H256" s="42">
        <v>3</v>
      </c>
      <c r="I256" s="43">
        <v>4</v>
      </c>
      <c r="J256" s="43"/>
      <c r="K256" s="43"/>
      <c r="L256" s="16">
        <v>1</v>
      </c>
      <c r="M25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6" s="44" t="s">
        <v>4061</v>
      </c>
      <c r="O256" s="45"/>
      <c r="P256" s="4" t="s">
        <v>47</v>
      </c>
      <c r="Q256" s="4"/>
      <c r="R256" s="6"/>
      <c r="S256" s="6" t="s">
        <v>2920</v>
      </c>
      <c r="T256" s="6" t="e" vm="235">
        <v>#VALUE!</v>
      </c>
      <c r="U256" s="46" cm="1">
        <f t="array" aca="1" ref="U256" ca="1">IFERROR(_FV(Tableau1[[#This Row],[Code Excel]],"Capitalisation boursière",TRUE),"")</f>
        <v>71939730000</v>
      </c>
      <c r="V256" s="4" t="str" cm="1">
        <f t="array" aca="1" ref="V256" ca="1">IFERROR(_FV(Tableau1[[#This Row],[Code Excel]],"Industrie"),"")</f>
        <v>Software &amp; IT Services</v>
      </c>
      <c r="W256" s="4" t="s">
        <v>2918</v>
      </c>
      <c r="X256" s="4" t="str">
        <f ca="1">Tableau1[[#This Row],[Grand Secteur]]&amp;Tableau1[[#This Row],[Industrie]]</f>
        <v>B to BSoftware &amp; IT Services</v>
      </c>
      <c r="Y256" s="23" cm="1">
        <f t="array" aca="1" ref="Y256" ca="1">IFERROR(_FV(Tableau1[[#This Row],[Code Excel]],"P/E",TRUE),"")</f>
        <v>37.042999999999999</v>
      </c>
      <c r="Z256" s="43" cm="1">
        <f t="array" aca="1" ref="Z256" ca="1">IFERROR(_FV(Tableau1[[#This Row],[Code Excel]],"Employés"),"")</f>
        <v>34580</v>
      </c>
      <c r="AA256" s="46">
        <f ca="1">IFERROR(Tableau1[[#This Row],[Capitalisation boursière]]/Tableau1[[#This Row],[Employés]],"")</f>
        <v>2080385.4829381146</v>
      </c>
      <c r="AB256" s="5" t="str">
        <f>IFERROR(Tableau1[[#This Row],[REX (2021)]]/Tableau1[[#This Row],[CA 2024]],"")</f>
        <v/>
      </c>
      <c r="AC256" s="9" t="str">
        <f>IFERROR(_xlfn.XLOOKUP(Tableau1[[#This Row],[Isin]]&amp;1&amp;2021,#REF!,Tableau3[Résultat d''exploitation]),"")</f>
        <v/>
      </c>
      <c r="AD256" s="9" t="str">
        <f>IFERROR(_xlfn.XLOOKUP(Tableau1[[#This Row],[Isin]]&amp;1&amp;2019,#REF!,Tableau3[Chiffre d''affaires]),"")</f>
        <v/>
      </c>
      <c r="AE256" s="9" t="str">
        <f>IFERROR(_xlfn.XLOOKUP(Tableau1[[#This Row],[Isin]]&amp;1&amp;2024,#REF!,Tableau3[Chiffre d''affaires]),"")</f>
        <v/>
      </c>
      <c r="AF256" s="8" t="str">
        <f>IFERROR(IF((Tableau1[[#This Row],[CA 2024]]-Tableau1[[#This Row],[CA 2019]])/Tableau1[[#This Row],[CA 2019]]=-1,"",(Tableau1[[#This Row],[CA 2024]]-Tableau1[[#This Row],[CA 2019]])/Tableau1[[#This Row],[CA 2019]]),"")</f>
        <v/>
      </c>
      <c r="AG256" s="9" t="str">
        <f>IFERROR(_xlfn.XLOOKUP(Tableau1[[#This Row],[Isin]]&amp;1&amp;2021,#REF!,Tableau3[EBE]),"")</f>
        <v/>
      </c>
      <c r="AH256" s="9" t="str">
        <f>IFERROR(_xlfn.XLOOKUP(Tableau1[[#This Row],[Isin]]&amp;1&amp;2022,#REF!,Tableau3[EBE]),"")</f>
        <v/>
      </c>
      <c r="AI256" s="43" t="s">
        <v>3419</v>
      </c>
      <c r="AJ256" s="43" t="s">
        <v>4322</v>
      </c>
      <c r="AK256" s="43" t="s">
        <v>3431</v>
      </c>
      <c r="AL256" s="43"/>
      <c r="AM256" s="43"/>
      <c r="AN256" s="9" t="str">
        <f>IFERROR(_xlfn.XLOOKUP(Tableau1[[#This Row],[Isin]]&amp;1&amp;2021,#REF!,Tableau3[Chiffre d''affaires]),"")</f>
        <v/>
      </c>
      <c r="AO256" s="43" cm="1">
        <f t="array" aca="1" ref="AO256" ca="1">_FV(Tableau1[[#This Row],[Code Excel]],"P/E",TRUE)</f>
        <v>37.042999999999999</v>
      </c>
      <c r="AP256" s="43" t="str">
        <f>IFERROR(_xlfn.XLOOKUP(Tableau1[[#This Row],[Isin]]&amp;1&amp;2023,#REF!,Tableau3[Résultat Net (PdG)]),"")</f>
        <v/>
      </c>
      <c r="AQ256" s="43">
        <f>IF(IFERROR(_xlfn.XLOOKUP(Tableau1[[#This Row],[Isin]]&amp;1&amp;2022,#REF!,Tableau3[Résultat Net (PdG)]),"")="",Tableau1[[#This Row],[RN Groupe 2022
Manuel]],IFERROR(_xlfn.XLOOKUP(Tableau1[[#This Row],[Isin]]&amp;1&amp;2022,#REF!,Tableau3[Résultat Net (PdG)]),""))</f>
        <v>0</v>
      </c>
      <c r="AR256" s="43"/>
      <c r="AS256" s="43">
        <f>IF(IFERROR(_xlfn.XLOOKUP(Tableau1[[#This Row],[Isin]]&amp;1&amp;2021,#REF!,Tableau3[Résultat Net (PdG)]),"")="",Tableau1[[#This Row],[RN Groupe 2021
Manuel]],IFERROR(_xlfn.XLOOKUP(Tableau1[[#This Row],[Isin]]&amp;1&amp;2021,#REF!,Tableau3[Résultat Net (PdG)]),""))</f>
        <v>0</v>
      </c>
      <c r="AT256" s="43"/>
      <c r="AU256" s="43" t="str">
        <f>IFERROR(_xlfn.XLOOKUP(Tableau1[[#This Row],[Isin]]&amp;1&amp;2020,#REF!,Tableau3[Résultat Net (PdG)]),"")</f>
        <v/>
      </c>
      <c r="AV256" s="43" t="str">
        <f>IFERROR(_xlfn.XLOOKUP(Tableau1[[#This Row],[Isin]]&amp;1&amp;2019,#REF!,Tableau3[Résultat Net (PdG)]),"")</f>
        <v/>
      </c>
      <c r="AW256" s="43" t="str">
        <f>IFERROR(_xlfn.XLOOKUP(Tableau1[[#This Row],[Isin]]&amp;1&amp;2018,#REF!,Tableau3[Résultat Net (PdG)]),"")</f>
        <v/>
      </c>
      <c r="AX256" s="43" t="str">
        <f>IFERROR(_xlfn.XLOOKUP(Tableau1[[#This Row],[Isin]]&amp;1&amp;2017,#REF!,Tableau3[Résultat Net (PdG)]),"")</f>
        <v/>
      </c>
      <c r="AY256" s="43" t="str">
        <f>IFERROR(_xlfn.XLOOKUP(Tableau1[[#This Row],[Isin]]&amp;1&amp;2016,#REF!,Tableau3[Résultat Net (PdG)]),"")</f>
        <v/>
      </c>
      <c r="AZ256" s="137" t="str">
        <f ca="1">IFERROR(Tableau1[[#This Row],[Capitalisation boursière]]/Tableau1[[#This Row],[RN Groupe 2023]],"")</f>
        <v/>
      </c>
      <c r="BA256" s="4" t="str" cm="1">
        <f t="array" aca="1" ref="BA256" ca="1">IFERROR(_FV(Tableau1[[#This Row],[Code Excel]],"Industrie"),"")</f>
        <v>Software &amp; IT Services</v>
      </c>
      <c r="BB256" s="43" t="s">
        <v>3496</v>
      </c>
      <c r="BC256" s="43" t="str">
        <f>IFERROR(_xlfn.XLOOKUP(Tableau1[[#This Row],[Isin]]&amp;1&amp;2016,#REF!,Tableau3[Capi]),"")</f>
        <v/>
      </c>
      <c r="BD256" s="43" t="str">
        <f>IFERROR(_xlfn.XLOOKUP(Tableau1[[#This Row],[Isin]]&amp;1&amp;2017,#REF!,Tableau3[Capi]),"")</f>
        <v/>
      </c>
      <c r="BE256" s="43" t="str">
        <f>IFERROR(_xlfn.XLOOKUP(Tableau1[[#This Row],[Isin]]&amp;1&amp;2018,#REF!,Tableau3[Capi]),"")</f>
        <v/>
      </c>
      <c r="BF256" s="43" t="str">
        <f>IFERROR(_xlfn.XLOOKUP(Tableau1[[#This Row],[Isin]]&amp;1&amp;2019,#REF!,Tableau3[Capi]),"")</f>
        <v/>
      </c>
      <c r="BG256" s="43" t="str">
        <f>IFERROR(_xlfn.XLOOKUP(Tableau1[[#This Row],[Isin]]&amp;1&amp;2020,#REF!,Tableau3[Capi]),"")</f>
        <v/>
      </c>
      <c r="BH256" s="43">
        <f>IF(IFERROR(_xlfn.XLOOKUP(Tableau1[[#This Row],[Isin]]&amp;1&amp;2021,#REF!,Tableau3[Capi]),"")="",Tableau1[[#This Row],[Capitalisation 2021
Manuel]],IFERROR(_xlfn.XLOOKUP(Tableau1[[#This Row],[Isin]]&amp;1&amp;2021,#REF!,Tableau3[Capi]),""))</f>
        <v>0</v>
      </c>
      <c r="BI256" s="43"/>
      <c r="BJ256" s="43">
        <f>IF(IFERROR(_xlfn.XLOOKUP(Tableau1[[#This Row],[Isin]]&amp;1&amp;2022,#REF!,Tableau3[Capi]),"")="",Tableau1[[#This Row],[Capitalisation 2022
Manuel]],IFERROR(_xlfn.XLOOKUP(Tableau1[[#This Row],[Isin]]&amp;1&amp;2022,#REF!,Tableau3[Capi]),""))</f>
        <v>0</v>
      </c>
      <c r="BK256" s="43"/>
      <c r="BL256" s="43">
        <f ca="1">Tableau1[[#This Row],[Capitalisation boursière]]</f>
        <v>71939730000</v>
      </c>
      <c r="BM256" s="162" t="str" cm="1">
        <f t="array" aca="1" ref="BM256" ca="1">_FV(Tableau1[[#This Row],[Code Excel]],"Description")</f>
        <v>RELX PLC est un fournisseur mondial basé au Royaume-Uni d'outils d'analyse et de décision basés sur l'information pour les professionnels et les entreprises. La Société opère dans quatre segments de marché : risque ; scientifique, technique et médical ; juridique et expositions. Le segment risque fournit aux clients des outils d'analyse et de décision basés sur l'information qui combinent du contenu public et spécifique à l'industrie avec une technologie et des algorithmes avancés pour les aider à évaluer et prévoir les risques et à améliorer l'efficacité opérationnelle. Le segment scientifique, technique et médical fournit des informations et des analyses qui aident les institutions et les professionnels à faire progresser la science, à faire progresser les soins de santé et à améliorer les performances. Le segment juridique fournit des informations et des analyses juridiques, réglementaires et commerciales. Le segment expositions combine l'expertise de l'industrie avec des données et des outils numériques pour aider les clients à se connecter en face à face et numériquement, à se renseigner sur les marchés, à trouver des produits et à effectuer des transactions.</v>
      </c>
      <c r="BN256" s="43"/>
      <c r="BO256" s="43"/>
      <c r="BP256" s="43"/>
      <c r="BQ256" s="43"/>
      <c r="BR256" s="13"/>
      <c r="BS256" s="13"/>
      <c r="BT256" s="13"/>
      <c r="BU256" s="13"/>
      <c r="BV256" s="13"/>
      <c r="BW256" s="13"/>
      <c r="BX256" s="13"/>
      <c r="BY256" s="21"/>
      <c r="BZ256" s="13"/>
      <c r="CA256" s="13"/>
      <c r="CB256" s="13"/>
      <c r="CC256" s="13"/>
      <c r="CD256" s="13"/>
      <c r="CF256" s="4"/>
      <c r="CG256" s="4"/>
    </row>
    <row r="257" spans="3:85">
      <c r="C257" s="42"/>
      <c r="D257" s="42">
        <f>IF(Tableau1[[#This Row],[Isin]]="",99,Tableau1[[#This Row],[Intérêt]]+Tableau1[[#This Row],[Valeur d''intérêt]]+Tableau1[[#This Row],[N° Portefeuille]])</f>
        <v>10</v>
      </c>
      <c r="E257" s="42"/>
      <c r="F257" s="42">
        <f>IF(Tableau1[[#This Row],[Portefeuille]]="p",0,Tableau1[[#This Row],[F. Investissement
Niveau d''intérêt]]*10)</f>
        <v>10</v>
      </c>
      <c r="G257" s="42">
        <f>IF(Tableau1[[#This Row],[Portefeuille]]="p",3,0)</f>
        <v>0</v>
      </c>
      <c r="H257" s="42">
        <v>1</v>
      </c>
      <c r="I257" s="42">
        <v>4</v>
      </c>
      <c r="J257" s="42"/>
      <c r="K257" s="43"/>
      <c r="L257" s="16">
        <v>0</v>
      </c>
      <c r="M25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7" s="44" t="s">
        <v>4063</v>
      </c>
      <c r="O257" s="45"/>
      <c r="P257" s="4" t="s">
        <v>84</v>
      </c>
      <c r="Q257" s="4"/>
      <c r="R257" s="6"/>
      <c r="S257" s="6" t="s">
        <v>4064</v>
      </c>
      <c r="T257" s="6" t="e" vm="236">
        <v>#VALUE!</v>
      </c>
      <c r="U257" s="46" cm="1">
        <f t="array" aca="1" ref="U257" ca="1">IFERROR(_FV(Tableau1[[#This Row],[Code Excel]],"Capitalisation boursière",TRUE),"")</f>
        <v>2355559000</v>
      </c>
      <c r="V257" s="4" t="str" cm="1">
        <f t="array" aca="1" ref="V257" ca="1">IFERROR(_FV(Tableau1[[#This Row],[Code Excel]],"Industrie"),"")</f>
        <v>Beverages</v>
      </c>
      <c r="W257" s="4" t="s">
        <v>1315</v>
      </c>
      <c r="X257" s="4" t="str">
        <f ca="1">Tableau1[[#This Row],[Grand Secteur]]&amp;Tableau1[[#This Row],[Industrie]]</f>
        <v>Biens de consommationBeverages</v>
      </c>
      <c r="Y257" s="23" cm="1">
        <f t="array" aca="1" ref="Y257" ca="1">IFERROR(_FV(Tableau1[[#This Row],[Code Excel]],"P/E",TRUE),"")</f>
        <v>13.5396</v>
      </c>
      <c r="Z257" s="43" cm="1">
        <f t="array" aca="1" ref="Z257" ca="1">IFERROR(_FV(Tableau1[[#This Row],[Code Excel]],"Employés"),"")</f>
        <v>1943</v>
      </c>
      <c r="AA257" s="46">
        <f ca="1">IFERROR(Tableau1[[#This Row],[Capitalisation boursière]]/Tableau1[[#This Row],[Employés]],"")</f>
        <v>1212330.9315491507</v>
      </c>
      <c r="AB257" s="5" t="str">
        <f>IFERROR(Tableau1[[#This Row],[REX (2021)]]/Tableau1[[#This Row],[CA 2024]],"")</f>
        <v/>
      </c>
      <c r="AC257" s="9" t="str">
        <f>IFERROR(_xlfn.XLOOKUP(Tableau1[[#This Row],[Isin]]&amp;1&amp;2021,#REF!,Tableau3[Résultat d''exploitation]),"")</f>
        <v/>
      </c>
      <c r="AD257" s="9" t="str">
        <f>IFERROR(_xlfn.XLOOKUP(Tableau1[[#This Row],[Isin]]&amp;1&amp;2019,#REF!,Tableau3[Chiffre d''affaires]),"")</f>
        <v/>
      </c>
      <c r="AE257" s="9" t="str">
        <f>IFERROR(_xlfn.XLOOKUP(Tableau1[[#This Row],[Isin]]&amp;1&amp;2024,#REF!,Tableau3[Chiffre d''affaires]),"")</f>
        <v/>
      </c>
      <c r="AF257" s="8" t="str">
        <f>IFERROR(IF((Tableau1[[#This Row],[CA 2024]]-Tableau1[[#This Row],[CA 2019]])/Tableau1[[#This Row],[CA 2019]]=-1,"",(Tableau1[[#This Row],[CA 2024]]-Tableau1[[#This Row],[CA 2019]])/Tableau1[[#This Row],[CA 2019]]),"")</f>
        <v/>
      </c>
      <c r="AG257" s="9" t="str">
        <f>IFERROR(_xlfn.XLOOKUP(Tableau1[[#This Row],[Isin]]&amp;1&amp;2021,#REF!,Tableau3[EBE]),"")</f>
        <v/>
      </c>
      <c r="AH257" s="9" t="str">
        <f>IFERROR(_xlfn.XLOOKUP(Tableau1[[#This Row],[Isin]]&amp;1&amp;2022,#REF!,Tableau3[EBE]),"")</f>
        <v/>
      </c>
      <c r="AI257" s="43" t="s">
        <v>3431</v>
      </c>
      <c r="AJ257" s="43" t="s">
        <v>4322</v>
      </c>
      <c r="AK257" s="43" t="s">
        <v>3148</v>
      </c>
      <c r="AL257" s="43"/>
      <c r="AM257" s="43"/>
      <c r="AN257" s="9" t="str">
        <f>IFERROR(_xlfn.XLOOKUP(Tableau1[[#This Row],[Isin]]&amp;1&amp;2021,#REF!,Tableau3[Chiffre d''affaires]),"")</f>
        <v/>
      </c>
      <c r="AO257" s="43" cm="1">
        <f t="array" aca="1" ref="AO257" ca="1">_FV(Tableau1[[#This Row],[Code Excel]],"P/E",TRUE)</f>
        <v>13.5396</v>
      </c>
      <c r="AP257" s="43" t="str">
        <f>IFERROR(_xlfn.XLOOKUP(Tableau1[[#This Row],[Isin]]&amp;1&amp;2023,#REF!,Tableau3[Résultat Net (PdG)]),"")</f>
        <v/>
      </c>
      <c r="AQ257" s="43">
        <f>IF(IFERROR(_xlfn.XLOOKUP(Tableau1[[#This Row],[Isin]]&amp;1&amp;2022,#REF!,Tableau3[Résultat Net (PdG)]),"")="",Tableau1[[#This Row],[RN Groupe 2022
Manuel]],IFERROR(_xlfn.XLOOKUP(Tableau1[[#This Row],[Isin]]&amp;1&amp;2022,#REF!,Tableau3[Résultat Net (PdG)]),""))</f>
        <v>0</v>
      </c>
      <c r="AR257" s="43"/>
      <c r="AS257" s="43">
        <f>IF(IFERROR(_xlfn.XLOOKUP(Tableau1[[#This Row],[Isin]]&amp;1&amp;2021,#REF!,Tableau3[Résultat Net (PdG)]),"")="",Tableau1[[#This Row],[RN Groupe 2021
Manuel]],IFERROR(_xlfn.XLOOKUP(Tableau1[[#This Row],[Isin]]&amp;1&amp;2021,#REF!,Tableau3[Résultat Net (PdG)]),""))</f>
        <v>0</v>
      </c>
      <c r="AT257" s="43"/>
      <c r="AU257" s="43" t="str">
        <f>IFERROR(_xlfn.XLOOKUP(Tableau1[[#This Row],[Isin]]&amp;1&amp;2020,#REF!,Tableau3[Résultat Net (PdG)]),"")</f>
        <v/>
      </c>
      <c r="AV257" s="43" t="str">
        <f>IFERROR(_xlfn.XLOOKUP(Tableau1[[#This Row],[Isin]]&amp;1&amp;2019,#REF!,Tableau3[Résultat Net (PdG)]),"")</f>
        <v/>
      </c>
      <c r="AW257" s="43" t="str">
        <f>IFERROR(_xlfn.XLOOKUP(Tableau1[[#This Row],[Isin]]&amp;1&amp;2018,#REF!,Tableau3[Résultat Net (PdG)]),"")</f>
        <v/>
      </c>
      <c r="AX257" s="43" t="str">
        <f>IFERROR(_xlfn.XLOOKUP(Tableau1[[#This Row],[Isin]]&amp;1&amp;2017,#REF!,Tableau3[Résultat Net (PdG)]),"")</f>
        <v/>
      </c>
      <c r="AY257" s="43" t="str">
        <f>IFERROR(_xlfn.XLOOKUP(Tableau1[[#This Row],[Isin]]&amp;1&amp;2016,#REF!,Tableau3[Résultat Net (PdG)]),"")</f>
        <v/>
      </c>
      <c r="AZ257" s="137" t="str">
        <f ca="1">IFERROR(Tableau1[[#This Row],[Capitalisation boursière]]/Tableau1[[#This Row],[RN Groupe 2023]],"")</f>
        <v/>
      </c>
      <c r="BA257" s="4" t="str" cm="1">
        <f t="array" aca="1" ref="BA257" ca="1">IFERROR(_FV(Tableau1[[#This Row],[Code Excel]],"Industrie"),"")</f>
        <v>Beverages</v>
      </c>
      <c r="BB257" s="43" t="s">
        <v>3477</v>
      </c>
      <c r="BC257" s="43" t="str">
        <f>IFERROR(_xlfn.XLOOKUP(Tableau1[[#This Row],[Isin]]&amp;1&amp;2016,#REF!,Tableau3[Capi]),"")</f>
        <v/>
      </c>
      <c r="BD257" s="43" t="str">
        <f>IFERROR(_xlfn.XLOOKUP(Tableau1[[#This Row],[Isin]]&amp;1&amp;2017,#REF!,Tableau3[Capi]),"")</f>
        <v/>
      </c>
      <c r="BE257" s="43" t="str">
        <f>IFERROR(_xlfn.XLOOKUP(Tableau1[[#This Row],[Isin]]&amp;1&amp;2018,#REF!,Tableau3[Capi]),"")</f>
        <v/>
      </c>
      <c r="BF257" s="43" t="str">
        <f>IFERROR(_xlfn.XLOOKUP(Tableau1[[#This Row],[Isin]]&amp;1&amp;2019,#REF!,Tableau3[Capi]),"")</f>
        <v/>
      </c>
      <c r="BG257" s="43" t="str">
        <f>IFERROR(_xlfn.XLOOKUP(Tableau1[[#This Row],[Isin]]&amp;1&amp;2020,#REF!,Tableau3[Capi]),"")</f>
        <v/>
      </c>
      <c r="BH257" s="43">
        <f>IF(IFERROR(_xlfn.XLOOKUP(Tableau1[[#This Row],[Isin]]&amp;1&amp;2021,#REF!,Tableau3[Capi]),"")="",Tableau1[[#This Row],[Capitalisation 2021
Manuel]],IFERROR(_xlfn.XLOOKUP(Tableau1[[#This Row],[Isin]]&amp;1&amp;2021,#REF!,Tableau3[Capi]),""))</f>
        <v>0</v>
      </c>
      <c r="BI257" s="43"/>
      <c r="BJ257" s="43">
        <f>IF(IFERROR(_xlfn.XLOOKUP(Tableau1[[#This Row],[Isin]]&amp;1&amp;2022,#REF!,Tableau3[Capi]),"")="",Tableau1[[#This Row],[Capitalisation 2022
Manuel]],IFERROR(_xlfn.XLOOKUP(Tableau1[[#This Row],[Isin]]&amp;1&amp;2022,#REF!,Tableau3[Capi]),""))</f>
        <v>0</v>
      </c>
      <c r="BK257" s="43"/>
      <c r="BL257" s="43">
        <f ca="1">Tableau1[[#This Row],[Capitalisation boursière]]</f>
        <v>2355559000</v>
      </c>
      <c r="BM257" s="162" t="str" cm="1">
        <f t="array" aca="1" ref="BM257" ca="1">_FV(Tableau1[[#This Row],[Code Excel]],"Description")</f>
        <v>Remy Cointreau sa est une société française spécialisée dans la production et la distribution de vins et spiritueux. Les activités de la Société sont divisées en deux secteurs. Cognac, qui propose une gamme de produits sous la marque Remy Martin et liqueurs et spiritueux, distribuant des liqueurs sous les marques Cointreau, Izarra et Passoa, ainsi que des spiritueux sous des marques telles que Mount Gay (rhum), St Remy (brandy), Ponche Kuna (rhum) et Metaxa (brandy). La Société est le distributeur exclusif des marques Piper-Heidsieck et Charles Heidsieck, ainsi que Piper Sonoma (la marque de vin mousseux). Les filiales de la Société comprennent des sociétés de production, telles que E. Remy Martin &amp; Cie, et des sociétés de distribution, telles que Remy Cointreau USA Inc Elle opère par l'intermédiaire de Westland Distillery LLC.</v>
      </c>
      <c r="BN257" s="43"/>
      <c r="BO257" s="43"/>
      <c r="BP257" s="43"/>
      <c r="BQ257" s="43"/>
      <c r="BR257" s="13"/>
      <c r="BS257" s="13"/>
      <c r="BT257" s="13"/>
      <c r="BU257" s="13"/>
      <c r="BV257" s="13"/>
      <c r="BW257" s="13"/>
      <c r="BX257" s="13"/>
      <c r="BY257" s="21"/>
      <c r="BZ257" s="13"/>
      <c r="CA257" s="13"/>
      <c r="CB257" s="13"/>
      <c r="CC257" s="13"/>
      <c r="CD257" s="13"/>
      <c r="CF257" s="4"/>
      <c r="CG257" s="4"/>
    </row>
    <row r="258" spans="3:85">
      <c r="C258" s="43"/>
      <c r="D258" s="42">
        <f>IF(Tableau1[[#This Row],[Isin]]="",99,Tableau1[[#This Row],[Intérêt]]+Tableau1[[#This Row],[Valeur d''intérêt]]+Tableau1[[#This Row],[N° Portefeuille]])</f>
        <v>20</v>
      </c>
      <c r="E258" s="43"/>
      <c r="F258" s="42">
        <f>IF(Tableau1[[#This Row],[Portefeuille]]="p",0,Tableau1[[#This Row],[F. Investissement
Niveau d''intérêt]]*10)</f>
        <v>20</v>
      </c>
      <c r="G258" s="43">
        <f>IF(Tableau1[[#This Row],[Portefeuille]]="p",3,0)</f>
        <v>0</v>
      </c>
      <c r="H258" s="42">
        <v>2</v>
      </c>
      <c r="I258" s="43">
        <v>4</v>
      </c>
      <c r="J258" s="43"/>
      <c r="K258" s="43"/>
      <c r="L258" s="16">
        <v>1</v>
      </c>
      <c r="M25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8" s="44" t="s">
        <v>2272</v>
      </c>
      <c r="O258" s="44" t="s">
        <v>1224</v>
      </c>
      <c r="P258" s="4" t="s">
        <v>84</v>
      </c>
      <c r="Q258" s="6" t="s">
        <v>85</v>
      </c>
      <c r="R258" s="6"/>
      <c r="S258" s="6" t="s">
        <v>2274</v>
      </c>
      <c r="T258" s="6" t="e" vm="237">
        <v>#VALUE!</v>
      </c>
      <c r="U258" s="46" cm="1">
        <f t="array" aca="1" ref="U258" ca="1">IFERROR(_FV(Tableau1[[#This Row],[Code Excel]],"Capitalisation boursière",TRUE),"")</f>
        <v>14046810000</v>
      </c>
      <c r="V258" s="4" t="str" cm="1">
        <f t="array" aca="1" ref="V258" ca="1">IFERROR(_FV(Tableau1[[#This Row],[Code Excel]],"Industrie"),"")</f>
        <v>Automobiles &amp; Auto Parts</v>
      </c>
      <c r="W258" s="4" t="s">
        <v>1224</v>
      </c>
      <c r="X258" s="4" t="str">
        <f ca="1">Tableau1[[#This Row],[Grand Secteur]]&amp;Tableau1[[#This Row],[Industrie]]</f>
        <v>AutomobileAutomobiles &amp; Auto Parts</v>
      </c>
      <c r="Y258" s="23" cm="1">
        <f t="array" aca="1" ref="Y258" ca="1">IFERROR(_FV(Tableau1[[#This Row],[Code Excel]],"P/E",TRUE),"")</f>
        <v>16.6021</v>
      </c>
      <c r="Z258" s="43" cm="1">
        <f t="array" aca="1" ref="Z258" ca="1">IFERROR(_FV(Tableau1[[#This Row],[Code Excel]],"Employés"),"")</f>
        <v>98636</v>
      </c>
      <c r="AA258" s="46">
        <f ca="1">IFERROR(Tableau1[[#This Row],[Capitalisation boursière]]/Tableau1[[#This Row],[Employés]],"")</f>
        <v>142410.58031550347</v>
      </c>
      <c r="AB258" s="5" t="str">
        <f>IFERROR(Tableau1[[#This Row],[REX (2021)]]/Tableau1[[#This Row],[CA 2024]],"")</f>
        <v/>
      </c>
      <c r="AC258" s="9" t="str">
        <f>IFERROR(_xlfn.XLOOKUP(Tableau1[[#This Row],[Isin]]&amp;1&amp;2021,#REF!,Tableau3[Résultat d''exploitation]),"")</f>
        <v/>
      </c>
      <c r="AD258" s="9" t="str">
        <f>IFERROR(_xlfn.XLOOKUP(Tableau1[[#This Row],[Isin]]&amp;1&amp;2019,#REF!,Tableau3[Chiffre d''affaires]),"")</f>
        <v/>
      </c>
      <c r="AE258" s="9" t="str">
        <f>IFERROR(_xlfn.XLOOKUP(Tableau1[[#This Row],[Isin]]&amp;1&amp;2024,#REF!,Tableau3[Chiffre d''affaires]),"")</f>
        <v/>
      </c>
      <c r="AF258" s="8" t="str">
        <f>IFERROR(IF((Tableau1[[#This Row],[CA 2024]]-Tableau1[[#This Row],[CA 2019]])/Tableau1[[#This Row],[CA 2019]]=-1,"",(Tableau1[[#This Row],[CA 2024]]-Tableau1[[#This Row],[CA 2019]])/Tableau1[[#This Row],[CA 2019]]),"")</f>
        <v/>
      </c>
      <c r="AG258" s="9" t="str">
        <f>IFERROR(_xlfn.XLOOKUP(Tableau1[[#This Row],[Isin]]&amp;1&amp;2021,#REF!,Tableau3[EBE]),"")</f>
        <v/>
      </c>
      <c r="AH258" s="9" t="str">
        <f>IFERROR(_xlfn.XLOOKUP(Tableau1[[#This Row],[Isin]]&amp;1&amp;2022,#REF!,Tableau3[EBE]),"")</f>
        <v/>
      </c>
      <c r="AI258" s="43" t="s">
        <v>4329</v>
      </c>
      <c r="AJ258" s="43" t="s">
        <v>3150</v>
      </c>
      <c r="AK258" s="43" t="s">
        <v>3148</v>
      </c>
      <c r="AL258" s="43" t="s">
        <v>3149</v>
      </c>
      <c r="AM258" s="43"/>
      <c r="AN258" s="9" t="str">
        <f>IFERROR(_xlfn.XLOOKUP(Tableau1[[#This Row],[Isin]]&amp;1&amp;2021,#REF!,Tableau3[Chiffre d''affaires]),"")</f>
        <v/>
      </c>
      <c r="AO258" s="43" cm="1">
        <f t="array" aca="1" ref="AO258" ca="1">_FV(Tableau1[[#This Row],[Code Excel]],"P/E",TRUE)</f>
        <v>16.6021</v>
      </c>
      <c r="AP258" s="43" t="str">
        <f>IFERROR(_xlfn.XLOOKUP(Tableau1[[#This Row],[Isin]]&amp;1&amp;2023,#REF!,Tableau3[Résultat Net (PdG)]),"")</f>
        <v/>
      </c>
      <c r="AQ258" s="43">
        <f>IF(IFERROR(_xlfn.XLOOKUP(Tableau1[[#This Row],[Isin]]&amp;1&amp;2022,#REF!,Tableau3[Résultat Net (PdG)]),"")="",Tableau1[[#This Row],[RN Groupe 2022
Manuel]],IFERROR(_xlfn.XLOOKUP(Tableau1[[#This Row],[Isin]]&amp;1&amp;2022,#REF!,Tableau3[Résultat Net (PdG)]),""))</f>
        <v>-338000000</v>
      </c>
      <c r="AR258" s="140">
        <v>-338000000</v>
      </c>
      <c r="AS258" s="43">
        <f>IF(IFERROR(_xlfn.XLOOKUP(Tableau1[[#This Row],[Isin]]&amp;1&amp;2021,#REF!,Tableau3[Résultat Net (PdG)]),"")="",Tableau1[[#This Row],[RN Groupe 2021
Manuel]],IFERROR(_xlfn.XLOOKUP(Tableau1[[#This Row],[Isin]]&amp;1&amp;2021,#REF!,Tableau3[Résultat Net (PdG)]),""))</f>
        <v>888000000</v>
      </c>
      <c r="AT258" s="140">
        <v>888000000</v>
      </c>
      <c r="AU258" s="43" t="str">
        <f>IFERROR(_xlfn.XLOOKUP(Tableau1[[#This Row],[Isin]]&amp;1&amp;2020,#REF!,Tableau3[Résultat Net (PdG)]),"")</f>
        <v/>
      </c>
      <c r="AV258" s="43" t="str">
        <f>IFERROR(_xlfn.XLOOKUP(Tableau1[[#This Row],[Isin]]&amp;1&amp;2019,#REF!,Tableau3[Résultat Net (PdG)]),"")</f>
        <v/>
      </c>
      <c r="AW258" s="43" t="str">
        <f>IFERROR(_xlfn.XLOOKUP(Tableau1[[#This Row],[Isin]]&amp;1&amp;2018,#REF!,Tableau3[Résultat Net (PdG)]),"")</f>
        <v/>
      </c>
      <c r="AX258" s="43" t="str">
        <f>IFERROR(_xlfn.XLOOKUP(Tableau1[[#This Row],[Isin]]&amp;1&amp;2017,#REF!,Tableau3[Résultat Net (PdG)]),"")</f>
        <v/>
      </c>
      <c r="AY258" s="43" t="str">
        <f>IFERROR(_xlfn.XLOOKUP(Tableau1[[#This Row],[Isin]]&amp;1&amp;2016,#REF!,Tableau3[Résultat Net (PdG)]),"")</f>
        <v/>
      </c>
      <c r="AZ258" s="137" t="str">
        <f ca="1">IFERROR(Tableau1[[#This Row],[Capitalisation boursière]]/Tableau1[[#This Row],[RN Groupe 2023]],"")</f>
        <v/>
      </c>
      <c r="BA258" s="4" t="str" cm="1">
        <f t="array" aca="1" ref="BA258" ca="1">IFERROR(_FV(Tableau1[[#This Row],[Code Excel]],"Industrie"),"")</f>
        <v>Automobiles &amp; Auto Parts</v>
      </c>
      <c r="BB258" s="43" t="s">
        <v>3518</v>
      </c>
      <c r="BC258" s="43" t="str">
        <f>IFERROR(_xlfn.XLOOKUP(Tableau1[[#This Row],[Isin]]&amp;1&amp;2016,#REF!,Tableau3[Capi]),"")</f>
        <v/>
      </c>
      <c r="BD258" s="43" t="str">
        <f>IFERROR(_xlfn.XLOOKUP(Tableau1[[#This Row],[Isin]]&amp;1&amp;2017,#REF!,Tableau3[Capi]),"")</f>
        <v/>
      </c>
      <c r="BE258" s="43" t="str">
        <f>IFERROR(_xlfn.XLOOKUP(Tableau1[[#This Row],[Isin]]&amp;1&amp;2018,#REF!,Tableau3[Capi]),"")</f>
        <v/>
      </c>
      <c r="BF258" s="43" t="str">
        <f>IFERROR(_xlfn.XLOOKUP(Tableau1[[#This Row],[Isin]]&amp;1&amp;2019,#REF!,Tableau3[Capi]),"")</f>
        <v/>
      </c>
      <c r="BG258" s="43" t="str">
        <f>IFERROR(_xlfn.XLOOKUP(Tableau1[[#This Row],[Isin]]&amp;1&amp;2020,#REF!,Tableau3[Capi]),"")</f>
        <v/>
      </c>
      <c r="BH258" s="43">
        <f>IF(IFERROR(_xlfn.XLOOKUP(Tableau1[[#This Row],[Isin]]&amp;1&amp;2021,#REF!,Tableau3[Capi]),"")="",Tableau1[[#This Row],[Capitalisation 2021
Manuel]],IFERROR(_xlfn.XLOOKUP(Tableau1[[#This Row],[Isin]]&amp;1&amp;2021,#REF!,Tableau3[Capi]),""))</f>
        <v>9871712000</v>
      </c>
      <c r="BI258" s="142">
        <v>9871712000</v>
      </c>
      <c r="BJ258" s="141">
        <f>IF(IFERROR(_xlfn.XLOOKUP(Tableau1[[#This Row],[Isin]]&amp;1&amp;2022,#REF!,Tableau3[Capi]),"")="",Tableau1[[#This Row],[Capitalisation 2022
Manuel]],IFERROR(_xlfn.XLOOKUP(Tableau1[[#This Row],[Isin]]&amp;1&amp;2022,#REF!,Tableau3[Capi]),""))</f>
        <v>11783954000</v>
      </c>
      <c r="BK258" s="142">
        <v>11783954000</v>
      </c>
      <c r="BL258" s="43">
        <f ca="1">Tableau1[[#This Row],[Capitalisation boursière]]</f>
        <v>14046810000</v>
      </c>
      <c r="BM258" s="162" t="str" cm="1">
        <f t="array" aca="1" ref="BM258" ca="1">_FV(Tableau1[[#This Row],[Code Excel]],"Description")</f>
        <v>Renault sa est une entreprise française qui conçoit, fabrique et vend des voitures particulières et des véhicules utilitaires légers ainsi que des services connexes. Son portefeuille de marques est composé de Renault, Dacia (toutes deux actives au niveau mondial), Alpine (active en Europe, au Japon et en Australie), Renault Samsung Motors (active uniquement en Corée du Sud) et Lada (active uniquement en Russie). Les activités du Groupe ont été organisées en trois grands types d'activités opérationnelles : automobile, avec la conception, la fabrication et la distribution de produits à travers son réseau de vente (y compris sa filiale Renault Retail Group) : véhicules neufs, commercialisés sous quatre marques dont Renault, Dacia, Alpine et Mobilize ; financement des ventes opéré par RCI Banque S.A. et ses filiales sous le nom commercial Mobilize Financial services (financement des ventes, location, maintenance et contrats de service) et Mobility services sous la marque Mobilize Beyond Automotive (solutions flexibles de mobilité et d'énergie pour les utilisateurs de véhicules électriques).</v>
      </c>
      <c r="BN258" s="43"/>
      <c r="BO258" s="43"/>
      <c r="BP258" s="43"/>
      <c r="BQ258" s="43"/>
      <c r="BR258" s="13"/>
      <c r="BS258" s="13"/>
      <c r="BT258" s="13"/>
      <c r="BU258" s="13"/>
      <c r="BV258" s="13"/>
      <c r="BW258" s="13"/>
      <c r="BX258" s="13"/>
      <c r="BY258" s="21"/>
      <c r="BZ258" s="13"/>
      <c r="CA258" s="13"/>
      <c r="CB258" s="13"/>
      <c r="CC258" s="13"/>
      <c r="CD258" s="13"/>
      <c r="CF258" s="4"/>
      <c r="CG258" s="4"/>
    </row>
    <row r="259" spans="3:85">
      <c r="C259" s="42"/>
      <c r="D259" s="42">
        <f>IF(Tableau1[[#This Row],[Isin]]="",99,Tableau1[[#This Row],[Intérêt]]+Tableau1[[#This Row],[Valeur d''intérêt]]+Tableau1[[#This Row],[N° Portefeuille]])</f>
        <v>30</v>
      </c>
      <c r="E259" s="42"/>
      <c r="F259" s="42">
        <f>IF(Tableau1[[#This Row],[Portefeuille]]="p",0,Tableau1[[#This Row],[F. Investissement
Niveau d''intérêt]]*10)</f>
        <v>30</v>
      </c>
      <c r="G259" s="42">
        <f>IF(Tableau1[[#This Row],[Portefeuille]]="p",3,0)</f>
        <v>0</v>
      </c>
      <c r="H259" s="42">
        <v>3</v>
      </c>
      <c r="I259" s="42">
        <v>4</v>
      </c>
      <c r="J259" s="42"/>
      <c r="K259" s="43"/>
      <c r="L259" s="16">
        <v>0</v>
      </c>
      <c r="M25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59" s="44" t="s">
        <v>4067</v>
      </c>
      <c r="O259" s="45"/>
      <c r="P259" s="4" t="s">
        <v>84</v>
      </c>
      <c r="Q259" s="4"/>
      <c r="R259" s="6"/>
      <c r="S259" s="6" t="s">
        <v>4068</v>
      </c>
      <c r="T259" s="6" t="e" vm="238">
        <v>#VALUE!</v>
      </c>
      <c r="U259" s="46" cm="1">
        <f t="array" aca="1" ref="U259" ca="1">IFERROR(_FV(Tableau1[[#This Row],[Code Excel]],"Capitalisation boursière",TRUE),"")</f>
        <v>7643713000</v>
      </c>
      <c r="V259" s="4" t="str" cm="1">
        <f t="array" aca="1" ref="V259" ca="1">IFERROR(_FV(Tableau1[[#This Row],[Code Excel]],"Industrie"),"")</f>
        <v>Machinery, Equipment &amp; Components</v>
      </c>
      <c r="W259" s="4" t="s">
        <v>4321</v>
      </c>
      <c r="X259" s="4" t="str">
        <f ca="1">Tableau1[[#This Row],[Grand Secteur]]&amp;Tableau1[[#This Row],[Industrie]]</f>
        <v>EquipementiersMachinery, Equipment &amp; Components</v>
      </c>
      <c r="Y259" s="23" cm="1">
        <f t="array" aca="1" ref="Y259" ca="1">IFERROR(_FV(Tableau1[[#This Row],[Code Excel]],"P/E",TRUE),"")</f>
        <v>22.7136</v>
      </c>
      <c r="Z259" s="43" cm="1">
        <f t="array" aca="1" ref="Z259" ca="1">IFERROR(_FV(Tableau1[[#This Row],[Code Excel]],"Employés"),"")</f>
        <v>27196</v>
      </c>
      <c r="AA259" s="46">
        <f ca="1">IFERROR(Tableau1[[#This Row],[Capitalisation boursière]]/Tableau1[[#This Row],[Employés]],"")</f>
        <v>281060.19267539342</v>
      </c>
      <c r="AB259" s="5" t="str">
        <f>IFERROR(Tableau1[[#This Row],[REX (2021)]]/Tableau1[[#This Row],[CA 2024]],"")</f>
        <v/>
      </c>
      <c r="AC259" s="9" t="str">
        <f>IFERROR(_xlfn.XLOOKUP(Tableau1[[#This Row],[Isin]]&amp;1&amp;2021,#REF!,Tableau3[Résultat d''exploitation]),"")</f>
        <v/>
      </c>
      <c r="AD259" s="9" t="str">
        <f>IFERROR(_xlfn.XLOOKUP(Tableau1[[#This Row],[Isin]]&amp;1&amp;2019,#REF!,Tableau3[Chiffre d''affaires]),"")</f>
        <v/>
      </c>
      <c r="AE259" s="9" t="str">
        <f>IFERROR(_xlfn.XLOOKUP(Tableau1[[#This Row],[Isin]]&amp;1&amp;2024,#REF!,Tableau3[Chiffre d''affaires]),"")</f>
        <v/>
      </c>
      <c r="AF259" s="8" t="str">
        <f>IFERROR(IF((Tableau1[[#This Row],[CA 2024]]-Tableau1[[#This Row],[CA 2019]])/Tableau1[[#This Row],[CA 2019]]=-1,"",(Tableau1[[#This Row],[CA 2024]]-Tableau1[[#This Row],[CA 2019]])/Tableau1[[#This Row],[CA 2019]]),"")</f>
        <v/>
      </c>
      <c r="AG259" s="9" t="str">
        <f>IFERROR(_xlfn.XLOOKUP(Tableau1[[#This Row],[Isin]]&amp;1&amp;2021,#REF!,Tableau3[EBE]),"")</f>
        <v/>
      </c>
      <c r="AH259" s="9" t="str">
        <f>IFERROR(_xlfn.XLOOKUP(Tableau1[[#This Row],[Isin]]&amp;1&amp;2022,#REF!,Tableau3[EBE]),"")</f>
        <v/>
      </c>
      <c r="AI259" s="43" t="s">
        <v>3431</v>
      </c>
      <c r="AJ259" s="43" t="s">
        <v>4322</v>
      </c>
      <c r="AK259" s="43" t="s">
        <v>3431</v>
      </c>
      <c r="AL259" s="43"/>
      <c r="AM259" s="43"/>
      <c r="AN259" s="9" t="str">
        <f>IFERROR(_xlfn.XLOOKUP(Tableau1[[#This Row],[Isin]]&amp;1&amp;2021,#REF!,Tableau3[Chiffre d''affaires]),"")</f>
        <v/>
      </c>
      <c r="AO259" s="43" cm="1">
        <f t="array" aca="1" ref="AO259" ca="1">_FV(Tableau1[[#This Row],[Code Excel]],"P/E",TRUE)</f>
        <v>22.7136</v>
      </c>
      <c r="AP259" s="43" t="str">
        <f>IFERROR(_xlfn.XLOOKUP(Tableau1[[#This Row],[Isin]]&amp;1&amp;2023,#REF!,Tableau3[Résultat Net (PdG)]),"")</f>
        <v/>
      </c>
      <c r="AQ259" s="43">
        <f>IF(IFERROR(_xlfn.XLOOKUP(Tableau1[[#This Row],[Isin]]&amp;1&amp;2022,#REF!,Tableau3[Résultat Net (PdG)]),"")="",Tableau1[[#This Row],[RN Groupe 2022
Manuel]],IFERROR(_xlfn.XLOOKUP(Tableau1[[#This Row],[Isin]]&amp;1&amp;2022,#REF!,Tableau3[Résultat Net (PdG)]),""))</f>
        <v>0</v>
      </c>
      <c r="AR259" s="43"/>
      <c r="AS259" s="43">
        <f>IF(IFERROR(_xlfn.XLOOKUP(Tableau1[[#This Row],[Isin]]&amp;1&amp;2021,#REF!,Tableau3[Résultat Net (PdG)]),"")="",Tableau1[[#This Row],[RN Groupe 2021
Manuel]],IFERROR(_xlfn.XLOOKUP(Tableau1[[#This Row],[Isin]]&amp;1&amp;2021,#REF!,Tableau3[Résultat Net (PdG)]),""))</f>
        <v>0</v>
      </c>
      <c r="AT259" s="43"/>
      <c r="AU259" s="43" t="str">
        <f>IFERROR(_xlfn.XLOOKUP(Tableau1[[#This Row],[Isin]]&amp;1&amp;2020,#REF!,Tableau3[Résultat Net (PdG)]),"")</f>
        <v/>
      </c>
      <c r="AV259" s="43" t="str">
        <f>IFERROR(_xlfn.XLOOKUP(Tableau1[[#This Row],[Isin]]&amp;1&amp;2019,#REF!,Tableau3[Résultat Net (PdG)]),"")</f>
        <v/>
      </c>
      <c r="AW259" s="43" t="str">
        <f>IFERROR(_xlfn.XLOOKUP(Tableau1[[#This Row],[Isin]]&amp;1&amp;2018,#REF!,Tableau3[Résultat Net (PdG)]),"")</f>
        <v/>
      </c>
      <c r="AX259" s="43" t="str">
        <f>IFERROR(_xlfn.XLOOKUP(Tableau1[[#This Row],[Isin]]&amp;1&amp;2017,#REF!,Tableau3[Résultat Net (PdG)]),"")</f>
        <v/>
      </c>
      <c r="AY259" s="43" t="str">
        <f>IFERROR(_xlfn.XLOOKUP(Tableau1[[#This Row],[Isin]]&amp;1&amp;2016,#REF!,Tableau3[Résultat Net (PdG)]),"")</f>
        <v/>
      </c>
      <c r="AZ259" s="137" t="str">
        <f ca="1">IFERROR(Tableau1[[#This Row],[Capitalisation boursière]]/Tableau1[[#This Row],[RN Groupe 2023]],"")</f>
        <v/>
      </c>
      <c r="BA259" s="4" t="str" cm="1">
        <f t="array" aca="1" ref="BA259" ca="1">IFERROR(_FV(Tableau1[[#This Row],[Code Excel]],"Industrie"),"")</f>
        <v>Machinery, Equipment &amp; Components</v>
      </c>
      <c r="BB259" s="43" t="s">
        <v>3477</v>
      </c>
      <c r="BC259" s="43" t="str">
        <f>IFERROR(_xlfn.XLOOKUP(Tableau1[[#This Row],[Isin]]&amp;1&amp;2016,#REF!,Tableau3[Capi]),"")</f>
        <v/>
      </c>
      <c r="BD259" s="43" t="str">
        <f>IFERROR(_xlfn.XLOOKUP(Tableau1[[#This Row],[Isin]]&amp;1&amp;2017,#REF!,Tableau3[Capi]),"")</f>
        <v/>
      </c>
      <c r="BE259" s="43" t="str">
        <f>IFERROR(_xlfn.XLOOKUP(Tableau1[[#This Row],[Isin]]&amp;1&amp;2018,#REF!,Tableau3[Capi]),"")</f>
        <v/>
      </c>
      <c r="BF259" s="43" t="str">
        <f>IFERROR(_xlfn.XLOOKUP(Tableau1[[#This Row],[Isin]]&amp;1&amp;2019,#REF!,Tableau3[Capi]),"")</f>
        <v/>
      </c>
      <c r="BG259" s="43" t="str">
        <f>IFERROR(_xlfn.XLOOKUP(Tableau1[[#This Row],[Isin]]&amp;1&amp;2020,#REF!,Tableau3[Capi]),"")</f>
        <v/>
      </c>
      <c r="BH259" s="43">
        <f>IF(IFERROR(_xlfn.XLOOKUP(Tableau1[[#This Row],[Isin]]&amp;1&amp;2021,#REF!,Tableau3[Capi]),"")="",Tableau1[[#This Row],[Capitalisation 2021
Manuel]],IFERROR(_xlfn.XLOOKUP(Tableau1[[#This Row],[Isin]]&amp;1&amp;2021,#REF!,Tableau3[Capi]),""))</f>
        <v>0</v>
      </c>
      <c r="BI259" s="43"/>
      <c r="BJ259" s="43">
        <f>IF(IFERROR(_xlfn.XLOOKUP(Tableau1[[#This Row],[Isin]]&amp;1&amp;2022,#REF!,Tableau3[Capi]),"")="",Tableau1[[#This Row],[Capitalisation 2022
Manuel]],IFERROR(_xlfn.XLOOKUP(Tableau1[[#This Row],[Isin]]&amp;1&amp;2022,#REF!,Tableau3[Capi]),""))</f>
        <v>0</v>
      </c>
      <c r="BK259" s="43"/>
      <c r="BL259" s="43">
        <f ca="1">Tableau1[[#This Row],[Capitalisation boursière]]</f>
        <v>7643713000</v>
      </c>
      <c r="BM259" s="162" t="str" cm="1">
        <f t="array" aca="1" ref="BM259" ca="1">_FV(Tableau1[[#This Row],[Code Excel]],"Description")</f>
        <v>Rexel sa est une société française qui est engagée dans la distribution de pièces et fournitures électriques aux professionnels. Le Groupe propose des produits et solutions électriques aux professionnels pour les bâtiments et les infrastructures résidentielles, industrielles et tertiaires, via ses points de vente. La Société dessert principalement trois marchés : tertiaire, industriel et résidentiel. La gamme de produits de la Société comprend les équipements d'installation électrique, les systèmes de conversion et de stockage d'énergie, les conduits et câbles, l'éclairage, la sécurité et la communication, le contrôle climatique, outils à main et électriques, instruments de mesure, équipements de protection et produits blancs et bruns. Rexel sa opère par le biais de filiales, dont Rexel Developpement SAS, Rexel Central Europe Holding GmbH, Rexel Holdings USA Corp, Australian Regional Wholdings Pty Ltd, Lenn International, Cordia sa et Brohl &amp; Appell Inc, grossiste et distributeur d'appareils d'automatisation industrielle basé à Sandusky, entre autres.</v>
      </c>
      <c r="BN259" s="43"/>
      <c r="BO259" s="43"/>
      <c r="BP259" s="43"/>
      <c r="BQ259" s="43"/>
      <c r="BR259" s="13"/>
      <c r="BS259" s="13"/>
      <c r="BT259" s="13"/>
      <c r="BU259" s="13"/>
      <c r="BV259" s="13"/>
      <c r="BW259" s="13"/>
      <c r="BX259" s="13"/>
      <c r="BY259" s="21"/>
      <c r="BZ259" s="13"/>
      <c r="CA259" s="13"/>
      <c r="CB259" s="13"/>
      <c r="CC259" s="13"/>
      <c r="CD259" s="13"/>
      <c r="CF259" s="4"/>
      <c r="CG259" s="4"/>
    </row>
    <row r="260" spans="3:85">
      <c r="C260" s="43"/>
      <c r="D260" s="42">
        <f>IF(Tableau1[[#This Row],[Isin]]="",99,Tableau1[[#This Row],[Intérêt]]+Tableau1[[#This Row],[Valeur d''intérêt]]+Tableau1[[#This Row],[N° Portefeuille]])</f>
        <v>30</v>
      </c>
      <c r="E260" s="43"/>
      <c r="F260" s="42">
        <f>IF(Tableau1[[#This Row],[Portefeuille]]="p",0,Tableau1[[#This Row],[F. Investissement
Niveau d''intérêt]]*10)</f>
        <v>30</v>
      </c>
      <c r="G260" s="43">
        <f>IF(Tableau1[[#This Row],[Portefeuille]]="p",3,0)</f>
        <v>0</v>
      </c>
      <c r="H260" s="42">
        <v>3</v>
      </c>
      <c r="I260" s="43">
        <v>4</v>
      </c>
      <c r="J260" s="43"/>
      <c r="K260" s="43"/>
      <c r="L260" s="16">
        <v>0</v>
      </c>
      <c r="M26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0" s="44" t="s">
        <v>4070</v>
      </c>
      <c r="O260" s="45"/>
      <c r="P260" s="4" t="s">
        <v>99</v>
      </c>
      <c r="Q260" s="4"/>
      <c r="R260" s="6"/>
      <c r="S260" s="6" t="s">
        <v>4071</v>
      </c>
      <c r="T260" s="6" t="e" vm="239">
        <v>#VALUE!</v>
      </c>
      <c r="U260" s="46" cm="1">
        <f t="array" aca="1" ref="U260" ca="1">IFERROR(_FV(Tableau1[[#This Row],[Code Excel]],"Capitalisation boursière",TRUE),"")</f>
        <v>241866000000</v>
      </c>
      <c r="V260" s="4" t="str" cm="1">
        <f t="array" aca="1" ref="V260" ca="1">IFERROR(_FV(Tableau1[[#This Row],[Code Excel]],"Industrie"),"")</f>
        <v>Pharmaceuticals</v>
      </c>
      <c r="W260" s="4" t="s">
        <v>1586</v>
      </c>
      <c r="X260" s="4" t="str">
        <f ca="1">Tableau1[[#This Row],[Grand Secteur]]&amp;Tableau1[[#This Row],[Industrie]]</f>
        <v>SantéPharmaceuticals</v>
      </c>
      <c r="Y260" s="23" cm="1">
        <f t="array" aca="1" ref="Y260" ca="1">IFERROR(_FV(Tableau1[[#This Row],[Code Excel]],"P/E",TRUE),"")</f>
        <v>30.173400000000001</v>
      </c>
      <c r="Z260" s="43" cm="1">
        <f t="array" aca="1" ref="Z260" ca="1">IFERROR(_FV(Tableau1[[#This Row],[Code Excel]],"Employés"),"")</f>
        <v>103249</v>
      </c>
      <c r="AA260" s="49">
        <f ca="1">IFERROR(Tableau1[[#This Row],[Capitalisation boursière]]/Tableau1[[#This Row],[Employés]],"")</f>
        <v>2342550.5331770768</v>
      </c>
      <c r="AB260" s="5" t="str">
        <f>IFERROR(Tableau1[[#This Row],[REX (2021)]]/Tableau1[[#This Row],[CA 2024]],"")</f>
        <v/>
      </c>
      <c r="AC260" s="9" t="str">
        <f>IFERROR(_xlfn.XLOOKUP(Tableau1[[#This Row],[Isin]]&amp;1&amp;2021,#REF!,Tableau3[Résultat d''exploitation]),"")</f>
        <v/>
      </c>
      <c r="AD260" s="9" t="str">
        <f>IFERROR(_xlfn.XLOOKUP(Tableau1[[#This Row],[Isin]]&amp;1&amp;2019,#REF!,Tableau3[Chiffre d''affaires]),"")</f>
        <v/>
      </c>
      <c r="AE260" s="9" t="str">
        <f>IFERROR(_xlfn.XLOOKUP(Tableau1[[#This Row],[Isin]]&amp;1&amp;2024,#REF!,Tableau3[Chiffre d''affaires]),"")</f>
        <v/>
      </c>
      <c r="AF260" s="8" t="str">
        <f>IFERROR(IF((Tableau1[[#This Row],[CA 2024]]-Tableau1[[#This Row],[CA 2019]])/Tableau1[[#This Row],[CA 2019]]=-1,"",(Tableau1[[#This Row],[CA 2024]]-Tableau1[[#This Row],[CA 2019]])/Tableau1[[#This Row],[CA 2019]]),"")</f>
        <v/>
      </c>
      <c r="AG260" s="9" t="str">
        <f>IFERROR(_xlfn.XLOOKUP(Tableau1[[#This Row],[Isin]]&amp;1&amp;2021,#REF!,Tableau3[EBE]),"")</f>
        <v/>
      </c>
      <c r="AH260" s="9" t="str">
        <f>IFERROR(_xlfn.XLOOKUP(Tableau1[[#This Row],[Isin]]&amp;1&amp;2022,#REF!,Tableau3[EBE]),"")</f>
        <v/>
      </c>
      <c r="AI260" s="13" t="s">
        <v>4324</v>
      </c>
      <c r="AJ260" s="13" t="s">
        <v>4325</v>
      </c>
      <c r="AK260" s="13" t="s">
        <v>3148</v>
      </c>
      <c r="AL260" s="43"/>
      <c r="AM260" s="43"/>
      <c r="AN260" s="9" t="str">
        <f>IFERROR(_xlfn.XLOOKUP(Tableau1[[#This Row],[Isin]]&amp;1&amp;2021,#REF!,Tableau3[Chiffre d''affaires]),"")</f>
        <v/>
      </c>
      <c r="AO260" s="43" cm="1">
        <f t="array" aca="1" ref="AO260" ca="1">_FV(Tableau1[[#This Row],[Code Excel]],"P/E",TRUE)</f>
        <v>30.173400000000001</v>
      </c>
      <c r="AP260" s="43" t="str">
        <f>IFERROR(_xlfn.XLOOKUP(Tableau1[[#This Row],[Isin]]&amp;1&amp;2023,#REF!,Tableau3[Résultat Net (PdG)]),"")</f>
        <v/>
      </c>
      <c r="AQ260" s="43">
        <f>IF(IFERROR(_xlfn.XLOOKUP(Tableau1[[#This Row],[Isin]]&amp;1&amp;2022,#REF!,Tableau3[Résultat Net (PdG)]),"")="",Tableau1[[#This Row],[RN Groupe 2022
Manuel]],IFERROR(_xlfn.XLOOKUP(Tableau1[[#This Row],[Isin]]&amp;1&amp;2022,#REF!,Tableau3[Résultat Net (PdG)]),""))</f>
        <v>0</v>
      </c>
      <c r="AR260" s="43"/>
      <c r="AS260" s="43">
        <f>IF(IFERROR(_xlfn.XLOOKUP(Tableau1[[#This Row],[Isin]]&amp;1&amp;2021,#REF!,Tableau3[Résultat Net (PdG)]),"")="",Tableau1[[#This Row],[RN Groupe 2021
Manuel]],IFERROR(_xlfn.XLOOKUP(Tableau1[[#This Row],[Isin]]&amp;1&amp;2021,#REF!,Tableau3[Résultat Net (PdG)]),""))</f>
        <v>0</v>
      </c>
      <c r="AT260" s="43"/>
      <c r="AU260" s="43" t="str">
        <f>IFERROR(_xlfn.XLOOKUP(Tableau1[[#This Row],[Isin]]&amp;1&amp;2020,#REF!,Tableau3[Résultat Net (PdG)]),"")</f>
        <v/>
      </c>
      <c r="AV260" s="43" t="str">
        <f>IFERROR(_xlfn.XLOOKUP(Tableau1[[#This Row],[Isin]]&amp;1&amp;2019,#REF!,Tableau3[Résultat Net (PdG)]),"")</f>
        <v/>
      </c>
      <c r="AW260" s="43" t="str">
        <f>IFERROR(_xlfn.XLOOKUP(Tableau1[[#This Row],[Isin]]&amp;1&amp;2018,#REF!,Tableau3[Résultat Net (PdG)]),"")</f>
        <v/>
      </c>
      <c r="AX260" s="43" t="str">
        <f>IFERROR(_xlfn.XLOOKUP(Tableau1[[#This Row],[Isin]]&amp;1&amp;2017,#REF!,Tableau3[Résultat Net (PdG)]),"")</f>
        <v/>
      </c>
      <c r="AY260" s="43" t="str">
        <f>IFERROR(_xlfn.XLOOKUP(Tableau1[[#This Row],[Isin]]&amp;1&amp;2016,#REF!,Tableau3[Résultat Net (PdG)]),"")</f>
        <v/>
      </c>
      <c r="AZ260" s="137" t="str">
        <f ca="1">IFERROR(Tableau1[[#This Row],[Capitalisation boursière]]/Tableau1[[#This Row],[RN Groupe 2023]],"")</f>
        <v/>
      </c>
      <c r="BA260" s="4" t="str" cm="1">
        <f t="array" aca="1" ref="BA260" ca="1">IFERROR(_FV(Tableau1[[#This Row],[Code Excel]],"Industrie"),"")</f>
        <v>Pharmaceuticals</v>
      </c>
      <c r="BB260" s="43" t="s">
        <v>3469</v>
      </c>
      <c r="BC260" s="43" t="str">
        <f>IFERROR(_xlfn.XLOOKUP(Tableau1[[#This Row],[Isin]]&amp;1&amp;2016,#REF!,Tableau3[Capi]),"")</f>
        <v/>
      </c>
      <c r="BD260" s="43" t="str">
        <f>IFERROR(_xlfn.XLOOKUP(Tableau1[[#This Row],[Isin]]&amp;1&amp;2017,#REF!,Tableau3[Capi]),"")</f>
        <v/>
      </c>
      <c r="BE260" s="43" t="str">
        <f>IFERROR(_xlfn.XLOOKUP(Tableau1[[#This Row],[Isin]]&amp;1&amp;2018,#REF!,Tableau3[Capi]),"")</f>
        <v/>
      </c>
      <c r="BF260" s="43" t="str">
        <f>IFERROR(_xlfn.XLOOKUP(Tableau1[[#This Row],[Isin]]&amp;1&amp;2019,#REF!,Tableau3[Capi]),"")</f>
        <v/>
      </c>
      <c r="BG260" s="43" t="str">
        <f>IFERROR(_xlfn.XLOOKUP(Tableau1[[#This Row],[Isin]]&amp;1&amp;2020,#REF!,Tableau3[Capi]),"")</f>
        <v/>
      </c>
      <c r="BH260" s="43">
        <f>IF(IFERROR(_xlfn.XLOOKUP(Tableau1[[#This Row],[Isin]]&amp;1&amp;2021,#REF!,Tableau3[Capi]),"")="",Tableau1[[#This Row],[Capitalisation 2021
Manuel]],IFERROR(_xlfn.XLOOKUP(Tableau1[[#This Row],[Isin]]&amp;1&amp;2021,#REF!,Tableau3[Capi]),""))</f>
        <v>0</v>
      </c>
      <c r="BI260" s="43"/>
      <c r="BJ260" s="43">
        <f>IF(IFERROR(_xlfn.XLOOKUP(Tableau1[[#This Row],[Isin]]&amp;1&amp;2022,#REF!,Tableau3[Capi]),"")="",Tableau1[[#This Row],[Capitalisation 2022
Manuel]],IFERROR(_xlfn.XLOOKUP(Tableau1[[#This Row],[Isin]]&amp;1&amp;2022,#REF!,Tableau3[Capi]),""))</f>
        <v>0</v>
      </c>
      <c r="BK260" s="43"/>
      <c r="BL260" s="43">
        <f ca="1">Tableau1[[#This Row],[Capitalisation boursière]]</f>
        <v>241866000000</v>
      </c>
      <c r="BM260" s="162" t="str" cm="1">
        <f t="array" aca="1" ref="BM260" ca="1">_FV(Tableau1[[#This Row],[Code Excel]],"Description")</f>
        <v>Roche Holding Ltd. est une entreprise de soins de santé axée sur la recherche. La Société développe, fabrique et fournit des médicaments et des instruments de diagnostic et d'essais. Ses activités d'exploitation sont organisées en deux divisions : Produits pharmaceutiques et les Diagnostics. Sa division de produits pharmaceutiques se compose de deux les segments d'activité : Produits pharmaceutiques Roche et Chugai. Sa division Diagnostics se compose de quatre secteurs d'activités : Prise en charge du diabète, Diagnostic moléculaire, Diagnostic professionnel et Diagnostic des tissus. Il développe des médicaments pour les domaines de la maladie, y compris l'oncologie, immunologie, maladies infectieuses, ophtalmologie et neurosciences. Son portefeuille de produits se compose de produits pharmaceutiques, des solutions pour le diagnostic et produits pour les chercheurs. Ses produits pharmaceutiques incluent ACTEMRA et CellCept. Ses Solutions pour les produits de diagnostic comprennent le système Accu-Chek Active et le système Accu-Chek Aviva Nano. Produits de la société pour les chercheurs comprennent le système Cedex HiRes et Genome Sequencer FLX.</v>
      </c>
      <c r="BN260" s="43"/>
      <c r="BO260" s="43"/>
      <c r="BP260" s="43"/>
      <c r="BQ260" s="43"/>
      <c r="BR260" s="13"/>
      <c r="BS260" s="13"/>
      <c r="BT260" s="13"/>
      <c r="BU260" s="13"/>
      <c r="BV260" s="13"/>
      <c r="BW260" s="13"/>
      <c r="BX260" s="13"/>
      <c r="BY260" s="21"/>
      <c r="BZ260" s="13"/>
      <c r="CA260" s="13"/>
      <c r="CB260" s="13"/>
      <c r="CC260" s="13"/>
      <c r="CD260" s="13"/>
      <c r="CF260" s="4"/>
      <c r="CG260" s="4"/>
    </row>
    <row r="261" spans="3:85">
      <c r="C261" s="42"/>
      <c r="D261" s="42">
        <f>IF(Tableau1[[#This Row],[Isin]]="",99,Tableau1[[#This Row],[Intérêt]]+Tableau1[[#This Row],[Valeur d''intérêt]]+Tableau1[[#This Row],[N° Portefeuille]])</f>
        <v>30</v>
      </c>
      <c r="E261" s="42"/>
      <c r="F261" s="42">
        <f>IF(Tableau1[[#This Row],[Portefeuille]]="p",0,Tableau1[[#This Row],[F. Investissement
Niveau d''intérêt]]*10)</f>
        <v>30</v>
      </c>
      <c r="G261" s="42">
        <f>IF(Tableau1[[#This Row],[Portefeuille]]="p",3,0)</f>
        <v>0</v>
      </c>
      <c r="H261" s="42">
        <v>3</v>
      </c>
      <c r="I261" s="42">
        <v>4</v>
      </c>
      <c r="J261" s="42"/>
      <c r="K261" s="43"/>
      <c r="L261" s="16">
        <v>1</v>
      </c>
      <c r="M26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1" s="44" t="s">
        <v>4073</v>
      </c>
      <c r="O261" s="44" t="s">
        <v>4417</v>
      </c>
      <c r="P261" s="4" t="s">
        <v>84</v>
      </c>
      <c r="Q261" s="6" t="s">
        <v>85</v>
      </c>
      <c r="R261" s="6"/>
      <c r="S261" s="6" t="s">
        <v>2063</v>
      </c>
      <c r="T261" s="6" t="e" vm="240">
        <v>#VALUE!</v>
      </c>
      <c r="U261" s="46" cm="1">
        <f t="array" aca="1" ref="U261" ca="1">IFERROR(_FV(Tableau1[[#This Row],[Code Excel]],"Capitalisation boursière",TRUE),"")</f>
        <v>2972288000</v>
      </c>
      <c r="V261" s="4" t="str" cm="1">
        <f t="array" aca="1" ref="V261" ca="1">IFERROR(_FV(Tableau1[[#This Row],[Code Excel]],"Industrie"),"")</f>
        <v>Investment Banking &amp; Investment Services</v>
      </c>
      <c r="W261" s="4" t="s">
        <v>4335</v>
      </c>
      <c r="X261" s="4" t="str">
        <f ca="1">Tableau1[[#This Row],[Grand Secteur]]&amp;Tableau1[[#This Row],[Industrie]]</f>
        <v>FinanceInvestment Banking &amp; Investment Services</v>
      </c>
      <c r="Y261" s="23" cm="1">
        <f t="array" aca="1" ref="Y261" ca="1">IFERROR(_FV(Tableau1[[#This Row],[Code Excel]],"P/E",TRUE),"")</f>
        <v>5.7287999999999997</v>
      </c>
      <c r="Z261" s="43" cm="1">
        <f t="array" aca="1" ref="Z261" ca="1">IFERROR(_FV(Tableau1[[#This Row],[Code Excel]],"Employés"),"")</f>
        <v>4883</v>
      </c>
      <c r="AA261" s="49">
        <f ca="1">IFERROR(Tableau1[[#This Row],[Capitalisation boursière]]/Tableau1[[#This Row],[Employés]],"")</f>
        <v>608701.2082736023</v>
      </c>
      <c r="AB261" s="5" t="str">
        <f>IFERROR(Tableau1[[#This Row],[REX (2021)]]/Tableau1[[#This Row],[CA 2024]],"")</f>
        <v/>
      </c>
      <c r="AC261" s="9" t="str">
        <f>IFERROR(_xlfn.XLOOKUP(Tableau1[[#This Row],[Isin]]&amp;1&amp;2021,#REF!,Tableau3[Résultat d''exploitation]),"")</f>
        <v/>
      </c>
      <c r="AD261" s="9" t="str">
        <f>IFERROR(_xlfn.XLOOKUP(Tableau1[[#This Row],[Isin]]&amp;1&amp;2019,#REF!,Tableau3[Chiffre d''affaires]),"")</f>
        <v/>
      </c>
      <c r="AE261" s="9" t="str">
        <f>IFERROR(_xlfn.XLOOKUP(Tableau1[[#This Row],[Isin]]&amp;1&amp;2024,#REF!,Tableau3[Chiffre d''affaires]),"")</f>
        <v/>
      </c>
      <c r="AF261" s="8" t="str">
        <f>IFERROR(IF((Tableau1[[#This Row],[CA 2024]]-Tableau1[[#This Row],[CA 2019]])/Tableau1[[#This Row],[CA 2019]]=-1,"",(Tableau1[[#This Row],[CA 2024]]-Tableau1[[#This Row],[CA 2019]])/Tableau1[[#This Row],[CA 2019]]),"")</f>
        <v/>
      </c>
      <c r="AG261" s="9" t="str">
        <f>IFERROR(_xlfn.XLOOKUP(Tableau1[[#This Row],[Isin]]&amp;1&amp;2021,#REF!,Tableau3[EBE]),"")</f>
        <v/>
      </c>
      <c r="AH261" s="9" t="str">
        <f>IFERROR(_xlfn.XLOOKUP(Tableau1[[#This Row],[Isin]]&amp;1&amp;2022,#REF!,Tableau3[EBE]),"")</f>
        <v/>
      </c>
      <c r="AI261" s="43" t="s">
        <v>4343</v>
      </c>
      <c r="AJ261" s="43" t="s">
        <v>4356</v>
      </c>
      <c r="AK261" s="43" t="s">
        <v>3149</v>
      </c>
      <c r="AL261" s="43" t="s">
        <v>3149</v>
      </c>
      <c r="AM261" s="43"/>
      <c r="AN261" s="9" t="str">
        <f>IFERROR(_xlfn.XLOOKUP(Tableau1[[#This Row],[Isin]]&amp;1&amp;2021,#REF!,Tableau3[Chiffre d''affaires]),"")</f>
        <v/>
      </c>
      <c r="AO261" s="43" cm="1">
        <f t="array" aca="1" ref="AO261" ca="1">_FV(Tableau1[[#This Row],[Code Excel]],"P/E",TRUE)</f>
        <v>5.7287999999999997</v>
      </c>
      <c r="AP261" s="43" t="str">
        <f>IFERROR(_xlfn.XLOOKUP(Tableau1[[#This Row],[Isin]]&amp;1&amp;2023,#REF!,Tableau3[Résultat Net (PdG)]),"")</f>
        <v/>
      </c>
      <c r="AQ261" s="43">
        <f>IF(IFERROR(_xlfn.XLOOKUP(Tableau1[[#This Row],[Isin]]&amp;1&amp;2022,#REF!,Tableau3[Résultat Net (PdG)]),"")="",Tableau1[[#This Row],[RN Groupe 2022
Manuel]],IFERROR(_xlfn.XLOOKUP(Tableau1[[#This Row],[Isin]]&amp;1&amp;2022,#REF!,Tableau3[Résultat Net (PdG)]),""))</f>
        <v>0</v>
      </c>
      <c r="AR261" s="43"/>
      <c r="AS261" s="43">
        <f>IF(IFERROR(_xlfn.XLOOKUP(Tableau1[[#This Row],[Isin]]&amp;1&amp;2021,#REF!,Tableau3[Résultat Net (PdG)]),"")="",Tableau1[[#This Row],[RN Groupe 2021
Manuel]],IFERROR(_xlfn.XLOOKUP(Tableau1[[#This Row],[Isin]]&amp;1&amp;2021,#REF!,Tableau3[Résultat Net (PdG)]),""))</f>
        <v>0</v>
      </c>
      <c r="AT261" s="43"/>
      <c r="AU261" s="43" t="str">
        <f>IFERROR(_xlfn.XLOOKUP(Tableau1[[#This Row],[Isin]]&amp;1&amp;2020,#REF!,Tableau3[Résultat Net (PdG)]),"")</f>
        <v/>
      </c>
      <c r="AV261" s="43" t="str">
        <f>IFERROR(_xlfn.XLOOKUP(Tableau1[[#This Row],[Isin]]&amp;1&amp;2019,#REF!,Tableau3[Résultat Net (PdG)]),"")</f>
        <v/>
      </c>
      <c r="AW261" s="43" t="str">
        <f>IFERROR(_xlfn.XLOOKUP(Tableau1[[#This Row],[Isin]]&amp;1&amp;2018,#REF!,Tableau3[Résultat Net (PdG)]),"")</f>
        <v/>
      </c>
      <c r="AX261" s="43" t="str">
        <f>IFERROR(_xlfn.XLOOKUP(Tableau1[[#This Row],[Isin]]&amp;1&amp;2017,#REF!,Tableau3[Résultat Net (PdG)]),"")</f>
        <v/>
      </c>
      <c r="AY261" s="43" t="str">
        <f>IFERROR(_xlfn.XLOOKUP(Tableau1[[#This Row],[Isin]]&amp;1&amp;2016,#REF!,Tableau3[Résultat Net (PdG)]),"")</f>
        <v/>
      </c>
      <c r="AZ261" s="137" t="str">
        <f ca="1">IFERROR(Tableau1[[#This Row],[Capitalisation boursière]]/Tableau1[[#This Row],[RN Groupe 2023]],"")</f>
        <v/>
      </c>
      <c r="BA261" s="4" t="str" cm="1">
        <f t="array" aca="1" ref="BA261" ca="1">IFERROR(_FV(Tableau1[[#This Row],[Code Excel]],"Industrie"),"")</f>
        <v>Investment Banking &amp; Investment Services</v>
      </c>
      <c r="BB261" s="43" t="e">
        <v>#N/A</v>
      </c>
      <c r="BC261" s="43" t="str">
        <f>IFERROR(_xlfn.XLOOKUP(Tableau1[[#This Row],[Isin]]&amp;1&amp;2016,#REF!,Tableau3[Capi]),"")</f>
        <v/>
      </c>
      <c r="BD261" s="43" t="str">
        <f>IFERROR(_xlfn.XLOOKUP(Tableau1[[#This Row],[Isin]]&amp;1&amp;2017,#REF!,Tableau3[Capi]),"")</f>
        <v/>
      </c>
      <c r="BE261" s="43" t="str">
        <f>IFERROR(_xlfn.XLOOKUP(Tableau1[[#This Row],[Isin]]&amp;1&amp;2018,#REF!,Tableau3[Capi]),"")</f>
        <v/>
      </c>
      <c r="BF261" s="43" t="str">
        <f>IFERROR(_xlfn.XLOOKUP(Tableau1[[#This Row],[Isin]]&amp;1&amp;2019,#REF!,Tableau3[Capi]),"")</f>
        <v/>
      </c>
      <c r="BG261" s="43" t="str">
        <f>IFERROR(_xlfn.XLOOKUP(Tableau1[[#This Row],[Isin]]&amp;1&amp;2020,#REF!,Tableau3[Capi]),"")</f>
        <v/>
      </c>
      <c r="BH261" s="43">
        <f>IF(IFERROR(_xlfn.XLOOKUP(Tableau1[[#This Row],[Isin]]&amp;1&amp;2021,#REF!,Tableau3[Capi]),"")="",Tableau1[[#This Row],[Capitalisation 2021
Manuel]],IFERROR(_xlfn.XLOOKUP(Tableau1[[#This Row],[Isin]]&amp;1&amp;2021,#REF!,Tableau3[Capi]),""))</f>
        <v>0</v>
      </c>
      <c r="BI261" s="43"/>
      <c r="BJ261" s="43">
        <f>IF(IFERROR(_xlfn.XLOOKUP(Tableau1[[#This Row],[Isin]]&amp;1&amp;2022,#REF!,Tableau3[Capi]),"")="",Tableau1[[#This Row],[Capitalisation 2022
Manuel]],IFERROR(_xlfn.XLOOKUP(Tableau1[[#This Row],[Isin]]&amp;1&amp;2022,#REF!,Tableau3[Capi]),""))</f>
        <v>0</v>
      </c>
      <c r="BK261" s="43"/>
      <c r="BL261" s="43">
        <f ca="1">Tableau1[[#This Row],[Capitalisation boursière]]</f>
        <v>2972288000</v>
      </c>
      <c r="BM261" s="162" t="str" cm="1">
        <f t="array" aca="1" ref="BM261" ca="1">_FV(Tableau1[[#This Row],[Code Excel]],"Description")</f>
        <v xml:space="preserve">Rothschild &amp; Co SCA, formerly Paris Orleans SA is a France-based firm that focuses on two core businesses: banking and private equity activities. Banking activities includes investment banking and third-party asset management. These businesses are owned by the holding company Rothschilds Continuation Holdings AG and are supported by a network of offices spanning five continents. They are mainly carried out through two operating entities: Rothschild &amp; Cie Banque in France andNM Rothschild &amp; Sons in the United Kingdom. The private equity activities focus on stable investments in companies. The investments are diversified in terms of both business sector and type of investment (equity holdings, mezzanine debt, etc.). </v>
      </c>
      <c r="BN261" s="43"/>
      <c r="BO261" s="43"/>
      <c r="BP261" s="43"/>
      <c r="BQ261" s="43"/>
      <c r="BR261" s="13"/>
      <c r="BS261" s="13"/>
      <c r="BT261" s="13"/>
      <c r="BU261" s="13"/>
      <c r="BV261" s="13"/>
      <c r="BW261" s="13"/>
      <c r="BX261" s="13"/>
      <c r="BY261" s="21"/>
      <c r="BZ261" s="13"/>
      <c r="CA261" s="13"/>
      <c r="CB261" s="13"/>
      <c r="CC261" s="13"/>
      <c r="CD261" s="13"/>
      <c r="CF261" s="4"/>
      <c r="CG261" s="4"/>
    </row>
    <row r="262" spans="3:85">
      <c r="C262" s="43"/>
      <c r="D262" s="42">
        <f>IF(Tableau1[[#This Row],[Isin]]="",99,Tableau1[[#This Row],[Intérêt]]+Tableau1[[#This Row],[Valeur d''intérêt]]+Tableau1[[#This Row],[N° Portefeuille]])</f>
        <v>30</v>
      </c>
      <c r="E262" s="43"/>
      <c r="F262" s="42">
        <f>IF(Tableau1[[#This Row],[Portefeuille]]="p",0,Tableau1[[#This Row],[F. Investissement
Niveau d''intérêt]]*10)</f>
        <v>30</v>
      </c>
      <c r="G262" s="43">
        <f>IF(Tableau1[[#This Row],[Portefeuille]]="p",3,0)</f>
        <v>0</v>
      </c>
      <c r="H262" s="42">
        <v>3</v>
      </c>
      <c r="I262" s="43">
        <v>4</v>
      </c>
      <c r="J262" s="43"/>
      <c r="K262" s="43"/>
      <c r="L262" s="16">
        <v>0</v>
      </c>
      <c r="M26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2" s="44" t="s">
        <v>4075</v>
      </c>
      <c r="O262" s="45"/>
      <c r="P262" s="4" t="s">
        <v>427</v>
      </c>
      <c r="Q262" s="4"/>
      <c r="R262" s="6"/>
      <c r="S262" s="6" t="s">
        <v>4076</v>
      </c>
      <c r="T262" s="6" t="e" vm="241">
        <v>#VALUE!</v>
      </c>
      <c r="U262" s="46" cm="1">
        <f t="array" aca="1" ref="U262" ca="1">IFERROR(_FV(Tableau1[[#This Row],[Code Excel]],"Capitalisation boursière",TRUE),"")</f>
        <v>762728800</v>
      </c>
      <c r="V262" s="4" t="str" cm="1">
        <f t="array" aca="1" ref="V262" ca="1">IFERROR(_FV(Tableau1[[#This Row],[Code Excel]],"Industrie"),"")</f>
        <v>Food &amp; Tobacco</v>
      </c>
      <c r="W262" s="4" t="s">
        <v>1315</v>
      </c>
      <c r="X262" s="4" t="str">
        <f ca="1">Tableau1[[#This Row],[Grand Secteur]]&amp;Tableau1[[#This Row],[Industrie]]</f>
        <v>Biens de consommationFood &amp; Tobacco</v>
      </c>
      <c r="Y262" s="23" cm="1">
        <f t="array" aca="1" ref="Y262" ca="1">IFERROR(_FV(Tableau1[[#This Row],[Code Excel]],"P/E",TRUE),"")</f>
        <v>43.235700000000001</v>
      </c>
      <c r="Z262" s="43" cm="1">
        <f t="array" aca="1" ref="Z262" ca="1">IFERROR(_FV(Tableau1[[#This Row],[Code Excel]],"Employés"),"")</f>
        <v>20682</v>
      </c>
      <c r="AA262" s="46">
        <f ca="1">IFERROR(Tableau1[[#This Row],[Capitalisation boursière]]/Tableau1[[#This Row],[Employés]],"")</f>
        <v>36878.870515424038</v>
      </c>
      <c r="AB262" s="5" t="str">
        <f>IFERROR(Tableau1[[#This Row],[REX (2021)]]/Tableau1[[#This Row],[CA 2024]],"")</f>
        <v/>
      </c>
      <c r="AC262" s="9" t="str">
        <f>IFERROR(_xlfn.XLOOKUP(Tableau1[[#This Row],[Isin]]&amp;1&amp;2021,#REF!,Tableau3[Résultat d''exploitation]),"")</f>
        <v/>
      </c>
      <c r="AD262" s="9" t="str">
        <f>IFERROR(_xlfn.XLOOKUP(Tableau1[[#This Row],[Isin]]&amp;1&amp;2019,#REF!,Tableau3[Chiffre d''affaires]),"")</f>
        <v/>
      </c>
      <c r="AE262" s="9" t="str">
        <f>IFERROR(_xlfn.XLOOKUP(Tableau1[[#This Row],[Isin]]&amp;1&amp;2024,#REF!,Tableau3[Chiffre d''affaires]),"")</f>
        <v/>
      </c>
      <c r="AF262" s="8" t="str">
        <f>IFERROR(IF((Tableau1[[#This Row],[CA 2024]]-Tableau1[[#This Row],[CA 2019]])/Tableau1[[#This Row],[CA 2019]]=-1,"",(Tableau1[[#This Row],[CA 2024]]-Tableau1[[#This Row],[CA 2019]])/Tableau1[[#This Row],[CA 2019]]),"")</f>
        <v/>
      </c>
      <c r="AG262" s="9" t="str">
        <f>IFERROR(_xlfn.XLOOKUP(Tableau1[[#This Row],[Isin]]&amp;1&amp;2021,#REF!,Tableau3[EBE]),"")</f>
        <v/>
      </c>
      <c r="AH262" s="9" t="str">
        <f>IFERROR(_xlfn.XLOOKUP(Tableau1[[#This Row],[Isin]]&amp;1&amp;2022,#REF!,Tableau3[EBE]),"")</f>
        <v/>
      </c>
      <c r="AI262" s="43" t="s">
        <v>3431</v>
      </c>
      <c r="AJ262" s="43" t="s">
        <v>3150</v>
      </c>
      <c r="AK262" s="43" t="s">
        <v>3149</v>
      </c>
      <c r="AL262" s="43"/>
      <c r="AM262" s="43"/>
      <c r="AN262" s="9" t="str">
        <f>IFERROR(_xlfn.XLOOKUP(Tableau1[[#This Row],[Isin]]&amp;1&amp;2021,#REF!,Tableau3[Chiffre d''affaires]),"")</f>
        <v/>
      </c>
      <c r="AO262" s="43" cm="1">
        <f t="array" aca="1" ref="AO262" ca="1">_FV(Tableau1[[#This Row],[Code Excel]],"P/E",TRUE)</f>
        <v>43.235700000000001</v>
      </c>
      <c r="AP262" s="43" t="str">
        <f>IFERROR(_xlfn.XLOOKUP(Tableau1[[#This Row],[Isin]]&amp;1&amp;2023,#REF!,Tableau3[Résultat Net (PdG)]),"")</f>
        <v/>
      </c>
      <c r="AQ262" s="43">
        <f>IF(IFERROR(_xlfn.XLOOKUP(Tableau1[[#This Row],[Isin]]&amp;1&amp;2022,#REF!,Tableau3[Résultat Net (PdG)]),"")="",Tableau1[[#This Row],[RN Groupe 2022
Manuel]],IFERROR(_xlfn.XLOOKUP(Tableau1[[#This Row],[Isin]]&amp;1&amp;2022,#REF!,Tableau3[Résultat Net (PdG)]),""))</f>
        <v>0</v>
      </c>
      <c r="AR262" s="43"/>
      <c r="AS262" s="43">
        <f>IF(IFERROR(_xlfn.XLOOKUP(Tableau1[[#This Row],[Isin]]&amp;1&amp;2021,#REF!,Tableau3[Résultat Net (PdG)]),"")="",Tableau1[[#This Row],[RN Groupe 2021
Manuel]],IFERROR(_xlfn.XLOOKUP(Tableau1[[#This Row],[Isin]]&amp;1&amp;2021,#REF!,Tableau3[Résultat Net (PdG)]),""))</f>
        <v>0</v>
      </c>
      <c r="AT262" s="43"/>
      <c r="AU262" s="43" t="str">
        <f>IFERROR(_xlfn.XLOOKUP(Tableau1[[#This Row],[Isin]]&amp;1&amp;2020,#REF!,Tableau3[Résultat Net (PdG)]),"")</f>
        <v/>
      </c>
      <c r="AV262" s="43" t="str">
        <f>IFERROR(_xlfn.XLOOKUP(Tableau1[[#This Row],[Isin]]&amp;1&amp;2019,#REF!,Tableau3[Résultat Net (PdG)]),"")</f>
        <v/>
      </c>
      <c r="AW262" s="43" t="str">
        <f>IFERROR(_xlfn.XLOOKUP(Tableau1[[#This Row],[Isin]]&amp;1&amp;2018,#REF!,Tableau3[Résultat Net (PdG)]),"")</f>
        <v/>
      </c>
      <c r="AX262" s="43" t="str">
        <f>IFERROR(_xlfn.XLOOKUP(Tableau1[[#This Row],[Isin]]&amp;1&amp;2017,#REF!,Tableau3[Résultat Net (PdG)]),"")</f>
        <v/>
      </c>
      <c r="AY262" s="43" t="str">
        <f>IFERROR(_xlfn.XLOOKUP(Tableau1[[#This Row],[Isin]]&amp;1&amp;2016,#REF!,Tableau3[Résultat Net (PdG)]),"")</f>
        <v/>
      </c>
      <c r="AZ262" s="137" t="str">
        <f ca="1">IFERROR(Tableau1[[#This Row],[Capitalisation boursière]]/Tableau1[[#This Row],[RN Groupe 2023]],"")</f>
        <v/>
      </c>
      <c r="BA262" s="4" t="str" cm="1">
        <f t="array" aca="1" ref="BA262" ca="1">IFERROR(_FV(Tableau1[[#This Row],[Code Excel]],"Industrie"),"")</f>
        <v>Food &amp; Tobacco</v>
      </c>
      <c r="BB262" s="43" t="s">
        <v>3496</v>
      </c>
      <c r="BC262" s="43" t="str">
        <f>IFERROR(_xlfn.XLOOKUP(Tableau1[[#This Row],[Isin]]&amp;1&amp;2016,#REF!,Tableau3[Capi]),"")</f>
        <v/>
      </c>
      <c r="BD262" s="43" t="str">
        <f>IFERROR(_xlfn.XLOOKUP(Tableau1[[#This Row],[Isin]]&amp;1&amp;2017,#REF!,Tableau3[Capi]),"")</f>
        <v/>
      </c>
      <c r="BE262" s="43" t="str">
        <f>IFERROR(_xlfn.XLOOKUP(Tableau1[[#This Row],[Isin]]&amp;1&amp;2018,#REF!,Tableau3[Capi]),"")</f>
        <v/>
      </c>
      <c r="BF262" s="43" t="str">
        <f>IFERROR(_xlfn.XLOOKUP(Tableau1[[#This Row],[Isin]]&amp;1&amp;2019,#REF!,Tableau3[Capi]),"")</f>
        <v/>
      </c>
      <c r="BG262" s="43" t="str">
        <f>IFERROR(_xlfn.XLOOKUP(Tableau1[[#This Row],[Isin]]&amp;1&amp;2020,#REF!,Tableau3[Capi]),"")</f>
        <v/>
      </c>
      <c r="BH262" s="43">
        <f>IF(IFERROR(_xlfn.XLOOKUP(Tableau1[[#This Row],[Isin]]&amp;1&amp;2021,#REF!,Tableau3[Capi]),"")="",Tableau1[[#This Row],[Capitalisation 2021
Manuel]],IFERROR(_xlfn.XLOOKUP(Tableau1[[#This Row],[Isin]]&amp;1&amp;2021,#REF!,Tableau3[Capi]),""))</f>
        <v>0</v>
      </c>
      <c r="BI262" s="43"/>
      <c r="BJ262" s="43">
        <f>IF(IFERROR(_xlfn.XLOOKUP(Tableau1[[#This Row],[Isin]]&amp;1&amp;2022,#REF!,Tableau3[Capi]),"")="",Tableau1[[#This Row],[Capitalisation 2022
Manuel]],IFERROR(_xlfn.XLOOKUP(Tableau1[[#This Row],[Isin]]&amp;1&amp;2022,#REF!,Tableau3[Capi]),""))</f>
        <v>0</v>
      </c>
      <c r="BK262" s="43"/>
      <c r="BL262" s="43">
        <f ca="1">Tableau1[[#This Row],[Capitalisation boursière]]</f>
        <v>762728800</v>
      </c>
      <c r="BM262" s="162" t="str" cm="1">
        <f t="array" aca="1" ref="BM262" ca="1">_FV(Tableau1[[#This Row],[Code Excel]],"Description")</f>
        <v>Koninklijke DSM N.V. (Royal DSM) is a global science-based company, engaged in offering health, nutrition and materials. The Company's segments include Nutrition, Materials, Innovation Center and Corporate Activities. Its Nutrition segment focuses on human nutrition &amp; health, food &amp; beverages, personal care and aroma ingredients and animal nutrition &amp; health. Its Materials segment engages in specialty plastics, which are used in components for the electrical and electronics, automotive, flexible food-packaging, and consumer goods industries. Its Innovation Center segment focuses on innovation and the growth of DSM’s existing core business through adjacent technologies via its Corporate Research Program, as well as through the Company’s venturing and licensing activities. Its Corporate Activities segment comprises operating and service activities.</v>
      </c>
      <c r="BN262" s="43"/>
      <c r="BO262" s="43"/>
      <c r="BP262" s="43"/>
      <c r="BQ262" s="43"/>
      <c r="BR262" s="13"/>
      <c r="BS262" s="13"/>
      <c r="BT262" s="13"/>
      <c r="BU262" s="13"/>
      <c r="BV262" s="13"/>
      <c r="BW262" s="13"/>
      <c r="BX262" s="13"/>
      <c r="BY262" s="21"/>
      <c r="BZ262" s="13"/>
      <c r="CA262" s="13"/>
      <c r="CB262" s="13"/>
      <c r="CC262" s="13"/>
      <c r="CD262" s="13"/>
      <c r="CF262" s="4"/>
      <c r="CG262" s="4"/>
    </row>
    <row r="263" spans="3:85">
      <c r="C263" s="42"/>
      <c r="D263" s="42">
        <f>IF(Tableau1[[#This Row],[Isin]]="",99,Tableau1[[#This Row],[Intérêt]]+Tableau1[[#This Row],[Valeur d''intérêt]]+Tableau1[[#This Row],[N° Portefeuille]])</f>
        <v>30</v>
      </c>
      <c r="E263" s="42"/>
      <c r="F263" s="42">
        <f>IF(Tableau1[[#This Row],[Portefeuille]]="p",0,Tableau1[[#This Row],[F. Investissement
Niveau d''intérêt]]*10)</f>
        <v>30</v>
      </c>
      <c r="G263" s="42">
        <f>IF(Tableau1[[#This Row],[Portefeuille]]="p",3,0)</f>
        <v>0</v>
      </c>
      <c r="H263" s="42">
        <v>3</v>
      </c>
      <c r="I263" s="42">
        <v>4</v>
      </c>
      <c r="J263" s="42"/>
      <c r="K263" s="43"/>
      <c r="L263" s="16">
        <v>0</v>
      </c>
      <c r="M26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3" s="44" t="s">
        <v>4078</v>
      </c>
      <c r="O263" s="45"/>
      <c r="P263" s="4" t="s">
        <v>84</v>
      </c>
      <c r="Q263" s="4"/>
      <c r="R263" s="6"/>
      <c r="S263" s="6" t="s">
        <v>4079</v>
      </c>
      <c r="T263" s="6" t="e" vm="242">
        <v>#VALUE!</v>
      </c>
      <c r="U263" s="46" cm="1">
        <f t="array" aca="1" ref="U263" ca="1">IFERROR(_FV(Tableau1[[#This Row],[Code Excel]],"Capitalisation boursière",TRUE),"")</f>
        <v>2722528000</v>
      </c>
      <c r="V263" s="4" t="str" cm="1">
        <f t="array" aca="1" ref="V263" ca="1">IFERROR(_FV(Tableau1[[#This Row],[Code Excel]],"Industrie"),"")</f>
        <v>Oil &amp; Gas</v>
      </c>
      <c r="W263" s="4" t="s">
        <v>371</v>
      </c>
      <c r="X263" s="4" t="str">
        <f ca="1">Tableau1[[#This Row],[Grand Secteur]]&amp;Tableau1[[#This Row],[Industrie]]</f>
        <v>EnergieOil &amp; Gas</v>
      </c>
      <c r="Y263" s="23" cm="1">
        <f t="array" aca="1" ref="Y263" ca="1">IFERROR(_FV(Tableau1[[#This Row],[Code Excel]],"P/E",TRUE),"")</f>
        <v>7.5850999999999997</v>
      </c>
      <c r="Z263" s="43" cm="1">
        <f t="array" aca="1" ref="Z263" ca="1">IFERROR(_FV(Tableau1[[#This Row],[Code Excel]],"Employés"),"")</f>
        <v>4700</v>
      </c>
      <c r="AA263" s="46">
        <f ca="1">IFERROR(Tableau1[[#This Row],[Capitalisation boursière]]/Tableau1[[#This Row],[Employés]],"")</f>
        <v>579261.27659574465</v>
      </c>
      <c r="AB263" s="5" t="str">
        <f>IFERROR(Tableau1[[#This Row],[REX (2021)]]/Tableau1[[#This Row],[CA 2024]],"")</f>
        <v/>
      </c>
      <c r="AC263" s="9" t="str">
        <f>IFERROR(_xlfn.XLOOKUP(Tableau1[[#This Row],[Isin]]&amp;1&amp;2021,#REF!,Tableau3[Résultat d''exploitation]),"")</f>
        <v/>
      </c>
      <c r="AD263" s="9" t="str">
        <f>IFERROR(_xlfn.XLOOKUP(Tableau1[[#This Row],[Isin]]&amp;1&amp;2019,#REF!,Tableau3[Chiffre d''affaires]),"")</f>
        <v/>
      </c>
      <c r="AE263" s="9" t="str">
        <f>IFERROR(_xlfn.XLOOKUP(Tableau1[[#This Row],[Isin]]&amp;1&amp;2024,#REF!,Tableau3[Chiffre d''affaires]),"")</f>
        <v/>
      </c>
      <c r="AF263" s="8" t="str">
        <f>IFERROR(IF((Tableau1[[#This Row],[CA 2024]]-Tableau1[[#This Row],[CA 2019]])/Tableau1[[#This Row],[CA 2019]]=-1,"",(Tableau1[[#This Row],[CA 2024]]-Tableau1[[#This Row],[CA 2019]])/Tableau1[[#This Row],[CA 2019]]),"")</f>
        <v/>
      </c>
      <c r="AG263" s="9" t="str">
        <f>IFERROR(_xlfn.XLOOKUP(Tableau1[[#This Row],[Isin]]&amp;1&amp;2021,#REF!,Tableau3[EBE]),"")</f>
        <v/>
      </c>
      <c r="AH263" s="9" t="str">
        <f>IFERROR(_xlfn.XLOOKUP(Tableau1[[#This Row],[Isin]]&amp;1&amp;2022,#REF!,Tableau3[EBE]),"")</f>
        <v/>
      </c>
      <c r="AI263" s="43" t="s">
        <v>4343</v>
      </c>
      <c r="AJ263" s="43" t="s">
        <v>3150</v>
      </c>
      <c r="AK263" s="43" t="s">
        <v>3419</v>
      </c>
      <c r="AL263" s="43"/>
      <c r="AM263" s="43"/>
      <c r="AN263" s="9" t="str">
        <f>IFERROR(_xlfn.XLOOKUP(Tableau1[[#This Row],[Isin]]&amp;1&amp;2021,#REF!,Tableau3[Chiffre d''affaires]),"")</f>
        <v/>
      </c>
      <c r="AO263" s="43" cm="1">
        <f t="array" aca="1" ref="AO263" ca="1">_FV(Tableau1[[#This Row],[Code Excel]],"P/E",TRUE)</f>
        <v>7.5850999999999997</v>
      </c>
      <c r="AP263" s="43" t="str">
        <f>IFERROR(_xlfn.XLOOKUP(Tableau1[[#This Row],[Isin]]&amp;1&amp;2023,#REF!,Tableau3[Résultat Net (PdG)]),"")</f>
        <v/>
      </c>
      <c r="AQ263" s="43">
        <f>IF(IFERROR(_xlfn.XLOOKUP(Tableau1[[#This Row],[Isin]]&amp;1&amp;2022,#REF!,Tableau3[Résultat Net (PdG)]),"")="",Tableau1[[#This Row],[RN Groupe 2022
Manuel]],IFERROR(_xlfn.XLOOKUP(Tableau1[[#This Row],[Isin]]&amp;1&amp;2022,#REF!,Tableau3[Résultat Net (PdG)]),""))</f>
        <v>0</v>
      </c>
      <c r="AR263" s="43"/>
      <c r="AS263" s="43">
        <f>IF(IFERROR(_xlfn.XLOOKUP(Tableau1[[#This Row],[Isin]]&amp;1&amp;2021,#REF!,Tableau3[Résultat Net (PdG)]),"")="",Tableau1[[#This Row],[RN Groupe 2021
Manuel]],IFERROR(_xlfn.XLOOKUP(Tableau1[[#This Row],[Isin]]&amp;1&amp;2021,#REF!,Tableau3[Résultat Net (PdG)]),""))</f>
        <v>0</v>
      </c>
      <c r="AT263" s="43"/>
      <c r="AU263" s="43" t="str">
        <f>IFERROR(_xlfn.XLOOKUP(Tableau1[[#This Row],[Isin]]&amp;1&amp;2020,#REF!,Tableau3[Résultat Net (PdG)]),"")</f>
        <v/>
      </c>
      <c r="AV263" s="43" t="str">
        <f>IFERROR(_xlfn.XLOOKUP(Tableau1[[#This Row],[Isin]]&amp;1&amp;2019,#REF!,Tableau3[Résultat Net (PdG)]),"")</f>
        <v/>
      </c>
      <c r="AW263" s="43" t="str">
        <f>IFERROR(_xlfn.XLOOKUP(Tableau1[[#This Row],[Isin]]&amp;1&amp;2018,#REF!,Tableau3[Résultat Net (PdG)]),"")</f>
        <v/>
      </c>
      <c r="AX263" s="43" t="str">
        <f>IFERROR(_xlfn.XLOOKUP(Tableau1[[#This Row],[Isin]]&amp;1&amp;2017,#REF!,Tableau3[Résultat Net (PdG)]),"")</f>
        <v/>
      </c>
      <c r="AY263" s="43" t="str">
        <f>IFERROR(_xlfn.XLOOKUP(Tableau1[[#This Row],[Isin]]&amp;1&amp;2016,#REF!,Tableau3[Résultat Net (PdG)]),"")</f>
        <v/>
      </c>
      <c r="AZ263" s="137" t="str">
        <f ca="1">IFERROR(Tableau1[[#This Row],[Capitalisation boursière]]/Tableau1[[#This Row],[RN Groupe 2023]],"")</f>
        <v/>
      </c>
      <c r="BA263" s="4" t="s">
        <v>371</v>
      </c>
      <c r="BB263" s="43" t="s">
        <v>3477</v>
      </c>
      <c r="BC263" s="43" t="str">
        <f>IFERROR(_xlfn.XLOOKUP(Tableau1[[#This Row],[Isin]]&amp;1&amp;2016,#REF!,Tableau3[Capi]),"")</f>
        <v/>
      </c>
      <c r="BD263" s="43" t="str">
        <f>IFERROR(_xlfn.XLOOKUP(Tableau1[[#This Row],[Isin]]&amp;1&amp;2017,#REF!,Tableau3[Capi]),"")</f>
        <v/>
      </c>
      <c r="BE263" s="43" t="str">
        <f>IFERROR(_xlfn.XLOOKUP(Tableau1[[#This Row],[Isin]]&amp;1&amp;2018,#REF!,Tableau3[Capi]),"")</f>
        <v/>
      </c>
      <c r="BF263" s="43" t="str">
        <f>IFERROR(_xlfn.XLOOKUP(Tableau1[[#This Row],[Isin]]&amp;1&amp;2019,#REF!,Tableau3[Capi]),"")</f>
        <v/>
      </c>
      <c r="BG263" s="43" t="str">
        <f>IFERROR(_xlfn.XLOOKUP(Tableau1[[#This Row],[Isin]]&amp;1&amp;2020,#REF!,Tableau3[Capi]),"")</f>
        <v/>
      </c>
      <c r="BH263" s="43">
        <f>IF(IFERROR(_xlfn.XLOOKUP(Tableau1[[#This Row],[Isin]]&amp;1&amp;2021,#REF!,Tableau3[Capi]),"")="",Tableau1[[#This Row],[Capitalisation 2021
Manuel]],IFERROR(_xlfn.XLOOKUP(Tableau1[[#This Row],[Isin]]&amp;1&amp;2021,#REF!,Tableau3[Capi]),""))</f>
        <v>0</v>
      </c>
      <c r="BI263" s="43"/>
      <c r="BJ263" s="43">
        <f>IF(IFERROR(_xlfn.XLOOKUP(Tableau1[[#This Row],[Isin]]&amp;1&amp;2022,#REF!,Tableau3[Capi]),"")="",Tableau1[[#This Row],[Capitalisation 2022
Manuel]],IFERROR(_xlfn.XLOOKUP(Tableau1[[#This Row],[Isin]]&amp;1&amp;2022,#REF!,Tableau3[Capi]),""))</f>
        <v>0</v>
      </c>
      <c r="BK263" s="43"/>
      <c r="BL263" s="43">
        <f ca="1">Tableau1[[#This Row],[Capitalisation boursière]]</f>
        <v>2722528000</v>
      </c>
      <c r="BM263" s="162" t="str" cm="1">
        <f t="array" aca="1" ref="BM263" ca="1">_FV(Tableau1[[#This Row],[Code Excel]],"Description")</f>
        <v>Rubis SCA est une société de droit français. La Société opère dans le secteur de l'énergie pour offrir un accès durable à l'énergie. Elle s'est diversifiée dans la production d'électricité renouvelable pour s'adapter aux évolutions de la demande et aux enjeux climatiques. La Société est structurée autour de pôles opérationnels, tels que la Distribution d'énergie (Rubis Energie) spécialisée dans les produits commercialisés : gaz liquéfiés, carburants et biocarburants dans les stations-service, l'hôtellerie, l'aéronautique, la marine, les travaux publics, etc. La Production d'électricité renouvelable (Rubis Renouvelables) regroupe les activités de Photosol qui se consacre au développement, au financement, à l'exploitation et à la maintenance d'installations photovoltaïques au sol ainsi que d'ombrières.</v>
      </c>
      <c r="BN263" s="43"/>
      <c r="BO263" s="43"/>
      <c r="BP263" s="43"/>
      <c r="BQ263" s="43"/>
      <c r="BR263" s="13"/>
      <c r="BS263" s="13"/>
      <c r="BT263" s="13"/>
      <c r="BU263" s="13"/>
      <c r="BV263" s="13"/>
      <c r="BW263" s="13"/>
      <c r="BX263" s="13"/>
      <c r="BY263" s="21"/>
      <c r="BZ263" s="13"/>
      <c r="CA263" s="13"/>
      <c r="CB263" s="13"/>
      <c r="CC263" s="13"/>
      <c r="CD263" s="13"/>
      <c r="CF263" s="4"/>
      <c r="CG263" s="4"/>
    </row>
    <row r="264" spans="3:85">
      <c r="C264" s="43"/>
      <c r="D264" s="42">
        <f>IF(Tableau1[[#This Row],[Isin]]="",99,Tableau1[[#This Row],[Intérêt]]+Tableau1[[#This Row],[Valeur d''intérêt]]+Tableau1[[#This Row],[N° Portefeuille]])</f>
        <v>30</v>
      </c>
      <c r="E264" s="43"/>
      <c r="F264" s="42">
        <f>IF(Tableau1[[#This Row],[Portefeuille]]="p",0,Tableau1[[#This Row],[F. Investissement
Niveau d''intérêt]]*10)</f>
        <v>30</v>
      </c>
      <c r="G264" s="43">
        <f>IF(Tableau1[[#This Row],[Portefeuille]]="p",3,0)</f>
        <v>0</v>
      </c>
      <c r="H264" s="42">
        <v>3</v>
      </c>
      <c r="I264" s="43">
        <v>4</v>
      </c>
      <c r="J264" s="43"/>
      <c r="K264" s="43"/>
      <c r="L264" s="16">
        <v>0</v>
      </c>
      <c r="M26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4" s="44" t="s">
        <v>4081</v>
      </c>
      <c r="O264" s="45"/>
      <c r="P264" s="4" t="s">
        <v>564</v>
      </c>
      <c r="Q264" s="4"/>
      <c r="R264" s="6"/>
      <c r="S264" s="6" t="s">
        <v>4082</v>
      </c>
      <c r="T264" s="6" t="e" vm="243">
        <v>#VALUE!</v>
      </c>
      <c r="U264" s="46" cm="1">
        <f t="array" aca="1" ref="U264" ca="1">IFERROR(_FV(Tableau1[[#This Row],[Code Excel]],"Capitalisation boursière",TRUE),"")</f>
        <v>24636020000</v>
      </c>
      <c r="V264" s="4" t="str" cm="1">
        <f t="array" aca="1" ref="V264" ca="1">IFERROR(_FV(Tableau1[[#This Row],[Code Excel]],"Industrie"),"")</f>
        <v>Multiline Utilities</v>
      </c>
      <c r="W264" s="4" t="s">
        <v>371</v>
      </c>
      <c r="X264" s="4" t="str">
        <f ca="1">Tableau1[[#This Row],[Grand Secteur]]&amp;Tableau1[[#This Row],[Industrie]]</f>
        <v>EnergieMultiline Utilities</v>
      </c>
      <c r="Y264" s="23" cm="1">
        <f t="array" aca="1" ref="Y264" ca="1">IFERROR(_FV(Tableau1[[#This Row],[Code Excel]],"P/E",TRUE),"")</f>
        <v>4.79</v>
      </c>
      <c r="Z264" s="43" cm="1">
        <f t="array" aca="1" ref="Z264" ca="1">IFERROR(_FV(Tableau1[[#This Row],[Code Excel]],"Employés"),"")</f>
        <v>20985</v>
      </c>
      <c r="AA264" s="46">
        <f ca="1">IFERROR(Tableau1[[#This Row],[Capitalisation boursière]]/Tableau1[[#This Row],[Employés]],"")</f>
        <v>1173982.3683583513</v>
      </c>
      <c r="AB264" s="5" t="str">
        <f>IFERROR(Tableau1[[#This Row],[REX (2021)]]/Tableau1[[#This Row],[CA 2024]],"")</f>
        <v/>
      </c>
      <c r="AC264" s="9" t="str">
        <f>IFERROR(_xlfn.XLOOKUP(Tableau1[[#This Row],[Isin]]&amp;1&amp;2021,#REF!,Tableau3[Résultat d''exploitation]),"")</f>
        <v/>
      </c>
      <c r="AD264" s="9" t="str">
        <f>IFERROR(_xlfn.XLOOKUP(Tableau1[[#This Row],[Isin]]&amp;1&amp;2019,#REF!,Tableau3[Chiffre d''affaires]),"")</f>
        <v/>
      </c>
      <c r="AE264" s="9" t="str">
        <f>IFERROR(_xlfn.XLOOKUP(Tableau1[[#This Row],[Isin]]&amp;1&amp;2024,#REF!,Tableau3[Chiffre d''affaires]),"")</f>
        <v/>
      </c>
      <c r="AF264" s="8" t="str">
        <f>IFERROR(IF((Tableau1[[#This Row],[CA 2024]]-Tableau1[[#This Row],[CA 2019]])/Tableau1[[#This Row],[CA 2019]]=-1,"",(Tableau1[[#This Row],[CA 2024]]-Tableau1[[#This Row],[CA 2019]])/Tableau1[[#This Row],[CA 2019]]),"")</f>
        <v/>
      </c>
      <c r="AG264" s="9" t="str">
        <f>IFERROR(_xlfn.XLOOKUP(Tableau1[[#This Row],[Isin]]&amp;1&amp;2021,#REF!,Tableau3[EBE]),"")</f>
        <v/>
      </c>
      <c r="AH264" s="9" t="str">
        <f>IFERROR(_xlfn.XLOOKUP(Tableau1[[#This Row],[Isin]]&amp;1&amp;2022,#REF!,Tableau3[EBE]),"")</f>
        <v/>
      </c>
      <c r="AI264" s="43" t="s">
        <v>4343</v>
      </c>
      <c r="AJ264" s="43" t="s">
        <v>3150</v>
      </c>
      <c r="AK264" s="43" t="s">
        <v>3419</v>
      </c>
      <c r="AL264" s="43"/>
      <c r="AM264" s="43"/>
      <c r="AN264" s="9" t="str">
        <f>IFERROR(_xlfn.XLOOKUP(Tableau1[[#This Row],[Isin]]&amp;1&amp;2021,#REF!,Tableau3[Chiffre d''affaires]),"")</f>
        <v/>
      </c>
      <c r="AO264" s="43" cm="1">
        <f t="array" aca="1" ref="AO264" ca="1">_FV(Tableau1[[#This Row],[Code Excel]],"P/E",TRUE)</f>
        <v>4.79</v>
      </c>
      <c r="AP264" s="43" t="str">
        <f>IFERROR(_xlfn.XLOOKUP(Tableau1[[#This Row],[Isin]]&amp;1&amp;2023,#REF!,Tableau3[Résultat Net (PdG)]),"")</f>
        <v/>
      </c>
      <c r="AQ264" s="43">
        <f>IF(IFERROR(_xlfn.XLOOKUP(Tableau1[[#This Row],[Isin]]&amp;1&amp;2022,#REF!,Tableau3[Résultat Net (PdG)]),"")="",Tableau1[[#This Row],[RN Groupe 2022
Manuel]],IFERROR(_xlfn.XLOOKUP(Tableau1[[#This Row],[Isin]]&amp;1&amp;2022,#REF!,Tableau3[Résultat Net (PdG)]),""))</f>
        <v>0</v>
      </c>
      <c r="AR264" s="43"/>
      <c r="AS264" s="43">
        <f>IF(IFERROR(_xlfn.XLOOKUP(Tableau1[[#This Row],[Isin]]&amp;1&amp;2021,#REF!,Tableau3[Résultat Net (PdG)]),"")="",Tableau1[[#This Row],[RN Groupe 2021
Manuel]],IFERROR(_xlfn.XLOOKUP(Tableau1[[#This Row],[Isin]]&amp;1&amp;2021,#REF!,Tableau3[Résultat Net (PdG)]),""))</f>
        <v>0</v>
      </c>
      <c r="AT264" s="43"/>
      <c r="AU264" s="43" t="str">
        <f>IFERROR(_xlfn.XLOOKUP(Tableau1[[#This Row],[Isin]]&amp;1&amp;2020,#REF!,Tableau3[Résultat Net (PdG)]),"")</f>
        <v/>
      </c>
      <c r="AV264" s="43" t="str">
        <f>IFERROR(_xlfn.XLOOKUP(Tableau1[[#This Row],[Isin]]&amp;1&amp;2019,#REF!,Tableau3[Résultat Net (PdG)]),"")</f>
        <v/>
      </c>
      <c r="AW264" s="43" t="str">
        <f>IFERROR(_xlfn.XLOOKUP(Tableau1[[#This Row],[Isin]]&amp;1&amp;2018,#REF!,Tableau3[Résultat Net (PdG)]),"")</f>
        <v/>
      </c>
      <c r="AX264" s="43" t="str">
        <f>IFERROR(_xlfn.XLOOKUP(Tableau1[[#This Row],[Isin]]&amp;1&amp;2017,#REF!,Tableau3[Résultat Net (PdG)]),"")</f>
        <v/>
      </c>
      <c r="AY264" s="43" t="str">
        <f>IFERROR(_xlfn.XLOOKUP(Tableau1[[#This Row],[Isin]]&amp;1&amp;2016,#REF!,Tableau3[Résultat Net (PdG)]),"")</f>
        <v/>
      </c>
      <c r="AZ264" s="137" t="str">
        <f ca="1">IFERROR(Tableau1[[#This Row],[Capitalisation boursière]]/Tableau1[[#This Row],[RN Groupe 2023]],"")</f>
        <v/>
      </c>
      <c r="BA264" s="4" t="s">
        <v>371</v>
      </c>
      <c r="BB264" s="43" t="s">
        <v>3487</v>
      </c>
      <c r="BC264" s="43" t="str">
        <f>IFERROR(_xlfn.XLOOKUP(Tableau1[[#This Row],[Isin]]&amp;1&amp;2016,#REF!,Tableau3[Capi]),"")</f>
        <v/>
      </c>
      <c r="BD264" s="43" t="str">
        <f>IFERROR(_xlfn.XLOOKUP(Tableau1[[#This Row],[Isin]]&amp;1&amp;2017,#REF!,Tableau3[Capi]),"")</f>
        <v/>
      </c>
      <c r="BE264" s="43" t="str">
        <f>IFERROR(_xlfn.XLOOKUP(Tableau1[[#This Row],[Isin]]&amp;1&amp;2018,#REF!,Tableau3[Capi]),"")</f>
        <v/>
      </c>
      <c r="BF264" s="43" t="str">
        <f>IFERROR(_xlfn.XLOOKUP(Tableau1[[#This Row],[Isin]]&amp;1&amp;2019,#REF!,Tableau3[Capi]),"")</f>
        <v/>
      </c>
      <c r="BG264" s="43" t="str">
        <f>IFERROR(_xlfn.XLOOKUP(Tableau1[[#This Row],[Isin]]&amp;1&amp;2020,#REF!,Tableau3[Capi]),"")</f>
        <v/>
      </c>
      <c r="BH264" s="43">
        <f>IF(IFERROR(_xlfn.XLOOKUP(Tableau1[[#This Row],[Isin]]&amp;1&amp;2021,#REF!,Tableau3[Capi]),"")="",Tableau1[[#This Row],[Capitalisation 2021
Manuel]],IFERROR(_xlfn.XLOOKUP(Tableau1[[#This Row],[Isin]]&amp;1&amp;2021,#REF!,Tableau3[Capi]),""))</f>
        <v>0</v>
      </c>
      <c r="BI264" s="43"/>
      <c r="BJ264" s="43">
        <f>IF(IFERROR(_xlfn.XLOOKUP(Tableau1[[#This Row],[Isin]]&amp;1&amp;2022,#REF!,Tableau3[Capi]),"")="",Tableau1[[#This Row],[Capitalisation 2022
Manuel]],IFERROR(_xlfn.XLOOKUP(Tableau1[[#This Row],[Isin]]&amp;1&amp;2022,#REF!,Tableau3[Capi]),""))</f>
        <v>0</v>
      </c>
      <c r="BK264" s="43"/>
      <c r="BL264" s="43">
        <f ca="1">Tableau1[[#This Row],[Capitalisation boursière]]</f>
        <v>24636020000</v>
      </c>
      <c r="BM264" s="162" t="str" cm="1">
        <f t="array" aca="1" ref="BM264" ca="1">_FV(Tableau1[[#This Row],[Code Excel]],"Description")</f>
        <v>RWE AG (RWE) est une entreprise énergétique basée en Allemagne qui se concentre sur la production d'électricité. La Société est engagée dans la production d'électricité, les systèmes de stockage des bâtiments et le commerce de l'énergie. Ses activités sont réparties en cinq segments : éolien offshore, où est présentée l'activité liée à l'éolien offshore ; éolien onshore/solaire, dans lequel elle regroupe ses activités éoliennes et solaires onshore ainsi qu'une partie de ses activités de stockage par batteries; Hydro/biomasse/gaz, où ses centrales au fil de l'eau, à stockage par pompage, à biomasse et au gaz sont regroupées ; Supply &amp; Trading, où le commerce de l'électricité et d'autres produits énergétiques est au cœur de l'opération ; et Coal/nucléaire, qui consiste en l'extraction et le traitement du lignite ainsi que la production d'électricité à partir de cette source d'énergie.</v>
      </c>
      <c r="BN264" s="43"/>
      <c r="BO264" s="43"/>
      <c r="BP264" s="43"/>
      <c r="BQ264" s="43"/>
      <c r="BR264" s="13"/>
      <c r="BS264" s="13"/>
      <c r="BT264" s="13"/>
      <c r="BU264" s="13"/>
      <c r="BV264" s="13"/>
      <c r="BW264" s="13"/>
      <c r="BX264" s="13"/>
      <c r="BY264" s="21"/>
      <c r="BZ264" s="13"/>
      <c r="CA264" s="13"/>
      <c r="CB264" s="13"/>
      <c r="CC264" s="13"/>
      <c r="CD264" s="13"/>
      <c r="CF264" s="4"/>
      <c r="CG264" s="4"/>
    </row>
    <row r="265" spans="3:85">
      <c r="C265" s="42"/>
      <c r="D265" s="42">
        <f>IF(Tableau1[[#This Row],[Isin]]="",99,Tableau1[[#This Row],[Intérêt]]+Tableau1[[#This Row],[Valeur d''intérêt]]+Tableau1[[#This Row],[N° Portefeuille]])</f>
        <v>20</v>
      </c>
      <c r="E265" s="42"/>
      <c r="F265" s="42">
        <f>IF(Tableau1[[#This Row],[Portefeuille]]="p",0,Tableau1[[#This Row],[F. Investissement
Niveau d''intérêt]]*10)</f>
        <v>20</v>
      </c>
      <c r="G265" s="42">
        <f>IF(Tableau1[[#This Row],[Portefeuille]]="p",3,0)</f>
        <v>0</v>
      </c>
      <c r="H265" s="42">
        <v>2</v>
      </c>
      <c r="I265" s="42">
        <v>2</v>
      </c>
      <c r="J265" s="42"/>
      <c r="K265" s="43"/>
      <c r="L265" s="16">
        <v>1</v>
      </c>
      <c r="M26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5" s="44" t="s">
        <v>1394</v>
      </c>
      <c r="O265" s="44" t="s">
        <v>1395</v>
      </c>
      <c r="P265" s="4" t="s">
        <v>84</v>
      </c>
      <c r="Q265" s="6" t="s">
        <v>85</v>
      </c>
      <c r="R265" s="6"/>
      <c r="S265" s="6" t="s">
        <v>1399</v>
      </c>
      <c r="T265" s="6" t="e" vm="244">
        <v>#VALUE!</v>
      </c>
      <c r="U265" s="46" cm="1">
        <f t="array" aca="1" ref="U265" ca="1">IFERROR(_FV(Tableau1[[#This Row],[Code Excel]],"Capitalisation boursière",TRUE),"")</f>
        <v>104086500000</v>
      </c>
      <c r="V265" s="4" t="str" cm="1">
        <f t="array" aca="1" ref="V265" ca="1">IFERROR(_FV(Tableau1[[#This Row],[Code Excel]],"Industrie"),"")</f>
        <v>Aerospace &amp; Defense</v>
      </c>
      <c r="W265" s="4" t="str" cm="1">
        <f t="array" aca="1" ref="W265" ca="1">IFERROR(_FV(Tableau1[[#This Row],[Code Excel]],"Industrie"),"")</f>
        <v>Aerospace &amp; Defense</v>
      </c>
      <c r="X265" s="4" t="str">
        <f ca="1">Tableau1[[#This Row],[Grand Secteur]]&amp;Tableau1[[#This Row],[Industrie]]</f>
        <v>Aerospace &amp; DefenseAerospace &amp; Defense</v>
      </c>
      <c r="Y265" s="23" cm="1">
        <f t="array" aca="1" ref="Y265" ca="1">IFERROR(_FV(Tableau1[[#This Row],[Code Excel]],"P/E",TRUE),"")</f>
        <v>0</v>
      </c>
      <c r="Z265" s="43" cm="1">
        <f t="array" aca="1" ref="Z265" ca="1">IFERROR(_FV(Tableau1[[#This Row],[Code Excel]],"Employés"),"")</f>
        <v>100000</v>
      </c>
      <c r="AA265" s="46">
        <f ca="1">IFERROR(Tableau1[[#This Row],[Capitalisation boursière]]/Tableau1[[#This Row],[Employés]],"")</f>
        <v>1040865</v>
      </c>
      <c r="AB265" s="5" t="str">
        <f>IFERROR(Tableau1[[#This Row],[REX (2021)]]/Tableau1[[#This Row],[CA 2024]],"")</f>
        <v/>
      </c>
      <c r="AC265" s="9" t="str">
        <f>IFERROR(_xlfn.XLOOKUP(Tableau1[[#This Row],[Isin]]&amp;1&amp;2021,#REF!,Tableau3[Résultat d''exploitation]),"")</f>
        <v/>
      </c>
      <c r="AD265" s="9" t="str">
        <f>IFERROR(_xlfn.XLOOKUP(Tableau1[[#This Row],[Isin]]&amp;1&amp;2019,#REF!,Tableau3[Chiffre d''affaires]),"")</f>
        <v/>
      </c>
      <c r="AE265" s="9" t="str">
        <f>IFERROR(_xlfn.XLOOKUP(Tableau1[[#This Row],[Isin]]&amp;1&amp;2024,#REF!,Tableau3[Chiffre d''affaires]),"")</f>
        <v/>
      </c>
      <c r="AF265" s="8" t="str">
        <f>IFERROR(IF((Tableau1[[#This Row],[CA 2024]]-Tableau1[[#This Row],[CA 2019]])/Tableau1[[#This Row],[CA 2019]]=-1,"",(Tableau1[[#This Row],[CA 2024]]-Tableau1[[#This Row],[CA 2019]])/Tableau1[[#This Row],[CA 2019]]),"")</f>
        <v/>
      </c>
      <c r="AG265" s="9" t="str">
        <f>IFERROR(_xlfn.XLOOKUP(Tableau1[[#This Row],[Isin]]&amp;1&amp;2021,#REF!,Tableau3[EBE]),"")</f>
        <v/>
      </c>
      <c r="AH265" s="9" t="str">
        <f>IFERROR(_xlfn.XLOOKUP(Tableau1[[#This Row],[Isin]]&amp;1&amp;2022,#REF!,Tableau3[EBE]),"")</f>
        <v/>
      </c>
      <c r="AI265" s="43" t="s">
        <v>4343</v>
      </c>
      <c r="AJ265" s="43" t="s">
        <v>4322</v>
      </c>
      <c r="AK265" s="43" t="s">
        <v>3431</v>
      </c>
      <c r="AL265" s="43" t="s">
        <v>4338</v>
      </c>
      <c r="AM265" s="43"/>
      <c r="AN265" s="9" t="str">
        <f>IFERROR(_xlfn.XLOOKUP(Tableau1[[#This Row],[Isin]]&amp;1&amp;2021,#REF!,Tableau3[Chiffre d''affaires]),"")</f>
        <v/>
      </c>
      <c r="AO265" s="43" cm="1">
        <f t="array" aca="1" ref="AO265" ca="1">_FV(Tableau1[[#This Row],[Code Excel]],"P/E",TRUE)</f>
        <v>0</v>
      </c>
      <c r="AP265" s="43" t="str">
        <f>IFERROR(_xlfn.XLOOKUP(Tableau1[[#This Row],[Isin]]&amp;1&amp;2023,#REF!,Tableau3[Résultat Net (PdG)]),"")</f>
        <v/>
      </c>
      <c r="AQ265" s="43">
        <f>IF(IFERROR(_xlfn.XLOOKUP(Tableau1[[#This Row],[Isin]]&amp;1&amp;2022,#REF!,Tableau3[Résultat Net (PdG)]),"")="",Tableau1[[#This Row],[RN Groupe 2022
Manuel]],IFERROR(_xlfn.XLOOKUP(Tableau1[[#This Row],[Isin]]&amp;1&amp;2022,#REF!,Tableau3[Résultat Net (PdG)]),""))</f>
        <v>0</v>
      </c>
      <c r="AR265" s="140"/>
      <c r="AS265" s="43">
        <f>IF(IFERROR(_xlfn.XLOOKUP(Tableau1[[#This Row],[Isin]]&amp;1&amp;2021,#REF!,Tableau3[Résultat Net (PdG)]),"")="",Tableau1[[#This Row],[RN Groupe 2021
Manuel]],IFERROR(_xlfn.XLOOKUP(Tableau1[[#This Row],[Isin]]&amp;1&amp;2021,#REF!,Tableau3[Résultat Net (PdG)]),""))</f>
        <v>0</v>
      </c>
      <c r="AT265" s="140"/>
      <c r="AU265" s="43" t="str">
        <f>IFERROR(_xlfn.XLOOKUP(Tableau1[[#This Row],[Isin]]&amp;1&amp;2020,#REF!,Tableau3[Résultat Net (PdG)]),"")</f>
        <v/>
      </c>
      <c r="AV265" s="43" t="str">
        <f>IFERROR(_xlfn.XLOOKUP(Tableau1[[#This Row],[Isin]]&amp;1&amp;2019,#REF!,Tableau3[Résultat Net (PdG)]),"")</f>
        <v/>
      </c>
      <c r="AW265" s="43" t="str">
        <f>IFERROR(_xlfn.XLOOKUP(Tableau1[[#This Row],[Isin]]&amp;1&amp;2018,#REF!,Tableau3[Résultat Net (PdG)]),"")</f>
        <v/>
      </c>
      <c r="AX265" s="43" t="str">
        <f>IFERROR(_xlfn.XLOOKUP(Tableau1[[#This Row],[Isin]]&amp;1&amp;2017,#REF!,Tableau3[Résultat Net (PdG)]),"")</f>
        <v/>
      </c>
      <c r="AY265" s="43" t="str">
        <f>IFERROR(_xlfn.XLOOKUP(Tableau1[[#This Row],[Isin]]&amp;1&amp;2016,#REF!,Tableau3[Résultat Net (PdG)]),"")</f>
        <v/>
      </c>
      <c r="AZ265" s="137" t="str">
        <f ca="1">IFERROR(Tableau1[[#This Row],[Capitalisation boursière]]/Tableau1[[#This Row],[RN Groupe 2023]],"")</f>
        <v/>
      </c>
      <c r="BA265" s="4" t="str" cm="1">
        <f t="array" aca="1" ref="BA265" ca="1">IFERROR(_FV(Tableau1[[#This Row],[Code Excel]],"Industrie"),"")</f>
        <v>Aerospace &amp; Defense</v>
      </c>
      <c r="BB265" s="43" t="s">
        <v>3518</v>
      </c>
      <c r="BC265" s="43" t="str">
        <f>IFERROR(_xlfn.XLOOKUP(Tableau1[[#This Row],[Isin]]&amp;1&amp;2016,#REF!,Tableau3[Capi]),"")</f>
        <v/>
      </c>
      <c r="BD265" s="43" t="str">
        <f>IFERROR(_xlfn.XLOOKUP(Tableau1[[#This Row],[Isin]]&amp;1&amp;2017,#REF!,Tableau3[Capi]),"")</f>
        <v/>
      </c>
      <c r="BE265" s="43" t="str">
        <f>IFERROR(_xlfn.XLOOKUP(Tableau1[[#This Row],[Isin]]&amp;1&amp;2018,#REF!,Tableau3[Capi]),"")</f>
        <v/>
      </c>
      <c r="BF265" s="43" t="str">
        <f>IFERROR(_xlfn.XLOOKUP(Tableau1[[#This Row],[Isin]]&amp;1&amp;2019,#REF!,Tableau3[Capi]),"")</f>
        <v/>
      </c>
      <c r="BG265" s="43" t="str">
        <f>IFERROR(_xlfn.XLOOKUP(Tableau1[[#This Row],[Isin]]&amp;1&amp;2020,#REF!,Tableau3[Capi]),"")</f>
        <v/>
      </c>
      <c r="BH265" s="43">
        <f>IF(IFERROR(_xlfn.XLOOKUP(Tableau1[[#This Row],[Isin]]&amp;1&amp;2021,#REF!,Tableau3[Capi]),"")="",Tableau1[[#This Row],[Capitalisation 2021
Manuel]],IFERROR(_xlfn.XLOOKUP(Tableau1[[#This Row],[Isin]]&amp;1&amp;2021,#REF!,Tableau3[Capi]),""))</f>
        <v>0</v>
      </c>
      <c r="BI265" s="142"/>
      <c r="BJ265" s="141">
        <f>IF(IFERROR(_xlfn.XLOOKUP(Tableau1[[#This Row],[Isin]]&amp;1&amp;2022,#REF!,Tableau3[Capi]),"")="",Tableau1[[#This Row],[Capitalisation 2022
Manuel]],IFERROR(_xlfn.XLOOKUP(Tableau1[[#This Row],[Isin]]&amp;1&amp;2022,#REF!,Tableau3[Capi]),""))</f>
        <v>0</v>
      </c>
      <c r="BK265" s="142"/>
      <c r="BL265" s="43">
        <f ca="1">Tableau1[[#This Row],[Capitalisation boursière]]</f>
        <v>104086500000</v>
      </c>
      <c r="BM265" s="162" t="str" cm="1">
        <f t="array" aca="1" ref="BM265" ca="1">_FV(Tableau1[[#This Row],[Code Excel]],"Description")</f>
        <v>Safran sa est une entreprise française de haute technologie qui réalise des activités de recherche, conception, développement, essais, fabrication, opérations de vente, de maintenance et de support pour ses activités de haute technologie. Les segments de la Société sont : propulsion aérospatiale, équipement aéronautique et intérieurs d'avions. Le segment propulsion aérospatiale conçoit, développe, produit et commercialise des systèmes de propulsion et de transmission mécanique pour les avions commerciaux, les avions de transport militaire, les avions d'entraînement et de combat, les hélicoptères civils et militaires, les satellites et les drones. Il comprend également les activités de maintenance, de réparation et de révision (MRO) et la vente de pièces détachées. Le segment de l'équipement aéronautique opère dans cinq secteurs principaux : systèmes d'atterrissage et de freinage, systèmes et équipements moteurs, systèmes électriques et ingénierie, aérosystèmes et électronique et défense. Le segment des intérieurs d'avions couvre les sièges et les aménagements de cabine, les placards, les systèmes de divertissement en vol et l'équipement de poste de pilotage.</v>
      </c>
      <c r="BN265" s="43"/>
      <c r="BO265" s="43"/>
      <c r="BP265" s="43"/>
      <c r="BQ265" s="43"/>
      <c r="BR265" s="13"/>
      <c r="BS265" s="13"/>
      <c r="BT265" s="13"/>
      <c r="BU265" s="13"/>
      <c r="BV265" s="13"/>
      <c r="BW265" s="13"/>
      <c r="BX265" s="13"/>
      <c r="BY265" s="21"/>
      <c r="BZ265" s="13"/>
      <c r="CA265" s="13"/>
      <c r="CB265" s="13"/>
      <c r="CC265" s="13"/>
      <c r="CD265" s="13"/>
      <c r="CF265" s="4"/>
      <c r="CG265" s="4"/>
    </row>
    <row r="266" spans="3:85">
      <c r="C266" s="43"/>
      <c r="D266" s="42">
        <f>IF(Tableau1[[#This Row],[Isin]]="",99,Tableau1[[#This Row],[Intérêt]]+Tableau1[[#This Row],[Valeur d''intérêt]]+Tableau1[[#This Row],[N° Portefeuille]])</f>
        <v>3</v>
      </c>
      <c r="E266" s="42"/>
      <c r="F266" s="42">
        <f>IF(Tableau1[[#This Row],[Portefeuille]]="p",0,Tableau1[[#This Row],[F. Investissement
Niveau d''intérêt]]*10)</f>
        <v>0</v>
      </c>
      <c r="G266" s="42">
        <f>IF(Tableau1[[#This Row],[Portefeuille]]="p",3,0)</f>
        <v>3</v>
      </c>
      <c r="H266" s="42">
        <v>1</v>
      </c>
      <c r="I266" s="42">
        <v>1</v>
      </c>
      <c r="J266" s="43" t="s">
        <v>4357</v>
      </c>
      <c r="K266" s="43" t="s">
        <v>4362</v>
      </c>
      <c r="L266" s="16">
        <v>1</v>
      </c>
      <c r="M26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6" s="44" t="s">
        <v>4086</v>
      </c>
      <c r="O266" s="44" t="s">
        <v>164</v>
      </c>
      <c r="P266" s="4" t="s">
        <v>84</v>
      </c>
      <c r="Q266" s="6" t="s">
        <v>85</v>
      </c>
      <c r="R266" s="6"/>
      <c r="S266" s="6" t="s">
        <v>167</v>
      </c>
      <c r="T266" s="6" t="e" vm="245">
        <v>#VALUE!</v>
      </c>
      <c r="U266" s="46" cm="1">
        <f t="array" aca="1" ref="U266" ca="1">IFERROR(_FV(Tableau1[[#This Row],[Code Excel]],"Capitalisation boursière",TRUE),"")</f>
        <v>48188430000</v>
      </c>
      <c r="V266" s="4" t="str" cm="1">
        <f t="array" aca="1" ref="V266" ca="1">IFERROR(_FV(Tableau1[[#This Row],[Code Excel]],"Industrie"),"")</f>
        <v>Homebuilding &amp; Construction Supplies</v>
      </c>
      <c r="W266" s="4" t="s">
        <v>1926</v>
      </c>
      <c r="X266" s="4" t="str">
        <f ca="1">Tableau1[[#This Row],[Grand Secteur]]&amp;Tableau1[[#This Row],[Industrie]]</f>
        <v>ConstructionHomebuilding &amp; Construction Supplies</v>
      </c>
      <c r="Y266" s="23" cm="1">
        <f t="array" aca="1" ref="Y266" ca="1">IFERROR(_FV(Tableau1[[#This Row],[Code Excel]],"P/E",TRUE),"")</f>
        <v>16.327300000000001</v>
      </c>
      <c r="Z266" s="43" cm="1">
        <f t="array" aca="1" ref="Z266" ca="1">IFERROR(_FV(Tableau1[[#This Row],[Code Excel]],"Employés"),"")</f>
        <v>161482</v>
      </c>
      <c r="AA266" s="46">
        <f ca="1">IFERROR(Tableau1[[#This Row],[Capitalisation boursière]]/Tableau1[[#This Row],[Employés]],"")</f>
        <v>298413.63124063361</v>
      </c>
      <c r="AB266" s="5" t="str">
        <f>IFERROR(Tableau1[[#This Row],[REX (2021)]]/Tableau1[[#This Row],[CA 2024]],"")</f>
        <v/>
      </c>
      <c r="AC266" s="9" t="str">
        <f>IFERROR(_xlfn.XLOOKUP(Tableau1[[#This Row],[Isin]]&amp;1&amp;2021,#REF!,Tableau3[Résultat d''exploitation]),"")</f>
        <v/>
      </c>
      <c r="AD266" s="9" t="str">
        <f>IFERROR(_xlfn.XLOOKUP(Tableau1[[#This Row],[Isin]]&amp;1&amp;2019,#REF!,Tableau3[Chiffre d''affaires]),"")</f>
        <v/>
      </c>
      <c r="AE266" s="9" t="str">
        <f>IFERROR(_xlfn.XLOOKUP(Tableau1[[#This Row],[Isin]]&amp;1&amp;2024,#REF!,Tableau3[Chiffre d''affaires]),"")</f>
        <v/>
      </c>
      <c r="AF266" s="8" t="str">
        <f>IFERROR(IF((Tableau1[[#This Row],[CA 2024]]-Tableau1[[#This Row],[CA 2019]])/Tableau1[[#This Row],[CA 2019]]=-1,"",(Tableau1[[#This Row],[CA 2024]]-Tableau1[[#This Row],[CA 2019]])/Tableau1[[#This Row],[CA 2019]]),"")</f>
        <v/>
      </c>
      <c r="AG266" s="9" t="str">
        <f>IFERROR(_xlfn.XLOOKUP(Tableau1[[#This Row],[Isin]]&amp;1&amp;2021,#REF!,Tableau3[EBE]),"")</f>
        <v/>
      </c>
      <c r="AH266" s="9" t="str">
        <f>IFERROR(_xlfn.XLOOKUP(Tableau1[[#This Row],[Isin]]&amp;1&amp;2022,#REF!,Tableau3[EBE]),"")</f>
        <v/>
      </c>
      <c r="AI266" s="43" t="s">
        <v>4329</v>
      </c>
      <c r="AJ266" s="43" t="s">
        <v>4322</v>
      </c>
      <c r="AK266" s="43" t="s">
        <v>3431</v>
      </c>
      <c r="AL266" s="43" t="s">
        <v>3148</v>
      </c>
      <c r="AM266" s="43"/>
      <c r="AN266" s="9" t="str">
        <f>IFERROR(_xlfn.XLOOKUP(Tableau1[[#This Row],[Isin]]&amp;1&amp;2021,#REF!,Tableau3[Chiffre d''affaires]),"")</f>
        <v/>
      </c>
      <c r="AO266" s="43" cm="1">
        <f t="array" aca="1" ref="AO266" ca="1">_FV(Tableau1[[#This Row],[Code Excel]],"P/E",TRUE)</f>
        <v>16.327300000000001</v>
      </c>
      <c r="AP266" s="43" t="str">
        <f>IFERROR(_xlfn.XLOOKUP(Tableau1[[#This Row],[Isin]]&amp;1&amp;2023,#REF!,Tableau3[Résultat Net (PdG)]),"")</f>
        <v/>
      </c>
      <c r="AQ266" s="43">
        <f>IF(IFERROR(_xlfn.XLOOKUP(Tableau1[[#This Row],[Isin]]&amp;1&amp;2022,#REF!,Tableau3[Résultat Net (PdG)]),"")="",Tableau1[[#This Row],[RN Groupe 2022
Manuel]],IFERROR(_xlfn.XLOOKUP(Tableau1[[#This Row],[Isin]]&amp;1&amp;2022,#REF!,Tableau3[Résultat Net (PdG)]),""))</f>
        <v>0</v>
      </c>
      <c r="AR266" s="140"/>
      <c r="AS266" s="43">
        <f>IF(IFERROR(_xlfn.XLOOKUP(Tableau1[[#This Row],[Isin]]&amp;1&amp;2021,#REF!,Tableau3[Résultat Net (PdG)]),"")="",Tableau1[[#This Row],[RN Groupe 2021
Manuel]],IFERROR(_xlfn.XLOOKUP(Tableau1[[#This Row],[Isin]]&amp;1&amp;2021,#REF!,Tableau3[Résultat Net (PdG)]),""))</f>
        <v>0</v>
      </c>
      <c r="AT266" s="140"/>
      <c r="AU266" s="43" t="str">
        <f>IFERROR(_xlfn.XLOOKUP(Tableau1[[#This Row],[Isin]]&amp;1&amp;2020,#REF!,Tableau3[Résultat Net (PdG)]),"")</f>
        <v/>
      </c>
      <c r="AV266" s="43" t="str">
        <f>IFERROR(_xlfn.XLOOKUP(Tableau1[[#This Row],[Isin]]&amp;1&amp;2019,#REF!,Tableau3[Résultat Net (PdG)]),"")</f>
        <v/>
      </c>
      <c r="AW266" s="43" t="str">
        <f>IFERROR(_xlfn.XLOOKUP(Tableau1[[#This Row],[Isin]]&amp;1&amp;2018,#REF!,Tableau3[Résultat Net (PdG)]),"")</f>
        <v/>
      </c>
      <c r="AX266" s="43" t="str">
        <f>IFERROR(_xlfn.XLOOKUP(Tableau1[[#This Row],[Isin]]&amp;1&amp;2017,#REF!,Tableau3[Résultat Net (PdG)]),"")</f>
        <v/>
      </c>
      <c r="AY266" s="43" t="str">
        <f>IFERROR(_xlfn.XLOOKUP(Tableau1[[#This Row],[Isin]]&amp;1&amp;2016,#REF!,Tableau3[Résultat Net (PdG)]),"")</f>
        <v/>
      </c>
      <c r="AZ266" s="137" t="str">
        <f ca="1">IFERROR(Tableau1[[#This Row],[Capitalisation boursière]]/Tableau1[[#This Row],[RN Groupe 2023]],"")</f>
        <v/>
      </c>
      <c r="BA266" s="4" t="str" cm="1">
        <f t="array" aca="1" ref="BA266" ca="1">IFERROR(_FV(Tableau1[[#This Row],[Code Excel]],"Industrie"),"")</f>
        <v>Homebuilding &amp; Construction Supplies</v>
      </c>
      <c r="BB266" s="43" t="s">
        <v>3518</v>
      </c>
      <c r="BC266" s="43" t="str">
        <f>IFERROR(_xlfn.XLOOKUP(Tableau1[[#This Row],[Isin]]&amp;1&amp;2016,#REF!,Tableau3[Capi]),"")</f>
        <v/>
      </c>
      <c r="BD266" s="43" t="str">
        <f>IFERROR(_xlfn.XLOOKUP(Tableau1[[#This Row],[Isin]]&amp;1&amp;2017,#REF!,Tableau3[Capi]),"")</f>
        <v/>
      </c>
      <c r="BE266" s="43" t="str">
        <f>IFERROR(_xlfn.XLOOKUP(Tableau1[[#This Row],[Isin]]&amp;1&amp;2018,#REF!,Tableau3[Capi]),"")</f>
        <v/>
      </c>
      <c r="BF266" s="43" t="str">
        <f>IFERROR(_xlfn.XLOOKUP(Tableau1[[#This Row],[Isin]]&amp;1&amp;2019,#REF!,Tableau3[Capi]),"")</f>
        <v/>
      </c>
      <c r="BG266" s="43" t="str">
        <f>IFERROR(_xlfn.XLOOKUP(Tableau1[[#This Row],[Isin]]&amp;1&amp;2020,#REF!,Tableau3[Capi]),"")</f>
        <v/>
      </c>
      <c r="BH266" s="43">
        <f>IF(IFERROR(_xlfn.XLOOKUP(Tableau1[[#This Row],[Isin]]&amp;1&amp;2021,#REF!,Tableau3[Capi]),"")="",Tableau1[[#This Row],[Capitalisation 2021
Manuel]],IFERROR(_xlfn.XLOOKUP(Tableau1[[#This Row],[Isin]]&amp;1&amp;2021,#REF!,Tableau3[Capi]),""))</f>
        <v>0</v>
      </c>
      <c r="BI266" s="142"/>
      <c r="BJ266" s="141">
        <f>IF(IFERROR(_xlfn.XLOOKUP(Tableau1[[#This Row],[Isin]]&amp;1&amp;2022,#REF!,Tableau3[Capi]),"")="",Tableau1[[#This Row],[Capitalisation 2022
Manuel]],IFERROR(_xlfn.XLOOKUP(Tableau1[[#This Row],[Isin]]&amp;1&amp;2022,#REF!,Tableau3[Capi]),""))</f>
        <v>0</v>
      </c>
      <c r="BK266" s="142"/>
      <c r="BL266" s="43">
        <f ca="1">Tableau1[[#This Row],[Capitalisation boursière]]</f>
        <v>48188430000</v>
      </c>
      <c r="BM266" s="162" t="str" cm="1">
        <f t="array" aca="1" ref="BM266" ca="1">_FV(Tableau1[[#This Row],[Code Excel]],"Description")</f>
        <v>La Compagnie de Saint Gobain sa est un groupe français spécialisé dans la conception, la fabrication, la distribution de matériaux pour les secteurs de la construction, de la mobilité, de la santé et des solutions industrielles dans le but d'améliorer le bien-être de la vie à travers le monde. Le Groupe, à travers ses filiales, opère dans trois secteurs : la distribution de bâtiments (BD), les produits de construction (CP) et les matériaux (IM). Le secteur BD couvre les activités de distribution de la Société aux fournisseurs. Le secteur CP propose des solutions intérieures (isolation et gypse) et extérieures (mortiers industriels, tuyaux et produits extérieurs). Le secteur IM fournit du verre plat et des matériaux haute performance. Ses solutions vont des fenêtres autonettoyantes et du verre photovoltaïque aux systèmes d'isolation intelligents, aux systèmes d'approvisionnement en eau avec de nombreuses applications industrielles.</v>
      </c>
      <c r="BN266" s="43"/>
      <c r="BO266" s="43"/>
      <c r="BP266" s="43"/>
      <c r="BQ266" s="43"/>
      <c r="BR266" s="13"/>
      <c r="BS266" s="13"/>
      <c r="BT266" s="13"/>
      <c r="BU266" s="13"/>
      <c r="BV266" s="13"/>
      <c r="BW266" s="13"/>
      <c r="BX266" s="13"/>
      <c r="BY266" s="21"/>
      <c r="BZ266" s="13"/>
      <c r="CA266" s="13"/>
      <c r="CB266" s="13"/>
      <c r="CC266" s="13"/>
      <c r="CD266" s="13"/>
      <c r="CF266" s="4"/>
      <c r="CG266" s="4"/>
    </row>
    <row r="267" spans="3:85">
      <c r="C267" s="42"/>
      <c r="D267" s="42">
        <f>IF(Tableau1[[#This Row],[Isin]]="",99,Tableau1[[#This Row],[Intérêt]]+Tableau1[[#This Row],[Valeur d''intérêt]]+Tableau1[[#This Row],[N° Portefeuille]])</f>
        <v>30</v>
      </c>
      <c r="E267" s="42"/>
      <c r="F267" s="42">
        <f>IF(Tableau1[[#This Row],[Portefeuille]]="p",0,Tableau1[[#This Row],[F. Investissement
Niveau d''intérêt]]*10)</f>
        <v>30</v>
      </c>
      <c r="G267" s="42">
        <f>IF(Tableau1[[#This Row],[Portefeuille]]="p",3,0)</f>
        <v>0</v>
      </c>
      <c r="H267" s="42">
        <v>3</v>
      </c>
      <c r="I267" s="42">
        <v>4</v>
      </c>
      <c r="J267" s="42"/>
      <c r="K267" s="43"/>
      <c r="L267" s="16">
        <v>0</v>
      </c>
      <c r="M26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7" s="44" t="s">
        <v>4088</v>
      </c>
      <c r="O267" s="45"/>
      <c r="P267" s="4" t="s">
        <v>382</v>
      </c>
      <c r="Q267" s="4"/>
      <c r="R267" s="6"/>
      <c r="S267" s="6" t="s">
        <v>4089</v>
      </c>
      <c r="T267" s="6" t="e" vm="246">
        <v>#VALUE!</v>
      </c>
      <c r="U267" s="46" cm="1">
        <f t="array" aca="1" ref="U267" ca="1">IFERROR(_FV(Tableau1[[#This Row],[Code Excel]],"Capitalisation boursière",TRUE),"")</f>
        <v>251959785000</v>
      </c>
      <c r="V267" s="4" t="str" cm="1">
        <f t="array" aca="1" ref="V267" ca="1">IFERROR(_FV(Tableau1[[#This Row],[Code Excel]],"Industrie"),"")</f>
        <v>Software &amp; IT Services</v>
      </c>
      <c r="W267" s="4" t="s">
        <v>4333</v>
      </c>
      <c r="X267" s="4" t="str">
        <f ca="1">Tableau1[[#This Row],[Grand Secteur]]&amp;Tableau1[[#This Row],[Industrie]]</f>
        <v>Logiciels et TechnologieSoftware &amp; IT Services</v>
      </c>
      <c r="Y267" s="23" cm="1">
        <f t="array" aca="1" ref="Y267" ca="1">IFERROR(_FV(Tableau1[[#This Row],[Code Excel]],"P/E",TRUE),"")</f>
        <v>42.405500000000004</v>
      </c>
      <c r="Z267" s="43" cm="1">
        <f t="array" aca="1" ref="Z267" ca="1">IFERROR(_FV(Tableau1[[#This Row],[Code Excel]],"Employés"),"")</f>
        <v>76453</v>
      </c>
      <c r="AA267" s="49">
        <f ca="1">IFERROR(Tableau1[[#This Row],[Capitalisation boursière]]/Tableau1[[#This Row],[Employés]],"")</f>
        <v>3295616.7187683936</v>
      </c>
      <c r="AB267" s="5" t="str">
        <f>IFERROR(Tableau1[[#This Row],[REX (2021)]]/Tableau1[[#This Row],[CA 2024]],"")</f>
        <v/>
      </c>
      <c r="AC267" s="9" t="str">
        <f>IFERROR(_xlfn.XLOOKUP(Tableau1[[#This Row],[Isin]]&amp;1&amp;2021,#REF!,Tableau3[Résultat d''exploitation]),"")</f>
        <v/>
      </c>
      <c r="AD267" s="9" t="str">
        <f>IFERROR(_xlfn.XLOOKUP(Tableau1[[#This Row],[Isin]]&amp;1&amp;2019,#REF!,Tableau3[Chiffre d''affaires]),"")</f>
        <v/>
      </c>
      <c r="AE267" s="9" t="str">
        <f>IFERROR(_xlfn.XLOOKUP(Tableau1[[#This Row],[Isin]]&amp;1&amp;2024,#REF!,Tableau3[Chiffre d''affaires]),"")</f>
        <v/>
      </c>
      <c r="AF267" s="8" t="str">
        <f>IFERROR(IF((Tableau1[[#This Row],[CA 2024]]-Tableau1[[#This Row],[CA 2019]])/Tableau1[[#This Row],[CA 2019]]=-1,"",(Tableau1[[#This Row],[CA 2024]]-Tableau1[[#This Row],[CA 2019]])/Tableau1[[#This Row],[CA 2019]]),"")</f>
        <v/>
      </c>
      <c r="AG267" s="9" t="str">
        <f>IFERROR(_xlfn.XLOOKUP(Tableau1[[#This Row],[Isin]]&amp;1&amp;2021,#REF!,Tableau3[EBE]),"")</f>
        <v/>
      </c>
      <c r="AH267" s="9" t="str">
        <f>IFERROR(_xlfn.XLOOKUP(Tableau1[[#This Row],[Isin]]&amp;1&amp;2022,#REF!,Tableau3[EBE]),"")</f>
        <v/>
      </c>
      <c r="AI267" s="43" t="s">
        <v>4324</v>
      </c>
      <c r="AJ267" s="43" t="s">
        <v>4334</v>
      </c>
      <c r="AK267" s="43" t="s">
        <v>3148</v>
      </c>
      <c r="AL267" s="43"/>
      <c r="AM267" s="43"/>
      <c r="AN267" s="9" t="str">
        <f>IFERROR(_xlfn.XLOOKUP(Tableau1[[#This Row],[Isin]]&amp;1&amp;2021,#REF!,Tableau3[Chiffre d''affaires]),"")</f>
        <v/>
      </c>
      <c r="AO267" s="43" cm="1">
        <f t="array" aca="1" ref="AO267" ca="1">_FV(Tableau1[[#This Row],[Code Excel]],"P/E",TRUE)</f>
        <v>42.405500000000004</v>
      </c>
      <c r="AP267" s="43" t="str">
        <f>IFERROR(_xlfn.XLOOKUP(Tableau1[[#This Row],[Isin]]&amp;1&amp;2023,#REF!,Tableau3[Résultat Net (PdG)]),"")</f>
        <v/>
      </c>
      <c r="AQ267" s="43">
        <f>IF(IFERROR(_xlfn.XLOOKUP(Tableau1[[#This Row],[Isin]]&amp;1&amp;2022,#REF!,Tableau3[Résultat Net (PdG)]),"")="",Tableau1[[#This Row],[RN Groupe 2022
Manuel]],IFERROR(_xlfn.XLOOKUP(Tableau1[[#This Row],[Isin]]&amp;1&amp;2022,#REF!,Tableau3[Résultat Net (PdG)]),""))</f>
        <v>0</v>
      </c>
      <c r="AR267" s="43"/>
      <c r="AS267" s="43">
        <f>IF(IFERROR(_xlfn.XLOOKUP(Tableau1[[#This Row],[Isin]]&amp;1&amp;2021,#REF!,Tableau3[Résultat Net (PdG)]),"")="",Tableau1[[#This Row],[RN Groupe 2021
Manuel]],IFERROR(_xlfn.XLOOKUP(Tableau1[[#This Row],[Isin]]&amp;1&amp;2021,#REF!,Tableau3[Résultat Net (PdG)]),""))</f>
        <v>0</v>
      </c>
      <c r="AT267" s="43"/>
      <c r="AU267" s="43" t="str">
        <f>IFERROR(_xlfn.XLOOKUP(Tableau1[[#This Row],[Isin]]&amp;1&amp;2020,#REF!,Tableau3[Résultat Net (PdG)]),"")</f>
        <v/>
      </c>
      <c r="AV267" s="43" t="str">
        <f>IFERROR(_xlfn.XLOOKUP(Tableau1[[#This Row],[Isin]]&amp;1&amp;2019,#REF!,Tableau3[Résultat Net (PdG)]),"")</f>
        <v/>
      </c>
      <c r="AW267" s="43" t="str">
        <f>IFERROR(_xlfn.XLOOKUP(Tableau1[[#This Row],[Isin]]&amp;1&amp;2018,#REF!,Tableau3[Résultat Net (PdG)]),"")</f>
        <v/>
      </c>
      <c r="AX267" s="43" t="str">
        <f>IFERROR(_xlfn.XLOOKUP(Tableau1[[#This Row],[Isin]]&amp;1&amp;2017,#REF!,Tableau3[Résultat Net (PdG)]),"")</f>
        <v/>
      </c>
      <c r="AY267" s="43" t="str">
        <f>IFERROR(_xlfn.XLOOKUP(Tableau1[[#This Row],[Isin]]&amp;1&amp;2016,#REF!,Tableau3[Résultat Net (PdG)]),"")</f>
        <v/>
      </c>
      <c r="AZ267" s="137" t="str">
        <f ca="1">IFERROR(Tableau1[[#This Row],[Capitalisation boursière]]/Tableau1[[#This Row],[RN Groupe 2023]],"")</f>
        <v/>
      </c>
      <c r="BA267" s="4" t="str" cm="1">
        <f t="array" aca="1" ref="BA267" ca="1">IFERROR(_FV(Tableau1[[#This Row],[Code Excel]],"Industrie"),"")</f>
        <v>Software &amp; IT Services</v>
      </c>
      <c r="BB267" s="43" t="s">
        <v>3474</v>
      </c>
      <c r="BC267" s="43" t="str">
        <f>IFERROR(_xlfn.XLOOKUP(Tableau1[[#This Row],[Isin]]&amp;1&amp;2016,#REF!,Tableau3[Capi]),"")</f>
        <v/>
      </c>
      <c r="BD267" s="43" t="str">
        <f>IFERROR(_xlfn.XLOOKUP(Tableau1[[#This Row],[Isin]]&amp;1&amp;2017,#REF!,Tableau3[Capi]),"")</f>
        <v/>
      </c>
      <c r="BE267" s="43" t="str">
        <f>IFERROR(_xlfn.XLOOKUP(Tableau1[[#This Row],[Isin]]&amp;1&amp;2018,#REF!,Tableau3[Capi]),"")</f>
        <v/>
      </c>
      <c r="BF267" s="43" t="str">
        <f>IFERROR(_xlfn.XLOOKUP(Tableau1[[#This Row],[Isin]]&amp;1&amp;2019,#REF!,Tableau3[Capi]),"")</f>
        <v/>
      </c>
      <c r="BG267" s="43" t="str">
        <f>IFERROR(_xlfn.XLOOKUP(Tableau1[[#This Row],[Isin]]&amp;1&amp;2020,#REF!,Tableau3[Capi]),"")</f>
        <v/>
      </c>
      <c r="BH267" s="43">
        <f>IF(IFERROR(_xlfn.XLOOKUP(Tableau1[[#This Row],[Isin]]&amp;1&amp;2021,#REF!,Tableau3[Capi]),"")="",Tableau1[[#This Row],[Capitalisation 2021
Manuel]],IFERROR(_xlfn.XLOOKUP(Tableau1[[#This Row],[Isin]]&amp;1&amp;2021,#REF!,Tableau3[Capi]),""))</f>
        <v>0</v>
      </c>
      <c r="BI267" s="43"/>
      <c r="BJ267" s="43">
        <f>IF(IFERROR(_xlfn.XLOOKUP(Tableau1[[#This Row],[Isin]]&amp;1&amp;2022,#REF!,Tableau3[Capi]),"")="",Tableau1[[#This Row],[Capitalisation 2022
Manuel]],IFERROR(_xlfn.XLOOKUP(Tableau1[[#This Row],[Isin]]&amp;1&amp;2022,#REF!,Tableau3[Capi]),""))</f>
        <v>0</v>
      </c>
      <c r="BK267" s="43"/>
      <c r="BL267" s="43">
        <f ca="1">Tableau1[[#This Row],[Capitalisation boursière]]</f>
        <v>251959785000</v>
      </c>
      <c r="BM267" s="162" t="str" cm="1">
        <f t="array" aca="1" ref="BM267" ca="1">_FV(Tableau1[[#This Row],[Code Excel]],"Description")</f>
        <v>Salesforce, Inc. est un fournisseur de technologie de gestion de la relation client (CRM). La plate-forme Customer 360 de la société couvre les domaines suivants : ventes, service, marketing, commerce, collaboration, intégration, intelligence artificielle, analytique, automatisation et autres. Il connecte les données clients entre les systèmes, les applications et les périphériques pour créer une vue complète des clients. La Société permet également à des tiers d'utiliser sa plateforme et ses outils de développement pour créer des fonctionnalités et des applications supplémentaires qui s'exécutent sur la plateforme de la Société. Ses clients utilisent son offre commerciale pour stocker des données, surveiller les prospects et les progrès, prévoir les opportunités, obtenir des informations grâce à des analyses et des renseignements relationnels et fournir des devis, des contrats et des factures. Son offre de services permet de connecter ses agents de service avec les clients à travers n'importe quel point de contact. Il aide les clients à résoudre les problèmes de routine avec des prévisions et des recommandations. La Société offre ses services aux entreprises du monde entier sur la base d'un abonnement.</v>
      </c>
      <c r="BN267" s="43"/>
      <c r="BO267" s="43"/>
      <c r="BP267" s="43"/>
      <c r="BQ267" s="43"/>
      <c r="BR267" s="13"/>
      <c r="BS267" s="13"/>
      <c r="BT267" s="13"/>
      <c r="BU267" s="13"/>
      <c r="BV267" s="13"/>
      <c r="BW267" s="13"/>
      <c r="BX267" s="13"/>
      <c r="BY267" s="21"/>
      <c r="BZ267" s="13"/>
      <c r="CA267" s="13"/>
      <c r="CB267" s="13"/>
      <c r="CC267" s="13"/>
      <c r="CD267" s="13"/>
      <c r="CF267" s="4"/>
      <c r="CG267" s="4"/>
    </row>
    <row r="268" spans="3:85">
      <c r="C268" s="43"/>
      <c r="D268" s="42">
        <f>IF(Tableau1[[#This Row],[Isin]]="",99,Tableau1[[#This Row],[Intérêt]]+Tableau1[[#This Row],[Valeur d''intérêt]]+Tableau1[[#This Row],[N° Portefeuille]])</f>
        <v>30</v>
      </c>
      <c r="E268" s="42"/>
      <c r="F268" s="42">
        <f>IF(Tableau1[[#This Row],[Portefeuille]]="p",0,Tableau1[[#This Row],[F. Investissement
Niveau d''intérêt]]*10)</f>
        <v>30</v>
      </c>
      <c r="G268" s="42">
        <f>IF(Tableau1[[#This Row],[Portefeuille]]="p",3,0)</f>
        <v>0</v>
      </c>
      <c r="H268" s="42">
        <v>3</v>
      </c>
      <c r="I268" s="42">
        <v>3</v>
      </c>
      <c r="J268" s="43" t="s">
        <v>4357</v>
      </c>
      <c r="K268" s="43"/>
      <c r="L268" s="16">
        <v>1</v>
      </c>
      <c r="M26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8" s="44" t="s">
        <v>1591</v>
      </c>
      <c r="O268" s="44" t="s">
        <v>1592</v>
      </c>
      <c r="P268" s="4" t="s">
        <v>84</v>
      </c>
      <c r="Q268" s="6" t="s">
        <v>85</v>
      </c>
      <c r="R268" s="6"/>
      <c r="S268" s="6" t="s">
        <v>1594</v>
      </c>
      <c r="T268" s="6" t="e" vm="247">
        <v>#VALUE!</v>
      </c>
      <c r="U268" s="46" cm="1">
        <f t="array" aca="1" ref="U268" ca="1">IFERROR(_FV(Tableau1[[#This Row],[Code Excel]],"Capitalisation boursière",TRUE),"")</f>
        <v>127551700000</v>
      </c>
      <c r="V268" s="4" t="str" cm="1">
        <f t="array" aca="1" ref="V268" ca="1">IFERROR(_FV(Tableau1[[#This Row],[Code Excel]],"Industrie"),"")</f>
        <v>Pharmaceuticals</v>
      </c>
      <c r="W268" s="4" t="s">
        <v>1586</v>
      </c>
      <c r="X268" s="4" t="str">
        <f ca="1">Tableau1[[#This Row],[Grand Secteur]]&amp;Tableau1[[#This Row],[Industrie]]</f>
        <v>SantéPharmaceuticals</v>
      </c>
      <c r="Y268" s="23" cm="1">
        <f t="array" aca="1" ref="Y268" ca="1">IFERROR(_FV(Tableau1[[#This Row],[Code Excel]],"P/E",TRUE),"")</f>
        <v>23.279399999999999</v>
      </c>
      <c r="Z268" s="43" cm="1">
        <f t="array" aca="1" ref="Z268" ca="1">IFERROR(_FV(Tableau1[[#This Row],[Code Excel]],"Employés"),"")</f>
        <v>84587</v>
      </c>
      <c r="AA268" s="49">
        <f ca="1">IFERROR(Tableau1[[#This Row],[Capitalisation boursière]]/Tableau1[[#This Row],[Employés]],"")</f>
        <v>1507935.0254767281</v>
      </c>
      <c r="AB268" s="5" t="str">
        <f>IFERROR(Tableau1[[#This Row],[REX (2021)]]/Tableau1[[#This Row],[CA 2024]],"")</f>
        <v/>
      </c>
      <c r="AC268" s="9" t="str">
        <f>IFERROR(_xlfn.XLOOKUP(Tableau1[[#This Row],[Isin]]&amp;1&amp;2021,#REF!,Tableau3[Résultat d''exploitation]),"")</f>
        <v/>
      </c>
      <c r="AD268" s="9" t="str">
        <f>IFERROR(_xlfn.XLOOKUP(Tableau1[[#This Row],[Isin]]&amp;1&amp;2019,#REF!,Tableau3[Chiffre d''affaires]),"")</f>
        <v/>
      </c>
      <c r="AE268" s="9" t="str">
        <f>IFERROR(_xlfn.XLOOKUP(Tableau1[[#This Row],[Isin]]&amp;1&amp;2024,#REF!,Tableau3[Chiffre d''affaires]),"")</f>
        <v/>
      </c>
      <c r="AF268" s="8" t="str">
        <f>IFERROR(IF((Tableau1[[#This Row],[CA 2024]]-Tableau1[[#This Row],[CA 2019]])/Tableau1[[#This Row],[CA 2019]]=-1,"",(Tableau1[[#This Row],[CA 2024]]-Tableau1[[#This Row],[CA 2019]])/Tableau1[[#This Row],[CA 2019]]),"")</f>
        <v/>
      </c>
      <c r="AG268" s="9" t="str">
        <f>IFERROR(_xlfn.XLOOKUP(Tableau1[[#This Row],[Isin]]&amp;1&amp;2021,#REF!,Tableau3[EBE]),"")</f>
        <v/>
      </c>
      <c r="AH268" s="9" t="str">
        <f>IFERROR(_xlfn.XLOOKUP(Tableau1[[#This Row],[Isin]]&amp;1&amp;2022,#REF!,Tableau3[EBE]),"")</f>
        <v/>
      </c>
      <c r="AI268" s="13" t="s">
        <v>4324</v>
      </c>
      <c r="AJ268" s="13" t="s">
        <v>4322</v>
      </c>
      <c r="AK268" s="13" t="s">
        <v>3148</v>
      </c>
      <c r="AL268" s="43" t="s">
        <v>4343</v>
      </c>
      <c r="AM268" s="43"/>
      <c r="AN268" s="9" t="str">
        <f>IFERROR(_xlfn.XLOOKUP(Tableau1[[#This Row],[Isin]]&amp;1&amp;2021,#REF!,Tableau3[Chiffre d''affaires]),"")</f>
        <v/>
      </c>
      <c r="AO268" s="43" cm="1">
        <f t="array" aca="1" ref="AO268" ca="1">_FV(Tableau1[[#This Row],[Code Excel]],"P/E",TRUE)</f>
        <v>23.279399999999999</v>
      </c>
      <c r="AP268" s="43" t="str">
        <f>IFERROR(_xlfn.XLOOKUP(Tableau1[[#This Row],[Isin]]&amp;1&amp;2023,#REF!,Tableau3[Résultat Net (PdG)]),"")</f>
        <v/>
      </c>
      <c r="AQ268" s="43">
        <f>IF(IFERROR(_xlfn.XLOOKUP(Tableau1[[#This Row],[Isin]]&amp;1&amp;2022,#REF!,Tableau3[Résultat Net (PdG)]),"")="",Tableau1[[#This Row],[RN Groupe 2022
Manuel]],IFERROR(_xlfn.XLOOKUP(Tableau1[[#This Row],[Isin]]&amp;1&amp;2022,#REF!,Tableau3[Résultat Net (PdG)]),""))</f>
        <v>0</v>
      </c>
      <c r="AR268" s="140"/>
      <c r="AS268" s="43">
        <f>IF(IFERROR(_xlfn.XLOOKUP(Tableau1[[#This Row],[Isin]]&amp;1&amp;2021,#REF!,Tableau3[Résultat Net (PdG)]),"")="",Tableau1[[#This Row],[RN Groupe 2021
Manuel]],IFERROR(_xlfn.XLOOKUP(Tableau1[[#This Row],[Isin]]&amp;1&amp;2021,#REF!,Tableau3[Résultat Net (PdG)]),""))</f>
        <v>0</v>
      </c>
      <c r="AT268" s="140"/>
      <c r="AU268" s="43" t="str">
        <f>IFERROR(_xlfn.XLOOKUP(Tableau1[[#This Row],[Isin]]&amp;1&amp;2020,#REF!,Tableau3[Résultat Net (PdG)]),"")</f>
        <v/>
      </c>
      <c r="AV268" s="43" t="str">
        <f>IFERROR(_xlfn.XLOOKUP(Tableau1[[#This Row],[Isin]]&amp;1&amp;2019,#REF!,Tableau3[Résultat Net (PdG)]),"")</f>
        <v/>
      </c>
      <c r="AW268" s="43" t="str">
        <f>IFERROR(_xlfn.XLOOKUP(Tableau1[[#This Row],[Isin]]&amp;1&amp;2018,#REF!,Tableau3[Résultat Net (PdG)]),"")</f>
        <v/>
      </c>
      <c r="AX268" s="43" t="str">
        <f>IFERROR(_xlfn.XLOOKUP(Tableau1[[#This Row],[Isin]]&amp;1&amp;2017,#REF!,Tableau3[Résultat Net (PdG)]),"")</f>
        <v/>
      </c>
      <c r="AY268" s="43" t="str">
        <f>IFERROR(_xlfn.XLOOKUP(Tableau1[[#This Row],[Isin]]&amp;1&amp;2016,#REF!,Tableau3[Résultat Net (PdG)]),"")</f>
        <v/>
      </c>
      <c r="AZ268" s="137" t="str">
        <f ca="1">IFERROR(Tableau1[[#This Row],[Capitalisation boursière]]/Tableau1[[#This Row],[RN Groupe 2023]],"")</f>
        <v/>
      </c>
      <c r="BA268" s="4" t="str" cm="1">
        <f t="array" aca="1" ref="BA268" ca="1">IFERROR(_FV(Tableau1[[#This Row],[Code Excel]],"Industrie"),"")</f>
        <v>Pharmaceuticals</v>
      </c>
      <c r="BB268" s="43" t="s">
        <v>3518</v>
      </c>
      <c r="BC268" s="43" t="str">
        <f>IFERROR(_xlfn.XLOOKUP(Tableau1[[#This Row],[Isin]]&amp;1&amp;2016,#REF!,Tableau3[Capi]),"")</f>
        <v/>
      </c>
      <c r="BD268" s="43" t="str">
        <f>IFERROR(_xlfn.XLOOKUP(Tableau1[[#This Row],[Isin]]&amp;1&amp;2017,#REF!,Tableau3[Capi]),"")</f>
        <v/>
      </c>
      <c r="BE268" s="43" t="str">
        <f>IFERROR(_xlfn.XLOOKUP(Tableau1[[#This Row],[Isin]]&amp;1&amp;2018,#REF!,Tableau3[Capi]),"")</f>
        <v/>
      </c>
      <c r="BF268" s="43" t="str">
        <f>IFERROR(_xlfn.XLOOKUP(Tableau1[[#This Row],[Isin]]&amp;1&amp;2019,#REF!,Tableau3[Capi]),"")</f>
        <v/>
      </c>
      <c r="BG268" s="43" t="str">
        <f>IFERROR(_xlfn.XLOOKUP(Tableau1[[#This Row],[Isin]]&amp;1&amp;2020,#REF!,Tableau3[Capi]),"")</f>
        <v/>
      </c>
      <c r="BH268" s="43">
        <f>IF(IFERROR(_xlfn.XLOOKUP(Tableau1[[#This Row],[Isin]]&amp;1&amp;2021,#REF!,Tableau3[Capi]),"")="",Tableau1[[#This Row],[Capitalisation 2021
Manuel]],IFERROR(_xlfn.XLOOKUP(Tableau1[[#This Row],[Isin]]&amp;1&amp;2021,#REF!,Tableau3[Capi]),""))</f>
        <v>0</v>
      </c>
      <c r="BI268" s="142"/>
      <c r="BJ268" s="141">
        <f>IF(IFERROR(_xlfn.XLOOKUP(Tableau1[[#This Row],[Isin]]&amp;1&amp;2022,#REF!,Tableau3[Capi]),"")="",Tableau1[[#This Row],[Capitalisation 2022
Manuel]],IFERROR(_xlfn.XLOOKUP(Tableau1[[#This Row],[Isin]]&amp;1&amp;2022,#REF!,Tableau3[Capi]),""))</f>
        <v>0</v>
      </c>
      <c r="BK268" s="142"/>
      <c r="BL268" s="43">
        <f ca="1">Tableau1[[#This Row],[Capitalisation boursière]]</f>
        <v>127551700000</v>
      </c>
      <c r="BM268" s="162" t="str" cm="1">
        <f t="array" aca="1" ref="BM268" ca="1">_FV(Tableau1[[#This Row],[Code Excel]],"Description")</f>
        <v>Sanofi sa est une société de santé basée en France. La Société se concentre sur les besoins des patients et participe à la recherche, au développement, à la fabrication et à la commercialisation de solutions thérapeutiques. Ses trois secteurs d'exploitation sont les suivants : produits pharmaceutiques, soins de santé grand public (CHC) et vaccins. Les produits pharmaceutiques comprennent : immunologie, sclérose en plaques / neurologie, oncologie, maladies rares, troubles sanguins rares, cardiovasculaire, diabète, produits d'ordonnance établis. Le segment vaccins comprend, pour l'ensemble des territoires géographiques, les activités commerciales de Sanofi Pasteur, ainsi que les activités de recherche, développement et production dédiées aux vaccins. Le segment CHC comprend les activités commerciales des produits de santé grand public de Sanofi, ainsi que les activités de recherche, développement et production dédiées à ces produits. Les produits de la Société développés en collaboration ou en franchise comprennent Dupixent, Aubagio, Lemtrada, Cerezyme, Lumizyme, Jevtana, Fabrazyme.</v>
      </c>
      <c r="BN268" s="43"/>
      <c r="BO268" s="43"/>
      <c r="BP268" s="43"/>
      <c r="BQ268" s="43"/>
      <c r="BR268" s="13"/>
      <c r="BS268" s="13"/>
      <c r="BT268" s="13"/>
      <c r="BU268" s="13"/>
      <c r="BV268" s="13"/>
      <c r="BW268" s="13"/>
      <c r="BX268" s="13"/>
      <c r="BY268" s="21"/>
      <c r="BZ268" s="13"/>
      <c r="CA268" s="13"/>
      <c r="CB268" s="13"/>
      <c r="CC268" s="13"/>
      <c r="CD268" s="13"/>
      <c r="CF268" s="4"/>
      <c r="CG268" s="4"/>
    </row>
    <row r="269" spans="3:85">
      <c r="C269" s="42"/>
      <c r="D269" s="42">
        <f>IF(Tableau1[[#This Row],[Isin]]="",99,Tableau1[[#This Row],[Intérêt]]+Tableau1[[#This Row],[Valeur d''intérêt]]+Tableau1[[#This Row],[N° Portefeuille]])</f>
        <v>20</v>
      </c>
      <c r="E269" s="42"/>
      <c r="F269" s="42">
        <f>IF(Tableau1[[#This Row],[Portefeuille]]="p",0,Tableau1[[#This Row],[F. Investissement
Niveau d''intérêt]]*10)</f>
        <v>20</v>
      </c>
      <c r="G269" s="42">
        <f>IF(Tableau1[[#This Row],[Portefeuille]]="p",3,0)</f>
        <v>0</v>
      </c>
      <c r="H269" s="42">
        <v>2</v>
      </c>
      <c r="I269" s="42">
        <v>2</v>
      </c>
      <c r="J269" s="42" t="s">
        <v>4357</v>
      </c>
      <c r="K269" s="43"/>
      <c r="L269" s="16">
        <v>1</v>
      </c>
      <c r="M26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69" s="44" t="s">
        <v>3279</v>
      </c>
      <c r="O269" s="44" t="s">
        <v>751</v>
      </c>
      <c r="P269" s="4" t="s">
        <v>564</v>
      </c>
      <c r="Q269" s="6" t="s">
        <v>85</v>
      </c>
      <c r="R269" s="6"/>
      <c r="S269" s="6" t="s">
        <v>825</v>
      </c>
      <c r="T269" s="6" t="e" vm="248">
        <v>#VALUE!</v>
      </c>
      <c r="U269" s="46" cm="1">
        <f t="array" aca="1" ref="U269" ca="1">IFERROR(_FV(Tableau1[[#This Row],[Code Excel]],"Capitalisation boursière",TRUE),"")</f>
        <v>303133400000</v>
      </c>
      <c r="V269" s="4" t="str" cm="1">
        <f t="array" aca="1" ref="V269" ca="1">IFERROR(_FV(Tableau1[[#This Row],[Code Excel]],"Industrie"),"")</f>
        <v>Software &amp; IT Services</v>
      </c>
      <c r="W269" s="4" t="s">
        <v>4333</v>
      </c>
      <c r="X269" s="4" t="str">
        <f ca="1">Tableau1[[#This Row],[Grand Secteur]]&amp;Tableau1[[#This Row],[Industrie]]</f>
        <v>Logiciels et TechnologieSoftware &amp; IT Services</v>
      </c>
      <c r="Y269" s="23" cm="1">
        <f t="array" aca="1" ref="Y269" ca="1">IFERROR(_FV(Tableau1[[#This Row],[Code Excel]],"P/E",TRUE),"")</f>
        <v>92.86</v>
      </c>
      <c r="Z269" s="43" cm="1">
        <f t="array" aca="1" ref="Z269" ca="1">IFERROR(_FV(Tableau1[[#This Row],[Code Excel]],"Employés"),"")</f>
        <v>109121</v>
      </c>
      <c r="AA269" s="49">
        <f ca="1">IFERROR(Tableau1[[#This Row],[Capitalisation boursière]]/Tableau1[[#This Row],[Employés]],"")</f>
        <v>2777956.5803099312</v>
      </c>
      <c r="AB269" s="5" t="str">
        <f>IFERROR(Tableau1[[#This Row],[REX (2021)]]/Tableau1[[#This Row],[CA 2024]],"")</f>
        <v/>
      </c>
      <c r="AC269" s="9" t="str">
        <f>IFERROR(_xlfn.XLOOKUP(Tableau1[[#This Row],[Isin]]&amp;1&amp;2021,#REF!,Tableau3[Résultat d''exploitation]),"")</f>
        <v/>
      </c>
      <c r="AD269" s="9" t="str">
        <f>IFERROR(_xlfn.XLOOKUP(Tableau1[[#This Row],[Isin]]&amp;1&amp;2019,#REF!,Tableau3[Chiffre d''affaires]),"")</f>
        <v/>
      </c>
      <c r="AE269" s="9" t="str">
        <f>IFERROR(_xlfn.XLOOKUP(Tableau1[[#This Row],[Isin]]&amp;1&amp;2024,#REF!,Tableau3[Chiffre d''affaires]),"")</f>
        <v/>
      </c>
      <c r="AF269" s="8" t="str">
        <f>IFERROR(IF((Tableau1[[#This Row],[CA 2024]]-Tableau1[[#This Row],[CA 2019]])/Tableau1[[#This Row],[CA 2019]]=-1,"",(Tableau1[[#This Row],[CA 2024]]-Tableau1[[#This Row],[CA 2019]])/Tableau1[[#This Row],[CA 2019]]),"")</f>
        <v/>
      </c>
      <c r="AG269" s="9" t="str">
        <f>IFERROR(_xlfn.XLOOKUP(Tableau1[[#This Row],[Isin]]&amp;1&amp;2021,#REF!,Tableau3[EBE]),"")</f>
        <v/>
      </c>
      <c r="AH269" s="9" t="str">
        <f>IFERROR(_xlfn.XLOOKUP(Tableau1[[#This Row],[Isin]]&amp;1&amp;2022,#REF!,Tableau3[EBE]),"")</f>
        <v/>
      </c>
      <c r="AI269" s="43" t="s">
        <v>4324</v>
      </c>
      <c r="AJ269" s="43" t="s">
        <v>4334</v>
      </c>
      <c r="AK269" s="43" t="s">
        <v>3148</v>
      </c>
      <c r="AL269" s="43" t="s">
        <v>3149</v>
      </c>
      <c r="AM269" s="43"/>
      <c r="AN269" s="9" t="str">
        <f>IFERROR(_xlfn.XLOOKUP(Tableau1[[#This Row],[Isin]]&amp;1&amp;2021,#REF!,Tableau3[Chiffre d''affaires]),"")</f>
        <v/>
      </c>
      <c r="AO269" s="43" cm="1">
        <f t="array" aca="1" ref="AO269" ca="1">_FV(Tableau1[[#This Row],[Code Excel]],"P/E",TRUE)</f>
        <v>92.86</v>
      </c>
      <c r="AP269" s="43" t="str">
        <f>IFERROR(_xlfn.XLOOKUP(Tableau1[[#This Row],[Isin]]&amp;1&amp;2023,#REF!,Tableau3[Résultat Net (PdG)]),"")</f>
        <v/>
      </c>
      <c r="AQ269" s="43">
        <f>IF(IFERROR(_xlfn.XLOOKUP(Tableau1[[#This Row],[Isin]]&amp;1&amp;2022,#REF!,Tableau3[Résultat Net (PdG)]),"")="",Tableau1[[#This Row],[RN Groupe 2022
Manuel]],IFERROR(_xlfn.XLOOKUP(Tableau1[[#This Row],[Isin]]&amp;1&amp;2022,#REF!,Tableau3[Résultat Net (PdG)]),""))</f>
        <v>0</v>
      </c>
      <c r="AR269" s="43"/>
      <c r="AS269" s="43">
        <f>IF(IFERROR(_xlfn.XLOOKUP(Tableau1[[#This Row],[Isin]]&amp;1&amp;2021,#REF!,Tableau3[Résultat Net (PdG)]),"")="",Tableau1[[#This Row],[RN Groupe 2021
Manuel]],IFERROR(_xlfn.XLOOKUP(Tableau1[[#This Row],[Isin]]&amp;1&amp;2021,#REF!,Tableau3[Résultat Net (PdG)]),""))</f>
        <v>0</v>
      </c>
      <c r="AT269" s="43"/>
      <c r="AU269" s="43" t="str">
        <f>IFERROR(_xlfn.XLOOKUP(Tableau1[[#This Row],[Isin]]&amp;1&amp;2020,#REF!,Tableau3[Résultat Net (PdG)]),"")</f>
        <v/>
      </c>
      <c r="AV269" s="43" t="str">
        <f>IFERROR(_xlfn.XLOOKUP(Tableau1[[#This Row],[Isin]]&amp;1&amp;2019,#REF!,Tableau3[Résultat Net (PdG)]),"")</f>
        <v/>
      </c>
      <c r="AW269" s="43" t="str">
        <f>IFERROR(_xlfn.XLOOKUP(Tableau1[[#This Row],[Isin]]&amp;1&amp;2018,#REF!,Tableau3[Résultat Net (PdG)]),"")</f>
        <v/>
      </c>
      <c r="AX269" s="43" t="str">
        <f>IFERROR(_xlfn.XLOOKUP(Tableau1[[#This Row],[Isin]]&amp;1&amp;2017,#REF!,Tableau3[Résultat Net (PdG)]),"")</f>
        <v/>
      </c>
      <c r="AY269" s="43" t="str">
        <f>IFERROR(_xlfn.XLOOKUP(Tableau1[[#This Row],[Isin]]&amp;1&amp;2016,#REF!,Tableau3[Résultat Net (PdG)]),"")</f>
        <v/>
      </c>
      <c r="AZ269" s="137" t="str">
        <f ca="1">IFERROR(Tableau1[[#This Row],[Capitalisation boursière]]/Tableau1[[#This Row],[RN Groupe 2023]],"")</f>
        <v/>
      </c>
      <c r="BA269" s="4" t="str" cm="1">
        <f t="array" aca="1" ref="BA269" ca="1">IFERROR(_FV(Tableau1[[#This Row],[Code Excel]],"Industrie"),"")</f>
        <v>Software &amp; IT Services</v>
      </c>
      <c r="BB269" s="43" t="s">
        <v>3487</v>
      </c>
      <c r="BC269" s="43" t="str">
        <f>IFERROR(_xlfn.XLOOKUP(Tableau1[[#This Row],[Isin]]&amp;1&amp;2016,#REF!,Tableau3[Capi]),"")</f>
        <v/>
      </c>
      <c r="BD269" s="43" t="str">
        <f>IFERROR(_xlfn.XLOOKUP(Tableau1[[#This Row],[Isin]]&amp;1&amp;2017,#REF!,Tableau3[Capi]),"")</f>
        <v/>
      </c>
      <c r="BE269" s="43" t="str">
        <f>IFERROR(_xlfn.XLOOKUP(Tableau1[[#This Row],[Isin]]&amp;1&amp;2018,#REF!,Tableau3[Capi]),"")</f>
        <v/>
      </c>
      <c r="BF269" s="43" t="str">
        <f>IFERROR(_xlfn.XLOOKUP(Tableau1[[#This Row],[Isin]]&amp;1&amp;2019,#REF!,Tableau3[Capi]),"")</f>
        <v/>
      </c>
      <c r="BG269" s="43" t="str">
        <f>IFERROR(_xlfn.XLOOKUP(Tableau1[[#This Row],[Isin]]&amp;1&amp;2020,#REF!,Tableau3[Capi]),"")</f>
        <v/>
      </c>
      <c r="BH269" s="43">
        <f>IF(IFERROR(_xlfn.XLOOKUP(Tableau1[[#This Row],[Isin]]&amp;1&amp;2021,#REF!,Tableau3[Capi]),"")="",Tableau1[[#This Row],[Capitalisation 2021
Manuel]],IFERROR(_xlfn.XLOOKUP(Tableau1[[#This Row],[Isin]]&amp;1&amp;2021,#REF!,Tableau3[Capi]),""))</f>
        <v>0</v>
      </c>
      <c r="BI269" s="43"/>
      <c r="BJ269" s="43">
        <f>IF(IFERROR(_xlfn.XLOOKUP(Tableau1[[#This Row],[Isin]]&amp;1&amp;2022,#REF!,Tableau3[Capi]),"")="",Tableau1[[#This Row],[Capitalisation 2022
Manuel]],IFERROR(_xlfn.XLOOKUP(Tableau1[[#This Row],[Isin]]&amp;1&amp;2022,#REF!,Tableau3[Capi]),""))</f>
        <v>0</v>
      </c>
      <c r="BK269" s="43"/>
      <c r="BL269" s="43">
        <f ca="1">Tableau1[[#This Row],[Capitalisation boursière]]</f>
        <v>303133400000</v>
      </c>
      <c r="BM269" s="162" t="str" cm="1">
        <f t="array" aca="1" ref="BM269" ca="1">_FV(Tableau1[[#This Row],[Code Excel]],"Description")</f>
        <v>SAP SE (SAP) est une société basée en Allemagne. La société fournit des logiciels d'applications commerciales. Elle opère à travers trois segments : Applications, Technologies et Services, qui se consacre à la vente de licences de logiciels, d'abonnements à ses applications basées sur le cloud et à ses services associés, principalement des services de support et divers services professionnels, ainsi que des services de support, de mise en œuvre de ses produits logiciels et des services éducatifs sur l'utilisation de ses produits ; le segment SAP Business Network, qui comprend ses réseaux commerciaux collaboratifs basés sur le cloud et les services liés au SAP Business Network, y compris les applications cloud, les services professionnels et les services éducatifs, ainsi que la commercialisation et la vente par la société d'offres cloud développées par SAP Ariba, SAP Fieldglass et Concur ; et le segment Expérience client, qui comprend des produits sur site et basés sur le cloud qui exécutent des fonctions de front-office sur l'ensemble de l'expérience client.</v>
      </c>
      <c r="BN269" s="43"/>
      <c r="BO269" s="43"/>
      <c r="BP269" s="43"/>
      <c r="BQ269" s="43"/>
      <c r="BR269" s="13"/>
      <c r="BS269" s="13"/>
      <c r="BT269" s="13"/>
      <c r="BU269" s="13"/>
      <c r="BV269" s="13"/>
      <c r="BW269" s="13"/>
      <c r="BX269" s="13"/>
      <c r="BY269" s="21"/>
      <c r="BZ269" s="13"/>
      <c r="CA269" s="13"/>
      <c r="CB269" s="13"/>
      <c r="CC269" s="13"/>
      <c r="CD269" s="13"/>
      <c r="CF269" s="4"/>
      <c r="CG269" s="4"/>
    </row>
    <row r="270" spans="3:85">
      <c r="C270" s="43"/>
      <c r="D270" s="42">
        <f>IF(Tableau1[[#This Row],[Isin]]="",99,Tableau1[[#This Row],[Intérêt]]+Tableau1[[#This Row],[Valeur d''intérêt]]+Tableau1[[#This Row],[N° Portefeuille]])</f>
        <v>30</v>
      </c>
      <c r="E270" s="43"/>
      <c r="F270" s="42">
        <f>IF(Tableau1[[#This Row],[Portefeuille]]="p",0,Tableau1[[#This Row],[F. Investissement
Niveau d''intérêt]]*10)</f>
        <v>30</v>
      </c>
      <c r="G270" s="43">
        <f>IF(Tableau1[[#This Row],[Portefeuille]]="p",3,0)</f>
        <v>0</v>
      </c>
      <c r="H270" s="42">
        <v>3</v>
      </c>
      <c r="I270" s="43">
        <v>4</v>
      </c>
      <c r="J270" s="43"/>
      <c r="K270" s="43"/>
      <c r="L270" s="16">
        <v>0</v>
      </c>
      <c r="M27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0" s="44" t="s">
        <v>4094</v>
      </c>
      <c r="O270" s="45"/>
      <c r="P270" s="4" t="s">
        <v>564</v>
      </c>
      <c r="Q270" s="4"/>
      <c r="R270" s="6"/>
      <c r="S270" s="6" t="s">
        <v>4095</v>
      </c>
      <c r="T270" s="6" t="e" vm="249">
        <v>#VALUE!</v>
      </c>
      <c r="U270" s="46" cm="1">
        <f t="array" aca="1" ref="U270" ca="1">IFERROR(_FV(Tableau1[[#This Row],[Code Excel]],"Capitalisation boursière",TRUE),"")</f>
        <v>14841220000</v>
      </c>
      <c r="V270" s="4" t="str" cm="1">
        <f t="array" aca="1" ref="V270" ca="1">IFERROR(_FV(Tableau1[[#This Row],[Code Excel]],"Industrie"),"")</f>
        <v>Healthcare Equipment &amp; Supplies</v>
      </c>
      <c r="W270" s="4" t="s">
        <v>1586</v>
      </c>
      <c r="X270" s="4" t="str">
        <f ca="1">Tableau1[[#This Row],[Grand Secteur]]&amp;Tableau1[[#This Row],[Industrie]]</f>
        <v>SantéHealthcare Equipment &amp; Supplies</v>
      </c>
      <c r="Y270" s="23" cm="1">
        <f t="array" aca="1" ref="Y270" ca="1">IFERROR(_FV(Tableau1[[#This Row],[Code Excel]],"P/E",TRUE),"")</f>
        <v>143.22</v>
      </c>
      <c r="Z270" s="43" cm="1">
        <f t="array" aca="1" ref="Z270" ca="1">IFERROR(_FV(Tableau1[[#This Row],[Code Excel]],"Employés"),"")</f>
        <v>13528</v>
      </c>
      <c r="AA270" s="49">
        <f ca="1">IFERROR(Tableau1[[#This Row],[Capitalisation boursière]]/Tableau1[[#This Row],[Employés]],"")</f>
        <v>1097074.2164399764</v>
      </c>
      <c r="AB270" s="5" t="str">
        <f>IFERROR(Tableau1[[#This Row],[REX (2021)]]/Tableau1[[#This Row],[CA 2024]],"")</f>
        <v/>
      </c>
      <c r="AC270" s="9" t="str">
        <f>IFERROR(_xlfn.XLOOKUP(Tableau1[[#This Row],[Isin]]&amp;1&amp;2021,#REF!,Tableau3[Résultat d''exploitation]),"")</f>
        <v/>
      </c>
      <c r="AD270" s="9" t="str">
        <f>IFERROR(_xlfn.XLOOKUP(Tableau1[[#This Row],[Isin]]&amp;1&amp;2019,#REF!,Tableau3[Chiffre d''affaires]),"")</f>
        <v/>
      </c>
      <c r="AE270" s="9" t="str">
        <f>IFERROR(_xlfn.XLOOKUP(Tableau1[[#This Row],[Isin]]&amp;1&amp;2024,#REF!,Tableau3[Chiffre d''affaires]),"")</f>
        <v/>
      </c>
      <c r="AF270" s="8" t="str">
        <f>IFERROR(IF((Tableau1[[#This Row],[CA 2024]]-Tableau1[[#This Row],[CA 2019]])/Tableau1[[#This Row],[CA 2019]]=-1,"",(Tableau1[[#This Row],[CA 2024]]-Tableau1[[#This Row],[CA 2019]])/Tableau1[[#This Row],[CA 2019]]),"")</f>
        <v/>
      </c>
      <c r="AG270" s="9" t="str">
        <f>IFERROR(_xlfn.XLOOKUP(Tableau1[[#This Row],[Isin]]&amp;1&amp;2021,#REF!,Tableau3[EBE]),"")</f>
        <v/>
      </c>
      <c r="AH270" s="9" t="str">
        <f>IFERROR(_xlfn.XLOOKUP(Tableau1[[#This Row],[Isin]]&amp;1&amp;2022,#REF!,Tableau3[EBE]),"")</f>
        <v/>
      </c>
      <c r="AI270" s="13" t="s">
        <v>4324</v>
      </c>
      <c r="AJ270" s="13" t="s">
        <v>4325</v>
      </c>
      <c r="AK270" s="13" t="s">
        <v>3148</v>
      </c>
      <c r="AL270" s="43"/>
      <c r="AM270" s="43"/>
      <c r="AN270" s="9" t="str">
        <f>IFERROR(_xlfn.XLOOKUP(Tableau1[[#This Row],[Isin]]&amp;1&amp;2021,#REF!,Tableau3[Chiffre d''affaires]),"")</f>
        <v/>
      </c>
      <c r="AO270" s="43" cm="1">
        <f t="array" aca="1" ref="AO270" ca="1">_FV(Tableau1[[#This Row],[Code Excel]],"P/E",TRUE)</f>
        <v>143.22</v>
      </c>
      <c r="AP270" s="43" t="str">
        <f>IFERROR(_xlfn.XLOOKUP(Tableau1[[#This Row],[Isin]]&amp;1&amp;2023,#REF!,Tableau3[Résultat Net (PdG)]),"")</f>
        <v/>
      </c>
      <c r="AQ270" s="43">
        <f>IF(IFERROR(_xlfn.XLOOKUP(Tableau1[[#This Row],[Isin]]&amp;1&amp;2022,#REF!,Tableau3[Résultat Net (PdG)]),"")="",Tableau1[[#This Row],[RN Groupe 2022
Manuel]],IFERROR(_xlfn.XLOOKUP(Tableau1[[#This Row],[Isin]]&amp;1&amp;2022,#REF!,Tableau3[Résultat Net (PdG)]),""))</f>
        <v>0</v>
      </c>
      <c r="AR270" s="43"/>
      <c r="AS270" s="43">
        <f>IF(IFERROR(_xlfn.XLOOKUP(Tableau1[[#This Row],[Isin]]&amp;1&amp;2021,#REF!,Tableau3[Résultat Net (PdG)]),"")="",Tableau1[[#This Row],[RN Groupe 2021
Manuel]],IFERROR(_xlfn.XLOOKUP(Tableau1[[#This Row],[Isin]]&amp;1&amp;2021,#REF!,Tableau3[Résultat Net (PdG)]),""))</f>
        <v>0</v>
      </c>
      <c r="AT270" s="43"/>
      <c r="AU270" s="43" t="str">
        <f>IFERROR(_xlfn.XLOOKUP(Tableau1[[#This Row],[Isin]]&amp;1&amp;2020,#REF!,Tableau3[Résultat Net (PdG)]),"")</f>
        <v/>
      </c>
      <c r="AV270" s="43" t="str">
        <f>IFERROR(_xlfn.XLOOKUP(Tableau1[[#This Row],[Isin]]&amp;1&amp;2019,#REF!,Tableau3[Résultat Net (PdG)]),"")</f>
        <v/>
      </c>
      <c r="AW270" s="43" t="str">
        <f>IFERROR(_xlfn.XLOOKUP(Tableau1[[#This Row],[Isin]]&amp;1&amp;2018,#REF!,Tableau3[Résultat Net (PdG)]),"")</f>
        <v/>
      </c>
      <c r="AX270" s="43" t="str">
        <f>IFERROR(_xlfn.XLOOKUP(Tableau1[[#This Row],[Isin]]&amp;1&amp;2017,#REF!,Tableau3[Résultat Net (PdG)]),"")</f>
        <v/>
      </c>
      <c r="AY270" s="43" t="str">
        <f>IFERROR(_xlfn.XLOOKUP(Tableau1[[#This Row],[Isin]]&amp;1&amp;2016,#REF!,Tableau3[Résultat Net (PdG)]),"")</f>
        <v/>
      </c>
      <c r="AZ270" s="137" t="str">
        <f ca="1">IFERROR(Tableau1[[#This Row],[Capitalisation boursière]]/Tableau1[[#This Row],[RN Groupe 2023]],"")</f>
        <v/>
      </c>
      <c r="BA270" s="4" t="str" cm="1">
        <f t="array" aca="1" ref="BA270" ca="1">IFERROR(_FV(Tableau1[[#This Row],[Code Excel]],"Industrie"),"")</f>
        <v>Healthcare Equipment &amp; Supplies</v>
      </c>
      <c r="BB270" s="43" t="s">
        <v>3487</v>
      </c>
      <c r="BC270" s="43" t="str">
        <f>IFERROR(_xlfn.XLOOKUP(Tableau1[[#This Row],[Isin]]&amp;1&amp;2016,#REF!,Tableau3[Capi]),"")</f>
        <v/>
      </c>
      <c r="BD270" s="43" t="str">
        <f>IFERROR(_xlfn.XLOOKUP(Tableau1[[#This Row],[Isin]]&amp;1&amp;2017,#REF!,Tableau3[Capi]),"")</f>
        <v/>
      </c>
      <c r="BE270" s="43" t="str">
        <f>IFERROR(_xlfn.XLOOKUP(Tableau1[[#This Row],[Isin]]&amp;1&amp;2018,#REF!,Tableau3[Capi]),"")</f>
        <v/>
      </c>
      <c r="BF270" s="43" t="str">
        <f>IFERROR(_xlfn.XLOOKUP(Tableau1[[#This Row],[Isin]]&amp;1&amp;2019,#REF!,Tableau3[Capi]),"")</f>
        <v/>
      </c>
      <c r="BG270" s="43" t="str">
        <f>IFERROR(_xlfn.XLOOKUP(Tableau1[[#This Row],[Isin]]&amp;1&amp;2020,#REF!,Tableau3[Capi]),"")</f>
        <v/>
      </c>
      <c r="BH270" s="43">
        <f>IF(IFERROR(_xlfn.XLOOKUP(Tableau1[[#This Row],[Isin]]&amp;1&amp;2021,#REF!,Tableau3[Capi]),"")="",Tableau1[[#This Row],[Capitalisation 2021
Manuel]],IFERROR(_xlfn.XLOOKUP(Tableau1[[#This Row],[Isin]]&amp;1&amp;2021,#REF!,Tableau3[Capi]),""))</f>
        <v>0</v>
      </c>
      <c r="BI270" s="43"/>
      <c r="BJ270" s="43">
        <f>IF(IFERROR(_xlfn.XLOOKUP(Tableau1[[#This Row],[Isin]]&amp;1&amp;2022,#REF!,Tableau3[Capi]),"")="",Tableau1[[#This Row],[Capitalisation 2022
Manuel]],IFERROR(_xlfn.XLOOKUP(Tableau1[[#This Row],[Isin]]&amp;1&amp;2022,#REF!,Tableau3[Capi]),""))</f>
        <v>0</v>
      </c>
      <c r="BK270" s="43"/>
      <c r="BL270" s="43">
        <f ca="1">Tableau1[[#This Row],[Capitalisation boursière]]</f>
        <v>14841220000</v>
      </c>
      <c r="BM270" s="162" t="str" cm="1">
        <f t="array" aca="1" ref="BM270" ca="1">_FV(Tableau1[[#This Row],[Code Excel]],"Description")</f>
        <v>Sartorius AG est un fournisseur allemand d'équipements pharmaceutiques et de laboratoire. Elle opère dans deux segments : les solutions de bioprocédés et les produits et services de laboratoire. Le segment des solutions de bioprocédés offre des solutions intégrées pour la fabrication biopharmaceutique, telles que des filtres pour la stérilisation des milieux biopharmaceutiques, des sacs à usage unique pour la culture cellulaire et le stockage des produits biopharmaceutiques, des adsorbeurs à membrane pour la purification dans les bioprocédés, la technologie de filtration pour la clarification, entre autres. Le segment produits et services de laboratoire fournit des instruments, des consommables et des services pour les laboratoires, notamment des balances de laboratoire, des systèmes d'eau de laboratoire pour le stockage de l'eau purifiée, des pipettes électroniques, des systèmes de filtration pour la préparation des échantillons et des systèmes de filtration à membrane pour les tests de stérilité parentérale.</v>
      </c>
      <c r="BN270" s="43"/>
      <c r="BO270" s="43"/>
      <c r="BP270" s="43"/>
      <c r="BQ270" s="43"/>
      <c r="BR270" s="13"/>
      <c r="BS270" s="13"/>
      <c r="BT270" s="13"/>
      <c r="BU270" s="13"/>
      <c r="BV270" s="13"/>
      <c r="BW270" s="13"/>
      <c r="BX270" s="13"/>
      <c r="BY270" s="21"/>
      <c r="BZ270" s="13"/>
      <c r="CA270" s="13"/>
      <c r="CB270" s="13"/>
      <c r="CC270" s="13"/>
      <c r="CD270" s="13"/>
      <c r="CF270" s="4"/>
      <c r="CG270" s="4"/>
    </row>
    <row r="271" spans="3:85">
      <c r="C271" s="42"/>
      <c r="D271" s="42">
        <f>IF(Tableau1[[#This Row],[Isin]]="",99,Tableau1[[#This Row],[Intérêt]]+Tableau1[[#This Row],[Valeur d''intérêt]]+Tableau1[[#This Row],[N° Portefeuille]])</f>
        <v>30</v>
      </c>
      <c r="E271" s="42"/>
      <c r="F271" s="42">
        <f>IF(Tableau1[[#This Row],[Portefeuille]]="p",0,Tableau1[[#This Row],[F. Investissement
Niveau d''intérêt]]*10)</f>
        <v>30</v>
      </c>
      <c r="G271" s="42">
        <f>IF(Tableau1[[#This Row],[Portefeuille]]="p",3,0)</f>
        <v>0</v>
      </c>
      <c r="H271" s="42">
        <v>3</v>
      </c>
      <c r="I271" s="42">
        <v>4</v>
      </c>
      <c r="J271" s="42"/>
      <c r="K271" s="43"/>
      <c r="L271" s="16">
        <v>0</v>
      </c>
      <c r="M27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1" s="44" t="s">
        <v>4097</v>
      </c>
      <c r="O271" s="45"/>
      <c r="P271" s="4" t="s">
        <v>84</v>
      </c>
      <c r="Q271" s="4"/>
      <c r="R271" s="6"/>
      <c r="S271" s="6" t="s">
        <v>4098</v>
      </c>
      <c r="T271" s="6" t="e" vm="250">
        <v>#VALUE!</v>
      </c>
      <c r="U271" s="46" cm="1">
        <f t="array" aca="1" ref="U271" ca="1">IFERROR(_FV(Tableau1[[#This Row],[Code Excel]],"Capitalisation boursière",TRUE),"")</f>
        <v>18069390000</v>
      </c>
      <c r="V271" s="4" t="str" cm="1">
        <f t="array" aca="1" ref="V271" ca="1">IFERROR(_FV(Tableau1[[#This Row],[Code Excel]],"Industrie"),"")</f>
        <v>Healthcare Equipment &amp; Supplies</v>
      </c>
      <c r="W271" s="4" t="s">
        <v>1586</v>
      </c>
      <c r="X271" s="4" t="str">
        <f ca="1">Tableau1[[#This Row],[Grand Secteur]]&amp;Tableau1[[#This Row],[Industrie]]</f>
        <v>SantéHealthcare Equipment &amp; Supplies</v>
      </c>
      <c r="Y271" s="23" cm="1">
        <f t="array" aca="1" ref="Y271" ca="1">IFERROR(_FV(Tableau1[[#This Row],[Code Excel]],"P/E",TRUE),"")</f>
        <v>102.6144</v>
      </c>
      <c r="Z271" s="43" cm="1">
        <f t="array" aca="1" ref="Z271" ca="1">IFERROR(_FV(Tableau1[[#This Row],[Code Excel]],"Employés"),"")</f>
        <v>9901</v>
      </c>
      <c r="AA271" s="49">
        <f ca="1">IFERROR(Tableau1[[#This Row],[Capitalisation boursière]]/Tableau1[[#This Row],[Employés]],"")</f>
        <v>1825006.5649934351</v>
      </c>
      <c r="AB271" s="5" t="str">
        <f>IFERROR(Tableau1[[#This Row],[REX (2021)]]/Tableau1[[#This Row],[CA 2024]],"")</f>
        <v/>
      </c>
      <c r="AC271" s="9" t="str">
        <f>IFERROR(_xlfn.XLOOKUP(Tableau1[[#This Row],[Isin]]&amp;1&amp;2021,#REF!,Tableau3[Résultat d''exploitation]),"")</f>
        <v/>
      </c>
      <c r="AD271" s="9" t="str">
        <f>IFERROR(_xlfn.XLOOKUP(Tableau1[[#This Row],[Isin]]&amp;1&amp;2019,#REF!,Tableau3[Chiffre d''affaires]),"")</f>
        <v/>
      </c>
      <c r="AE271" s="9" t="str">
        <f>IFERROR(_xlfn.XLOOKUP(Tableau1[[#This Row],[Isin]]&amp;1&amp;2024,#REF!,Tableau3[Chiffre d''affaires]),"")</f>
        <v/>
      </c>
      <c r="AF271" s="8" t="str">
        <f>IFERROR(IF((Tableau1[[#This Row],[CA 2024]]-Tableau1[[#This Row],[CA 2019]])/Tableau1[[#This Row],[CA 2019]]=-1,"",(Tableau1[[#This Row],[CA 2024]]-Tableau1[[#This Row],[CA 2019]])/Tableau1[[#This Row],[CA 2019]]),"")</f>
        <v/>
      </c>
      <c r="AG271" s="9" t="str">
        <f>IFERROR(_xlfn.XLOOKUP(Tableau1[[#This Row],[Isin]]&amp;1&amp;2021,#REF!,Tableau3[EBE]),"")</f>
        <v/>
      </c>
      <c r="AH271" s="9" t="str">
        <f>IFERROR(_xlfn.XLOOKUP(Tableau1[[#This Row],[Isin]]&amp;1&amp;2022,#REF!,Tableau3[EBE]),"")</f>
        <v/>
      </c>
      <c r="AI271" s="13" t="s">
        <v>4324</v>
      </c>
      <c r="AJ271" s="13" t="s">
        <v>4325</v>
      </c>
      <c r="AK271" s="13" t="s">
        <v>3148</v>
      </c>
      <c r="AL271" s="43"/>
      <c r="AM271" s="43"/>
      <c r="AN271" s="9" t="str">
        <f>IFERROR(_xlfn.XLOOKUP(Tableau1[[#This Row],[Isin]]&amp;1&amp;2021,#REF!,Tableau3[Chiffre d''affaires]),"")</f>
        <v/>
      </c>
      <c r="AO271" s="43" cm="1">
        <f t="array" aca="1" ref="AO271" ca="1">_FV(Tableau1[[#This Row],[Code Excel]],"P/E",TRUE)</f>
        <v>102.6144</v>
      </c>
      <c r="AP271" s="43" t="str">
        <f>IFERROR(_xlfn.XLOOKUP(Tableau1[[#This Row],[Isin]]&amp;1&amp;2023,#REF!,Tableau3[Résultat Net (PdG)]),"")</f>
        <v/>
      </c>
      <c r="AQ271" s="43">
        <f>IF(IFERROR(_xlfn.XLOOKUP(Tableau1[[#This Row],[Isin]]&amp;1&amp;2022,#REF!,Tableau3[Résultat Net (PdG)]),"")="",Tableau1[[#This Row],[RN Groupe 2022
Manuel]],IFERROR(_xlfn.XLOOKUP(Tableau1[[#This Row],[Isin]]&amp;1&amp;2022,#REF!,Tableau3[Résultat Net (PdG)]),""))</f>
        <v>0</v>
      </c>
      <c r="AR271" s="43"/>
      <c r="AS271" s="43">
        <f>IF(IFERROR(_xlfn.XLOOKUP(Tableau1[[#This Row],[Isin]]&amp;1&amp;2021,#REF!,Tableau3[Résultat Net (PdG)]),"")="",Tableau1[[#This Row],[RN Groupe 2021
Manuel]],IFERROR(_xlfn.XLOOKUP(Tableau1[[#This Row],[Isin]]&amp;1&amp;2021,#REF!,Tableau3[Résultat Net (PdG)]),""))</f>
        <v>0</v>
      </c>
      <c r="AT271" s="43"/>
      <c r="AU271" s="43" t="str">
        <f>IFERROR(_xlfn.XLOOKUP(Tableau1[[#This Row],[Isin]]&amp;1&amp;2020,#REF!,Tableau3[Résultat Net (PdG)]),"")</f>
        <v/>
      </c>
      <c r="AV271" s="43" t="str">
        <f>IFERROR(_xlfn.XLOOKUP(Tableau1[[#This Row],[Isin]]&amp;1&amp;2019,#REF!,Tableau3[Résultat Net (PdG)]),"")</f>
        <v/>
      </c>
      <c r="AW271" s="43" t="str">
        <f>IFERROR(_xlfn.XLOOKUP(Tableau1[[#This Row],[Isin]]&amp;1&amp;2018,#REF!,Tableau3[Résultat Net (PdG)]),"")</f>
        <v/>
      </c>
      <c r="AX271" s="43" t="str">
        <f>IFERROR(_xlfn.XLOOKUP(Tableau1[[#This Row],[Isin]]&amp;1&amp;2017,#REF!,Tableau3[Résultat Net (PdG)]),"")</f>
        <v/>
      </c>
      <c r="AY271" s="43" t="str">
        <f>IFERROR(_xlfn.XLOOKUP(Tableau1[[#This Row],[Isin]]&amp;1&amp;2016,#REF!,Tableau3[Résultat Net (PdG)]),"")</f>
        <v/>
      </c>
      <c r="AZ271" s="137" t="str">
        <f ca="1">IFERROR(Tableau1[[#This Row],[Capitalisation boursière]]/Tableau1[[#This Row],[RN Groupe 2023]],"")</f>
        <v/>
      </c>
      <c r="BA271" s="4" t="str" cm="1">
        <f t="array" aca="1" ref="BA271" ca="1">IFERROR(_FV(Tableau1[[#This Row],[Code Excel]],"Industrie"),"")</f>
        <v>Healthcare Equipment &amp; Supplies</v>
      </c>
      <c r="BB271" s="43" t="s">
        <v>3477</v>
      </c>
      <c r="BC271" s="43" t="str">
        <f>IFERROR(_xlfn.XLOOKUP(Tableau1[[#This Row],[Isin]]&amp;1&amp;2016,#REF!,Tableau3[Capi]),"")</f>
        <v/>
      </c>
      <c r="BD271" s="43" t="str">
        <f>IFERROR(_xlfn.XLOOKUP(Tableau1[[#This Row],[Isin]]&amp;1&amp;2017,#REF!,Tableau3[Capi]),"")</f>
        <v/>
      </c>
      <c r="BE271" s="43" t="str">
        <f>IFERROR(_xlfn.XLOOKUP(Tableau1[[#This Row],[Isin]]&amp;1&amp;2018,#REF!,Tableau3[Capi]),"")</f>
        <v/>
      </c>
      <c r="BF271" s="43" t="str">
        <f>IFERROR(_xlfn.XLOOKUP(Tableau1[[#This Row],[Isin]]&amp;1&amp;2019,#REF!,Tableau3[Capi]),"")</f>
        <v/>
      </c>
      <c r="BG271" s="43" t="str">
        <f>IFERROR(_xlfn.XLOOKUP(Tableau1[[#This Row],[Isin]]&amp;1&amp;2020,#REF!,Tableau3[Capi]),"")</f>
        <v/>
      </c>
      <c r="BH271" s="43">
        <f>IF(IFERROR(_xlfn.XLOOKUP(Tableau1[[#This Row],[Isin]]&amp;1&amp;2021,#REF!,Tableau3[Capi]),"")="",Tableau1[[#This Row],[Capitalisation 2021
Manuel]],IFERROR(_xlfn.XLOOKUP(Tableau1[[#This Row],[Isin]]&amp;1&amp;2021,#REF!,Tableau3[Capi]),""))</f>
        <v>0</v>
      </c>
      <c r="BI271" s="43"/>
      <c r="BJ271" s="43">
        <f>IF(IFERROR(_xlfn.XLOOKUP(Tableau1[[#This Row],[Isin]]&amp;1&amp;2022,#REF!,Tableau3[Capi]),"")="",Tableau1[[#This Row],[Capitalisation 2022
Manuel]],IFERROR(_xlfn.XLOOKUP(Tableau1[[#This Row],[Isin]]&amp;1&amp;2022,#REF!,Tableau3[Capi]),""))</f>
        <v>0</v>
      </c>
      <c r="BK271" s="43"/>
      <c r="BL271" s="43">
        <f ca="1">Tableau1[[#This Row],[Capitalisation boursière]]</f>
        <v>18069390000</v>
      </c>
      <c r="BM271" s="162" t="str" cm="1">
        <f t="array" aca="1" ref="BM271" ca="1">_FV(Tableau1[[#This Row],[Code Excel]],"Description")</f>
        <v>SARTORIUS STEDIM BIOTECH S.A. est un fournisseur international basé en France de laboratoire et des technologies des procédés et des équipements. La société couvre les secteurs de la biotechnologie et de la mécatronique. Sartorius fournit des services qui aident les clients à mettre en œuvre des procédés complexes et critiques de qualité dans les environnements de production et de laboratoire biopharmaceutique de façon efficace. Les clients de la société sont les industries biotech, pharma et de l'alimentation, ainsi que des laboratoires et des instituts de recherche publics. Sartorius exploite ses propres installations de production en Europe, Asie et Amérique et a également des bureaux de vente et des représentants locaux dans plus de 110 pays. La société opère par le biais de ses filiales, y compris Sartorius Stedim Austria GmbH, Sartorius Stedim Plastics GmbH, BioOutsource Ltd et Wave Biotech AG, entre autres.</v>
      </c>
      <c r="BN271" s="43"/>
      <c r="BO271" s="43"/>
      <c r="BP271" s="43"/>
      <c r="BQ271" s="43"/>
      <c r="BR271" s="13"/>
      <c r="BS271" s="13"/>
      <c r="BT271" s="13"/>
      <c r="BU271" s="13"/>
      <c r="BV271" s="13"/>
      <c r="BW271" s="13"/>
      <c r="BX271" s="13"/>
      <c r="BY271" s="21"/>
      <c r="BZ271" s="13"/>
      <c r="CA271" s="13"/>
      <c r="CB271" s="13"/>
      <c r="CC271" s="13"/>
      <c r="CD271" s="13"/>
      <c r="CF271" s="4"/>
      <c r="CG271" s="4"/>
    </row>
    <row r="272" spans="3:85">
      <c r="C272" s="43"/>
      <c r="D272" s="42">
        <f>IF(Tableau1[[#This Row],[Isin]]="",99,Tableau1[[#This Row],[Intérêt]]+Tableau1[[#This Row],[Valeur d''intérêt]]+Tableau1[[#This Row],[N° Portefeuille]])</f>
        <v>20</v>
      </c>
      <c r="E272" s="43"/>
      <c r="F272" s="42">
        <f>IF(Tableau1[[#This Row],[Portefeuille]]="p",0,Tableau1[[#This Row],[F. Investissement
Niveau d''intérêt]]*10)</f>
        <v>20</v>
      </c>
      <c r="G272" s="43">
        <f>IF(Tableau1[[#This Row],[Portefeuille]]="p",3,0)</f>
        <v>0</v>
      </c>
      <c r="H272" s="42">
        <v>2</v>
      </c>
      <c r="I272" s="43">
        <v>2</v>
      </c>
      <c r="J272" s="43"/>
      <c r="K272" s="43"/>
      <c r="L272" s="16">
        <v>1</v>
      </c>
      <c r="M27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2" s="44" t="s">
        <v>4100</v>
      </c>
      <c r="O272" s="44" t="s">
        <v>4396</v>
      </c>
      <c r="P272" s="4" t="s">
        <v>84</v>
      </c>
      <c r="Q272" s="6" t="s">
        <v>85</v>
      </c>
      <c r="R272" s="6"/>
      <c r="S272" s="6" t="s">
        <v>2461</v>
      </c>
      <c r="T272" s="6" t="e" vm="251">
        <v>#VALUE!</v>
      </c>
      <c r="U272" s="46" cm="1">
        <f t="array" aca="1" ref="U272" ca="1">IFERROR(_FV(Tableau1[[#This Row],[Code Excel]],"Capitalisation boursière",TRUE),"")</f>
        <v>124998400000</v>
      </c>
      <c r="V272" s="4" t="str" cm="1">
        <f t="array" aca="1" ref="V272" ca="1">IFERROR(_FV(Tableau1[[#This Row],[Code Excel]],"Industrie"),"")</f>
        <v>Machinery, Equipment &amp; Components</v>
      </c>
      <c r="W272" s="4" t="s">
        <v>4321</v>
      </c>
      <c r="X272" s="4" t="str">
        <f ca="1">Tableau1[[#This Row],[Grand Secteur]]&amp;Tableau1[[#This Row],[Industrie]]</f>
        <v>EquipementiersMachinery, Equipment &amp; Components</v>
      </c>
      <c r="Y272" s="23" cm="1">
        <f t="array" aca="1" ref="Y272" ca="1">IFERROR(_FV(Tableau1[[#This Row],[Code Excel]],"P/E",TRUE),"")</f>
        <v>28.525500000000001</v>
      </c>
      <c r="Z272" s="43" cm="1">
        <f t="array" aca="1" ref="Z272" ca="1">IFERROR(_FV(Tableau1[[#This Row],[Code Excel]],"Employés"),"")</f>
        <v>176962</v>
      </c>
      <c r="AA272" s="46">
        <f ca="1">IFERROR(Tableau1[[#This Row],[Capitalisation boursière]]/Tableau1[[#This Row],[Employés]],"")</f>
        <v>706357.29704682366</v>
      </c>
      <c r="AB272" s="5" t="str">
        <f>IFERROR(Tableau1[[#This Row],[REX (2021)]]/Tableau1[[#This Row],[CA 2024]],"")</f>
        <v/>
      </c>
      <c r="AC272" s="9" t="str">
        <f>IFERROR(_xlfn.XLOOKUP(Tableau1[[#This Row],[Isin]]&amp;1&amp;2021,#REF!,Tableau3[Résultat d''exploitation]),"")</f>
        <v/>
      </c>
      <c r="AD272" s="9" t="str">
        <f>IFERROR(_xlfn.XLOOKUP(Tableau1[[#This Row],[Isin]]&amp;1&amp;2019,#REF!,Tableau3[Chiffre d''affaires]),"")</f>
        <v/>
      </c>
      <c r="AE272" s="9" t="str">
        <f>IFERROR(_xlfn.XLOOKUP(Tableau1[[#This Row],[Isin]]&amp;1&amp;2024,#REF!,Tableau3[Chiffre d''affaires]),"")</f>
        <v/>
      </c>
      <c r="AF272" s="8" t="str">
        <f>IFERROR(IF((Tableau1[[#This Row],[CA 2024]]-Tableau1[[#This Row],[CA 2019]])/Tableau1[[#This Row],[CA 2019]]=-1,"",(Tableau1[[#This Row],[CA 2024]]-Tableau1[[#This Row],[CA 2019]])/Tableau1[[#This Row],[CA 2019]]),"")</f>
        <v/>
      </c>
      <c r="AG272" s="9" t="str">
        <f>IFERROR(_xlfn.XLOOKUP(Tableau1[[#This Row],[Isin]]&amp;1&amp;2021,#REF!,Tableau3[EBE]),"")</f>
        <v/>
      </c>
      <c r="AH272" s="9" t="str">
        <f>IFERROR(_xlfn.XLOOKUP(Tableau1[[#This Row],[Isin]]&amp;1&amp;2022,#REF!,Tableau3[EBE]),"")</f>
        <v/>
      </c>
      <c r="AI272" s="43" t="s">
        <v>4343</v>
      </c>
      <c r="AJ272" s="43" t="s">
        <v>4322</v>
      </c>
      <c r="AK272" s="43" t="s">
        <v>3431</v>
      </c>
      <c r="AL272" s="43" t="s">
        <v>3148</v>
      </c>
      <c r="AM272" s="43"/>
      <c r="AN272" s="9" t="str">
        <f>IFERROR(_xlfn.XLOOKUP(Tableau1[[#This Row],[Isin]]&amp;1&amp;2021,#REF!,Tableau3[Chiffre d''affaires]),"")</f>
        <v/>
      </c>
      <c r="AO272" s="43" cm="1">
        <f t="array" aca="1" ref="AO272" ca="1">_FV(Tableau1[[#This Row],[Code Excel]],"P/E",TRUE)</f>
        <v>28.525500000000001</v>
      </c>
      <c r="AP272" s="43" t="str">
        <f>IFERROR(_xlfn.XLOOKUP(Tableau1[[#This Row],[Isin]]&amp;1&amp;2023,#REF!,Tableau3[Résultat Net (PdG)]),"")</f>
        <v/>
      </c>
      <c r="AQ272" s="43">
        <f>IF(IFERROR(_xlfn.XLOOKUP(Tableau1[[#This Row],[Isin]]&amp;1&amp;2022,#REF!,Tableau3[Résultat Net (PdG)]),"")="",Tableau1[[#This Row],[RN Groupe 2022
Manuel]],IFERROR(_xlfn.XLOOKUP(Tableau1[[#This Row],[Isin]]&amp;1&amp;2022,#REF!,Tableau3[Résultat Net (PdG)]),""))</f>
        <v>0</v>
      </c>
      <c r="AR272" s="140"/>
      <c r="AS272" s="43">
        <f>IF(IFERROR(_xlfn.XLOOKUP(Tableau1[[#This Row],[Isin]]&amp;1&amp;2021,#REF!,Tableau3[Résultat Net (PdG)]),"")="",Tableau1[[#This Row],[RN Groupe 2021
Manuel]],IFERROR(_xlfn.XLOOKUP(Tableau1[[#This Row],[Isin]]&amp;1&amp;2021,#REF!,Tableau3[Résultat Net (PdG)]),""))</f>
        <v>0</v>
      </c>
      <c r="AT272" s="140"/>
      <c r="AU272" s="43" t="str">
        <f>IFERROR(_xlfn.XLOOKUP(Tableau1[[#This Row],[Isin]]&amp;1&amp;2020,#REF!,Tableau3[Résultat Net (PdG)]),"")</f>
        <v/>
      </c>
      <c r="AV272" s="43" t="str">
        <f>IFERROR(_xlfn.XLOOKUP(Tableau1[[#This Row],[Isin]]&amp;1&amp;2019,#REF!,Tableau3[Résultat Net (PdG)]),"")</f>
        <v/>
      </c>
      <c r="AW272" s="43" t="str">
        <f>IFERROR(_xlfn.XLOOKUP(Tableau1[[#This Row],[Isin]]&amp;1&amp;2018,#REF!,Tableau3[Résultat Net (PdG)]),"")</f>
        <v/>
      </c>
      <c r="AX272" s="43" t="str">
        <f>IFERROR(_xlfn.XLOOKUP(Tableau1[[#This Row],[Isin]]&amp;1&amp;2017,#REF!,Tableau3[Résultat Net (PdG)]),"")</f>
        <v/>
      </c>
      <c r="AY272" s="43" t="str">
        <f>IFERROR(_xlfn.XLOOKUP(Tableau1[[#This Row],[Isin]]&amp;1&amp;2016,#REF!,Tableau3[Résultat Net (PdG)]),"")</f>
        <v/>
      </c>
      <c r="AZ272" s="137" t="str">
        <f ca="1">IFERROR(Tableau1[[#This Row],[Capitalisation boursière]]/Tableau1[[#This Row],[RN Groupe 2023]],"")</f>
        <v/>
      </c>
      <c r="BA272" s="4" t="str" cm="1">
        <f t="array" aca="1" ref="BA272" ca="1">IFERROR(_FV(Tableau1[[#This Row],[Code Excel]],"Industrie"),"")</f>
        <v>Machinery, Equipment &amp; Components</v>
      </c>
      <c r="BB272" s="43" t="s">
        <v>3518</v>
      </c>
      <c r="BC272" s="43" t="str">
        <f>IFERROR(_xlfn.XLOOKUP(Tableau1[[#This Row],[Isin]]&amp;1&amp;2016,#REF!,Tableau3[Capi]),"")</f>
        <v/>
      </c>
      <c r="BD272" s="43" t="str">
        <f>IFERROR(_xlfn.XLOOKUP(Tableau1[[#This Row],[Isin]]&amp;1&amp;2017,#REF!,Tableau3[Capi]),"")</f>
        <v/>
      </c>
      <c r="BE272" s="43" t="str">
        <f>IFERROR(_xlfn.XLOOKUP(Tableau1[[#This Row],[Isin]]&amp;1&amp;2018,#REF!,Tableau3[Capi]),"")</f>
        <v/>
      </c>
      <c r="BF272" s="43" t="str">
        <f>IFERROR(_xlfn.XLOOKUP(Tableau1[[#This Row],[Isin]]&amp;1&amp;2019,#REF!,Tableau3[Capi]),"")</f>
        <v/>
      </c>
      <c r="BG272" s="43" t="str">
        <f>IFERROR(_xlfn.XLOOKUP(Tableau1[[#This Row],[Isin]]&amp;1&amp;2020,#REF!,Tableau3[Capi]),"")</f>
        <v/>
      </c>
      <c r="BH272" s="43">
        <f>IF(IFERROR(_xlfn.XLOOKUP(Tableau1[[#This Row],[Isin]]&amp;1&amp;2021,#REF!,Tableau3[Capi]),"")="",Tableau1[[#This Row],[Capitalisation 2021
Manuel]],IFERROR(_xlfn.XLOOKUP(Tableau1[[#This Row],[Isin]]&amp;1&amp;2021,#REF!,Tableau3[Capi]),""))</f>
        <v>81482808000</v>
      </c>
      <c r="BI272" s="142">
        <v>81482808000</v>
      </c>
      <c r="BJ272" s="141">
        <f>IF(IFERROR(_xlfn.XLOOKUP(Tableau1[[#This Row],[Isin]]&amp;1&amp;2022,#REF!,Tableau3[Capi]),"")="",Tableau1[[#This Row],[Capitalisation 2022
Manuel]],IFERROR(_xlfn.XLOOKUP(Tableau1[[#This Row],[Isin]]&amp;1&amp;2022,#REF!,Tableau3[Capi]),""))</f>
        <v>86783567000</v>
      </c>
      <c r="BK272" s="142">
        <v>86783567000</v>
      </c>
      <c r="BL272" s="43">
        <f ca="1">Tableau1[[#This Row],[Capitalisation boursière]]</f>
        <v>124998400000</v>
      </c>
      <c r="BM272" s="162" t="str" cm="1">
        <f t="array" aca="1" ref="BM272" ca="1">_FV(Tableau1[[#This Row],[Code Excel]],"Description")</f>
        <v>Schneider Electric se est une société basée en France qui fournit des solutions liées à l'énergie dans le monde entier. La société est spécialisée dans la transformation numérique de la gestion de l'énergie et de l'automatisation dans les maisons, les bâtiments, les centres de données, les infrastructures et les industries. Présent dans 115 pays, Schneider Electric se fournit des produits de gestion de l'énergie - moyenne tension, basse tension et énergie sécurisée, et des systèmes d'automatisation. La Société fournit des solutions intégrées d'efficacité qui combinent la gestion de l'énergie, l'automatisation et les logiciels. L'écosystème construit par la Société lui permet de collaborer sur sa plateforme ouverte avec une communauté de partenaires, intégrateurs et développeurs pour offrir à ses clients à la fois contrôle et efficacité opérationnelle en temps réel. Ses ventes sont réparties géographiquement en France, en Europe de l'Ouest, aux Etats-Unis , en Amérique du Nord, en Chine, en Asie ou Pacifique et autres.</v>
      </c>
      <c r="BN272" s="43"/>
      <c r="BO272" s="43"/>
      <c r="BP272" s="43"/>
      <c r="BQ272" s="43"/>
      <c r="BR272" s="13"/>
      <c r="BS272" s="13"/>
      <c r="BT272" s="13"/>
      <c r="BU272" s="13"/>
      <c r="BV272" s="13"/>
      <c r="BW272" s="13"/>
      <c r="BX272" s="13"/>
      <c r="BY272" s="21"/>
      <c r="BZ272" s="13"/>
      <c r="CA272" s="13"/>
      <c r="CB272" s="13"/>
      <c r="CC272" s="13"/>
      <c r="CD272" s="13"/>
      <c r="CF272" s="4"/>
      <c r="CG272" s="4"/>
    </row>
    <row r="273" spans="3:85">
      <c r="C273" s="42"/>
      <c r="D273" s="42">
        <f>IF(Tableau1[[#This Row],[Isin]]="",99,Tableau1[[#This Row],[Intérêt]]+Tableau1[[#This Row],[Valeur d''intérêt]]+Tableau1[[#This Row],[N° Portefeuille]])</f>
        <v>30</v>
      </c>
      <c r="E273" s="43"/>
      <c r="F273" s="42">
        <f>IF(Tableau1[[#This Row],[Portefeuille]]="p",0,Tableau1[[#This Row],[F. Investissement
Niveau d''intérêt]]*10)</f>
        <v>30</v>
      </c>
      <c r="G273" s="43">
        <f>IF(Tableau1[[#This Row],[Portefeuille]]="p",3,0)</f>
        <v>0</v>
      </c>
      <c r="H273" s="43">
        <v>3</v>
      </c>
      <c r="I273" s="43">
        <v>1</v>
      </c>
      <c r="J273" s="42" t="s">
        <v>4357</v>
      </c>
      <c r="K273" s="43"/>
      <c r="L273" s="16">
        <v>1</v>
      </c>
      <c r="M27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3" s="44" t="s">
        <v>2149</v>
      </c>
      <c r="O273" s="44" t="s">
        <v>4418</v>
      </c>
      <c r="P273" s="4" t="s">
        <v>84</v>
      </c>
      <c r="Q273" s="6" t="s">
        <v>85</v>
      </c>
      <c r="R273" s="6"/>
      <c r="S273" s="6" t="s">
        <v>2152</v>
      </c>
      <c r="T273" s="6" t="e" vm="252">
        <v>#VALUE!</v>
      </c>
      <c r="U273" s="46" cm="1">
        <f t="array" aca="1" ref="U273" ca="1">IFERROR(_FV(Tableau1[[#This Row],[Code Excel]],"Capitalisation boursière",TRUE),"")</f>
        <v>4953984000</v>
      </c>
      <c r="V273" s="4" t="str" cm="1">
        <f t="array" aca="1" ref="V273" ca="1">IFERROR(_FV(Tableau1[[#This Row],[Code Excel]],"Industrie"),"")</f>
        <v>Insurance</v>
      </c>
      <c r="W273" s="4" t="s">
        <v>4336</v>
      </c>
      <c r="X273" s="4" t="str">
        <f ca="1">Tableau1[[#This Row],[Grand Secteur]]&amp;Tableau1[[#This Row],[Industrie]]</f>
        <v>AssuranceInsurance</v>
      </c>
      <c r="Y273" s="23" cm="1">
        <f t="array" aca="1" ref="Y273" ca="1">IFERROR(_FV(Tableau1[[#This Row],[Code Excel]],"P/E",TRUE),"")</f>
        <v>1249.7737999999999</v>
      </c>
      <c r="Z273" s="43" cm="1">
        <f t="array" aca="1" ref="Z273" ca="1">IFERROR(_FV(Tableau1[[#This Row],[Code Excel]],"Employés"),"")</f>
        <v>3621</v>
      </c>
      <c r="AA273" s="46">
        <f ca="1">IFERROR(Tableau1[[#This Row],[Capitalisation boursière]]/Tableau1[[#This Row],[Employés]],"")</f>
        <v>1368125.9320629661</v>
      </c>
      <c r="AB273" s="5" t="str">
        <f>IFERROR(Tableau1[[#This Row],[REX (2021)]]/Tableau1[[#This Row],[CA 2024]],"")</f>
        <v/>
      </c>
      <c r="AC273" s="9" t="str">
        <f>IFERROR(_xlfn.XLOOKUP(Tableau1[[#This Row],[Isin]]&amp;1&amp;2021,#REF!,Tableau3[Résultat d''exploitation]),"")</f>
        <v/>
      </c>
      <c r="AD273" s="9" t="str">
        <f>IFERROR(_xlfn.XLOOKUP(Tableau1[[#This Row],[Isin]]&amp;1&amp;2019,#REF!,Tableau3[Chiffre d''affaires]),"")</f>
        <v/>
      </c>
      <c r="AE273" s="9" t="str">
        <f>IFERROR(_xlfn.XLOOKUP(Tableau1[[#This Row],[Isin]]&amp;1&amp;2024,#REF!,Tableau3[Chiffre d''affaires]),"")</f>
        <v/>
      </c>
      <c r="AF273" s="8" t="str">
        <f>IFERROR(IF((Tableau1[[#This Row],[CA 2024]]-Tableau1[[#This Row],[CA 2019]])/Tableau1[[#This Row],[CA 2019]]=-1,"",(Tableau1[[#This Row],[CA 2024]]-Tableau1[[#This Row],[CA 2019]])/Tableau1[[#This Row],[CA 2019]]),"")</f>
        <v/>
      </c>
      <c r="AG273" s="9" t="str">
        <f>IFERROR(_xlfn.XLOOKUP(Tableau1[[#This Row],[Isin]]&amp;1&amp;2021,#REF!,Tableau3[EBE]),"")</f>
        <v/>
      </c>
      <c r="AH273" s="9" t="str">
        <f>IFERROR(_xlfn.XLOOKUP(Tableau1[[#This Row],[Isin]]&amp;1&amp;2022,#REF!,Tableau3[EBE]),"")</f>
        <v/>
      </c>
      <c r="AI273" s="43" t="s">
        <v>4343</v>
      </c>
      <c r="AJ273" s="43" t="s">
        <v>4322</v>
      </c>
      <c r="AK273" s="43" t="s">
        <v>3431</v>
      </c>
      <c r="AL273" s="43" t="s">
        <v>4338</v>
      </c>
      <c r="AM273" s="43"/>
      <c r="AN273" s="9" t="str">
        <f>IFERROR(_xlfn.XLOOKUP(Tableau1[[#This Row],[Isin]]&amp;1&amp;2021,#REF!,Tableau3[Chiffre d''affaires]),"")</f>
        <v/>
      </c>
      <c r="AO273" s="43" cm="1">
        <f t="array" aca="1" ref="AO273" ca="1">_FV(Tableau1[[#This Row],[Code Excel]],"P/E",TRUE)</f>
        <v>1249.7737999999999</v>
      </c>
      <c r="AP273" s="43" t="str">
        <f>IFERROR(_xlfn.XLOOKUP(Tableau1[[#This Row],[Isin]]&amp;1&amp;2023,#REF!,Tableau3[Résultat Net (PdG)]),"")</f>
        <v/>
      </c>
      <c r="AQ273" s="43">
        <f>IF(IFERROR(_xlfn.XLOOKUP(Tableau1[[#This Row],[Isin]]&amp;1&amp;2022,#REF!,Tableau3[Résultat Net (PdG)]),"")="",Tableau1[[#This Row],[RN Groupe 2022
Manuel]],IFERROR(_xlfn.XLOOKUP(Tableau1[[#This Row],[Isin]]&amp;1&amp;2022,#REF!,Tableau3[Résultat Net (PdG)]),""))</f>
        <v>0</v>
      </c>
      <c r="AR273" s="43"/>
      <c r="AS273" s="43">
        <f>IF(IFERROR(_xlfn.XLOOKUP(Tableau1[[#This Row],[Isin]]&amp;1&amp;2021,#REF!,Tableau3[Résultat Net (PdG)]),"")="",Tableau1[[#This Row],[RN Groupe 2021
Manuel]],IFERROR(_xlfn.XLOOKUP(Tableau1[[#This Row],[Isin]]&amp;1&amp;2021,#REF!,Tableau3[Résultat Net (PdG)]),""))</f>
        <v>0</v>
      </c>
      <c r="AT273" s="43"/>
      <c r="AU273" s="43" t="str">
        <f>IFERROR(_xlfn.XLOOKUP(Tableau1[[#This Row],[Isin]]&amp;1&amp;2020,#REF!,Tableau3[Résultat Net (PdG)]),"")</f>
        <v/>
      </c>
      <c r="AV273" s="43" t="str">
        <f>IFERROR(_xlfn.XLOOKUP(Tableau1[[#This Row],[Isin]]&amp;1&amp;2019,#REF!,Tableau3[Résultat Net (PdG)]),"")</f>
        <v/>
      </c>
      <c r="AW273" s="43" t="str">
        <f>IFERROR(_xlfn.XLOOKUP(Tableau1[[#This Row],[Isin]]&amp;1&amp;2018,#REF!,Tableau3[Résultat Net (PdG)]),"")</f>
        <v/>
      </c>
      <c r="AX273" s="43" t="str">
        <f>IFERROR(_xlfn.XLOOKUP(Tableau1[[#This Row],[Isin]]&amp;1&amp;2017,#REF!,Tableau3[Résultat Net (PdG)]),"")</f>
        <v/>
      </c>
      <c r="AY273" s="43" t="str">
        <f>IFERROR(_xlfn.XLOOKUP(Tableau1[[#This Row],[Isin]]&amp;1&amp;2016,#REF!,Tableau3[Résultat Net (PdG)]),"")</f>
        <v/>
      </c>
      <c r="AZ273" s="137" t="str">
        <f ca="1">IFERROR(Tableau1[[#This Row],[Capitalisation boursière]]/Tableau1[[#This Row],[RN Groupe 2023]],"")</f>
        <v/>
      </c>
      <c r="BA273" s="4" t="str" cm="1">
        <f t="array" aca="1" ref="BA273" ca="1">IFERROR(_FV(Tableau1[[#This Row],[Code Excel]],"Industrie"),"")</f>
        <v>Insurance</v>
      </c>
      <c r="BB273" s="43" t="s">
        <v>3477</v>
      </c>
      <c r="BC273" s="43" t="str">
        <f>IFERROR(_xlfn.XLOOKUP(Tableau1[[#This Row],[Isin]]&amp;1&amp;2016,#REF!,Tableau3[Capi]),"")</f>
        <v/>
      </c>
      <c r="BD273" s="43" t="str">
        <f>IFERROR(_xlfn.XLOOKUP(Tableau1[[#This Row],[Isin]]&amp;1&amp;2017,#REF!,Tableau3[Capi]),"")</f>
        <v/>
      </c>
      <c r="BE273" s="43" t="str">
        <f>IFERROR(_xlfn.XLOOKUP(Tableau1[[#This Row],[Isin]]&amp;1&amp;2018,#REF!,Tableau3[Capi]),"")</f>
        <v/>
      </c>
      <c r="BF273" s="43" t="str">
        <f>IFERROR(_xlfn.XLOOKUP(Tableau1[[#This Row],[Isin]]&amp;1&amp;2019,#REF!,Tableau3[Capi]),"")</f>
        <v/>
      </c>
      <c r="BG273" s="43" t="str">
        <f>IFERROR(_xlfn.XLOOKUP(Tableau1[[#This Row],[Isin]]&amp;1&amp;2020,#REF!,Tableau3[Capi]),"")</f>
        <v/>
      </c>
      <c r="BH273" s="43">
        <f>IF(IFERROR(_xlfn.XLOOKUP(Tableau1[[#This Row],[Isin]]&amp;1&amp;2021,#REF!,Tableau3[Capi]),"")="",Tableau1[[#This Row],[Capitalisation 2021
Manuel]],IFERROR(_xlfn.XLOOKUP(Tableau1[[#This Row],[Isin]]&amp;1&amp;2021,#REF!,Tableau3[Capi]),""))</f>
        <v>0</v>
      </c>
      <c r="BI273" s="43"/>
      <c r="BJ273" s="43">
        <f>IF(IFERROR(_xlfn.XLOOKUP(Tableau1[[#This Row],[Isin]]&amp;1&amp;2022,#REF!,Tableau3[Capi]),"")="",Tableau1[[#This Row],[Capitalisation 2022
Manuel]],IFERROR(_xlfn.XLOOKUP(Tableau1[[#This Row],[Isin]]&amp;1&amp;2022,#REF!,Tableau3[Capi]),""))</f>
        <v>0</v>
      </c>
      <c r="BK273" s="43"/>
      <c r="BL273" s="43">
        <f ca="1">Tableau1[[#This Row],[Capitalisation boursière]]</f>
        <v>4953984000</v>
      </c>
      <c r="BM273" s="162" t="str" cm="1">
        <f t="array" aca="1" ref="BM273" ca="1">_FV(Tableau1[[#This Row],[Code Excel]],"Description")</f>
        <v>SCOR se est une société française spécialisée dans la réassurance vie et non-vie. Les segments de la Société comprennent la réassurance non-vie et la réassurance-vie. Les divisions de la Société comprennent SCOR Global P&amp;C, SCOR Global Life et SCOR Global Investments. Le secteur non-vie de la Société est divisé en quatre secteurs d'activité : les traités sur les biens et les risques divers ; les traités spécialisés ; les solutions d'affaires (souscription de grands comptes d'entreprise) et les entreprises et partenariats. Il couvre tous les risques assurables des groupes industriels et des sociétés de services (grands comptes corporatifs). Le pôle d'activité traités de biens et risques divers de la Société souscrit des traités de réassurance proportionnelle et non proportionnelle. Ses traités de dommages couvrent généralement les risques initiaux de responsabilité générale, de responsabilité du fait des produits ou d'indemnisation professionnelle. Le secteur Global Life de la Société souscrit aux activités de réassurance vie dans les gammes de produits, telles que la protection, les solutions financières et la longévité.</v>
      </c>
      <c r="BN273" s="43"/>
      <c r="BO273" s="43"/>
      <c r="BP273" s="43"/>
      <c r="BQ273" s="43"/>
      <c r="BR273" s="13"/>
      <c r="BS273" s="13"/>
      <c r="BT273" s="13"/>
      <c r="BU273" s="13"/>
      <c r="BV273" s="13"/>
      <c r="BW273" s="13"/>
      <c r="BX273" s="13"/>
      <c r="BY273" s="21"/>
      <c r="BZ273" s="13"/>
      <c r="CA273" s="13"/>
      <c r="CB273" s="13"/>
      <c r="CC273" s="13"/>
      <c r="CD273" s="13"/>
      <c r="CF273" s="4"/>
      <c r="CG273" s="4"/>
    </row>
    <row r="274" spans="3:85">
      <c r="C274" s="43"/>
      <c r="D274" s="42">
        <f>IF(Tableau1[[#This Row],[Isin]]="",99,Tableau1[[#This Row],[Intérêt]]+Tableau1[[#This Row],[Valeur d''intérêt]]+Tableau1[[#This Row],[N° Portefeuille]])</f>
        <v>30</v>
      </c>
      <c r="E274" s="43"/>
      <c r="F274" s="42">
        <f>IF(Tableau1[[#This Row],[Portefeuille]]="p",0,Tableau1[[#This Row],[F. Investissement
Niveau d''intérêt]]*10)</f>
        <v>30</v>
      </c>
      <c r="G274" s="43">
        <f>IF(Tableau1[[#This Row],[Portefeuille]]="p",3,0)</f>
        <v>0</v>
      </c>
      <c r="H274" s="42">
        <v>3</v>
      </c>
      <c r="I274" s="43">
        <v>3</v>
      </c>
      <c r="J274" s="43"/>
      <c r="K274" s="43"/>
      <c r="L274" s="16">
        <v>1</v>
      </c>
      <c r="M27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4" s="44" t="s">
        <v>3425</v>
      </c>
      <c r="O274" s="44" t="s">
        <v>2419</v>
      </c>
      <c r="P274" s="4" t="s">
        <v>84</v>
      </c>
      <c r="Q274" s="6" t="s">
        <v>85</v>
      </c>
      <c r="R274" s="6"/>
      <c r="S274" s="6" t="s">
        <v>2420</v>
      </c>
      <c r="T274" s="6" t="e" vm="253">
        <v>#VALUE!</v>
      </c>
      <c r="U274" s="46" cm="1">
        <f t="array" aca="1" ref="U274" ca="1">IFERROR(_FV(Tableau1[[#This Row],[Code Excel]],"Capitalisation boursière",TRUE),"")</f>
        <v>4897393000</v>
      </c>
      <c r="V274" s="4" t="str" cm="1">
        <f t="array" aca="1" ref="V274" ca="1">IFERROR(_FV(Tableau1[[#This Row],[Code Excel]],"Industrie"),"")</f>
        <v>Household Goods</v>
      </c>
      <c r="W274" s="4" t="s">
        <v>1315</v>
      </c>
      <c r="X274" s="4" t="str">
        <f ca="1">Tableau1[[#This Row],[Grand Secteur]]&amp;Tableau1[[#This Row],[Industrie]]</f>
        <v>Biens de consommationHousehold Goods</v>
      </c>
      <c r="Y274" s="23" cm="1">
        <f t="array" aca="1" ref="Y274" ca="1">IFERROR(_FV(Tableau1[[#This Row],[Code Excel]],"P/E",TRUE),"")</f>
        <v>20.7776</v>
      </c>
      <c r="Z274" s="43" cm="1">
        <f t="array" aca="1" ref="Z274" ca="1">IFERROR(_FV(Tableau1[[#This Row],[Code Excel]],"Employés"),"")</f>
        <v>31338</v>
      </c>
      <c r="AA274" s="46">
        <f ca="1">IFERROR(Tableau1[[#This Row],[Capitalisation boursière]]/Tableau1[[#This Row],[Employés]],"")</f>
        <v>156276.50137213606</v>
      </c>
      <c r="AB274" s="5" t="str">
        <f>IFERROR(Tableau1[[#This Row],[REX (2021)]]/Tableau1[[#This Row],[CA 2024]],"")</f>
        <v/>
      </c>
      <c r="AC274" s="9" t="str">
        <f>IFERROR(_xlfn.XLOOKUP(Tableau1[[#This Row],[Isin]]&amp;1&amp;2021,#REF!,Tableau3[Résultat d''exploitation]),"")</f>
        <v/>
      </c>
      <c r="AD274" s="9" t="str">
        <f>IFERROR(_xlfn.XLOOKUP(Tableau1[[#This Row],[Isin]]&amp;1&amp;2019,#REF!,Tableau3[Chiffre d''affaires]),"")</f>
        <v/>
      </c>
      <c r="AE274" s="9" t="str">
        <f>IFERROR(_xlfn.XLOOKUP(Tableau1[[#This Row],[Isin]]&amp;1&amp;2024,#REF!,Tableau3[Chiffre d''affaires]),"")</f>
        <v/>
      </c>
      <c r="AF274" s="8" t="str">
        <f>IFERROR(IF((Tableau1[[#This Row],[CA 2024]]-Tableau1[[#This Row],[CA 2019]])/Tableau1[[#This Row],[CA 2019]]=-1,"",(Tableau1[[#This Row],[CA 2024]]-Tableau1[[#This Row],[CA 2019]])/Tableau1[[#This Row],[CA 2019]]),"")</f>
        <v/>
      </c>
      <c r="AG274" s="9" t="str">
        <f>IFERROR(_xlfn.XLOOKUP(Tableau1[[#This Row],[Isin]]&amp;1&amp;2021,#REF!,Tableau3[EBE]),"")</f>
        <v/>
      </c>
      <c r="AH274" s="9" t="str">
        <f>IFERROR(_xlfn.XLOOKUP(Tableau1[[#This Row],[Isin]]&amp;1&amp;2022,#REF!,Tableau3[EBE]),"")</f>
        <v/>
      </c>
      <c r="AI274" s="43" t="s">
        <v>4329</v>
      </c>
      <c r="AJ274" s="43" t="s">
        <v>4331</v>
      </c>
      <c r="AK274" s="43" t="s">
        <v>3431</v>
      </c>
      <c r="AL274" s="43" t="s">
        <v>3431</v>
      </c>
      <c r="AM274" s="43"/>
      <c r="AN274" s="9" t="str">
        <f>IFERROR(_xlfn.XLOOKUP(Tableau1[[#This Row],[Isin]]&amp;1&amp;2021,#REF!,Tableau3[Chiffre d''affaires]),"")</f>
        <v/>
      </c>
      <c r="AO274" s="43" cm="1">
        <f t="array" aca="1" ref="AO274" ca="1">_FV(Tableau1[[#This Row],[Code Excel]],"P/E",TRUE)</f>
        <v>20.7776</v>
      </c>
      <c r="AP274" s="43" t="str">
        <f>IFERROR(_xlfn.XLOOKUP(Tableau1[[#This Row],[Isin]]&amp;1&amp;2023,#REF!,Tableau3[Résultat Net (PdG)]),"")</f>
        <v/>
      </c>
      <c r="AQ274" s="43">
        <f>IF(IFERROR(_xlfn.XLOOKUP(Tableau1[[#This Row],[Isin]]&amp;1&amp;2022,#REF!,Tableau3[Résultat Net (PdG)]),"")="",Tableau1[[#This Row],[RN Groupe 2022
Manuel]],IFERROR(_xlfn.XLOOKUP(Tableau1[[#This Row],[Isin]]&amp;1&amp;2022,#REF!,Tableau3[Résultat Net (PdG)]),""))</f>
        <v>0</v>
      </c>
      <c r="AR274" s="43"/>
      <c r="AS274" s="43">
        <f>IF(IFERROR(_xlfn.XLOOKUP(Tableau1[[#This Row],[Isin]]&amp;1&amp;2021,#REF!,Tableau3[Résultat Net (PdG)]),"")="",Tableau1[[#This Row],[RN Groupe 2021
Manuel]],IFERROR(_xlfn.XLOOKUP(Tableau1[[#This Row],[Isin]]&amp;1&amp;2021,#REF!,Tableau3[Résultat Net (PdG)]),""))</f>
        <v>0</v>
      </c>
      <c r="AT274" s="43"/>
      <c r="AU274" s="43" t="str">
        <f>IFERROR(_xlfn.XLOOKUP(Tableau1[[#This Row],[Isin]]&amp;1&amp;2020,#REF!,Tableau3[Résultat Net (PdG)]),"")</f>
        <v/>
      </c>
      <c r="AV274" s="43" t="str">
        <f>IFERROR(_xlfn.XLOOKUP(Tableau1[[#This Row],[Isin]]&amp;1&amp;2019,#REF!,Tableau3[Résultat Net (PdG)]),"")</f>
        <v/>
      </c>
      <c r="AW274" s="43" t="str">
        <f>IFERROR(_xlfn.XLOOKUP(Tableau1[[#This Row],[Isin]]&amp;1&amp;2018,#REF!,Tableau3[Résultat Net (PdG)]),"")</f>
        <v/>
      </c>
      <c r="AX274" s="43" t="str">
        <f>IFERROR(_xlfn.XLOOKUP(Tableau1[[#This Row],[Isin]]&amp;1&amp;2017,#REF!,Tableau3[Résultat Net (PdG)]),"")</f>
        <v/>
      </c>
      <c r="AY274" s="43" t="str">
        <f>IFERROR(_xlfn.XLOOKUP(Tableau1[[#This Row],[Isin]]&amp;1&amp;2016,#REF!,Tableau3[Résultat Net (PdG)]),"")</f>
        <v/>
      </c>
      <c r="AZ274" s="137" t="str">
        <f ca="1">IFERROR(Tableau1[[#This Row],[Capitalisation boursière]]/Tableau1[[#This Row],[RN Groupe 2023]],"")</f>
        <v/>
      </c>
      <c r="BA274" s="4" t="str" cm="1">
        <f t="array" aca="1" ref="BA274" ca="1">IFERROR(_FV(Tableau1[[#This Row],[Code Excel]],"Industrie"),"")</f>
        <v>Household Goods</v>
      </c>
      <c r="BB274" s="43" t="s">
        <v>3477</v>
      </c>
      <c r="BC274" s="43" t="str">
        <f>IFERROR(_xlfn.XLOOKUP(Tableau1[[#This Row],[Isin]]&amp;1&amp;2016,#REF!,Tableau3[Capi]),"")</f>
        <v/>
      </c>
      <c r="BD274" s="43" t="str">
        <f>IFERROR(_xlfn.XLOOKUP(Tableau1[[#This Row],[Isin]]&amp;1&amp;2017,#REF!,Tableau3[Capi]),"")</f>
        <v/>
      </c>
      <c r="BE274" s="43" t="str">
        <f>IFERROR(_xlfn.XLOOKUP(Tableau1[[#This Row],[Isin]]&amp;1&amp;2018,#REF!,Tableau3[Capi]),"")</f>
        <v/>
      </c>
      <c r="BF274" s="43" t="str">
        <f>IFERROR(_xlfn.XLOOKUP(Tableau1[[#This Row],[Isin]]&amp;1&amp;2019,#REF!,Tableau3[Capi]),"")</f>
        <v/>
      </c>
      <c r="BG274" s="43" t="str">
        <f>IFERROR(_xlfn.XLOOKUP(Tableau1[[#This Row],[Isin]]&amp;1&amp;2020,#REF!,Tableau3[Capi]),"")</f>
        <v/>
      </c>
      <c r="BH274" s="43">
        <f>IF(IFERROR(_xlfn.XLOOKUP(Tableau1[[#This Row],[Isin]]&amp;1&amp;2021,#REF!,Tableau3[Capi]),"")="",Tableau1[[#This Row],[Capitalisation 2021
Manuel]],IFERROR(_xlfn.XLOOKUP(Tableau1[[#This Row],[Isin]]&amp;1&amp;2021,#REF!,Tableau3[Capi]),""))</f>
        <v>0</v>
      </c>
      <c r="BI274" s="43"/>
      <c r="BJ274" s="43">
        <f>IF(IFERROR(_xlfn.XLOOKUP(Tableau1[[#This Row],[Isin]]&amp;1&amp;2022,#REF!,Tableau3[Capi]),"")="",Tableau1[[#This Row],[Capitalisation 2022
Manuel]],IFERROR(_xlfn.XLOOKUP(Tableau1[[#This Row],[Isin]]&amp;1&amp;2022,#REF!,Tableau3[Capi]),""))</f>
        <v>0</v>
      </c>
      <c r="BK274" s="43"/>
      <c r="BL274" s="43">
        <f ca="1">Tableau1[[#This Row],[Capitalisation boursière]]</f>
        <v>4897393000</v>
      </c>
      <c r="BM274" s="162" t="str" cm="1">
        <f t="array" aca="1" ref="BM274" ca="1">_FV(Tableau1[[#This Row],[Code Excel]],"Description")</f>
        <v>SEB sa est un fabricant français d'équipements ménagers. La société est présente dans trois secteurs complémentaires : les ustensiles de cuisine, les appareils électriques de cuisine et les soins personnels et domestiques. Le secteur des ustensiles de cuisine comprend les poêles à frire, les plats au four, les autocuiseurs, les ustensiles de cuisine, entre autres. The Kitchen Electrics est divisé en deux groupes plus petits : la cuisson électrique, qui comprend les friteuses, les fours de table, les cuiseurs à riz, les plaques à induction, les barbecues, les appareils de repas informels et la préparation, qui se compose de robots de cuisine, batteurs, mélangeurs, mélangeurs, centrifugeuses, cafetières. Le Home and Personal Care est divisé en soins du linge (y compris les fers à vapeur et les générateurs de vapeur), soins à domicile (ventilateurs, radiateurs portatifs et appareils de climatisation, entre autres) et soins personnels (appareils de soins capillaires, épilateurs, pèse-personne). SEB sa possède six marques multirégionales : All-Clad, Rowenta, Moulinex, Tefal, Lagostina et Krups. Il fonctionne via SWIZZZ PROZZ.</v>
      </c>
      <c r="BN274" s="43"/>
      <c r="BO274" s="43"/>
      <c r="BP274" s="43"/>
      <c r="BQ274" s="43"/>
      <c r="BR274" s="13"/>
      <c r="BS274" s="13"/>
      <c r="BT274" s="13"/>
      <c r="BU274" s="13"/>
      <c r="BV274" s="13"/>
      <c r="BW274" s="13"/>
      <c r="BX274" s="13"/>
      <c r="BY274" s="21"/>
      <c r="BZ274" s="13"/>
      <c r="CA274" s="13"/>
      <c r="CB274" s="13"/>
      <c r="CC274" s="13"/>
      <c r="CD274" s="13"/>
      <c r="CF274" s="4"/>
      <c r="CG274" s="4"/>
    </row>
    <row r="275" spans="3:85">
      <c r="C275" s="42"/>
      <c r="D275" s="42">
        <f>IF(Tableau1[[#This Row],[Isin]]="",99,Tableau1[[#This Row],[Intérêt]]+Tableau1[[#This Row],[Valeur d''intérêt]]+Tableau1[[#This Row],[N° Portefeuille]])</f>
        <v>30</v>
      </c>
      <c r="E275" s="42"/>
      <c r="F275" s="42">
        <f>IF(Tableau1[[#This Row],[Portefeuille]]="p",0,Tableau1[[#This Row],[F. Investissement
Niveau d''intérêt]]*10)</f>
        <v>30</v>
      </c>
      <c r="G275" s="42">
        <f>IF(Tableau1[[#This Row],[Portefeuille]]="p",3,0)</f>
        <v>0</v>
      </c>
      <c r="H275" s="42">
        <v>3</v>
      </c>
      <c r="I275" s="42">
        <v>4</v>
      </c>
      <c r="J275" s="42"/>
      <c r="K275" s="43"/>
      <c r="L275" s="16">
        <v>1</v>
      </c>
      <c r="M27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5" s="44" t="s">
        <v>4105</v>
      </c>
      <c r="O275" s="44" t="s">
        <v>1073</v>
      </c>
      <c r="P275" s="4" t="s">
        <v>290</v>
      </c>
      <c r="Q275" s="6" t="s">
        <v>85</v>
      </c>
      <c r="R275" s="6"/>
      <c r="S275" s="6" t="s">
        <v>1088</v>
      </c>
      <c r="T275" s="6" t="e" vm="254">
        <v>#VALUE!</v>
      </c>
      <c r="U275" s="46" cm="1">
        <f t="array" aca="1" ref="U275" ca="1">IFERROR(_FV(Tableau1[[#This Row],[Code Excel]],"Capitalisation boursière",TRUE),"")</f>
        <v>2482823000</v>
      </c>
      <c r="V275" s="4" t="str" cm="1">
        <f t="array" aca="1" ref="V275" ca="1">IFERROR(_FV(Tableau1[[#This Row],[Code Excel]],"Industrie"),"")</f>
        <v>Telecommunications Services</v>
      </c>
      <c r="W275" s="4" t="s">
        <v>1737</v>
      </c>
      <c r="X275" s="4" t="str">
        <f ca="1">Tableau1[[#This Row],[Grand Secteur]]&amp;Tableau1[[#This Row],[Industrie]]</f>
        <v>TélécommunicationTelecommunications Services</v>
      </c>
      <c r="Y275" s="23" cm="1">
        <f t="array" aca="1" ref="Y275" ca="1">IFERROR(_FV(Tableau1[[#This Row],[Code Excel]],"P/E",TRUE),"")</f>
        <v>0</v>
      </c>
      <c r="Z275" s="43" cm="1">
        <f t="array" aca="1" ref="Z275" ca="1">IFERROR(_FV(Tableau1[[#This Row],[Code Excel]],"Employés"),"")</f>
        <v>2118</v>
      </c>
      <c r="AA275" s="49">
        <f ca="1">IFERROR(Tableau1[[#This Row],[Capitalisation boursière]]/Tableau1[[#This Row],[Employés]],"")</f>
        <v>1172248.819641171</v>
      </c>
      <c r="AB275" s="5" t="str">
        <f>IFERROR(Tableau1[[#This Row],[REX (2021)]]/Tableau1[[#This Row],[CA 2024]],"")</f>
        <v/>
      </c>
      <c r="AC275" s="9" t="str">
        <f>IFERROR(_xlfn.XLOOKUP(Tableau1[[#This Row],[Isin]]&amp;1&amp;2021,#REF!,Tableau3[Résultat d''exploitation]),"")</f>
        <v/>
      </c>
      <c r="AD275" s="9" t="str">
        <f>IFERROR(_xlfn.XLOOKUP(Tableau1[[#This Row],[Isin]]&amp;1&amp;2019,#REF!,Tableau3[Chiffre d''affaires]),"")</f>
        <v/>
      </c>
      <c r="AE275" s="9" t="str">
        <f>IFERROR(_xlfn.XLOOKUP(Tableau1[[#This Row],[Isin]]&amp;1&amp;2024,#REF!,Tableau3[Chiffre d''affaires]),"")</f>
        <v/>
      </c>
      <c r="AF275" s="8" t="str">
        <f>IFERROR(IF((Tableau1[[#This Row],[CA 2024]]-Tableau1[[#This Row],[CA 2019]])/Tableau1[[#This Row],[CA 2019]]=-1,"",(Tableau1[[#This Row],[CA 2024]]-Tableau1[[#This Row],[CA 2019]])/Tableau1[[#This Row],[CA 2019]]),"")</f>
        <v/>
      </c>
      <c r="AG275" s="9" t="str">
        <f>IFERROR(_xlfn.XLOOKUP(Tableau1[[#This Row],[Isin]]&amp;1&amp;2021,#REF!,Tableau3[EBE]),"")</f>
        <v/>
      </c>
      <c r="AH275" s="9" t="str">
        <f>IFERROR(_xlfn.XLOOKUP(Tableau1[[#This Row],[Isin]]&amp;1&amp;2022,#REF!,Tableau3[EBE]),"")</f>
        <v/>
      </c>
      <c r="AI275" s="13" t="s">
        <v>4324</v>
      </c>
      <c r="AJ275" s="43" t="s">
        <v>4376</v>
      </c>
      <c r="AK275" s="43" t="s">
        <v>4377</v>
      </c>
      <c r="AL275" s="43" t="s">
        <v>3149</v>
      </c>
      <c r="AM275" s="43"/>
      <c r="AN275" s="9" t="str">
        <f>IFERROR(_xlfn.XLOOKUP(Tableau1[[#This Row],[Isin]]&amp;1&amp;2021,#REF!,Tableau3[Chiffre d''affaires]),"")</f>
        <v/>
      </c>
      <c r="AO275" s="43" cm="1">
        <f t="array" aca="1" ref="AO275" ca="1">_FV(Tableau1[[#This Row],[Code Excel]],"P/E",TRUE)</f>
        <v>0</v>
      </c>
      <c r="AP275" s="43" t="str">
        <f>IFERROR(_xlfn.XLOOKUP(Tableau1[[#This Row],[Isin]]&amp;1&amp;2023,#REF!,Tableau3[Résultat Net (PdG)]),"")</f>
        <v/>
      </c>
      <c r="AQ275" s="43">
        <f>IF(IFERROR(_xlfn.XLOOKUP(Tableau1[[#This Row],[Isin]]&amp;1&amp;2022,#REF!,Tableau3[Résultat Net (PdG)]),"")="",Tableau1[[#This Row],[RN Groupe 2022
Manuel]],IFERROR(_xlfn.XLOOKUP(Tableau1[[#This Row],[Isin]]&amp;1&amp;2022,#REF!,Tableau3[Résultat Net (PdG)]),""))</f>
        <v>0</v>
      </c>
      <c r="AR275" s="43"/>
      <c r="AS275" s="43">
        <f>IF(IFERROR(_xlfn.XLOOKUP(Tableau1[[#This Row],[Isin]]&amp;1&amp;2021,#REF!,Tableau3[Résultat Net (PdG)]),"")="",Tableau1[[#This Row],[RN Groupe 2021
Manuel]],IFERROR(_xlfn.XLOOKUP(Tableau1[[#This Row],[Isin]]&amp;1&amp;2021,#REF!,Tableau3[Résultat Net (PdG)]),""))</f>
        <v>0</v>
      </c>
      <c r="AT275" s="43"/>
      <c r="AU275" s="43" t="str">
        <f>IFERROR(_xlfn.XLOOKUP(Tableau1[[#This Row],[Isin]]&amp;1&amp;2020,#REF!,Tableau3[Résultat Net (PdG)]),"")</f>
        <v/>
      </c>
      <c r="AV275" s="43" t="str">
        <f>IFERROR(_xlfn.XLOOKUP(Tableau1[[#This Row],[Isin]]&amp;1&amp;2019,#REF!,Tableau3[Résultat Net (PdG)]),"")</f>
        <v/>
      </c>
      <c r="AW275" s="43" t="str">
        <f>IFERROR(_xlfn.XLOOKUP(Tableau1[[#This Row],[Isin]]&amp;1&amp;2018,#REF!,Tableau3[Résultat Net (PdG)]),"")</f>
        <v/>
      </c>
      <c r="AX275" s="43" t="str">
        <f>IFERROR(_xlfn.XLOOKUP(Tableau1[[#This Row],[Isin]]&amp;1&amp;2017,#REF!,Tableau3[Résultat Net (PdG)]),"")</f>
        <v/>
      </c>
      <c r="AY275" s="43" t="str">
        <f>IFERROR(_xlfn.XLOOKUP(Tableau1[[#This Row],[Isin]]&amp;1&amp;2016,#REF!,Tableau3[Résultat Net (PdG)]),"")</f>
        <v/>
      </c>
      <c r="AZ275" s="137" t="str">
        <f ca="1">IFERROR(Tableau1[[#This Row],[Capitalisation boursière]]/Tableau1[[#This Row],[RN Groupe 2023]],"")</f>
        <v/>
      </c>
      <c r="BA275" s="4" t="str" cm="1">
        <f t="array" aca="1" ref="BA275" ca="1">IFERROR(_FV(Tableau1[[#This Row],[Code Excel]],"Industrie"),"")</f>
        <v>Telecommunications Services</v>
      </c>
      <c r="BB275" s="43" t="s">
        <v>3477</v>
      </c>
      <c r="BC275" s="43" t="str">
        <f>IFERROR(_xlfn.XLOOKUP(Tableau1[[#This Row],[Isin]]&amp;1&amp;2016,#REF!,Tableau3[Capi]),"")</f>
        <v/>
      </c>
      <c r="BD275" s="43" t="str">
        <f>IFERROR(_xlfn.XLOOKUP(Tableau1[[#This Row],[Isin]]&amp;1&amp;2017,#REF!,Tableau3[Capi]),"")</f>
        <v/>
      </c>
      <c r="BE275" s="43" t="str">
        <f>IFERROR(_xlfn.XLOOKUP(Tableau1[[#This Row],[Isin]]&amp;1&amp;2018,#REF!,Tableau3[Capi]),"")</f>
        <v/>
      </c>
      <c r="BF275" s="43" t="str">
        <f>IFERROR(_xlfn.XLOOKUP(Tableau1[[#This Row],[Isin]]&amp;1&amp;2019,#REF!,Tableau3[Capi]),"")</f>
        <v/>
      </c>
      <c r="BG275" s="43" t="str">
        <f>IFERROR(_xlfn.XLOOKUP(Tableau1[[#This Row],[Isin]]&amp;1&amp;2020,#REF!,Tableau3[Capi]),"")</f>
        <v/>
      </c>
      <c r="BH275" s="43">
        <f>IF(IFERROR(_xlfn.XLOOKUP(Tableau1[[#This Row],[Isin]]&amp;1&amp;2021,#REF!,Tableau3[Capi]),"")="",Tableau1[[#This Row],[Capitalisation 2021
Manuel]],IFERROR(_xlfn.XLOOKUP(Tableau1[[#This Row],[Isin]]&amp;1&amp;2021,#REF!,Tableau3[Capi]),""))</f>
        <v>0</v>
      </c>
      <c r="BI275" s="43"/>
      <c r="BJ275" s="43">
        <f>IF(IFERROR(_xlfn.XLOOKUP(Tableau1[[#This Row],[Isin]]&amp;1&amp;2022,#REF!,Tableau3[Capi]),"")="",Tableau1[[#This Row],[Capitalisation 2022
Manuel]],IFERROR(_xlfn.XLOOKUP(Tableau1[[#This Row],[Isin]]&amp;1&amp;2022,#REF!,Tableau3[Capi]),""))</f>
        <v>0</v>
      </c>
      <c r="BK275" s="43"/>
      <c r="BL275" s="43">
        <f ca="1">Tableau1[[#This Row],[Capitalisation boursière]]</f>
        <v>2482823000</v>
      </c>
      <c r="BM275" s="162" t="str" cm="1">
        <f t="array" aca="1" ref="BM275" ca="1">_FV(Tableau1[[#This Row],[Code Excel]],"Description")</f>
        <v>SES SA est un fournisseur luxembourgeois de services de communication et de diffusion par satellite. En collaboration avec ses nombreuses filiales directes et indirectes situées en Europe, en Amérique, en Afrique et en Asie, la Société fournit des services fournis par satellite pour la diffusion et la distribution des médias, y compris des émissions de télévision et de radio. La Société exploite une constellation de satellites à orbites multiples, y compris le système Medium Earth Orbit O3b. La Société aide les diffuseurs à fournir leurs chaînes de télévision, offre une connectivité aux entreprises via des réseaux et offre des liaisons de communication sécurisées aux gouvernements et aux institutions internationales et assure des services de navigation fiables. La Société est partenaire des entreprises de télécommunications, des opérateurs de réseaux mobiles, des gouvernements, des fournisseurs de services de connectivité et de cloud, des diffuseurs, des opérateurs de plateformes vidéo et des propriétaires de contenu. La société fournit des services multimédias pour le contenu linéaire et non linéaire.</v>
      </c>
      <c r="BN275" s="43"/>
      <c r="BO275" s="43"/>
      <c r="BP275" s="43"/>
      <c r="BQ275" s="43"/>
      <c r="BR275" s="13"/>
      <c r="BS275" s="13"/>
      <c r="BT275" s="13"/>
      <c r="BU275" s="13"/>
      <c r="BV275" s="13"/>
      <c r="BW275" s="13"/>
      <c r="BX275" s="13"/>
      <c r="BY275" s="21"/>
      <c r="BZ275" s="13"/>
      <c r="CA275" s="13"/>
      <c r="CB275" s="13"/>
      <c r="CC275" s="13"/>
      <c r="CD275" s="13"/>
      <c r="CF275" s="4"/>
      <c r="CG275" s="4"/>
    </row>
    <row r="276" spans="3:85">
      <c r="C276" s="43"/>
      <c r="D276" s="42">
        <f>IF(Tableau1[[#This Row],[Isin]]="",99,Tableau1[[#This Row],[Intérêt]]+Tableau1[[#This Row],[Valeur d''intérêt]]+Tableau1[[#This Row],[N° Portefeuille]])</f>
        <v>30</v>
      </c>
      <c r="E276" s="43"/>
      <c r="F276" s="42">
        <f>IF(Tableau1[[#This Row],[Portefeuille]]="p",0,Tableau1[[#This Row],[F. Investissement
Niveau d''intérêt]]*10)</f>
        <v>30</v>
      </c>
      <c r="G276" s="43">
        <f>IF(Tableau1[[#This Row],[Portefeuille]]="p",3,0)</f>
        <v>0</v>
      </c>
      <c r="H276" s="42">
        <v>3</v>
      </c>
      <c r="I276" s="43">
        <v>4</v>
      </c>
      <c r="J276" s="43"/>
      <c r="K276" s="43"/>
      <c r="L276" s="16">
        <v>1</v>
      </c>
      <c r="M27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6" s="44" t="s">
        <v>4107</v>
      </c>
      <c r="O276" s="44" t="s">
        <v>2792</v>
      </c>
      <c r="P276" s="4" t="s">
        <v>99</v>
      </c>
      <c r="Q276" s="6" t="s">
        <v>100</v>
      </c>
      <c r="R276" s="6"/>
      <c r="S276" s="6" t="s">
        <v>2817</v>
      </c>
      <c r="T276" s="6" t="e" vm="255">
        <v>#VALUE!</v>
      </c>
      <c r="U276" s="61" cm="1">
        <f t="array" aca="1" ref="U276" ca="1">IFERROR(_FV(Tableau1[[#This Row],[Code Excel]],"Capitalisation boursière",TRUE),"")</f>
        <v>16710400000</v>
      </c>
      <c r="V276" s="4" t="str" cm="1">
        <f t="array" aca="1" ref="V276" ca="1">IFERROR(_FV(Tableau1[[#This Row],[Code Excel]],"Industrie"),"")</f>
        <v>Professional &amp; Commercial Services</v>
      </c>
      <c r="W276" s="4" t="s">
        <v>2918</v>
      </c>
      <c r="X276" s="4" t="str">
        <f ca="1">Tableau1[[#This Row],[Grand Secteur]]&amp;Tableau1[[#This Row],[Industrie]]</f>
        <v>B to BProfessional &amp; Commercial Services</v>
      </c>
      <c r="Y276" s="23" cm="1">
        <f t="array" aca="1" ref="Y276" ca="1">IFERROR(_FV(Tableau1[[#This Row],[Code Excel]],"P/E",TRUE),"")</f>
        <v>28.629899999999999</v>
      </c>
      <c r="Z276" s="43" cm="1">
        <f t="array" aca="1" ref="Z276" ca="1">IFERROR(_FV(Tableau1[[#This Row],[Code Excel]],"Employés"),"")</f>
        <v>99483</v>
      </c>
      <c r="AA276" s="46">
        <f ca="1">IFERROR(Tableau1[[#This Row],[Capitalisation boursière]]/Tableau1[[#This Row],[Employés]],"")</f>
        <v>167972.4173979474</v>
      </c>
      <c r="AB276" s="5" t="str">
        <f>IFERROR(Tableau1[[#This Row],[REX (2021)]]/Tableau1[[#This Row],[CA 2024]],"")</f>
        <v/>
      </c>
      <c r="AC276" s="9" t="str">
        <f>IFERROR(_xlfn.XLOOKUP(Tableau1[[#This Row],[Isin]]&amp;1&amp;2021,#REF!,Tableau3[Résultat d''exploitation]),"")</f>
        <v/>
      </c>
      <c r="AD276" s="9" t="str">
        <f>IFERROR(_xlfn.XLOOKUP(Tableau1[[#This Row],[Isin]]&amp;1&amp;2019,#REF!,Tableau3[Chiffre d''affaires]),"")</f>
        <v/>
      </c>
      <c r="AE276" s="9" t="str">
        <f>IFERROR(_xlfn.XLOOKUP(Tableau1[[#This Row],[Isin]]&amp;1&amp;2024,#REF!,Tableau3[Chiffre d''affaires]),"")</f>
        <v/>
      </c>
      <c r="AF276" s="8" t="str">
        <f>IFERROR(IF((Tableau1[[#This Row],[CA 2024]]-Tableau1[[#This Row],[CA 2019]])/Tableau1[[#This Row],[CA 2019]]=-1,"",(Tableau1[[#This Row],[CA 2024]]-Tableau1[[#This Row],[CA 2019]])/Tableau1[[#This Row],[CA 2019]]),"")</f>
        <v/>
      </c>
      <c r="AG276" s="9" t="str">
        <f>IFERROR(_xlfn.XLOOKUP(Tableau1[[#This Row],[Isin]]&amp;1&amp;2021,#REF!,Tableau3[EBE]),"")</f>
        <v/>
      </c>
      <c r="AH276" s="9" t="str">
        <f>IFERROR(_xlfn.XLOOKUP(Tableau1[[#This Row],[Isin]]&amp;1&amp;2022,#REF!,Tableau3[EBE]),"")</f>
        <v/>
      </c>
      <c r="AI276" s="43" t="s">
        <v>3419</v>
      </c>
      <c r="AJ276" s="43" t="s">
        <v>4322</v>
      </c>
      <c r="AK276" s="43" t="s">
        <v>3431</v>
      </c>
      <c r="AL276" s="43" t="s">
        <v>3419</v>
      </c>
      <c r="AM276" s="43"/>
      <c r="AN276" s="9" t="str">
        <f>IFERROR(_xlfn.XLOOKUP(Tableau1[[#This Row],[Isin]]&amp;1&amp;2021,#REF!,Tableau3[Chiffre d''affaires]),"")</f>
        <v/>
      </c>
      <c r="AO276" s="43" cm="1">
        <f t="array" aca="1" ref="AO276" ca="1">_FV(Tableau1[[#This Row],[Code Excel]],"P/E",TRUE)</f>
        <v>28.629899999999999</v>
      </c>
      <c r="AP276" s="43" t="str">
        <f>IFERROR(_xlfn.XLOOKUP(Tableau1[[#This Row],[Isin]]&amp;1&amp;2023,#REF!,Tableau3[Résultat Net (PdG)]),"")</f>
        <v/>
      </c>
      <c r="AQ276" s="43">
        <f>IF(IFERROR(_xlfn.XLOOKUP(Tableau1[[#This Row],[Isin]]&amp;1&amp;2022,#REF!,Tableau3[Résultat Net (PdG)]),"")="",Tableau1[[#This Row],[RN Groupe 2022
Manuel]],IFERROR(_xlfn.XLOOKUP(Tableau1[[#This Row],[Isin]]&amp;1&amp;2022,#REF!,Tableau3[Résultat Net (PdG)]),""))</f>
        <v>0</v>
      </c>
      <c r="AR276" s="43"/>
      <c r="AS276" s="43">
        <f>IF(IFERROR(_xlfn.XLOOKUP(Tableau1[[#This Row],[Isin]]&amp;1&amp;2021,#REF!,Tableau3[Résultat Net (PdG)]),"")="",Tableau1[[#This Row],[RN Groupe 2021
Manuel]],IFERROR(_xlfn.XLOOKUP(Tableau1[[#This Row],[Isin]]&amp;1&amp;2021,#REF!,Tableau3[Résultat Net (PdG)]),""))</f>
        <v>0</v>
      </c>
      <c r="AT276" s="43"/>
      <c r="AU276" s="43" t="str">
        <f>IFERROR(_xlfn.XLOOKUP(Tableau1[[#This Row],[Isin]]&amp;1&amp;2020,#REF!,Tableau3[Résultat Net (PdG)]),"")</f>
        <v/>
      </c>
      <c r="AV276" s="43" t="str">
        <f>IFERROR(_xlfn.XLOOKUP(Tableau1[[#This Row],[Isin]]&amp;1&amp;2019,#REF!,Tableau3[Résultat Net (PdG)]),"")</f>
        <v/>
      </c>
      <c r="AW276" s="43" t="str">
        <f>IFERROR(_xlfn.XLOOKUP(Tableau1[[#This Row],[Isin]]&amp;1&amp;2018,#REF!,Tableau3[Résultat Net (PdG)]),"")</f>
        <v/>
      </c>
      <c r="AX276" s="43" t="str">
        <f>IFERROR(_xlfn.XLOOKUP(Tableau1[[#This Row],[Isin]]&amp;1&amp;2017,#REF!,Tableau3[Résultat Net (PdG)]),"")</f>
        <v/>
      </c>
      <c r="AY276" s="43" t="str">
        <f>IFERROR(_xlfn.XLOOKUP(Tableau1[[#This Row],[Isin]]&amp;1&amp;2016,#REF!,Tableau3[Résultat Net (PdG)]),"")</f>
        <v/>
      </c>
      <c r="AZ276" s="137" t="str">
        <f ca="1">IFERROR(Tableau1[[#This Row],[Capitalisation boursière]]/Tableau1[[#This Row],[RN Groupe 2023]],"")</f>
        <v/>
      </c>
      <c r="BA276" s="4" t="str" cm="1">
        <f t="array" aca="1" ref="BA276" ca="1">IFERROR(_FV(Tableau1[[#This Row],[Code Excel]],"Industrie"),"")</f>
        <v>Professional &amp; Commercial Services</v>
      </c>
      <c r="BB276" s="43" t="e">
        <v>#N/A</v>
      </c>
      <c r="BC276" s="43" t="str">
        <f>IFERROR(_xlfn.XLOOKUP(Tableau1[[#This Row],[Isin]]&amp;1&amp;2016,#REF!,Tableau3[Capi]),"")</f>
        <v/>
      </c>
      <c r="BD276" s="43" t="str">
        <f>IFERROR(_xlfn.XLOOKUP(Tableau1[[#This Row],[Isin]]&amp;1&amp;2017,#REF!,Tableau3[Capi]),"")</f>
        <v/>
      </c>
      <c r="BE276" s="43" t="str">
        <f>IFERROR(_xlfn.XLOOKUP(Tableau1[[#This Row],[Isin]]&amp;1&amp;2018,#REF!,Tableau3[Capi]),"")</f>
        <v/>
      </c>
      <c r="BF276" s="43" t="str">
        <f>IFERROR(_xlfn.XLOOKUP(Tableau1[[#This Row],[Isin]]&amp;1&amp;2019,#REF!,Tableau3[Capi]),"")</f>
        <v/>
      </c>
      <c r="BG276" s="43" t="str">
        <f>IFERROR(_xlfn.XLOOKUP(Tableau1[[#This Row],[Isin]]&amp;1&amp;2020,#REF!,Tableau3[Capi]),"")</f>
        <v/>
      </c>
      <c r="BH276" s="43">
        <f>IF(IFERROR(_xlfn.XLOOKUP(Tableau1[[#This Row],[Isin]]&amp;1&amp;2021,#REF!,Tableau3[Capi]),"")="",Tableau1[[#This Row],[Capitalisation 2021
Manuel]],IFERROR(_xlfn.XLOOKUP(Tableau1[[#This Row],[Isin]]&amp;1&amp;2021,#REF!,Tableau3[Capi]),""))</f>
        <v>0</v>
      </c>
      <c r="BI276" s="43"/>
      <c r="BJ276" s="43">
        <f>IF(IFERROR(_xlfn.XLOOKUP(Tableau1[[#This Row],[Isin]]&amp;1&amp;2022,#REF!,Tableau3[Capi]),"")="",Tableau1[[#This Row],[Capitalisation 2022
Manuel]],IFERROR(_xlfn.XLOOKUP(Tableau1[[#This Row],[Isin]]&amp;1&amp;2022,#REF!,Tableau3[Capi]),""))</f>
        <v>0</v>
      </c>
      <c r="BK276" s="43"/>
      <c r="BL276" s="43">
        <f ca="1">Tableau1[[#This Row],[Capitalisation boursière]]</f>
        <v>16710400000</v>
      </c>
      <c r="BM276" s="162" t="str" cm="1">
        <f t="array" aca="1" ref="BM276" ca="1">_FV(Tableau1[[#This Row],[Code Excel]],"Description")</f>
        <v>SGS SA est une société basée en Suisse qui fournit des services d'inspection, de vérification, de tests et de certification. L'inspection comprend la vérification du conditionnement et du poids des marchandises échangées au transbordement, le contrôle de la qualité, de la quantité et de la conformité aux exigences réglementaires. Les services de tests sont fournis à travers un réseau mondial d'établissements de test et du test de la qualité, la sécurité et la performance des produits par rapport aux normes réglementaires, de sécurité et de santé. Les services de certification confirment si les produits, les procédés, les systèmes ou services sont conformes aux normes nationales ou internationales et les règlements ou les normes client définis. La vérification se concentre sur la garantie que les produits et services sont conformes aux normes mondiales et locales en vigueur. De plus, la société offre des services de formation par le biais de SGS Academy.</v>
      </c>
      <c r="BN276" s="43"/>
      <c r="BO276" s="43"/>
      <c r="BP276" s="43"/>
      <c r="BQ276" s="43"/>
      <c r="BR276" s="13"/>
      <c r="BS276" s="13"/>
      <c r="BT276" s="13"/>
      <c r="BU276" s="13"/>
      <c r="BV276" s="13"/>
      <c r="BW276" s="13"/>
      <c r="BX276" s="13"/>
      <c r="BY276" s="21"/>
      <c r="BZ276" s="13"/>
      <c r="CA276" s="13"/>
      <c r="CB276" s="13"/>
      <c r="CC276" s="13"/>
      <c r="CD276" s="13"/>
      <c r="CF276" s="4"/>
      <c r="CG276" s="4"/>
    </row>
    <row r="277" spans="3:85">
      <c r="C277" s="42"/>
      <c r="D277" s="42">
        <f>IF(Tableau1[[#This Row],[Isin]]="",99,Tableau1[[#This Row],[Intérêt]]+Tableau1[[#This Row],[Valeur d''intérêt]]+Tableau1[[#This Row],[N° Portefeuille]])</f>
        <v>30</v>
      </c>
      <c r="E277" s="42"/>
      <c r="F277" s="42">
        <f>IF(Tableau1[[#This Row],[Portefeuille]]="p",0,Tableau1[[#This Row],[F. Investissement
Niveau d''intérêt]]*10)</f>
        <v>30</v>
      </c>
      <c r="G277" s="42">
        <f>IF(Tableau1[[#This Row],[Portefeuille]]="p",3,0)</f>
        <v>0</v>
      </c>
      <c r="H277" s="42">
        <v>3</v>
      </c>
      <c r="I277" s="42">
        <v>4</v>
      </c>
      <c r="J277" s="42"/>
      <c r="K277" s="43"/>
      <c r="L277" s="16">
        <v>0</v>
      </c>
      <c r="M27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7" s="44" t="s">
        <v>4109</v>
      </c>
      <c r="O277" s="45"/>
      <c r="P277" s="4" t="s">
        <v>47</v>
      </c>
      <c r="Q277" s="4"/>
      <c r="R277" s="6"/>
      <c r="S277" s="6" t="s">
        <v>4110</v>
      </c>
      <c r="T277" s="6" t="e" vm="256">
        <v>#VALUE!</v>
      </c>
      <c r="U277" s="46" cm="1">
        <f t="array" aca="1" ref="U277" ca="1">IFERROR(_FV(Tableau1[[#This Row],[Code Excel]],"Capitalisation boursière",TRUE),"")</f>
        <v>168423000000</v>
      </c>
      <c r="V277" s="4" t="str" cm="1">
        <f t="array" aca="1" ref="V277" ca="1">IFERROR(_FV(Tableau1[[#This Row],[Code Excel]],"Industrie"),"")</f>
        <v>Oil &amp; Gas</v>
      </c>
      <c r="W277" s="4" t="s">
        <v>371</v>
      </c>
      <c r="X277" s="4" t="str">
        <f ca="1">Tableau1[[#This Row],[Grand Secteur]]&amp;Tableau1[[#This Row],[Industrie]]</f>
        <v>EnergieOil &amp; Gas</v>
      </c>
      <c r="Y277" s="23" cm="1">
        <f t="array" aca="1" ref="Y277" ca="1">IFERROR(_FV(Tableau1[[#This Row],[Code Excel]],"P/E",TRUE),"")</f>
        <v>13.735799999999999</v>
      </c>
      <c r="Z277" s="43" cm="1">
        <f t="array" aca="1" ref="Z277" ca="1">IFERROR(_FV(Tableau1[[#This Row],[Code Excel]],"Employés"),"")</f>
        <v>96000</v>
      </c>
      <c r="AA277" s="46">
        <f ca="1">IFERROR(Tableau1[[#This Row],[Capitalisation boursière]]/Tableau1[[#This Row],[Employés]],"")</f>
        <v>1754406.25</v>
      </c>
      <c r="AB277" s="5" t="str">
        <f>IFERROR(Tableau1[[#This Row],[REX (2021)]]/Tableau1[[#This Row],[CA 2024]],"")</f>
        <v/>
      </c>
      <c r="AC277" s="9" t="str">
        <f>IFERROR(_xlfn.XLOOKUP(Tableau1[[#This Row],[Isin]]&amp;1&amp;2021,#REF!,Tableau3[Résultat d''exploitation]),"")</f>
        <v/>
      </c>
      <c r="AD277" s="9" t="str">
        <f>IFERROR(_xlfn.XLOOKUP(Tableau1[[#This Row],[Isin]]&amp;1&amp;2019,#REF!,Tableau3[Chiffre d''affaires]),"")</f>
        <v/>
      </c>
      <c r="AE277" s="9" t="str">
        <f>IFERROR(_xlfn.XLOOKUP(Tableau1[[#This Row],[Isin]]&amp;1&amp;2024,#REF!,Tableau3[Chiffre d''affaires]),"")</f>
        <v/>
      </c>
      <c r="AF277" s="8" t="str">
        <f>IFERROR(IF((Tableau1[[#This Row],[CA 2024]]-Tableau1[[#This Row],[CA 2019]])/Tableau1[[#This Row],[CA 2019]]=-1,"",(Tableau1[[#This Row],[CA 2024]]-Tableau1[[#This Row],[CA 2019]])/Tableau1[[#This Row],[CA 2019]]),"")</f>
        <v/>
      </c>
      <c r="AG277" s="9" t="str">
        <f>IFERROR(_xlfn.XLOOKUP(Tableau1[[#This Row],[Isin]]&amp;1&amp;2021,#REF!,Tableau3[EBE]),"")</f>
        <v/>
      </c>
      <c r="AH277" s="9" t="str">
        <f>IFERROR(_xlfn.XLOOKUP(Tableau1[[#This Row],[Isin]]&amp;1&amp;2022,#REF!,Tableau3[EBE]),"")</f>
        <v/>
      </c>
      <c r="AI277" s="43" t="s">
        <v>4343</v>
      </c>
      <c r="AJ277" s="43" t="s">
        <v>3150</v>
      </c>
      <c r="AK277" s="43" t="s">
        <v>3419</v>
      </c>
      <c r="AL277" s="43"/>
      <c r="AM277" s="43"/>
      <c r="AN277" s="9" t="str">
        <f>IFERROR(_xlfn.XLOOKUP(Tableau1[[#This Row],[Isin]]&amp;1&amp;2021,#REF!,Tableau3[Chiffre d''affaires]),"")</f>
        <v/>
      </c>
      <c r="AO277" s="43" cm="1">
        <f t="array" aca="1" ref="AO277" ca="1">_FV(Tableau1[[#This Row],[Code Excel]],"P/E",TRUE)</f>
        <v>13.735799999999999</v>
      </c>
      <c r="AP277" s="43" t="str">
        <f>IFERROR(_xlfn.XLOOKUP(Tableau1[[#This Row],[Isin]]&amp;1&amp;2023,#REF!,Tableau3[Résultat Net (PdG)]),"")</f>
        <v/>
      </c>
      <c r="AQ277" s="43">
        <f>IF(IFERROR(_xlfn.XLOOKUP(Tableau1[[#This Row],[Isin]]&amp;1&amp;2022,#REF!,Tableau3[Résultat Net (PdG)]),"")="",Tableau1[[#This Row],[RN Groupe 2022
Manuel]],IFERROR(_xlfn.XLOOKUP(Tableau1[[#This Row],[Isin]]&amp;1&amp;2022,#REF!,Tableau3[Résultat Net (PdG)]),""))</f>
        <v>0</v>
      </c>
      <c r="AR277" s="43"/>
      <c r="AS277" s="43">
        <f>IF(IFERROR(_xlfn.XLOOKUP(Tableau1[[#This Row],[Isin]]&amp;1&amp;2021,#REF!,Tableau3[Résultat Net (PdG)]),"")="",Tableau1[[#This Row],[RN Groupe 2021
Manuel]],IFERROR(_xlfn.XLOOKUP(Tableau1[[#This Row],[Isin]]&amp;1&amp;2021,#REF!,Tableau3[Résultat Net (PdG)]),""))</f>
        <v>0</v>
      </c>
      <c r="AT277" s="43"/>
      <c r="AU277" s="43" t="str">
        <f>IFERROR(_xlfn.XLOOKUP(Tableau1[[#This Row],[Isin]]&amp;1&amp;2020,#REF!,Tableau3[Résultat Net (PdG)]),"")</f>
        <v/>
      </c>
      <c r="AV277" s="43" t="str">
        <f>IFERROR(_xlfn.XLOOKUP(Tableau1[[#This Row],[Isin]]&amp;1&amp;2019,#REF!,Tableau3[Résultat Net (PdG)]),"")</f>
        <v/>
      </c>
      <c r="AW277" s="43" t="str">
        <f>IFERROR(_xlfn.XLOOKUP(Tableau1[[#This Row],[Isin]]&amp;1&amp;2018,#REF!,Tableau3[Résultat Net (PdG)]),"")</f>
        <v/>
      </c>
      <c r="AX277" s="43" t="str">
        <f>IFERROR(_xlfn.XLOOKUP(Tableau1[[#This Row],[Isin]]&amp;1&amp;2017,#REF!,Tableau3[Résultat Net (PdG)]),"")</f>
        <v/>
      </c>
      <c r="AY277" s="43" t="str">
        <f>IFERROR(_xlfn.XLOOKUP(Tableau1[[#This Row],[Isin]]&amp;1&amp;2016,#REF!,Tableau3[Résultat Net (PdG)]),"")</f>
        <v/>
      </c>
      <c r="AZ277" s="137" t="str">
        <f ca="1">IFERROR(Tableau1[[#This Row],[Capitalisation boursière]]/Tableau1[[#This Row],[RN Groupe 2023]],"")</f>
        <v/>
      </c>
      <c r="BA277" s="4" t="s">
        <v>371</v>
      </c>
      <c r="BB277" s="43" t="s">
        <v>3496</v>
      </c>
      <c r="BC277" s="43" t="str">
        <f>IFERROR(_xlfn.XLOOKUP(Tableau1[[#This Row],[Isin]]&amp;1&amp;2016,#REF!,Tableau3[Capi]),"")</f>
        <v/>
      </c>
      <c r="BD277" s="43" t="str">
        <f>IFERROR(_xlfn.XLOOKUP(Tableau1[[#This Row],[Isin]]&amp;1&amp;2017,#REF!,Tableau3[Capi]),"")</f>
        <v/>
      </c>
      <c r="BE277" s="43" t="str">
        <f>IFERROR(_xlfn.XLOOKUP(Tableau1[[#This Row],[Isin]]&amp;1&amp;2018,#REF!,Tableau3[Capi]),"")</f>
        <v/>
      </c>
      <c r="BF277" s="43" t="str">
        <f>IFERROR(_xlfn.XLOOKUP(Tableau1[[#This Row],[Isin]]&amp;1&amp;2019,#REF!,Tableau3[Capi]),"")</f>
        <v/>
      </c>
      <c r="BG277" s="43" t="str">
        <f>IFERROR(_xlfn.XLOOKUP(Tableau1[[#This Row],[Isin]]&amp;1&amp;2020,#REF!,Tableau3[Capi]),"")</f>
        <v/>
      </c>
      <c r="BH277" s="43">
        <f>IF(IFERROR(_xlfn.XLOOKUP(Tableau1[[#This Row],[Isin]]&amp;1&amp;2021,#REF!,Tableau3[Capi]),"")="",Tableau1[[#This Row],[Capitalisation 2021
Manuel]],IFERROR(_xlfn.XLOOKUP(Tableau1[[#This Row],[Isin]]&amp;1&amp;2021,#REF!,Tableau3[Capi]),""))</f>
        <v>0</v>
      </c>
      <c r="BI277" s="43"/>
      <c r="BJ277" s="43">
        <f>IF(IFERROR(_xlfn.XLOOKUP(Tableau1[[#This Row],[Isin]]&amp;1&amp;2022,#REF!,Tableau3[Capi]),"")="",Tableau1[[#This Row],[Capitalisation 2022
Manuel]],IFERROR(_xlfn.XLOOKUP(Tableau1[[#This Row],[Isin]]&amp;1&amp;2022,#REF!,Tableau3[Capi]),""))</f>
        <v>0</v>
      </c>
      <c r="BK277" s="43"/>
      <c r="BL277" s="43">
        <f ca="1">Tableau1[[#This Row],[Capitalisation boursière]]</f>
        <v>168423000000</v>
      </c>
      <c r="BM277" s="162" t="str" cm="1">
        <f t="array" aca="1" ref="BM277" ca="1">_FV(Tableau1[[#This Row],[Code Excel]],"Description")</f>
        <v>Shell plc est une entreprise énergétique et pétrochimique. Elle se spécialise dans l'exploration, la production, le raffinage et la commercialisation du pétrole et du gaz naturel, ainsi que dans la fabrication et la commercialisation de produits chimiques. Ses segments comprennent les secteurs suivants : gaz intégré, amont, marketing, produits chimiques et produits, solutions énergétiques et renouvelables et Corporate. Le segment gaz intégré offre le gaz naturel liquéfié, la conversion du gaz naturel en carburants gaz-liquides et d'autres produits. Le secteur amont comprend l'exploration et l'extraction de pétrole brut, de gaz naturel et de liquides de gaz naturel. Le segment Marketing comprend la mobilité, les lubrifiants, les secteurs et les activités de décarbonisation. Le segment produits chimiques comprend des usines de fabrication de produits chimiques avec leur réseau de commercialisation, et des raffineries qui transforment le pétrole brut et d'autres matières premières en une gamme de produits pétroliers. Le segment des énergies renouvelables et des solutions énergétiques offre des activités énergétiques, comprenant la production d'électricité, la commercialisation et le négoce d'électricité et de gaz de pipeline.</v>
      </c>
      <c r="BN277" s="43"/>
      <c r="BO277" s="43"/>
      <c r="BP277" s="43"/>
      <c r="BQ277" s="43"/>
      <c r="BR277" s="13"/>
      <c r="BS277" s="13"/>
      <c r="BT277" s="13"/>
      <c r="BU277" s="13"/>
      <c r="BV277" s="13"/>
      <c r="BW277" s="13"/>
      <c r="BX277" s="13"/>
      <c r="BY277" s="21"/>
      <c r="BZ277" s="13"/>
      <c r="CA277" s="13"/>
      <c r="CB277" s="13"/>
      <c r="CC277" s="13"/>
      <c r="CD277" s="13"/>
      <c r="CF277" s="4"/>
      <c r="CG277" s="4"/>
    </row>
    <row r="278" spans="3:85">
      <c r="C278" s="43"/>
      <c r="D278" s="42">
        <f>IF(Tableau1[[#This Row],[Isin]]="",99,Tableau1[[#This Row],[Intérêt]]+Tableau1[[#This Row],[Valeur d''intérêt]]+Tableau1[[#This Row],[N° Portefeuille]])</f>
        <v>30</v>
      </c>
      <c r="E278" s="43"/>
      <c r="F278" s="42">
        <f>IF(Tableau1[[#This Row],[Portefeuille]]="p",0,Tableau1[[#This Row],[F. Investissement
Niveau d''intérêt]]*10)</f>
        <v>30</v>
      </c>
      <c r="G278" s="43">
        <f>IF(Tableau1[[#This Row],[Portefeuille]]="p",3,0)</f>
        <v>0</v>
      </c>
      <c r="H278" s="42">
        <v>3</v>
      </c>
      <c r="I278" s="43">
        <v>4</v>
      </c>
      <c r="J278" s="43"/>
      <c r="K278" s="43"/>
      <c r="L278" s="16">
        <v>0</v>
      </c>
      <c r="M27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8" s="44" t="s">
        <v>4112</v>
      </c>
      <c r="O278" s="45"/>
      <c r="P278" s="4" t="s">
        <v>564</v>
      </c>
      <c r="Q278" s="4"/>
      <c r="R278" s="6"/>
      <c r="S278" s="6" t="s">
        <v>4113</v>
      </c>
      <c r="T278" s="6" t="e" vm="257">
        <v>#VALUE!</v>
      </c>
      <c r="U278" s="46" cm="1">
        <f t="array" aca="1" ref="U278" ca="1">IFERROR(_FV(Tableau1[[#This Row],[Code Excel]],"Capitalisation boursière",TRUE),"")</f>
        <v>172800000000</v>
      </c>
      <c r="V278" s="4" t="str" cm="1">
        <f t="array" aca="1" ref="V278" ca="1">IFERROR(_FV(Tableau1[[#This Row],[Code Excel]],"Industrie"),"")</f>
        <v>Machinery, Equipment &amp; Components</v>
      </c>
      <c r="W278" s="4" t="s">
        <v>4321</v>
      </c>
      <c r="X278" s="4" t="str">
        <f ca="1">Tableau1[[#This Row],[Grand Secteur]]&amp;Tableau1[[#This Row],[Industrie]]</f>
        <v>EquipementiersMachinery, Equipment &amp; Components</v>
      </c>
      <c r="Y278" s="23" cm="1">
        <f t="array" aca="1" ref="Y278" ca="1">IFERROR(_FV(Tableau1[[#This Row],[Code Excel]],"P/E",TRUE),"")</f>
        <v>22.7</v>
      </c>
      <c r="Z278" s="43" cm="1">
        <f t="array" aca="1" ref="Z278" ca="1">IFERROR(_FV(Tableau1[[#This Row],[Code Excel]],"Employés"),"")</f>
        <v>313000</v>
      </c>
      <c r="AA278" s="46">
        <f ca="1">IFERROR(Tableau1[[#This Row],[Capitalisation boursière]]/Tableau1[[#This Row],[Employés]],"")</f>
        <v>552076.67731629394</v>
      </c>
      <c r="AB278" s="5" t="str">
        <f>IFERROR(Tableau1[[#This Row],[REX (2021)]]/Tableau1[[#This Row],[CA 2024]],"")</f>
        <v/>
      </c>
      <c r="AC278" s="9" t="str">
        <f>IFERROR(_xlfn.XLOOKUP(Tableau1[[#This Row],[Isin]]&amp;1&amp;2021,#REF!,Tableau3[Résultat d''exploitation]),"")</f>
        <v/>
      </c>
      <c r="AD278" s="9" t="str">
        <f>IFERROR(_xlfn.XLOOKUP(Tableau1[[#This Row],[Isin]]&amp;1&amp;2019,#REF!,Tableau3[Chiffre d''affaires]),"")</f>
        <v/>
      </c>
      <c r="AE278" s="9" t="str">
        <f>IFERROR(_xlfn.XLOOKUP(Tableau1[[#This Row],[Isin]]&amp;1&amp;2024,#REF!,Tableau3[Chiffre d''affaires]),"")</f>
        <v/>
      </c>
      <c r="AF278" s="8" t="str">
        <f>IFERROR(IF((Tableau1[[#This Row],[CA 2024]]-Tableau1[[#This Row],[CA 2019]])/Tableau1[[#This Row],[CA 2019]]=-1,"",(Tableau1[[#This Row],[CA 2024]]-Tableau1[[#This Row],[CA 2019]])/Tableau1[[#This Row],[CA 2019]]),"")</f>
        <v/>
      </c>
      <c r="AG278" s="9" t="str">
        <f>IFERROR(_xlfn.XLOOKUP(Tableau1[[#This Row],[Isin]]&amp;1&amp;2021,#REF!,Tableau3[EBE]),"")</f>
        <v/>
      </c>
      <c r="AH278" s="9" t="str">
        <f>IFERROR(_xlfn.XLOOKUP(Tableau1[[#This Row],[Isin]]&amp;1&amp;2022,#REF!,Tableau3[EBE]),"")</f>
        <v/>
      </c>
      <c r="AI278" s="43" t="s">
        <v>3431</v>
      </c>
      <c r="AJ278" s="43" t="s">
        <v>4322</v>
      </c>
      <c r="AK278" s="43" t="s">
        <v>3431</v>
      </c>
      <c r="AL278" s="43"/>
      <c r="AM278" s="43"/>
      <c r="AN278" s="9" t="str">
        <f>IFERROR(_xlfn.XLOOKUP(Tableau1[[#This Row],[Isin]]&amp;1&amp;2021,#REF!,Tableau3[Chiffre d''affaires]),"")</f>
        <v/>
      </c>
      <c r="AO278" s="43" cm="1">
        <f t="array" aca="1" ref="AO278" ca="1">_FV(Tableau1[[#This Row],[Code Excel]],"P/E",TRUE)</f>
        <v>22.7</v>
      </c>
      <c r="AP278" s="43" t="str">
        <f>IFERROR(_xlfn.XLOOKUP(Tableau1[[#This Row],[Isin]]&amp;1&amp;2023,#REF!,Tableau3[Résultat Net (PdG)]),"")</f>
        <v/>
      </c>
      <c r="AQ278" s="43">
        <f>IF(IFERROR(_xlfn.XLOOKUP(Tableau1[[#This Row],[Isin]]&amp;1&amp;2022,#REF!,Tableau3[Résultat Net (PdG)]),"")="",Tableau1[[#This Row],[RN Groupe 2022
Manuel]],IFERROR(_xlfn.XLOOKUP(Tableau1[[#This Row],[Isin]]&amp;1&amp;2022,#REF!,Tableau3[Résultat Net (PdG)]),""))</f>
        <v>0</v>
      </c>
      <c r="AR278" s="43"/>
      <c r="AS278" s="43">
        <f>IF(IFERROR(_xlfn.XLOOKUP(Tableau1[[#This Row],[Isin]]&amp;1&amp;2021,#REF!,Tableau3[Résultat Net (PdG)]),"")="",Tableau1[[#This Row],[RN Groupe 2021
Manuel]],IFERROR(_xlfn.XLOOKUP(Tableau1[[#This Row],[Isin]]&amp;1&amp;2021,#REF!,Tableau3[Résultat Net (PdG)]),""))</f>
        <v>0</v>
      </c>
      <c r="AT278" s="43"/>
      <c r="AU278" s="43" t="str">
        <f>IFERROR(_xlfn.XLOOKUP(Tableau1[[#This Row],[Isin]]&amp;1&amp;2020,#REF!,Tableau3[Résultat Net (PdG)]),"")</f>
        <v/>
      </c>
      <c r="AV278" s="43" t="str">
        <f>IFERROR(_xlfn.XLOOKUP(Tableau1[[#This Row],[Isin]]&amp;1&amp;2019,#REF!,Tableau3[Résultat Net (PdG)]),"")</f>
        <v/>
      </c>
      <c r="AW278" s="43" t="str">
        <f>IFERROR(_xlfn.XLOOKUP(Tableau1[[#This Row],[Isin]]&amp;1&amp;2018,#REF!,Tableau3[Résultat Net (PdG)]),"")</f>
        <v/>
      </c>
      <c r="AX278" s="43" t="str">
        <f>IFERROR(_xlfn.XLOOKUP(Tableau1[[#This Row],[Isin]]&amp;1&amp;2017,#REF!,Tableau3[Résultat Net (PdG)]),"")</f>
        <v/>
      </c>
      <c r="AY278" s="43" t="str">
        <f>IFERROR(_xlfn.XLOOKUP(Tableau1[[#This Row],[Isin]]&amp;1&amp;2016,#REF!,Tableau3[Résultat Net (PdG)]),"")</f>
        <v/>
      </c>
      <c r="AZ278" s="137" t="str">
        <f ca="1">IFERROR(Tableau1[[#This Row],[Capitalisation boursière]]/Tableau1[[#This Row],[RN Groupe 2023]],"")</f>
        <v/>
      </c>
      <c r="BA278" s="4" t="str" cm="1">
        <f t="array" aca="1" ref="BA278" ca="1">IFERROR(_FV(Tableau1[[#This Row],[Code Excel]],"Industrie"),"")</f>
        <v>Machinery, Equipment &amp; Components</v>
      </c>
      <c r="BB278" s="43" t="s">
        <v>3487</v>
      </c>
      <c r="BC278" s="43" t="str">
        <f>IFERROR(_xlfn.XLOOKUP(Tableau1[[#This Row],[Isin]]&amp;1&amp;2016,#REF!,Tableau3[Capi]),"")</f>
        <v/>
      </c>
      <c r="BD278" s="43" t="str">
        <f>IFERROR(_xlfn.XLOOKUP(Tableau1[[#This Row],[Isin]]&amp;1&amp;2017,#REF!,Tableau3[Capi]),"")</f>
        <v/>
      </c>
      <c r="BE278" s="43" t="str">
        <f>IFERROR(_xlfn.XLOOKUP(Tableau1[[#This Row],[Isin]]&amp;1&amp;2018,#REF!,Tableau3[Capi]),"")</f>
        <v/>
      </c>
      <c r="BF278" s="43" t="str">
        <f>IFERROR(_xlfn.XLOOKUP(Tableau1[[#This Row],[Isin]]&amp;1&amp;2019,#REF!,Tableau3[Capi]),"")</f>
        <v/>
      </c>
      <c r="BG278" s="43" t="str">
        <f>IFERROR(_xlfn.XLOOKUP(Tableau1[[#This Row],[Isin]]&amp;1&amp;2020,#REF!,Tableau3[Capi]),"")</f>
        <v/>
      </c>
      <c r="BH278" s="43">
        <f>IF(IFERROR(_xlfn.XLOOKUP(Tableau1[[#This Row],[Isin]]&amp;1&amp;2021,#REF!,Tableau3[Capi]),"")="",Tableau1[[#This Row],[Capitalisation 2021
Manuel]],IFERROR(_xlfn.XLOOKUP(Tableau1[[#This Row],[Isin]]&amp;1&amp;2021,#REF!,Tableau3[Capi]),""))</f>
        <v>0</v>
      </c>
      <c r="BI278" s="43"/>
      <c r="BJ278" s="43">
        <f>IF(IFERROR(_xlfn.XLOOKUP(Tableau1[[#This Row],[Isin]]&amp;1&amp;2022,#REF!,Tableau3[Capi]),"")="",Tableau1[[#This Row],[Capitalisation 2022
Manuel]],IFERROR(_xlfn.XLOOKUP(Tableau1[[#This Row],[Isin]]&amp;1&amp;2022,#REF!,Tableau3[Capi]),""))</f>
        <v>0</v>
      </c>
      <c r="BK278" s="43"/>
      <c r="BL278" s="43">
        <f ca="1">Tableau1[[#This Row],[Capitalisation boursière]]</f>
        <v>172800000000</v>
      </c>
      <c r="BM278" s="162" t="str" cm="1">
        <f t="array" aca="1" ref="BM278" ca="1">_FV(Tableau1[[#This Row],[Code Excel]],"Description")</f>
        <v>Siemens AG est une société technologique basée en Allemagne, qui se concentre sur les domaines de l'automatisation et de la numérisation dans les industries de processus et de fabrication, des infrastructures intelligentes pour les bâtiments et les systèmes d'énergie distribuée, des solutions de mobilité intelligentes pour le transport ferroviaire, ainsi que des technologies médicales et des services de santé numériques. La Société opère à travers les segments suivants : Digital Industries, qui offre des produits et des solutions de systèmes pour l'automatisation utilisés dans les industries discrètes et de processus ; Smart infrastructure, qui fournit et connecte des systèmes énergétiques et des technologies de construction ; Mobility, qui regroupe toutes les entreprises dans le domaine du transport ferroviaire de voyageurs et de marchandises; Siemens Healthineers, qui fournit des produits, des solutions et des services de santé, et Siemens Financial services (SFS), qui offre des solutions et des équipements de crédit-bail, des financements structurés et de projets sous forme d'emprunts et d'investissements en actions.</v>
      </c>
      <c r="BN278" s="43"/>
      <c r="BO278" s="43"/>
      <c r="BP278" s="43"/>
      <c r="BQ278" s="43"/>
      <c r="BR278" s="13"/>
      <c r="BS278" s="13"/>
      <c r="BT278" s="13"/>
      <c r="BU278" s="13"/>
      <c r="BV278" s="13"/>
      <c r="BW278" s="13"/>
      <c r="BX278" s="13"/>
      <c r="BY278" s="21"/>
      <c r="BZ278" s="13"/>
      <c r="CA278" s="13"/>
      <c r="CB278" s="13"/>
      <c r="CC278" s="13"/>
      <c r="CD278" s="13"/>
      <c r="CF278" s="4"/>
      <c r="CG278" s="4"/>
    </row>
    <row r="279" spans="3:85">
      <c r="C279" s="42"/>
      <c r="D279" s="42">
        <f>IF(Tableau1[[#This Row],[Isin]]="",99,Tableau1[[#This Row],[Intérêt]]+Tableau1[[#This Row],[Valeur d''intérêt]]+Tableau1[[#This Row],[N° Portefeuille]])</f>
        <v>30</v>
      </c>
      <c r="E279" s="42"/>
      <c r="F279" s="42">
        <f>IF(Tableau1[[#This Row],[Portefeuille]]="p",0,Tableau1[[#This Row],[F. Investissement
Niveau d''intérêt]]*10)</f>
        <v>30</v>
      </c>
      <c r="G279" s="42">
        <f>IF(Tableau1[[#This Row],[Portefeuille]]="p",3,0)</f>
        <v>0</v>
      </c>
      <c r="H279" s="42">
        <v>3</v>
      </c>
      <c r="I279" s="42">
        <v>4</v>
      </c>
      <c r="J279" s="42"/>
      <c r="K279" s="43"/>
      <c r="L279" s="16">
        <v>1</v>
      </c>
      <c r="M27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79" s="44" t="s">
        <v>4115</v>
      </c>
      <c r="O279" s="44" t="s">
        <v>4410</v>
      </c>
      <c r="P279" s="4" t="s">
        <v>564</v>
      </c>
      <c r="Q279" s="6" t="s">
        <v>85</v>
      </c>
      <c r="R279" s="6"/>
      <c r="S279" s="6" t="s">
        <v>1356</v>
      </c>
      <c r="T279" s="6" t="e" vm="258">
        <v>#VALUE!</v>
      </c>
      <c r="U279" s="46" cm="1">
        <f t="array" aca="1" ref="U279" ca="1">IFERROR(_FV(Tableau1[[#This Row],[Code Excel]],"Capitalisation boursière",TRUE),"")</f>
        <v>12315070000</v>
      </c>
      <c r="V279" s="4" t="str" cm="1">
        <f t="array" aca="1" ref="V279" ca="1">IFERROR(_FV(Tableau1[[#This Row],[Code Excel]],"Industrie"),"")</f>
        <v>Renewable Energy</v>
      </c>
      <c r="W279" s="4" t="s">
        <v>371</v>
      </c>
      <c r="X279" s="4" t="str">
        <f ca="1">Tableau1[[#This Row],[Grand Secteur]]&amp;Tableau1[[#This Row],[Industrie]]</f>
        <v>EnergieRenewable Energy</v>
      </c>
      <c r="Y279" s="23" cm="1">
        <f t="array" aca="1" ref="Y279" ca="1">IFERROR(_FV(Tableau1[[#This Row],[Code Excel]],"P/E",TRUE),"")</f>
        <v>76.601900000000001</v>
      </c>
      <c r="Z279" s="43" cm="1">
        <f t="array" aca="1" ref="Z279" ca="1">IFERROR(_FV(Tableau1[[#This Row],[Code Excel]],"Employés"),"")</f>
        <v>28151</v>
      </c>
      <c r="AA279" s="46">
        <f ca="1">IFERROR(Tableau1[[#This Row],[Capitalisation boursière]]/Tableau1[[#This Row],[Employés]],"")</f>
        <v>437464.74370359845</v>
      </c>
      <c r="AB279" s="5" t="str">
        <f>IFERROR(Tableau1[[#This Row],[REX (2021)]]/Tableau1[[#This Row],[CA 2024]],"")</f>
        <v/>
      </c>
      <c r="AC279" s="9" t="str">
        <f>IFERROR(_xlfn.XLOOKUP(Tableau1[[#This Row],[Isin]]&amp;1&amp;2021,#REF!,Tableau3[Résultat d''exploitation]),"")</f>
        <v/>
      </c>
      <c r="AD279" s="9" t="str">
        <f>IFERROR(_xlfn.XLOOKUP(Tableau1[[#This Row],[Isin]]&amp;1&amp;2019,#REF!,Tableau3[Chiffre d''affaires]),"")</f>
        <v/>
      </c>
      <c r="AE279" s="9" t="str">
        <f>IFERROR(_xlfn.XLOOKUP(Tableau1[[#This Row],[Isin]]&amp;1&amp;2024,#REF!,Tableau3[Chiffre d''affaires]),"")</f>
        <v/>
      </c>
      <c r="AF279" s="8" t="str">
        <f>IFERROR(IF((Tableau1[[#This Row],[CA 2024]]-Tableau1[[#This Row],[CA 2019]])/Tableau1[[#This Row],[CA 2019]]=-1,"",(Tableau1[[#This Row],[CA 2024]]-Tableau1[[#This Row],[CA 2019]])/Tableau1[[#This Row],[CA 2019]]),"")</f>
        <v/>
      </c>
      <c r="AG279" s="9" t="str">
        <f>IFERROR(_xlfn.XLOOKUP(Tableau1[[#This Row],[Isin]]&amp;1&amp;2021,#REF!,Tableau3[EBE]),"")</f>
        <v/>
      </c>
      <c r="AH279" s="9" t="str">
        <f>IFERROR(_xlfn.XLOOKUP(Tableau1[[#This Row],[Isin]]&amp;1&amp;2022,#REF!,Tableau3[EBE]),"")</f>
        <v/>
      </c>
      <c r="AI279" s="43" t="s">
        <v>3431</v>
      </c>
      <c r="AJ279" s="43" t="s">
        <v>4348</v>
      </c>
      <c r="AK279" s="43" t="s">
        <v>3149</v>
      </c>
      <c r="AL279" s="43" t="s">
        <v>3419</v>
      </c>
      <c r="AM279" s="43"/>
      <c r="AN279" s="9" t="str">
        <f>IFERROR(_xlfn.XLOOKUP(Tableau1[[#This Row],[Isin]]&amp;1&amp;2021,#REF!,Tableau3[Chiffre d''affaires]),"")</f>
        <v/>
      </c>
      <c r="AO279" s="43" cm="1">
        <f t="array" aca="1" ref="AO279" ca="1">_FV(Tableau1[[#This Row],[Code Excel]],"P/E",TRUE)</f>
        <v>76.601900000000001</v>
      </c>
      <c r="AP279" s="43" t="str">
        <f>IFERROR(_xlfn.XLOOKUP(Tableau1[[#This Row],[Isin]]&amp;1&amp;2023,#REF!,Tableau3[Résultat Net (PdG)]),"")</f>
        <v/>
      </c>
      <c r="AQ279" s="43">
        <f>IF(IFERROR(_xlfn.XLOOKUP(Tableau1[[#This Row],[Isin]]&amp;1&amp;2022,#REF!,Tableau3[Résultat Net (PdG)]),"")="",Tableau1[[#This Row],[RN Groupe 2022
Manuel]],IFERROR(_xlfn.XLOOKUP(Tableau1[[#This Row],[Isin]]&amp;1&amp;2022,#REF!,Tableau3[Résultat Net (PdG)]),""))</f>
        <v>0</v>
      </c>
      <c r="AR279" s="43"/>
      <c r="AS279" s="43">
        <f>IF(IFERROR(_xlfn.XLOOKUP(Tableau1[[#This Row],[Isin]]&amp;1&amp;2021,#REF!,Tableau3[Résultat Net (PdG)]),"")="",Tableau1[[#This Row],[RN Groupe 2021
Manuel]],IFERROR(_xlfn.XLOOKUP(Tableau1[[#This Row],[Isin]]&amp;1&amp;2021,#REF!,Tableau3[Résultat Net (PdG)]),""))</f>
        <v>0</v>
      </c>
      <c r="AT279" s="43"/>
      <c r="AU279" s="43" t="str">
        <f>IFERROR(_xlfn.XLOOKUP(Tableau1[[#This Row],[Isin]]&amp;1&amp;2020,#REF!,Tableau3[Résultat Net (PdG)]),"")</f>
        <v/>
      </c>
      <c r="AV279" s="43" t="str">
        <f>IFERROR(_xlfn.XLOOKUP(Tableau1[[#This Row],[Isin]]&amp;1&amp;2019,#REF!,Tableau3[Résultat Net (PdG)]),"")</f>
        <v/>
      </c>
      <c r="AW279" s="43" t="str">
        <f>IFERROR(_xlfn.XLOOKUP(Tableau1[[#This Row],[Isin]]&amp;1&amp;2018,#REF!,Tableau3[Résultat Net (PdG)]),"")</f>
        <v/>
      </c>
      <c r="AX279" s="43" t="str">
        <f>IFERROR(_xlfn.XLOOKUP(Tableau1[[#This Row],[Isin]]&amp;1&amp;2017,#REF!,Tableau3[Résultat Net (PdG)]),"")</f>
        <v/>
      </c>
      <c r="AY279" s="43" t="str">
        <f>IFERROR(_xlfn.XLOOKUP(Tableau1[[#This Row],[Isin]]&amp;1&amp;2016,#REF!,Tableau3[Résultat Net (PdG)]),"")</f>
        <v/>
      </c>
      <c r="AZ279" s="137" t="str">
        <f ca="1">IFERROR(Tableau1[[#This Row],[Capitalisation boursière]]/Tableau1[[#This Row],[RN Groupe 2023]],"")</f>
        <v/>
      </c>
      <c r="BA279" s="4" t="s">
        <v>3527</v>
      </c>
      <c r="BB279" s="43" t="e">
        <v>#N/A</v>
      </c>
      <c r="BC279" s="43" t="str">
        <f>IFERROR(_xlfn.XLOOKUP(Tableau1[[#This Row],[Isin]]&amp;1&amp;2016,#REF!,Tableau3[Capi]),"")</f>
        <v/>
      </c>
      <c r="BD279" s="43" t="str">
        <f>IFERROR(_xlfn.XLOOKUP(Tableau1[[#This Row],[Isin]]&amp;1&amp;2017,#REF!,Tableau3[Capi]),"")</f>
        <v/>
      </c>
      <c r="BE279" s="43" t="str">
        <f>IFERROR(_xlfn.XLOOKUP(Tableau1[[#This Row],[Isin]]&amp;1&amp;2018,#REF!,Tableau3[Capi]),"")</f>
        <v/>
      </c>
      <c r="BF279" s="43" t="str">
        <f>IFERROR(_xlfn.XLOOKUP(Tableau1[[#This Row],[Isin]]&amp;1&amp;2019,#REF!,Tableau3[Capi]),"")</f>
        <v/>
      </c>
      <c r="BG279" s="43" t="str">
        <f>IFERROR(_xlfn.XLOOKUP(Tableau1[[#This Row],[Isin]]&amp;1&amp;2020,#REF!,Tableau3[Capi]),"")</f>
        <v/>
      </c>
      <c r="BH279" s="43">
        <f>IF(IFERROR(_xlfn.XLOOKUP(Tableau1[[#This Row],[Isin]]&amp;1&amp;2021,#REF!,Tableau3[Capi]),"")="",Tableau1[[#This Row],[Capitalisation 2021
Manuel]],IFERROR(_xlfn.XLOOKUP(Tableau1[[#This Row],[Isin]]&amp;1&amp;2021,#REF!,Tableau3[Capi]),""))</f>
        <v>0</v>
      </c>
      <c r="BI279" s="43"/>
      <c r="BJ279" s="43">
        <f>IF(IFERROR(_xlfn.XLOOKUP(Tableau1[[#This Row],[Isin]]&amp;1&amp;2022,#REF!,Tableau3[Capi]),"")="",Tableau1[[#This Row],[Capitalisation 2022
Manuel]],IFERROR(_xlfn.XLOOKUP(Tableau1[[#This Row],[Isin]]&amp;1&amp;2022,#REF!,Tableau3[Capi]),""))</f>
        <v>0</v>
      </c>
      <c r="BK279" s="43"/>
      <c r="BL279" s="43">
        <f ca="1">Tableau1[[#This Row],[Capitalisation boursière]]</f>
        <v>12315070000</v>
      </c>
      <c r="BM279" s="162" t="str" cm="1">
        <f t="array" aca="1" ref="BM279" ca="1">_FV(Tableau1[[#This Row],[Code Excel]],"Description")</f>
        <v>Siemens Gamesa Renewable Energy SA is a Spain-based company which specializes in the development and construction of wind farms. The Company’s activities are divided into two business segments: Wind turbines and Operation and maintenance. Wind Turbines segment includes the manufacturing of wind turbine generators and the development, construction and sale of wind farms (onshore and offshore). Operation and maintenance sector focuses on the rendering of operation and maintenance services through advanced technology services in the renewable energy sector. The Company, through its subsidiaries, is present in the Americas, Europe, Asia, Africa and Oceania.</v>
      </c>
      <c r="BN279" s="43"/>
      <c r="BO279" s="43"/>
      <c r="BP279" s="43"/>
      <c r="BQ279" s="43"/>
      <c r="BR279" s="13"/>
      <c r="BS279" s="13"/>
      <c r="BT279" s="13"/>
      <c r="BU279" s="13"/>
      <c r="BV279" s="13"/>
      <c r="BW279" s="13"/>
      <c r="BX279" s="13"/>
      <c r="BY279" s="21"/>
      <c r="BZ279" s="13"/>
      <c r="CA279" s="13"/>
      <c r="CB279" s="13"/>
      <c r="CC279" s="13"/>
      <c r="CD279" s="13"/>
      <c r="CF279" s="4"/>
      <c r="CG279" s="4"/>
    </row>
    <row r="280" spans="3:85">
      <c r="C280" s="43"/>
      <c r="D280" s="42">
        <f>IF(Tableau1[[#This Row],[Isin]]="",99,Tableau1[[#This Row],[Intérêt]]+Tableau1[[#This Row],[Valeur d''intérêt]]+Tableau1[[#This Row],[N° Portefeuille]])</f>
        <v>10</v>
      </c>
      <c r="E280" s="42"/>
      <c r="F280" s="42">
        <f>IF(Tableau1[[#This Row],[Portefeuille]]="p",0,Tableau1[[#This Row],[F. Investissement
Niveau d''intérêt]]*10)</f>
        <v>10</v>
      </c>
      <c r="G280" s="42">
        <f>IF(Tableau1[[#This Row],[Portefeuille]]="p",3,0)</f>
        <v>0</v>
      </c>
      <c r="H280" s="42">
        <v>1</v>
      </c>
      <c r="I280" s="42">
        <v>1</v>
      </c>
      <c r="J280" s="43" t="s">
        <v>4357</v>
      </c>
      <c r="K280" s="43"/>
      <c r="L280" s="16">
        <v>1</v>
      </c>
      <c r="M28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0" s="44" t="s">
        <v>4117</v>
      </c>
      <c r="O280" s="44" t="s">
        <v>4419</v>
      </c>
      <c r="P280" s="4" t="s">
        <v>564</v>
      </c>
      <c r="Q280" s="6" t="s">
        <v>85</v>
      </c>
      <c r="R280" s="6"/>
      <c r="S280" s="6" t="s">
        <v>1540</v>
      </c>
      <c r="T280" s="6" t="e" vm="259">
        <v>#VALUE!</v>
      </c>
      <c r="U280" s="46" cm="1">
        <f t="array" aca="1" ref="U280" ca="1">IFERROR(_FV(Tableau1[[#This Row],[Code Excel]],"Capitalisation boursière",TRUE),"")</f>
        <v>57189600000</v>
      </c>
      <c r="V280" s="4" t="str" cm="1">
        <f t="array" aca="1" ref="V280" ca="1">IFERROR(_FV(Tableau1[[#This Row],[Code Excel]],"Industrie"),"")</f>
        <v>Healthcare Equipment &amp; Supplies</v>
      </c>
      <c r="W280" s="4" t="s">
        <v>1586</v>
      </c>
      <c r="X280" s="4" t="str">
        <f ca="1">Tableau1[[#This Row],[Grand Secteur]]&amp;Tableau1[[#This Row],[Industrie]]</f>
        <v>SantéHealthcare Equipment &amp; Supplies</v>
      </c>
      <c r="Y280" s="23" cm="1">
        <f t="array" aca="1" ref="Y280" ca="1">IFERROR(_FV(Tableau1[[#This Row],[Code Excel]],"P/E",TRUE),"")</f>
        <v>28.53</v>
      </c>
      <c r="Z280" s="43" cm="1">
        <f t="array" aca="1" ref="Z280" ca="1">IFERROR(_FV(Tableau1[[#This Row],[Code Excel]],"Employés"),"")</f>
        <v>73000</v>
      </c>
      <c r="AA280" s="49">
        <f ca="1">IFERROR(Tableau1[[#This Row],[Capitalisation boursière]]/Tableau1[[#This Row],[Employés]],"")</f>
        <v>783419.17808219173</v>
      </c>
      <c r="AB280" s="5" t="str">
        <f>IFERROR(Tableau1[[#This Row],[REX (2021)]]/Tableau1[[#This Row],[CA 2024]],"")</f>
        <v/>
      </c>
      <c r="AC280" s="9" t="str">
        <f>IFERROR(_xlfn.XLOOKUP(Tableau1[[#This Row],[Isin]]&amp;1&amp;2021,#REF!,Tableau3[Résultat d''exploitation]),"")</f>
        <v/>
      </c>
      <c r="AD280" s="9" t="str">
        <f>IFERROR(_xlfn.XLOOKUP(Tableau1[[#This Row],[Isin]]&amp;1&amp;2019,#REF!,Tableau3[Chiffre d''affaires]),"")</f>
        <v/>
      </c>
      <c r="AE280" s="9" t="str">
        <f>IFERROR(_xlfn.XLOOKUP(Tableau1[[#This Row],[Isin]]&amp;1&amp;2024,#REF!,Tableau3[Chiffre d''affaires]),"")</f>
        <v/>
      </c>
      <c r="AF280" s="8" t="str">
        <f>IFERROR(IF((Tableau1[[#This Row],[CA 2024]]-Tableau1[[#This Row],[CA 2019]])/Tableau1[[#This Row],[CA 2019]]=-1,"",(Tableau1[[#This Row],[CA 2024]]-Tableau1[[#This Row],[CA 2019]])/Tableau1[[#This Row],[CA 2019]]),"")</f>
        <v/>
      </c>
      <c r="AG280" s="9" t="str">
        <f>IFERROR(_xlfn.XLOOKUP(Tableau1[[#This Row],[Isin]]&amp;1&amp;2021,#REF!,Tableau3[EBE]),"")</f>
        <v/>
      </c>
      <c r="AH280" s="9" t="str">
        <f>IFERROR(_xlfn.XLOOKUP(Tableau1[[#This Row],[Isin]]&amp;1&amp;2022,#REF!,Tableau3[EBE]),"")</f>
        <v/>
      </c>
      <c r="AI280" s="13" t="s">
        <v>4324</v>
      </c>
      <c r="AJ280" s="13" t="s">
        <v>4322</v>
      </c>
      <c r="AK280" s="13" t="s">
        <v>3148</v>
      </c>
      <c r="AL280" s="43" t="s">
        <v>4343</v>
      </c>
      <c r="AM280" s="43"/>
      <c r="AN280" s="9" t="str">
        <f>IFERROR(_xlfn.XLOOKUP(Tableau1[[#This Row],[Isin]]&amp;1&amp;2021,#REF!,Tableau3[Chiffre d''affaires]),"")</f>
        <v/>
      </c>
      <c r="AO280" s="43" cm="1">
        <f t="array" aca="1" ref="AO280" ca="1">_FV(Tableau1[[#This Row],[Code Excel]],"P/E",TRUE)</f>
        <v>28.53</v>
      </c>
      <c r="AP280" s="43" t="str">
        <f>IFERROR(_xlfn.XLOOKUP(Tableau1[[#This Row],[Isin]]&amp;1&amp;2023,#REF!,Tableau3[Résultat Net (PdG)]),"")</f>
        <v/>
      </c>
      <c r="AQ280" s="43">
        <f>IF(IFERROR(_xlfn.XLOOKUP(Tableau1[[#This Row],[Isin]]&amp;1&amp;2022,#REF!,Tableau3[Résultat Net (PdG)]),"")="",Tableau1[[#This Row],[RN Groupe 2022
Manuel]],IFERROR(_xlfn.XLOOKUP(Tableau1[[#This Row],[Isin]]&amp;1&amp;2022,#REF!,Tableau3[Résultat Net (PdG)]),""))</f>
        <v>0</v>
      </c>
      <c r="AR280" s="43"/>
      <c r="AS280" s="43">
        <f>IF(IFERROR(_xlfn.XLOOKUP(Tableau1[[#This Row],[Isin]]&amp;1&amp;2021,#REF!,Tableau3[Résultat Net (PdG)]),"")="",Tableau1[[#This Row],[RN Groupe 2021
Manuel]],IFERROR(_xlfn.XLOOKUP(Tableau1[[#This Row],[Isin]]&amp;1&amp;2021,#REF!,Tableau3[Résultat Net (PdG)]),""))</f>
        <v>0</v>
      </c>
      <c r="AT280" s="43"/>
      <c r="AU280" s="43" t="str">
        <f>IFERROR(_xlfn.XLOOKUP(Tableau1[[#This Row],[Isin]]&amp;1&amp;2020,#REF!,Tableau3[Résultat Net (PdG)]),"")</f>
        <v/>
      </c>
      <c r="AV280" s="43" t="str">
        <f>IFERROR(_xlfn.XLOOKUP(Tableau1[[#This Row],[Isin]]&amp;1&amp;2019,#REF!,Tableau3[Résultat Net (PdG)]),"")</f>
        <v/>
      </c>
      <c r="AW280" s="43" t="str">
        <f>IFERROR(_xlfn.XLOOKUP(Tableau1[[#This Row],[Isin]]&amp;1&amp;2018,#REF!,Tableau3[Résultat Net (PdG)]),"")</f>
        <v/>
      </c>
      <c r="AX280" s="43" t="str">
        <f>IFERROR(_xlfn.XLOOKUP(Tableau1[[#This Row],[Isin]]&amp;1&amp;2017,#REF!,Tableau3[Résultat Net (PdG)]),"")</f>
        <v/>
      </c>
      <c r="AY280" s="43" t="str">
        <f>IFERROR(_xlfn.XLOOKUP(Tableau1[[#This Row],[Isin]]&amp;1&amp;2016,#REF!,Tableau3[Résultat Net (PdG)]),"")</f>
        <v/>
      </c>
      <c r="AZ280" s="137" t="str">
        <f ca="1">IFERROR(Tableau1[[#This Row],[Capitalisation boursière]]/Tableau1[[#This Row],[RN Groupe 2023]],"")</f>
        <v/>
      </c>
      <c r="BA280" s="4" t="str" cm="1">
        <f t="array" aca="1" ref="BA280" ca="1">IFERROR(_FV(Tableau1[[#This Row],[Code Excel]],"Industrie"),"")</f>
        <v>Healthcare Equipment &amp; Supplies</v>
      </c>
      <c r="BB280" s="43" t="s">
        <v>3487</v>
      </c>
      <c r="BC280" s="43" t="str">
        <f>IFERROR(_xlfn.XLOOKUP(Tableau1[[#This Row],[Isin]]&amp;1&amp;2016,#REF!,Tableau3[Capi]),"")</f>
        <v/>
      </c>
      <c r="BD280" s="43" t="str">
        <f>IFERROR(_xlfn.XLOOKUP(Tableau1[[#This Row],[Isin]]&amp;1&amp;2017,#REF!,Tableau3[Capi]),"")</f>
        <v/>
      </c>
      <c r="BE280" s="43" t="str">
        <f>IFERROR(_xlfn.XLOOKUP(Tableau1[[#This Row],[Isin]]&amp;1&amp;2018,#REF!,Tableau3[Capi]),"")</f>
        <v/>
      </c>
      <c r="BF280" s="43" t="str">
        <f>IFERROR(_xlfn.XLOOKUP(Tableau1[[#This Row],[Isin]]&amp;1&amp;2019,#REF!,Tableau3[Capi]),"")</f>
        <v/>
      </c>
      <c r="BG280" s="43" t="str">
        <f>IFERROR(_xlfn.XLOOKUP(Tableau1[[#This Row],[Isin]]&amp;1&amp;2020,#REF!,Tableau3[Capi]),"")</f>
        <v/>
      </c>
      <c r="BH280" s="43">
        <f>IF(IFERROR(_xlfn.XLOOKUP(Tableau1[[#This Row],[Isin]]&amp;1&amp;2021,#REF!,Tableau3[Capi]),"")="",Tableau1[[#This Row],[Capitalisation 2021
Manuel]],IFERROR(_xlfn.XLOOKUP(Tableau1[[#This Row],[Isin]]&amp;1&amp;2021,#REF!,Tableau3[Capi]),""))</f>
        <v>0</v>
      </c>
      <c r="BI280" s="43"/>
      <c r="BJ280" s="43">
        <f>IF(IFERROR(_xlfn.XLOOKUP(Tableau1[[#This Row],[Isin]]&amp;1&amp;2022,#REF!,Tableau3[Capi]),"")="",Tableau1[[#This Row],[Capitalisation 2022
Manuel]],IFERROR(_xlfn.XLOOKUP(Tableau1[[#This Row],[Isin]]&amp;1&amp;2022,#REF!,Tableau3[Capi]),""))</f>
        <v>0</v>
      </c>
      <c r="BK280" s="43"/>
      <c r="BL280" s="43">
        <f ca="1">Tableau1[[#This Row],[Capitalisation boursière]]</f>
        <v>57189600000</v>
      </c>
      <c r="BM280" s="162" t="str" cm="1">
        <f t="array" aca="1" ref="BM280" ca="1">_FV(Tableau1[[#This Row],[Code Excel]],"Description")</f>
        <v>Siemens Healthineers AG est une société basée en Allemagne. La société est un fournisseur mondial de produits, solutions et services de santé. Elle propose également des services de conseil clinique, des formations et des offres de services. Les segments de la société comprennent l'imagerie, le diagnostic, Varian et les thérapies avancées. Le segment Imagerie propose des solutions logicielles pour soutenir la lecture et la création de rapports structurés d'images diagnostiques provenant de différentes modalités. Le segment Diagnostics propose aux prestataires de soins de santé des services de laboratoire général, de laboratoire spécialisé et de diagnostic au point de service. Le segment Varian propose un portefeuille de technologies et de services de soins contre le cancer et soutient les services d'oncologie des hôpitaux et des cliniques. Le segment Thérapies avancées comprend des produits, services et solutions intégrés utilisés dans le traitement de maladies dans de nombreux domaines cliniques.</v>
      </c>
      <c r="BN280" s="43"/>
      <c r="BO280" s="43"/>
      <c r="BP280" s="43"/>
      <c r="BQ280" s="43"/>
      <c r="BR280" s="13"/>
      <c r="BS280" s="13"/>
      <c r="BT280" s="13"/>
      <c r="BU280" s="13"/>
      <c r="BV280" s="13"/>
      <c r="BW280" s="13"/>
      <c r="BX280" s="13"/>
      <c r="BY280" s="21"/>
      <c r="BZ280" s="13"/>
      <c r="CA280" s="13"/>
      <c r="CB280" s="13"/>
      <c r="CC280" s="13"/>
      <c r="CD280" s="13"/>
      <c r="CF280" s="4"/>
      <c r="CG280" s="4"/>
    </row>
    <row r="281" spans="3:85">
      <c r="C281" s="42"/>
      <c r="D281" s="42">
        <f>IF(Tableau1[[#This Row],[Isin]]="",99,Tableau1[[#This Row],[Intérêt]]+Tableau1[[#This Row],[Valeur d''intérêt]]+Tableau1[[#This Row],[N° Portefeuille]])</f>
        <v>30</v>
      </c>
      <c r="E281" s="42"/>
      <c r="F281" s="42">
        <f>IF(Tableau1[[#This Row],[Portefeuille]]="p",0,Tableau1[[#This Row],[F. Investissement
Niveau d''intérêt]]*10)</f>
        <v>30</v>
      </c>
      <c r="G281" s="42">
        <f>IF(Tableau1[[#This Row],[Portefeuille]]="p",3,0)</f>
        <v>0</v>
      </c>
      <c r="H281" s="42">
        <v>3</v>
      </c>
      <c r="I281" s="42">
        <v>4</v>
      </c>
      <c r="J281" s="42"/>
      <c r="K281" s="43"/>
      <c r="L281" s="16">
        <v>1</v>
      </c>
      <c r="M28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1" s="44" t="s">
        <v>4119</v>
      </c>
      <c r="O281" s="44" t="s">
        <v>4420</v>
      </c>
      <c r="P281" s="4" t="s">
        <v>427</v>
      </c>
      <c r="Q281" s="6" t="s">
        <v>85</v>
      </c>
      <c r="R281" s="6"/>
      <c r="S281" s="6" t="s">
        <v>1029</v>
      </c>
      <c r="T281" s="6" t="e" vm="260">
        <v>#VALUE!</v>
      </c>
      <c r="U281" s="46" cm="1">
        <f t="array" aca="1" ref="U281" ca="1">IFERROR(_FV(Tableau1[[#This Row],[Code Excel]],"Capitalisation boursière",TRUE),"")</f>
        <v>2620789000</v>
      </c>
      <c r="V281" s="4" t="str" cm="1">
        <f t="array" aca="1" ref="V281" ca="1">IFERROR(_FV(Tableau1[[#This Row],[Code Excel]],"Industrie"),"")</f>
        <v>Homebuilding &amp; Construction Supplies</v>
      </c>
      <c r="W281" s="4" t="s">
        <v>4321</v>
      </c>
      <c r="X281" s="4" t="str">
        <f ca="1">Tableau1[[#This Row],[Grand Secteur]]&amp;Tableau1[[#This Row],[Industrie]]</f>
        <v>EquipementiersHomebuilding &amp; Construction Supplies</v>
      </c>
      <c r="Y281" s="23" cm="1">
        <f t="array" aca="1" ref="Y281" ca="1">IFERROR(_FV(Tableau1[[#This Row],[Code Excel]],"P/E",TRUE),"")</f>
        <v>7.8554000000000004</v>
      </c>
      <c r="Z281" s="43" cm="1">
        <f t="array" aca="1" ref="Z281" ca="1">IFERROR(_FV(Tableau1[[#This Row],[Code Excel]],"Employés"),"")</f>
        <v>29459</v>
      </c>
      <c r="AA281" s="46">
        <f ca="1">IFERROR(Tableau1[[#This Row],[Capitalisation boursière]]/Tableau1[[#This Row],[Employés]],"")</f>
        <v>88963.949896466278</v>
      </c>
      <c r="AB281" s="5" t="str">
        <f>IFERROR(Tableau1[[#This Row],[REX (2021)]]/Tableau1[[#This Row],[CA 2024]],"")</f>
        <v/>
      </c>
      <c r="AC281" s="9" t="str">
        <f>IFERROR(_xlfn.XLOOKUP(Tableau1[[#This Row],[Isin]]&amp;1&amp;2021,#REF!,Tableau3[Résultat d''exploitation]),"")</f>
        <v/>
      </c>
      <c r="AD281" s="9" t="str">
        <f>IFERROR(_xlfn.XLOOKUP(Tableau1[[#This Row],[Isin]]&amp;1&amp;2019,#REF!,Tableau3[Chiffre d''affaires]),"")</f>
        <v/>
      </c>
      <c r="AE281" s="9" t="str">
        <f>IFERROR(_xlfn.XLOOKUP(Tableau1[[#This Row],[Isin]]&amp;1&amp;2024,#REF!,Tableau3[Chiffre d''affaires]),"")</f>
        <v/>
      </c>
      <c r="AF281" s="8" t="str">
        <f>IFERROR(IF((Tableau1[[#This Row],[CA 2024]]-Tableau1[[#This Row],[CA 2019]])/Tableau1[[#This Row],[CA 2019]]=-1,"",(Tableau1[[#This Row],[CA 2024]]-Tableau1[[#This Row],[CA 2019]])/Tableau1[[#This Row],[CA 2019]]),"")</f>
        <v/>
      </c>
      <c r="AG281" s="9" t="str">
        <f>IFERROR(_xlfn.XLOOKUP(Tableau1[[#This Row],[Isin]]&amp;1&amp;2021,#REF!,Tableau3[EBE]),"")</f>
        <v/>
      </c>
      <c r="AH281" s="9" t="str">
        <f>IFERROR(_xlfn.XLOOKUP(Tableau1[[#This Row],[Isin]]&amp;1&amp;2022,#REF!,Tableau3[EBE]),"")</f>
        <v/>
      </c>
      <c r="AI281" s="43" t="s">
        <v>4329</v>
      </c>
      <c r="AJ281" s="43" t="s">
        <v>3150</v>
      </c>
      <c r="AK281" s="43" t="s">
        <v>3149</v>
      </c>
      <c r="AL281" s="43" t="s">
        <v>3149</v>
      </c>
      <c r="AM281" s="43"/>
      <c r="AN281" s="9" t="str">
        <f>IFERROR(_xlfn.XLOOKUP(Tableau1[[#This Row],[Isin]]&amp;1&amp;2021,#REF!,Tableau3[Chiffre d''affaires]),"")</f>
        <v/>
      </c>
      <c r="AO281" s="43" cm="1">
        <f t="array" aca="1" ref="AO281" ca="1">_FV(Tableau1[[#This Row],[Code Excel]],"P/E",TRUE)</f>
        <v>7.8554000000000004</v>
      </c>
      <c r="AP281" s="43" t="str">
        <f>IFERROR(_xlfn.XLOOKUP(Tableau1[[#This Row],[Isin]]&amp;1&amp;2023,#REF!,Tableau3[Résultat Net (PdG)]),"")</f>
        <v/>
      </c>
      <c r="AQ281" s="43">
        <f>IF(IFERROR(_xlfn.XLOOKUP(Tableau1[[#This Row],[Isin]]&amp;1&amp;2022,#REF!,Tableau3[Résultat Net (PdG)]),"")="",Tableau1[[#This Row],[RN Groupe 2022
Manuel]],IFERROR(_xlfn.XLOOKUP(Tableau1[[#This Row],[Isin]]&amp;1&amp;2022,#REF!,Tableau3[Résultat Net (PdG)]),""))</f>
        <v>0</v>
      </c>
      <c r="AR281" s="43"/>
      <c r="AS281" s="43">
        <f>IF(IFERROR(_xlfn.XLOOKUP(Tableau1[[#This Row],[Isin]]&amp;1&amp;2021,#REF!,Tableau3[Résultat Net (PdG)]),"")="",Tableau1[[#This Row],[RN Groupe 2021
Manuel]],IFERROR(_xlfn.XLOOKUP(Tableau1[[#This Row],[Isin]]&amp;1&amp;2021,#REF!,Tableau3[Résultat Net (PdG)]),""))</f>
        <v>0</v>
      </c>
      <c r="AT281" s="43"/>
      <c r="AU281" s="43" t="str">
        <f>IFERROR(_xlfn.XLOOKUP(Tableau1[[#This Row],[Isin]]&amp;1&amp;2020,#REF!,Tableau3[Résultat Net (PdG)]),"")</f>
        <v/>
      </c>
      <c r="AV281" s="43" t="str">
        <f>IFERROR(_xlfn.XLOOKUP(Tableau1[[#This Row],[Isin]]&amp;1&amp;2019,#REF!,Tableau3[Résultat Net (PdG)]),"")</f>
        <v/>
      </c>
      <c r="AW281" s="43" t="str">
        <f>IFERROR(_xlfn.XLOOKUP(Tableau1[[#This Row],[Isin]]&amp;1&amp;2018,#REF!,Tableau3[Résultat Net (PdG)]),"")</f>
        <v/>
      </c>
      <c r="AX281" s="43" t="str">
        <f>IFERROR(_xlfn.XLOOKUP(Tableau1[[#This Row],[Isin]]&amp;1&amp;2017,#REF!,Tableau3[Résultat Net (PdG)]),"")</f>
        <v/>
      </c>
      <c r="AY281" s="43" t="str">
        <f>IFERROR(_xlfn.XLOOKUP(Tableau1[[#This Row],[Isin]]&amp;1&amp;2016,#REF!,Tableau3[Résultat Net (PdG)]),"")</f>
        <v/>
      </c>
      <c r="AZ281" s="137" t="str">
        <f ca="1">IFERROR(Tableau1[[#This Row],[Capitalisation boursière]]/Tableau1[[#This Row],[RN Groupe 2023]],"")</f>
        <v/>
      </c>
      <c r="BA281" s="4" t="str" cm="1">
        <f t="array" aca="1" ref="BA281" ca="1">IFERROR(_FV(Tableau1[[#This Row],[Code Excel]],"Industrie"),"")</f>
        <v>Homebuilding &amp; Construction Supplies</v>
      </c>
      <c r="BB281" s="43" t="s">
        <v>3496</v>
      </c>
      <c r="BC281" s="43" t="str">
        <f>IFERROR(_xlfn.XLOOKUP(Tableau1[[#This Row],[Isin]]&amp;1&amp;2016,#REF!,Tableau3[Capi]),"")</f>
        <v/>
      </c>
      <c r="BD281" s="43" t="str">
        <f>IFERROR(_xlfn.XLOOKUP(Tableau1[[#This Row],[Isin]]&amp;1&amp;2017,#REF!,Tableau3[Capi]),"")</f>
        <v/>
      </c>
      <c r="BE281" s="43" t="str">
        <f>IFERROR(_xlfn.XLOOKUP(Tableau1[[#This Row],[Isin]]&amp;1&amp;2018,#REF!,Tableau3[Capi]),"")</f>
        <v/>
      </c>
      <c r="BF281" s="43" t="str">
        <f>IFERROR(_xlfn.XLOOKUP(Tableau1[[#This Row],[Isin]]&amp;1&amp;2019,#REF!,Tableau3[Capi]),"")</f>
        <v/>
      </c>
      <c r="BG281" s="43" t="str">
        <f>IFERROR(_xlfn.XLOOKUP(Tableau1[[#This Row],[Isin]]&amp;1&amp;2020,#REF!,Tableau3[Capi]),"")</f>
        <v/>
      </c>
      <c r="BH281" s="43">
        <f>IF(IFERROR(_xlfn.XLOOKUP(Tableau1[[#This Row],[Isin]]&amp;1&amp;2021,#REF!,Tableau3[Capi]),"")="",Tableau1[[#This Row],[Capitalisation 2021
Manuel]],IFERROR(_xlfn.XLOOKUP(Tableau1[[#This Row],[Isin]]&amp;1&amp;2021,#REF!,Tableau3[Capi]),""))</f>
        <v>0</v>
      </c>
      <c r="BI281" s="43"/>
      <c r="BJ281" s="43">
        <f>IF(IFERROR(_xlfn.XLOOKUP(Tableau1[[#This Row],[Isin]]&amp;1&amp;2022,#REF!,Tableau3[Capi]),"")="",Tableau1[[#This Row],[Capitalisation 2022
Manuel]],IFERROR(_xlfn.XLOOKUP(Tableau1[[#This Row],[Isin]]&amp;1&amp;2022,#REF!,Tableau3[Capi]),""))</f>
        <v>0</v>
      </c>
      <c r="BK281" s="43"/>
      <c r="BL281" s="43">
        <f ca="1">Tableau1[[#This Row],[Capitalisation boursière]]</f>
        <v>2620789000</v>
      </c>
      <c r="BM281" s="162" t="str" cm="1">
        <f t="array" aca="1" ref="BM281" ca="1">_FV(Tableau1[[#This Row],[Code Excel]],"Description")</f>
        <v>Signify NV, anciennement Philips Lighting NV, est une société basée aux Pays-Bas qui fournit des lampes et des solutions d'éclairage. Son portefeuille de produits comprend, entre autres, des lampes à incandescence, des lampes halogènes, des lampes fluorescentes, des lampes fluorescentes linéaires (LFL), des lampes fluorescentes compactes (CFL), des lampes à décharge haute intensité (HID) et des diodes électroluminescentes (LED), ainsi que des composants électroniques, tels que des ballasts électroniques et des conducteurs. La Société fournit également des systèmes d'éclairage intégrés et personnalisés. Son portefeuille de services comprend la gestion de la lumière et les services à valeur ajoutée, tels que les audits énergétiques, la conception légère et l'ingénierie, ainsi que la surveillance à distance et les services gérés. La Société opère à travers quatre segments: les segments Lampes comprennent des lampes conventionnelles et des lampes électroniques; le segment LED se concentre sur les lampes LED; Le segment Professionnel comprend des systèmes d'éclairage et des services a l’intention des consommateurs professionnels, et les segments Immobilier couvrent les luminaires des consommateurs et les systèmes domestiques.</v>
      </c>
      <c r="BN281" s="43"/>
      <c r="BO281" s="43"/>
      <c r="BP281" s="43"/>
      <c r="BQ281" s="43"/>
      <c r="BR281" s="13"/>
      <c r="BS281" s="13"/>
      <c r="BT281" s="13"/>
      <c r="BU281" s="13"/>
      <c r="BV281" s="13"/>
      <c r="BW281" s="13"/>
      <c r="BX281" s="13"/>
      <c r="BY281" s="21"/>
      <c r="BZ281" s="13"/>
      <c r="CA281" s="13"/>
      <c r="CB281" s="13"/>
      <c r="CC281" s="13"/>
      <c r="CD281" s="13"/>
      <c r="CF281" s="4"/>
      <c r="CG281" s="4"/>
    </row>
    <row r="282" spans="3:85">
      <c r="C282" s="43"/>
      <c r="D282" s="42">
        <f>IF(Tableau1[[#This Row],[Isin]]="",99,Tableau1[[#This Row],[Intérêt]]+Tableau1[[#This Row],[Valeur d''intérêt]]+Tableau1[[#This Row],[N° Portefeuille]])</f>
        <v>30</v>
      </c>
      <c r="E282" s="43"/>
      <c r="F282" s="42">
        <f>IF(Tableau1[[#This Row],[Portefeuille]]="p",0,Tableau1[[#This Row],[F. Investissement
Niveau d''intérêt]]*10)</f>
        <v>30</v>
      </c>
      <c r="G282" s="43">
        <f>IF(Tableau1[[#This Row],[Portefeuille]]="p",3,0)</f>
        <v>0</v>
      </c>
      <c r="H282" s="42">
        <v>3</v>
      </c>
      <c r="I282" s="43">
        <v>4</v>
      </c>
      <c r="J282" s="43"/>
      <c r="K282" s="43"/>
      <c r="L282" s="16">
        <v>0</v>
      </c>
      <c r="M28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2" s="44" t="s">
        <v>4121</v>
      </c>
      <c r="O282" s="45"/>
      <c r="P282" s="4" t="s">
        <v>99</v>
      </c>
      <c r="Q282" s="4"/>
      <c r="R282" s="6"/>
      <c r="S282" s="6" t="s">
        <v>4122</v>
      </c>
      <c r="T282" s="6" t="e" vm="261">
        <v>#VALUE!</v>
      </c>
      <c r="U282" s="46" cm="1">
        <f t="array" aca="1" ref="U282" ca="1">IFERROR(_FV(Tableau1[[#This Row],[Code Excel]],"Capitalisation boursière",TRUE),"")</f>
        <v>35000540000</v>
      </c>
      <c r="V282" s="4" t="str" cm="1">
        <f t="array" aca="1" ref="V282" ca="1">IFERROR(_FV(Tableau1[[#This Row],[Code Excel]],"Industrie"),"")</f>
        <v>Chemicals</v>
      </c>
      <c r="W282" s="4" t="s">
        <v>2431</v>
      </c>
      <c r="X282" s="4" t="str">
        <f ca="1">Tableau1[[#This Row],[Grand Secteur]]&amp;Tableau1[[#This Row],[Industrie]]</f>
        <v>ChimieChemicals</v>
      </c>
      <c r="Y282" s="23" cm="1">
        <f t="array" aca="1" ref="Y282" ca="1">IFERROR(_FV(Tableau1[[#This Row],[Code Excel]],"P/E",TRUE),"")</f>
        <v>28.105699999999999</v>
      </c>
      <c r="Z282" s="43" cm="1">
        <f t="array" aca="1" ref="Z282" ca="1">IFERROR(_FV(Tableau1[[#This Row],[Code Excel]],"Employés"),"")</f>
        <v>34476</v>
      </c>
      <c r="AA282" s="46">
        <f ca="1">IFERROR(Tableau1[[#This Row],[Capitalisation boursière]]/Tableau1[[#This Row],[Employés]],"")</f>
        <v>1015214.6420698457</v>
      </c>
      <c r="AB282" s="5" t="str">
        <f>IFERROR(Tableau1[[#This Row],[REX (2021)]]/Tableau1[[#This Row],[CA 2024]],"")</f>
        <v/>
      </c>
      <c r="AC282" s="9" t="str">
        <f>IFERROR(_xlfn.XLOOKUP(Tableau1[[#This Row],[Isin]]&amp;1&amp;2021,#REF!,Tableau3[Résultat d''exploitation]),"")</f>
        <v/>
      </c>
      <c r="AD282" s="9" t="str">
        <f>IFERROR(_xlfn.XLOOKUP(Tableau1[[#This Row],[Isin]]&amp;1&amp;2019,#REF!,Tableau3[Chiffre d''affaires]),"")</f>
        <v/>
      </c>
      <c r="AE282" s="9" t="str">
        <f>IFERROR(_xlfn.XLOOKUP(Tableau1[[#This Row],[Isin]]&amp;1&amp;2024,#REF!,Tableau3[Chiffre d''affaires]),"")</f>
        <v/>
      </c>
      <c r="AF282" s="8" t="str">
        <f>IFERROR(IF((Tableau1[[#This Row],[CA 2024]]-Tableau1[[#This Row],[CA 2019]])/Tableau1[[#This Row],[CA 2019]]=-1,"",(Tableau1[[#This Row],[CA 2024]]-Tableau1[[#This Row],[CA 2019]])/Tableau1[[#This Row],[CA 2019]]),"")</f>
        <v/>
      </c>
      <c r="AG282" s="9" t="str">
        <f>IFERROR(_xlfn.XLOOKUP(Tableau1[[#This Row],[Isin]]&amp;1&amp;2021,#REF!,Tableau3[EBE]),"")</f>
        <v/>
      </c>
      <c r="AH282" s="9" t="str">
        <f>IFERROR(_xlfn.XLOOKUP(Tableau1[[#This Row],[Isin]]&amp;1&amp;2022,#REF!,Tableau3[EBE]),"")</f>
        <v/>
      </c>
      <c r="AI282" s="43" t="s">
        <v>4329</v>
      </c>
      <c r="AJ282" s="43" t="s">
        <v>3150</v>
      </c>
      <c r="AK282" s="43" t="s">
        <v>3148</v>
      </c>
      <c r="AL282" s="43"/>
      <c r="AM282" s="43"/>
      <c r="AN282" s="9" t="str">
        <f>IFERROR(_xlfn.XLOOKUP(Tableau1[[#This Row],[Isin]]&amp;1&amp;2021,#REF!,Tableau3[Chiffre d''affaires]),"")</f>
        <v/>
      </c>
      <c r="AO282" s="43" cm="1">
        <f t="array" aca="1" ref="AO282" ca="1">_FV(Tableau1[[#This Row],[Code Excel]],"P/E",TRUE)</f>
        <v>28.105699999999999</v>
      </c>
      <c r="AP282" s="43" t="str">
        <f>IFERROR(_xlfn.XLOOKUP(Tableau1[[#This Row],[Isin]]&amp;1&amp;2023,#REF!,Tableau3[Résultat Net (PdG)]),"")</f>
        <v/>
      </c>
      <c r="AQ282" s="43">
        <f>IF(IFERROR(_xlfn.XLOOKUP(Tableau1[[#This Row],[Isin]]&amp;1&amp;2022,#REF!,Tableau3[Résultat Net (PdG)]),"")="",Tableau1[[#This Row],[RN Groupe 2022
Manuel]],IFERROR(_xlfn.XLOOKUP(Tableau1[[#This Row],[Isin]]&amp;1&amp;2022,#REF!,Tableau3[Résultat Net (PdG)]),""))</f>
        <v>0</v>
      </c>
      <c r="AR282" s="43"/>
      <c r="AS282" s="43">
        <f>IF(IFERROR(_xlfn.XLOOKUP(Tableau1[[#This Row],[Isin]]&amp;1&amp;2021,#REF!,Tableau3[Résultat Net (PdG)]),"")="",Tableau1[[#This Row],[RN Groupe 2021
Manuel]],IFERROR(_xlfn.XLOOKUP(Tableau1[[#This Row],[Isin]]&amp;1&amp;2021,#REF!,Tableau3[Résultat Net (PdG)]),""))</f>
        <v>0</v>
      </c>
      <c r="AT282" s="43"/>
      <c r="AU282" s="43" t="str">
        <f>IFERROR(_xlfn.XLOOKUP(Tableau1[[#This Row],[Isin]]&amp;1&amp;2020,#REF!,Tableau3[Résultat Net (PdG)]),"")</f>
        <v/>
      </c>
      <c r="AV282" s="43" t="str">
        <f>IFERROR(_xlfn.XLOOKUP(Tableau1[[#This Row],[Isin]]&amp;1&amp;2019,#REF!,Tableau3[Résultat Net (PdG)]),"")</f>
        <v/>
      </c>
      <c r="AW282" s="43" t="str">
        <f>IFERROR(_xlfn.XLOOKUP(Tableau1[[#This Row],[Isin]]&amp;1&amp;2018,#REF!,Tableau3[Résultat Net (PdG)]),"")</f>
        <v/>
      </c>
      <c r="AX282" s="43" t="str">
        <f>IFERROR(_xlfn.XLOOKUP(Tableau1[[#This Row],[Isin]]&amp;1&amp;2017,#REF!,Tableau3[Résultat Net (PdG)]),"")</f>
        <v/>
      </c>
      <c r="AY282" s="43" t="str">
        <f>IFERROR(_xlfn.XLOOKUP(Tableau1[[#This Row],[Isin]]&amp;1&amp;2016,#REF!,Tableau3[Résultat Net (PdG)]),"")</f>
        <v/>
      </c>
      <c r="AZ282" s="137" t="str">
        <f ca="1">IFERROR(Tableau1[[#This Row],[Capitalisation boursière]]/Tableau1[[#This Row],[RN Groupe 2023]],"")</f>
        <v/>
      </c>
      <c r="BA282" s="4" t="str" cm="1">
        <f t="array" aca="1" ref="BA282" ca="1">IFERROR(_FV(Tableau1[[#This Row],[Code Excel]],"Industrie"),"")</f>
        <v>Chemicals</v>
      </c>
      <c r="BB282" s="43" t="s">
        <v>3469</v>
      </c>
      <c r="BC282" s="43" t="str">
        <f>IFERROR(_xlfn.XLOOKUP(Tableau1[[#This Row],[Isin]]&amp;1&amp;2016,#REF!,Tableau3[Capi]),"")</f>
        <v/>
      </c>
      <c r="BD282" s="43" t="str">
        <f>IFERROR(_xlfn.XLOOKUP(Tableau1[[#This Row],[Isin]]&amp;1&amp;2017,#REF!,Tableau3[Capi]),"")</f>
        <v/>
      </c>
      <c r="BE282" s="43" t="str">
        <f>IFERROR(_xlfn.XLOOKUP(Tableau1[[#This Row],[Isin]]&amp;1&amp;2018,#REF!,Tableau3[Capi]),"")</f>
        <v/>
      </c>
      <c r="BF282" s="43" t="str">
        <f>IFERROR(_xlfn.XLOOKUP(Tableau1[[#This Row],[Isin]]&amp;1&amp;2019,#REF!,Tableau3[Capi]),"")</f>
        <v/>
      </c>
      <c r="BG282" s="43" t="str">
        <f>IFERROR(_xlfn.XLOOKUP(Tableau1[[#This Row],[Isin]]&amp;1&amp;2020,#REF!,Tableau3[Capi]),"")</f>
        <v/>
      </c>
      <c r="BH282" s="43">
        <f>IF(IFERROR(_xlfn.XLOOKUP(Tableau1[[#This Row],[Isin]]&amp;1&amp;2021,#REF!,Tableau3[Capi]),"")="",Tableau1[[#This Row],[Capitalisation 2021
Manuel]],IFERROR(_xlfn.XLOOKUP(Tableau1[[#This Row],[Isin]]&amp;1&amp;2021,#REF!,Tableau3[Capi]),""))</f>
        <v>0</v>
      </c>
      <c r="BI282" s="43"/>
      <c r="BJ282" s="43">
        <f>IF(IFERROR(_xlfn.XLOOKUP(Tableau1[[#This Row],[Isin]]&amp;1&amp;2022,#REF!,Tableau3[Capi]),"")="",Tableau1[[#This Row],[Capitalisation 2022
Manuel]],IFERROR(_xlfn.XLOOKUP(Tableau1[[#This Row],[Isin]]&amp;1&amp;2022,#REF!,Tableau3[Capi]),""))</f>
        <v>0</v>
      </c>
      <c r="BK282" s="43"/>
      <c r="BL282" s="43">
        <f ca="1">Tableau1[[#This Row],[Capitalisation boursière]]</f>
        <v>35000540000</v>
      </c>
      <c r="BM282" s="162" t="str" cm="1">
        <f t="array" aca="1" ref="BM282" ca="1">_FV(Tableau1[[#This Row],[Code Excel]],"Description")</f>
        <v>Sika AG est une société basée en Suisse exerçant ses activités dans l'industrie chimique. La Société fabrique des produits destinés principalement aux industries de l'automobile et des pièces automobiles, à l'énergie renouvelable et à l'équipement et aux composants. Les activités de la Société sont divisées en deux secteurs d'activité : la division Construction offre une gamme de produits, notamment des adjuvants pour béton, des mortiers prêts à l'emploi, des systèmes de toiture, des systèmes d'étanchéité, des systèmes de revêtement de sol et des solutions de protection de l'acier, entre autres, et la Division Industrie développe des solutions de collage, d'étanchéité, d'amortissement, de vitrage et de renforcement, entre autres. Les marques de la Société incluent notamment Sarnafil, Sika, Sikadur, Sikaflex, SikaGrout, SikaPower, SikaHydroPrep, SikaReinforcer, Sika ViscoCrete, Sikaplan et SikaRapid. entre autres. La Société est active dans le monde entier, avec des activités divisées en régions géographiques, à savoir l'Europe, le Moyen-Orient et l'Afrique (EMEA), l'Amérique du Nord, l'Amérique latine et l'Asie / Pacifique. La Société exploite de nombreuses filiales.</v>
      </c>
      <c r="BN282" s="43"/>
      <c r="BO282" s="43"/>
      <c r="BP282" s="43"/>
      <c r="BQ282" s="43"/>
      <c r="BR282" s="13"/>
      <c r="BS282" s="13"/>
      <c r="BT282" s="13"/>
      <c r="BU282" s="13"/>
      <c r="BV282" s="13"/>
      <c r="BW282" s="13"/>
      <c r="BX282" s="13"/>
      <c r="BY282" s="21"/>
      <c r="BZ282" s="13"/>
      <c r="CA282" s="13"/>
      <c r="CB282" s="13"/>
      <c r="CC282" s="13"/>
      <c r="CD282" s="13"/>
      <c r="CF282" s="4"/>
      <c r="CG282" s="4"/>
    </row>
    <row r="283" spans="3:85">
      <c r="C283" s="42"/>
      <c r="D283" s="42">
        <f>IF(Tableau1[[#This Row],[Isin]]="",99,Tableau1[[#This Row],[Intérêt]]+Tableau1[[#This Row],[Valeur d''intérêt]]+Tableau1[[#This Row],[N° Portefeuille]])</f>
        <v>30</v>
      </c>
      <c r="E283" s="42"/>
      <c r="F283" s="42">
        <f>IF(Tableau1[[#This Row],[Portefeuille]]="p",0,Tableau1[[#This Row],[F. Investissement
Niveau d''intérêt]]*10)</f>
        <v>30</v>
      </c>
      <c r="G283" s="42">
        <f>IF(Tableau1[[#This Row],[Portefeuille]]="p",3,0)</f>
        <v>0</v>
      </c>
      <c r="H283" s="42">
        <v>3</v>
      </c>
      <c r="I283" s="42">
        <v>4</v>
      </c>
      <c r="J283" s="42"/>
      <c r="K283" s="43"/>
      <c r="L283" s="16">
        <v>0</v>
      </c>
      <c r="M28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3" s="44" t="s">
        <v>4124</v>
      </c>
      <c r="O283" s="45"/>
      <c r="P283" s="4" t="s">
        <v>84</v>
      </c>
      <c r="Q283" s="4"/>
      <c r="R283" s="6"/>
      <c r="S283" s="6" t="s">
        <v>3396</v>
      </c>
      <c r="T283" s="6" t="e" vm="262">
        <v>#VALUE!</v>
      </c>
      <c r="U283" s="46" cm="1">
        <f t="array" aca="1" ref="U283" ca="1">IFERROR(_FV(Tableau1[[#This Row],[Code Excel]],"Capitalisation boursière",TRUE),"")</f>
        <v>34045480000</v>
      </c>
      <c r="V283" s="4" t="str" cm="1">
        <f t="array" aca="1" ref="V283" ca="1">IFERROR(_FV(Tableau1[[#This Row],[Code Excel]],"Industrie"),"")</f>
        <v>Banking Services</v>
      </c>
      <c r="W283" s="4" t="s">
        <v>4335</v>
      </c>
      <c r="X283" s="4" t="str">
        <f ca="1">Tableau1[[#This Row],[Grand Secteur]]&amp;Tableau1[[#This Row],[Industrie]]</f>
        <v>FinanceBanking Services</v>
      </c>
      <c r="Y283" s="23" cm="1">
        <f t="array" aca="1" ref="Y283" ca="1">IFERROR(_FV(Tableau1[[#This Row],[Code Excel]],"P/E",TRUE),"")</f>
        <v>9.3369999999999997</v>
      </c>
      <c r="Z283" s="43" cm="1">
        <f t="array" aca="1" ref="Z283" ca="1">IFERROR(_FV(Tableau1[[#This Row],[Code Excel]],"Employés"),"")</f>
        <v>119000</v>
      </c>
      <c r="AA283" s="49">
        <f ca="1">IFERROR(Tableau1[[#This Row],[Capitalisation boursière]]/Tableau1[[#This Row],[Employés]],"")</f>
        <v>286096.4705882353</v>
      </c>
      <c r="AB283" s="5" t="str">
        <f>IFERROR(Tableau1[[#This Row],[REX (2021)]]/Tableau1[[#This Row],[CA 2024]],"")</f>
        <v/>
      </c>
      <c r="AC283" s="9" t="str">
        <f>IFERROR(_xlfn.XLOOKUP(Tableau1[[#This Row],[Isin]]&amp;1&amp;2021,#REF!,Tableau3[Résultat d''exploitation]),"")</f>
        <v/>
      </c>
      <c r="AD283" s="9" t="str">
        <f>IFERROR(_xlfn.XLOOKUP(Tableau1[[#This Row],[Isin]]&amp;1&amp;2019,#REF!,Tableau3[Chiffre d''affaires]),"")</f>
        <v/>
      </c>
      <c r="AE283" s="9" t="str">
        <f>IFERROR(_xlfn.XLOOKUP(Tableau1[[#This Row],[Isin]]&amp;1&amp;2024,#REF!,Tableau3[Chiffre d''affaires]),"")</f>
        <v/>
      </c>
      <c r="AF283" s="8" t="str">
        <f>IFERROR(IF((Tableau1[[#This Row],[CA 2024]]-Tableau1[[#This Row],[CA 2019]])/Tableau1[[#This Row],[CA 2019]]=-1,"",(Tableau1[[#This Row],[CA 2024]]-Tableau1[[#This Row],[CA 2019]])/Tableau1[[#This Row],[CA 2019]]),"")</f>
        <v/>
      </c>
      <c r="AG283" s="9" t="str">
        <f>IFERROR(_xlfn.XLOOKUP(Tableau1[[#This Row],[Isin]]&amp;1&amp;2021,#REF!,Tableau3[EBE]),"")</f>
        <v/>
      </c>
      <c r="AH283" s="9" t="str">
        <f>IFERROR(_xlfn.XLOOKUP(Tableau1[[#This Row],[Isin]]&amp;1&amp;2022,#REF!,Tableau3[EBE]),"")</f>
        <v/>
      </c>
      <c r="AI283" s="43" t="s">
        <v>4343</v>
      </c>
      <c r="AJ283" s="43" t="s">
        <v>3150</v>
      </c>
      <c r="AK283" s="43" t="s">
        <v>3148</v>
      </c>
      <c r="AL283" s="43"/>
      <c r="AM283" s="43"/>
      <c r="AN283" s="9" t="str">
        <f>IFERROR(_xlfn.XLOOKUP(Tableau1[[#This Row],[Isin]]&amp;1&amp;2021,#REF!,Tableau3[Chiffre d''affaires]),"")</f>
        <v/>
      </c>
      <c r="AO283" s="43" cm="1">
        <f t="array" aca="1" ref="AO283" ca="1">_FV(Tableau1[[#This Row],[Code Excel]],"P/E",TRUE)</f>
        <v>9.3369999999999997</v>
      </c>
      <c r="AP283" s="43" t="str">
        <f>IFERROR(_xlfn.XLOOKUP(Tableau1[[#This Row],[Isin]]&amp;1&amp;2023,#REF!,Tableau3[Résultat Net (PdG)]),"")</f>
        <v/>
      </c>
      <c r="AQ283" s="43">
        <f>IF(IFERROR(_xlfn.XLOOKUP(Tableau1[[#This Row],[Isin]]&amp;1&amp;2022,#REF!,Tableau3[Résultat Net (PdG)]),"")="",Tableau1[[#This Row],[RN Groupe 2022
Manuel]],IFERROR(_xlfn.XLOOKUP(Tableau1[[#This Row],[Isin]]&amp;1&amp;2022,#REF!,Tableau3[Résultat Net (PdG)]),""))</f>
        <v>2000000000</v>
      </c>
      <c r="AR283" s="140">
        <v>2000000000</v>
      </c>
      <c r="AS283" s="43">
        <f>IF(IFERROR(_xlfn.XLOOKUP(Tableau1[[#This Row],[Isin]]&amp;1&amp;2021,#REF!,Tableau3[Résultat Net (PdG)]),"")="",Tableau1[[#This Row],[RN Groupe 2021
Manuel]],IFERROR(_xlfn.XLOOKUP(Tableau1[[#This Row],[Isin]]&amp;1&amp;2021,#REF!,Tableau3[Résultat Net (PdG)]),""))</f>
        <v>5641000000</v>
      </c>
      <c r="AT283" s="140">
        <v>5641000000</v>
      </c>
      <c r="AU283" s="43" t="str">
        <f>IFERROR(_xlfn.XLOOKUP(Tableau1[[#This Row],[Isin]]&amp;1&amp;2020,#REF!,Tableau3[Résultat Net (PdG)]),"")</f>
        <v/>
      </c>
      <c r="AV283" s="43" t="str">
        <f>IFERROR(_xlfn.XLOOKUP(Tableau1[[#This Row],[Isin]]&amp;1&amp;2019,#REF!,Tableau3[Résultat Net (PdG)]),"")</f>
        <v/>
      </c>
      <c r="AW283" s="43" t="str">
        <f>IFERROR(_xlfn.XLOOKUP(Tableau1[[#This Row],[Isin]]&amp;1&amp;2018,#REF!,Tableau3[Résultat Net (PdG)]),"")</f>
        <v/>
      </c>
      <c r="AX283" s="43" t="str">
        <f>IFERROR(_xlfn.XLOOKUP(Tableau1[[#This Row],[Isin]]&amp;1&amp;2017,#REF!,Tableau3[Résultat Net (PdG)]),"")</f>
        <v/>
      </c>
      <c r="AY283" s="43" t="str">
        <f>IFERROR(_xlfn.XLOOKUP(Tableau1[[#This Row],[Isin]]&amp;1&amp;2016,#REF!,Tableau3[Résultat Net (PdG)]),"")</f>
        <v/>
      </c>
      <c r="AZ283" s="137" t="str">
        <f ca="1">IFERROR(Tableau1[[#This Row],[Capitalisation boursière]]/Tableau1[[#This Row],[RN Groupe 2023]],"")</f>
        <v/>
      </c>
      <c r="BA283" s="4" t="str" cm="1">
        <f t="array" aca="1" ref="BA283" ca="1">IFERROR(_FV(Tableau1[[#This Row],[Code Excel]],"Industrie"),"")</f>
        <v>Banking Services</v>
      </c>
      <c r="BB283" s="43" t="s">
        <v>3518</v>
      </c>
      <c r="BC283" s="43" t="str">
        <f>IFERROR(_xlfn.XLOOKUP(Tableau1[[#This Row],[Isin]]&amp;1&amp;2016,#REF!,Tableau3[Capi]),"")</f>
        <v/>
      </c>
      <c r="BD283" s="43" t="str">
        <f>IFERROR(_xlfn.XLOOKUP(Tableau1[[#This Row],[Isin]]&amp;1&amp;2017,#REF!,Tableau3[Capi]),"")</f>
        <v/>
      </c>
      <c r="BE283" s="43" t="str">
        <f>IFERROR(_xlfn.XLOOKUP(Tableau1[[#This Row],[Isin]]&amp;1&amp;2018,#REF!,Tableau3[Capi]),"")</f>
        <v/>
      </c>
      <c r="BF283" s="43" t="str">
        <f>IFERROR(_xlfn.XLOOKUP(Tableau1[[#This Row],[Isin]]&amp;1&amp;2019,#REF!,Tableau3[Capi]),"")</f>
        <v/>
      </c>
      <c r="BG283" s="43" t="str">
        <f>IFERROR(_xlfn.XLOOKUP(Tableau1[[#This Row],[Isin]]&amp;1&amp;2020,#REF!,Tableau3[Capi]),"")</f>
        <v/>
      </c>
      <c r="BH283" s="43">
        <f>IF(IFERROR(_xlfn.XLOOKUP(Tableau1[[#This Row],[Isin]]&amp;1&amp;2021,#REF!,Tableau3[Capi]),"")="",Tableau1[[#This Row],[Capitalisation 2021
Manuel]],IFERROR(_xlfn.XLOOKUP(Tableau1[[#This Row],[Isin]]&amp;1&amp;2021,#REF!,Tableau3[Capi]),""))</f>
        <v>29970943000</v>
      </c>
      <c r="BI283" s="142">
        <v>29970943000</v>
      </c>
      <c r="BJ283" s="141">
        <f>IF(IFERROR(_xlfn.XLOOKUP(Tableau1[[#This Row],[Isin]]&amp;1&amp;2022,#REF!,Tableau3[Capi]),"")="",Tableau1[[#This Row],[Capitalisation 2022
Manuel]],IFERROR(_xlfn.XLOOKUP(Tableau1[[#This Row],[Isin]]&amp;1&amp;2022,#REF!,Tableau3[Capi]),""))</f>
        <v>21286714000</v>
      </c>
      <c r="BK283" s="142">
        <v>21286714000</v>
      </c>
      <c r="BL283" s="43">
        <f ca="1">Tableau1[[#This Row],[Capitalisation boursière]]</f>
        <v>34045480000</v>
      </c>
      <c r="BM283" s="162" t="str" cm="1">
        <f t="array" aca="1" ref="BM283" ca="1">_FV(Tableau1[[#This Row],[Code Excel]],"Description")</f>
        <v>Société Générale SA est un groupe de services financiers basé en France. Le Groupe offre une large gamme de services de conseil et de solutions financières sur mesure pour sécuriser les transactions, protéger et gérer les actifs et l'épargne, et aider ses clients à financer leurs projets. Elle opère à travers trois secteurs : la Banque de détail en France, la Banque de détail à l'international et les services financiers et la gestion Bancaire mondiale et les Solutions aux investisseurs. La Banque de Détail en France regroupe les réseaux domestiques de Société Générale, Crédit du Nord et Boursorama. La Banque de détail à l'international et les services financiers comprend la Banque de détail à l'international (activités de crédit à la consommation), les Services financiers aux entreprises (location de véhicules opérationnels et gestion de flotte, équipement et financement des fournisseurs) et les activités d'assurance. La gestion Bancaire mondiale et les Solutions aux investisseurs comprend Marchés mondiaux et services aux investisseurs, financement et conseil, gestion d'actifs et de patrimoine. Le Groupe est actif à l'échelle mondiale.</v>
      </c>
      <c r="BN283" s="43"/>
      <c r="BO283" s="43"/>
      <c r="BP283" s="43"/>
      <c r="BQ283" s="43"/>
      <c r="BR283" s="13"/>
      <c r="BS283" s="13"/>
      <c r="BT283" s="13"/>
      <c r="BU283" s="13"/>
      <c r="BV283" s="13"/>
      <c r="BW283" s="13"/>
      <c r="BX283" s="13"/>
      <c r="BY283" s="21"/>
      <c r="BZ283" s="13"/>
      <c r="CA283" s="13"/>
      <c r="CB283" s="13"/>
      <c r="CC283" s="13"/>
      <c r="CD283" s="13"/>
      <c r="CF283" s="4"/>
      <c r="CG283" s="4"/>
    </row>
    <row r="284" spans="3:85">
      <c r="C284" s="43"/>
      <c r="D284" s="42">
        <f>IF(Tableau1[[#This Row],[Isin]]="",99,Tableau1[[#This Row],[Intérêt]]+Tableau1[[#This Row],[Valeur d''intérêt]]+Tableau1[[#This Row],[N° Portefeuille]])</f>
        <v>30</v>
      </c>
      <c r="E284" s="43"/>
      <c r="F284" s="42">
        <f>IF(Tableau1[[#This Row],[Portefeuille]]="p",0,Tableau1[[#This Row],[F. Investissement
Niveau d''intérêt]]*10)</f>
        <v>30</v>
      </c>
      <c r="G284" s="43">
        <f>IF(Tableau1[[#This Row],[Portefeuille]]="p",3,0)</f>
        <v>0</v>
      </c>
      <c r="H284" s="42">
        <v>3</v>
      </c>
      <c r="I284" s="43">
        <v>4</v>
      </c>
      <c r="J284" s="43"/>
      <c r="K284" s="43"/>
      <c r="L284" s="16">
        <v>1</v>
      </c>
      <c r="M28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4" s="44" t="s">
        <v>157</v>
      </c>
      <c r="O284" s="44" t="s">
        <v>130</v>
      </c>
      <c r="P284" s="4" t="s">
        <v>84</v>
      </c>
      <c r="Q284" s="6" t="s">
        <v>85</v>
      </c>
      <c r="R284" s="6"/>
      <c r="S284" s="6" t="s">
        <v>159</v>
      </c>
      <c r="T284" s="6" t="e" vm="263">
        <v>#VALUE!</v>
      </c>
      <c r="U284" s="46" cm="1">
        <f t="array" aca="1" ref="U284" ca="1">IFERROR(_FV(Tableau1[[#This Row],[Code Excel]],"Capitalisation boursière",TRUE),"")</f>
        <v>8839921000</v>
      </c>
      <c r="V284" s="4" t="str" cm="1">
        <f t="array" aca="1" ref="V284" ca="1">IFERROR(_FV(Tableau1[[#This Row],[Code Excel]],"Industrie"),"")</f>
        <v>Hotels &amp; Entertainment Services</v>
      </c>
      <c r="W284" s="4" t="str" cm="1">
        <f t="array" aca="1" ref="W284" ca="1">IFERROR(_FV(Tableau1[[#This Row],[Code Excel]],"Industrie"),"")</f>
        <v>Hotels &amp; Entertainment Services</v>
      </c>
      <c r="X284" s="4" t="str">
        <f ca="1">Tableau1[[#This Row],[Grand Secteur]]&amp;Tableau1[[#This Row],[Industrie]]</f>
        <v>Hotels &amp; Entertainment ServicesHotels &amp; Entertainment Services</v>
      </c>
      <c r="Y284" s="23" cm="1">
        <f t="array" aca="1" ref="Y284" ca="1">IFERROR(_FV(Tableau1[[#This Row],[Code Excel]],"P/E",TRUE),"")</f>
        <v>14.0898</v>
      </c>
      <c r="Z284" s="43" cm="1">
        <f t="array" aca="1" ref="Z284" ca="1">IFERROR(_FV(Tableau1[[#This Row],[Code Excel]],"Employés"),"")</f>
        <v>423467</v>
      </c>
      <c r="AA284" s="49">
        <f ca="1">IFERROR(Tableau1[[#This Row],[Capitalisation boursière]]/Tableau1[[#This Row],[Employés]],"")</f>
        <v>20875.111874124785</v>
      </c>
      <c r="AB284" s="5" t="str">
        <f>IFERROR(Tableau1[[#This Row],[REX (2021)]]/Tableau1[[#This Row],[CA 2024]],"")</f>
        <v/>
      </c>
      <c r="AC284" s="9" t="str">
        <f>IFERROR(_xlfn.XLOOKUP(Tableau1[[#This Row],[Isin]]&amp;1&amp;2021,#REF!,Tableau3[Résultat d''exploitation]),"")</f>
        <v/>
      </c>
      <c r="AD284" s="9" t="str">
        <f>IFERROR(_xlfn.XLOOKUP(Tableau1[[#This Row],[Isin]]&amp;1&amp;2019,#REF!,Tableau3[Chiffre d''affaires]),"")</f>
        <v/>
      </c>
      <c r="AE284" s="9" t="str">
        <f>IFERROR(_xlfn.XLOOKUP(Tableau1[[#This Row],[Isin]]&amp;1&amp;2024,#REF!,Tableau3[Chiffre d''affaires]),"")</f>
        <v/>
      </c>
      <c r="AF284" s="8" t="str">
        <f>IFERROR(IF((Tableau1[[#This Row],[CA 2024]]-Tableau1[[#This Row],[CA 2019]])/Tableau1[[#This Row],[CA 2019]]=-1,"",(Tableau1[[#This Row],[CA 2024]]-Tableau1[[#This Row],[CA 2019]])/Tableau1[[#This Row],[CA 2019]]),"")</f>
        <v/>
      </c>
      <c r="AG284" s="9" t="str">
        <f>IFERROR(_xlfn.XLOOKUP(Tableau1[[#This Row],[Isin]]&amp;1&amp;2021,#REF!,Tableau3[EBE]),"")</f>
        <v/>
      </c>
      <c r="AH284" s="9" t="str">
        <f>IFERROR(_xlfn.XLOOKUP(Tableau1[[#This Row],[Isin]]&amp;1&amp;2022,#REF!,Tableau3[EBE]),"")</f>
        <v/>
      </c>
      <c r="AI284" s="43" t="s">
        <v>3419</v>
      </c>
      <c r="AJ284" s="43" t="s">
        <v>4326</v>
      </c>
      <c r="AK284" s="43" t="s">
        <v>4327</v>
      </c>
      <c r="AL284" s="43" t="s">
        <v>3419</v>
      </c>
      <c r="AM284" s="43"/>
      <c r="AN284" s="9" t="str">
        <f>IFERROR(_xlfn.XLOOKUP(Tableau1[[#This Row],[Isin]]&amp;1&amp;2021,#REF!,Tableau3[Chiffre d''affaires]),"")</f>
        <v/>
      </c>
      <c r="AO284" s="43" cm="1">
        <f t="array" aca="1" ref="AO284" ca="1">_FV(Tableau1[[#This Row],[Code Excel]],"P/E",TRUE)</f>
        <v>14.0898</v>
      </c>
      <c r="AP284" s="43" t="str">
        <f>IFERROR(_xlfn.XLOOKUP(Tableau1[[#This Row],[Isin]]&amp;1&amp;2023,#REF!,Tableau3[Résultat Net (PdG)]),"")</f>
        <v/>
      </c>
      <c r="AQ284" s="43">
        <f>IF(IFERROR(_xlfn.XLOOKUP(Tableau1[[#This Row],[Isin]]&amp;1&amp;2022,#REF!,Tableau3[Résultat Net (PdG)]),"")="",Tableau1[[#This Row],[RN Groupe 2022
Manuel]],IFERROR(_xlfn.XLOOKUP(Tableau1[[#This Row],[Isin]]&amp;1&amp;2022,#REF!,Tableau3[Résultat Net (PdG)]),""))</f>
        <v>0</v>
      </c>
      <c r="AR284" s="43"/>
      <c r="AS284" s="43">
        <f>IF(IFERROR(_xlfn.XLOOKUP(Tableau1[[#This Row],[Isin]]&amp;1&amp;2021,#REF!,Tableau3[Résultat Net (PdG)]),"")="",Tableau1[[#This Row],[RN Groupe 2021
Manuel]],IFERROR(_xlfn.XLOOKUP(Tableau1[[#This Row],[Isin]]&amp;1&amp;2021,#REF!,Tableau3[Résultat Net (PdG)]),""))</f>
        <v>0</v>
      </c>
      <c r="AT284" s="43"/>
      <c r="AU284" s="43" t="str">
        <f>IFERROR(_xlfn.XLOOKUP(Tableau1[[#This Row],[Isin]]&amp;1&amp;2020,#REF!,Tableau3[Résultat Net (PdG)]),"")</f>
        <v/>
      </c>
      <c r="AV284" s="43" t="str">
        <f>IFERROR(_xlfn.XLOOKUP(Tableau1[[#This Row],[Isin]]&amp;1&amp;2019,#REF!,Tableau3[Résultat Net (PdG)]),"")</f>
        <v/>
      </c>
      <c r="AW284" s="43" t="str">
        <f>IFERROR(_xlfn.XLOOKUP(Tableau1[[#This Row],[Isin]]&amp;1&amp;2018,#REF!,Tableau3[Résultat Net (PdG)]),"")</f>
        <v/>
      </c>
      <c r="AX284" s="43" t="str">
        <f>IFERROR(_xlfn.XLOOKUP(Tableau1[[#This Row],[Isin]]&amp;1&amp;2017,#REF!,Tableau3[Résultat Net (PdG)]),"")</f>
        <v/>
      </c>
      <c r="AY284" s="43" t="str">
        <f>IFERROR(_xlfn.XLOOKUP(Tableau1[[#This Row],[Isin]]&amp;1&amp;2016,#REF!,Tableau3[Résultat Net (PdG)]),"")</f>
        <v/>
      </c>
      <c r="AZ284" s="137" t="str">
        <f ca="1">IFERROR(Tableau1[[#This Row],[Capitalisation boursière]]/Tableau1[[#This Row],[RN Groupe 2023]],"")</f>
        <v/>
      </c>
      <c r="BA284" s="4" t="str" cm="1">
        <f t="array" aca="1" ref="BA284" ca="1">IFERROR(_FV(Tableau1[[#This Row],[Code Excel]],"Industrie"),"")</f>
        <v>Hotels &amp; Entertainment Services</v>
      </c>
      <c r="BB284" s="43" t="s">
        <v>3477</v>
      </c>
      <c r="BC284" s="43" t="str">
        <f>IFERROR(_xlfn.XLOOKUP(Tableau1[[#This Row],[Isin]]&amp;1&amp;2016,#REF!,Tableau3[Capi]),"")</f>
        <v/>
      </c>
      <c r="BD284" s="43" t="str">
        <f>IFERROR(_xlfn.XLOOKUP(Tableau1[[#This Row],[Isin]]&amp;1&amp;2017,#REF!,Tableau3[Capi]),"")</f>
        <v/>
      </c>
      <c r="BE284" s="43" t="str">
        <f>IFERROR(_xlfn.XLOOKUP(Tableau1[[#This Row],[Isin]]&amp;1&amp;2018,#REF!,Tableau3[Capi]),"")</f>
        <v/>
      </c>
      <c r="BF284" s="43" t="str">
        <f>IFERROR(_xlfn.XLOOKUP(Tableau1[[#This Row],[Isin]]&amp;1&amp;2019,#REF!,Tableau3[Capi]),"")</f>
        <v/>
      </c>
      <c r="BG284" s="43" t="str">
        <f>IFERROR(_xlfn.XLOOKUP(Tableau1[[#This Row],[Isin]]&amp;1&amp;2020,#REF!,Tableau3[Capi]),"")</f>
        <v/>
      </c>
      <c r="BH284" s="43">
        <f>IF(IFERROR(_xlfn.XLOOKUP(Tableau1[[#This Row],[Isin]]&amp;1&amp;2021,#REF!,Tableau3[Capi]),"")="",Tableau1[[#This Row],[Capitalisation 2021
Manuel]],IFERROR(_xlfn.XLOOKUP(Tableau1[[#This Row],[Isin]]&amp;1&amp;2021,#REF!,Tableau3[Capi]),""))</f>
        <v>0</v>
      </c>
      <c r="BI284" s="43"/>
      <c r="BJ284" s="43">
        <f>IF(IFERROR(_xlfn.XLOOKUP(Tableau1[[#This Row],[Isin]]&amp;1&amp;2022,#REF!,Tableau3[Capi]),"")="",Tableau1[[#This Row],[Capitalisation 2022
Manuel]],IFERROR(_xlfn.XLOOKUP(Tableau1[[#This Row],[Isin]]&amp;1&amp;2022,#REF!,Tableau3[Capi]),""))</f>
        <v>0</v>
      </c>
      <c r="BK284" s="43"/>
      <c r="BL284" s="43">
        <f ca="1">Tableau1[[#This Row],[Capitalisation boursière]]</f>
        <v>8839921000</v>
      </c>
      <c r="BM284" s="162" t="str" cm="1">
        <f t="array" aca="1" ref="BM284" ca="1">_FV(Tableau1[[#This Row],[Code Excel]],"Description")</f>
        <v>Sodexo sa est une société de prestataires de services basée en France. La Société opère à travers trois segments principaux : les services sur site, les services avantages et récompenses et les services personnels et à domicile. Ses services sur site offrent des services personnalisables sur site, tels que des services alimentaires, la conception de lieux de travail, la stérilisation de dispositifs médicaux, des services de réception et de nettoyage aux entreprises et administrations, aux soins de santé et aux aînés et aux industries de l'éducation. Les services avantages et récompenses de l'entreprise offrent des services personnalisables aux clients professionnels pour améliorer l'engagement, la reconnaissance, l'équilibre entre vie professionnelle et vie privée, la gestion des voyages et des dépenses, la santé et le bien-être. Ses services personnels et à domicile couvrent trois domaines : les services de garde d'enfants, conçus pour prendre soin des plus jeunes enfants ; les services de conciergerie, pour améliorer le développement et le bien-être des employés des clients sur le lieu de travail; des services de soins à domicile pour les aînés et les adultes qui veulent conserver leur autonomie tout en profitant du confort de leur foyer. Il est actif globalement</v>
      </c>
      <c r="BN284" s="43"/>
      <c r="BO284" s="43"/>
      <c r="BP284" s="43"/>
      <c r="BQ284" s="43"/>
      <c r="BR284" s="13"/>
      <c r="BS284" s="13"/>
      <c r="BT284" s="13"/>
      <c r="BU284" s="13"/>
      <c r="BV284" s="13"/>
      <c r="BW284" s="13"/>
      <c r="BX284" s="13"/>
      <c r="BY284" s="21"/>
      <c r="BZ284" s="13"/>
      <c r="CA284" s="13"/>
      <c r="CB284" s="13"/>
      <c r="CC284" s="13"/>
      <c r="CD284" s="13"/>
      <c r="CF284" s="4"/>
      <c r="CG284" s="4"/>
    </row>
    <row r="285" spans="3:85">
      <c r="C285" s="42"/>
      <c r="D285" s="42">
        <f>IF(Tableau1[[#This Row],[Isin]]="",99,Tableau1[[#This Row],[Intérêt]]+Tableau1[[#This Row],[Valeur d''intérêt]]+Tableau1[[#This Row],[N° Portefeuille]])</f>
        <v>30</v>
      </c>
      <c r="E285" s="42"/>
      <c r="F285" s="42">
        <f>IF(Tableau1[[#This Row],[Portefeuille]]="p",0,Tableau1[[#This Row],[F. Investissement
Niveau d''intérêt]]*10)</f>
        <v>30</v>
      </c>
      <c r="G285" s="42">
        <f>IF(Tableau1[[#This Row],[Portefeuille]]="p",3,0)</f>
        <v>0</v>
      </c>
      <c r="H285" s="42">
        <v>3</v>
      </c>
      <c r="I285" s="42">
        <v>4</v>
      </c>
      <c r="J285" s="42"/>
      <c r="K285" s="43"/>
      <c r="L285" s="16">
        <v>0</v>
      </c>
      <c r="M28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5" s="44" t="s">
        <v>4127</v>
      </c>
      <c r="O285" s="45"/>
      <c r="P285" s="4" t="s">
        <v>452</v>
      </c>
      <c r="Q285" s="4"/>
      <c r="R285" s="6"/>
      <c r="S285" s="6" t="s">
        <v>4128</v>
      </c>
      <c r="T285" s="6" t="e" vm="264">
        <v>#VALUE!</v>
      </c>
      <c r="U285" s="46" cm="1">
        <f t="array" aca="1" ref="U285" ca="1">IFERROR(_FV(Tableau1[[#This Row],[Code Excel]],"Capitalisation boursière",TRUE),"")</f>
        <v>8309050000</v>
      </c>
      <c r="V285" s="4" t="str" cm="1">
        <f t="array" aca="1" ref="V285" ca="1">IFERROR(_FV(Tableau1[[#This Row],[Code Excel]],"Industrie"),"")</f>
        <v>Holding Companies</v>
      </c>
      <c r="W285" s="4" t="s">
        <v>2188</v>
      </c>
      <c r="X285" s="4" t="str">
        <f ca="1">Tableau1[[#This Row],[Grand Secteur]]&amp;Tableau1[[#This Row],[Industrie]]</f>
        <v>HoldingHolding Companies</v>
      </c>
      <c r="Y285" s="23" cm="1">
        <f t="array" aca="1" ref="Y285" ca="1">IFERROR(_FV(Tableau1[[#This Row],[Code Excel]],"P/E",TRUE),"")</f>
        <v>5.9409000000000001</v>
      </c>
      <c r="Z285" s="43" cm="1">
        <f t="array" aca="1" ref="Z285" ca="1">IFERROR(_FV(Tableau1[[#This Row],[Code Excel]],"Employés"),"")</f>
        <v>81</v>
      </c>
      <c r="AA285" s="49">
        <f ca="1">IFERROR(Tableau1[[#This Row],[Capitalisation boursière]]/Tableau1[[#This Row],[Employés]],"")</f>
        <v>102580864.19753087</v>
      </c>
      <c r="AB285" s="5" t="str">
        <f>IFERROR(Tableau1[[#This Row],[REX (2021)]]/Tableau1[[#This Row],[CA 2024]],"")</f>
        <v/>
      </c>
      <c r="AC285" s="9" t="str">
        <f>IFERROR(_xlfn.XLOOKUP(Tableau1[[#This Row],[Isin]]&amp;1&amp;2021,#REF!,Tableau3[Résultat d''exploitation]),"")</f>
        <v/>
      </c>
      <c r="AD285" s="9" t="str">
        <f>IFERROR(_xlfn.XLOOKUP(Tableau1[[#This Row],[Isin]]&amp;1&amp;2019,#REF!,Tableau3[Chiffre d''affaires]),"")</f>
        <v/>
      </c>
      <c r="AE285" s="9" t="str">
        <f>IFERROR(_xlfn.XLOOKUP(Tableau1[[#This Row],[Isin]]&amp;1&amp;2024,#REF!,Tableau3[Chiffre d''affaires]),"")</f>
        <v/>
      </c>
      <c r="AF285" s="8" t="str">
        <f>IFERROR(IF((Tableau1[[#This Row],[CA 2024]]-Tableau1[[#This Row],[CA 2019]])/Tableau1[[#This Row],[CA 2019]]=-1,"",(Tableau1[[#This Row],[CA 2024]]-Tableau1[[#This Row],[CA 2019]])/Tableau1[[#This Row],[CA 2019]]),"")</f>
        <v/>
      </c>
      <c r="AG285" s="9" t="str">
        <f>IFERROR(_xlfn.XLOOKUP(Tableau1[[#This Row],[Isin]]&amp;1&amp;2021,#REF!,Tableau3[EBE]),"")</f>
        <v/>
      </c>
      <c r="AH285" s="9" t="str">
        <f>IFERROR(_xlfn.XLOOKUP(Tableau1[[#This Row],[Isin]]&amp;1&amp;2022,#REF!,Tableau3[EBE]),"")</f>
        <v/>
      </c>
      <c r="AI285" s="43" t="s">
        <v>4329</v>
      </c>
      <c r="AJ285" s="43" t="s">
        <v>4330</v>
      </c>
      <c r="AK285" s="43" t="s">
        <v>3419</v>
      </c>
      <c r="AL285" s="43"/>
      <c r="AM285" s="43"/>
      <c r="AN285" s="9" t="str">
        <f>IFERROR(_xlfn.XLOOKUP(Tableau1[[#This Row],[Isin]]&amp;1&amp;2021,#REF!,Tableau3[Chiffre d''affaires]),"")</f>
        <v/>
      </c>
      <c r="AO285" s="43" cm="1">
        <f t="array" aca="1" ref="AO285" ca="1">_FV(Tableau1[[#This Row],[Code Excel]],"P/E",TRUE)</f>
        <v>5.9409000000000001</v>
      </c>
      <c r="AP285" s="43" t="str">
        <f>IFERROR(_xlfn.XLOOKUP(Tableau1[[#This Row],[Isin]]&amp;1&amp;2023,#REF!,Tableau3[Résultat Net (PdG)]),"")</f>
        <v/>
      </c>
      <c r="AQ285" s="43">
        <f>IF(IFERROR(_xlfn.XLOOKUP(Tableau1[[#This Row],[Isin]]&amp;1&amp;2022,#REF!,Tableau3[Résultat Net (PdG)]),"")="",Tableau1[[#This Row],[RN Groupe 2022
Manuel]],IFERROR(_xlfn.XLOOKUP(Tableau1[[#This Row],[Isin]]&amp;1&amp;2022,#REF!,Tableau3[Résultat Net (PdG)]),""))</f>
        <v>0</v>
      </c>
      <c r="AR285" s="43"/>
      <c r="AS285" s="43">
        <f>IF(IFERROR(_xlfn.XLOOKUP(Tableau1[[#This Row],[Isin]]&amp;1&amp;2021,#REF!,Tableau3[Résultat Net (PdG)]),"")="",Tableau1[[#This Row],[RN Groupe 2021
Manuel]],IFERROR(_xlfn.XLOOKUP(Tableau1[[#This Row],[Isin]]&amp;1&amp;2021,#REF!,Tableau3[Résultat Net (PdG)]),""))</f>
        <v>0</v>
      </c>
      <c r="AT285" s="43"/>
      <c r="AU285" s="43" t="str">
        <f>IFERROR(_xlfn.XLOOKUP(Tableau1[[#This Row],[Isin]]&amp;1&amp;2020,#REF!,Tableau3[Résultat Net (PdG)]),"")</f>
        <v/>
      </c>
      <c r="AV285" s="43" t="str">
        <f>IFERROR(_xlfn.XLOOKUP(Tableau1[[#This Row],[Isin]]&amp;1&amp;2019,#REF!,Tableau3[Résultat Net (PdG)]),"")</f>
        <v/>
      </c>
      <c r="AW285" s="43" t="str">
        <f>IFERROR(_xlfn.XLOOKUP(Tableau1[[#This Row],[Isin]]&amp;1&amp;2018,#REF!,Tableau3[Résultat Net (PdG)]),"")</f>
        <v/>
      </c>
      <c r="AX285" s="43" t="str">
        <f>IFERROR(_xlfn.XLOOKUP(Tableau1[[#This Row],[Isin]]&amp;1&amp;2017,#REF!,Tableau3[Résultat Net (PdG)]),"")</f>
        <v/>
      </c>
      <c r="AY285" s="43" t="str">
        <f>IFERROR(_xlfn.XLOOKUP(Tableau1[[#This Row],[Isin]]&amp;1&amp;2016,#REF!,Tableau3[Résultat Net (PdG)]),"")</f>
        <v/>
      </c>
      <c r="AZ285" s="137" t="str">
        <f ca="1">IFERROR(Tableau1[[#This Row],[Capitalisation boursière]]/Tableau1[[#This Row],[RN Groupe 2023]],"")</f>
        <v/>
      </c>
      <c r="BA285" s="4" t="str" cm="1">
        <f t="array" aca="1" ref="BA285" ca="1">IFERROR(_FV(Tableau1[[#This Row],[Code Excel]],"Industrie"),"")</f>
        <v>Holding Companies</v>
      </c>
      <c r="BB285" s="43" t="s">
        <v>3482</v>
      </c>
      <c r="BC285" s="43" t="str">
        <f>IFERROR(_xlfn.XLOOKUP(Tableau1[[#This Row],[Isin]]&amp;1&amp;2016,#REF!,Tableau3[Capi]),"")</f>
        <v/>
      </c>
      <c r="BD285" s="43" t="str">
        <f>IFERROR(_xlfn.XLOOKUP(Tableau1[[#This Row],[Isin]]&amp;1&amp;2017,#REF!,Tableau3[Capi]),"")</f>
        <v/>
      </c>
      <c r="BE285" s="43" t="str">
        <f>IFERROR(_xlfn.XLOOKUP(Tableau1[[#This Row],[Isin]]&amp;1&amp;2018,#REF!,Tableau3[Capi]),"")</f>
        <v/>
      </c>
      <c r="BF285" s="43" t="str">
        <f>IFERROR(_xlfn.XLOOKUP(Tableau1[[#This Row],[Isin]]&amp;1&amp;2019,#REF!,Tableau3[Capi]),"")</f>
        <v/>
      </c>
      <c r="BG285" s="43" t="str">
        <f>IFERROR(_xlfn.XLOOKUP(Tableau1[[#This Row],[Isin]]&amp;1&amp;2020,#REF!,Tableau3[Capi]),"")</f>
        <v/>
      </c>
      <c r="BH285" s="43">
        <f>IF(IFERROR(_xlfn.XLOOKUP(Tableau1[[#This Row],[Isin]]&amp;1&amp;2021,#REF!,Tableau3[Capi]),"")="",Tableau1[[#This Row],[Capitalisation 2021
Manuel]],IFERROR(_xlfn.XLOOKUP(Tableau1[[#This Row],[Isin]]&amp;1&amp;2021,#REF!,Tableau3[Capi]),""))</f>
        <v>0</v>
      </c>
      <c r="BI285" s="43"/>
      <c r="BJ285" s="43">
        <f>IF(IFERROR(_xlfn.XLOOKUP(Tableau1[[#This Row],[Isin]]&amp;1&amp;2022,#REF!,Tableau3[Capi]),"")="",Tableau1[[#This Row],[Capitalisation 2022
Manuel]],IFERROR(_xlfn.XLOOKUP(Tableau1[[#This Row],[Isin]]&amp;1&amp;2022,#REF!,Tableau3[Capi]),""))</f>
        <v>0</v>
      </c>
      <c r="BK285" s="43"/>
      <c r="BL285" s="43">
        <f ca="1">Tableau1[[#This Row],[Capitalisation boursière]]</f>
        <v>8309050000</v>
      </c>
      <c r="BM285" s="162" t="str" cm="1">
        <f t="array" aca="1" ref="BM285" ca="1">_FV(Tableau1[[#This Row],[Code Excel]],"Description")</f>
        <v>Sofina S.A. est une société de portefeuille établie en Belgique qui investit, directement et indirectement, dans des entreprises de divers secteurs. Dans le secteur de l'Énergie et des Services, la Société a des intérêts dans GDF Suez, International Power, Exmar, bioMerieux, Suez Environnement. Dans le secteur du Détail, Sofina investit dans Colruyt et Delhaize ; le secteur des Biens de consommation comprend Danone, Rapala, Chapoutier et le groupe B &amp; W. La division Opérateurs satellites comprend la société SES ; le secteur Sociétés de financement se compose d'Eurazeo, Caledonia et Luxempart ; la division Industrie comprend Petit Forestier, Oberthur Fiduciare, Ipsos, Mersen, Touax, Deceuninck ; et la division Actifs alternatifs se compose de Private equity et Hedge funds. Sofina S.A. possède un certain nombre de filiales consolidées, par exemple Rebelco, Finabru, Sidro, Sofindev, Sofilec, Truficar, Trufidee, Tufilux, Sofina Multi Stategy, entre autres. Par le biais de ses filiales, la Société est principalement active en Belgique, au Luxembourg, aux Pays-Bas, en Suisse et au Panama.</v>
      </c>
      <c r="BN285" s="43"/>
      <c r="BO285" s="43"/>
      <c r="BP285" s="43"/>
      <c r="BQ285" s="43"/>
      <c r="BR285" s="13"/>
      <c r="BS285" s="13"/>
      <c r="BT285" s="13"/>
      <c r="BU285" s="13"/>
      <c r="BV285" s="13"/>
      <c r="BW285" s="13"/>
      <c r="BX285" s="13"/>
      <c r="BY285" s="21"/>
      <c r="BZ285" s="13"/>
      <c r="CA285" s="13"/>
      <c r="CB285" s="13"/>
      <c r="CC285" s="13"/>
      <c r="CD285" s="13"/>
      <c r="CF285" s="4"/>
      <c r="CG285" s="4"/>
    </row>
    <row r="286" spans="3:85">
      <c r="C286" s="43"/>
      <c r="D286" s="42">
        <f>IF(Tableau1[[#This Row],[Isin]]="",99,Tableau1[[#This Row],[Intérêt]]+Tableau1[[#This Row],[Valeur d''intérêt]]+Tableau1[[#This Row],[N° Portefeuille]])</f>
        <v>30</v>
      </c>
      <c r="E286" s="43"/>
      <c r="F286" s="42">
        <f>IF(Tableau1[[#This Row],[Portefeuille]]="p",0,Tableau1[[#This Row],[F. Investissement
Niveau d''intérêt]]*10)</f>
        <v>30</v>
      </c>
      <c r="G286" s="43">
        <f>IF(Tableau1[[#This Row],[Portefeuille]]="p",3,0)</f>
        <v>0</v>
      </c>
      <c r="H286" s="42">
        <v>3</v>
      </c>
      <c r="I286" s="43">
        <v>4</v>
      </c>
      <c r="J286" s="43"/>
      <c r="K286" s="43"/>
      <c r="L286" s="16">
        <v>0</v>
      </c>
      <c r="M28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6" s="44" t="s">
        <v>4130</v>
      </c>
      <c r="O286" s="45"/>
      <c r="P286" s="4" t="s">
        <v>84</v>
      </c>
      <c r="Q286" s="4"/>
      <c r="R286" s="6"/>
      <c r="S286" s="6" t="s">
        <v>2662</v>
      </c>
      <c r="T286" s="6" t="e" vm="265">
        <v>#VALUE!</v>
      </c>
      <c r="U286" s="46" cm="1">
        <f t="array" aca="1" ref="U286" ca="1">IFERROR(_FV(Tableau1[[#This Row],[Code Excel]],"Capitalisation boursière",TRUE),"")</f>
        <v>1830981000</v>
      </c>
      <c r="V286" s="4" t="str" cm="1">
        <f t="array" aca="1" ref="V286" ca="1">IFERROR(_FV(Tableau1[[#This Row],[Code Excel]],"Industrie"),"")</f>
        <v>Semiconductors &amp; Semiconductor Equipment</v>
      </c>
      <c r="W286" s="4" t="s">
        <v>4371</v>
      </c>
      <c r="X286" s="4" t="str">
        <f ca="1">Tableau1[[#This Row],[Grand Secteur]]&amp;Tableau1[[#This Row],[Industrie]]</f>
        <v>Equipement TechnologiqueSemiconductors &amp; Semiconductor Equipment</v>
      </c>
      <c r="Y286" s="23" cm="1">
        <f t="array" aca="1" ref="Y286" ca="1">IFERROR(_FV(Tableau1[[#This Row],[Code Excel]],"P/E",TRUE),"")</f>
        <v>16.272400000000001</v>
      </c>
      <c r="Z286" s="43" cm="1">
        <f t="array" aca="1" ref="Z286" ca="1">IFERROR(_FV(Tableau1[[#This Row],[Code Excel]],"Employés"),"")</f>
        <v>2184</v>
      </c>
      <c r="AA286" s="46">
        <f ca="1">IFERROR(Tableau1[[#This Row],[Capitalisation boursière]]/Tableau1[[#This Row],[Employés]],"")</f>
        <v>838361.26373626373</v>
      </c>
      <c r="AB286" s="5" t="str">
        <f>IFERROR(Tableau1[[#This Row],[REX (2021)]]/Tableau1[[#This Row],[CA 2024]],"")</f>
        <v/>
      </c>
      <c r="AC286" s="9" t="str">
        <f>IFERROR(_xlfn.XLOOKUP(Tableau1[[#This Row],[Isin]]&amp;1&amp;2021,#REF!,Tableau3[Résultat d''exploitation]),"")</f>
        <v/>
      </c>
      <c r="AD286" s="9" t="str">
        <f>IFERROR(_xlfn.XLOOKUP(Tableau1[[#This Row],[Isin]]&amp;1&amp;2019,#REF!,Tableau3[Chiffre d''affaires]),"")</f>
        <v/>
      </c>
      <c r="AE286" s="9" t="str">
        <f>IFERROR(_xlfn.XLOOKUP(Tableau1[[#This Row],[Isin]]&amp;1&amp;2024,#REF!,Tableau3[Chiffre d''affaires]),"")</f>
        <v/>
      </c>
      <c r="AF286" s="8" t="str">
        <f>IFERROR(IF((Tableau1[[#This Row],[CA 2024]]-Tableau1[[#This Row],[CA 2019]])/Tableau1[[#This Row],[CA 2019]]=-1,"",(Tableau1[[#This Row],[CA 2024]]-Tableau1[[#This Row],[CA 2019]])/Tableau1[[#This Row],[CA 2019]]),"")</f>
        <v/>
      </c>
      <c r="AG286" s="9" t="str">
        <f>IFERROR(_xlfn.XLOOKUP(Tableau1[[#This Row],[Isin]]&amp;1&amp;2021,#REF!,Tableau3[EBE]),"")</f>
        <v/>
      </c>
      <c r="AH286" s="9" t="str">
        <f>IFERROR(_xlfn.XLOOKUP(Tableau1[[#This Row],[Isin]]&amp;1&amp;2022,#REF!,Tableau3[EBE]),"")</f>
        <v/>
      </c>
      <c r="AI286" s="43" t="s">
        <v>4324</v>
      </c>
      <c r="AJ286" s="43" t="s">
        <v>4348</v>
      </c>
      <c r="AK286" s="43" t="s">
        <v>3149</v>
      </c>
      <c r="AL286" s="43"/>
      <c r="AM286" s="43"/>
      <c r="AN286" s="9" t="str">
        <f>IFERROR(_xlfn.XLOOKUP(Tableau1[[#This Row],[Isin]]&amp;1&amp;2021,#REF!,Tableau3[Chiffre d''affaires]),"")</f>
        <v/>
      </c>
      <c r="AO286" s="43" cm="1">
        <f t="array" aca="1" ref="AO286" ca="1">_FV(Tableau1[[#This Row],[Code Excel]],"P/E",TRUE)</f>
        <v>16.272400000000001</v>
      </c>
      <c r="AP286" s="43" t="str">
        <f>IFERROR(_xlfn.XLOOKUP(Tableau1[[#This Row],[Isin]]&amp;1&amp;2023,#REF!,Tableau3[Résultat Net (PdG)]),"")</f>
        <v/>
      </c>
      <c r="AQ286" s="43">
        <f>IF(IFERROR(_xlfn.XLOOKUP(Tableau1[[#This Row],[Isin]]&amp;1&amp;2022,#REF!,Tableau3[Résultat Net (PdG)]),"")="",Tableau1[[#This Row],[RN Groupe 2022
Manuel]],IFERROR(_xlfn.XLOOKUP(Tableau1[[#This Row],[Isin]]&amp;1&amp;2022,#REF!,Tableau3[Résultat Net (PdG)]),""))</f>
        <v>0</v>
      </c>
      <c r="AR286" s="43"/>
      <c r="AS286" s="43">
        <f>IF(IFERROR(_xlfn.XLOOKUP(Tableau1[[#This Row],[Isin]]&amp;1&amp;2021,#REF!,Tableau3[Résultat Net (PdG)]),"")="",Tableau1[[#This Row],[RN Groupe 2021
Manuel]],IFERROR(_xlfn.XLOOKUP(Tableau1[[#This Row],[Isin]]&amp;1&amp;2021,#REF!,Tableau3[Résultat Net (PdG)]),""))</f>
        <v>0</v>
      </c>
      <c r="AT286" s="43"/>
      <c r="AU286" s="43" t="str">
        <f>IFERROR(_xlfn.XLOOKUP(Tableau1[[#This Row],[Isin]]&amp;1&amp;2020,#REF!,Tableau3[Résultat Net (PdG)]),"")</f>
        <v/>
      </c>
      <c r="AV286" s="43" t="str">
        <f>IFERROR(_xlfn.XLOOKUP(Tableau1[[#This Row],[Isin]]&amp;1&amp;2019,#REF!,Tableau3[Résultat Net (PdG)]),"")</f>
        <v/>
      </c>
      <c r="AW286" s="43" t="str">
        <f>IFERROR(_xlfn.XLOOKUP(Tableau1[[#This Row],[Isin]]&amp;1&amp;2018,#REF!,Tableau3[Résultat Net (PdG)]),"")</f>
        <v/>
      </c>
      <c r="AX286" s="43" t="str">
        <f>IFERROR(_xlfn.XLOOKUP(Tableau1[[#This Row],[Isin]]&amp;1&amp;2017,#REF!,Tableau3[Résultat Net (PdG)]),"")</f>
        <v/>
      </c>
      <c r="AY286" s="43" t="str">
        <f>IFERROR(_xlfn.XLOOKUP(Tableau1[[#This Row],[Isin]]&amp;1&amp;2016,#REF!,Tableau3[Résultat Net (PdG)]),"")</f>
        <v/>
      </c>
      <c r="AZ286" s="137" t="str">
        <f ca="1">IFERROR(Tableau1[[#This Row],[Capitalisation boursière]]/Tableau1[[#This Row],[RN Groupe 2023]],"")</f>
        <v/>
      </c>
      <c r="BA286" s="4" t="str" cm="1">
        <f t="array" aca="1" ref="BA286" ca="1">IFERROR(_FV(Tableau1[[#This Row],[Code Excel]],"Industrie"),"")</f>
        <v>Semiconductors &amp; Semiconductor Equipment</v>
      </c>
      <c r="BB286" s="43" t="s">
        <v>3477</v>
      </c>
      <c r="BC286" s="43" t="str">
        <f>IFERROR(_xlfn.XLOOKUP(Tableau1[[#This Row],[Isin]]&amp;1&amp;2016,#REF!,Tableau3[Capi]),"")</f>
        <v/>
      </c>
      <c r="BD286" s="43" t="str">
        <f>IFERROR(_xlfn.XLOOKUP(Tableau1[[#This Row],[Isin]]&amp;1&amp;2017,#REF!,Tableau3[Capi]),"")</f>
        <v/>
      </c>
      <c r="BE286" s="43" t="str">
        <f>IFERROR(_xlfn.XLOOKUP(Tableau1[[#This Row],[Isin]]&amp;1&amp;2018,#REF!,Tableau3[Capi]),"")</f>
        <v/>
      </c>
      <c r="BF286" s="43" t="str">
        <f>IFERROR(_xlfn.XLOOKUP(Tableau1[[#This Row],[Isin]]&amp;1&amp;2019,#REF!,Tableau3[Capi]),"")</f>
        <v/>
      </c>
      <c r="BG286" s="43" t="str">
        <f>IFERROR(_xlfn.XLOOKUP(Tableau1[[#This Row],[Isin]]&amp;1&amp;2020,#REF!,Tableau3[Capi]),"")</f>
        <v/>
      </c>
      <c r="BH286" s="43">
        <f>IF(IFERROR(_xlfn.XLOOKUP(Tableau1[[#This Row],[Isin]]&amp;1&amp;2021,#REF!,Tableau3[Capi]),"")="",Tableau1[[#This Row],[Capitalisation 2021
Manuel]],IFERROR(_xlfn.XLOOKUP(Tableau1[[#This Row],[Isin]]&amp;1&amp;2021,#REF!,Tableau3[Capi]),""))</f>
        <v>0</v>
      </c>
      <c r="BI286" s="43"/>
      <c r="BJ286" s="43">
        <f>IF(IFERROR(_xlfn.XLOOKUP(Tableau1[[#This Row],[Isin]]&amp;1&amp;2022,#REF!,Tableau3[Capi]),"")="",Tableau1[[#This Row],[Capitalisation 2022
Manuel]],IFERROR(_xlfn.XLOOKUP(Tableau1[[#This Row],[Isin]]&amp;1&amp;2022,#REF!,Tableau3[Capi]),""))</f>
        <v>0</v>
      </c>
      <c r="BK286" s="43"/>
      <c r="BL286" s="43">
        <f ca="1">Tableau1[[#This Row],[Capitalisation boursière]]</f>
        <v>1830981000</v>
      </c>
      <c r="BM286" s="162" t="str" cm="1">
        <f t="array" aca="1" ref="BM286" ca="1">_FV(Tableau1[[#This Row],[Code Excel]],"Description")</f>
        <v>Soitec SA est une société basée en France qui se spécialise dans l'industrie des semi-conducteurs. La Société se concentre sur le secteur de la microélectronique, principalement dans la production et la commercialisation de wafers silicium sur isolant (SOI). Ses produits sont structurés et coupés en jetons pour créer des circuits pour les composants électroniques. La Société propose des solutions pour la miniaturisation des puces, l'amélioration des performances du produit et la réduction de la consommation d'énergie. Soitec SA accélère les secteurs mobile et numérique. Ses produits sont utilisés pour fabriquer des puces qui entrent dans des téléphones intelligents, des tableaux, des ordinateurs, des technologies Internet (TI) et des centres de données, ainsi que des composants électroniques dans les voitures, les appareils connectés et les équipements industriels et médicaux. Elle opère sur le marché intérieur et à l'international.</v>
      </c>
      <c r="BN286" s="43"/>
      <c r="BO286" s="43"/>
      <c r="BP286" s="43"/>
      <c r="BQ286" s="43"/>
      <c r="BR286" s="13"/>
      <c r="BS286" s="13"/>
      <c r="BT286" s="13"/>
      <c r="BU286" s="13"/>
      <c r="BV286" s="13"/>
      <c r="BW286" s="13"/>
      <c r="BX286" s="13"/>
      <c r="BY286" s="21"/>
      <c r="BZ286" s="13"/>
      <c r="CA286" s="13"/>
      <c r="CB286" s="13"/>
      <c r="CC286" s="13"/>
      <c r="CD286" s="13"/>
      <c r="CF286" s="4"/>
      <c r="CG286" s="4"/>
    </row>
    <row r="287" spans="3:85">
      <c r="C287" s="42"/>
      <c r="D287" s="42">
        <f>IF(Tableau1[[#This Row],[Isin]]="",99,Tableau1[[#This Row],[Intérêt]]+Tableau1[[#This Row],[Valeur d''intérêt]]+Tableau1[[#This Row],[N° Portefeuille]])</f>
        <v>30</v>
      </c>
      <c r="E287" s="42"/>
      <c r="F287" s="42">
        <f>IF(Tableau1[[#This Row],[Portefeuille]]="p",0,Tableau1[[#This Row],[F. Investissement
Niveau d''intérêt]]*10)</f>
        <v>30</v>
      </c>
      <c r="G287" s="42">
        <f>IF(Tableau1[[#This Row],[Portefeuille]]="p",3,0)</f>
        <v>0</v>
      </c>
      <c r="H287" s="42">
        <v>3</v>
      </c>
      <c r="I287" s="42">
        <v>4</v>
      </c>
      <c r="J287" s="42"/>
      <c r="K287" s="43"/>
      <c r="L287" s="16">
        <v>1</v>
      </c>
      <c r="M28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7" s="44" t="s">
        <v>2430</v>
      </c>
      <c r="O287" s="44" t="s">
        <v>2431</v>
      </c>
      <c r="P287" s="4" t="s">
        <v>452</v>
      </c>
      <c r="Q287" s="6" t="s">
        <v>85</v>
      </c>
      <c r="R287" s="6"/>
      <c r="S287" s="6" t="s">
        <v>2433</v>
      </c>
      <c r="T287" s="6" t="e" vm="266">
        <v>#VALUE!</v>
      </c>
      <c r="U287" s="46" cm="1">
        <f t="array" aca="1" ref="U287" ca="1">IFERROR(_FV(Tableau1[[#This Row],[Code Excel]],"Capitalisation boursière",TRUE),"")</f>
        <v>3535214000</v>
      </c>
      <c r="V287" s="4" t="str" cm="1">
        <f t="array" aca="1" ref="V287" ca="1">IFERROR(_FV(Tableau1[[#This Row],[Code Excel]],"Industrie"),"")</f>
        <v>Chemicals</v>
      </c>
      <c r="W287" s="4" t="s">
        <v>2431</v>
      </c>
      <c r="X287" s="4" t="str">
        <f ca="1">Tableau1[[#This Row],[Grand Secteur]]&amp;Tableau1[[#This Row],[Industrie]]</f>
        <v>ChimieChemicals</v>
      </c>
      <c r="Y287" s="23" cm="1">
        <f t="array" aca="1" ref="Y287" ca="1">IFERROR(_FV(Tableau1[[#This Row],[Code Excel]],"P/E",TRUE),"")</f>
        <v>15.6761</v>
      </c>
      <c r="Z287" s="43" cm="1">
        <f t="array" aca="1" ref="Z287" ca="1">IFERROR(_FV(Tableau1[[#This Row],[Code Excel]],"Employés"),"")</f>
        <v>21998</v>
      </c>
      <c r="AA287" s="46">
        <f ca="1">IFERROR(Tableau1[[#This Row],[Capitalisation boursière]]/Tableau1[[#This Row],[Employés]],"")</f>
        <v>160706.15510500956</v>
      </c>
      <c r="AB287" s="5" t="str">
        <f>IFERROR(Tableau1[[#This Row],[REX (2021)]]/Tableau1[[#This Row],[CA 2024]],"")</f>
        <v/>
      </c>
      <c r="AC287" s="9" t="str">
        <f>IFERROR(_xlfn.XLOOKUP(Tableau1[[#This Row],[Isin]]&amp;1&amp;2021,#REF!,Tableau3[Résultat d''exploitation]),"")</f>
        <v/>
      </c>
      <c r="AD287" s="9" t="str">
        <f>IFERROR(_xlfn.XLOOKUP(Tableau1[[#This Row],[Isin]]&amp;1&amp;2019,#REF!,Tableau3[Chiffre d''affaires]),"")</f>
        <v/>
      </c>
      <c r="AE287" s="9" t="str">
        <f>IFERROR(_xlfn.XLOOKUP(Tableau1[[#This Row],[Isin]]&amp;1&amp;2024,#REF!,Tableau3[Chiffre d''affaires]),"")</f>
        <v/>
      </c>
      <c r="AF287" s="8" t="str">
        <f>IFERROR(IF((Tableau1[[#This Row],[CA 2024]]-Tableau1[[#This Row],[CA 2019]])/Tableau1[[#This Row],[CA 2019]]=-1,"",(Tableau1[[#This Row],[CA 2024]]-Tableau1[[#This Row],[CA 2019]])/Tableau1[[#This Row],[CA 2019]]),"")</f>
        <v/>
      </c>
      <c r="AG287" s="9" t="str">
        <f>IFERROR(_xlfn.XLOOKUP(Tableau1[[#This Row],[Isin]]&amp;1&amp;2021,#REF!,Tableau3[EBE]),"")</f>
        <v/>
      </c>
      <c r="AH287" s="9" t="str">
        <f>IFERROR(_xlfn.XLOOKUP(Tableau1[[#This Row],[Isin]]&amp;1&amp;2022,#REF!,Tableau3[EBE]),"")</f>
        <v/>
      </c>
      <c r="AI287" s="43" t="s">
        <v>4329</v>
      </c>
      <c r="AJ287" s="43" t="s">
        <v>3150</v>
      </c>
      <c r="AK287" s="43" t="s">
        <v>3148</v>
      </c>
      <c r="AL287" s="43" t="s">
        <v>3148</v>
      </c>
      <c r="AM287" s="43"/>
      <c r="AN287" s="9" t="str">
        <f>IFERROR(_xlfn.XLOOKUP(Tableau1[[#This Row],[Isin]]&amp;1&amp;2021,#REF!,Tableau3[Chiffre d''affaires]),"")</f>
        <v/>
      </c>
      <c r="AO287" s="43" cm="1">
        <f t="array" aca="1" ref="AO287" ca="1">_FV(Tableau1[[#This Row],[Code Excel]],"P/E",TRUE)</f>
        <v>15.6761</v>
      </c>
      <c r="AP287" s="43" t="str">
        <f>IFERROR(_xlfn.XLOOKUP(Tableau1[[#This Row],[Isin]]&amp;1&amp;2023,#REF!,Tableau3[Résultat Net (PdG)]),"")</f>
        <v/>
      </c>
      <c r="AQ287" s="43">
        <f>IF(IFERROR(_xlfn.XLOOKUP(Tableau1[[#This Row],[Isin]]&amp;1&amp;2022,#REF!,Tableau3[Résultat Net (PdG)]),"")="",Tableau1[[#This Row],[RN Groupe 2022
Manuel]],IFERROR(_xlfn.XLOOKUP(Tableau1[[#This Row],[Isin]]&amp;1&amp;2022,#REF!,Tableau3[Résultat Net (PdG)]),""))</f>
        <v>0</v>
      </c>
      <c r="AR287" s="43"/>
      <c r="AS287" s="43">
        <f>IF(IFERROR(_xlfn.XLOOKUP(Tableau1[[#This Row],[Isin]]&amp;1&amp;2021,#REF!,Tableau3[Résultat Net (PdG)]),"")="",Tableau1[[#This Row],[RN Groupe 2021
Manuel]],IFERROR(_xlfn.XLOOKUP(Tableau1[[#This Row],[Isin]]&amp;1&amp;2021,#REF!,Tableau3[Résultat Net (PdG)]),""))</f>
        <v>0</v>
      </c>
      <c r="AT287" s="43"/>
      <c r="AU287" s="43" t="str">
        <f>IFERROR(_xlfn.XLOOKUP(Tableau1[[#This Row],[Isin]]&amp;1&amp;2020,#REF!,Tableau3[Résultat Net (PdG)]),"")</f>
        <v/>
      </c>
      <c r="AV287" s="43" t="str">
        <f>IFERROR(_xlfn.XLOOKUP(Tableau1[[#This Row],[Isin]]&amp;1&amp;2019,#REF!,Tableau3[Résultat Net (PdG)]),"")</f>
        <v/>
      </c>
      <c r="AW287" s="43" t="str">
        <f>IFERROR(_xlfn.XLOOKUP(Tableau1[[#This Row],[Isin]]&amp;1&amp;2018,#REF!,Tableau3[Résultat Net (PdG)]),"")</f>
        <v/>
      </c>
      <c r="AX287" s="43" t="str">
        <f>IFERROR(_xlfn.XLOOKUP(Tableau1[[#This Row],[Isin]]&amp;1&amp;2017,#REF!,Tableau3[Résultat Net (PdG)]),"")</f>
        <v/>
      </c>
      <c r="AY287" s="43" t="str">
        <f>IFERROR(_xlfn.XLOOKUP(Tableau1[[#This Row],[Isin]]&amp;1&amp;2016,#REF!,Tableau3[Résultat Net (PdG)]),"")</f>
        <v/>
      </c>
      <c r="AZ287" s="137" t="str">
        <f ca="1">IFERROR(Tableau1[[#This Row],[Capitalisation boursière]]/Tableau1[[#This Row],[RN Groupe 2023]],"")</f>
        <v/>
      </c>
      <c r="BA287" s="4" t="str" cm="1">
        <f t="array" aca="1" ref="BA287" ca="1">IFERROR(_FV(Tableau1[[#This Row],[Code Excel]],"Industrie"),"")</f>
        <v>Chemicals</v>
      </c>
      <c r="BB287" s="43" t="s">
        <v>3477</v>
      </c>
      <c r="BC287" s="43" t="str">
        <f>IFERROR(_xlfn.XLOOKUP(Tableau1[[#This Row],[Isin]]&amp;1&amp;2016,#REF!,Tableau3[Capi]),"")</f>
        <v/>
      </c>
      <c r="BD287" s="43" t="str">
        <f>IFERROR(_xlfn.XLOOKUP(Tableau1[[#This Row],[Isin]]&amp;1&amp;2017,#REF!,Tableau3[Capi]),"")</f>
        <v/>
      </c>
      <c r="BE287" s="43" t="str">
        <f>IFERROR(_xlfn.XLOOKUP(Tableau1[[#This Row],[Isin]]&amp;1&amp;2018,#REF!,Tableau3[Capi]),"")</f>
        <v/>
      </c>
      <c r="BF287" s="43" t="str">
        <f>IFERROR(_xlfn.XLOOKUP(Tableau1[[#This Row],[Isin]]&amp;1&amp;2019,#REF!,Tableau3[Capi]),"")</f>
        <v/>
      </c>
      <c r="BG287" s="43" t="str">
        <f>IFERROR(_xlfn.XLOOKUP(Tableau1[[#This Row],[Isin]]&amp;1&amp;2020,#REF!,Tableau3[Capi]),"")</f>
        <v/>
      </c>
      <c r="BH287" s="43">
        <f>IF(IFERROR(_xlfn.XLOOKUP(Tableau1[[#This Row],[Isin]]&amp;1&amp;2021,#REF!,Tableau3[Capi]),"")="",Tableau1[[#This Row],[Capitalisation 2021
Manuel]],IFERROR(_xlfn.XLOOKUP(Tableau1[[#This Row],[Isin]]&amp;1&amp;2021,#REF!,Tableau3[Capi]),""))</f>
        <v>0</v>
      </c>
      <c r="BI287" s="43"/>
      <c r="BJ287" s="43">
        <f>IF(IFERROR(_xlfn.XLOOKUP(Tableau1[[#This Row],[Isin]]&amp;1&amp;2022,#REF!,Tableau3[Capi]),"")="",Tableau1[[#This Row],[Capitalisation 2022
Manuel]],IFERROR(_xlfn.XLOOKUP(Tableau1[[#This Row],[Isin]]&amp;1&amp;2022,#REF!,Tableau3[Capi]),""))</f>
        <v>0</v>
      </c>
      <c r="BK287" s="43"/>
      <c r="BL287" s="43">
        <f ca="1">Tableau1[[#This Row],[Capitalisation boursière]]</f>
        <v>3535214000</v>
      </c>
      <c r="BM287" s="162" t="str" cm="1">
        <f t="array" aca="1" ref="BM287" ca="1">_FV(Tableau1[[#This Row],[Code Excel]],"Description")</f>
        <v>Solvay SA est une société internationale de produits chimiques et de matériaux avancés basée en Belgique. Par l'intermédiaire de ses filiales, elle exploite quatre secteurs : matériaux avancés, formulations avancées, produits chimiques de performance et services aux entreprises et aux entreprises. Matériaux avancés propose des matériaux haute performance pour de multiples applications principalement dans les marchés de l'automobile, de l'aérospatiale, de l'électronique et de la santé, fournissant des solutions de mobilité durable, réduisant le poids et améliorant le CO2 et l'efficacité énergétique. Formulations avancées dessert principalement les marchés des biens de consommation, de l'agroalimentaire et de l'énergie et propose des formulations spécialisées personnalisées qui ont un impact sur la chimie de surface et modifient le comportement des liquides tout en minimisant l'impact environnemental. Produits chimiques de performance est spécialisée dans les produits chimiques intermédiaires servant principalement les marchés des biens de consommation et de l'alimentation. Les services aux entreprises comprennent les services aux entreprises et autres services aux entreprises, tels que le centre de recherche et d'innovation et les services énergétiques.</v>
      </c>
      <c r="BN287" s="43"/>
      <c r="BO287" s="43"/>
      <c r="BP287" s="43"/>
      <c r="BQ287" s="43"/>
      <c r="BR287" s="13"/>
      <c r="BS287" s="13"/>
      <c r="BT287" s="13"/>
      <c r="BU287" s="13"/>
      <c r="BV287" s="13"/>
      <c r="BW287" s="13"/>
      <c r="BX287" s="13"/>
      <c r="BY287" s="21"/>
      <c r="BZ287" s="13"/>
      <c r="CA287" s="13"/>
      <c r="CB287" s="13"/>
      <c r="CC287" s="13"/>
      <c r="CD287" s="13"/>
      <c r="CF287" s="4"/>
      <c r="CG287" s="4"/>
    </row>
    <row r="288" spans="3:85">
      <c r="C288" s="43"/>
      <c r="D288" s="42">
        <f>IF(Tableau1[[#This Row],[Isin]]="",99,Tableau1[[#This Row],[Intérêt]]+Tableau1[[#This Row],[Valeur d''intérêt]]+Tableau1[[#This Row],[N° Portefeuille]])</f>
        <v>30</v>
      </c>
      <c r="E288" s="43"/>
      <c r="F288" s="42">
        <f>IF(Tableau1[[#This Row],[Portefeuille]]="p",0,Tableau1[[#This Row],[F. Investissement
Niveau d''intérêt]]*10)</f>
        <v>30</v>
      </c>
      <c r="G288" s="43">
        <f>IF(Tableau1[[#This Row],[Portefeuille]]="p",3,0)</f>
        <v>0</v>
      </c>
      <c r="H288" s="42">
        <v>3</v>
      </c>
      <c r="I288" s="43">
        <v>4</v>
      </c>
      <c r="J288" s="43"/>
      <c r="K288" s="43"/>
      <c r="L288" s="16">
        <v>1</v>
      </c>
      <c r="M28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8" s="44" t="s">
        <v>2888</v>
      </c>
      <c r="O288" s="44" t="s">
        <v>2889</v>
      </c>
      <c r="P288" s="4" t="s">
        <v>84</v>
      </c>
      <c r="Q288" s="6" t="s">
        <v>85</v>
      </c>
      <c r="R288" s="6"/>
      <c r="S288" s="6" t="s">
        <v>2887</v>
      </c>
      <c r="T288" s="6" t="e" vm="267">
        <v>#VALUE!</v>
      </c>
      <c r="U288" s="46" cm="1">
        <f t="array" aca="1" ref="U288" ca="1">IFERROR(_FV(Tableau1[[#This Row],[Code Excel]],"Capitalisation boursière",TRUE),"")</f>
        <v>5291000000</v>
      </c>
      <c r="V288" s="4" t="str" cm="1">
        <f t="array" aca="1" ref="V288" ca="1">IFERROR(_FV(Tableau1[[#This Row],[Code Excel]],"Industrie"),"")</f>
        <v>Homebuilding &amp; Construction Supplies</v>
      </c>
      <c r="W288" s="4" t="s">
        <v>4321</v>
      </c>
      <c r="X288" s="4" t="str">
        <f ca="1">Tableau1[[#This Row],[Grand Secteur]]&amp;Tableau1[[#This Row],[Industrie]]</f>
        <v>EquipementiersHomebuilding &amp; Construction Supplies</v>
      </c>
      <c r="Y288" s="23" cm="1">
        <f t="array" aca="1" ref="Y288" ca="1">IFERROR(_FV(Tableau1[[#This Row],[Code Excel]],"P/E",TRUE),"")</f>
        <v>20.841200000000001</v>
      </c>
      <c r="Z288" s="43" cm="1">
        <f t="array" aca="1" ref="Z288" ca="1">IFERROR(_FV(Tableau1[[#This Row],[Code Excel]],"Employés"),"")</f>
        <v>7580</v>
      </c>
      <c r="AA288" s="46">
        <f ca="1">IFERROR(Tableau1[[#This Row],[Capitalisation boursière]]/Tableau1[[#This Row],[Employés]],"")</f>
        <v>698021.10817941953</v>
      </c>
      <c r="AB288" s="5" t="str">
        <f>IFERROR(Tableau1[[#This Row],[REX (2021)]]/Tableau1[[#This Row],[CA 2024]],"")</f>
        <v/>
      </c>
      <c r="AC288" s="9" t="str">
        <f>IFERROR(_xlfn.XLOOKUP(Tableau1[[#This Row],[Isin]]&amp;1&amp;2021,#REF!,Tableau3[Résultat d''exploitation]),"")</f>
        <v/>
      </c>
      <c r="AD288" s="9" t="str">
        <f>IFERROR(_xlfn.XLOOKUP(Tableau1[[#This Row],[Isin]]&amp;1&amp;2019,#REF!,Tableau3[Chiffre d''affaires]),"")</f>
        <v/>
      </c>
      <c r="AE288" s="9" t="str">
        <f>IFERROR(_xlfn.XLOOKUP(Tableau1[[#This Row],[Isin]]&amp;1&amp;2024,#REF!,Tableau3[Chiffre d''affaires]),"")</f>
        <v/>
      </c>
      <c r="AF288" s="8" t="str">
        <f>IFERROR(IF((Tableau1[[#This Row],[CA 2024]]-Tableau1[[#This Row],[CA 2019]])/Tableau1[[#This Row],[CA 2019]]=-1,"",(Tableau1[[#This Row],[CA 2024]]-Tableau1[[#This Row],[CA 2019]])/Tableau1[[#This Row],[CA 2019]]),"")</f>
        <v/>
      </c>
      <c r="AG288" s="9" t="str">
        <f>IFERROR(_xlfn.XLOOKUP(Tableau1[[#This Row],[Isin]]&amp;1&amp;2021,#REF!,Tableau3[EBE]),"")</f>
        <v/>
      </c>
      <c r="AH288" s="9" t="str">
        <f>IFERROR(_xlfn.XLOOKUP(Tableau1[[#This Row],[Isin]]&amp;1&amp;2022,#REF!,Tableau3[EBE]),"")</f>
        <v/>
      </c>
      <c r="AI288" s="43" t="s">
        <v>4343</v>
      </c>
      <c r="AJ288" s="43" t="s">
        <v>4322</v>
      </c>
      <c r="AK288" s="43" t="s">
        <v>3431</v>
      </c>
      <c r="AL288" s="43" t="s">
        <v>3148</v>
      </c>
      <c r="AM288" s="43"/>
      <c r="AN288" s="9" t="str">
        <f>IFERROR(_xlfn.XLOOKUP(Tableau1[[#This Row],[Isin]]&amp;1&amp;2021,#REF!,Tableau3[Chiffre d''affaires]),"")</f>
        <v/>
      </c>
      <c r="AO288" s="43" cm="1">
        <f t="array" aca="1" ref="AO288" ca="1">_FV(Tableau1[[#This Row],[Code Excel]],"P/E",TRUE)</f>
        <v>20.841200000000001</v>
      </c>
      <c r="AP288" s="43" t="str">
        <f>IFERROR(_xlfn.XLOOKUP(Tableau1[[#This Row],[Isin]]&amp;1&amp;2023,#REF!,Tableau3[Résultat Net (PdG)]),"")</f>
        <v/>
      </c>
      <c r="AQ288" s="43">
        <f>IF(IFERROR(_xlfn.XLOOKUP(Tableau1[[#This Row],[Isin]]&amp;1&amp;2022,#REF!,Tableau3[Résultat Net (PdG)]),"")="",Tableau1[[#This Row],[RN Groupe 2022
Manuel]],IFERROR(_xlfn.XLOOKUP(Tableau1[[#This Row],[Isin]]&amp;1&amp;2022,#REF!,Tableau3[Résultat Net (PdG)]),""))</f>
        <v>0</v>
      </c>
      <c r="AR288" s="43"/>
      <c r="AS288" s="43">
        <f>IF(IFERROR(_xlfn.XLOOKUP(Tableau1[[#This Row],[Isin]]&amp;1&amp;2021,#REF!,Tableau3[Résultat Net (PdG)]),"")="",Tableau1[[#This Row],[RN Groupe 2021
Manuel]],IFERROR(_xlfn.XLOOKUP(Tableau1[[#This Row],[Isin]]&amp;1&amp;2021,#REF!,Tableau3[Résultat Net (PdG)]),""))</f>
        <v>0</v>
      </c>
      <c r="AT288" s="43"/>
      <c r="AU288" s="43" t="str">
        <f>IFERROR(_xlfn.XLOOKUP(Tableau1[[#This Row],[Isin]]&amp;1&amp;2020,#REF!,Tableau3[Résultat Net (PdG)]),"")</f>
        <v/>
      </c>
      <c r="AV288" s="43" t="str">
        <f>IFERROR(_xlfn.XLOOKUP(Tableau1[[#This Row],[Isin]]&amp;1&amp;2019,#REF!,Tableau3[Résultat Net (PdG)]),"")</f>
        <v/>
      </c>
      <c r="AW288" s="43" t="str">
        <f>IFERROR(_xlfn.XLOOKUP(Tableau1[[#This Row],[Isin]]&amp;1&amp;2018,#REF!,Tableau3[Résultat Net (PdG)]),"")</f>
        <v/>
      </c>
      <c r="AX288" s="43" t="str">
        <f>IFERROR(_xlfn.XLOOKUP(Tableau1[[#This Row],[Isin]]&amp;1&amp;2017,#REF!,Tableau3[Résultat Net (PdG)]),"")</f>
        <v/>
      </c>
      <c r="AY288" s="43" t="str">
        <f>IFERROR(_xlfn.XLOOKUP(Tableau1[[#This Row],[Isin]]&amp;1&amp;2016,#REF!,Tableau3[Résultat Net (PdG)]),"")</f>
        <v/>
      </c>
      <c r="AZ288" s="137" t="str">
        <f ca="1">IFERROR(Tableau1[[#This Row],[Capitalisation boursière]]/Tableau1[[#This Row],[RN Groupe 2023]],"")</f>
        <v/>
      </c>
      <c r="BA288" s="4" t="str" cm="1">
        <f t="array" aca="1" ref="BA288" ca="1">IFERROR(_FV(Tableau1[[#This Row],[Code Excel]],"Industrie"),"")</f>
        <v>Homebuilding &amp; Construction Supplies</v>
      </c>
      <c r="BB288" s="43" t="e">
        <v>#N/A</v>
      </c>
      <c r="BC288" s="43" t="str">
        <f>IFERROR(_xlfn.XLOOKUP(Tableau1[[#This Row],[Isin]]&amp;1&amp;2016,#REF!,Tableau3[Capi]),"")</f>
        <v/>
      </c>
      <c r="BD288" s="43" t="str">
        <f>IFERROR(_xlfn.XLOOKUP(Tableau1[[#This Row],[Isin]]&amp;1&amp;2017,#REF!,Tableau3[Capi]),"")</f>
        <v/>
      </c>
      <c r="BE288" s="43" t="str">
        <f>IFERROR(_xlfn.XLOOKUP(Tableau1[[#This Row],[Isin]]&amp;1&amp;2018,#REF!,Tableau3[Capi]),"")</f>
        <v/>
      </c>
      <c r="BF288" s="43" t="str">
        <f>IFERROR(_xlfn.XLOOKUP(Tableau1[[#This Row],[Isin]]&amp;1&amp;2019,#REF!,Tableau3[Capi]),"")</f>
        <v/>
      </c>
      <c r="BG288" s="43" t="str">
        <f>IFERROR(_xlfn.XLOOKUP(Tableau1[[#This Row],[Isin]]&amp;1&amp;2020,#REF!,Tableau3[Capi]),"")</f>
        <v/>
      </c>
      <c r="BH288" s="43">
        <f>IF(IFERROR(_xlfn.XLOOKUP(Tableau1[[#This Row],[Isin]]&amp;1&amp;2021,#REF!,Tableau3[Capi]),"")="",Tableau1[[#This Row],[Capitalisation 2021
Manuel]],IFERROR(_xlfn.XLOOKUP(Tableau1[[#This Row],[Isin]]&amp;1&amp;2021,#REF!,Tableau3[Capi]),""))</f>
        <v>0</v>
      </c>
      <c r="BI288" s="43"/>
      <c r="BJ288" s="43">
        <f>IF(IFERROR(_xlfn.XLOOKUP(Tableau1[[#This Row],[Isin]]&amp;1&amp;2022,#REF!,Tableau3[Capi]),"")="",Tableau1[[#This Row],[Capitalisation 2022
Manuel]],IFERROR(_xlfn.XLOOKUP(Tableau1[[#This Row],[Isin]]&amp;1&amp;2022,#REF!,Tableau3[Capi]),""))</f>
        <v>0</v>
      </c>
      <c r="BK288" s="43"/>
      <c r="BL288" s="43">
        <f ca="1">Tableau1[[#This Row],[Capitalisation boursière]]</f>
        <v>5291000000</v>
      </c>
      <c r="BM288" s="162" t="str" cm="1">
        <f t="array" aca="1" ref="BM288" ca="1">_FV(Tableau1[[#This Row],[Code Excel]],"Description")</f>
        <v>Somfy SA is a France-based holding company of the Somfy Group. The Company designs, manufactures, and markets motors and automatic opening and closing systems for homes and buildings. The Company, through its subsidiaries, operates under three divisions: Products &amp; Services; Engineering &amp; Customer Satisfaction; and Operations &amp; Supply Chain. The Company's range of products include awnings, rolling shutters, windows, gates, garage doors, storefront grills, and for protecting large utility facilities. Company’s products are marketed through building entry manufacturers, assemblers, professional installers, and large do it yourself (DIY) stores. The Somfy Group is organized into two geographic divisions: North &amp; West including Central Europe, Northern Europe, the Americas; and South &amp; East including France, Southern Europe, Africa &amp; the Middle East, Eastern Europe, and Asia-Pacific.</v>
      </c>
      <c r="BN288" s="43"/>
      <c r="BO288" s="43"/>
      <c r="BP288" s="43"/>
      <c r="BQ288" s="43"/>
      <c r="BR288" s="13"/>
      <c r="BS288" s="13"/>
      <c r="BT288" s="13"/>
      <c r="BU288" s="13"/>
      <c r="BV288" s="13"/>
      <c r="BW288" s="13"/>
      <c r="BX288" s="13"/>
      <c r="BY288" s="21"/>
      <c r="BZ288" s="13"/>
      <c r="CA288" s="13"/>
      <c r="CB288" s="13"/>
      <c r="CC288" s="13"/>
      <c r="CD288" s="13"/>
      <c r="CF288" s="4"/>
      <c r="CG288" s="4"/>
    </row>
    <row r="289" spans="3:85">
      <c r="C289" s="42"/>
      <c r="D289" s="42">
        <f>IF(Tableau1[[#This Row],[Isin]]="",99,Tableau1[[#This Row],[Intérêt]]+Tableau1[[#This Row],[Valeur d''intérêt]]+Tableau1[[#This Row],[N° Portefeuille]])</f>
        <v>30</v>
      </c>
      <c r="E289" s="42"/>
      <c r="F289" s="42">
        <f>IF(Tableau1[[#This Row],[Portefeuille]]="p",0,Tableau1[[#This Row],[F. Investissement
Niveau d''intérêt]]*10)</f>
        <v>30</v>
      </c>
      <c r="G289" s="42">
        <f>IF(Tableau1[[#This Row],[Portefeuille]]="p",3,0)</f>
        <v>0</v>
      </c>
      <c r="H289" s="42">
        <v>3</v>
      </c>
      <c r="I289" s="42">
        <v>4</v>
      </c>
      <c r="J289" s="42"/>
      <c r="K289" s="43"/>
      <c r="L289" s="16">
        <v>1</v>
      </c>
      <c r="M28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89" s="44" t="s">
        <v>4134</v>
      </c>
      <c r="O289" s="44" t="s">
        <v>4373</v>
      </c>
      <c r="P289" s="4" t="s">
        <v>84</v>
      </c>
      <c r="Q289" s="6" t="s">
        <v>85</v>
      </c>
      <c r="R289" s="6"/>
      <c r="S289" s="6" t="s">
        <v>922</v>
      </c>
      <c r="T289" s="6" t="e" vm="268">
        <v>#VALUE!</v>
      </c>
      <c r="U289" s="46" cm="1">
        <f t="array" aca="1" ref="U289" ca="1">IFERROR(_FV(Tableau1[[#This Row],[Code Excel]],"Capitalisation boursière",TRUE),"")</f>
        <v>3602012000</v>
      </c>
      <c r="V289" s="4" t="str" cm="1">
        <f t="array" aca="1" ref="V289" ca="1">IFERROR(_FV(Tableau1[[#This Row],[Code Excel]],"Industrie"),"")</f>
        <v>Software &amp; IT Services</v>
      </c>
      <c r="W289" s="4" t="s">
        <v>4333</v>
      </c>
      <c r="X289" s="4" t="str">
        <f ca="1">Tableau1[[#This Row],[Grand Secteur]]&amp;Tableau1[[#This Row],[Industrie]]</f>
        <v>Logiciels et TechnologieSoftware &amp; IT Services</v>
      </c>
      <c r="Y289" s="23" cm="1">
        <f t="array" aca="1" ref="Y289" ca="1">IFERROR(_FV(Tableau1[[#This Row],[Code Excel]],"P/E",TRUE),"")</f>
        <v>14.064500000000001</v>
      </c>
      <c r="Z289" s="43" cm="1">
        <f t="array" aca="1" ref="Z289" ca="1">IFERROR(_FV(Tableau1[[#This Row],[Code Excel]],"Employés"),"")</f>
        <v>50988</v>
      </c>
      <c r="AA289" s="49">
        <f ca="1">IFERROR(Tableau1[[#This Row],[Capitalisation boursière]]/Tableau1[[#This Row],[Employés]],"")</f>
        <v>70644.308464736794</v>
      </c>
      <c r="AB289" s="5" t="str">
        <f>IFERROR(Tableau1[[#This Row],[REX (2021)]]/Tableau1[[#This Row],[CA 2024]],"")</f>
        <v/>
      </c>
      <c r="AC289" s="9" t="str">
        <f>IFERROR(_xlfn.XLOOKUP(Tableau1[[#This Row],[Isin]]&amp;1&amp;2021,#REF!,Tableau3[Résultat d''exploitation]),"")</f>
        <v/>
      </c>
      <c r="AD289" s="9" t="str">
        <f>IFERROR(_xlfn.XLOOKUP(Tableau1[[#This Row],[Isin]]&amp;1&amp;2019,#REF!,Tableau3[Chiffre d''affaires]),"")</f>
        <v/>
      </c>
      <c r="AE289" s="9" t="str">
        <f>IFERROR(_xlfn.XLOOKUP(Tableau1[[#This Row],[Isin]]&amp;1&amp;2024,#REF!,Tableau3[Chiffre d''affaires]),"")</f>
        <v/>
      </c>
      <c r="AF289" s="8" t="str">
        <f>IFERROR(IF((Tableau1[[#This Row],[CA 2024]]-Tableau1[[#This Row],[CA 2019]])/Tableau1[[#This Row],[CA 2019]]=-1,"",(Tableau1[[#This Row],[CA 2024]]-Tableau1[[#This Row],[CA 2019]])/Tableau1[[#This Row],[CA 2019]]),"")</f>
        <v/>
      </c>
      <c r="AG289" s="9" t="str">
        <f>IFERROR(_xlfn.XLOOKUP(Tableau1[[#This Row],[Isin]]&amp;1&amp;2021,#REF!,Tableau3[EBE]),"")</f>
        <v/>
      </c>
      <c r="AH289" s="9" t="str">
        <f>IFERROR(_xlfn.XLOOKUP(Tableau1[[#This Row],[Isin]]&amp;1&amp;2022,#REF!,Tableau3[EBE]),"")</f>
        <v/>
      </c>
      <c r="AI289" s="43" t="s">
        <v>4324</v>
      </c>
      <c r="AJ289" s="43" t="s">
        <v>4322</v>
      </c>
      <c r="AK289" s="43" t="s">
        <v>3149</v>
      </c>
      <c r="AL289" s="43" t="s">
        <v>3149</v>
      </c>
      <c r="AM289" s="43"/>
      <c r="AN289" s="9" t="str">
        <f>IFERROR(_xlfn.XLOOKUP(Tableau1[[#This Row],[Isin]]&amp;1&amp;2021,#REF!,Tableau3[Chiffre d''affaires]),"")</f>
        <v/>
      </c>
      <c r="AO289" s="43" cm="1">
        <f t="array" aca="1" ref="AO289" ca="1">_FV(Tableau1[[#This Row],[Code Excel]],"P/E",TRUE)</f>
        <v>14.064500000000001</v>
      </c>
      <c r="AP289" s="43" t="str">
        <f>IFERROR(_xlfn.XLOOKUP(Tableau1[[#This Row],[Isin]]&amp;1&amp;2023,#REF!,Tableau3[Résultat Net (PdG)]),"")</f>
        <v/>
      </c>
      <c r="AQ289" s="43">
        <f>IF(IFERROR(_xlfn.XLOOKUP(Tableau1[[#This Row],[Isin]]&amp;1&amp;2022,#REF!,Tableau3[Résultat Net (PdG)]),"")="",Tableau1[[#This Row],[RN Groupe 2022
Manuel]],IFERROR(_xlfn.XLOOKUP(Tableau1[[#This Row],[Isin]]&amp;1&amp;2022,#REF!,Tableau3[Résultat Net (PdG)]),""))</f>
        <v>0</v>
      </c>
      <c r="AR289" s="43"/>
      <c r="AS289" s="43">
        <f>IF(IFERROR(_xlfn.XLOOKUP(Tableau1[[#This Row],[Isin]]&amp;1&amp;2021,#REF!,Tableau3[Résultat Net (PdG)]),"")="",Tableau1[[#This Row],[RN Groupe 2021
Manuel]],IFERROR(_xlfn.XLOOKUP(Tableau1[[#This Row],[Isin]]&amp;1&amp;2021,#REF!,Tableau3[Résultat Net (PdG)]),""))</f>
        <v>0</v>
      </c>
      <c r="AT289" s="43"/>
      <c r="AU289" s="43" t="str">
        <f>IFERROR(_xlfn.XLOOKUP(Tableau1[[#This Row],[Isin]]&amp;1&amp;2020,#REF!,Tableau3[Résultat Net (PdG)]),"")</f>
        <v/>
      </c>
      <c r="AV289" s="43" t="str">
        <f>IFERROR(_xlfn.XLOOKUP(Tableau1[[#This Row],[Isin]]&amp;1&amp;2019,#REF!,Tableau3[Résultat Net (PdG)]),"")</f>
        <v/>
      </c>
      <c r="AW289" s="43" t="str">
        <f>IFERROR(_xlfn.XLOOKUP(Tableau1[[#This Row],[Isin]]&amp;1&amp;2018,#REF!,Tableau3[Résultat Net (PdG)]),"")</f>
        <v/>
      </c>
      <c r="AX289" s="43" t="str">
        <f>IFERROR(_xlfn.XLOOKUP(Tableau1[[#This Row],[Isin]]&amp;1&amp;2017,#REF!,Tableau3[Résultat Net (PdG)]),"")</f>
        <v/>
      </c>
      <c r="AY289" s="43" t="str">
        <f>IFERROR(_xlfn.XLOOKUP(Tableau1[[#This Row],[Isin]]&amp;1&amp;2016,#REF!,Tableau3[Résultat Net (PdG)]),"")</f>
        <v/>
      </c>
      <c r="AZ289" s="137" t="str">
        <f ca="1">IFERROR(Tableau1[[#This Row],[Capitalisation boursière]]/Tableau1[[#This Row],[RN Groupe 2023]],"")</f>
        <v/>
      </c>
      <c r="BA289" s="4" t="str" cm="1">
        <f t="array" aca="1" ref="BA289" ca="1">IFERROR(_FV(Tableau1[[#This Row],[Code Excel]],"Industrie"),"")</f>
        <v>Software &amp; IT Services</v>
      </c>
      <c r="BB289" s="43" t="s">
        <v>3477</v>
      </c>
      <c r="BC289" s="43" t="str">
        <f>IFERROR(_xlfn.XLOOKUP(Tableau1[[#This Row],[Isin]]&amp;1&amp;2016,#REF!,Tableau3[Capi]),"")</f>
        <v/>
      </c>
      <c r="BD289" s="43" t="str">
        <f>IFERROR(_xlfn.XLOOKUP(Tableau1[[#This Row],[Isin]]&amp;1&amp;2017,#REF!,Tableau3[Capi]),"")</f>
        <v/>
      </c>
      <c r="BE289" s="43" t="str">
        <f>IFERROR(_xlfn.XLOOKUP(Tableau1[[#This Row],[Isin]]&amp;1&amp;2018,#REF!,Tableau3[Capi]),"")</f>
        <v/>
      </c>
      <c r="BF289" s="43" t="str">
        <f>IFERROR(_xlfn.XLOOKUP(Tableau1[[#This Row],[Isin]]&amp;1&amp;2019,#REF!,Tableau3[Capi]),"")</f>
        <v/>
      </c>
      <c r="BG289" s="43" t="str">
        <f>IFERROR(_xlfn.XLOOKUP(Tableau1[[#This Row],[Isin]]&amp;1&amp;2020,#REF!,Tableau3[Capi]),"")</f>
        <v/>
      </c>
      <c r="BH289" s="43">
        <f>IF(IFERROR(_xlfn.XLOOKUP(Tableau1[[#This Row],[Isin]]&amp;1&amp;2021,#REF!,Tableau3[Capi]),"")="",Tableau1[[#This Row],[Capitalisation 2021
Manuel]],IFERROR(_xlfn.XLOOKUP(Tableau1[[#This Row],[Isin]]&amp;1&amp;2021,#REF!,Tableau3[Capi]),""))</f>
        <v>0</v>
      </c>
      <c r="BI289" s="43"/>
      <c r="BJ289" s="43">
        <f>IF(IFERROR(_xlfn.XLOOKUP(Tableau1[[#This Row],[Isin]]&amp;1&amp;2022,#REF!,Tableau3[Capi]),"")="",Tableau1[[#This Row],[Capitalisation 2022
Manuel]],IFERROR(_xlfn.XLOOKUP(Tableau1[[#This Row],[Isin]]&amp;1&amp;2022,#REF!,Tableau3[Capi]),""))</f>
        <v>0</v>
      </c>
      <c r="BK289" s="43"/>
      <c r="BL289" s="43">
        <f ca="1">Tableau1[[#This Row],[Capitalisation boursière]]</f>
        <v>3602012000</v>
      </c>
      <c r="BM289" s="162" t="str" cm="1">
        <f t="array" aca="1" ref="BM289" ca="1">_FV(Tableau1[[#This Row],[Code Excel]],"Description")</f>
        <v>Sopra Steria Group sa, anciennement Sopra Group sa est une société française de conseil, de services numériques et de développement de logiciels, d'intégration de systèmes et d'externalisation d'applications. La Société guide les entreprises dans les projets de conversion, de la phase de développement à la phase de mise en œuvre. Ses services incluent le conseil, l'intégration de la planification des ressources d'entreprise (ERP), la gestion de la relation client (CRM), l'ingénierie logicielle de site, les tests globaux et la veille stratégique (BI), entre autres. Les activités de Sopra Steira Group sa sont ciblées sur les clients opérant dans différents secteurs, tels que la banque, l'assurance, la fabrication, la distribution, secteur public, télécommunications et immobilier. La Société est présente en France, au Benelux, au Maroc, en Allemagne, en Inde, l'Irlande, l'Espagne, le Portugal, la région scandinave, l'Italie, le Royaume-Uni et la Suisse. La Société possède des filiales telles que Cassiopae MEA, COR&amp;FJA AG, HR Access Service Line, Steria sa et Kentor, entre autres.</v>
      </c>
      <c r="BN289" s="43"/>
      <c r="BO289" s="43"/>
      <c r="BP289" s="43"/>
      <c r="BQ289" s="43"/>
      <c r="BR289" s="13"/>
      <c r="BS289" s="13"/>
      <c r="BT289" s="13"/>
      <c r="BU289" s="13"/>
      <c r="BV289" s="13"/>
      <c r="BW289" s="13"/>
      <c r="BX289" s="13"/>
      <c r="BY289" s="21"/>
      <c r="BZ289" s="13"/>
      <c r="CA289" s="13"/>
      <c r="CB289" s="13"/>
      <c r="CC289" s="13"/>
      <c r="CD289" s="13"/>
      <c r="CF289" s="4"/>
      <c r="CG289" s="4"/>
    </row>
    <row r="290" spans="3:85">
      <c r="C290" s="43"/>
      <c r="D290" s="42">
        <f>IF(Tableau1[[#This Row],[Isin]]="",99,Tableau1[[#This Row],[Intérêt]]+Tableau1[[#This Row],[Valeur d''intérêt]]+Tableau1[[#This Row],[N° Portefeuille]])</f>
        <v>20</v>
      </c>
      <c r="E290" s="43"/>
      <c r="F290" s="42">
        <f>IF(Tableau1[[#This Row],[Portefeuille]]="p",0,Tableau1[[#This Row],[F. Investissement
Niveau d''intérêt]]*10)</f>
        <v>20</v>
      </c>
      <c r="G290" s="43">
        <f>IF(Tableau1[[#This Row],[Portefeuille]]="p",3,0)</f>
        <v>0</v>
      </c>
      <c r="H290" s="42">
        <v>2</v>
      </c>
      <c r="I290" s="43">
        <v>2</v>
      </c>
      <c r="J290" s="43"/>
      <c r="K290" s="43"/>
      <c r="L290" s="16">
        <v>1</v>
      </c>
      <c r="M29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0" s="44" t="s">
        <v>3284</v>
      </c>
      <c r="O290" s="44" t="s">
        <v>4421</v>
      </c>
      <c r="P290" s="4" t="s">
        <v>84</v>
      </c>
      <c r="Q290" s="6" t="s">
        <v>85</v>
      </c>
      <c r="R290" s="6"/>
      <c r="S290" s="6" t="s">
        <v>944</v>
      </c>
      <c r="T290" s="6" t="e" vm="269">
        <v>#VALUE!</v>
      </c>
      <c r="U290" s="46" cm="1">
        <f t="array" aca="1" ref="U290" ca="1">IFERROR(_FV(Tableau1[[#This Row],[Code Excel]],"Capitalisation boursière",TRUE),"")</f>
        <v>6705352000</v>
      </c>
      <c r="V290" s="4" t="str" cm="1">
        <f t="array" aca="1" ref="V290" ca="1">IFERROR(_FV(Tableau1[[#This Row],[Code Excel]],"Industrie"),"")</f>
        <v>Construction &amp; Engineering</v>
      </c>
      <c r="W290" s="4" t="s">
        <v>1926</v>
      </c>
      <c r="X290" s="4" t="str">
        <f ca="1">Tableau1[[#This Row],[Grand Secteur]]&amp;Tableau1[[#This Row],[Industrie]]</f>
        <v>ConstructionConstruction &amp; Engineering</v>
      </c>
      <c r="Y290" s="23" cm="1">
        <f t="array" aca="1" ref="Y290" ca="1">IFERROR(_FV(Tableau1[[#This Row],[Code Excel]],"P/E",TRUE),"")</f>
        <v>29.451000000000001</v>
      </c>
      <c r="Z290" s="43" cm="1">
        <f t="array" aca="1" ref="Z290" ca="1">IFERROR(_FV(Tableau1[[#This Row],[Code Excel]],"Employés"),"")</f>
        <v>50657</v>
      </c>
      <c r="AA290" s="46">
        <f ca="1">IFERROR(Tableau1[[#This Row],[Capitalisation boursière]]/Tableau1[[#This Row],[Employés]],"")</f>
        <v>132367.72805337861</v>
      </c>
      <c r="AB290" s="5" t="str">
        <f>IFERROR(Tableau1[[#This Row],[REX (2021)]]/Tableau1[[#This Row],[CA 2024]],"")</f>
        <v/>
      </c>
      <c r="AC290" s="9" t="str">
        <f>IFERROR(_xlfn.XLOOKUP(Tableau1[[#This Row],[Isin]]&amp;1&amp;2021,#REF!,Tableau3[Résultat d''exploitation]),"")</f>
        <v/>
      </c>
      <c r="AD290" s="9" t="str">
        <f>IFERROR(_xlfn.XLOOKUP(Tableau1[[#This Row],[Isin]]&amp;1&amp;2019,#REF!,Tableau3[Chiffre d''affaires]),"")</f>
        <v/>
      </c>
      <c r="AE290" s="9" t="str">
        <f>IFERROR(_xlfn.XLOOKUP(Tableau1[[#This Row],[Isin]]&amp;1&amp;2024,#REF!,Tableau3[Chiffre d''affaires]),"")</f>
        <v/>
      </c>
      <c r="AF290" s="8" t="str">
        <f>IFERROR(IF((Tableau1[[#This Row],[CA 2024]]-Tableau1[[#This Row],[CA 2019]])/Tableau1[[#This Row],[CA 2019]]=-1,"",(Tableau1[[#This Row],[CA 2024]]-Tableau1[[#This Row],[CA 2019]])/Tableau1[[#This Row],[CA 2019]]),"")</f>
        <v/>
      </c>
      <c r="AG290" s="9" t="str">
        <f>IFERROR(_xlfn.XLOOKUP(Tableau1[[#This Row],[Isin]]&amp;1&amp;2021,#REF!,Tableau3[EBE]),"")</f>
        <v/>
      </c>
      <c r="AH290" s="9" t="str">
        <f>IFERROR(_xlfn.XLOOKUP(Tableau1[[#This Row],[Isin]]&amp;1&amp;2022,#REF!,Tableau3[EBE]),"")</f>
        <v/>
      </c>
      <c r="AI290" s="43" t="s">
        <v>3431</v>
      </c>
      <c r="AJ290" s="43" t="s">
        <v>4322</v>
      </c>
      <c r="AK290" s="43" t="s">
        <v>3149</v>
      </c>
      <c r="AL290" s="43" t="s">
        <v>3419</v>
      </c>
      <c r="AM290" s="43"/>
      <c r="AN290" s="9" t="str">
        <f>IFERROR(_xlfn.XLOOKUP(Tableau1[[#This Row],[Isin]]&amp;1&amp;2021,#REF!,Tableau3[Chiffre d''affaires]),"")</f>
        <v/>
      </c>
      <c r="AO290" s="43" cm="1">
        <f t="array" aca="1" ref="AO290" ca="1">_FV(Tableau1[[#This Row],[Code Excel]],"P/E",TRUE)</f>
        <v>29.451000000000001</v>
      </c>
      <c r="AP290" s="43" t="str">
        <f>IFERROR(_xlfn.XLOOKUP(Tableau1[[#This Row],[Isin]]&amp;1&amp;2023,#REF!,Tableau3[Résultat Net (PdG)]),"")</f>
        <v/>
      </c>
      <c r="AQ290" s="43">
        <f>IF(IFERROR(_xlfn.XLOOKUP(Tableau1[[#This Row],[Isin]]&amp;1&amp;2022,#REF!,Tableau3[Résultat Net (PdG)]),"")="",Tableau1[[#This Row],[RN Groupe 2022
Manuel]],IFERROR(_xlfn.XLOOKUP(Tableau1[[#This Row],[Isin]]&amp;1&amp;2022,#REF!,Tableau3[Résultat Net (PdG)]),""))</f>
        <v>0</v>
      </c>
      <c r="AR290" s="43"/>
      <c r="AS290" s="43">
        <f>IF(IFERROR(_xlfn.XLOOKUP(Tableau1[[#This Row],[Isin]]&amp;1&amp;2021,#REF!,Tableau3[Résultat Net (PdG)]),"")="",Tableau1[[#This Row],[RN Groupe 2021
Manuel]],IFERROR(_xlfn.XLOOKUP(Tableau1[[#This Row],[Isin]]&amp;1&amp;2021,#REF!,Tableau3[Résultat Net (PdG)]),""))</f>
        <v>0</v>
      </c>
      <c r="AT290" s="43"/>
      <c r="AU290" s="43" t="str">
        <f>IFERROR(_xlfn.XLOOKUP(Tableau1[[#This Row],[Isin]]&amp;1&amp;2020,#REF!,Tableau3[Résultat Net (PdG)]),"")</f>
        <v/>
      </c>
      <c r="AV290" s="43" t="str">
        <f>IFERROR(_xlfn.XLOOKUP(Tableau1[[#This Row],[Isin]]&amp;1&amp;2019,#REF!,Tableau3[Résultat Net (PdG)]),"")</f>
        <v/>
      </c>
      <c r="AW290" s="43" t="str">
        <f>IFERROR(_xlfn.XLOOKUP(Tableau1[[#This Row],[Isin]]&amp;1&amp;2018,#REF!,Tableau3[Résultat Net (PdG)]),"")</f>
        <v/>
      </c>
      <c r="AX290" s="43" t="str">
        <f>IFERROR(_xlfn.XLOOKUP(Tableau1[[#This Row],[Isin]]&amp;1&amp;2017,#REF!,Tableau3[Résultat Net (PdG)]),"")</f>
        <v/>
      </c>
      <c r="AY290" s="43" t="str">
        <f>IFERROR(_xlfn.XLOOKUP(Tableau1[[#This Row],[Isin]]&amp;1&amp;2016,#REF!,Tableau3[Résultat Net (PdG)]),"")</f>
        <v/>
      </c>
      <c r="AZ290" s="137" t="str">
        <f ca="1">IFERROR(Tableau1[[#This Row],[Capitalisation boursière]]/Tableau1[[#This Row],[RN Groupe 2023]],"")</f>
        <v/>
      </c>
      <c r="BA290" s="4" t="str" cm="1">
        <f t="array" aca="1" ref="BA290" ca="1">IFERROR(_FV(Tableau1[[#This Row],[Code Excel]],"Industrie"),"")</f>
        <v>Construction &amp; Engineering</v>
      </c>
      <c r="BB290" s="43" t="s">
        <v>3477</v>
      </c>
      <c r="BC290" s="43" t="str">
        <f>IFERROR(_xlfn.XLOOKUP(Tableau1[[#This Row],[Isin]]&amp;1&amp;2016,#REF!,Tableau3[Capi]),"")</f>
        <v/>
      </c>
      <c r="BD290" s="43" t="str">
        <f>IFERROR(_xlfn.XLOOKUP(Tableau1[[#This Row],[Isin]]&amp;1&amp;2017,#REF!,Tableau3[Capi]),"")</f>
        <v/>
      </c>
      <c r="BE290" s="43" t="str">
        <f>IFERROR(_xlfn.XLOOKUP(Tableau1[[#This Row],[Isin]]&amp;1&amp;2018,#REF!,Tableau3[Capi]),"")</f>
        <v/>
      </c>
      <c r="BF290" s="43" t="str">
        <f>IFERROR(_xlfn.XLOOKUP(Tableau1[[#This Row],[Isin]]&amp;1&amp;2019,#REF!,Tableau3[Capi]),"")</f>
        <v/>
      </c>
      <c r="BG290" s="43" t="str">
        <f>IFERROR(_xlfn.XLOOKUP(Tableau1[[#This Row],[Isin]]&amp;1&amp;2020,#REF!,Tableau3[Capi]),"")</f>
        <v/>
      </c>
      <c r="BH290" s="43">
        <f>IF(IFERROR(_xlfn.XLOOKUP(Tableau1[[#This Row],[Isin]]&amp;1&amp;2021,#REF!,Tableau3[Capi]),"")="",Tableau1[[#This Row],[Capitalisation 2021
Manuel]],IFERROR(_xlfn.XLOOKUP(Tableau1[[#This Row],[Isin]]&amp;1&amp;2021,#REF!,Tableau3[Capi]),""))</f>
        <v>0</v>
      </c>
      <c r="BI290" s="43"/>
      <c r="BJ290" s="43">
        <f>IF(IFERROR(_xlfn.XLOOKUP(Tableau1[[#This Row],[Isin]]&amp;1&amp;2022,#REF!,Tableau3[Capi]),"")="",Tableau1[[#This Row],[Capitalisation 2022
Manuel]],IFERROR(_xlfn.XLOOKUP(Tableau1[[#This Row],[Isin]]&amp;1&amp;2022,#REF!,Tableau3[Capi]),""))</f>
        <v>0</v>
      </c>
      <c r="BK290" s="43"/>
      <c r="BL290" s="43">
        <f ca="1">Tableau1[[#This Row],[Capitalisation boursière]]</f>
        <v>6705352000</v>
      </c>
      <c r="BM290" s="162" t="str" cm="1">
        <f t="array" aca="1" ref="BM290" ca="1">_FV(Tableau1[[#This Row],[Code Excel]],"Description")</f>
        <v>Spie SA est une société basée en France, qui fournit des services multi-techniques dans les domaines de l'énergie et des communications. La Société aide ses clients à concevoir, construire, exploiter et entretenir des installations écoénergétique et respectueuses de l'environnement. Elle concentre son développement sur trois activités: les services mécaniques et électriques, les services de technologies de l'information et de la communication et la gestion des installations techniques. La Société offre des services dans différents secteurs, comme les aliments et les boissons, les produits pharmaceutiques, les industries, l'énergie et le public. Elle exerce ses activités par l'intermédiaire d'Aaftink, de Tevean, d'Alewijnse Retail, de Leven Energy Services, un fournisseur de services publics indépendant qui soutient les opérateurs de réseaux de distribution (DNO'S); Alewijnse Technisch Beheer; GPE Technical Services BV; TriosGroup; AGIS Fire, Security Group, SAG Vermoegensverwaltung GmbH (SAG), Maintenance Mesure Controle (MMC), MER ICT, Systemat, S-Cube et Jm Electricite, entre autres.</v>
      </c>
      <c r="BN290" s="43"/>
      <c r="BO290" s="43"/>
      <c r="BP290" s="43"/>
      <c r="BQ290" s="43"/>
      <c r="BR290" s="13"/>
      <c r="BS290" s="13"/>
      <c r="BT290" s="13"/>
      <c r="BU290" s="13"/>
      <c r="BV290" s="13"/>
      <c r="BW290" s="13"/>
      <c r="BX290" s="13"/>
      <c r="BY290" s="21"/>
      <c r="BZ290" s="13"/>
      <c r="CA290" s="13"/>
      <c r="CB290" s="13"/>
      <c r="CC290" s="13"/>
      <c r="CD290" s="13"/>
      <c r="CF290" s="4"/>
      <c r="CG290" s="4"/>
    </row>
    <row r="291" spans="3:85">
      <c r="C291" s="42"/>
      <c r="D291" s="42">
        <f>IF(Tableau1[[#This Row],[Isin]]="",99,Tableau1[[#This Row],[Intérêt]]+Tableau1[[#This Row],[Valeur d''intérêt]]+Tableau1[[#This Row],[N° Portefeuille]])</f>
        <v>30</v>
      </c>
      <c r="E291" s="43"/>
      <c r="F291" s="42">
        <f>IF(Tableau1[[#This Row],[Portefeuille]]="p",0,Tableau1[[#This Row],[F. Investissement
Niveau d''intérêt]]*10)</f>
        <v>30</v>
      </c>
      <c r="G291" s="43">
        <f>IF(Tableau1[[#This Row],[Portefeuille]]="p",3,0)</f>
        <v>0</v>
      </c>
      <c r="H291" s="43">
        <v>3</v>
      </c>
      <c r="I291" s="43">
        <v>4</v>
      </c>
      <c r="J291" s="42"/>
      <c r="K291" s="43"/>
      <c r="L291" s="16">
        <v>1</v>
      </c>
      <c r="M29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1" s="44" t="s">
        <v>2942</v>
      </c>
      <c r="O291" s="44" t="s">
        <v>2935</v>
      </c>
      <c r="P291" s="4" t="s">
        <v>2943</v>
      </c>
      <c r="Q291" s="6" t="s">
        <v>85</v>
      </c>
      <c r="R291" s="6"/>
      <c r="S291" s="6" t="s">
        <v>2945</v>
      </c>
      <c r="T291" s="6" t="e" vm="270">
        <v>#VALUE!</v>
      </c>
      <c r="U291" s="51" cm="1">
        <f t="array" aca="1" ref="U291" ca="1">IFERROR(_FV(Tableau1[[#This Row],[Code Excel]],"Capitalisation boursière",TRUE),"")</f>
        <v>114873400000</v>
      </c>
      <c r="V291" s="4" t="str" cm="1">
        <f t="array" aca="1" ref="V291" ca="1">IFERROR(_FV(Tableau1[[#This Row],[Code Excel]],"Industrie"),"")</f>
        <v>Software &amp; IT Services</v>
      </c>
      <c r="W291" s="4" t="s">
        <v>4333</v>
      </c>
      <c r="X291" s="4" t="str">
        <f ca="1">Tableau1[[#This Row],[Grand Secteur]]&amp;Tableau1[[#This Row],[Industrie]]</f>
        <v>Logiciels et TechnologieSoftware &amp; IT Services</v>
      </c>
      <c r="Y291" s="23" cm="1">
        <f t="array" aca="1" ref="Y291" ca="1">IFERROR(_FV(Tableau1[[#This Row],[Code Excel]],"P/E",TRUE),"")</f>
        <v>97.92</v>
      </c>
      <c r="Z291" s="43" cm="1">
        <f t="array" aca="1" ref="Z291" ca="1">IFERROR(_FV(Tableau1[[#This Row],[Code Excel]],"Employés"),"")</f>
        <v>7691</v>
      </c>
      <c r="AA291" s="49">
        <f ca="1">IFERROR(Tableau1[[#This Row],[Capitalisation boursière]]/Tableau1[[#This Row],[Employés]],"")</f>
        <v>14936081.133792745</v>
      </c>
      <c r="AB291" s="5" t="str">
        <f>IFERROR(Tableau1[[#This Row],[REX (2021)]]/Tableau1[[#This Row],[CA 2024]],"")</f>
        <v/>
      </c>
      <c r="AC291" s="9" t="str">
        <f>IFERROR(_xlfn.XLOOKUP(Tableau1[[#This Row],[Isin]]&amp;1&amp;2021,#REF!,Tableau3[Résultat d''exploitation]),"")</f>
        <v/>
      </c>
      <c r="AD291" s="9" t="str">
        <f>IFERROR(_xlfn.XLOOKUP(Tableau1[[#This Row],[Isin]]&amp;1&amp;2019,#REF!,Tableau3[Chiffre d''affaires]),"")</f>
        <v/>
      </c>
      <c r="AE291" s="9" t="str">
        <f>IFERROR(_xlfn.XLOOKUP(Tableau1[[#This Row],[Isin]]&amp;1&amp;2024,#REF!,Tableau3[Chiffre d''affaires]),"")</f>
        <v/>
      </c>
      <c r="AF291" s="8" t="str">
        <f>IFERROR(IF((Tableau1[[#This Row],[CA 2024]]-Tableau1[[#This Row],[CA 2019]])/Tableau1[[#This Row],[CA 2019]]=-1,"",(Tableau1[[#This Row],[CA 2024]]-Tableau1[[#This Row],[CA 2019]])/Tableau1[[#This Row],[CA 2019]]),"")</f>
        <v/>
      </c>
      <c r="AG291" s="9" t="str">
        <f>IFERROR(_xlfn.XLOOKUP(Tableau1[[#This Row],[Isin]]&amp;1&amp;2021,#REF!,Tableau3[EBE]),"")</f>
        <v/>
      </c>
      <c r="AH291" s="9" t="str">
        <f>IFERROR(_xlfn.XLOOKUP(Tableau1[[#This Row],[Isin]]&amp;1&amp;2022,#REF!,Tableau3[EBE]),"")</f>
        <v/>
      </c>
      <c r="AI291" s="43" t="s">
        <v>4324</v>
      </c>
      <c r="AJ291" s="43" t="s">
        <v>4334</v>
      </c>
      <c r="AK291" s="43" t="s">
        <v>3148</v>
      </c>
      <c r="AL291" s="43" t="s">
        <v>3431</v>
      </c>
      <c r="AM291" s="43"/>
      <c r="AN291" s="9" t="str">
        <f>IFERROR(_xlfn.XLOOKUP(Tableau1[[#This Row],[Isin]]&amp;1&amp;2021,#REF!,Tableau3[Chiffre d''affaires]),"")</f>
        <v/>
      </c>
      <c r="AO291" s="43" cm="1">
        <f t="array" aca="1" ref="AO291" ca="1">_FV(Tableau1[[#This Row],[Code Excel]],"P/E",TRUE)</f>
        <v>97.92</v>
      </c>
      <c r="AP291" s="43" t="str">
        <f>IFERROR(_xlfn.XLOOKUP(Tableau1[[#This Row],[Isin]]&amp;1&amp;2023,#REF!,Tableau3[Résultat Net (PdG)]),"")</f>
        <v/>
      </c>
      <c r="AQ291" s="43">
        <f>IF(IFERROR(_xlfn.XLOOKUP(Tableau1[[#This Row],[Isin]]&amp;1&amp;2022,#REF!,Tableau3[Résultat Net (PdG)]),"")="",Tableau1[[#This Row],[RN Groupe 2022
Manuel]],IFERROR(_xlfn.XLOOKUP(Tableau1[[#This Row],[Isin]]&amp;1&amp;2022,#REF!,Tableau3[Résultat Net (PdG)]),""))</f>
        <v>0</v>
      </c>
      <c r="AR291" s="43"/>
      <c r="AS291" s="43">
        <f>IF(IFERROR(_xlfn.XLOOKUP(Tableau1[[#This Row],[Isin]]&amp;1&amp;2021,#REF!,Tableau3[Résultat Net (PdG)]),"")="",Tableau1[[#This Row],[RN Groupe 2021
Manuel]],IFERROR(_xlfn.XLOOKUP(Tableau1[[#This Row],[Isin]]&amp;1&amp;2021,#REF!,Tableau3[Résultat Net (PdG)]),""))</f>
        <v>0</v>
      </c>
      <c r="AT291" s="43"/>
      <c r="AU291" s="43" t="str">
        <f>IFERROR(_xlfn.XLOOKUP(Tableau1[[#This Row],[Isin]]&amp;1&amp;2020,#REF!,Tableau3[Résultat Net (PdG)]),"")</f>
        <v/>
      </c>
      <c r="AV291" s="43" t="str">
        <f>IFERROR(_xlfn.XLOOKUP(Tableau1[[#This Row],[Isin]]&amp;1&amp;2019,#REF!,Tableau3[Résultat Net (PdG)]),"")</f>
        <v/>
      </c>
      <c r="AW291" s="43" t="str">
        <f>IFERROR(_xlfn.XLOOKUP(Tableau1[[#This Row],[Isin]]&amp;1&amp;2018,#REF!,Tableau3[Résultat Net (PdG)]),"")</f>
        <v/>
      </c>
      <c r="AX291" s="43" t="str">
        <f>IFERROR(_xlfn.XLOOKUP(Tableau1[[#This Row],[Isin]]&amp;1&amp;2017,#REF!,Tableau3[Résultat Net (PdG)]),"")</f>
        <v/>
      </c>
      <c r="AY291" s="43" t="str">
        <f>IFERROR(_xlfn.XLOOKUP(Tableau1[[#This Row],[Isin]]&amp;1&amp;2016,#REF!,Tableau3[Résultat Net (PdG)]),"")</f>
        <v/>
      </c>
      <c r="AZ291" s="137" t="str">
        <f ca="1">IFERROR(Tableau1[[#This Row],[Capitalisation boursière]]/Tableau1[[#This Row],[RN Groupe 2023]],"")</f>
        <v/>
      </c>
      <c r="BA291" s="4" t="str" cm="1">
        <f t="array" aca="1" ref="BA291" ca="1">IFERROR(_FV(Tableau1[[#This Row],[Code Excel]],"Industrie"),"")</f>
        <v>Software &amp; IT Services</v>
      </c>
      <c r="BB291" s="43" t="e">
        <v>#N/A</v>
      </c>
      <c r="BC291" s="43" t="str">
        <f>IFERROR(_xlfn.XLOOKUP(Tableau1[[#This Row],[Isin]]&amp;1&amp;2016,#REF!,Tableau3[Capi]),"")</f>
        <v/>
      </c>
      <c r="BD291" s="43" t="str">
        <f>IFERROR(_xlfn.XLOOKUP(Tableau1[[#This Row],[Isin]]&amp;1&amp;2017,#REF!,Tableau3[Capi]),"")</f>
        <v/>
      </c>
      <c r="BE291" s="43" t="str">
        <f>IFERROR(_xlfn.XLOOKUP(Tableau1[[#This Row],[Isin]]&amp;1&amp;2018,#REF!,Tableau3[Capi]),"")</f>
        <v/>
      </c>
      <c r="BF291" s="43" t="str">
        <f>IFERROR(_xlfn.XLOOKUP(Tableau1[[#This Row],[Isin]]&amp;1&amp;2019,#REF!,Tableau3[Capi]),"")</f>
        <v/>
      </c>
      <c r="BG291" s="43" t="str">
        <f>IFERROR(_xlfn.XLOOKUP(Tableau1[[#This Row],[Isin]]&amp;1&amp;2020,#REF!,Tableau3[Capi]),"")</f>
        <v/>
      </c>
      <c r="BH291" s="43">
        <f>IF(IFERROR(_xlfn.XLOOKUP(Tableau1[[#This Row],[Isin]]&amp;1&amp;2021,#REF!,Tableau3[Capi]),"")="",Tableau1[[#This Row],[Capitalisation 2021
Manuel]],IFERROR(_xlfn.XLOOKUP(Tableau1[[#This Row],[Isin]]&amp;1&amp;2021,#REF!,Tableau3[Capi]),""))</f>
        <v>0</v>
      </c>
      <c r="BI291" s="43"/>
      <c r="BJ291" s="43">
        <f>IF(IFERROR(_xlfn.XLOOKUP(Tableau1[[#This Row],[Isin]]&amp;1&amp;2022,#REF!,Tableau3[Capi]),"")="",Tableau1[[#This Row],[Capitalisation 2022
Manuel]],IFERROR(_xlfn.XLOOKUP(Tableau1[[#This Row],[Isin]]&amp;1&amp;2022,#REF!,Tableau3[Capi]),""))</f>
        <v>0</v>
      </c>
      <c r="BK291" s="43"/>
      <c r="BL291" s="43">
        <f ca="1">Tableau1[[#This Row],[Capitalisation boursière]]</f>
        <v>114873400000</v>
      </c>
      <c r="BM291" s="162" t="str" cm="1">
        <f t="array" aca="1" ref="BM291" ca="1">_FV(Tableau1[[#This Row],[Code Excel]],"Description")</f>
        <v>Spotify Technology SA une société basée au Luxembourg, qui propose des services de streaming de musique numérique. La société permet aux utilisateurs de découvrir de nouvelles versions, notamment les derniers singles et albums ; playlists, qui comprend des playlists prêtes à l'emploi créées par des fans de musique et des experts, et plus de millions de chansons afin que les utilisateurs puissent jouer leurs favoris, découvrir de nouvelles pistes et créer une collection personnalisée. Ses utilisateurs peuvent soit sélectionner Spotify Free, qui inclut uniquement la lecture aléatoire, soit Spotify Premium, qui comprend une gamme de fonctionnalités, telles que la lecture aléatoire, la publicité gratuite, les sauts illimités, l'écoute hors ligne, la lecture de n'importe quelle piste et audio. La Société opère à travers un certain nombre de filiales, dont Spotify LTD et est présente dans plus de 20 pays. Son service offre une expérience d'écoute musicale sans pauses publicitaires.</v>
      </c>
      <c r="BN291" s="43"/>
      <c r="BO291" s="43"/>
      <c r="BP291" s="43"/>
      <c r="BQ291" s="43"/>
      <c r="BR291" s="13"/>
      <c r="BS291" s="13"/>
      <c r="BT291" s="13"/>
      <c r="BU291" s="13"/>
      <c r="BV291" s="13"/>
      <c r="BW291" s="13"/>
      <c r="BX291" s="13"/>
      <c r="BY291" s="21"/>
      <c r="BZ291" s="13"/>
      <c r="CA291" s="13"/>
      <c r="CB291" s="13"/>
      <c r="CC291" s="13"/>
      <c r="CD291" s="13"/>
      <c r="CF291" s="4"/>
      <c r="CG291" s="4"/>
    </row>
    <row r="292" spans="3:85">
      <c r="C292" s="43"/>
      <c r="D292" s="42">
        <f>IF(Tableau1[[#This Row],[Isin]]="",99,Tableau1[[#This Row],[Intérêt]]+Tableau1[[#This Row],[Valeur d''intérêt]]+Tableau1[[#This Row],[N° Portefeuille]])</f>
        <v>20</v>
      </c>
      <c r="E292" s="43"/>
      <c r="F292" s="42">
        <f>IF(Tableau1[[#This Row],[Portefeuille]]="p",0,Tableau1[[#This Row],[F. Investissement
Niveau d''intérêt]]*10)</f>
        <v>20</v>
      </c>
      <c r="G292" s="43">
        <f>IF(Tableau1[[#This Row],[Portefeuille]]="p",3,0)</f>
        <v>0</v>
      </c>
      <c r="H292" s="42">
        <v>2</v>
      </c>
      <c r="I292" s="43">
        <v>2</v>
      </c>
      <c r="J292" s="43"/>
      <c r="K292" s="43"/>
      <c r="L292" s="16">
        <v>1</v>
      </c>
      <c r="M29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2" s="44" t="s">
        <v>4139</v>
      </c>
      <c r="O292" s="44" t="s">
        <v>4411</v>
      </c>
      <c r="P292" s="4" t="s">
        <v>84</v>
      </c>
      <c r="Q292" s="6" t="s">
        <v>85</v>
      </c>
      <c r="R292" s="6"/>
      <c r="S292" s="6" t="s">
        <v>2636</v>
      </c>
      <c r="T292" s="6" t="e" vm="271">
        <v>#VALUE!</v>
      </c>
      <c r="U292" s="46" cm="1">
        <f t="array" aca="1" ref="U292" ca="1">IFERROR(_FV(Tableau1[[#This Row],[Code Excel]],"Capitalisation boursière",TRUE),"")</f>
        <v>18645580000</v>
      </c>
      <c r="V292" s="4" t="str" cm="1">
        <f t="array" aca="1" ref="V292" ca="1">IFERROR(_FV(Tableau1[[#This Row],[Code Excel]],"Industrie"),"")</f>
        <v>Semiconductors &amp; Semiconductor Equipment</v>
      </c>
      <c r="W292" s="4" t="s">
        <v>4371</v>
      </c>
      <c r="X292" s="4" t="str">
        <f ca="1">Tableau1[[#This Row],[Grand Secteur]]&amp;Tableau1[[#This Row],[Industrie]]</f>
        <v>Equipement TechnologiqueSemiconductors &amp; Semiconductor Equipment</v>
      </c>
      <c r="Y292" s="23" cm="1">
        <f t="array" aca="1" ref="Y292" ca="1">IFERROR(_FV(Tableau1[[#This Row],[Code Excel]],"P/E",TRUE),"")</f>
        <v>5.8648999999999996</v>
      </c>
      <c r="Z292" s="43" cm="1">
        <f t="array" aca="1" ref="Z292" ca="1">IFERROR(_FV(Tableau1[[#This Row],[Code Excel]],"Employés"),"")</f>
        <v>51323</v>
      </c>
      <c r="AA292" s="46">
        <f ca="1">IFERROR(Tableau1[[#This Row],[Capitalisation boursière]]/Tableau1[[#This Row],[Employés]],"")</f>
        <v>363298.71597529372</v>
      </c>
      <c r="AB292" s="5" t="str">
        <f>IFERROR(Tableau1[[#This Row],[REX (2021)]]/Tableau1[[#This Row],[CA 2024]],"")</f>
        <v/>
      </c>
      <c r="AC292" s="9" t="str">
        <f>IFERROR(_xlfn.XLOOKUP(Tableau1[[#This Row],[Isin]]&amp;1&amp;2021,#REF!,Tableau3[Résultat d''exploitation]),"")</f>
        <v/>
      </c>
      <c r="AD292" s="9" t="str">
        <f>IFERROR(_xlfn.XLOOKUP(Tableau1[[#This Row],[Isin]]&amp;1&amp;2019,#REF!,Tableau3[Chiffre d''affaires]),"")</f>
        <v/>
      </c>
      <c r="AE292" s="9" t="str">
        <f>IFERROR(_xlfn.XLOOKUP(Tableau1[[#This Row],[Isin]]&amp;1&amp;2024,#REF!,Tableau3[Chiffre d''affaires]),"")</f>
        <v/>
      </c>
      <c r="AF292" s="8" t="str">
        <f>IFERROR(IF((Tableau1[[#This Row],[CA 2024]]-Tableau1[[#This Row],[CA 2019]])/Tableau1[[#This Row],[CA 2019]]=-1,"",(Tableau1[[#This Row],[CA 2024]]-Tableau1[[#This Row],[CA 2019]])/Tableau1[[#This Row],[CA 2019]]),"")</f>
        <v/>
      </c>
      <c r="AG292" s="9" t="str">
        <f>IFERROR(_xlfn.XLOOKUP(Tableau1[[#This Row],[Isin]]&amp;1&amp;2021,#REF!,Tableau3[EBE]),"")</f>
        <v/>
      </c>
      <c r="AH292" s="9" t="str">
        <f>IFERROR(_xlfn.XLOOKUP(Tableau1[[#This Row],[Isin]]&amp;1&amp;2022,#REF!,Tableau3[EBE]),"")</f>
        <v/>
      </c>
      <c r="AI292" s="43" t="s">
        <v>4324</v>
      </c>
      <c r="AJ292" s="43" t="s">
        <v>4348</v>
      </c>
      <c r="AK292" s="43" t="s">
        <v>3149</v>
      </c>
      <c r="AL292" s="43" t="s">
        <v>3148</v>
      </c>
      <c r="AM292" s="43"/>
      <c r="AN292" s="9" t="str">
        <f>IFERROR(_xlfn.XLOOKUP(Tableau1[[#This Row],[Isin]]&amp;1&amp;2021,#REF!,Tableau3[Chiffre d''affaires]),"")</f>
        <v/>
      </c>
      <c r="AO292" s="43" cm="1">
        <f t="array" aca="1" ref="AO292" ca="1">_FV(Tableau1[[#This Row],[Code Excel]],"P/E",TRUE)</f>
        <v>5.8648999999999996</v>
      </c>
      <c r="AP292" s="43" t="str">
        <f>IFERROR(_xlfn.XLOOKUP(Tableau1[[#This Row],[Isin]]&amp;1&amp;2023,#REF!,Tableau3[Résultat Net (PdG)]),"")</f>
        <v/>
      </c>
      <c r="AQ292" s="43">
        <f>IF(IFERROR(_xlfn.XLOOKUP(Tableau1[[#This Row],[Isin]]&amp;1&amp;2022,#REF!,Tableau3[Résultat Net (PdG)]),"")="",Tableau1[[#This Row],[RN Groupe 2022
Manuel]],IFERROR(_xlfn.XLOOKUP(Tableau1[[#This Row],[Isin]]&amp;1&amp;2022,#REF!,Tableau3[Résultat Net (PdG)]),""))</f>
        <v>0</v>
      </c>
      <c r="AR292" s="140"/>
      <c r="AS292" s="43">
        <f>IF(IFERROR(_xlfn.XLOOKUP(Tableau1[[#This Row],[Isin]]&amp;1&amp;2021,#REF!,Tableau3[Résultat Net (PdG)]),"")="",Tableau1[[#This Row],[RN Groupe 2021
Manuel]],IFERROR(_xlfn.XLOOKUP(Tableau1[[#This Row],[Isin]]&amp;1&amp;2021,#REF!,Tableau3[Résultat Net (PdG)]),""))</f>
        <v>0</v>
      </c>
      <c r="AT292" s="140"/>
      <c r="AU292" s="43" t="str">
        <f>IFERROR(_xlfn.XLOOKUP(Tableau1[[#This Row],[Isin]]&amp;1&amp;2020,#REF!,Tableau3[Résultat Net (PdG)]),"")</f>
        <v/>
      </c>
      <c r="AV292" s="43" t="str">
        <f>IFERROR(_xlfn.XLOOKUP(Tableau1[[#This Row],[Isin]]&amp;1&amp;2019,#REF!,Tableau3[Résultat Net (PdG)]),"")</f>
        <v/>
      </c>
      <c r="AW292" s="43" t="str">
        <f>IFERROR(_xlfn.XLOOKUP(Tableau1[[#This Row],[Isin]]&amp;1&amp;2018,#REF!,Tableau3[Résultat Net (PdG)]),"")</f>
        <v/>
      </c>
      <c r="AX292" s="43" t="str">
        <f>IFERROR(_xlfn.XLOOKUP(Tableau1[[#This Row],[Isin]]&amp;1&amp;2017,#REF!,Tableau3[Résultat Net (PdG)]),"")</f>
        <v/>
      </c>
      <c r="AY292" s="43" t="str">
        <f>IFERROR(_xlfn.XLOOKUP(Tableau1[[#This Row],[Isin]]&amp;1&amp;2016,#REF!,Tableau3[Résultat Net (PdG)]),"")</f>
        <v/>
      </c>
      <c r="AZ292" s="137" t="str">
        <f ca="1">IFERROR(Tableau1[[#This Row],[Capitalisation boursière]]/Tableau1[[#This Row],[RN Groupe 2023]],"")</f>
        <v/>
      </c>
      <c r="BA292" s="4" t="str" cm="1">
        <f t="array" aca="1" ref="BA292" ca="1">IFERROR(_FV(Tableau1[[#This Row],[Code Excel]],"Industrie"),"")</f>
        <v>Semiconductors &amp; Semiconductor Equipment</v>
      </c>
      <c r="BB292" s="43" t="s">
        <v>3518</v>
      </c>
      <c r="BC292" s="43" t="str">
        <f>IFERROR(_xlfn.XLOOKUP(Tableau1[[#This Row],[Isin]]&amp;1&amp;2016,#REF!,Tableau3[Capi]),"")</f>
        <v/>
      </c>
      <c r="BD292" s="43" t="str">
        <f>IFERROR(_xlfn.XLOOKUP(Tableau1[[#This Row],[Isin]]&amp;1&amp;2017,#REF!,Tableau3[Capi]),"")</f>
        <v/>
      </c>
      <c r="BE292" s="43" t="str">
        <f>IFERROR(_xlfn.XLOOKUP(Tableau1[[#This Row],[Isin]]&amp;1&amp;2018,#REF!,Tableau3[Capi]),"")</f>
        <v/>
      </c>
      <c r="BF292" s="43" t="str">
        <f>IFERROR(_xlfn.XLOOKUP(Tableau1[[#This Row],[Isin]]&amp;1&amp;2019,#REF!,Tableau3[Capi]),"")</f>
        <v/>
      </c>
      <c r="BG292" s="43" t="str">
        <f>IFERROR(_xlfn.XLOOKUP(Tableau1[[#This Row],[Isin]]&amp;1&amp;2020,#REF!,Tableau3[Capi]),"")</f>
        <v/>
      </c>
      <c r="BH292" s="43">
        <f>IF(IFERROR(_xlfn.XLOOKUP(Tableau1[[#This Row],[Isin]]&amp;1&amp;2021,#REF!,Tableau3[Capi]),"")="",Tableau1[[#This Row],[Capitalisation 2021
Manuel]],IFERROR(_xlfn.XLOOKUP(Tableau1[[#This Row],[Isin]]&amp;1&amp;2021,#REF!,Tableau3[Capi]),""))</f>
        <v>0</v>
      </c>
      <c r="BI292" s="142"/>
      <c r="BJ292" s="141">
        <f>IF(IFERROR(_xlfn.XLOOKUP(Tableau1[[#This Row],[Isin]]&amp;1&amp;2022,#REF!,Tableau3[Capi]),"")="",Tableau1[[#This Row],[Capitalisation 2022
Manuel]],IFERROR(_xlfn.XLOOKUP(Tableau1[[#This Row],[Isin]]&amp;1&amp;2022,#REF!,Tableau3[Capi]),""))</f>
        <v>0</v>
      </c>
      <c r="BK292" s="142"/>
      <c r="BL292" s="43">
        <f ca="1">Tableau1[[#This Row],[Capitalisation boursière]]</f>
        <v>18645580000</v>
      </c>
      <c r="BM292" s="162" t="str" cm="1">
        <f t="array" aca="1" ref="BM292" ca="1">_FV(Tableau1[[#This Row],[Code Excel]],"Description")</f>
        <v>STMicroelectronics N.V. est une société de semi-conducteurs basée aux Pays-Bas.Elle conçoit, développe, fabrique et commercialise une gamme de produits, notamment des composants discrets et standard, ainsi que des circuits intégrés spécifiques à une application (ASIC) pour des applications analogiques, numériques et à signaux mixtes. Les segments de la société comprennent le groupe automobile et discret (ADG), le groupe analogique, MEMS et capteurs (AMS), et le groupe microcontrôleurs et circuits intégrés numériques (MDG). Le segment ADG comprend tous les circuits intégrés (CI) dédiés à l'automobile, ainsi que les produits discrets et les transistors de puissance. Le segment AMS comprend les circuits intégrés analogiques à faible consommation pour tous les marchés, les produits d'alimentation intelligents, les contrôleurs d'écran tactile, les solutions de connectivité à faible consommation pour l'internet des objets (IoT) et les produits de conversion d'énergie, entre autres.Le segment AMS comprend des microcontrôleurs à usage général et sécurisés, et des mémoires mortes programmables effaçables électriquement.</v>
      </c>
      <c r="BN292" s="43"/>
      <c r="BO292" s="43"/>
      <c r="BP292" s="43"/>
      <c r="BQ292" s="43"/>
      <c r="BR292" s="13"/>
      <c r="BS292" s="13"/>
      <c r="BT292" s="13"/>
      <c r="BU292" s="13"/>
      <c r="BV292" s="13"/>
      <c r="BW292" s="13"/>
      <c r="BX292" s="13"/>
      <c r="BY292" s="21"/>
      <c r="BZ292" s="13"/>
      <c r="CA292" s="13"/>
      <c r="CB292" s="13"/>
      <c r="CC292" s="13"/>
      <c r="CD292" s="13"/>
      <c r="CF292" s="4"/>
      <c r="CG292" s="4"/>
    </row>
    <row r="293" spans="3:85">
      <c r="C293" s="42"/>
      <c r="D293" s="42">
        <f>IF(Tableau1[[#This Row],[Isin]]="",99,Tableau1[[#This Row],[Intérêt]]+Tableau1[[#This Row],[Valeur d''intérêt]]+Tableau1[[#This Row],[N° Portefeuille]])</f>
        <v>30</v>
      </c>
      <c r="E293" s="42"/>
      <c r="F293" s="42">
        <f>IF(Tableau1[[#This Row],[Portefeuille]]="p",0,Tableau1[[#This Row],[F. Investissement
Niveau d''intérêt]]*10)</f>
        <v>30</v>
      </c>
      <c r="G293" s="42">
        <f>IF(Tableau1[[#This Row],[Portefeuille]]="p",3,0)</f>
        <v>0</v>
      </c>
      <c r="H293" s="42">
        <v>3</v>
      </c>
      <c r="I293" s="42">
        <v>4</v>
      </c>
      <c r="J293" s="42"/>
      <c r="K293" s="43"/>
      <c r="L293" s="16">
        <v>0</v>
      </c>
      <c r="M29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3" s="44" t="s">
        <v>4141</v>
      </c>
      <c r="O293" s="45"/>
      <c r="P293" s="4" t="s">
        <v>382</v>
      </c>
      <c r="Q293" s="4"/>
      <c r="R293" s="6"/>
      <c r="S293" s="6" t="s">
        <v>4142</v>
      </c>
      <c r="T293" s="6" t="e" vm="272">
        <v>#VALUE!</v>
      </c>
      <c r="U293" s="46" cm="1">
        <f t="array" aca="1" ref="U293" ca="1">IFERROR(_FV(Tableau1[[#This Row],[Code Excel]],"Capitalisation boursière",TRUE),"")</f>
        <v>110182300000</v>
      </c>
      <c r="V293" s="4" t="str" cm="1">
        <f t="array" aca="1" ref="V293" ca="1">IFERROR(_FV(Tableau1[[#This Row],[Code Excel]],"Industrie"),"")</f>
        <v>Hotels &amp; Entertainment Services</v>
      </c>
      <c r="W293" s="4" t="str" cm="1">
        <f t="array" aca="1" ref="W293" ca="1">IFERROR(_FV(Tableau1[[#This Row],[Code Excel]],"Industrie"),"")</f>
        <v>Hotels &amp; Entertainment Services</v>
      </c>
      <c r="X293" s="4" t="str">
        <f ca="1">Tableau1[[#This Row],[Grand Secteur]]&amp;Tableau1[[#This Row],[Industrie]]</f>
        <v>Hotels &amp; Entertainment ServicesHotels &amp; Entertainment Services</v>
      </c>
      <c r="Y293" s="23" cm="1">
        <f t="array" aca="1" ref="Y293" ca="1">IFERROR(_FV(Tableau1[[#This Row],[Code Excel]],"P/E",TRUE),"")</f>
        <v>30.965</v>
      </c>
      <c r="Z293" s="43" cm="1">
        <f t="array" aca="1" ref="Z293" ca="1">IFERROR(_FV(Tableau1[[#This Row],[Code Excel]],"Employés"),"")</f>
        <v>361000</v>
      </c>
      <c r="AA293" s="49">
        <f ca="1">IFERROR(Tableau1[[#This Row],[Capitalisation boursière]]/Tableau1[[#This Row],[Employés]],"")</f>
        <v>305214.12742382271</v>
      </c>
      <c r="AB293" s="5" t="str">
        <f>IFERROR(Tableau1[[#This Row],[REX (2021)]]/Tableau1[[#This Row],[CA 2024]],"")</f>
        <v/>
      </c>
      <c r="AC293" s="9" t="str">
        <f>IFERROR(_xlfn.XLOOKUP(Tableau1[[#This Row],[Isin]]&amp;1&amp;2021,#REF!,Tableau3[Résultat d''exploitation]),"")</f>
        <v/>
      </c>
      <c r="AD293" s="9" t="str">
        <f>IFERROR(_xlfn.XLOOKUP(Tableau1[[#This Row],[Isin]]&amp;1&amp;2019,#REF!,Tableau3[Chiffre d''affaires]),"")</f>
        <v/>
      </c>
      <c r="AE293" s="9" t="str">
        <f>IFERROR(_xlfn.XLOOKUP(Tableau1[[#This Row],[Isin]]&amp;1&amp;2024,#REF!,Tableau3[Chiffre d''affaires]),"")</f>
        <v/>
      </c>
      <c r="AF293" s="8" t="str">
        <f>IFERROR(IF((Tableau1[[#This Row],[CA 2024]]-Tableau1[[#This Row],[CA 2019]])/Tableau1[[#This Row],[CA 2019]]=-1,"",(Tableau1[[#This Row],[CA 2024]]-Tableau1[[#This Row],[CA 2019]])/Tableau1[[#This Row],[CA 2019]]),"")</f>
        <v/>
      </c>
      <c r="AG293" s="9" t="str">
        <f>IFERROR(_xlfn.XLOOKUP(Tableau1[[#This Row],[Isin]]&amp;1&amp;2021,#REF!,Tableau3[EBE]),"")</f>
        <v/>
      </c>
      <c r="AH293" s="9" t="str">
        <f>IFERROR(_xlfn.XLOOKUP(Tableau1[[#This Row],[Isin]]&amp;1&amp;2022,#REF!,Tableau3[EBE]),"")</f>
        <v/>
      </c>
      <c r="AI293" s="43" t="s">
        <v>3419</v>
      </c>
      <c r="AJ293" s="43" t="s">
        <v>4326</v>
      </c>
      <c r="AK293" s="43" t="s">
        <v>3149</v>
      </c>
      <c r="AL293" s="43"/>
      <c r="AM293" s="43"/>
      <c r="AN293" s="9" t="str">
        <f>IFERROR(_xlfn.XLOOKUP(Tableau1[[#This Row],[Isin]]&amp;1&amp;2021,#REF!,Tableau3[Chiffre d''affaires]),"")</f>
        <v/>
      </c>
      <c r="AO293" s="43" cm="1">
        <f t="array" aca="1" ref="AO293" ca="1">_FV(Tableau1[[#This Row],[Code Excel]],"P/E",TRUE)</f>
        <v>30.965</v>
      </c>
      <c r="AP293" s="43" t="str">
        <f>IFERROR(_xlfn.XLOOKUP(Tableau1[[#This Row],[Isin]]&amp;1&amp;2023,#REF!,Tableau3[Résultat Net (PdG)]),"")</f>
        <v/>
      </c>
      <c r="AQ293" s="43">
        <f>IF(IFERROR(_xlfn.XLOOKUP(Tableau1[[#This Row],[Isin]]&amp;1&amp;2022,#REF!,Tableau3[Résultat Net (PdG)]),"")="",Tableau1[[#This Row],[RN Groupe 2022
Manuel]],IFERROR(_xlfn.XLOOKUP(Tableau1[[#This Row],[Isin]]&amp;1&amp;2022,#REF!,Tableau3[Résultat Net (PdG)]),""))</f>
        <v>0</v>
      </c>
      <c r="AR293" s="43"/>
      <c r="AS293" s="43">
        <f>IF(IFERROR(_xlfn.XLOOKUP(Tableau1[[#This Row],[Isin]]&amp;1&amp;2021,#REF!,Tableau3[Résultat Net (PdG)]),"")="",Tableau1[[#This Row],[RN Groupe 2021
Manuel]],IFERROR(_xlfn.XLOOKUP(Tableau1[[#This Row],[Isin]]&amp;1&amp;2021,#REF!,Tableau3[Résultat Net (PdG)]),""))</f>
        <v>0</v>
      </c>
      <c r="AT293" s="43"/>
      <c r="AU293" s="43" t="str">
        <f>IFERROR(_xlfn.XLOOKUP(Tableau1[[#This Row],[Isin]]&amp;1&amp;2020,#REF!,Tableau3[Résultat Net (PdG)]),"")</f>
        <v/>
      </c>
      <c r="AV293" s="43" t="str">
        <f>IFERROR(_xlfn.XLOOKUP(Tableau1[[#This Row],[Isin]]&amp;1&amp;2019,#REF!,Tableau3[Résultat Net (PdG)]),"")</f>
        <v/>
      </c>
      <c r="AW293" s="43" t="str">
        <f>IFERROR(_xlfn.XLOOKUP(Tableau1[[#This Row],[Isin]]&amp;1&amp;2018,#REF!,Tableau3[Résultat Net (PdG)]),"")</f>
        <v/>
      </c>
      <c r="AX293" s="43" t="str">
        <f>IFERROR(_xlfn.XLOOKUP(Tableau1[[#This Row],[Isin]]&amp;1&amp;2017,#REF!,Tableau3[Résultat Net (PdG)]),"")</f>
        <v/>
      </c>
      <c r="AY293" s="43" t="str">
        <f>IFERROR(_xlfn.XLOOKUP(Tableau1[[#This Row],[Isin]]&amp;1&amp;2016,#REF!,Tableau3[Résultat Net (PdG)]),"")</f>
        <v/>
      </c>
      <c r="AZ293" s="137" t="str">
        <f ca="1">IFERROR(Tableau1[[#This Row],[Capitalisation boursière]]/Tableau1[[#This Row],[RN Groupe 2023]],"")</f>
        <v/>
      </c>
      <c r="BA293" s="4" t="str" cm="1">
        <f t="array" aca="1" ref="BA293" ca="1">IFERROR(_FV(Tableau1[[#This Row],[Code Excel]],"Industrie"),"")</f>
        <v>Hotels &amp; Entertainment Services</v>
      </c>
      <c r="BB293" s="43" t="s">
        <v>3491</v>
      </c>
      <c r="BC293" s="43" t="str">
        <f>IFERROR(_xlfn.XLOOKUP(Tableau1[[#This Row],[Isin]]&amp;1&amp;2016,#REF!,Tableau3[Capi]),"")</f>
        <v/>
      </c>
      <c r="BD293" s="43" t="str">
        <f>IFERROR(_xlfn.XLOOKUP(Tableau1[[#This Row],[Isin]]&amp;1&amp;2017,#REF!,Tableau3[Capi]),"")</f>
        <v/>
      </c>
      <c r="BE293" s="43" t="str">
        <f>IFERROR(_xlfn.XLOOKUP(Tableau1[[#This Row],[Isin]]&amp;1&amp;2018,#REF!,Tableau3[Capi]),"")</f>
        <v/>
      </c>
      <c r="BF293" s="43" t="str">
        <f>IFERROR(_xlfn.XLOOKUP(Tableau1[[#This Row],[Isin]]&amp;1&amp;2019,#REF!,Tableau3[Capi]),"")</f>
        <v/>
      </c>
      <c r="BG293" s="43" t="str">
        <f>IFERROR(_xlfn.XLOOKUP(Tableau1[[#This Row],[Isin]]&amp;1&amp;2020,#REF!,Tableau3[Capi]),"")</f>
        <v/>
      </c>
      <c r="BH293" s="43">
        <f>IF(IFERROR(_xlfn.XLOOKUP(Tableau1[[#This Row],[Isin]]&amp;1&amp;2021,#REF!,Tableau3[Capi]),"")="",Tableau1[[#This Row],[Capitalisation 2021
Manuel]],IFERROR(_xlfn.XLOOKUP(Tableau1[[#This Row],[Isin]]&amp;1&amp;2021,#REF!,Tableau3[Capi]),""))</f>
        <v>0</v>
      </c>
      <c r="BI293" s="43"/>
      <c r="BJ293" s="43">
        <f>IF(IFERROR(_xlfn.XLOOKUP(Tableau1[[#This Row],[Isin]]&amp;1&amp;2022,#REF!,Tableau3[Capi]),"")="",Tableau1[[#This Row],[Capitalisation 2022
Manuel]],IFERROR(_xlfn.XLOOKUP(Tableau1[[#This Row],[Isin]]&amp;1&amp;2022,#REF!,Tableau3[Capi]),""))</f>
        <v>0</v>
      </c>
      <c r="BK293" s="43"/>
      <c r="BL293" s="43">
        <f ca="1">Tableau1[[#This Row],[Capitalisation boursière]]</f>
        <v>110182300000</v>
      </c>
      <c r="BM293" s="162" t="str" cm="1">
        <f t="array" aca="1" ref="BM293" ca="1">_FV(Tableau1[[#This Row],[Code Excel]],"Description")</f>
        <v>Starbucks Corporations est une entreprise de café qui torréfie, commercialise et vend du café de spécialité dans le monde entier. La Société opère sur 86 marchés et compte environ 38 000 magasins dans le monde entier. Elle compte trois segments : Amérique du Nord, International et Channel Development. Le segment Amérique du Nord comprend les États-Unis et le Canada. Le segment international comprend la Chine, le Japon, l'Asie-Pacifique, l'Europe, le moyen-Orient et l'Afrique, l'Amérique latine et les Caraïbes. Les segments Amérique du Nord et International comprennent à la fois les magasins exploités par la Société et les magasins autorisés. Le segment Channel Development comprend les cafés moulus et en grains torréfiés, les produits en une seule portion de marque Starbucks et Teavana, une variété de boissons prêtes à boire, telles que le Frappuccino et le Starbucks Doubleshot, les produits de restauration et autres produits de marque vendus dans le monde entier en dehors des magasins exploités et agréés par la Société. Une grande partie de son activité Channel Development fonctionne sous un modèle sous licence de la Global Coffee Alliance avec Nestlé.</v>
      </c>
      <c r="BN293" s="43"/>
      <c r="BO293" s="43"/>
      <c r="BP293" s="43"/>
      <c r="BQ293" s="43"/>
      <c r="BR293" s="13"/>
      <c r="BS293" s="13"/>
      <c r="BT293" s="13"/>
      <c r="BU293" s="13"/>
      <c r="BV293" s="13"/>
      <c r="BW293" s="13"/>
      <c r="BX293" s="13"/>
      <c r="BY293" s="21"/>
      <c r="BZ293" s="13"/>
      <c r="CA293" s="13"/>
      <c r="CB293" s="13"/>
      <c r="CC293" s="13"/>
      <c r="CD293" s="13"/>
      <c r="CF293" s="4"/>
      <c r="CG293" s="4"/>
    </row>
    <row r="294" spans="3:85">
      <c r="C294" s="43"/>
      <c r="D294" s="42">
        <f>IF(Tableau1[[#This Row],[Isin]]="",99,Tableau1[[#This Row],[Intérêt]]+Tableau1[[#This Row],[Valeur d''intérêt]]+Tableau1[[#This Row],[N° Portefeuille]])</f>
        <v>20</v>
      </c>
      <c r="E294" s="43"/>
      <c r="F294" s="42">
        <f>IF(Tableau1[[#This Row],[Portefeuille]]="p",0,Tableau1[[#This Row],[F. Investissement
Niveau d''intérêt]]*10)</f>
        <v>20</v>
      </c>
      <c r="G294" s="43">
        <f>IF(Tableau1[[#This Row],[Portefeuille]]="p",3,0)</f>
        <v>0</v>
      </c>
      <c r="H294" s="42">
        <v>2</v>
      </c>
      <c r="I294" s="43">
        <v>2</v>
      </c>
      <c r="J294" s="43"/>
      <c r="K294" s="43"/>
      <c r="L294" s="16">
        <v>1</v>
      </c>
      <c r="M29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4" s="44" t="s">
        <v>4144</v>
      </c>
      <c r="O294" s="44" t="s">
        <v>1224</v>
      </c>
      <c r="P294" s="4" t="s">
        <v>427</v>
      </c>
      <c r="Q294" s="6" t="s">
        <v>85</v>
      </c>
      <c r="R294" s="6"/>
      <c r="S294" s="6" t="s">
        <v>2212</v>
      </c>
      <c r="T294" s="6" t="e" vm="273">
        <v>#VALUE!</v>
      </c>
      <c r="U294" s="46" cm="1">
        <f t="array" aca="1" ref="U294" ca="1">IFERROR(_FV(Tableau1[[#This Row],[Code Excel]],"Capitalisation boursière",TRUE),"")</f>
        <v>30356640000</v>
      </c>
      <c r="V294" s="4" t="str" cm="1">
        <f t="array" aca="1" ref="V294" ca="1">IFERROR(_FV(Tableau1[[#This Row],[Code Excel]],"Industrie"),"")</f>
        <v>Automobiles &amp; Auto Parts</v>
      </c>
      <c r="W294" s="4" t="s">
        <v>1224</v>
      </c>
      <c r="X294" s="4" t="str">
        <f ca="1">Tableau1[[#This Row],[Grand Secteur]]&amp;Tableau1[[#This Row],[Industrie]]</f>
        <v>AutomobileAutomobiles &amp; Auto Parts</v>
      </c>
      <c r="Y294" s="23" cm="1">
        <f t="array" aca="1" ref="Y294" ca="1">IFERROR(_FV(Tableau1[[#This Row],[Code Excel]],"P/E",TRUE),"")</f>
        <v>6.0209000000000001</v>
      </c>
      <c r="Z294" s="43" cm="1">
        <f t="array" aca="1" ref="Z294" ca="1">IFERROR(_FV(Tableau1[[#This Row],[Code Excel]],"Employés"),"")</f>
        <v>248243</v>
      </c>
      <c r="AA294" s="46">
        <f ca="1">IFERROR(Tableau1[[#This Row],[Capitalisation boursière]]/Tableau1[[#This Row],[Employés]],"")</f>
        <v>122285.98590896823</v>
      </c>
      <c r="AB294" s="5" t="str">
        <f>IFERROR(Tableau1[[#This Row],[REX (2021)]]/Tableau1[[#This Row],[CA 2024]],"")</f>
        <v/>
      </c>
      <c r="AC294" s="9" t="str">
        <f>IFERROR(_xlfn.XLOOKUP(Tableau1[[#This Row],[Isin]]&amp;1&amp;2021,#REF!,Tableau3[Résultat d''exploitation]),"")</f>
        <v/>
      </c>
      <c r="AD294" s="9" t="str">
        <f>IFERROR(_xlfn.XLOOKUP(Tableau1[[#This Row],[Isin]]&amp;1&amp;2019,#REF!,Tableau3[Chiffre d''affaires]),"")</f>
        <v/>
      </c>
      <c r="AE294" s="9" t="str">
        <f>IFERROR(_xlfn.XLOOKUP(Tableau1[[#This Row],[Isin]]&amp;1&amp;2024,#REF!,Tableau3[Chiffre d''affaires]),"")</f>
        <v/>
      </c>
      <c r="AF294" s="8" t="str">
        <f>IFERROR(IF((Tableau1[[#This Row],[CA 2024]]-Tableau1[[#This Row],[CA 2019]])/Tableau1[[#This Row],[CA 2019]]=-1,"",(Tableau1[[#This Row],[CA 2024]]-Tableau1[[#This Row],[CA 2019]])/Tableau1[[#This Row],[CA 2019]]),"")</f>
        <v/>
      </c>
      <c r="AG294" s="9" t="str">
        <f>IFERROR(_xlfn.XLOOKUP(Tableau1[[#This Row],[Isin]]&amp;1&amp;2021,#REF!,Tableau3[EBE]),"")</f>
        <v/>
      </c>
      <c r="AH294" s="9" t="str">
        <f>IFERROR(_xlfn.XLOOKUP(Tableau1[[#This Row],[Isin]]&amp;1&amp;2022,#REF!,Tableau3[EBE]),"")</f>
        <v/>
      </c>
      <c r="AI294" s="43" t="s">
        <v>4329</v>
      </c>
      <c r="AJ294" s="43" t="s">
        <v>3150</v>
      </c>
      <c r="AK294" s="43" t="s">
        <v>3148</v>
      </c>
      <c r="AL294" s="43" t="s">
        <v>3149</v>
      </c>
      <c r="AM294" s="43"/>
      <c r="AN294" s="9" t="str">
        <f>IFERROR(_xlfn.XLOOKUP(Tableau1[[#This Row],[Isin]]&amp;1&amp;2021,#REF!,Tableau3[Chiffre d''affaires]),"")</f>
        <v/>
      </c>
      <c r="AO294" s="43" cm="1">
        <f t="array" aca="1" ref="AO294" ca="1">_FV(Tableau1[[#This Row],[Code Excel]],"P/E",TRUE)</f>
        <v>6.0209000000000001</v>
      </c>
      <c r="AP294" s="43" t="str">
        <f>IFERROR(_xlfn.XLOOKUP(Tableau1[[#This Row],[Isin]]&amp;1&amp;2023,#REF!,Tableau3[Résultat Net (PdG)]),"")</f>
        <v/>
      </c>
      <c r="AQ294" s="43">
        <f>IF(IFERROR(_xlfn.XLOOKUP(Tableau1[[#This Row],[Isin]]&amp;1&amp;2022,#REF!,Tableau3[Résultat Net (PdG)]),"")="",Tableau1[[#This Row],[RN Groupe 2022
Manuel]],IFERROR(_xlfn.XLOOKUP(Tableau1[[#This Row],[Isin]]&amp;1&amp;2022,#REF!,Tableau3[Résultat Net (PdG)]),""))</f>
        <v>0</v>
      </c>
      <c r="AR294" s="140"/>
      <c r="AS294" s="43">
        <f>IF(IFERROR(_xlfn.XLOOKUP(Tableau1[[#This Row],[Isin]]&amp;1&amp;2021,#REF!,Tableau3[Résultat Net (PdG)]),"")="",Tableau1[[#This Row],[RN Groupe 2021
Manuel]],IFERROR(_xlfn.XLOOKUP(Tableau1[[#This Row],[Isin]]&amp;1&amp;2021,#REF!,Tableau3[Résultat Net (PdG)]),""))</f>
        <v>0</v>
      </c>
      <c r="AT294" s="140"/>
      <c r="AU294" s="43" t="str">
        <f>IFERROR(_xlfn.XLOOKUP(Tableau1[[#This Row],[Isin]]&amp;1&amp;2020,#REF!,Tableau3[Résultat Net (PdG)]),"")</f>
        <v/>
      </c>
      <c r="AV294" s="43" t="str">
        <f>IFERROR(_xlfn.XLOOKUP(Tableau1[[#This Row],[Isin]]&amp;1&amp;2019,#REF!,Tableau3[Résultat Net (PdG)]),"")</f>
        <v/>
      </c>
      <c r="AW294" s="43" t="str">
        <f>IFERROR(_xlfn.XLOOKUP(Tableau1[[#This Row],[Isin]]&amp;1&amp;2018,#REF!,Tableau3[Résultat Net (PdG)]),"")</f>
        <v/>
      </c>
      <c r="AX294" s="43" t="str">
        <f>IFERROR(_xlfn.XLOOKUP(Tableau1[[#This Row],[Isin]]&amp;1&amp;2017,#REF!,Tableau3[Résultat Net (PdG)]),"")</f>
        <v/>
      </c>
      <c r="AY294" s="43" t="str">
        <f>IFERROR(_xlfn.XLOOKUP(Tableau1[[#This Row],[Isin]]&amp;1&amp;2016,#REF!,Tableau3[Résultat Net (PdG)]),"")</f>
        <v/>
      </c>
      <c r="AZ294" s="137" t="str">
        <f ca="1">IFERROR(Tableau1[[#This Row],[Capitalisation boursière]]/Tableau1[[#This Row],[RN Groupe 2023]],"")</f>
        <v/>
      </c>
      <c r="BA294" s="4" t="str" cm="1">
        <f t="array" aca="1" ref="BA294" ca="1">IFERROR(_FV(Tableau1[[#This Row],[Code Excel]],"Industrie"),"")</f>
        <v>Automobiles &amp; Auto Parts</v>
      </c>
      <c r="BB294" s="43" t="s">
        <v>3518</v>
      </c>
      <c r="BC294" s="43" t="str">
        <f>IFERROR(_xlfn.XLOOKUP(Tableau1[[#This Row],[Isin]]&amp;1&amp;2016,#REF!,Tableau3[Capi]),"")</f>
        <v/>
      </c>
      <c r="BD294" s="43" t="str">
        <f>IFERROR(_xlfn.XLOOKUP(Tableau1[[#This Row],[Isin]]&amp;1&amp;2017,#REF!,Tableau3[Capi]),"")</f>
        <v/>
      </c>
      <c r="BE294" s="43" t="str">
        <f>IFERROR(_xlfn.XLOOKUP(Tableau1[[#This Row],[Isin]]&amp;1&amp;2018,#REF!,Tableau3[Capi]),"")</f>
        <v/>
      </c>
      <c r="BF294" s="43" t="str">
        <f>IFERROR(_xlfn.XLOOKUP(Tableau1[[#This Row],[Isin]]&amp;1&amp;2019,#REF!,Tableau3[Capi]),"")</f>
        <v/>
      </c>
      <c r="BG294" s="43" t="str">
        <f>IFERROR(_xlfn.XLOOKUP(Tableau1[[#This Row],[Isin]]&amp;1&amp;2020,#REF!,Tableau3[Capi]),"")</f>
        <v/>
      </c>
      <c r="BH294" s="43">
        <f>IF(IFERROR(_xlfn.XLOOKUP(Tableau1[[#This Row],[Isin]]&amp;1&amp;2021,#REF!,Tableau3[Capi]),"")="",Tableau1[[#This Row],[Capitalisation 2021
Manuel]],IFERROR(_xlfn.XLOOKUP(Tableau1[[#This Row],[Isin]]&amp;1&amp;2021,#REF!,Tableau3[Capi]),""))</f>
        <v>0</v>
      </c>
      <c r="BI294" s="142"/>
      <c r="BJ294" s="141">
        <f>IF(IFERROR(_xlfn.XLOOKUP(Tableau1[[#This Row],[Isin]]&amp;1&amp;2022,#REF!,Tableau3[Capi]),"")="",Tableau1[[#This Row],[Capitalisation 2022
Manuel]],IFERROR(_xlfn.XLOOKUP(Tableau1[[#This Row],[Isin]]&amp;1&amp;2022,#REF!,Tableau3[Capi]),""))</f>
        <v>0</v>
      </c>
      <c r="BK294" s="142"/>
      <c r="BL294" s="43">
        <f ca="1">Tableau1[[#This Row],[Capitalisation boursière]]</f>
        <v>30356640000</v>
      </c>
      <c r="BM294" s="162" t="str" cm="1">
        <f t="array" aca="1" ref="BM294" ca="1">_FV(Tableau1[[#This Row],[Code Excel]],"Description")</f>
        <v>Stellantis N.V., anciennement Fiat Chrysler Automobiles N.V., est une société holding basée aux Pays-Bas et opère en tant que constructeur automobile et fournisseur de mobilité. La Société est engagée dans la conception, l'ingénierie, la fabrication, la distribution et la vente de véhicules, de composants et de systèmes de production. La Société a des opérations industrielles dans plus de 30 pays et vend ses véhicules directement ou par l'intermédiaire de distributeurs et concessionnaires dans plus de 130 pays. La Société conçoit, fabrique, distribue et vend des véhicules grand public sous les marques Abarth, Alfa Romeo, Chrysler, Dodge, Fiat, Fiat Professional, Jeep, Lancia et Ram. De plus, la Société conçoit, fabrique, distribue et vend des véhicules de luxe sous la marque Maserati. Le portefeuille de marques de la Société comprend également Peugeot, Citroën, DS Automobiles, Opel et Vauxhall. Il offre une grande variété de choix de véhicules, des véhicules de tourisme de luxe et grand public aux camionnettes, en passant par les véhicules utilitaires sport (SUV).</v>
      </c>
      <c r="BN294" s="43"/>
      <c r="BO294" s="43"/>
      <c r="BP294" s="43"/>
      <c r="BQ294" s="43"/>
      <c r="BR294" s="13"/>
      <c r="BS294" s="13"/>
      <c r="BT294" s="13"/>
      <c r="BU294" s="13"/>
      <c r="BV294" s="13"/>
      <c r="BW294" s="13"/>
      <c r="BX294" s="13"/>
      <c r="BY294" s="21"/>
      <c r="BZ294" s="13"/>
      <c r="CA294" s="13"/>
      <c r="CB294" s="13"/>
      <c r="CC294" s="13"/>
      <c r="CD294" s="13"/>
      <c r="CF294" s="4"/>
      <c r="CG294" s="4"/>
    </row>
    <row r="295" spans="3:85">
      <c r="C295" s="42"/>
      <c r="D295" s="42">
        <f>IF(Tableau1[[#This Row],[Isin]]="",99,Tableau1[[#This Row],[Intérêt]]+Tableau1[[#This Row],[Valeur d''intérêt]]+Tableau1[[#This Row],[N° Portefeuille]])</f>
        <v>30</v>
      </c>
      <c r="E295" s="42"/>
      <c r="F295" s="42">
        <f>IF(Tableau1[[#This Row],[Portefeuille]]="p",0,Tableau1[[#This Row],[F. Investissement
Niveau d''intérêt]]*10)</f>
        <v>30</v>
      </c>
      <c r="G295" s="42">
        <f>IF(Tableau1[[#This Row],[Portefeuille]]="p",3,0)</f>
        <v>0</v>
      </c>
      <c r="H295" s="42">
        <v>3</v>
      </c>
      <c r="I295" s="42">
        <v>4</v>
      </c>
      <c r="J295" s="42"/>
      <c r="K295" s="43"/>
      <c r="L295" s="16">
        <v>1</v>
      </c>
      <c r="M29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5" s="44" t="s">
        <v>4422</v>
      </c>
      <c r="O295" s="44" t="s">
        <v>4373</v>
      </c>
      <c r="P295" s="4" t="s">
        <v>84</v>
      </c>
      <c r="Q295" s="6" t="s">
        <v>85</v>
      </c>
      <c r="R295" s="6" t="s">
        <v>4423</v>
      </c>
      <c r="S295" s="6" t="s">
        <v>819</v>
      </c>
      <c r="T295" s="6"/>
      <c r="U295" s="4" t="str" cm="1">
        <f t="array" ref="U295">IFERROR(_FV(Tableau1[[#This Row],[Code Excel]],"Capitalisation boursière",TRUE),"")</f>
        <v/>
      </c>
      <c r="V295" s="4" t="str" cm="1">
        <f t="array" ref="V295">IFERROR(_FV(Tableau1[[#This Row],[Code Excel]],"Industrie"),"")</f>
        <v/>
      </c>
      <c r="W295" s="4"/>
      <c r="X295" s="4" t="str">
        <f>Tableau1[[#This Row],[Grand Secteur]]&amp;Tableau1[[#This Row],[Industrie]]</f>
        <v/>
      </c>
      <c r="Y295" s="23" t="str" cm="1">
        <f t="array" ref="Y295">IFERROR(_FV(Tableau1[[#This Row],[Code Excel]],"P/E",TRUE),"")</f>
        <v/>
      </c>
      <c r="Z295" s="43" t="str" cm="1">
        <f t="array" ref="Z295">IFERROR(_FV(Tableau1[[#This Row],[Code Excel]],"Employés"),"")</f>
        <v/>
      </c>
      <c r="AA295" s="49" t="str">
        <f>IFERROR(Tableau1[[#This Row],[Capitalisation boursière]]/Tableau1[[#This Row],[Employés]],"")</f>
        <v/>
      </c>
      <c r="AB295" s="5" t="str">
        <f>IFERROR(Tableau1[[#This Row],[REX (2021)]]/Tableau1[[#This Row],[CA 2024]],"")</f>
        <v/>
      </c>
      <c r="AC295" s="9" t="str">
        <f>IFERROR(_xlfn.XLOOKUP(Tableau1[[#This Row],[Isin]]&amp;1&amp;2021,#REF!,Tableau3[Résultat d''exploitation]),"")</f>
        <v/>
      </c>
      <c r="AD295" s="9" t="str">
        <f>IFERROR(_xlfn.XLOOKUP(Tableau1[[#This Row],[Isin]]&amp;1&amp;2019,#REF!,Tableau3[Chiffre d''affaires]),"")</f>
        <v/>
      </c>
      <c r="AE295" s="9" t="str">
        <f>IFERROR(_xlfn.XLOOKUP(Tableau1[[#This Row],[Isin]]&amp;1&amp;2024,#REF!,Tableau3[Chiffre d''affaires]),"")</f>
        <v/>
      </c>
      <c r="AF295" s="8" t="str">
        <f>IFERROR(IF((Tableau1[[#This Row],[CA 2024]]-Tableau1[[#This Row],[CA 2019]])/Tableau1[[#This Row],[CA 2019]]=-1,"",(Tableau1[[#This Row],[CA 2024]]-Tableau1[[#This Row],[CA 2019]])/Tableau1[[#This Row],[CA 2019]]),"")</f>
        <v/>
      </c>
      <c r="AG295" s="9" t="str">
        <f>IFERROR(_xlfn.XLOOKUP(Tableau1[[#This Row],[Isin]]&amp;1&amp;2021,#REF!,Tableau3[EBE]),"")</f>
        <v/>
      </c>
      <c r="AH295" s="9" t="str">
        <f>IFERROR(_xlfn.XLOOKUP(Tableau1[[#This Row],[Isin]]&amp;1&amp;2022,#REF!,Tableau3[EBE]),"")</f>
        <v/>
      </c>
      <c r="AI295" s="43"/>
      <c r="AJ295" s="43"/>
      <c r="AK295" s="43"/>
      <c r="AL295" s="43"/>
      <c r="AM295" s="43"/>
      <c r="AN295" s="9" t="str">
        <f>IFERROR(_xlfn.XLOOKUP(Tableau1[[#This Row],[Isin]]&amp;1&amp;2021,#REF!,Tableau3[Chiffre d''affaires]),"")</f>
        <v/>
      </c>
      <c r="AO295" s="43" t="e" cm="1" vm="1">
        <f t="array" ref="AO295">_FV(Tableau1[[#This Row],[Code Excel]],"P/E",TRUE)</f>
        <v>#VALUE!</v>
      </c>
      <c r="AP295" s="43" t="str">
        <f>IFERROR(_xlfn.XLOOKUP(Tableau1[[#This Row],[Isin]]&amp;1&amp;2023,#REF!,Tableau3[Résultat Net (PdG)]),"")</f>
        <v/>
      </c>
      <c r="AQ295" s="43">
        <f>IF(IFERROR(_xlfn.XLOOKUP(Tableau1[[#This Row],[Isin]]&amp;1&amp;2022,#REF!,Tableau3[Résultat Net (PdG)]),"")="",Tableau1[[#This Row],[RN Groupe 2022
Manuel]],IFERROR(_xlfn.XLOOKUP(Tableau1[[#This Row],[Isin]]&amp;1&amp;2022,#REF!,Tableau3[Résultat Net (PdG)]),""))</f>
        <v>0</v>
      </c>
      <c r="AR295" s="43"/>
      <c r="AS295" s="43">
        <f>IF(IFERROR(_xlfn.XLOOKUP(Tableau1[[#This Row],[Isin]]&amp;1&amp;2021,#REF!,Tableau3[Résultat Net (PdG)]),"")="",Tableau1[[#This Row],[RN Groupe 2021
Manuel]],IFERROR(_xlfn.XLOOKUP(Tableau1[[#This Row],[Isin]]&amp;1&amp;2021,#REF!,Tableau3[Résultat Net (PdG)]),""))</f>
        <v>0</v>
      </c>
      <c r="AT295" s="43"/>
      <c r="AU295" s="43" t="str">
        <f>IFERROR(_xlfn.XLOOKUP(Tableau1[[#This Row],[Isin]]&amp;1&amp;2020,#REF!,Tableau3[Résultat Net (PdG)]),"")</f>
        <v/>
      </c>
      <c r="AV295" s="43" t="str">
        <f>IFERROR(_xlfn.XLOOKUP(Tableau1[[#This Row],[Isin]]&amp;1&amp;2019,#REF!,Tableau3[Résultat Net (PdG)]),"")</f>
        <v/>
      </c>
      <c r="AW295" s="43" t="str">
        <f>IFERROR(_xlfn.XLOOKUP(Tableau1[[#This Row],[Isin]]&amp;1&amp;2018,#REF!,Tableau3[Résultat Net (PdG)]),"")</f>
        <v/>
      </c>
      <c r="AX295" s="43" t="str">
        <f>IFERROR(_xlfn.XLOOKUP(Tableau1[[#This Row],[Isin]]&amp;1&amp;2017,#REF!,Tableau3[Résultat Net (PdG)]),"")</f>
        <v/>
      </c>
      <c r="AY295" s="43" t="str">
        <f>IFERROR(_xlfn.XLOOKUP(Tableau1[[#This Row],[Isin]]&amp;1&amp;2016,#REF!,Tableau3[Résultat Net (PdG)]),"")</f>
        <v/>
      </c>
      <c r="AZ295" s="137" t="str">
        <f>IFERROR(Tableau1[[#This Row],[Capitalisation boursière]]/Tableau1[[#This Row],[RN Groupe 2023]],"")</f>
        <v/>
      </c>
      <c r="BA295" s="4" t="str" cm="1">
        <f t="array" ref="BA295">IFERROR(_FV(Tableau1[[#This Row],[Code Excel]],"Industrie"),"")</f>
        <v/>
      </c>
      <c r="BB295" s="43" t="e">
        <v>#N/A</v>
      </c>
      <c r="BC295" s="43" t="str">
        <f>IFERROR(_xlfn.XLOOKUP(Tableau1[[#This Row],[Isin]]&amp;1&amp;2016,#REF!,Tableau3[Capi]),"")</f>
        <v/>
      </c>
      <c r="BD295" s="43" t="str">
        <f>IFERROR(_xlfn.XLOOKUP(Tableau1[[#This Row],[Isin]]&amp;1&amp;2017,#REF!,Tableau3[Capi]),"")</f>
        <v/>
      </c>
      <c r="BE295" s="43" t="str">
        <f>IFERROR(_xlfn.XLOOKUP(Tableau1[[#This Row],[Isin]]&amp;1&amp;2018,#REF!,Tableau3[Capi]),"")</f>
        <v/>
      </c>
      <c r="BF295" s="43" t="str">
        <f>IFERROR(_xlfn.XLOOKUP(Tableau1[[#This Row],[Isin]]&amp;1&amp;2019,#REF!,Tableau3[Capi]),"")</f>
        <v/>
      </c>
      <c r="BG295" s="43" t="str">
        <f>IFERROR(_xlfn.XLOOKUP(Tableau1[[#This Row],[Isin]]&amp;1&amp;2020,#REF!,Tableau3[Capi]),"")</f>
        <v/>
      </c>
      <c r="BH295" s="43">
        <f>IF(IFERROR(_xlfn.XLOOKUP(Tableau1[[#This Row],[Isin]]&amp;1&amp;2021,#REF!,Tableau3[Capi]),"")="",Tableau1[[#This Row],[Capitalisation 2021
Manuel]],IFERROR(_xlfn.XLOOKUP(Tableau1[[#This Row],[Isin]]&amp;1&amp;2021,#REF!,Tableau3[Capi]),""))</f>
        <v>0</v>
      </c>
      <c r="BI295" s="43"/>
      <c r="BJ295" s="43">
        <f>IF(IFERROR(_xlfn.XLOOKUP(Tableau1[[#This Row],[Isin]]&amp;1&amp;2022,#REF!,Tableau3[Capi]),"")="",Tableau1[[#This Row],[Capitalisation 2022
Manuel]],IFERROR(_xlfn.XLOOKUP(Tableau1[[#This Row],[Isin]]&amp;1&amp;2022,#REF!,Tableau3[Capi]),""))</f>
        <v>0</v>
      </c>
      <c r="BK295" s="43"/>
      <c r="BL295" s="43" t="str">
        <f>Tableau1[[#This Row],[Capitalisation boursière]]</f>
        <v/>
      </c>
      <c r="BM295" s="162" t="e" cm="1" vm="2">
        <f t="array" ref="BM295">_FV(Tableau1[[#This Row],[Code Excel]],"Description")</f>
        <v>#VALUE!</v>
      </c>
      <c r="BN295" s="43"/>
      <c r="BO295" s="43"/>
      <c r="BP295" s="43"/>
      <c r="BQ295" s="43"/>
      <c r="BR295" s="13"/>
      <c r="BS295" s="13"/>
      <c r="BT295" s="13"/>
      <c r="BU295" s="13"/>
      <c r="BV295" s="13"/>
      <c r="BW295" s="13"/>
      <c r="BX295" s="13"/>
      <c r="BY295" s="21"/>
      <c r="BZ295" s="13"/>
      <c r="CA295" s="13"/>
      <c r="CB295" s="13"/>
      <c r="CC295" s="13"/>
      <c r="CD295" s="13"/>
      <c r="CF295" s="4"/>
      <c r="CG295" s="4"/>
    </row>
    <row r="296" spans="3:85">
      <c r="C296" s="43"/>
      <c r="D296" s="42">
        <f>IF(Tableau1[[#This Row],[Isin]]="",99,Tableau1[[#This Row],[Intérêt]]+Tableau1[[#This Row],[Valeur d''intérêt]]+Tableau1[[#This Row],[N° Portefeuille]])</f>
        <v>30</v>
      </c>
      <c r="E296" s="43"/>
      <c r="F296" s="42">
        <f>IF(Tableau1[[#This Row],[Portefeuille]]="p",0,Tableau1[[#This Row],[F. Investissement
Niveau d''intérêt]]*10)</f>
        <v>30</v>
      </c>
      <c r="G296" s="43">
        <f>IF(Tableau1[[#This Row],[Portefeuille]]="p",3,0)</f>
        <v>0</v>
      </c>
      <c r="H296" s="42">
        <v>3</v>
      </c>
      <c r="I296" s="43">
        <v>4</v>
      </c>
      <c r="J296" s="43"/>
      <c r="K296" s="43"/>
      <c r="L296" s="16">
        <v>1</v>
      </c>
      <c r="M29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6" s="44" t="s">
        <v>363</v>
      </c>
      <c r="O296" s="44" t="s">
        <v>4424</v>
      </c>
      <c r="P296" s="4" t="s">
        <v>84</v>
      </c>
      <c r="Q296" s="6" t="s">
        <v>85</v>
      </c>
      <c r="R296" s="6"/>
      <c r="S296" s="6" t="s">
        <v>366</v>
      </c>
      <c r="T296" s="6" t="e" vm="274">
        <v>#VALUE!</v>
      </c>
      <c r="U296" s="46" cm="1">
        <f t="array" aca="1" ref="U296" ca="1">IFERROR(_FV(Tableau1[[#This Row],[Code Excel]],"Capitalisation boursière",TRUE),"")</f>
        <v>12715240000</v>
      </c>
      <c r="V296" s="4" t="str" cm="1">
        <f t="array" aca="1" ref="V296" ca="1">IFERROR(_FV(Tableau1[[#This Row],[Code Excel]],"Industrie"),"")</f>
        <v>Professional &amp; Commercial Services</v>
      </c>
      <c r="W296" s="4" t="s">
        <v>4425</v>
      </c>
      <c r="X296" s="4" t="str">
        <f ca="1">Tableau1[[#This Row],[Grand Secteur]]&amp;Tableau1[[#This Row],[Industrie]]</f>
        <v>UtilitiesProfessional &amp; Commercial Services</v>
      </c>
      <c r="Y296" s="23" cm="1">
        <f t="array" aca="1" ref="Y296" ca="1">IFERROR(_FV(Tableau1[[#This Row],[Code Excel]],"P/E",TRUE),"")</f>
        <v>20.375800000000002</v>
      </c>
      <c r="Z296" s="43" cm="1">
        <f t="array" aca="1" ref="Z296" ca="1">IFERROR(_FV(Tableau1[[#This Row],[Code Excel]],"Employés"),"")</f>
        <v>89100</v>
      </c>
      <c r="AA296" s="49">
        <f ca="1">IFERROR(Tableau1[[#This Row],[Capitalisation boursière]]/Tableau1[[#This Row],[Employés]],"")</f>
        <v>142707.51964085299</v>
      </c>
      <c r="AB296" s="5" t="str">
        <f>IFERROR(Tableau1[[#This Row],[REX (2021)]]/Tableau1[[#This Row],[CA 2024]],"")</f>
        <v/>
      </c>
      <c r="AC296" s="9" t="str">
        <f>IFERROR(_xlfn.XLOOKUP(Tableau1[[#This Row],[Isin]]&amp;1&amp;2021,#REF!,Tableau3[Résultat d''exploitation]),"")</f>
        <v/>
      </c>
      <c r="AD296" s="9" t="str">
        <f>IFERROR(_xlfn.XLOOKUP(Tableau1[[#This Row],[Isin]]&amp;1&amp;2019,#REF!,Tableau3[Chiffre d''affaires]),"")</f>
        <v/>
      </c>
      <c r="AE296" s="9" t="str">
        <f>IFERROR(_xlfn.XLOOKUP(Tableau1[[#This Row],[Isin]]&amp;1&amp;2024,#REF!,Tableau3[Chiffre d''affaires]),"")</f>
        <v/>
      </c>
      <c r="AF296" s="8" t="str">
        <f>IFERROR(IF((Tableau1[[#This Row],[CA 2024]]-Tableau1[[#This Row],[CA 2019]])/Tableau1[[#This Row],[CA 2019]]=-1,"",(Tableau1[[#This Row],[CA 2024]]-Tableau1[[#This Row],[CA 2019]])/Tableau1[[#This Row],[CA 2019]]),"")</f>
        <v/>
      </c>
      <c r="AG296" s="9" t="str">
        <f>IFERROR(_xlfn.XLOOKUP(Tableau1[[#This Row],[Isin]]&amp;1&amp;2021,#REF!,Tableau3[EBE]),"")</f>
        <v/>
      </c>
      <c r="AH296" s="9" t="str">
        <f>IFERROR(_xlfn.XLOOKUP(Tableau1[[#This Row],[Isin]]&amp;1&amp;2022,#REF!,Tableau3[EBE]),"")</f>
        <v/>
      </c>
      <c r="AI296" s="43" t="s">
        <v>3431</v>
      </c>
      <c r="AJ296" s="43" t="s">
        <v>4322</v>
      </c>
      <c r="AK296" s="43" t="s">
        <v>3419</v>
      </c>
      <c r="AL296" s="43" t="s">
        <v>3149</v>
      </c>
      <c r="AM296" s="43"/>
      <c r="AN296" s="9" t="str">
        <f>IFERROR(_xlfn.XLOOKUP(Tableau1[[#This Row],[Isin]]&amp;1&amp;2021,#REF!,Tableau3[Chiffre d''affaires]),"")</f>
        <v/>
      </c>
      <c r="AO296" s="43" cm="1">
        <f t="array" aca="1" ref="AO296" ca="1">_FV(Tableau1[[#This Row],[Code Excel]],"P/E",TRUE)</f>
        <v>20.375800000000002</v>
      </c>
      <c r="AP296" s="43" t="str">
        <f>IFERROR(_xlfn.XLOOKUP(Tableau1[[#This Row],[Isin]]&amp;1&amp;2023,#REF!,Tableau3[Résultat Net (PdG)]),"")</f>
        <v/>
      </c>
      <c r="AQ296" s="43">
        <f>IF(IFERROR(_xlfn.XLOOKUP(Tableau1[[#This Row],[Isin]]&amp;1&amp;2022,#REF!,Tableau3[Résultat Net (PdG)]),"")="",Tableau1[[#This Row],[RN Groupe 2022
Manuel]],IFERROR(_xlfn.XLOOKUP(Tableau1[[#This Row],[Isin]]&amp;1&amp;2022,#REF!,Tableau3[Résultat Net (PdG)]),""))</f>
        <v>0</v>
      </c>
      <c r="AR296" s="43"/>
      <c r="AS296" s="43">
        <f>IF(IFERROR(_xlfn.XLOOKUP(Tableau1[[#This Row],[Isin]]&amp;1&amp;2021,#REF!,Tableau3[Résultat Net (PdG)]),"")="",Tableau1[[#This Row],[RN Groupe 2021
Manuel]],IFERROR(_xlfn.XLOOKUP(Tableau1[[#This Row],[Isin]]&amp;1&amp;2021,#REF!,Tableau3[Résultat Net (PdG)]),""))</f>
        <v>0</v>
      </c>
      <c r="AT296" s="43"/>
      <c r="AU296" s="43" t="str">
        <f>IFERROR(_xlfn.XLOOKUP(Tableau1[[#This Row],[Isin]]&amp;1&amp;2020,#REF!,Tableau3[Résultat Net (PdG)]),"")</f>
        <v/>
      </c>
      <c r="AV296" s="43" t="str">
        <f>IFERROR(_xlfn.XLOOKUP(Tableau1[[#This Row],[Isin]]&amp;1&amp;2019,#REF!,Tableau3[Résultat Net (PdG)]),"")</f>
        <v/>
      </c>
      <c r="AW296" s="43" t="str">
        <f>IFERROR(_xlfn.XLOOKUP(Tableau1[[#This Row],[Isin]]&amp;1&amp;2018,#REF!,Tableau3[Résultat Net (PdG)]),"")</f>
        <v/>
      </c>
      <c r="AX296" s="43" t="str">
        <f>IFERROR(_xlfn.XLOOKUP(Tableau1[[#This Row],[Isin]]&amp;1&amp;2017,#REF!,Tableau3[Résultat Net (PdG)]),"")</f>
        <v/>
      </c>
      <c r="AY296" s="43" t="str">
        <f>IFERROR(_xlfn.XLOOKUP(Tableau1[[#This Row],[Isin]]&amp;1&amp;2016,#REF!,Tableau3[Résultat Net (PdG)]),"")</f>
        <v/>
      </c>
      <c r="AZ296" s="137" t="str">
        <f ca="1">IFERROR(Tableau1[[#This Row],[Capitalisation boursière]]/Tableau1[[#This Row],[RN Groupe 2023]],"")</f>
        <v/>
      </c>
      <c r="BA296" s="4" t="str" cm="1">
        <f t="array" aca="1" ref="BA296" ca="1">IFERROR(_FV(Tableau1[[#This Row],[Code Excel]],"Industrie"),"")</f>
        <v>Professional &amp; Commercial Services</v>
      </c>
      <c r="BB296" s="43" t="e">
        <v>#N/A</v>
      </c>
      <c r="BC296" s="43" t="str">
        <f>IFERROR(_xlfn.XLOOKUP(Tableau1[[#This Row],[Isin]]&amp;1&amp;2016,#REF!,Tableau3[Capi]),"")</f>
        <v/>
      </c>
      <c r="BD296" s="43" t="str">
        <f>IFERROR(_xlfn.XLOOKUP(Tableau1[[#This Row],[Isin]]&amp;1&amp;2017,#REF!,Tableau3[Capi]),"")</f>
        <v/>
      </c>
      <c r="BE296" s="43" t="str">
        <f>IFERROR(_xlfn.XLOOKUP(Tableau1[[#This Row],[Isin]]&amp;1&amp;2018,#REF!,Tableau3[Capi]),"")</f>
        <v/>
      </c>
      <c r="BF296" s="43" t="str">
        <f>IFERROR(_xlfn.XLOOKUP(Tableau1[[#This Row],[Isin]]&amp;1&amp;2019,#REF!,Tableau3[Capi]),"")</f>
        <v/>
      </c>
      <c r="BG296" s="43" t="str">
        <f>IFERROR(_xlfn.XLOOKUP(Tableau1[[#This Row],[Isin]]&amp;1&amp;2020,#REF!,Tableau3[Capi]),"")</f>
        <v/>
      </c>
      <c r="BH296" s="43">
        <f>IF(IFERROR(_xlfn.XLOOKUP(Tableau1[[#This Row],[Isin]]&amp;1&amp;2021,#REF!,Tableau3[Capi]),"")="",Tableau1[[#This Row],[Capitalisation 2021
Manuel]],IFERROR(_xlfn.XLOOKUP(Tableau1[[#This Row],[Isin]]&amp;1&amp;2021,#REF!,Tableau3[Capi]),""))</f>
        <v>0</v>
      </c>
      <c r="BI296" s="43"/>
      <c r="BJ296" s="43">
        <f>IF(IFERROR(_xlfn.XLOOKUP(Tableau1[[#This Row],[Isin]]&amp;1&amp;2022,#REF!,Tableau3[Capi]),"")="",Tableau1[[#This Row],[Capitalisation 2022
Manuel]],IFERROR(_xlfn.XLOOKUP(Tableau1[[#This Row],[Isin]]&amp;1&amp;2022,#REF!,Tableau3[Capi]),""))</f>
        <v>0</v>
      </c>
      <c r="BK296" s="43"/>
      <c r="BL296" s="43">
        <f ca="1">Tableau1[[#This Row],[Capitalisation boursière]]</f>
        <v>12715240000</v>
      </c>
      <c r="BM296" s="162" t="str" cm="1">
        <f t="array" aca="1" ref="BM296" ca="1">_FV(Tableau1[[#This Row],[Code Excel]],"Description")</f>
        <v>Suez SA, formerly Suez Environnement Company SA is a France-based holding engaged predominantly in the area of environmental services, transforming waste into resources. It provides services in the areas of water and waste, including drinking water and wastewater treatment services and engineering, waste collection and recovery. It operates on three business lines: Water Europe; Waste Europe, and International (The United States of America, Australia, Africa). The International business line covers activities of Degremont, a subsidiary engaged in construction of drinking water and desalination plants, inside and outside Western Europe. Within the Water Europe business line, the Company plans and constructs water treatment facilities, as well as distributes water and provides wastewater treatments activities. Waste business line collects and manages, recovers materials and disassemblies end-of-life vehicles, aircraft and boats, among others. It operates through Odle, Inc.</v>
      </c>
      <c r="BN296" s="43"/>
      <c r="BO296" s="43"/>
      <c r="BP296" s="43"/>
      <c r="BQ296" s="43"/>
      <c r="BR296" s="13"/>
      <c r="BS296" s="13"/>
      <c r="BT296" s="13"/>
      <c r="BU296" s="13"/>
      <c r="BV296" s="13"/>
      <c r="BW296" s="13"/>
      <c r="BX296" s="13"/>
      <c r="BY296" s="21"/>
      <c r="BZ296" s="13"/>
      <c r="CA296" s="13"/>
      <c r="CB296" s="13"/>
      <c r="CC296" s="13"/>
      <c r="CD296" s="13"/>
      <c r="CF296" s="4"/>
      <c r="CG296" s="4"/>
    </row>
    <row r="297" spans="3:85">
      <c r="C297" s="42"/>
      <c r="D297" s="42">
        <f>IF(Tableau1[[#This Row],[Isin]]="",99,Tableau1[[#This Row],[Intérêt]]+Tableau1[[#This Row],[Valeur d''intérêt]]+Tableau1[[#This Row],[N° Portefeuille]])</f>
        <v>3</v>
      </c>
      <c r="E297" s="42"/>
      <c r="F297" s="42">
        <f>IF(Tableau1[[#This Row],[Portefeuille]]="p",0,Tableau1[[#This Row],[F. Investissement
Niveau d''intérêt]]*10)</f>
        <v>0</v>
      </c>
      <c r="G297" s="42">
        <f>IF(Tableau1[[#This Row],[Portefeuille]]="p",3,0)</f>
        <v>3</v>
      </c>
      <c r="H297" s="42">
        <v>1</v>
      </c>
      <c r="I297" s="42">
        <v>1</v>
      </c>
      <c r="J297" s="42" t="s">
        <v>4357</v>
      </c>
      <c r="K297" s="43" t="s">
        <v>4362</v>
      </c>
      <c r="L297" s="16">
        <v>1</v>
      </c>
      <c r="M29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7" s="44" t="s">
        <v>4147</v>
      </c>
      <c r="O297" s="44" t="s">
        <v>4426</v>
      </c>
      <c r="P297" s="4" t="s">
        <v>99</v>
      </c>
      <c r="Q297" s="6" t="s">
        <v>100</v>
      </c>
      <c r="R297" s="6"/>
      <c r="S297" s="6" t="s">
        <v>103</v>
      </c>
      <c r="T297" s="6" t="e" vm="275">
        <v>#VALUE!</v>
      </c>
      <c r="U297" s="61" cm="1">
        <f t="array" aca="1" ref="U297" ca="1">IFERROR(_FV(Tableau1[[#This Row],[Code Excel]],"Capitalisation boursière",TRUE),"")</f>
        <v>8205603000</v>
      </c>
      <c r="V297" s="4" t="str" cm="1">
        <f t="array" aca="1" ref="V297" ca="1">IFERROR(_FV(Tableau1[[#This Row],[Code Excel]],"Industrie"),"")</f>
        <v>Textiles &amp; Apparel</v>
      </c>
      <c r="W297" s="4" t="s">
        <v>1315</v>
      </c>
      <c r="X297" s="4" t="str">
        <f ca="1">Tableau1[[#This Row],[Grand Secteur]]&amp;Tableau1[[#This Row],[Industrie]]</f>
        <v>Biens de consommationTextiles &amp; Apparel</v>
      </c>
      <c r="Y297" s="23" cm="1">
        <f t="array" aca="1" ref="Y297" ca="1">IFERROR(_FV(Tableau1[[#This Row],[Code Excel]],"P/E",TRUE),"")</f>
        <v>41.844900000000003</v>
      </c>
      <c r="Z297" s="43" cm="1">
        <f t="array" aca="1" ref="Z297" ca="1">IFERROR(_FV(Tableau1[[#This Row],[Code Excel]],"Employés"),"")</f>
        <v>32477</v>
      </c>
      <c r="AA297" s="46">
        <f ca="1">IFERROR(Tableau1[[#This Row],[Capitalisation boursière]]/Tableau1[[#This Row],[Employés]],"")</f>
        <v>252658.89706561566</v>
      </c>
      <c r="AB297" s="5" t="str">
        <f>IFERROR(Tableau1[[#This Row],[REX (2021)]]/Tableau1[[#This Row],[CA 2024]],"")</f>
        <v/>
      </c>
      <c r="AC297" s="9" t="str">
        <f>IFERROR(_xlfn.XLOOKUP(Tableau1[[#This Row],[Isin]]&amp;1&amp;2021,#REF!,Tableau3[Résultat d''exploitation]),"")</f>
        <v/>
      </c>
      <c r="AD297" s="9" t="str">
        <f>IFERROR(_xlfn.XLOOKUP(Tableau1[[#This Row],[Isin]]&amp;1&amp;2019,#REF!,Tableau3[Chiffre d''affaires]),"")</f>
        <v/>
      </c>
      <c r="AE297" s="9" t="str">
        <f>IFERROR(_xlfn.XLOOKUP(Tableau1[[#This Row],[Isin]]&amp;1&amp;2024,#REF!,Tableau3[Chiffre d''affaires]),"")</f>
        <v/>
      </c>
      <c r="AF297" s="8" t="str">
        <f>IFERROR(IF((Tableau1[[#This Row],[CA 2024]]-Tableau1[[#This Row],[CA 2019]])/Tableau1[[#This Row],[CA 2019]]=-1,"",(Tableau1[[#This Row],[CA 2024]]-Tableau1[[#This Row],[CA 2019]])/Tableau1[[#This Row],[CA 2019]]),"")</f>
        <v/>
      </c>
      <c r="AG297" s="9" t="str">
        <f>IFERROR(_xlfn.XLOOKUP(Tableau1[[#This Row],[Isin]]&amp;1&amp;2021,#REF!,Tableau3[EBE]),"")</f>
        <v/>
      </c>
      <c r="AH297" s="9" t="str">
        <f>IFERROR(_xlfn.XLOOKUP(Tableau1[[#This Row],[Isin]]&amp;1&amp;2022,#REF!,Tableau3[EBE]),"")</f>
        <v/>
      </c>
      <c r="AI297" s="43" t="s">
        <v>4329</v>
      </c>
      <c r="AJ297" s="43" t="s">
        <v>4348</v>
      </c>
      <c r="AK297" s="43" t="s">
        <v>3431</v>
      </c>
      <c r="AL297" s="43" t="s">
        <v>3149</v>
      </c>
      <c r="AM297" s="43"/>
      <c r="AN297" s="9" t="str">
        <f>IFERROR(_xlfn.XLOOKUP(Tableau1[[#This Row],[Isin]]&amp;1&amp;2021,#REF!,Tableau3[Chiffre d''affaires]),"")</f>
        <v/>
      </c>
      <c r="AO297" s="43" cm="1">
        <f t="array" aca="1" ref="AO297" ca="1">_FV(Tableau1[[#This Row],[Code Excel]],"P/E",TRUE)</f>
        <v>41.844900000000003</v>
      </c>
      <c r="AP297" s="43" t="str">
        <f>IFERROR(_xlfn.XLOOKUP(Tableau1[[#This Row],[Isin]]&amp;1&amp;2023,#REF!,Tableau3[Résultat Net (PdG)]),"")</f>
        <v/>
      </c>
      <c r="AQ297" s="43">
        <f>IF(IFERROR(_xlfn.XLOOKUP(Tableau1[[#This Row],[Isin]]&amp;1&amp;2022,#REF!,Tableau3[Résultat Net (PdG)]),"")="",Tableau1[[#This Row],[RN Groupe 2022
Manuel]],IFERROR(_xlfn.XLOOKUP(Tableau1[[#This Row],[Isin]]&amp;1&amp;2022,#REF!,Tableau3[Résultat Net (PdG)]),""))</f>
        <v>0</v>
      </c>
      <c r="AR297" s="43"/>
      <c r="AS297" s="43">
        <f>IF(IFERROR(_xlfn.XLOOKUP(Tableau1[[#This Row],[Isin]]&amp;1&amp;2021,#REF!,Tableau3[Résultat Net (PdG)]),"")="",Tableau1[[#This Row],[RN Groupe 2021
Manuel]],IFERROR(_xlfn.XLOOKUP(Tableau1[[#This Row],[Isin]]&amp;1&amp;2021,#REF!,Tableau3[Résultat Net (PdG)]),""))</f>
        <v>0</v>
      </c>
      <c r="AT297" s="43"/>
      <c r="AU297" s="43" t="str">
        <f>IFERROR(_xlfn.XLOOKUP(Tableau1[[#This Row],[Isin]]&amp;1&amp;2020,#REF!,Tableau3[Résultat Net (PdG)]),"")</f>
        <v/>
      </c>
      <c r="AV297" s="43" t="str">
        <f>IFERROR(_xlfn.XLOOKUP(Tableau1[[#This Row],[Isin]]&amp;1&amp;2019,#REF!,Tableau3[Résultat Net (PdG)]),"")</f>
        <v/>
      </c>
      <c r="AW297" s="43" t="str">
        <f>IFERROR(_xlfn.XLOOKUP(Tableau1[[#This Row],[Isin]]&amp;1&amp;2018,#REF!,Tableau3[Résultat Net (PdG)]),"")</f>
        <v/>
      </c>
      <c r="AX297" s="43" t="str">
        <f>IFERROR(_xlfn.XLOOKUP(Tableau1[[#This Row],[Isin]]&amp;1&amp;2017,#REF!,Tableau3[Résultat Net (PdG)]),"")</f>
        <v/>
      </c>
      <c r="AY297" s="43" t="str">
        <f>IFERROR(_xlfn.XLOOKUP(Tableau1[[#This Row],[Isin]]&amp;1&amp;2016,#REF!,Tableau3[Résultat Net (PdG)]),"")</f>
        <v/>
      </c>
      <c r="AZ297" s="137" t="str">
        <f ca="1">IFERROR(Tableau1[[#This Row],[Capitalisation boursière]]/Tableau1[[#This Row],[RN Groupe 2023]],"")</f>
        <v/>
      </c>
      <c r="BA297" s="4" t="str" cm="1">
        <f t="array" aca="1" ref="BA297" ca="1">IFERROR(_FV(Tableau1[[#This Row],[Code Excel]],"Industrie"),"")</f>
        <v>Textiles &amp; Apparel</v>
      </c>
      <c r="BB297" s="43" t="s">
        <v>3469</v>
      </c>
      <c r="BC297" s="43" t="str">
        <f>IFERROR(_xlfn.XLOOKUP(Tableau1[[#This Row],[Isin]]&amp;1&amp;2016,#REF!,Tableau3[Capi]),"")</f>
        <v/>
      </c>
      <c r="BD297" s="43" t="str">
        <f>IFERROR(_xlfn.XLOOKUP(Tableau1[[#This Row],[Isin]]&amp;1&amp;2017,#REF!,Tableau3[Capi]),"")</f>
        <v/>
      </c>
      <c r="BE297" s="43" t="str">
        <f>IFERROR(_xlfn.XLOOKUP(Tableau1[[#This Row],[Isin]]&amp;1&amp;2018,#REF!,Tableau3[Capi]),"")</f>
        <v/>
      </c>
      <c r="BF297" s="43" t="str">
        <f>IFERROR(_xlfn.XLOOKUP(Tableau1[[#This Row],[Isin]]&amp;1&amp;2019,#REF!,Tableau3[Capi]),"")</f>
        <v/>
      </c>
      <c r="BG297" s="43" t="str">
        <f>IFERROR(_xlfn.XLOOKUP(Tableau1[[#This Row],[Isin]]&amp;1&amp;2020,#REF!,Tableau3[Capi]),"")</f>
        <v/>
      </c>
      <c r="BH297" s="43">
        <f>IF(IFERROR(_xlfn.XLOOKUP(Tableau1[[#This Row],[Isin]]&amp;1&amp;2021,#REF!,Tableau3[Capi]),"")="",Tableau1[[#This Row],[Capitalisation 2021
Manuel]],IFERROR(_xlfn.XLOOKUP(Tableau1[[#This Row],[Isin]]&amp;1&amp;2021,#REF!,Tableau3[Capi]),""))</f>
        <v>0</v>
      </c>
      <c r="BI297" s="43"/>
      <c r="BJ297" s="43">
        <f>IF(IFERROR(_xlfn.XLOOKUP(Tableau1[[#This Row],[Isin]]&amp;1&amp;2022,#REF!,Tableau3[Capi]),"")="",Tableau1[[#This Row],[Capitalisation 2022
Manuel]],IFERROR(_xlfn.XLOOKUP(Tableau1[[#This Row],[Isin]]&amp;1&amp;2022,#REF!,Tableau3[Capi]),""))</f>
        <v>0</v>
      </c>
      <c r="BK297" s="43"/>
      <c r="BL297" s="43">
        <f ca="1">Tableau1[[#This Row],[Capitalisation boursière]]</f>
        <v>8205603000</v>
      </c>
      <c r="BM297" s="162" t="str" cm="1">
        <f t="array" aca="1" ref="BM297" ca="1">_FV(Tableau1[[#This Row],[Code Excel]],"Description")</f>
        <v>The Swatch Group AG est une société de portefeuille basée en Suisse engagée dans l'industrie des vêtements et accessoires. Les activités de la société sont divisées en deux secteurs d'activités principaux : Montres et bijoux et systèmes électroniques. Le segment montres et bijoux comprend la production et la vente de montres, bijoux et mouvements à quartz de marque, notamment les marques Breguet, Harry Winston, Blancpain, Glashuette Original, Jaquet Droz, Léon Hatot, Omega, Longines, Rado, Union Glashuette, Tissot, Balmain, Certina, Hamilton, Calvin Klein watches + jewelry, Swatch et Flik Flak. Le segment des systèmes électroniques comprend la production et la commercialisation de composants électroniques, notamment les batteries et équipements de chronométrage sportif. La Société fournit aussi des produits de ces segments aux horlogers de tierces parties. The Swatch Group SA est représentée dans le monde entier par le biais de ses filiales et distributeurs, notamment Tourbillion and Hour Passion ; elle exploite des usines de production en Suisse à Boncourt, Grenchen et Villeret.</v>
      </c>
      <c r="BN297" s="43"/>
      <c r="BO297" s="43"/>
      <c r="BP297" s="43"/>
      <c r="BQ297" s="43"/>
      <c r="BR297" s="13"/>
      <c r="BS297" s="13"/>
      <c r="BT297" s="13"/>
      <c r="BU297" s="13"/>
      <c r="BV297" s="13"/>
      <c r="BW297" s="13"/>
      <c r="BX297" s="13"/>
      <c r="BY297" s="21"/>
      <c r="BZ297" s="13"/>
      <c r="CA297" s="13"/>
      <c r="CB297" s="13"/>
      <c r="CC297" s="13"/>
      <c r="CD297" s="13"/>
      <c r="CF297" s="4"/>
      <c r="CG297" s="4"/>
    </row>
    <row r="298" spans="3:85">
      <c r="C298" s="43"/>
      <c r="D298" s="42">
        <f>IF(Tableau1[[#This Row],[Isin]]="",99,Tableau1[[#This Row],[Intérêt]]+Tableau1[[#This Row],[Valeur d''intérêt]]+Tableau1[[#This Row],[N° Portefeuille]])</f>
        <v>30</v>
      </c>
      <c r="E298" s="43"/>
      <c r="F298" s="42">
        <f>IF(Tableau1[[#This Row],[Portefeuille]]="p",0,Tableau1[[#This Row],[F. Investissement
Niveau d''intérêt]]*10)</f>
        <v>30</v>
      </c>
      <c r="G298" s="43">
        <f>IF(Tableau1[[#This Row],[Portefeuille]]="p",3,0)</f>
        <v>0</v>
      </c>
      <c r="H298" s="42">
        <v>3</v>
      </c>
      <c r="I298" s="43">
        <v>4</v>
      </c>
      <c r="J298" s="43"/>
      <c r="K298" s="43"/>
      <c r="L298" s="16">
        <v>0</v>
      </c>
      <c r="M29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8" s="44" t="s">
        <v>4149</v>
      </c>
      <c r="O298" s="45"/>
      <c r="P298" s="4" t="s">
        <v>99</v>
      </c>
      <c r="Q298" s="4"/>
      <c r="R298" s="6"/>
      <c r="S298" s="6" t="s">
        <v>4150</v>
      </c>
      <c r="T298" s="6" t="e" vm="276">
        <v>#VALUE!</v>
      </c>
      <c r="U298" s="46" cm="1">
        <f t="array" aca="1" ref="U298" ca="1">IFERROR(_FV(Tableau1[[#This Row],[Code Excel]],"Capitalisation boursière",TRUE),"")</f>
        <v>48062120000</v>
      </c>
      <c r="V298" s="4" t="str" cm="1">
        <f t="array" aca="1" ref="V298" ca="1">IFERROR(_FV(Tableau1[[#This Row],[Code Excel]],"Industrie"),"")</f>
        <v>Insurance</v>
      </c>
      <c r="W298" s="4" t="s">
        <v>4336</v>
      </c>
      <c r="X298" s="4" t="str">
        <f ca="1">Tableau1[[#This Row],[Grand Secteur]]&amp;Tableau1[[#This Row],[Industrie]]</f>
        <v>AssuranceInsurance</v>
      </c>
      <c r="Y298" s="23" cm="1">
        <f t="array" aca="1" ref="Y298" ca="1">IFERROR(_FV(Tableau1[[#This Row],[Code Excel]],"P/E",TRUE),"")</f>
        <v>15.511799999999999</v>
      </c>
      <c r="Z298" s="43" cm="1">
        <f t="array" aca="1" ref="Z298" ca="1">IFERROR(_FV(Tableau1[[#This Row],[Code Excel]],"Employés"),"")</f>
        <v>15360</v>
      </c>
      <c r="AA298" s="46">
        <f ca="1">IFERROR(Tableau1[[#This Row],[Capitalisation boursière]]/Tableau1[[#This Row],[Employés]],"")</f>
        <v>3129044.2708333335</v>
      </c>
      <c r="AB298" s="5" t="str">
        <f>IFERROR(Tableau1[[#This Row],[REX (2021)]]/Tableau1[[#This Row],[CA 2024]],"")</f>
        <v/>
      </c>
      <c r="AC298" s="9" t="str">
        <f>IFERROR(_xlfn.XLOOKUP(Tableau1[[#This Row],[Isin]]&amp;1&amp;2021,#REF!,Tableau3[Résultat d''exploitation]),"")</f>
        <v/>
      </c>
      <c r="AD298" s="9" t="str">
        <f>IFERROR(_xlfn.XLOOKUP(Tableau1[[#This Row],[Isin]]&amp;1&amp;2019,#REF!,Tableau3[Chiffre d''affaires]),"")</f>
        <v/>
      </c>
      <c r="AE298" s="9" t="str">
        <f>IFERROR(_xlfn.XLOOKUP(Tableau1[[#This Row],[Isin]]&amp;1&amp;2024,#REF!,Tableau3[Chiffre d''affaires]),"")</f>
        <v/>
      </c>
      <c r="AF298" s="8" t="str">
        <f>IFERROR(IF((Tableau1[[#This Row],[CA 2024]]-Tableau1[[#This Row],[CA 2019]])/Tableau1[[#This Row],[CA 2019]]=-1,"",(Tableau1[[#This Row],[CA 2024]]-Tableau1[[#This Row],[CA 2019]])/Tableau1[[#This Row],[CA 2019]]),"")</f>
        <v/>
      </c>
      <c r="AG298" s="9" t="str">
        <f>IFERROR(_xlfn.XLOOKUP(Tableau1[[#This Row],[Isin]]&amp;1&amp;2021,#REF!,Tableau3[EBE]),"")</f>
        <v/>
      </c>
      <c r="AH298" s="9" t="str">
        <f>IFERROR(_xlfn.XLOOKUP(Tableau1[[#This Row],[Isin]]&amp;1&amp;2022,#REF!,Tableau3[EBE]),"")</f>
        <v/>
      </c>
      <c r="AI298" s="43" t="s">
        <v>4329</v>
      </c>
      <c r="AJ298" s="43" t="s">
        <v>4322</v>
      </c>
      <c r="AK298" s="43" t="s">
        <v>3431</v>
      </c>
      <c r="AL298" s="43"/>
      <c r="AM298" s="43"/>
      <c r="AN298" s="9" t="str">
        <f>IFERROR(_xlfn.XLOOKUP(Tableau1[[#This Row],[Isin]]&amp;1&amp;2021,#REF!,Tableau3[Chiffre d''affaires]),"")</f>
        <v/>
      </c>
      <c r="AO298" s="43" cm="1">
        <f t="array" aca="1" ref="AO298" ca="1">_FV(Tableau1[[#This Row],[Code Excel]],"P/E",TRUE)</f>
        <v>15.511799999999999</v>
      </c>
      <c r="AP298" s="43" t="str">
        <f>IFERROR(_xlfn.XLOOKUP(Tableau1[[#This Row],[Isin]]&amp;1&amp;2023,#REF!,Tableau3[Résultat Net (PdG)]),"")</f>
        <v/>
      </c>
      <c r="AQ298" s="43">
        <f>IF(IFERROR(_xlfn.XLOOKUP(Tableau1[[#This Row],[Isin]]&amp;1&amp;2022,#REF!,Tableau3[Résultat Net (PdG)]),"")="",Tableau1[[#This Row],[RN Groupe 2022
Manuel]],IFERROR(_xlfn.XLOOKUP(Tableau1[[#This Row],[Isin]]&amp;1&amp;2022,#REF!,Tableau3[Résultat Net (PdG)]),""))</f>
        <v>0</v>
      </c>
      <c r="AR298" s="43"/>
      <c r="AS298" s="43">
        <f>IF(IFERROR(_xlfn.XLOOKUP(Tableau1[[#This Row],[Isin]]&amp;1&amp;2021,#REF!,Tableau3[Résultat Net (PdG)]),"")="",Tableau1[[#This Row],[RN Groupe 2021
Manuel]],IFERROR(_xlfn.XLOOKUP(Tableau1[[#This Row],[Isin]]&amp;1&amp;2021,#REF!,Tableau3[Résultat Net (PdG)]),""))</f>
        <v>0</v>
      </c>
      <c r="AT298" s="43"/>
      <c r="AU298" s="43" t="str">
        <f>IFERROR(_xlfn.XLOOKUP(Tableau1[[#This Row],[Isin]]&amp;1&amp;2020,#REF!,Tableau3[Résultat Net (PdG)]),"")</f>
        <v/>
      </c>
      <c r="AV298" s="43" t="str">
        <f>IFERROR(_xlfn.XLOOKUP(Tableau1[[#This Row],[Isin]]&amp;1&amp;2019,#REF!,Tableau3[Résultat Net (PdG)]),"")</f>
        <v/>
      </c>
      <c r="AW298" s="43" t="str">
        <f>IFERROR(_xlfn.XLOOKUP(Tableau1[[#This Row],[Isin]]&amp;1&amp;2018,#REF!,Tableau3[Résultat Net (PdG)]),"")</f>
        <v/>
      </c>
      <c r="AX298" s="43" t="str">
        <f>IFERROR(_xlfn.XLOOKUP(Tableau1[[#This Row],[Isin]]&amp;1&amp;2017,#REF!,Tableau3[Résultat Net (PdG)]),"")</f>
        <v/>
      </c>
      <c r="AY298" s="43" t="str">
        <f>IFERROR(_xlfn.XLOOKUP(Tableau1[[#This Row],[Isin]]&amp;1&amp;2016,#REF!,Tableau3[Résultat Net (PdG)]),"")</f>
        <v/>
      </c>
      <c r="AZ298" s="137" t="str">
        <f ca="1">IFERROR(Tableau1[[#This Row],[Capitalisation boursière]]/Tableau1[[#This Row],[RN Groupe 2023]],"")</f>
        <v/>
      </c>
      <c r="BA298" s="4" t="str" cm="1">
        <f t="array" aca="1" ref="BA298" ca="1">IFERROR(_FV(Tableau1[[#This Row],[Code Excel]],"Industrie"),"")</f>
        <v>Insurance</v>
      </c>
      <c r="BB298" s="43" t="s">
        <v>3469</v>
      </c>
      <c r="BC298" s="43" t="str">
        <f>IFERROR(_xlfn.XLOOKUP(Tableau1[[#This Row],[Isin]]&amp;1&amp;2016,#REF!,Tableau3[Capi]),"")</f>
        <v/>
      </c>
      <c r="BD298" s="43" t="str">
        <f>IFERROR(_xlfn.XLOOKUP(Tableau1[[#This Row],[Isin]]&amp;1&amp;2017,#REF!,Tableau3[Capi]),"")</f>
        <v/>
      </c>
      <c r="BE298" s="43" t="str">
        <f>IFERROR(_xlfn.XLOOKUP(Tableau1[[#This Row],[Isin]]&amp;1&amp;2018,#REF!,Tableau3[Capi]),"")</f>
        <v/>
      </c>
      <c r="BF298" s="43" t="str">
        <f>IFERROR(_xlfn.XLOOKUP(Tableau1[[#This Row],[Isin]]&amp;1&amp;2019,#REF!,Tableau3[Capi]),"")</f>
        <v/>
      </c>
      <c r="BG298" s="43" t="str">
        <f>IFERROR(_xlfn.XLOOKUP(Tableau1[[#This Row],[Isin]]&amp;1&amp;2020,#REF!,Tableau3[Capi]),"")</f>
        <v/>
      </c>
      <c r="BH298" s="43">
        <f>IF(IFERROR(_xlfn.XLOOKUP(Tableau1[[#This Row],[Isin]]&amp;1&amp;2021,#REF!,Tableau3[Capi]),"")="",Tableau1[[#This Row],[Capitalisation 2021
Manuel]],IFERROR(_xlfn.XLOOKUP(Tableau1[[#This Row],[Isin]]&amp;1&amp;2021,#REF!,Tableau3[Capi]),""))</f>
        <v>0</v>
      </c>
      <c r="BI298" s="43"/>
      <c r="BJ298" s="43">
        <f>IF(IFERROR(_xlfn.XLOOKUP(Tableau1[[#This Row],[Isin]]&amp;1&amp;2022,#REF!,Tableau3[Capi]),"")="",Tableau1[[#This Row],[Capitalisation 2022
Manuel]],IFERROR(_xlfn.XLOOKUP(Tableau1[[#This Row],[Isin]]&amp;1&amp;2022,#REF!,Tableau3[Capi]),""))</f>
        <v>0</v>
      </c>
      <c r="BK298" s="43"/>
      <c r="BL298" s="43">
        <f ca="1">Tableau1[[#This Row],[Capitalisation boursière]]</f>
        <v>48062120000</v>
      </c>
      <c r="BM298" s="162" t="str" cm="1">
        <f t="array" aca="1" ref="BM298" ca="1">_FV(Tableau1[[#This Row],[Code Excel]],"Description")</f>
        <v>Swiss Re AG est un fournisseur suisse de réassurance, d’assurance et d’autres formes de transfert de risques. La Société opère dans quatre segments : Property&amp;Casualty Reinsurance, Life&amp;Health Reinsurance, Corporate Solutions et Life Capital. Sa Réassurance fournit des primes et des revenus de frais par l’intermédiaire des segments Property&amp;Casualty et Life&amp;Health. Son segment Solutions d’entreprise est au service des moyennes et grandes entreprises, avec des offres de produits allant de l’assurance multirisques traditionnelle aux solutions personnalisées. Son segment Admin Re offre des solutions de gestion des risques et du capital par lesquelles la Société acquiert des livres fermés des activités d’assurance vie et d’assurance maladie en vigueur, des secteurs d’activité entiers ou l’ensemble du capital-actions des sociétés d’assurance vie. Ses livres d’assurance vie ouverts et fermés, y compris Admin Re, sont gérés sous une unité appelée Life Capital.</v>
      </c>
      <c r="BN298" s="43"/>
      <c r="BO298" s="43"/>
      <c r="BP298" s="43"/>
      <c r="BQ298" s="43"/>
      <c r="BR298" s="13"/>
      <c r="BS298" s="13"/>
      <c r="BT298" s="13"/>
      <c r="BU298" s="13"/>
      <c r="BV298" s="13"/>
      <c r="BW298" s="13"/>
      <c r="BX298" s="13"/>
      <c r="BY298" s="21"/>
      <c r="BZ298" s="13"/>
      <c r="CA298" s="13"/>
      <c r="CB298" s="13"/>
      <c r="CC298" s="13"/>
      <c r="CD298" s="13"/>
      <c r="CF298" s="4"/>
      <c r="CG298" s="4"/>
    </row>
    <row r="299" spans="3:85">
      <c r="C299" s="42"/>
      <c r="D299" s="42">
        <f>IF(Tableau1[[#This Row],[Isin]]="",99,Tableau1[[#This Row],[Intérêt]]+Tableau1[[#This Row],[Valeur d''intérêt]]+Tableau1[[#This Row],[N° Portefeuille]])</f>
        <v>30</v>
      </c>
      <c r="E299" s="42"/>
      <c r="F299" s="42">
        <f>IF(Tableau1[[#This Row],[Portefeuille]]="p",0,Tableau1[[#This Row],[F. Investissement
Niveau d''intérêt]]*10)</f>
        <v>30</v>
      </c>
      <c r="G299" s="42">
        <f>IF(Tableau1[[#This Row],[Portefeuille]]="p",3,0)</f>
        <v>0</v>
      </c>
      <c r="H299" s="42">
        <v>3</v>
      </c>
      <c r="I299" s="42">
        <v>4</v>
      </c>
      <c r="J299" s="42"/>
      <c r="K299" s="43"/>
      <c r="L299" s="16">
        <v>0</v>
      </c>
      <c r="M29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299" s="44" t="s">
        <v>4152</v>
      </c>
      <c r="O299" s="45"/>
      <c r="P299" s="4" t="s">
        <v>99</v>
      </c>
      <c r="Q299" s="4"/>
      <c r="R299" s="6"/>
      <c r="S299" s="6" t="s">
        <v>4153</v>
      </c>
      <c r="T299" s="6" t="e" vm="277">
        <v>#VALUE!</v>
      </c>
      <c r="U299" s="46" cm="1">
        <f t="array" aca="1" ref="U299" ca="1">IFERROR(_FV(Tableau1[[#This Row],[Code Excel]],"Capitalisation boursière",TRUE),"")</f>
        <v>26574400000</v>
      </c>
      <c r="V299" s="4" t="str" cm="1">
        <f t="array" aca="1" ref="V299" ca="1">IFERROR(_FV(Tableau1[[#This Row],[Code Excel]],"Industrie"),"")</f>
        <v>Telecommunications Services</v>
      </c>
      <c r="W299" s="4" t="s">
        <v>1737</v>
      </c>
      <c r="X299" s="4" t="str">
        <f ca="1">Tableau1[[#This Row],[Grand Secteur]]&amp;Tableau1[[#This Row],[Industrie]]</f>
        <v>TélécommunicationTelecommunications Services</v>
      </c>
      <c r="Y299" s="23" cm="1">
        <f t="array" aca="1" ref="Y299" ca="1">IFERROR(_FV(Tableau1[[#This Row],[Code Excel]],"P/E",TRUE),"")</f>
        <v>17.2379</v>
      </c>
      <c r="Z299" s="43" cm="1">
        <f t="array" aca="1" ref="Z299" ca="1">IFERROR(_FV(Tableau1[[#This Row],[Code Excel]],"Employés"),"")</f>
        <v>19887</v>
      </c>
      <c r="AA299" s="49">
        <f ca="1">IFERROR(Tableau1[[#This Row],[Capitalisation boursière]]/Tableau1[[#This Row],[Employés]],"")</f>
        <v>1336269.9250766833</v>
      </c>
      <c r="AB299" s="5" t="str">
        <f>IFERROR(Tableau1[[#This Row],[REX (2021)]]/Tableau1[[#This Row],[CA 2024]],"")</f>
        <v/>
      </c>
      <c r="AC299" s="9" t="str">
        <f>IFERROR(_xlfn.XLOOKUP(Tableau1[[#This Row],[Isin]]&amp;1&amp;2021,#REF!,Tableau3[Résultat d''exploitation]),"")</f>
        <v/>
      </c>
      <c r="AD299" s="9" t="str">
        <f>IFERROR(_xlfn.XLOOKUP(Tableau1[[#This Row],[Isin]]&amp;1&amp;2019,#REF!,Tableau3[Chiffre d''affaires]),"")</f>
        <v/>
      </c>
      <c r="AE299" s="9" t="str">
        <f>IFERROR(_xlfn.XLOOKUP(Tableau1[[#This Row],[Isin]]&amp;1&amp;2024,#REF!,Tableau3[Chiffre d''affaires]),"")</f>
        <v/>
      </c>
      <c r="AF299" s="8" t="str">
        <f>IFERROR(IF((Tableau1[[#This Row],[CA 2024]]-Tableau1[[#This Row],[CA 2019]])/Tableau1[[#This Row],[CA 2019]]=-1,"",(Tableau1[[#This Row],[CA 2024]]-Tableau1[[#This Row],[CA 2019]])/Tableau1[[#This Row],[CA 2019]]),"")</f>
        <v/>
      </c>
      <c r="AG299" s="9" t="str">
        <f>IFERROR(_xlfn.XLOOKUP(Tableau1[[#This Row],[Isin]]&amp;1&amp;2021,#REF!,Tableau3[EBE]),"")</f>
        <v/>
      </c>
      <c r="AH299" s="9" t="str">
        <f>IFERROR(_xlfn.XLOOKUP(Tableau1[[#This Row],[Isin]]&amp;1&amp;2022,#REF!,Tableau3[EBE]),"")</f>
        <v/>
      </c>
      <c r="AI299" s="13" t="s">
        <v>4324</v>
      </c>
      <c r="AJ299" s="43" t="s">
        <v>4376</v>
      </c>
      <c r="AK299" s="43" t="s">
        <v>4377</v>
      </c>
      <c r="AL299" s="43"/>
      <c r="AM299" s="43"/>
      <c r="AN299" s="9" t="str">
        <f>IFERROR(_xlfn.XLOOKUP(Tableau1[[#This Row],[Isin]]&amp;1&amp;2021,#REF!,Tableau3[Chiffre d''affaires]),"")</f>
        <v/>
      </c>
      <c r="AO299" s="43" cm="1">
        <f t="array" aca="1" ref="AO299" ca="1">_FV(Tableau1[[#This Row],[Code Excel]],"P/E",TRUE)</f>
        <v>17.2379</v>
      </c>
      <c r="AP299" s="43" t="str">
        <f>IFERROR(_xlfn.XLOOKUP(Tableau1[[#This Row],[Isin]]&amp;1&amp;2023,#REF!,Tableau3[Résultat Net (PdG)]),"")</f>
        <v/>
      </c>
      <c r="AQ299" s="43">
        <f>IF(IFERROR(_xlfn.XLOOKUP(Tableau1[[#This Row],[Isin]]&amp;1&amp;2022,#REF!,Tableau3[Résultat Net (PdG)]),"")="",Tableau1[[#This Row],[RN Groupe 2022
Manuel]],IFERROR(_xlfn.XLOOKUP(Tableau1[[#This Row],[Isin]]&amp;1&amp;2022,#REF!,Tableau3[Résultat Net (PdG)]),""))</f>
        <v>0</v>
      </c>
      <c r="AR299" s="43"/>
      <c r="AS299" s="43">
        <f>IF(IFERROR(_xlfn.XLOOKUP(Tableau1[[#This Row],[Isin]]&amp;1&amp;2021,#REF!,Tableau3[Résultat Net (PdG)]),"")="",Tableau1[[#This Row],[RN Groupe 2021
Manuel]],IFERROR(_xlfn.XLOOKUP(Tableau1[[#This Row],[Isin]]&amp;1&amp;2021,#REF!,Tableau3[Résultat Net (PdG)]),""))</f>
        <v>0</v>
      </c>
      <c r="AT299" s="43"/>
      <c r="AU299" s="43" t="str">
        <f>IFERROR(_xlfn.XLOOKUP(Tableau1[[#This Row],[Isin]]&amp;1&amp;2020,#REF!,Tableau3[Résultat Net (PdG)]),"")</f>
        <v/>
      </c>
      <c r="AV299" s="43" t="str">
        <f>IFERROR(_xlfn.XLOOKUP(Tableau1[[#This Row],[Isin]]&amp;1&amp;2019,#REF!,Tableau3[Résultat Net (PdG)]),"")</f>
        <v/>
      </c>
      <c r="AW299" s="43" t="str">
        <f>IFERROR(_xlfn.XLOOKUP(Tableau1[[#This Row],[Isin]]&amp;1&amp;2018,#REF!,Tableau3[Résultat Net (PdG)]),"")</f>
        <v/>
      </c>
      <c r="AX299" s="43" t="str">
        <f>IFERROR(_xlfn.XLOOKUP(Tableau1[[#This Row],[Isin]]&amp;1&amp;2017,#REF!,Tableau3[Résultat Net (PdG)]),"")</f>
        <v/>
      </c>
      <c r="AY299" s="43" t="str">
        <f>IFERROR(_xlfn.XLOOKUP(Tableau1[[#This Row],[Isin]]&amp;1&amp;2016,#REF!,Tableau3[Résultat Net (PdG)]),"")</f>
        <v/>
      </c>
      <c r="AZ299" s="137" t="str">
        <f ca="1">IFERROR(Tableau1[[#This Row],[Capitalisation boursière]]/Tableau1[[#This Row],[RN Groupe 2023]],"")</f>
        <v/>
      </c>
      <c r="BA299" s="4" t="str" cm="1">
        <f t="array" aca="1" ref="BA299" ca="1">IFERROR(_FV(Tableau1[[#This Row],[Code Excel]],"Industrie"),"")</f>
        <v>Telecommunications Services</v>
      </c>
      <c r="BB299" s="43" t="s">
        <v>3469</v>
      </c>
      <c r="BC299" s="43" t="str">
        <f>IFERROR(_xlfn.XLOOKUP(Tableau1[[#This Row],[Isin]]&amp;1&amp;2016,#REF!,Tableau3[Capi]),"")</f>
        <v/>
      </c>
      <c r="BD299" s="43" t="str">
        <f>IFERROR(_xlfn.XLOOKUP(Tableau1[[#This Row],[Isin]]&amp;1&amp;2017,#REF!,Tableau3[Capi]),"")</f>
        <v/>
      </c>
      <c r="BE299" s="43" t="str">
        <f>IFERROR(_xlfn.XLOOKUP(Tableau1[[#This Row],[Isin]]&amp;1&amp;2018,#REF!,Tableau3[Capi]),"")</f>
        <v/>
      </c>
      <c r="BF299" s="43" t="str">
        <f>IFERROR(_xlfn.XLOOKUP(Tableau1[[#This Row],[Isin]]&amp;1&amp;2019,#REF!,Tableau3[Capi]),"")</f>
        <v/>
      </c>
      <c r="BG299" s="43" t="str">
        <f>IFERROR(_xlfn.XLOOKUP(Tableau1[[#This Row],[Isin]]&amp;1&amp;2020,#REF!,Tableau3[Capi]),"")</f>
        <v/>
      </c>
      <c r="BH299" s="43">
        <f>IF(IFERROR(_xlfn.XLOOKUP(Tableau1[[#This Row],[Isin]]&amp;1&amp;2021,#REF!,Tableau3[Capi]),"")="",Tableau1[[#This Row],[Capitalisation 2021
Manuel]],IFERROR(_xlfn.XLOOKUP(Tableau1[[#This Row],[Isin]]&amp;1&amp;2021,#REF!,Tableau3[Capi]),""))</f>
        <v>0</v>
      </c>
      <c r="BI299" s="43"/>
      <c r="BJ299" s="43">
        <f>IF(IFERROR(_xlfn.XLOOKUP(Tableau1[[#This Row],[Isin]]&amp;1&amp;2022,#REF!,Tableau3[Capi]),"")="",Tableau1[[#This Row],[Capitalisation 2022
Manuel]],IFERROR(_xlfn.XLOOKUP(Tableau1[[#This Row],[Isin]]&amp;1&amp;2022,#REF!,Tableau3[Capi]),""))</f>
        <v>0</v>
      </c>
      <c r="BK299" s="43"/>
      <c r="BL299" s="43">
        <f ca="1">Tableau1[[#This Row],[Capitalisation boursière]]</f>
        <v>26574400000</v>
      </c>
      <c r="BM299" s="162" t="str" cm="1">
        <f t="array" aca="1" ref="BM299" ca="1">_FV(Tableau1[[#This Row],[Code Excel]],"Description")</f>
        <v>Swisscom Ltd. fournit des services de télécommunication en Suisse et en Italie. Les secteurs de la Société incluent Swisscom Switzerland, Fastweb, Other Operating Segments, Group Headquarters, qui comprennent les divisions de la Société, telles que Group Business Steering, Group Strategy &amp; Board Services, Group Communications &amp; Responsibility, et Group Human Resources, ainsi que la société d'embauche Worklink AG. Son segment Swisscom Switzerland couvre les clients résidentiels, les petites et moyennes entreprises, les clients corporatifs, les technologies de l'information et les clients en gros ainsi que réseau et innovation. Son segment de Fastweb fournit des services large bande en Italie. Le portefeuille de produits Fastweb comprend des services vocaux, de données, de large bande et de télévision ainsi que la vidéo sur demande pour les clients résidentiels et corporatifs. Ses autres secteurs opérationnels comprennent Swisscom Health, Connected Living et un portefeuille de petites et moyennes entreprises dont les activités sont liées à ou aient aux affaires de Swisscom.</v>
      </c>
      <c r="BN299" s="43"/>
      <c r="BO299" s="43"/>
      <c r="BP299" s="43"/>
      <c r="BQ299" s="43"/>
      <c r="BR299" s="13"/>
      <c r="BS299" s="13"/>
      <c r="BT299" s="13"/>
      <c r="BU299" s="13"/>
      <c r="BV299" s="13"/>
      <c r="BW299" s="13"/>
      <c r="BX299" s="13"/>
      <c r="BY299" s="21"/>
      <c r="BZ299" s="13"/>
      <c r="CA299" s="13"/>
      <c r="CB299" s="13"/>
      <c r="CC299" s="13"/>
      <c r="CD299" s="13"/>
      <c r="CF299" s="4"/>
      <c r="CG299" s="4"/>
    </row>
    <row r="300" spans="3:85">
      <c r="C300" s="43"/>
      <c r="D300" s="42">
        <f>IF(Tableau1[[#This Row],[Isin]]="",99,Tableau1[[#This Row],[Intérêt]]+Tableau1[[#This Row],[Valeur d''intérêt]]+Tableau1[[#This Row],[N° Portefeuille]])</f>
        <v>20</v>
      </c>
      <c r="E300" s="43"/>
      <c r="F300" s="42">
        <f>IF(Tableau1[[#This Row],[Portefeuille]]="p",0,Tableau1[[#This Row],[F. Investissement
Niveau d''intérêt]]*10)</f>
        <v>20</v>
      </c>
      <c r="G300" s="43">
        <f>IF(Tableau1[[#This Row],[Portefeuille]]="p",3,0)</f>
        <v>0</v>
      </c>
      <c r="H300" s="42">
        <v>2</v>
      </c>
      <c r="I300" s="43">
        <v>4</v>
      </c>
      <c r="J300" s="43"/>
      <c r="K300" s="43"/>
      <c r="L300" s="16">
        <v>0</v>
      </c>
      <c r="M30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0" s="44" t="s">
        <v>4155</v>
      </c>
      <c r="O300" s="45"/>
      <c r="P300" s="4" t="s">
        <v>564</v>
      </c>
      <c r="Q300" s="4"/>
      <c r="R300" s="6"/>
      <c r="S300" s="6" t="s">
        <v>4156</v>
      </c>
      <c r="T300" s="6" t="e" vm="278">
        <v>#VALUE!</v>
      </c>
      <c r="U300" s="46" cm="1">
        <f t="array" aca="1" ref="U300" ca="1">IFERROR(_FV(Tableau1[[#This Row],[Code Excel]],"Capitalisation boursière",TRUE),"")</f>
        <v>13255980000</v>
      </c>
      <c r="V300" s="4" t="str" cm="1">
        <f t="array" aca="1" ref="V300" ca="1">IFERROR(_FV(Tableau1[[#This Row],[Code Excel]],"Industrie"),"")</f>
        <v>Chemicals</v>
      </c>
      <c r="W300" s="4" t="s">
        <v>2431</v>
      </c>
      <c r="X300" s="4" t="str">
        <f ca="1">Tableau1[[#This Row],[Grand Secteur]]&amp;Tableau1[[#This Row],[Industrie]]</f>
        <v>ChimieChemicals</v>
      </c>
      <c r="Y300" s="23" cm="1">
        <f t="array" aca="1" ref="Y300" ca="1">IFERROR(_FV(Tableau1[[#This Row],[Code Excel]],"P/E",TRUE),"")</f>
        <v>26.78</v>
      </c>
      <c r="Z300" s="43" cm="1">
        <f t="array" aca="1" ref="Z300" ca="1">IFERROR(_FV(Tableau1[[#This Row],[Code Excel]],"Employés"),"")</f>
        <v>12718</v>
      </c>
      <c r="AA300" s="46">
        <f ca="1">IFERROR(Tableau1[[#This Row],[Capitalisation boursière]]/Tableau1[[#This Row],[Employés]],"")</f>
        <v>1042300.6762069508</v>
      </c>
      <c r="AB300" s="5" t="str">
        <f>IFERROR(Tableau1[[#This Row],[REX (2021)]]/Tableau1[[#This Row],[CA 2024]],"")</f>
        <v/>
      </c>
      <c r="AC300" s="9" t="str">
        <f>IFERROR(_xlfn.XLOOKUP(Tableau1[[#This Row],[Isin]]&amp;1&amp;2021,#REF!,Tableau3[Résultat d''exploitation]),"")</f>
        <v/>
      </c>
      <c r="AD300" s="9" t="str">
        <f>IFERROR(_xlfn.XLOOKUP(Tableau1[[#This Row],[Isin]]&amp;1&amp;2019,#REF!,Tableau3[Chiffre d''affaires]),"")</f>
        <v/>
      </c>
      <c r="AE300" s="9" t="str">
        <f>IFERROR(_xlfn.XLOOKUP(Tableau1[[#This Row],[Isin]]&amp;1&amp;2024,#REF!,Tableau3[Chiffre d''affaires]),"")</f>
        <v/>
      </c>
      <c r="AF300" s="8" t="str">
        <f>IFERROR(IF((Tableau1[[#This Row],[CA 2024]]-Tableau1[[#This Row],[CA 2019]])/Tableau1[[#This Row],[CA 2019]]=-1,"",(Tableau1[[#This Row],[CA 2024]]-Tableau1[[#This Row],[CA 2019]])/Tableau1[[#This Row],[CA 2019]]),"")</f>
        <v/>
      </c>
      <c r="AG300" s="9" t="str">
        <f>IFERROR(_xlfn.XLOOKUP(Tableau1[[#This Row],[Isin]]&amp;1&amp;2021,#REF!,Tableau3[EBE]),"")</f>
        <v/>
      </c>
      <c r="AH300" s="9" t="str">
        <f>IFERROR(_xlfn.XLOOKUP(Tableau1[[#This Row],[Isin]]&amp;1&amp;2022,#REF!,Tableau3[EBE]),"")</f>
        <v/>
      </c>
      <c r="AI300" s="43" t="s">
        <v>4329</v>
      </c>
      <c r="AJ300" s="43" t="s">
        <v>3150</v>
      </c>
      <c r="AK300" s="43" t="s">
        <v>3148</v>
      </c>
      <c r="AL300" s="43"/>
      <c r="AM300" s="43"/>
      <c r="AN300" s="9" t="str">
        <f>IFERROR(_xlfn.XLOOKUP(Tableau1[[#This Row],[Isin]]&amp;1&amp;2021,#REF!,Tableau3[Chiffre d''affaires]),"")</f>
        <v/>
      </c>
      <c r="AO300" s="43" cm="1">
        <f t="array" aca="1" ref="AO300" ca="1">_FV(Tableau1[[#This Row],[Code Excel]],"P/E",TRUE)</f>
        <v>26.78</v>
      </c>
      <c r="AP300" s="43" t="str">
        <f>IFERROR(_xlfn.XLOOKUP(Tableau1[[#This Row],[Isin]]&amp;1&amp;2023,#REF!,Tableau3[Résultat Net (PdG)]),"")</f>
        <v/>
      </c>
      <c r="AQ300" s="43">
        <f>IF(IFERROR(_xlfn.XLOOKUP(Tableau1[[#This Row],[Isin]]&amp;1&amp;2022,#REF!,Tableau3[Résultat Net (PdG)]),"")="",Tableau1[[#This Row],[RN Groupe 2022
Manuel]],IFERROR(_xlfn.XLOOKUP(Tableau1[[#This Row],[Isin]]&amp;1&amp;2022,#REF!,Tableau3[Résultat Net (PdG)]),""))</f>
        <v>0</v>
      </c>
      <c r="AR300" s="43"/>
      <c r="AS300" s="43">
        <f>IF(IFERROR(_xlfn.XLOOKUP(Tableau1[[#This Row],[Isin]]&amp;1&amp;2021,#REF!,Tableau3[Résultat Net (PdG)]),"")="",Tableau1[[#This Row],[RN Groupe 2021
Manuel]],IFERROR(_xlfn.XLOOKUP(Tableau1[[#This Row],[Isin]]&amp;1&amp;2021,#REF!,Tableau3[Résultat Net (PdG)]),""))</f>
        <v>0</v>
      </c>
      <c r="AT300" s="43"/>
      <c r="AU300" s="43" t="str">
        <f>IFERROR(_xlfn.XLOOKUP(Tableau1[[#This Row],[Isin]]&amp;1&amp;2020,#REF!,Tableau3[Résultat Net (PdG)]),"")</f>
        <v/>
      </c>
      <c r="AV300" s="43" t="str">
        <f>IFERROR(_xlfn.XLOOKUP(Tableau1[[#This Row],[Isin]]&amp;1&amp;2019,#REF!,Tableau3[Résultat Net (PdG)]),"")</f>
        <v/>
      </c>
      <c r="AW300" s="43" t="str">
        <f>IFERROR(_xlfn.XLOOKUP(Tableau1[[#This Row],[Isin]]&amp;1&amp;2018,#REF!,Tableau3[Résultat Net (PdG)]),"")</f>
        <v/>
      </c>
      <c r="AX300" s="43" t="str">
        <f>IFERROR(_xlfn.XLOOKUP(Tableau1[[#This Row],[Isin]]&amp;1&amp;2017,#REF!,Tableau3[Résultat Net (PdG)]),"")</f>
        <v/>
      </c>
      <c r="AY300" s="43" t="str">
        <f>IFERROR(_xlfn.XLOOKUP(Tableau1[[#This Row],[Isin]]&amp;1&amp;2016,#REF!,Tableau3[Résultat Net (PdG)]),"")</f>
        <v/>
      </c>
      <c r="AZ300" s="137" t="str">
        <f ca="1">IFERROR(Tableau1[[#This Row],[Capitalisation boursière]]/Tableau1[[#This Row],[RN Groupe 2023]],"")</f>
        <v/>
      </c>
      <c r="BA300" s="4" t="str" cm="1">
        <f t="array" aca="1" ref="BA300" ca="1">IFERROR(_FV(Tableau1[[#This Row],[Code Excel]],"Industrie"),"")</f>
        <v>Chemicals</v>
      </c>
      <c r="BB300" s="43" t="s">
        <v>3487</v>
      </c>
      <c r="BC300" s="43" t="str">
        <f>IFERROR(_xlfn.XLOOKUP(Tableau1[[#This Row],[Isin]]&amp;1&amp;2016,#REF!,Tableau3[Capi]),"")</f>
        <v/>
      </c>
      <c r="BD300" s="43" t="str">
        <f>IFERROR(_xlfn.XLOOKUP(Tableau1[[#This Row],[Isin]]&amp;1&amp;2017,#REF!,Tableau3[Capi]),"")</f>
        <v/>
      </c>
      <c r="BE300" s="43" t="str">
        <f>IFERROR(_xlfn.XLOOKUP(Tableau1[[#This Row],[Isin]]&amp;1&amp;2018,#REF!,Tableau3[Capi]),"")</f>
        <v/>
      </c>
      <c r="BF300" s="43" t="str">
        <f>IFERROR(_xlfn.XLOOKUP(Tableau1[[#This Row],[Isin]]&amp;1&amp;2019,#REF!,Tableau3[Capi]),"")</f>
        <v/>
      </c>
      <c r="BG300" s="43" t="str">
        <f>IFERROR(_xlfn.XLOOKUP(Tableau1[[#This Row],[Isin]]&amp;1&amp;2020,#REF!,Tableau3[Capi]),"")</f>
        <v/>
      </c>
      <c r="BH300" s="43">
        <f>IF(IFERROR(_xlfn.XLOOKUP(Tableau1[[#This Row],[Isin]]&amp;1&amp;2021,#REF!,Tableau3[Capi]),"")="",Tableau1[[#This Row],[Capitalisation 2021
Manuel]],IFERROR(_xlfn.XLOOKUP(Tableau1[[#This Row],[Isin]]&amp;1&amp;2021,#REF!,Tableau3[Capi]),""))</f>
        <v>0</v>
      </c>
      <c r="BI300" s="43"/>
      <c r="BJ300" s="43">
        <f>IF(IFERROR(_xlfn.XLOOKUP(Tableau1[[#This Row],[Isin]]&amp;1&amp;2022,#REF!,Tableau3[Capi]),"")="",Tableau1[[#This Row],[Capitalisation 2022
Manuel]],IFERROR(_xlfn.XLOOKUP(Tableau1[[#This Row],[Isin]]&amp;1&amp;2022,#REF!,Tableau3[Capi]),""))</f>
        <v>0</v>
      </c>
      <c r="BK300" s="43"/>
      <c r="BL300" s="43">
        <f ca="1">Tableau1[[#This Row],[Capitalisation boursière]]</f>
        <v>13255980000</v>
      </c>
      <c r="BM300" s="162" t="str" cm="1">
        <f t="array" aca="1" ref="BM300" ca="1">_FV(Tableau1[[#This Row],[Code Excel]],"Description")</f>
        <v>Symrise AG est une société basée en Allemagne. La Société est engagée en tant que fournisseur de parfums, arômes, ingrédients actifs cosmétiques et matières premières, ingrédients fonctionnels et solutions de produits pour la production alimentaire à base de matériaux de base naturels. La Société opère sur deux segments : le segment goût, Nutrition et santé et le segment parfum et soins. Le segment Taste, Nutrition &amp; Health comprend les divisions Food &amp; Beverage et Pet Food ainsi que les deux petites unités Aqua Feed et Probi. Elle utilise la recherche scientifique pour offrir à ses clients et partenaires des solutions durables et basées sur des ingrédients naturels dans les domaines du goût, de la nutrition et de la santé. La Société développe des solutions actives spécifiques pour les bienfaits souhaités pour la santé. Le segment Scent &amp; Care comprend les divisions Fragrance, Cosmetic Ingredients et Aroma Molecules. La division parfums combine des matières premières aromatiques comme les produits chimiques aromatiques et les huiles essentielles pour fabriquer des parfums complexes (huiles de parfum).</v>
      </c>
      <c r="BN300" s="43"/>
      <c r="BO300" s="43"/>
      <c r="BP300" s="43"/>
      <c r="BQ300" s="43"/>
      <c r="BR300" s="13"/>
      <c r="BS300" s="13"/>
      <c r="BT300" s="13"/>
      <c r="BU300" s="13"/>
      <c r="BV300" s="13"/>
      <c r="BW300" s="13"/>
      <c r="BX300" s="13"/>
      <c r="BY300" s="21"/>
      <c r="BZ300" s="13"/>
      <c r="CA300" s="13"/>
      <c r="CB300" s="13"/>
      <c r="CC300" s="13"/>
      <c r="CD300" s="13"/>
      <c r="CF300" s="4"/>
      <c r="CG300" s="4"/>
    </row>
    <row r="301" spans="3:85">
      <c r="C301" s="42"/>
      <c r="D301" s="42">
        <f>IF(Tableau1[[#This Row],[Isin]]="",99,Tableau1[[#This Row],[Intérêt]]+Tableau1[[#This Row],[Valeur d''intérêt]]+Tableau1[[#This Row],[N° Portefeuille]])</f>
        <v>30</v>
      </c>
      <c r="E301" s="42"/>
      <c r="F301" s="42">
        <f>IF(Tableau1[[#This Row],[Portefeuille]]="p",0,Tableau1[[#This Row],[F. Investissement
Niveau d''intérêt]]*10)</f>
        <v>30</v>
      </c>
      <c r="G301" s="42">
        <f>IF(Tableau1[[#This Row],[Portefeuille]]="p",3,0)</f>
        <v>0</v>
      </c>
      <c r="H301" s="42">
        <v>3</v>
      </c>
      <c r="I301" s="42">
        <v>4</v>
      </c>
      <c r="J301" s="42"/>
      <c r="K301" s="43"/>
      <c r="L301" s="16">
        <v>1</v>
      </c>
      <c r="M30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1" s="44" t="s">
        <v>1796</v>
      </c>
      <c r="O301" s="44" t="s">
        <v>4427</v>
      </c>
      <c r="P301" s="4" t="s">
        <v>84</v>
      </c>
      <c r="Q301" s="6" t="s">
        <v>85</v>
      </c>
      <c r="R301" s="6"/>
      <c r="S301" s="6" t="s">
        <v>1799</v>
      </c>
      <c r="T301" s="6" t="e" vm="279">
        <v>#VALUE!</v>
      </c>
      <c r="U301" s="46" cm="1">
        <f t="array" aca="1" ref="U301" ca="1">IFERROR(_FV(Tableau1[[#This Row],[Code Excel]],"Capitalisation boursière",TRUE),"")</f>
        <v>1127465000</v>
      </c>
      <c r="V301" s="4" t="str" cm="1">
        <f t="array" aca="1" ref="V301" ca="1">IFERROR(_FV(Tableau1[[#This Row],[Code Excel]],"Industrie"),"")</f>
        <v>Homebuilding &amp; Construction Supplies</v>
      </c>
      <c r="W301" s="4" t="s">
        <v>4321</v>
      </c>
      <c r="X301" s="4" t="str">
        <f ca="1">Tableau1[[#This Row],[Grand Secteur]]&amp;Tableau1[[#This Row],[Industrie]]</f>
        <v>EquipementiersHomebuilding &amp; Construction Supplies</v>
      </c>
      <c r="Y301" s="23" cm="1">
        <f t="array" aca="1" ref="Y301" ca="1">IFERROR(_FV(Tableau1[[#This Row],[Code Excel]],"P/E",TRUE),"")</f>
        <v>0</v>
      </c>
      <c r="Z301" s="43" cm="1">
        <f t="array" aca="1" ref="Z301" ca="1">IFERROR(_FV(Tableau1[[#This Row],[Code Excel]],"Employés"),"")</f>
        <v>11635</v>
      </c>
      <c r="AA301" s="46">
        <f ca="1">IFERROR(Tableau1[[#This Row],[Capitalisation boursière]]/Tableau1[[#This Row],[Employés]],"")</f>
        <v>96902.879243661373</v>
      </c>
      <c r="AB301" s="5" t="str">
        <f>IFERROR(Tableau1[[#This Row],[REX (2021)]]/Tableau1[[#This Row],[CA 2024]],"")</f>
        <v/>
      </c>
      <c r="AC301" s="9" t="str">
        <f>IFERROR(_xlfn.XLOOKUP(Tableau1[[#This Row],[Isin]]&amp;1&amp;2021,#REF!,Tableau3[Résultat d''exploitation]),"")</f>
        <v/>
      </c>
      <c r="AD301" s="9" t="str">
        <f>IFERROR(_xlfn.XLOOKUP(Tableau1[[#This Row],[Isin]]&amp;1&amp;2019,#REF!,Tableau3[Chiffre d''affaires]),"")</f>
        <v/>
      </c>
      <c r="AE301" s="9" t="str">
        <f>IFERROR(_xlfn.XLOOKUP(Tableau1[[#This Row],[Isin]]&amp;1&amp;2024,#REF!,Tableau3[Chiffre d''affaires]),"")</f>
        <v/>
      </c>
      <c r="AF301" s="8" t="str">
        <f>IFERROR(IF((Tableau1[[#This Row],[CA 2024]]-Tableau1[[#This Row],[CA 2019]])/Tableau1[[#This Row],[CA 2019]]=-1,"",(Tableau1[[#This Row],[CA 2024]]-Tableau1[[#This Row],[CA 2019]])/Tableau1[[#This Row],[CA 2019]]),"")</f>
        <v/>
      </c>
      <c r="AG301" s="9" t="str">
        <f>IFERROR(_xlfn.XLOOKUP(Tableau1[[#This Row],[Isin]]&amp;1&amp;2021,#REF!,Tableau3[EBE]),"")</f>
        <v/>
      </c>
      <c r="AH301" s="9" t="str">
        <f>IFERROR(_xlfn.XLOOKUP(Tableau1[[#This Row],[Isin]]&amp;1&amp;2022,#REF!,Tableau3[EBE]),"")</f>
        <v/>
      </c>
      <c r="AI301" s="43" t="s">
        <v>3431</v>
      </c>
      <c r="AJ301" s="43" t="s">
        <v>3150</v>
      </c>
      <c r="AK301" s="43" t="s">
        <v>3149</v>
      </c>
      <c r="AL301" s="43" t="s">
        <v>3149</v>
      </c>
      <c r="AM301" s="43"/>
      <c r="AN301" s="9" t="str">
        <f>IFERROR(_xlfn.XLOOKUP(Tableau1[[#This Row],[Isin]]&amp;1&amp;2021,#REF!,Tableau3[Chiffre d''affaires]),"")</f>
        <v/>
      </c>
      <c r="AO301" s="43" cm="1">
        <f t="array" aca="1" ref="AO301" ca="1">_FV(Tableau1[[#This Row],[Code Excel]],"P/E",TRUE)</f>
        <v>0</v>
      </c>
      <c r="AP301" s="43" t="str">
        <f>IFERROR(_xlfn.XLOOKUP(Tableau1[[#This Row],[Isin]]&amp;1&amp;2023,#REF!,Tableau3[Résultat Net (PdG)]),"")</f>
        <v/>
      </c>
      <c r="AQ301" s="43">
        <f>IF(IFERROR(_xlfn.XLOOKUP(Tableau1[[#This Row],[Isin]]&amp;1&amp;2022,#REF!,Tableau3[Résultat Net (PdG)]),"")="",Tableau1[[#This Row],[RN Groupe 2022
Manuel]],IFERROR(_xlfn.XLOOKUP(Tableau1[[#This Row],[Isin]]&amp;1&amp;2022,#REF!,Tableau3[Résultat Net (PdG)]),""))</f>
        <v>0</v>
      </c>
      <c r="AR301" s="43"/>
      <c r="AS301" s="43">
        <f>IF(IFERROR(_xlfn.XLOOKUP(Tableau1[[#This Row],[Isin]]&amp;1&amp;2021,#REF!,Tableau3[Résultat Net (PdG)]),"")="",Tableau1[[#This Row],[RN Groupe 2021
Manuel]],IFERROR(_xlfn.XLOOKUP(Tableau1[[#This Row],[Isin]]&amp;1&amp;2021,#REF!,Tableau3[Résultat Net (PdG)]),""))</f>
        <v>0</v>
      </c>
      <c r="AT301" s="43"/>
      <c r="AU301" s="43" t="str">
        <f>IFERROR(_xlfn.XLOOKUP(Tableau1[[#This Row],[Isin]]&amp;1&amp;2020,#REF!,Tableau3[Résultat Net (PdG)]),"")</f>
        <v/>
      </c>
      <c r="AV301" s="43" t="str">
        <f>IFERROR(_xlfn.XLOOKUP(Tableau1[[#This Row],[Isin]]&amp;1&amp;2019,#REF!,Tableau3[Résultat Net (PdG)]),"")</f>
        <v/>
      </c>
      <c r="AW301" s="43" t="str">
        <f>IFERROR(_xlfn.XLOOKUP(Tableau1[[#This Row],[Isin]]&amp;1&amp;2018,#REF!,Tableau3[Résultat Net (PdG)]),"")</f>
        <v/>
      </c>
      <c r="AX301" s="43" t="str">
        <f>IFERROR(_xlfn.XLOOKUP(Tableau1[[#This Row],[Isin]]&amp;1&amp;2017,#REF!,Tableau3[Résultat Net (PdG)]),"")</f>
        <v/>
      </c>
      <c r="AY301" s="43" t="str">
        <f>IFERROR(_xlfn.XLOOKUP(Tableau1[[#This Row],[Isin]]&amp;1&amp;2016,#REF!,Tableau3[Résultat Net (PdG)]),"")</f>
        <v/>
      </c>
      <c r="AZ301" s="137" t="str">
        <f ca="1">IFERROR(Tableau1[[#This Row],[Capitalisation boursière]]/Tableau1[[#This Row],[RN Groupe 2023]],"")</f>
        <v/>
      </c>
      <c r="BA301" s="4" t="str" cm="1">
        <f t="array" aca="1" ref="BA301" ca="1">IFERROR(_FV(Tableau1[[#This Row],[Code Excel]],"Industrie"),"")</f>
        <v>Homebuilding &amp; Construction Supplies</v>
      </c>
      <c r="BB301" s="43" t="e">
        <v>#N/A</v>
      </c>
      <c r="BC301" s="43" t="str">
        <f>IFERROR(_xlfn.XLOOKUP(Tableau1[[#This Row],[Isin]]&amp;1&amp;2016,#REF!,Tableau3[Capi]),"")</f>
        <v/>
      </c>
      <c r="BD301" s="43" t="str">
        <f>IFERROR(_xlfn.XLOOKUP(Tableau1[[#This Row],[Isin]]&amp;1&amp;2017,#REF!,Tableau3[Capi]),"")</f>
        <v/>
      </c>
      <c r="BE301" s="43" t="str">
        <f>IFERROR(_xlfn.XLOOKUP(Tableau1[[#This Row],[Isin]]&amp;1&amp;2018,#REF!,Tableau3[Capi]),"")</f>
        <v/>
      </c>
      <c r="BF301" s="43" t="str">
        <f>IFERROR(_xlfn.XLOOKUP(Tableau1[[#This Row],[Isin]]&amp;1&amp;2019,#REF!,Tableau3[Capi]),"")</f>
        <v/>
      </c>
      <c r="BG301" s="43" t="str">
        <f>IFERROR(_xlfn.XLOOKUP(Tableau1[[#This Row],[Isin]]&amp;1&amp;2020,#REF!,Tableau3[Capi]),"")</f>
        <v/>
      </c>
      <c r="BH301" s="43">
        <f>IF(IFERROR(_xlfn.XLOOKUP(Tableau1[[#This Row],[Isin]]&amp;1&amp;2021,#REF!,Tableau3[Capi]),"")="",Tableau1[[#This Row],[Capitalisation 2021
Manuel]],IFERROR(_xlfn.XLOOKUP(Tableau1[[#This Row],[Isin]]&amp;1&amp;2021,#REF!,Tableau3[Capi]),""))</f>
        <v>0</v>
      </c>
      <c r="BI301" s="43"/>
      <c r="BJ301" s="43">
        <f>IF(IFERROR(_xlfn.XLOOKUP(Tableau1[[#This Row],[Isin]]&amp;1&amp;2022,#REF!,Tableau3[Capi]),"")="",Tableau1[[#This Row],[Capitalisation 2022
Manuel]],IFERROR(_xlfn.XLOOKUP(Tableau1[[#This Row],[Isin]]&amp;1&amp;2022,#REF!,Tableau3[Capi]),""))</f>
        <v>0</v>
      </c>
      <c r="BK301" s="43"/>
      <c r="BL301" s="43">
        <f ca="1">Tableau1[[#This Row],[Capitalisation boursière]]</f>
        <v>1127465000</v>
      </c>
      <c r="BM301" s="162" t="str" cm="1">
        <f t="array" aca="1" ref="BM301" ca="1">_FV(Tableau1[[#This Row],[Code Excel]],"Description")</f>
        <v>Tarkett SA (Tarkett) est un fournisseur de revêtements de sol et de surfaces de sport en France. La Société se concentre sur le développement, la fabrication et la commercialisation de revêtements de sol et de surface pour les entreprises et les particuliers. Tarkett SA est spécialisée dans la fourniture de revêtements de sol intégrés, de solutions murales et de surfaces sportives. Son portefeuille de produits comprend des revêtements de sol tels que parquets, stratifiés, moquettes, revêtements de sol en vinyle, revêtements de sol en polychlorure de vinyle conducteur et sols antidérapants PVS, utilisés principalement dans les hôpitaux, écoles, immeubles d'appartements, magasins, hôtels et bureaux. En outre, il fournit des installations d'installations sportives. La société est active sur le marché national et international. L'actionnaire principal de la Société est Société Investissement Deconinck. Il fonctionne également à travers Grassman.</v>
      </c>
      <c r="BN301" s="43"/>
      <c r="BO301" s="43"/>
      <c r="BP301" s="43"/>
      <c r="BQ301" s="43"/>
      <c r="BR301" s="13"/>
      <c r="BS301" s="13"/>
      <c r="BT301" s="13"/>
      <c r="BU301" s="13"/>
      <c r="BV301" s="13"/>
      <c r="BW301" s="13"/>
      <c r="BX301" s="13"/>
      <c r="BY301" s="21"/>
      <c r="BZ301" s="13"/>
      <c r="CA301" s="13"/>
      <c r="CB301" s="13"/>
      <c r="CC301" s="13"/>
      <c r="CD301" s="13"/>
      <c r="CF301" s="4"/>
      <c r="CG301" s="4"/>
    </row>
    <row r="302" spans="3:85">
      <c r="C302" s="43"/>
      <c r="D302" s="42">
        <f>IF(Tableau1[[#This Row],[Isin]]="",99,Tableau1[[#This Row],[Intérêt]]+Tableau1[[#This Row],[Valeur d''intérêt]]+Tableau1[[#This Row],[N° Portefeuille]])</f>
        <v>30</v>
      </c>
      <c r="E302" s="43"/>
      <c r="F302" s="42">
        <f>IF(Tableau1[[#This Row],[Portefeuille]]="p",0,Tableau1[[#This Row],[F. Investissement
Niveau d''intérêt]]*10)</f>
        <v>30</v>
      </c>
      <c r="G302" s="43">
        <f>IF(Tableau1[[#This Row],[Portefeuille]]="p",3,0)</f>
        <v>0</v>
      </c>
      <c r="H302" s="42">
        <v>3</v>
      </c>
      <c r="I302" s="43">
        <v>4</v>
      </c>
      <c r="J302" s="43"/>
      <c r="K302" s="43"/>
      <c r="L302" s="16">
        <v>0</v>
      </c>
      <c r="M30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2" s="44" t="s">
        <v>4159</v>
      </c>
      <c r="O302" s="45"/>
      <c r="P302" s="4" t="s">
        <v>427</v>
      </c>
      <c r="Q302" s="4"/>
      <c r="R302" s="6"/>
      <c r="S302" s="6" t="s">
        <v>4160</v>
      </c>
      <c r="T302" s="6" t="e" vm="280">
        <v>#VALUE!</v>
      </c>
      <c r="U302" s="46" cm="1">
        <f t="array" aca="1" ref="U302" ca="1">IFERROR(_FV(Tableau1[[#This Row],[Code Excel]],"Capitalisation boursière",TRUE),"")</f>
        <v>5534677000</v>
      </c>
      <c r="V302" s="4" t="str" cm="1">
        <f t="array" aca="1" ref="V302" ca="1">IFERROR(_FV(Tableau1[[#This Row],[Code Excel]],"Industrie"),"")</f>
        <v>Oil &amp; Gas Related Equipment and Services</v>
      </c>
      <c r="W302" s="4" t="s">
        <v>371</v>
      </c>
      <c r="X302" s="4" t="str">
        <f ca="1">Tableau1[[#This Row],[Grand Secteur]]&amp;Tableau1[[#This Row],[Industrie]]</f>
        <v>EnergieOil &amp; Gas Related Equipment and Services</v>
      </c>
      <c r="Y302" s="23" cm="1">
        <f t="array" aca="1" ref="Y302" ca="1">IFERROR(_FV(Tableau1[[#This Row],[Code Excel]],"P/E",TRUE),"")</f>
        <v>13.379099999999999</v>
      </c>
      <c r="Z302" s="43" cm="1">
        <f t="array" aca="1" ref="Z302" ca="1">IFERROR(_FV(Tableau1[[#This Row],[Code Excel]],"Employés"),"")</f>
        <v>15105</v>
      </c>
      <c r="AA302" s="46">
        <f ca="1">IFERROR(Tableau1[[#This Row],[Capitalisation boursière]]/Tableau1[[#This Row],[Employés]],"")</f>
        <v>366413.57166501158</v>
      </c>
      <c r="AB302" s="5" t="str">
        <f>IFERROR(Tableau1[[#This Row],[REX (2021)]]/Tableau1[[#This Row],[CA 2024]],"")</f>
        <v/>
      </c>
      <c r="AC302" s="9" t="str">
        <f>IFERROR(_xlfn.XLOOKUP(Tableau1[[#This Row],[Isin]]&amp;1&amp;2021,#REF!,Tableau3[Résultat d''exploitation]),"")</f>
        <v/>
      </c>
      <c r="AD302" s="9" t="str">
        <f>IFERROR(_xlfn.XLOOKUP(Tableau1[[#This Row],[Isin]]&amp;1&amp;2019,#REF!,Tableau3[Chiffre d''affaires]),"")</f>
        <v/>
      </c>
      <c r="AE302" s="9" t="str">
        <f>IFERROR(_xlfn.XLOOKUP(Tableau1[[#This Row],[Isin]]&amp;1&amp;2024,#REF!,Tableau3[Chiffre d''affaires]),"")</f>
        <v/>
      </c>
      <c r="AF302" s="8" t="str">
        <f>IFERROR(IF((Tableau1[[#This Row],[CA 2024]]-Tableau1[[#This Row],[CA 2019]])/Tableau1[[#This Row],[CA 2019]]=-1,"",(Tableau1[[#This Row],[CA 2024]]-Tableau1[[#This Row],[CA 2019]])/Tableau1[[#This Row],[CA 2019]]),"")</f>
        <v/>
      </c>
      <c r="AG302" s="9" t="str">
        <f>IFERROR(_xlfn.XLOOKUP(Tableau1[[#This Row],[Isin]]&amp;1&amp;2021,#REF!,Tableau3[EBE]),"")</f>
        <v/>
      </c>
      <c r="AH302" s="9" t="str">
        <f>IFERROR(_xlfn.XLOOKUP(Tableau1[[#This Row],[Isin]]&amp;1&amp;2022,#REF!,Tableau3[EBE]),"")</f>
        <v/>
      </c>
      <c r="AI302" s="43" t="s">
        <v>4343</v>
      </c>
      <c r="AJ302" s="43" t="s">
        <v>3150</v>
      </c>
      <c r="AK302" s="43" t="s">
        <v>3419</v>
      </c>
      <c r="AL302" s="43"/>
      <c r="AM302" s="43"/>
      <c r="AN302" s="9" t="str">
        <f>IFERROR(_xlfn.XLOOKUP(Tableau1[[#This Row],[Isin]]&amp;1&amp;2021,#REF!,Tableau3[Chiffre d''affaires]),"")</f>
        <v/>
      </c>
      <c r="AO302" s="43" cm="1">
        <f t="array" aca="1" ref="AO302" ca="1">_FV(Tableau1[[#This Row],[Code Excel]],"P/E",TRUE)</f>
        <v>13.379099999999999</v>
      </c>
      <c r="AP302" s="43" t="str">
        <f>IFERROR(_xlfn.XLOOKUP(Tableau1[[#This Row],[Isin]]&amp;1&amp;2023,#REF!,Tableau3[Résultat Net (PdG)]),"")</f>
        <v/>
      </c>
      <c r="AQ302" s="43">
        <f>IF(IFERROR(_xlfn.XLOOKUP(Tableau1[[#This Row],[Isin]]&amp;1&amp;2022,#REF!,Tableau3[Résultat Net (PdG)]),"")="",Tableau1[[#This Row],[RN Groupe 2022
Manuel]],IFERROR(_xlfn.XLOOKUP(Tableau1[[#This Row],[Isin]]&amp;1&amp;2022,#REF!,Tableau3[Résultat Net (PdG)]),""))</f>
        <v>0</v>
      </c>
      <c r="AR302" s="43"/>
      <c r="AS302" s="43">
        <f>IF(IFERROR(_xlfn.XLOOKUP(Tableau1[[#This Row],[Isin]]&amp;1&amp;2021,#REF!,Tableau3[Résultat Net (PdG)]),"")="",Tableau1[[#This Row],[RN Groupe 2021
Manuel]],IFERROR(_xlfn.XLOOKUP(Tableau1[[#This Row],[Isin]]&amp;1&amp;2021,#REF!,Tableau3[Résultat Net (PdG)]),""))</f>
        <v>0</v>
      </c>
      <c r="AT302" s="43"/>
      <c r="AU302" s="43" t="str">
        <f>IFERROR(_xlfn.XLOOKUP(Tableau1[[#This Row],[Isin]]&amp;1&amp;2020,#REF!,Tableau3[Résultat Net (PdG)]),"")</f>
        <v/>
      </c>
      <c r="AV302" s="43" t="str">
        <f>IFERROR(_xlfn.XLOOKUP(Tableau1[[#This Row],[Isin]]&amp;1&amp;2019,#REF!,Tableau3[Résultat Net (PdG)]),"")</f>
        <v/>
      </c>
      <c r="AW302" s="43" t="str">
        <f>IFERROR(_xlfn.XLOOKUP(Tableau1[[#This Row],[Isin]]&amp;1&amp;2018,#REF!,Tableau3[Résultat Net (PdG)]),"")</f>
        <v/>
      </c>
      <c r="AX302" s="43" t="str">
        <f>IFERROR(_xlfn.XLOOKUP(Tableau1[[#This Row],[Isin]]&amp;1&amp;2017,#REF!,Tableau3[Résultat Net (PdG)]),"")</f>
        <v/>
      </c>
      <c r="AY302" s="43" t="str">
        <f>IFERROR(_xlfn.XLOOKUP(Tableau1[[#This Row],[Isin]]&amp;1&amp;2016,#REF!,Tableau3[Résultat Net (PdG)]),"")</f>
        <v/>
      </c>
      <c r="AZ302" s="137" t="str">
        <f ca="1">IFERROR(Tableau1[[#This Row],[Capitalisation boursière]]/Tableau1[[#This Row],[RN Groupe 2023]],"")</f>
        <v/>
      </c>
      <c r="BA302" s="4" t="s">
        <v>371</v>
      </c>
      <c r="BB302" s="43" t="s">
        <v>3477</v>
      </c>
      <c r="BC302" s="43" t="str">
        <f>IFERROR(_xlfn.XLOOKUP(Tableau1[[#This Row],[Isin]]&amp;1&amp;2016,#REF!,Tableau3[Capi]),"")</f>
        <v/>
      </c>
      <c r="BD302" s="43" t="str">
        <f>IFERROR(_xlfn.XLOOKUP(Tableau1[[#This Row],[Isin]]&amp;1&amp;2017,#REF!,Tableau3[Capi]),"")</f>
        <v/>
      </c>
      <c r="BE302" s="43" t="str">
        <f>IFERROR(_xlfn.XLOOKUP(Tableau1[[#This Row],[Isin]]&amp;1&amp;2018,#REF!,Tableau3[Capi]),"")</f>
        <v/>
      </c>
      <c r="BF302" s="43" t="str">
        <f>IFERROR(_xlfn.XLOOKUP(Tableau1[[#This Row],[Isin]]&amp;1&amp;2019,#REF!,Tableau3[Capi]),"")</f>
        <v/>
      </c>
      <c r="BG302" s="43" t="str">
        <f>IFERROR(_xlfn.XLOOKUP(Tableau1[[#This Row],[Isin]]&amp;1&amp;2020,#REF!,Tableau3[Capi]),"")</f>
        <v/>
      </c>
      <c r="BH302" s="43">
        <f>IF(IFERROR(_xlfn.XLOOKUP(Tableau1[[#This Row],[Isin]]&amp;1&amp;2021,#REF!,Tableau3[Capi]),"")="",Tableau1[[#This Row],[Capitalisation 2021
Manuel]],IFERROR(_xlfn.XLOOKUP(Tableau1[[#This Row],[Isin]]&amp;1&amp;2021,#REF!,Tableau3[Capi]),""))</f>
        <v>0</v>
      </c>
      <c r="BI302" s="43"/>
      <c r="BJ302" s="43">
        <f>IF(IFERROR(_xlfn.XLOOKUP(Tableau1[[#This Row],[Isin]]&amp;1&amp;2022,#REF!,Tableau3[Capi]),"")="",Tableau1[[#This Row],[Capitalisation 2022
Manuel]],IFERROR(_xlfn.XLOOKUP(Tableau1[[#This Row],[Isin]]&amp;1&amp;2022,#REF!,Tableau3[Capi]),""))</f>
        <v>0</v>
      </c>
      <c r="BK302" s="43"/>
      <c r="BL302" s="43">
        <f ca="1">Tableau1[[#This Row],[Capitalisation boursière]]</f>
        <v>5534677000</v>
      </c>
      <c r="BM302" s="162" t="str" cm="1">
        <f t="array" aca="1" ref="BM302" ca="1">_FV(Tableau1[[#This Row],[Code Excel]],"Description")</f>
        <v>Technip Energies NV est une société basée en France. La Société est spécialisée dans la fourniture de projets, technologies, produits et services sur les infrastructures énergétiques onshore et offshore (GNL, aval, chimie durable, hydrogène, gestion du CO2 et infrastructures marines). Son expertise comprend une gamme complète de services de conception et de développement de projets, de l'engagement précoce à la livraison. Il combine les capacités E&amp;C avec son expertise technologique pour développer de nouvelles solutions qui accompagneront la transition énergétique mondiale et est un pionnier du GNL, carburant critique de la transition. En outre, il propose une gamme de solutions de conception, de construction et industrielles qui deviendront de plus en plus importantes à mesure que le monde passera à une économie moins dépendante du carbone.</v>
      </c>
      <c r="BN302" s="43"/>
      <c r="BO302" s="43"/>
      <c r="BP302" s="43"/>
      <c r="BQ302" s="43"/>
      <c r="BR302" s="13"/>
      <c r="BS302" s="13"/>
      <c r="BT302" s="13"/>
      <c r="BU302" s="13"/>
      <c r="BV302" s="13"/>
      <c r="BW302" s="13"/>
      <c r="BX302" s="13"/>
      <c r="BY302" s="21"/>
      <c r="BZ302" s="13"/>
      <c r="CA302" s="13"/>
      <c r="CB302" s="13"/>
      <c r="CC302" s="13"/>
      <c r="CD302" s="13"/>
      <c r="CF302" s="4"/>
      <c r="CG302" s="4"/>
    </row>
    <row r="303" spans="3:85">
      <c r="C303" s="42"/>
      <c r="D303" s="42">
        <f>IF(Tableau1[[#This Row],[Isin]]="",99,Tableau1[[#This Row],[Intérêt]]+Tableau1[[#This Row],[Valeur d''intérêt]]+Tableau1[[#This Row],[N° Portefeuille]])</f>
        <v>30</v>
      </c>
      <c r="E303" s="42"/>
      <c r="F303" s="42">
        <f>IF(Tableau1[[#This Row],[Portefeuille]]="p",0,Tableau1[[#This Row],[F. Investissement
Niveau d''intérêt]]*10)</f>
        <v>30</v>
      </c>
      <c r="G303" s="42">
        <f>IF(Tableau1[[#This Row],[Portefeuille]]="p",3,0)</f>
        <v>0</v>
      </c>
      <c r="H303" s="42">
        <v>3</v>
      </c>
      <c r="I303" s="42">
        <v>4</v>
      </c>
      <c r="J303" s="42"/>
      <c r="K303" s="43"/>
      <c r="L303" s="16">
        <v>0</v>
      </c>
      <c r="M30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3" s="44" t="s">
        <v>4162</v>
      </c>
      <c r="O303" s="45"/>
      <c r="P303" s="4" t="s">
        <v>452</v>
      </c>
      <c r="Q303" s="4"/>
      <c r="R303" s="6"/>
      <c r="S303" s="6" t="s">
        <v>4163</v>
      </c>
      <c r="T303" s="6" t="e" vm="281">
        <v>#VALUE!</v>
      </c>
      <c r="U303" s="46" cm="1">
        <f t="array" aca="1" ref="U303" ca="1">IFERROR(_FV(Tableau1[[#This Row],[Code Excel]],"Capitalisation boursière",TRUE),"")</f>
        <v>2374721000</v>
      </c>
      <c r="V303" s="4" t="str" cm="1">
        <f t="array" aca="1" ref="V303" ca="1">IFERROR(_FV(Tableau1[[#This Row],[Code Excel]],"Industrie"),"")</f>
        <v>Telecommunications Services</v>
      </c>
      <c r="W303" s="4" t="s">
        <v>1737</v>
      </c>
      <c r="X303" s="4" t="str">
        <f ca="1">Tableau1[[#This Row],[Grand Secteur]]&amp;Tableau1[[#This Row],[Industrie]]</f>
        <v>TélécommunicationTelecommunications Services</v>
      </c>
      <c r="Y303" s="23" cm="1">
        <f t="array" aca="1" ref="Y303" ca="1">IFERROR(_FV(Tableau1[[#This Row],[Code Excel]],"P/E",TRUE),"")</f>
        <v>11.8264</v>
      </c>
      <c r="Z303" s="43" cm="1">
        <f t="array" aca="1" ref="Z303" ca="1">IFERROR(_FV(Tableau1[[#This Row],[Code Excel]],"Employés"),"")</f>
        <v>3283</v>
      </c>
      <c r="AA303" s="49">
        <f ca="1">IFERROR(Tableau1[[#This Row],[Capitalisation boursière]]/Tableau1[[#This Row],[Employés]],"")</f>
        <v>723338.71459031373</v>
      </c>
      <c r="AB303" s="5" t="str">
        <f>IFERROR(Tableau1[[#This Row],[REX (2021)]]/Tableau1[[#This Row],[CA 2024]],"")</f>
        <v/>
      </c>
      <c r="AC303" s="9" t="str">
        <f>IFERROR(_xlfn.XLOOKUP(Tableau1[[#This Row],[Isin]]&amp;1&amp;2021,#REF!,Tableau3[Résultat d''exploitation]),"")</f>
        <v/>
      </c>
      <c r="AD303" s="9" t="str">
        <f>IFERROR(_xlfn.XLOOKUP(Tableau1[[#This Row],[Isin]]&amp;1&amp;2019,#REF!,Tableau3[Chiffre d''affaires]),"")</f>
        <v/>
      </c>
      <c r="AE303" s="9" t="str">
        <f>IFERROR(_xlfn.XLOOKUP(Tableau1[[#This Row],[Isin]]&amp;1&amp;2024,#REF!,Tableau3[Chiffre d''affaires]),"")</f>
        <v/>
      </c>
      <c r="AF303" s="8" t="str">
        <f>IFERROR(IF((Tableau1[[#This Row],[CA 2024]]-Tableau1[[#This Row],[CA 2019]])/Tableau1[[#This Row],[CA 2019]]=-1,"",(Tableau1[[#This Row],[CA 2024]]-Tableau1[[#This Row],[CA 2019]])/Tableau1[[#This Row],[CA 2019]]),"")</f>
        <v/>
      </c>
      <c r="AG303" s="9" t="str">
        <f>IFERROR(_xlfn.XLOOKUP(Tableau1[[#This Row],[Isin]]&amp;1&amp;2021,#REF!,Tableau3[EBE]),"")</f>
        <v/>
      </c>
      <c r="AH303" s="9" t="str">
        <f>IFERROR(_xlfn.XLOOKUP(Tableau1[[#This Row],[Isin]]&amp;1&amp;2022,#REF!,Tableau3[EBE]),"")</f>
        <v/>
      </c>
      <c r="AI303" s="13" t="s">
        <v>4324</v>
      </c>
      <c r="AJ303" s="43" t="s">
        <v>4376</v>
      </c>
      <c r="AK303" s="43" t="s">
        <v>4377</v>
      </c>
      <c r="AL303" s="43"/>
      <c r="AM303" s="43"/>
      <c r="AN303" s="9" t="str">
        <f>IFERROR(_xlfn.XLOOKUP(Tableau1[[#This Row],[Isin]]&amp;1&amp;2021,#REF!,Tableau3[Chiffre d''affaires]),"")</f>
        <v/>
      </c>
      <c r="AO303" s="43" cm="1">
        <f t="array" aca="1" ref="AO303" ca="1">_FV(Tableau1[[#This Row],[Code Excel]],"P/E",TRUE)</f>
        <v>11.8264</v>
      </c>
      <c r="AP303" s="43" t="str">
        <f>IFERROR(_xlfn.XLOOKUP(Tableau1[[#This Row],[Isin]]&amp;1&amp;2023,#REF!,Tableau3[Résultat Net (PdG)]),"")</f>
        <v/>
      </c>
      <c r="AQ303" s="43">
        <f>IF(IFERROR(_xlfn.XLOOKUP(Tableau1[[#This Row],[Isin]]&amp;1&amp;2022,#REF!,Tableau3[Résultat Net (PdG)]),"")="",Tableau1[[#This Row],[RN Groupe 2022
Manuel]],IFERROR(_xlfn.XLOOKUP(Tableau1[[#This Row],[Isin]]&amp;1&amp;2022,#REF!,Tableau3[Résultat Net (PdG)]),""))</f>
        <v>0</v>
      </c>
      <c r="AR303" s="43"/>
      <c r="AS303" s="43">
        <f>IF(IFERROR(_xlfn.XLOOKUP(Tableau1[[#This Row],[Isin]]&amp;1&amp;2021,#REF!,Tableau3[Résultat Net (PdG)]),"")="",Tableau1[[#This Row],[RN Groupe 2021
Manuel]],IFERROR(_xlfn.XLOOKUP(Tableau1[[#This Row],[Isin]]&amp;1&amp;2021,#REF!,Tableau3[Résultat Net (PdG)]),""))</f>
        <v>0</v>
      </c>
      <c r="AT303" s="43"/>
      <c r="AU303" s="43" t="str">
        <f>IFERROR(_xlfn.XLOOKUP(Tableau1[[#This Row],[Isin]]&amp;1&amp;2020,#REF!,Tableau3[Résultat Net (PdG)]),"")</f>
        <v/>
      </c>
      <c r="AV303" s="43" t="str">
        <f>IFERROR(_xlfn.XLOOKUP(Tableau1[[#This Row],[Isin]]&amp;1&amp;2019,#REF!,Tableau3[Résultat Net (PdG)]),"")</f>
        <v/>
      </c>
      <c r="AW303" s="43" t="str">
        <f>IFERROR(_xlfn.XLOOKUP(Tableau1[[#This Row],[Isin]]&amp;1&amp;2018,#REF!,Tableau3[Résultat Net (PdG)]),"")</f>
        <v/>
      </c>
      <c r="AX303" s="43" t="str">
        <f>IFERROR(_xlfn.XLOOKUP(Tableau1[[#This Row],[Isin]]&amp;1&amp;2017,#REF!,Tableau3[Résultat Net (PdG)]),"")</f>
        <v/>
      </c>
      <c r="AY303" s="43" t="str">
        <f>IFERROR(_xlfn.XLOOKUP(Tableau1[[#This Row],[Isin]]&amp;1&amp;2016,#REF!,Tableau3[Résultat Net (PdG)]),"")</f>
        <v/>
      </c>
      <c r="AZ303" s="137" t="str">
        <f ca="1">IFERROR(Tableau1[[#This Row],[Capitalisation boursière]]/Tableau1[[#This Row],[RN Groupe 2023]],"")</f>
        <v/>
      </c>
      <c r="BA303" s="4" t="str" cm="1">
        <f t="array" aca="1" ref="BA303" ca="1">IFERROR(_FV(Tableau1[[#This Row],[Code Excel]],"Industrie"),"")</f>
        <v>Telecommunications Services</v>
      </c>
      <c r="BB303" s="43" t="s">
        <v>3482</v>
      </c>
      <c r="BC303" s="43" t="str">
        <f>IFERROR(_xlfn.XLOOKUP(Tableau1[[#This Row],[Isin]]&amp;1&amp;2016,#REF!,Tableau3[Capi]),"")</f>
        <v/>
      </c>
      <c r="BD303" s="43" t="str">
        <f>IFERROR(_xlfn.XLOOKUP(Tableau1[[#This Row],[Isin]]&amp;1&amp;2017,#REF!,Tableau3[Capi]),"")</f>
        <v/>
      </c>
      <c r="BE303" s="43" t="str">
        <f>IFERROR(_xlfn.XLOOKUP(Tableau1[[#This Row],[Isin]]&amp;1&amp;2018,#REF!,Tableau3[Capi]),"")</f>
        <v/>
      </c>
      <c r="BF303" s="43" t="str">
        <f>IFERROR(_xlfn.XLOOKUP(Tableau1[[#This Row],[Isin]]&amp;1&amp;2019,#REF!,Tableau3[Capi]),"")</f>
        <v/>
      </c>
      <c r="BG303" s="43" t="str">
        <f>IFERROR(_xlfn.XLOOKUP(Tableau1[[#This Row],[Isin]]&amp;1&amp;2020,#REF!,Tableau3[Capi]),"")</f>
        <v/>
      </c>
      <c r="BH303" s="43">
        <f>IF(IFERROR(_xlfn.XLOOKUP(Tableau1[[#This Row],[Isin]]&amp;1&amp;2021,#REF!,Tableau3[Capi]),"")="",Tableau1[[#This Row],[Capitalisation 2021
Manuel]],IFERROR(_xlfn.XLOOKUP(Tableau1[[#This Row],[Isin]]&amp;1&amp;2021,#REF!,Tableau3[Capi]),""))</f>
        <v>0</v>
      </c>
      <c r="BI303" s="43"/>
      <c r="BJ303" s="43">
        <f>IF(IFERROR(_xlfn.XLOOKUP(Tableau1[[#This Row],[Isin]]&amp;1&amp;2022,#REF!,Tableau3[Capi]),"")="",Tableau1[[#This Row],[Capitalisation 2022
Manuel]],IFERROR(_xlfn.XLOOKUP(Tableau1[[#This Row],[Isin]]&amp;1&amp;2022,#REF!,Tableau3[Capi]),""))</f>
        <v>0</v>
      </c>
      <c r="BK303" s="43"/>
      <c r="BL303" s="43">
        <f ca="1">Tableau1[[#This Row],[Capitalisation boursière]]</f>
        <v>2374721000</v>
      </c>
      <c r="BM303" s="162" t="str" cm="1">
        <f t="array" aca="1" ref="BM303" ca="1">_FV(Tableau1[[#This Row],[Code Excel]],"Description")</f>
        <v>Telenet Group Holding NV is a Belgium-based provider of media and communication services to the public and private sectors. It is focused on television (TV), Internet and telephony. The Company’s product portfolio comprises cabled TV channel broadcasting, Internet access services, landline telephony, mobile telephony, business services, such as voice and data transmission through fiber-optic cable, coaxial cable, and wireless infrastructures intended primarily for public, health, and education facilities, and voice, data, and Internet service suppliers, among others. In addition, the Company provides its products and services to various corporations, government organizations, healthcare and educational institutions, as well as small and medium-sized enterprises. It operates Lycamobile as its mobile network, as well as Coditel Brabant Bvba And Coditel Sarl.</v>
      </c>
      <c r="BN303" s="43"/>
      <c r="BO303" s="43"/>
      <c r="BP303" s="43"/>
      <c r="BQ303" s="43"/>
      <c r="BR303" s="13"/>
      <c r="BS303" s="13"/>
      <c r="BT303" s="13"/>
      <c r="BU303" s="13"/>
      <c r="BV303" s="13"/>
      <c r="BW303" s="13"/>
      <c r="BX303" s="13"/>
      <c r="BY303" s="21"/>
      <c r="BZ303" s="13"/>
      <c r="CA303" s="13"/>
      <c r="CB303" s="13"/>
      <c r="CC303" s="13"/>
      <c r="CD303" s="13"/>
      <c r="CF303" s="4"/>
      <c r="CG303" s="4"/>
    </row>
    <row r="304" spans="3:85">
      <c r="C304" s="43"/>
      <c r="D304" s="42">
        <f>IF(Tableau1[[#This Row],[Isin]]="",99,Tableau1[[#This Row],[Intérêt]]+Tableau1[[#This Row],[Valeur d''intérêt]]+Tableau1[[#This Row],[N° Portefeuille]])</f>
        <v>30</v>
      </c>
      <c r="E304" s="43"/>
      <c r="F304" s="42">
        <f>IF(Tableau1[[#This Row],[Portefeuille]]="p",0,Tableau1[[#This Row],[F. Investissement
Niveau d''intérêt]]*10)</f>
        <v>30</v>
      </c>
      <c r="G304" s="43">
        <f>IF(Tableau1[[#This Row],[Portefeuille]]="p",3,0)</f>
        <v>0</v>
      </c>
      <c r="H304" s="42">
        <v>3</v>
      </c>
      <c r="I304" s="43">
        <v>4</v>
      </c>
      <c r="J304" s="43"/>
      <c r="K304" s="43"/>
      <c r="L304" s="16">
        <v>0</v>
      </c>
      <c r="M30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4" s="44" t="s">
        <v>4165</v>
      </c>
      <c r="O304" s="45"/>
      <c r="P304" s="4" t="s">
        <v>84</v>
      </c>
      <c r="Q304" s="4"/>
      <c r="R304" s="6"/>
      <c r="S304" s="6" t="s">
        <v>4166</v>
      </c>
      <c r="T304" s="6" t="e" vm="282">
        <v>#VALUE!</v>
      </c>
      <c r="U304" s="46" cm="1">
        <f t="array" aca="1" ref="U304" ca="1">IFERROR(_FV(Tableau1[[#This Row],[Code Excel]],"Capitalisation boursière",TRUE),"")</f>
        <v>5765901000</v>
      </c>
      <c r="V304" s="4" t="str" cm="1">
        <f t="array" aca="1" ref="V304" ca="1">IFERROR(_FV(Tableau1[[#This Row],[Code Excel]],"Industrie"),"")</f>
        <v>Professional &amp; Commercial Services</v>
      </c>
      <c r="W304" s="4" t="s">
        <v>2918</v>
      </c>
      <c r="X304" s="4" t="str">
        <f ca="1">Tableau1[[#This Row],[Grand Secteur]]&amp;Tableau1[[#This Row],[Industrie]]</f>
        <v>B to BProfessional &amp; Commercial Services</v>
      </c>
      <c r="Y304" s="23" cm="1">
        <f t="array" aca="1" ref="Y304" ca="1">IFERROR(_FV(Tableau1[[#This Row],[Code Excel]],"P/E",TRUE),"")</f>
        <v>10.998200000000001</v>
      </c>
      <c r="Z304" s="43" cm="1">
        <f t="array" aca="1" ref="Z304" ca="1">IFERROR(_FV(Tableau1[[#This Row],[Code Excel]],"Employés"),"")</f>
        <v>446052</v>
      </c>
      <c r="AA304" s="46">
        <f ca="1">IFERROR(Tableau1[[#This Row],[Capitalisation boursière]]/Tableau1[[#This Row],[Employés]],"")</f>
        <v>12926.522019854187</v>
      </c>
      <c r="AB304" s="5" t="str">
        <f>IFERROR(Tableau1[[#This Row],[REX (2021)]]/Tableau1[[#This Row],[CA 2024]],"")</f>
        <v/>
      </c>
      <c r="AC304" s="9" t="str">
        <f>IFERROR(_xlfn.XLOOKUP(Tableau1[[#This Row],[Isin]]&amp;1&amp;2021,#REF!,Tableau3[Résultat d''exploitation]),"")</f>
        <v/>
      </c>
      <c r="AD304" s="9" t="str">
        <f>IFERROR(_xlfn.XLOOKUP(Tableau1[[#This Row],[Isin]]&amp;1&amp;2019,#REF!,Tableau3[Chiffre d''affaires]),"")</f>
        <v/>
      </c>
      <c r="AE304" s="9" t="str">
        <f>IFERROR(_xlfn.XLOOKUP(Tableau1[[#This Row],[Isin]]&amp;1&amp;2024,#REF!,Tableau3[Chiffre d''affaires]),"")</f>
        <v/>
      </c>
      <c r="AF304" s="8" t="str">
        <f>IFERROR(IF((Tableau1[[#This Row],[CA 2024]]-Tableau1[[#This Row],[CA 2019]])/Tableau1[[#This Row],[CA 2019]]=-1,"",(Tableau1[[#This Row],[CA 2024]]-Tableau1[[#This Row],[CA 2019]])/Tableau1[[#This Row],[CA 2019]]),"")</f>
        <v/>
      </c>
      <c r="AG304" s="9" t="str">
        <f>IFERROR(_xlfn.XLOOKUP(Tableau1[[#This Row],[Isin]]&amp;1&amp;2021,#REF!,Tableau3[EBE]),"")</f>
        <v/>
      </c>
      <c r="AH304" s="9" t="str">
        <f>IFERROR(_xlfn.XLOOKUP(Tableau1[[#This Row],[Isin]]&amp;1&amp;2022,#REF!,Tableau3[EBE]),"")</f>
        <v/>
      </c>
      <c r="AI304" s="43" t="s">
        <v>3419</v>
      </c>
      <c r="AJ304" s="43" t="s">
        <v>4322</v>
      </c>
      <c r="AK304" s="43" t="s">
        <v>3431</v>
      </c>
      <c r="AL304" s="43"/>
      <c r="AM304" s="43"/>
      <c r="AN304" s="9" t="str">
        <f>IFERROR(_xlfn.XLOOKUP(Tableau1[[#This Row],[Isin]]&amp;1&amp;2021,#REF!,Tableau3[Chiffre d''affaires]),"")</f>
        <v/>
      </c>
      <c r="AO304" s="43" cm="1">
        <f t="array" aca="1" ref="AO304" ca="1">_FV(Tableau1[[#This Row],[Code Excel]],"P/E",TRUE)</f>
        <v>10.998200000000001</v>
      </c>
      <c r="AP304" s="43" t="str">
        <f>IFERROR(_xlfn.XLOOKUP(Tableau1[[#This Row],[Isin]]&amp;1&amp;2023,#REF!,Tableau3[Résultat Net (PdG)]),"")</f>
        <v/>
      </c>
      <c r="AQ304" s="43">
        <f>IF(IFERROR(_xlfn.XLOOKUP(Tableau1[[#This Row],[Isin]]&amp;1&amp;2022,#REF!,Tableau3[Résultat Net (PdG)]),"")="",Tableau1[[#This Row],[RN Groupe 2022
Manuel]],IFERROR(_xlfn.XLOOKUP(Tableau1[[#This Row],[Isin]]&amp;1&amp;2022,#REF!,Tableau3[Résultat Net (PdG)]),""))</f>
        <v>645000000</v>
      </c>
      <c r="AR304" s="140">
        <v>645000000</v>
      </c>
      <c r="AS304" s="43">
        <f>IF(IFERROR(_xlfn.XLOOKUP(Tableau1[[#This Row],[Isin]]&amp;1&amp;2021,#REF!,Tableau3[Résultat Net (PdG)]),"")="",Tableau1[[#This Row],[RN Groupe 2021
Manuel]],IFERROR(_xlfn.XLOOKUP(Tableau1[[#This Row],[Isin]]&amp;1&amp;2021,#REF!,Tableau3[Résultat Net (PdG)]),""))</f>
        <v>557000000</v>
      </c>
      <c r="AT304" s="140">
        <v>557000000</v>
      </c>
      <c r="AU304" s="43" t="str">
        <f>IFERROR(_xlfn.XLOOKUP(Tableau1[[#This Row],[Isin]]&amp;1&amp;2020,#REF!,Tableau3[Résultat Net (PdG)]),"")</f>
        <v/>
      </c>
      <c r="AV304" s="43" t="str">
        <f>IFERROR(_xlfn.XLOOKUP(Tableau1[[#This Row],[Isin]]&amp;1&amp;2019,#REF!,Tableau3[Résultat Net (PdG)]),"")</f>
        <v/>
      </c>
      <c r="AW304" s="43" t="str">
        <f>IFERROR(_xlfn.XLOOKUP(Tableau1[[#This Row],[Isin]]&amp;1&amp;2018,#REF!,Tableau3[Résultat Net (PdG)]),"")</f>
        <v/>
      </c>
      <c r="AX304" s="43" t="str">
        <f>IFERROR(_xlfn.XLOOKUP(Tableau1[[#This Row],[Isin]]&amp;1&amp;2017,#REF!,Tableau3[Résultat Net (PdG)]),"")</f>
        <v/>
      </c>
      <c r="AY304" s="43" t="str">
        <f>IFERROR(_xlfn.XLOOKUP(Tableau1[[#This Row],[Isin]]&amp;1&amp;2016,#REF!,Tableau3[Résultat Net (PdG)]),"")</f>
        <v/>
      </c>
      <c r="AZ304" s="137" t="str">
        <f ca="1">IFERROR(Tableau1[[#This Row],[Capitalisation boursière]]/Tableau1[[#This Row],[RN Groupe 2023]],"")</f>
        <v/>
      </c>
      <c r="BA304" s="4" t="str" cm="1">
        <f t="array" aca="1" ref="BA304" ca="1">IFERROR(_FV(Tableau1[[#This Row],[Code Excel]],"Industrie"),"")</f>
        <v>Professional &amp; Commercial Services</v>
      </c>
      <c r="BB304" s="43" t="s">
        <v>3518</v>
      </c>
      <c r="BC304" s="43" t="str">
        <f>IFERROR(_xlfn.XLOOKUP(Tableau1[[#This Row],[Isin]]&amp;1&amp;2016,#REF!,Tableau3[Capi]),"")</f>
        <v/>
      </c>
      <c r="BD304" s="43" t="str">
        <f>IFERROR(_xlfn.XLOOKUP(Tableau1[[#This Row],[Isin]]&amp;1&amp;2017,#REF!,Tableau3[Capi]),"")</f>
        <v/>
      </c>
      <c r="BE304" s="43" t="str">
        <f>IFERROR(_xlfn.XLOOKUP(Tableau1[[#This Row],[Isin]]&amp;1&amp;2018,#REF!,Tableau3[Capi]),"")</f>
        <v/>
      </c>
      <c r="BF304" s="43" t="str">
        <f>IFERROR(_xlfn.XLOOKUP(Tableau1[[#This Row],[Isin]]&amp;1&amp;2019,#REF!,Tableau3[Capi]),"")</f>
        <v/>
      </c>
      <c r="BG304" s="43" t="str">
        <f>IFERROR(_xlfn.XLOOKUP(Tableau1[[#This Row],[Isin]]&amp;1&amp;2020,#REF!,Tableau3[Capi]),"")</f>
        <v/>
      </c>
      <c r="BH304" s="43">
        <f>IF(IFERROR(_xlfn.XLOOKUP(Tableau1[[#This Row],[Isin]]&amp;1&amp;2021,#REF!,Tableau3[Capi]),"")="",Tableau1[[#This Row],[Capitalisation 2021
Manuel]],IFERROR(_xlfn.XLOOKUP(Tableau1[[#This Row],[Isin]]&amp;1&amp;2021,#REF!,Tableau3[Capi]),""))</f>
        <v>18502251000</v>
      </c>
      <c r="BI304" s="142">
        <v>18502251000</v>
      </c>
      <c r="BJ304" s="141">
        <f>IF(IFERROR(_xlfn.XLOOKUP(Tableau1[[#This Row],[Isin]]&amp;1&amp;2022,#REF!,Tableau3[Capi]),"")="",Tableau1[[#This Row],[Capitalisation 2022
Manuel]],IFERROR(_xlfn.XLOOKUP(Tableau1[[#This Row],[Isin]]&amp;1&amp;2022,#REF!,Tableau3[Capi]),""))</f>
        <v>15512438000</v>
      </c>
      <c r="BK304" s="142">
        <v>15512438000</v>
      </c>
      <c r="BL304" s="43">
        <f ca="1">Tableau1[[#This Row],[Capitalisation boursière]]</f>
        <v>5765901000</v>
      </c>
      <c r="BM304" s="162" t="str" cm="1">
        <f t="array" aca="1" ref="BM304" ca="1">_FV(Tableau1[[#This Row],[Code Excel]],"Description")</f>
        <v>Teleperformance se, anciennement Teleperformance sa, est un fournisseur de télémarketing et de téléservices basé en France. La Société fournit des services externalisés et des conseils d'affaires dédiés à la gestion de la relation client. Elle est spécialisée dans l'externalisation de centres de contact dédiés à la gestion de la relation client. La Société offre des services de gestion de l'expérience client, des services d'information client, de l'assistance technique, de l'acquisition de clients, des services de back-office. Elle offre des services intégrés de gestion des processus d'affaires et de transformation numérique ainsi que des services de conseil à forte valeur ajoutée. La Société fournit des services spécialisés, l'interprétation en ligne, la gestion des demandes de visa et le recouvrement de créances.</v>
      </c>
      <c r="BN304" s="43"/>
      <c r="BO304" s="43"/>
      <c r="BP304" s="43"/>
      <c r="BQ304" s="43"/>
      <c r="BR304" s="13"/>
      <c r="BS304" s="13"/>
      <c r="BT304" s="13"/>
      <c r="BU304" s="13"/>
      <c r="BV304" s="13"/>
      <c r="BW304" s="13"/>
      <c r="BX304" s="13"/>
      <c r="BY304" s="21"/>
      <c r="BZ304" s="13"/>
      <c r="CA304" s="13"/>
      <c r="CB304" s="13"/>
      <c r="CC304" s="13"/>
      <c r="CD304" s="13"/>
      <c r="CF304" s="4"/>
      <c r="CG304" s="4"/>
    </row>
    <row r="305" spans="3:85">
      <c r="C305" s="42"/>
      <c r="D305" s="42">
        <f>IF(Tableau1[[#This Row],[Isin]]="",99,Tableau1[[#This Row],[Intérêt]]+Tableau1[[#This Row],[Valeur d''intérêt]]+Tableau1[[#This Row],[N° Portefeuille]])</f>
        <v>30</v>
      </c>
      <c r="E305" s="42"/>
      <c r="F305" s="42">
        <f>IF(Tableau1[[#This Row],[Portefeuille]]="p",0,Tableau1[[#This Row],[F. Investissement
Niveau d''intérêt]]*10)</f>
        <v>30</v>
      </c>
      <c r="G305" s="42">
        <f>IF(Tableau1[[#This Row],[Portefeuille]]="p",3,0)</f>
        <v>0</v>
      </c>
      <c r="H305" s="42">
        <v>3</v>
      </c>
      <c r="I305" s="42">
        <v>3</v>
      </c>
      <c r="J305" s="42"/>
      <c r="K305" s="43"/>
      <c r="L305" s="16">
        <v>1</v>
      </c>
      <c r="M30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5" s="44" t="s">
        <v>2768</v>
      </c>
      <c r="O305" s="44" t="s">
        <v>4428</v>
      </c>
      <c r="P305" s="4" t="s">
        <v>2770</v>
      </c>
      <c r="Q305" s="6" t="s">
        <v>2771</v>
      </c>
      <c r="R305" s="6"/>
      <c r="S305" s="6" t="s">
        <v>2773</v>
      </c>
      <c r="T305" s="6" t="e" vm="283">
        <v>#VALUE!</v>
      </c>
      <c r="U305" s="62" cm="1">
        <f t="array" aca="1" ref="U305" ca="1">IFERROR(_FV(Tableau1[[#This Row],[Code Excel]],"Capitalisation boursière",TRUE),"")</f>
        <v>4688115000000</v>
      </c>
      <c r="V305" s="4" t="str" cm="1">
        <f t="array" aca="1" ref="V305" ca="1">IFERROR(_FV(Tableau1[[#This Row],[Code Excel]],"Industrie"),"")</f>
        <v>Software &amp; IT Services</v>
      </c>
      <c r="W305" s="4" t="s">
        <v>4333</v>
      </c>
      <c r="X305" s="4" t="str">
        <f ca="1">Tableau1[[#This Row],[Grand Secteur]]&amp;Tableau1[[#This Row],[Industrie]]</f>
        <v>Logiciels et TechnologieSoftware &amp; IT Services</v>
      </c>
      <c r="Y305" s="23" cm="1">
        <f t="array" aca="1" ref="Y305" ca="1">IFERROR(_FV(Tableau1[[#This Row],[Code Excel]],"P/E",TRUE),"")</f>
        <v>22.29</v>
      </c>
      <c r="Z305" s="43" cm="1">
        <f t="array" aca="1" ref="Z305" ca="1">IFERROR(_FV(Tableau1[[#This Row],[Code Excel]],"Employés"),"")</f>
        <v>110558</v>
      </c>
      <c r="AA305" s="49">
        <f ca="1">IFERROR(Tableau1[[#This Row],[Capitalisation boursière]]/Tableau1[[#This Row],[Employés]],"")</f>
        <v>42404122.722914666</v>
      </c>
      <c r="AB305" s="5" t="str">
        <f>IFERROR(Tableau1[[#This Row],[REX (2021)]]/Tableau1[[#This Row],[CA 2024]],"")</f>
        <v/>
      </c>
      <c r="AC305" s="9" t="str">
        <f>IFERROR(_xlfn.XLOOKUP(Tableau1[[#This Row],[Isin]]&amp;1&amp;2021,#REF!,Tableau3[Résultat d''exploitation]),"")</f>
        <v/>
      </c>
      <c r="AD305" s="9" t="str">
        <f>IFERROR(_xlfn.XLOOKUP(Tableau1[[#This Row],[Isin]]&amp;1&amp;2019,#REF!,Tableau3[Chiffre d''affaires]),"")</f>
        <v/>
      </c>
      <c r="AE305" s="9" t="str">
        <f>IFERROR(_xlfn.XLOOKUP(Tableau1[[#This Row],[Isin]]&amp;1&amp;2024,#REF!,Tableau3[Chiffre d''affaires]),"")</f>
        <v/>
      </c>
      <c r="AF305" s="8" t="str">
        <f>IFERROR(IF((Tableau1[[#This Row],[CA 2024]]-Tableau1[[#This Row],[CA 2019]])/Tableau1[[#This Row],[CA 2019]]=-1,"",(Tableau1[[#This Row],[CA 2024]]-Tableau1[[#This Row],[CA 2019]])/Tableau1[[#This Row],[CA 2019]]),"")</f>
        <v/>
      </c>
      <c r="AG305" s="9" t="str">
        <f>IFERROR(_xlfn.XLOOKUP(Tableau1[[#This Row],[Isin]]&amp;1&amp;2021,#REF!,Tableau3[EBE]),"")</f>
        <v/>
      </c>
      <c r="AH305" s="9" t="str">
        <f>IFERROR(_xlfn.XLOOKUP(Tableau1[[#This Row],[Isin]]&amp;1&amp;2022,#REF!,Tableau3[EBE]),"")</f>
        <v/>
      </c>
      <c r="AI305" s="43" t="s">
        <v>4324</v>
      </c>
      <c r="AJ305" s="43" t="s">
        <v>4334</v>
      </c>
      <c r="AK305" s="43" t="s">
        <v>3148</v>
      </c>
      <c r="AL305" s="43" t="s">
        <v>3149</v>
      </c>
      <c r="AM305" s="43"/>
      <c r="AN305" s="9" t="str">
        <f>IFERROR(_xlfn.XLOOKUP(Tableau1[[#This Row],[Isin]]&amp;1&amp;2021,#REF!,Tableau3[Chiffre d''affaires]),"")</f>
        <v/>
      </c>
      <c r="AO305" s="43" cm="1">
        <f t="array" aca="1" ref="AO305" ca="1">_FV(Tableau1[[#This Row],[Code Excel]],"P/E",TRUE)</f>
        <v>22.29</v>
      </c>
      <c r="AP305" s="43" t="str">
        <f>IFERROR(_xlfn.XLOOKUP(Tableau1[[#This Row],[Isin]]&amp;1&amp;2023,#REF!,Tableau3[Résultat Net (PdG)]),"")</f>
        <v/>
      </c>
      <c r="AQ305" s="43">
        <f>IF(IFERROR(_xlfn.XLOOKUP(Tableau1[[#This Row],[Isin]]&amp;1&amp;2022,#REF!,Tableau3[Résultat Net (PdG)]),"")="",Tableau1[[#This Row],[RN Groupe 2022
Manuel]],IFERROR(_xlfn.XLOOKUP(Tableau1[[#This Row],[Isin]]&amp;1&amp;2022,#REF!,Tableau3[Résultat Net (PdG)]),""))</f>
        <v>0</v>
      </c>
      <c r="AR305" s="43"/>
      <c r="AS305" s="43">
        <f>IF(IFERROR(_xlfn.XLOOKUP(Tableau1[[#This Row],[Isin]]&amp;1&amp;2021,#REF!,Tableau3[Résultat Net (PdG)]),"")="",Tableau1[[#This Row],[RN Groupe 2021
Manuel]],IFERROR(_xlfn.XLOOKUP(Tableau1[[#This Row],[Isin]]&amp;1&amp;2021,#REF!,Tableau3[Résultat Net (PdG)]),""))</f>
        <v>0</v>
      </c>
      <c r="AT305" s="43"/>
      <c r="AU305" s="43" t="str">
        <f>IFERROR(_xlfn.XLOOKUP(Tableau1[[#This Row],[Isin]]&amp;1&amp;2020,#REF!,Tableau3[Résultat Net (PdG)]),"")</f>
        <v/>
      </c>
      <c r="AV305" s="43" t="str">
        <f>IFERROR(_xlfn.XLOOKUP(Tableau1[[#This Row],[Isin]]&amp;1&amp;2019,#REF!,Tableau3[Résultat Net (PdG)]),"")</f>
        <v/>
      </c>
      <c r="AW305" s="43" t="str">
        <f>IFERROR(_xlfn.XLOOKUP(Tableau1[[#This Row],[Isin]]&amp;1&amp;2018,#REF!,Tableau3[Résultat Net (PdG)]),"")</f>
        <v/>
      </c>
      <c r="AX305" s="43" t="str">
        <f>IFERROR(_xlfn.XLOOKUP(Tableau1[[#This Row],[Isin]]&amp;1&amp;2017,#REF!,Tableau3[Résultat Net (PdG)]),"")</f>
        <v/>
      </c>
      <c r="AY305" s="43" t="str">
        <f>IFERROR(_xlfn.XLOOKUP(Tableau1[[#This Row],[Isin]]&amp;1&amp;2016,#REF!,Tableau3[Résultat Net (PdG)]),"")</f>
        <v/>
      </c>
      <c r="AZ305" s="137" t="str">
        <f ca="1">IFERROR(Tableau1[[#This Row],[Capitalisation boursière]]/Tableau1[[#This Row],[RN Groupe 2023]],"")</f>
        <v/>
      </c>
      <c r="BA305" s="4" t="str" cm="1">
        <f t="array" aca="1" ref="BA305" ca="1">IFERROR(_FV(Tableau1[[#This Row],[Code Excel]],"Industrie"),"")</f>
        <v>Software &amp; IT Services</v>
      </c>
      <c r="BB305" s="43" t="e">
        <v>#N/A</v>
      </c>
      <c r="BC305" s="43" t="str">
        <f>IFERROR(_xlfn.XLOOKUP(Tableau1[[#This Row],[Isin]]&amp;1&amp;2016,#REF!,Tableau3[Capi]),"")</f>
        <v/>
      </c>
      <c r="BD305" s="43" t="str">
        <f>IFERROR(_xlfn.XLOOKUP(Tableau1[[#This Row],[Isin]]&amp;1&amp;2017,#REF!,Tableau3[Capi]),"")</f>
        <v/>
      </c>
      <c r="BE305" s="43" t="str">
        <f>IFERROR(_xlfn.XLOOKUP(Tableau1[[#This Row],[Isin]]&amp;1&amp;2018,#REF!,Tableau3[Capi]),"")</f>
        <v/>
      </c>
      <c r="BF305" s="43" t="str">
        <f>IFERROR(_xlfn.XLOOKUP(Tableau1[[#This Row],[Isin]]&amp;1&amp;2019,#REF!,Tableau3[Capi]),"")</f>
        <v/>
      </c>
      <c r="BG305" s="43" t="str">
        <f>IFERROR(_xlfn.XLOOKUP(Tableau1[[#This Row],[Isin]]&amp;1&amp;2020,#REF!,Tableau3[Capi]),"")</f>
        <v/>
      </c>
      <c r="BH305" s="43">
        <f>IF(IFERROR(_xlfn.XLOOKUP(Tableau1[[#This Row],[Isin]]&amp;1&amp;2021,#REF!,Tableau3[Capi]),"")="",Tableau1[[#This Row],[Capitalisation 2021
Manuel]],IFERROR(_xlfn.XLOOKUP(Tableau1[[#This Row],[Isin]]&amp;1&amp;2021,#REF!,Tableau3[Capi]),""))</f>
        <v>0</v>
      </c>
      <c r="BI305" s="43"/>
      <c r="BJ305" s="43">
        <f>IF(IFERROR(_xlfn.XLOOKUP(Tableau1[[#This Row],[Isin]]&amp;1&amp;2022,#REF!,Tableau3[Capi]),"")="",Tableau1[[#This Row],[Capitalisation 2022
Manuel]],IFERROR(_xlfn.XLOOKUP(Tableau1[[#This Row],[Isin]]&amp;1&amp;2022,#REF!,Tableau3[Capi]),""))</f>
        <v>0</v>
      </c>
      <c r="BK305" s="43"/>
      <c r="BL305" s="43">
        <f ca="1">Tableau1[[#This Row],[Capitalisation boursière]]</f>
        <v>4688115000000</v>
      </c>
      <c r="BM305" s="162" t="str" cm="1">
        <f t="array" aca="1" ref="BM305" ca="1">_FV(Tableau1[[#This Row],[Code Excel]],"Description")</f>
        <v>Tencent Holdings Ltd est une société holding d'investissement principalement spécialisée dans la fourniture de services à valeur ajoutée (vas), de services de publicité en ligne, ainsi que de FinTech et de services aux entreprises. La Société opère principalement dans quatre secteurs. Le segment vas est principalement actif dans la fourniture de jeux en ligne, de services de diffusion en direct de comptes vidéo, de services d'abonnement vidéo payants et d'autres services de réseaux sociaux. Le segment de la publicité en ligne est principalement engagé dans la publicité dans les médias, les réseaux sociaux et d'autres entreprises de publicité. Le segment FinTech and Business services fournit principalement des services de paiement commercial, FinTech et Cloud. Le secteur autres secteurs est principalement engagé dans l'investissement, la production et la distribution de films et d'émissions de télévision pour des tiers, la concession de licences de droits d'auteur, la vente de marchandises et diverses autres activités.</v>
      </c>
      <c r="BN305" s="43"/>
      <c r="BO305" s="43"/>
      <c r="BP305" s="43"/>
      <c r="BQ305" s="43"/>
      <c r="BR305" s="13"/>
      <c r="BS305" s="13"/>
      <c r="BT305" s="13"/>
      <c r="BU305" s="13"/>
      <c r="BV305" s="13"/>
      <c r="BW305" s="13"/>
      <c r="BX305" s="13"/>
      <c r="BY305" s="21"/>
      <c r="BZ305" s="13"/>
      <c r="CA305" s="13"/>
      <c r="CB305" s="13"/>
      <c r="CC305" s="13"/>
      <c r="CD305" s="13"/>
      <c r="CF305" s="4"/>
      <c r="CG305" s="4"/>
    </row>
    <row r="306" spans="3:85">
      <c r="C306" s="43"/>
      <c r="D306" s="42">
        <f>IF(Tableau1[[#This Row],[Isin]]="",99,Tableau1[[#This Row],[Intérêt]]+Tableau1[[#This Row],[Valeur d''intérêt]]+Tableau1[[#This Row],[N° Portefeuille]])</f>
        <v>30</v>
      </c>
      <c r="E306" s="43"/>
      <c r="F306" s="42">
        <f>IF(Tableau1[[#This Row],[Portefeuille]]="p",0,Tableau1[[#This Row],[F. Investissement
Niveau d''intérêt]]*10)</f>
        <v>30</v>
      </c>
      <c r="G306" s="43">
        <f>IF(Tableau1[[#This Row],[Portefeuille]]="p",3,0)</f>
        <v>0</v>
      </c>
      <c r="H306" s="42">
        <v>3</v>
      </c>
      <c r="I306" s="43">
        <v>4</v>
      </c>
      <c r="J306" s="43"/>
      <c r="K306" s="43"/>
      <c r="L306" s="16">
        <v>0</v>
      </c>
      <c r="M30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6" s="44" t="s">
        <v>4170</v>
      </c>
      <c r="O306" s="45"/>
      <c r="P306" s="4" t="s">
        <v>382</v>
      </c>
      <c r="Q306" s="4"/>
      <c r="R306" s="6"/>
      <c r="S306" s="6" t="s">
        <v>4171</v>
      </c>
      <c r="T306" s="6" t="e" vm="284">
        <v>#VALUE!</v>
      </c>
      <c r="U306" s="46" cm="1">
        <f t="array" aca="1" ref="U306" ca="1">IFERROR(_FV(Tableau1[[#This Row],[Code Excel]],"Capitalisation boursière",TRUE),"")</f>
        <v>790700291525</v>
      </c>
      <c r="V306" s="4" t="str" cm="1">
        <f t="array" aca="1" ref="V306" ca="1">IFERROR(_FV(Tableau1[[#This Row],[Code Excel]],"Industrie"),"")</f>
        <v>Automobiles &amp; Auto Parts</v>
      </c>
      <c r="W306" s="4" t="s">
        <v>1224</v>
      </c>
      <c r="X306" s="4" t="str">
        <f ca="1">Tableau1[[#This Row],[Grand Secteur]]&amp;Tableau1[[#This Row],[Industrie]]</f>
        <v>AutomobileAutomobiles &amp; Auto Parts</v>
      </c>
      <c r="Y306" s="23" cm="1">
        <f t="array" aca="1" ref="Y306" ca="1">IFERROR(_FV(Tableau1[[#This Row],[Code Excel]],"P/E",TRUE),"")</f>
        <v>119.727</v>
      </c>
      <c r="Z306" s="43" cm="1">
        <f t="array" aca="1" ref="Z306" ca="1">IFERROR(_FV(Tableau1[[#This Row],[Code Excel]],"Employés"),"")</f>
        <v>140473</v>
      </c>
      <c r="AA306" s="46">
        <f ca="1">IFERROR(Tableau1[[#This Row],[Capitalisation boursière]]/Tableau1[[#This Row],[Employés]],"")</f>
        <v>5628841.7811607923</v>
      </c>
      <c r="AB306" s="5" t="str">
        <f>IFERROR(Tableau1[[#This Row],[REX (2021)]]/Tableau1[[#This Row],[CA 2024]],"")</f>
        <v/>
      </c>
      <c r="AC306" s="9" t="str">
        <f>IFERROR(_xlfn.XLOOKUP(Tableau1[[#This Row],[Isin]]&amp;1&amp;2021,#REF!,Tableau3[Résultat d''exploitation]),"")</f>
        <v/>
      </c>
      <c r="AD306" s="9" t="str">
        <f>IFERROR(_xlfn.XLOOKUP(Tableau1[[#This Row],[Isin]]&amp;1&amp;2019,#REF!,Tableau3[Chiffre d''affaires]),"")</f>
        <v/>
      </c>
      <c r="AE306" s="9" t="str">
        <f>IFERROR(_xlfn.XLOOKUP(Tableau1[[#This Row],[Isin]]&amp;1&amp;2024,#REF!,Tableau3[Chiffre d''affaires]),"")</f>
        <v/>
      </c>
      <c r="AF306" s="8" t="str">
        <f>IFERROR(IF((Tableau1[[#This Row],[CA 2024]]-Tableau1[[#This Row],[CA 2019]])/Tableau1[[#This Row],[CA 2019]]=-1,"",(Tableau1[[#This Row],[CA 2024]]-Tableau1[[#This Row],[CA 2019]])/Tableau1[[#This Row],[CA 2019]]),"")</f>
        <v/>
      </c>
      <c r="AG306" s="9" t="str">
        <f>IFERROR(_xlfn.XLOOKUP(Tableau1[[#This Row],[Isin]]&amp;1&amp;2021,#REF!,Tableau3[EBE]),"")</f>
        <v/>
      </c>
      <c r="AH306" s="9" t="str">
        <f>IFERROR(_xlfn.XLOOKUP(Tableau1[[#This Row],[Isin]]&amp;1&amp;2022,#REF!,Tableau3[EBE]),"")</f>
        <v/>
      </c>
      <c r="AI306" s="43" t="s">
        <v>4329</v>
      </c>
      <c r="AJ306" s="43" t="s">
        <v>3150</v>
      </c>
      <c r="AK306" s="43" t="s">
        <v>3148</v>
      </c>
      <c r="AL306" s="43"/>
      <c r="AM306" s="43"/>
      <c r="AN306" s="9" t="str">
        <f>IFERROR(_xlfn.XLOOKUP(Tableau1[[#This Row],[Isin]]&amp;1&amp;2021,#REF!,Tableau3[Chiffre d''affaires]),"")</f>
        <v/>
      </c>
      <c r="AO306" s="43" cm="1">
        <f t="array" aca="1" ref="AO306" ca="1">_FV(Tableau1[[#This Row],[Code Excel]],"P/E",TRUE)</f>
        <v>119.727</v>
      </c>
      <c r="AP306" s="43" t="str">
        <f>IFERROR(_xlfn.XLOOKUP(Tableau1[[#This Row],[Isin]]&amp;1&amp;2023,#REF!,Tableau3[Résultat Net (PdG)]),"")</f>
        <v/>
      </c>
      <c r="AQ306" s="43">
        <f>IF(IFERROR(_xlfn.XLOOKUP(Tableau1[[#This Row],[Isin]]&amp;1&amp;2022,#REF!,Tableau3[Résultat Net (PdG)]),"")="",Tableau1[[#This Row],[RN Groupe 2022
Manuel]],IFERROR(_xlfn.XLOOKUP(Tableau1[[#This Row],[Isin]]&amp;1&amp;2022,#REF!,Tableau3[Résultat Net (PdG)]),""))</f>
        <v>0</v>
      </c>
      <c r="AR306" s="43"/>
      <c r="AS306" s="43">
        <f>IF(IFERROR(_xlfn.XLOOKUP(Tableau1[[#This Row],[Isin]]&amp;1&amp;2021,#REF!,Tableau3[Résultat Net (PdG)]),"")="",Tableau1[[#This Row],[RN Groupe 2021
Manuel]],IFERROR(_xlfn.XLOOKUP(Tableau1[[#This Row],[Isin]]&amp;1&amp;2021,#REF!,Tableau3[Résultat Net (PdG)]),""))</f>
        <v>0</v>
      </c>
      <c r="AT306" s="43"/>
      <c r="AU306" s="43" t="str">
        <f>IFERROR(_xlfn.XLOOKUP(Tableau1[[#This Row],[Isin]]&amp;1&amp;2020,#REF!,Tableau3[Résultat Net (PdG)]),"")</f>
        <v/>
      </c>
      <c r="AV306" s="43" t="str">
        <f>IFERROR(_xlfn.XLOOKUP(Tableau1[[#This Row],[Isin]]&amp;1&amp;2019,#REF!,Tableau3[Résultat Net (PdG)]),"")</f>
        <v/>
      </c>
      <c r="AW306" s="43" t="str">
        <f>IFERROR(_xlfn.XLOOKUP(Tableau1[[#This Row],[Isin]]&amp;1&amp;2018,#REF!,Tableau3[Résultat Net (PdG)]),"")</f>
        <v/>
      </c>
      <c r="AX306" s="43" t="str">
        <f>IFERROR(_xlfn.XLOOKUP(Tableau1[[#This Row],[Isin]]&amp;1&amp;2017,#REF!,Tableau3[Résultat Net (PdG)]),"")</f>
        <v/>
      </c>
      <c r="AY306" s="43" t="str">
        <f>IFERROR(_xlfn.XLOOKUP(Tableau1[[#This Row],[Isin]]&amp;1&amp;2016,#REF!,Tableau3[Résultat Net (PdG)]),"")</f>
        <v/>
      </c>
      <c r="AZ306" s="137" t="str">
        <f ca="1">IFERROR(Tableau1[[#This Row],[Capitalisation boursière]]/Tableau1[[#This Row],[RN Groupe 2023]],"")</f>
        <v/>
      </c>
      <c r="BA306" s="4" t="str" cm="1">
        <f t="array" aca="1" ref="BA306" ca="1">IFERROR(_FV(Tableau1[[#This Row],[Code Excel]],"Industrie"),"")</f>
        <v>Automobiles &amp; Auto Parts</v>
      </c>
      <c r="BB306" s="43" t="s">
        <v>3491</v>
      </c>
      <c r="BC306" s="43" t="str">
        <f>IFERROR(_xlfn.XLOOKUP(Tableau1[[#This Row],[Isin]]&amp;1&amp;2016,#REF!,Tableau3[Capi]),"")</f>
        <v/>
      </c>
      <c r="BD306" s="43" t="str">
        <f>IFERROR(_xlfn.XLOOKUP(Tableau1[[#This Row],[Isin]]&amp;1&amp;2017,#REF!,Tableau3[Capi]),"")</f>
        <v/>
      </c>
      <c r="BE306" s="43" t="str">
        <f>IFERROR(_xlfn.XLOOKUP(Tableau1[[#This Row],[Isin]]&amp;1&amp;2018,#REF!,Tableau3[Capi]),"")</f>
        <v/>
      </c>
      <c r="BF306" s="43" t="str">
        <f>IFERROR(_xlfn.XLOOKUP(Tableau1[[#This Row],[Isin]]&amp;1&amp;2019,#REF!,Tableau3[Capi]),"")</f>
        <v/>
      </c>
      <c r="BG306" s="43" t="str">
        <f>IFERROR(_xlfn.XLOOKUP(Tableau1[[#This Row],[Isin]]&amp;1&amp;2020,#REF!,Tableau3[Capi]),"")</f>
        <v/>
      </c>
      <c r="BH306" s="43">
        <f>IF(IFERROR(_xlfn.XLOOKUP(Tableau1[[#This Row],[Isin]]&amp;1&amp;2021,#REF!,Tableau3[Capi]),"")="",Tableau1[[#This Row],[Capitalisation 2021
Manuel]],IFERROR(_xlfn.XLOOKUP(Tableau1[[#This Row],[Isin]]&amp;1&amp;2021,#REF!,Tableau3[Capi]),""))</f>
        <v>0</v>
      </c>
      <c r="BI306" s="43"/>
      <c r="BJ306" s="43">
        <f>IF(IFERROR(_xlfn.XLOOKUP(Tableau1[[#This Row],[Isin]]&amp;1&amp;2022,#REF!,Tableau3[Capi]),"")="",Tableau1[[#This Row],[Capitalisation 2022
Manuel]],IFERROR(_xlfn.XLOOKUP(Tableau1[[#This Row],[Isin]]&amp;1&amp;2022,#REF!,Tableau3[Capi]),""))</f>
        <v>0</v>
      </c>
      <c r="BK306" s="43"/>
      <c r="BL306" s="43">
        <f ca="1">Tableau1[[#This Row],[Capitalisation boursière]]</f>
        <v>790700291525</v>
      </c>
      <c r="BM306" s="162" t="str" cm="1">
        <f t="array" aca="1" ref="BM306" ca="1">_FV(Tableau1[[#This Row],[Code Excel]],"Description")</f>
        <v>Tesla, Inc. Conçoit, développe, fabrique, vend et loue des véhicules entièrement électriques et des systèmes de production et de stockage d'énergie, et offre des services liés à ses produits. Le secteur automobile de la Société comprend la conception, le développement, la fabrication, la vente et la location de véhicules électriques ainsi que la vente de crédits réglementaires pour l'automobile. De plus, le segment automobile comprend également les services et autres, ce qui comprend les services après-vente de véhicules hors garantie, les ventes de véhicules d'occasion, les marchandises au détail, les ventes par ses filiales acquises à des clients tiers et l'assurance de véhicules. Son segment de production et de stockage d'énergie comprend la conception, la fabrication, l'installation, la vente et la location de produits de production et de stockage d'énergie solaire, ainsi que les services connexes et la vente d'incitations pour les systèmes d'énergie solaire. Ses produits automobiles comprennent le modèle 3, le modèle y, le modèle S et le modèle X. Powerwall et Megapack sont ses produits de stockage d'énergie de batterie lithium-ion.</v>
      </c>
      <c r="BN306" s="43"/>
      <c r="BO306" s="43"/>
      <c r="BP306" s="43"/>
      <c r="BQ306" s="43"/>
      <c r="BR306" s="13"/>
      <c r="BS306" s="13"/>
      <c r="BT306" s="13"/>
      <c r="BU306" s="13"/>
      <c r="BV306" s="13"/>
      <c r="BW306" s="13"/>
      <c r="BX306" s="13"/>
      <c r="BY306" s="21"/>
      <c r="BZ306" s="13"/>
      <c r="CA306" s="13"/>
      <c r="CB306" s="13"/>
      <c r="CC306" s="13"/>
      <c r="CD306" s="13"/>
      <c r="CF306" s="4"/>
      <c r="CG306" s="4"/>
    </row>
    <row r="307" spans="3:85">
      <c r="C307" s="42"/>
      <c r="D307" s="42">
        <f>IF(Tableau1[[#This Row],[Isin]]="",99,Tableau1[[#This Row],[Intérêt]]+Tableau1[[#This Row],[Valeur d''intérêt]]+Tableau1[[#This Row],[N° Portefeuille]])</f>
        <v>30</v>
      </c>
      <c r="E307" s="42"/>
      <c r="F307" s="42">
        <f>IF(Tableau1[[#This Row],[Portefeuille]]="p",0,Tableau1[[#This Row],[F. Investissement
Niveau d''intérêt]]*10)</f>
        <v>30</v>
      </c>
      <c r="G307" s="42">
        <f>IF(Tableau1[[#This Row],[Portefeuille]]="p",3,0)</f>
        <v>0</v>
      </c>
      <c r="H307" s="42">
        <v>3</v>
      </c>
      <c r="I307" s="42">
        <v>4</v>
      </c>
      <c r="J307" s="42"/>
      <c r="K307" s="43"/>
      <c r="L307" s="16">
        <v>1</v>
      </c>
      <c r="M30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7" s="44" t="s">
        <v>4173</v>
      </c>
      <c r="O307" s="44" t="s">
        <v>4429</v>
      </c>
      <c r="P307" s="4" t="s">
        <v>84</v>
      </c>
      <c r="Q307" s="6" t="s">
        <v>85</v>
      </c>
      <c r="R307" s="6"/>
      <c r="S307" s="6" t="s">
        <v>1730</v>
      </c>
      <c r="T307" s="6" t="e" vm="285">
        <v>#VALUE!</v>
      </c>
      <c r="U307" s="46" cm="1">
        <f t="array" aca="1" ref="U307" ca="1">IFERROR(_FV(Tableau1[[#This Row],[Code Excel]],"Capitalisation boursière",TRUE),"")</f>
        <v>1896028000</v>
      </c>
      <c r="V307" s="4" t="str" cm="1">
        <f t="array" aca="1" ref="V307" ca="1">IFERROR(_FV(Tableau1[[#This Row],[Code Excel]],"Industrie"),"")</f>
        <v>Media &amp; Publishing</v>
      </c>
      <c r="W307" s="4" t="s">
        <v>2018</v>
      </c>
      <c r="X307" s="4" t="str">
        <f ca="1">Tableau1[[#This Row],[Grand Secteur]]&amp;Tableau1[[#This Row],[Industrie]]</f>
        <v>MédiaMedia &amp; Publishing</v>
      </c>
      <c r="Y307" s="23" cm="1">
        <f t="array" aca="1" ref="Y307" ca="1">IFERROR(_FV(Tableau1[[#This Row],[Code Excel]],"P/E",TRUE),"")</f>
        <v>9.3215000000000003</v>
      </c>
      <c r="Z307" s="43" cm="1">
        <f t="array" aca="1" ref="Z307" ca="1">IFERROR(_FV(Tableau1[[#This Row],[Code Excel]],"Employés"),"")</f>
        <v>3115</v>
      </c>
      <c r="AA307" s="49">
        <f ca="1">IFERROR(Tableau1[[#This Row],[Capitalisation boursière]]/Tableau1[[#This Row],[Employés]],"")</f>
        <v>608676.72552166937</v>
      </c>
      <c r="AB307" s="5" t="str">
        <f>IFERROR(Tableau1[[#This Row],[REX (2021)]]/Tableau1[[#This Row],[CA 2024]],"")</f>
        <v/>
      </c>
      <c r="AC307" s="9" t="str">
        <f>IFERROR(_xlfn.XLOOKUP(Tableau1[[#This Row],[Isin]]&amp;1&amp;2021,#REF!,Tableau3[Résultat d''exploitation]),"")</f>
        <v/>
      </c>
      <c r="AD307" s="9" t="str">
        <f>IFERROR(_xlfn.XLOOKUP(Tableau1[[#This Row],[Isin]]&amp;1&amp;2019,#REF!,Tableau3[Chiffre d''affaires]),"")</f>
        <v/>
      </c>
      <c r="AE307" s="9" t="str">
        <f>IFERROR(_xlfn.XLOOKUP(Tableau1[[#This Row],[Isin]]&amp;1&amp;2024,#REF!,Tableau3[Chiffre d''affaires]),"")</f>
        <v/>
      </c>
      <c r="AF307" s="8" t="str">
        <f>IFERROR(IF((Tableau1[[#This Row],[CA 2024]]-Tableau1[[#This Row],[CA 2019]])/Tableau1[[#This Row],[CA 2019]]=-1,"",(Tableau1[[#This Row],[CA 2024]]-Tableau1[[#This Row],[CA 2019]])/Tableau1[[#This Row],[CA 2019]]),"")</f>
        <v/>
      </c>
      <c r="AG307" s="9" t="str">
        <f>IFERROR(_xlfn.XLOOKUP(Tableau1[[#This Row],[Isin]]&amp;1&amp;2021,#REF!,Tableau3[EBE]),"")</f>
        <v/>
      </c>
      <c r="AH307" s="9" t="str">
        <f>IFERROR(_xlfn.XLOOKUP(Tableau1[[#This Row],[Isin]]&amp;1&amp;2022,#REF!,Tableau3[EBE]),"")</f>
        <v/>
      </c>
      <c r="AI307" s="43" t="s">
        <v>3431</v>
      </c>
      <c r="AJ307" s="13" t="s">
        <v>4376</v>
      </c>
      <c r="AK307" s="43" t="s">
        <v>4377</v>
      </c>
      <c r="AL307" s="43" t="s">
        <v>3419</v>
      </c>
      <c r="AM307" s="43"/>
      <c r="AN307" s="9" t="str">
        <f>IFERROR(_xlfn.XLOOKUP(Tableau1[[#This Row],[Isin]]&amp;1&amp;2021,#REF!,Tableau3[Chiffre d''affaires]),"")</f>
        <v/>
      </c>
      <c r="AO307" s="43" cm="1">
        <f t="array" aca="1" ref="AO307" ca="1">_FV(Tableau1[[#This Row],[Code Excel]],"P/E",TRUE)</f>
        <v>9.3215000000000003</v>
      </c>
      <c r="AP307" s="43" t="str">
        <f>IFERROR(_xlfn.XLOOKUP(Tableau1[[#This Row],[Isin]]&amp;1&amp;2023,#REF!,Tableau3[Résultat Net (PdG)]),"")</f>
        <v/>
      </c>
      <c r="AQ307" s="43">
        <f>IF(IFERROR(_xlfn.XLOOKUP(Tableau1[[#This Row],[Isin]]&amp;1&amp;2022,#REF!,Tableau3[Résultat Net (PdG)]),"")="",Tableau1[[#This Row],[RN Groupe 2022
Manuel]],IFERROR(_xlfn.XLOOKUP(Tableau1[[#This Row],[Isin]]&amp;1&amp;2022,#REF!,Tableau3[Résultat Net (PdG)]),""))</f>
        <v>0</v>
      </c>
      <c r="AR307" s="43"/>
      <c r="AS307" s="43">
        <f>IF(IFERROR(_xlfn.XLOOKUP(Tableau1[[#This Row],[Isin]]&amp;1&amp;2021,#REF!,Tableau3[Résultat Net (PdG)]),"")="",Tableau1[[#This Row],[RN Groupe 2021
Manuel]],IFERROR(_xlfn.XLOOKUP(Tableau1[[#This Row],[Isin]]&amp;1&amp;2021,#REF!,Tableau3[Résultat Net (PdG)]),""))</f>
        <v>0</v>
      </c>
      <c r="AT307" s="43"/>
      <c r="AU307" s="43" t="str">
        <f>IFERROR(_xlfn.XLOOKUP(Tableau1[[#This Row],[Isin]]&amp;1&amp;2020,#REF!,Tableau3[Résultat Net (PdG)]),"")</f>
        <v/>
      </c>
      <c r="AV307" s="43" t="str">
        <f>IFERROR(_xlfn.XLOOKUP(Tableau1[[#This Row],[Isin]]&amp;1&amp;2019,#REF!,Tableau3[Résultat Net (PdG)]),"")</f>
        <v/>
      </c>
      <c r="AW307" s="43" t="str">
        <f>IFERROR(_xlfn.XLOOKUP(Tableau1[[#This Row],[Isin]]&amp;1&amp;2018,#REF!,Tableau3[Résultat Net (PdG)]),"")</f>
        <v/>
      </c>
      <c r="AX307" s="43" t="str">
        <f>IFERROR(_xlfn.XLOOKUP(Tableau1[[#This Row],[Isin]]&amp;1&amp;2017,#REF!,Tableau3[Résultat Net (PdG)]),"")</f>
        <v/>
      </c>
      <c r="AY307" s="43" t="str">
        <f>IFERROR(_xlfn.XLOOKUP(Tableau1[[#This Row],[Isin]]&amp;1&amp;2016,#REF!,Tableau3[Résultat Net (PdG)]),"")</f>
        <v/>
      </c>
      <c r="AZ307" s="137" t="str">
        <f ca="1">IFERROR(Tableau1[[#This Row],[Capitalisation boursière]]/Tableau1[[#This Row],[RN Groupe 2023]],"")</f>
        <v/>
      </c>
      <c r="BA307" s="4" t="str" cm="1">
        <f t="array" aca="1" ref="BA307" ca="1">IFERROR(_FV(Tableau1[[#This Row],[Code Excel]],"Industrie"),"")</f>
        <v>Media &amp; Publishing</v>
      </c>
      <c r="BB307" s="43" t="s">
        <v>3477</v>
      </c>
      <c r="BC307" s="43" t="str">
        <f>IFERROR(_xlfn.XLOOKUP(Tableau1[[#This Row],[Isin]]&amp;1&amp;2016,#REF!,Tableau3[Capi]),"")</f>
        <v/>
      </c>
      <c r="BD307" s="43" t="str">
        <f>IFERROR(_xlfn.XLOOKUP(Tableau1[[#This Row],[Isin]]&amp;1&amp;2017,#REF!,Tableau3[Capi]),"")</f>
        <v/>
      </c>
      <c r="BE307" s="43" t="str">
        <f>IFERROR(_xlfn.XLOOKUP(Tableau1[[#This Row],[Isin]]&amp;1&amp;2018,#REF!,Tableau3[Capi]),"")</f>
        <v/>
      </c>
      <c r="BF307" s="43" t="str">
        <f>IFERROR(_xlfn.XLOOKUP(Tableau1[[#This Row],[Isin]]&amp;1&amp;2019,#REF!,Tableau3[Capi]),"")</f>
        <v/>
      </c>
      <c r="BG307" s="43" t="str">
        <f>IFERROR(_xlfn.XLOOKUP(Tableau1[[#This Row],[Isin]]&amp;1&amp;2020,#REF!,Tableau3[Capi]),"")</f>
        <v/>
      </c>
      <c r="BH307" s="43">
        <f>IF(IFERROR(_xlfn.XLOOKUP(Tableau1[[#This Row],[Isin]]&amp;1&amp;2021,#REF!,Tableau3[Capi]),"")="",Tableau1[[#This Row],[Capitalisation 2021
Manuel]],IFERROR(_xlfn.XLOOKUP(Tableau1[[#This Row],[Isin]]&amp;1&amp;2021,#REF!,Tableau3[Capi]),""))</f>
        <v>0</v>
      </c>
      <c r="BI307" s="43"/>
      <c r="BJ307" s="43">
        <f>IF(IFERROR(_xlfn.XLOOKUP(Tableau1[[#This Row],[Isin]]&amp;1&amp;2022,#REF!,Tableau3[Capi]),"")="",Tableau1[[#This Row],[Capitalisation 2022
Manuel]],IFERROR(_xlfn.XLOOKUP(Tableau1[[#This Row],[Isin]]&amp;1&amp;2022,#REF!,Tableau3[Capi]),""))</f>
        <v>0</v>
      </c>
      <c r="BK307" s="43"/>
      <c r="BL307" s="43">
        <f ca="1">Tableau1[[#This Row],[Capitalisation boursière]]</f>
        <v>1896028000</v>
      </c>
      <c r="BM307" s="162" t="str" cm="1">
        <f t="array" aca="1" ref="BM307" ca="1">_FV(Tableau1[[#This Row],[Code Excel]],"Description")</f>
        <v>Television française 1 sa, également connue sous le nom de TF1, est une société française principalement active dans les services de radiodiffusion télévisuelle et de communication. La Société est un secteur audiovisuel français, actif dans l'édition, la production et la diffusion de contenus. Il fournit aux médias une offre de contenu et des revenus publicitaires linéaires et numériques, dont 5 chaînes gratuites (TF1, TMC, TFX, TF1 Sries films et LCI), 4 chaînes thématiques (Ushuaia TV, histoire TV, TV Breizh et Srie Club), 3 plateformes de contenu à la demande (MYTF1, TFOU MAX et Salto) et la maison de vente de temps d'antenne de PUB TF1. Elle propose une production audiovisuelle (Newen Studios) : production de contenus selon une stratégie multi-genre différenciante (téléfilms, quotidiens, fiction, distribution, animation, documentaires, etc.).</v>
      </c>
      <c r="BN307" s="43"/>
      <c r="BO307" s="43"/>
      <c r="BP307" s="43"/>
      <c r="BQ307" s="43"/>
      <c r="BR307" s="13"/>
      <c r="BS307" s="13"/>
      <c r="BT307" s="13"/>
      <c r="BU307" s="13"/>
      <c r="BV307" s="13"/>
      <c r="BW307" s="13"/>
      <c r="BX307" s="13"/>
      <c r="BY307" s="21"/>
      <c r="BZ307" s="13"/>
      <c r="CA307" s="13"/>
      <c r="CB307" s="13"/>
      <c r="CC307" s="13"/>
      <c r="CD307" s="13"/>
      <c r="CF307" s="4"/>
      <c r="CG307" s="4"/>
    </row>
    <row r="308" spans="3:85">
      <c r="C308" s="43"/>
      <c r="D308" s="42">
        <f>IF(Tableau1[[#This Row],[Isin]]="",99,Tableau1[[#This Row],[Intérêt]]+Tableau1[[#This Row],[Valeur d''intérêt]]+Tableau1[[#This Row],[N° Portefeuille]])</f>
        <v>30</v>
      </c>
      <c r="E308" s="43"/>
      <c r="F308" s="42">
        <f>IF(Tableau1[[#This Row],[Portefeuille]]="p",0,Tableau1[[#This Row],[F. Investissement
Niveau d''intérêt]]*10)</f>
        <v>30</v>
      </c>
      <c r="G308" s="43">
        <f>IF(Tableau1[[#This Row],[Portefeuille]]="p",3,0)</f>
        <v>0</v>
      </c>
      <c r="H308" s="42">
        <v>3</v>
      </c>
      <c r="I308" s="43">
        <v>4</v>
      </c>
      <c r="J308" s="43"/>
      <c r="K308" s="43"/>
      <c r="L308" s="16">
        <v>0</v>
      </c>
      <c r="M30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8" s="44" t="s">
        <v>4175</v>
      </c>
      <c r="O308" s="45"/>
      <c r="P308" s="4" t="s">
        <v>84</v>
      </c>
      <c r="Q308" s="4"/>
      <c r="R308" s="6"/>
      <c r="S308" s="6" t="s">
        <v>4176</v>
      </c>
      <c r="T308" s="6" t="e" vm="286">
        <v>#VALUE!</v>
      </c>
      <c r="U308" s="46" cm="1">
        <f t="array" aca="1" ref="U308" ca="1">IFERROR(_FV(Tableau1[[#This Row],[Code Excel]],"Capitalisation boursière",TRUE),"")</f>
        <v>50785280000</v>
      </c>
      <c r="V308" s="4" t="str" cm="1">
        <f t="array" aca="1" ref="V308" ca="1">IFERROR(_FV(Tableau1[[#This Row],[Code Excel]],"Industrie"),"")</f>
        <v>Aerospace &amp; Defense</v>
      </c>
      <c r="W308" s="4" t="str" cm="1">
        <f t="array" aca="1" ref="W308" ca="1">IFERROR(_FV(Tableau1[[#This Row],[Code Excel]],"Industrie"),"")</f>
        <v>Aerospace &amp; Defense</v>
      </c>
      <c r="X308" s="4" t="str">
        <f ca="1">Tableau1[[#This Row],[Grand Secteur]]&amp;Tableau1[[#This Row],[Industrie]]</f>
        <v>Aerospace &amp; DefenseAerospace &amp; Defense</v>
      </c>
      <c r="Y308" s="23" cm="1">
        <f t="array" aca="1" ref="Y308" ca="1">IFERROR(_FV(Tableau1[[#This Row],[Code Excel]],"P/E",TRUE),"")</f>
        <v>35.673499999999997</v>
      </c>
      <c r="Z308" s="43" cm="1">
        <f t="array" aca="1" ref="Z308" ca="1">IFERROR(_FV(Tableau1[[#This Row],[Code Excel]],"Employés"),"")</f>
        <v>83206</v>
      </c>
      <c r="AA308" s="46">
        <f ca="1">IFERROR(Tableau1[[#This Row],[Capitalisation boursière]]/Tableau1[[#This Row],[Employés]],"")</f>
        <v>610355.98394346563</v>
      </c>
      <c r="AB308" s="5" t="str">
        <f>IFERROR(Tableau1[[#This Row],[REX (2021)]]/Tableau1[[#This Row],[CA 2024]],"")</f>
        <v/>
      </c>
      <c r="AC308" s="9" t="str">
        <f>IFERROR(_xlfn.XLOOKUP(Tableau1[[#This Row],[Isin]]&amp;1&amp;2021,#REF!,Tableau3[Résultat d''exploitation]),"")</f>
        <v/>
      </c>
      <c r="AD308" s="9" t="str">
        <f>IFERROR(_xlfn.XLOOKUP(Tableau1[[#This Row],[Isin]]&amp;1&amp;2019,#REF!,Tableau3[Chiffre d''affaires]),"")</f>
        <v/>
      </c>
      <c r="AE308" s="9" t="str">
        <f>IFERROR(_xlfn.XLOOKUP(Tableau1[[#This Row],[Isin]]&amp;1&amp;2024,#REF!,Tableau3[Chiffre d''affaires]),"")</f>
        <v/>
      </c>
      <c r="AF308" s="8" t="str">
        <f>IFERROR(IF((Tableau1[[#This Row],[CA 2024]]-Tableau1[[#This Row],[CA 2019]])/Tableau1[[#This Row],[CA 2019]]=-1,"",(Tableau1[[#This Row],[CA 2024]]-Tableau1[[#This Row],[CA 2019]])/Tableau1[[#This Row],[CA 2019]]),"")</f>
        <v/>
      </c>
      <c r="AG308" s="9" t="str">
        <f>IFERROR(_xlfn.XLOOKUP(Tableau1[[#This Row],[Isin]]&amp;1&amp;2021,#REF!,Tableau3[EBE]),"")</f>
        <v/>
      </c>
      <c r="AH308" s="9" t="str">
        <f>IFERROR(_xlfn.XLOOKUP(Tableau1[[#This Row],[Isin]]&amp;1&amp;2022,#REF!,Tableau3[EBE]),"")</f>
        <v/>
      </c>
      <c r="AI308" s="43" t="s">
        <v>4343</v>
      </c>
      <c r="AJ308" s="43" t="s">
        <v>4322</v>
      </c>
      <c r="AK308" s="43" t="s">
        <v>3431</v>
      </c>
      <c r="AL308" s="43"/>
      <c r="AM308" s="43"/>
      <c r="AN308" s="9" t="str">
        <f>IFERROR(_xlfn.XLOOKUP(Tableau1[[#This Row],[Isin]]&amp;1&amp;2021,#REF!,Tableau3[Chiffre d''affaires]),"")</f>
        <v/>
      </c>
      <c r="AO308" s="43" cm="1">
        <f t="array" aca="1" ref="AO308" ca="1">_FV(Tableau1[[#This Row],[Code Excel]],"P/E",TRUE)</f>
        <v>35.673499999999997</v>
      </c>
      <c r="AP308" s="43" t="str">
        <f>IFERROR(_xlfn.XLOOKUP(Tableau1[[#This Row],[Isin]]&amp;1&amp;2023,#REF!,Tableau3[Résultat Net (PdG)]),"")</f>
        <v/>
      </c>
      <c r="AQ308" s="43">
        <f>IF(IFERROR(_xlfn.XLOOKUP(Tableau1[[#This Row],[Isin]]&amp;1&amp;2022,#REF!,Tableau3[Résultat Net (PdG)]),"")="",Tableau1[[#This Row],[RN Groupe 2022
Manuel]],IFERROR(_xlfn.XLOOKUP(Tableau1[[#This Row],[Isin]]&amp;1&amp;2022,#REF!,Tableau3[Résultat Net (PdG)]),""))</f>
        <v>1120000000</v>
      </c>
      <c r="AR308" s="140">
        <v>1120000000</v>
      </c>
      <c r="AS308" s="43">
        <f>IF(IFERROR(_xlfn.XLOOKUP(Tableau1[[#This Row],[Isin]]&amp;1&amp;2021,#REF!,Tableau3[Résultat Net (PdG)]),"")="",Tableau1[[#This Row],[RN Groupe 2021
Manuel]],IFERROR(_xlfn.XLOOKUP(Tableau1[[#This Row],[Isin]]&amp;1&amp;2021,#REF!,Tableau3[Résultat Net (PdG)]),""))</f>
        <v>1088800000</v>
      </c>
      <c r="AT308" s="140">
        <v>1088800000</v>
      </c>
      <c r="AU308" s="43" t="str">
        <f>IFERROR(_xlfn.XLOOKUP(Tableau1[[#This Row],[Isin]]&amp;1&amp;2020,#REF!,Tableau3[Résultat Net (PdG)]),"")</f>
        <v/>
      </c>
      <c r="AV308" s="43" t="str">
        <f>IFERROR(_xlfn.XLOOKUP(Tableau1[[#This Row],[Isin]]&amp;1&amp;2019,#REF!,Tableau3[Résultat Net (PdG)]),"")</f>
        <v/>
      </c>
      <c r="AW308" s="43" t="str">
        <f>IFERROR(_xlfn.XLOOKUP(Tableau1[[#This Row],[Isin]]&amp;1&amp;2018,#REF!,Tableau3[Résultat Net (PdG)]),"")</f>
        <v/>
      </c>
      <c r="AX308" s="43" t="str">
        <f>IFERROR(_xlfn.XLOOKUP(Tableau1[[#This Row],[Isin]]&amp;1&amp;2017,#REF!,Tableau3[Résultat Net (PdG)]),"")</f>
        <v/>
      </c>
      <c r="AY308" s="43" t="str">
        <f>IFERROR(_xlfn.XLOOKUP(Tableau1[[#This Row],[Isin]]&amp;1&amp;2016,#REF!,Tableau3[Résultat Net (PdG)]),"")</f>
        <v/>
      </c>
      <c r="AZ308" s="137" t="str">
        <f ca="1">IFERROR(Tableau1[[#This Row],[Capitalisation boursière]]/Tableau1[[#This Row],[RN Groupe 2023]],"")</f>
        <v/>
      </c>
      <c r="BA308" s="4" t="str" cm="1">
        <f t="array" aca="1" ref="BA308" ca="1">IFERROR(_FV(Tableau1[[#This Row],[Code Excel]],"Industrie"),"")</f>
        <v>Aerospace &amp; Defense</v>
      </c>
      <c r="BB308" s="43" t="s">
        <v>3518</v>
      </c>
      <c r="BC308" s="43" t="str">
        <f>IFERROR(_xlfn.XLOOKUP(Tableau1[[#This Row],[Isin]]&amp;1&amp;2016,#REF!,Tableau3[Capi]),"")</f>
        <v/>
      </c>
      <c r="BD308" s="43" t="str">
        <f>IFERROR(_xlfn.XLOOKUP(Tableau1[[#This Row],[Isin]]&amp;1&amp;2017,#REF!,Tableau3[Capi]),"")</f>
        <v/>
      </c>
      <c r="BE308" s="43" t="str">
        <f>IFERROR(_xlfn.XLOOKUP(Tableau1[[#This Row],[Isin]]&amp;1&amp;2018,#REF!,Tableau3[Capi]),"")</f>
        <v/>
      </c>
      <c r="BF308" s="43" t="str">
        <f>IFERROR(_xlfn.XLOOKUP(Tableau1[[#This Row],[Isin]]&amp;1&amp;2019,#REF!,Tableau3[Capi]),"")</f>
        <v/>
      </c>
      <c r="BG308" s="43" t="str">
        <f>IFERROR(_xlfn.XLOOKUP(Tableau1[[#This Row],[Isin]]&amp;1&amp;2020,#REF!,Tableau3[Capi]),"")</f>
        <v/>
      </c>
      <c r="BH308" s="43">
        <f>IF(IFERROR(_xlfn.XLOOKUP(Tableau1[[#This Row],[Isin]]&amp;1&amp;2021,#REF!,Tableau3[Capi]),"")="",Tableau1[[#This Row],[Capitalisation 2021
Manuel]],IFERROR(_xlfn.XLOOKUP(Tableau1[[#This Row],[Isin]]&amp;1&amp;2021,#REF!,Tableau3[Capi]),""))</f>
        <v>22739657000</v>
      </c>
      <c r="BI308" s="142">
        <v>22739657000</v>
      </c>
      <c r="BJ308" s="141">
        <f>IF(IFERROR(_xlfn.XLOOKUP(Tableau1[[#This Row],[Isin]]&amp;1&amp;2022,#REF!,Tableau3[Capi]),"")="",Tableau1[[#This Row],[Capitalisation 2022
Manuel]],IFERROR(_xlfn.XLOOKUP(Tableau1[[#This Row],[Isin]]&amp;1&amp;2022,#REF!,Tableau3[Capi]),""))</f>
        <v>27632622000</v>
      </c>
      <c r="BK308" s="142">
        <v>27632622000</v>
      </c>
      <c r="BL308" s="43">
        <f ca="1">Tableau1[[#This Row],[Capitalisation boursière]]</f>
        <v>50785280000</v>
      </c>
      <c r="BM308" s="162" t="str" cm="1">
        <f t="array" aca="1" ref="BM308" ca="1">_FV(Tableau1[[#This Row],[Code Excel]],"Description")</f>
        <v>Thales sa est une société technologique basée en France. Elle propose une large gamme de solutions réparties en trois segments : aérospatiale, transport, défense et sécurité. La Société aérospatiale fournit des équipements électroniques embarqués conçus pour assurer la sécurité et la fiabilité des vols. Elle propose des solutions d'amplification de puissance et de radiologie (sous-systèmes d'imagerie et hyperfréquence) pour les industries aéronautique, spatiale, de défense et pour le secteur médical. La Société fournit des solutions de signalisation ferroviaire, de télécommunications, de supervision et de billetterie. Sa défense et sécurité propose des produits de radiocommunications, des systèmes de réseaux et d'infrastructures, des systèmes de protection, des systèmes d'information critiques et de cybersécurité. Il fournit des services d'entretien d'équipement et d'aéronefs, soutient les missions pilotes et optimise les opérations.</v>
      </c>
      <c r="BN308" s="43"/>
      <c r="BO308" s="43"/>
      <c r="BP308" s="43"/>
      <c r="BQ308" s="43"/>
      <c r="BR308" s="13"/>
      <c r="BS308" s="13"/>
      <c r="BT308" s="13"/>
      <c r="BU308" s="13"/>
      <c r="BV308" s="13"/>
      <c r="BW308" s="13"/>
      <c r="BX308" s="13"/>
      <c r="BY308" s="21"/>
      <c r="BZ308" s="13"/>
      <c r="CA308" s="13"/>
      <c r="CB308" s="13"/>
      <c r="CC308" s="13"/>
      <c r="CD308" s="13"/>
      <c r="CF308" s="4"/>
      <c r="CG308" s="4"/>
    </row>
    <row r="309" spans="3:85">
      <c r="C309" s="42"/>
      <c r="D309" s="42">
        <f>IF(Tableau1[[#This Row],[Isin]]="",99,Tableau1[[#This Row],[Intérêt]]+Tableau1[[#This Row],[Valeur d''intérêt]]+Tableau1[[#This Row],[N° Portefeuille]])</f>
        <v>30</v>
      </c>
      <c r="E309" s="42"/>
      <c r="F309" s="42">
        <f>IF(Tableau1[[#This Row],[Portefeuille]]="p",0,Tableau1[[#This Row],[F. Investissement
Niveau d''intérêt]]*10)</f>
        <v>30</v>
      </c>
      <c r="G309" s="42">
        <f>IF(Tableau1[[#This Row],[Portefeuille]]="p",3,0)</f>
        <v>0</v>
      </c>
      <c r="H309" s="42">
        <v>3</v>
      </c>
      <c r="I309" s="42">
        <v>4</v>
      </c>
      <c r="J309" s="42"/>
      <c r="K309" s="43"/>
      <c r="L309" s="16">
        <v>0</v>
      </c>
      <c r="M30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09" s="44" t="s">
        <v>4178</v>
      </c>
      <c r="O309" s="45"/>
      <c r="P309" s="4" t="s">
        <v>382</v>
      </c>
      <c r="Q309" s="4"/>
      <c r="R309" s="6"/>
      <c r="S309" s="6" t="s">
        <v>4179</v>
      </c>
      <c r="T309" s="6" t="e" vm="287">
        <v>#VALUE!</v>
      </c>
      <c r="U309" s="46" cm="1">
        <f t="array" aca="1" ref="U309" ca="1">IFERROR(_FV(Tableau1[[#This Row],[Code Excel]],"Capitalisation boursière",TRUE),"")</f>
        <v>308630307405</v>
      </c>
      <c r="V309" s="4" t="str" cm="1">
        <f t="array" aca="1" ref="V309" ca="1">IFERROR(_FV(Tableau1[[#This Row],[Code Excel]],"Industrie"),"")</f>
        <v>Beverages</v>
      </c>
      <c r="W309" s="4" t="s">
        <v>1315</v>
      </c>
      <c r="X309" s="4" t="str">
        <f ca="1">Tableau1[[#This Row],[Grand Secteur]]&amp;Tableau1[[#This Row],[Industrie]]</f>
        <v>Biens de consommationBeverages</v>
      </c>
      <c r="Y309" s="23" cm="1">
        <f t="array" aca="1" ref="Y309" ca="1">IFERROR(_FV(Tableau1[[#This Row],[Code Excel]],"P/E",TRUE),"")</f>
        <v>28.595199999999998</v>
      </c>
      <c r="Z309" s="43" cm="1">
        <f t="array" aca="1" ref="Z309" ca="1">IFERROR(_FV(Tableau1[[#This Row],[Code Excel]],"Employés"),"")</f>
        <v>69700</v>
      </c>
      <c r="AA309" s="46">
        <f ca="1">IFERROR(Tableau1[[#This Row],[Capitalisation boursière]]/Tableau1[[#This Row],[Employés]],"")</f>
        <v>4427981.454878049</v>
      </c>
      <c r="AB309" s="5" t="str">
        <f>IFERROR(Tableau1[[#This Row],[REX (2021)]]/Tableau1[[#This Row],[CA 2024]],"")</f>
        <v/>
      </c>
      <c r="AC309" s="9" t="str">
        <f>IFERROR(_xlfn.XLOOKUP(Tableau1[[#This Row],[Isin]]&amp;1&amp;2021,#REF!,Tableau3[Résultat d''exploitation]),"")</f>
        <v/>
      </c>
      <c r="AD309" s="9" t="str">
        <f>IFERROR(_xlfn.XLOOKUP(Tableau1[[#This Row],[Isin]]&amp;1&amp;2019,#REF!,Tableau3[Chiffre d''affaires]),"")</f>
        <v/>
      </c>
      <c r="AE309" s="9" t="str">
        <f>IFERROR(_xlfn.XLOOKUP(Tableau1[[#This Row],[Isin]]&amp;1&amp;2024,#REF!,Tableau3[Chiffre d''affaires]),"")</f>
        <v/>
      </c>
      <c r="AF309" s="8" t="str">
        <f>IFERROR(IF((Tableau1[[#This Row],[CA 2024]]-Tableau1[[#This Row],[CA 2019]])/Tableau1[[#This Row],[CA 2019]]=-1,"",(Tableau1[[#This Row],[CA 2024]]-Tableau1[[#This Row],[CA 2019]])/Tableau1[[#This Row],[CA 2019]]),"")</f>
        <v/>
      </c>
      <c r="AG309" s="9" t="str">
        <f>IFERROR(_xlfn.XLOOKUP(Tableau1[[#This Row],[Isin]]&amp;1&amp;2021,#REF!,Tableau3[EBE]),"")</f>
        <v/>
      </c>
      <c r="AH309" s="9" t="str">
        <f>IFERROR(_xlfn.XLOOKUP(Tableau1[[#This Row],[Isin]]&amp;1&amp;2022,#REF!,Tableau3[EBE]),"")</f>
        <v/>
      </c>
      <c r="AI309" s="43" t="s">
        <v>3431</v>
      </c>
      <c r="AJ309" s="43" t="s">
        <v>4322</v>
      </c>
      <c r="AK309" s="43" t="s">
        <v>3148</v>
      </c>
      <c r="AL309" s="43"/>
      <c r="AM309" s="43"/>
      <c r="AN309" s="9" t="str">
        <f>IFERROR(_xlfn.XLOOKUP(Tableau1[[#This Row],[Isin]]&amp;1&amp;2021,#REF!,Tableau3[Chiffre d''affaires]),"")</f>
        <v/>
      </c>
      <c r="AO309" s="43" cm="1">
        <f t="array" aca="1" ref="AO309" ca="1">_FV(Tableau1[[#This Row],[Code Excel]],"P/E",TRUE)</f>
        <v>28.595199999999998</v>
      </c>
      <c r="AP309" s="43" t="str">
        <f>IFERROR(_xlfn.XLOOKUP(Tableau1[[#This Row],[Isin]]&amp;1&amp;2023,#REF!,Tableau3[Résultat Net (PdG)]),"")</f>
        <v/>
      </c>
      <c r="AQ309" s="43">
        <f>IF(IFERROR(_xlfn.XLOOKUP(Tableau1[[#This Row],[Isin]]&amp;1&amp;2022,#REF!,Tableau3[Résultat Net (PdG)]),"")="",Tableau1[[#This Row],[RN Groupe 2022
Manuel]],IFERROR(_xlfn.XLOOKUP(Tableau1[[#This Row],[Isin]]&amp;1&amp;2022,#REF!,Tableau3[Résultat Net (PdG)]),""))</f>
        <v>0</v>
      </c>
      <c r="AR309" s="43"/>
      <c r="AS309" s="43">
        <f>IF(IFERROR(_xlfn.XLOOKUP(Tableau1[[#This Row],[Isin]]&amp;1&amp;2021,#REF!,Tableau3[Résultat Net (PdG)]),"")="",Tableau1[[#This Row],[RN Groupe 2021
Manuel]],IFERROR(_xlfn.XLOOKUP(Tableau1[[#This Row],[Isin]]&amp;1&amp;2021,#REF!,Tableau3[Résultat Net (PdG)]),""))</f>
        <v>0</v>
      </c>
      <c r="AT309" s="43"/>
      <c r="AU309" s="43" t="str">
        <f>IFERROR(_xlfn.XLOOKUP(Tableau1[[#This Row],[Isin]]&amp;1&amp;2020,#REF!,Tableau3[Résultat Net (PdG)]),"")</f>
        <v/>
      </c>
      <c r="AV309" s="43" t="str">
        <f>IFERROR(_xlfn.XLOOKUP(Tableau1[[#This Row],[Isin]]&amp;1&amp;2019,#REF!,Tableau3[Résultat Net (PdG)]),"")</f>
        <v/>
      </c>
      <c r="AW309" s="43" t="str">
        <f>IFERROR(_xlfn.XLOOKUP(Tableau1[[#This Row],[Isin]]&amp;1&amp;2018,#REF!,Tableau3[Résultat Net (PdG)]),"")</f>
        <v/>
      </c>
      <c r="AX309" s="43" t="str">
        <f>IFERROR(_xlfn.XLOOKUP(Tableau1[[#This Row],[Isin]]&amp;1&amp;2017,#REF!,Tableau3[Résultat Net (PdG)]),"")</f>
        <v/>
      </c>
      <c r="AY309" s="43" t="str">
        <f>IFERROR(_xlfn.XLOOKUP(Tableau1[[#This Row],[Isin]]&amp;1&amp;2016,#REF!,Tableau3[Résultat Net (PdG)]),"")</f>
        <v/>
      </c>
      <c r="AZ309" s="137" t="str">
        <f ca="1">IFERROR(Tableau1[[#This Row],[Capitalisation boursière]]/Tableau1[[#This Row],[RN Groupe 2023]],"")</f>
        <v/>
      </c>
      <c r="BA309" s="4" t="str" cm="1">
        <f t="array" aca="1" ref="BA309" ca="1">IFERROR(_FV(Tableau1[[#This Row],[Code Excel]],"Industrie"),"")</f>
        <v>Beverages</v>
      </c>
      <c r="BB309" s="43" t="s">
        <v>3474</v>
      </c>
      <c r="BC309" s="43" t="str">
        <f>IFERROR(_xlfn.XLOOKUP(Tableau1[[#This Row],[Isin]]&amp;1&amp;2016,#REF!,Tableau3[Capi]),"")</f>
        <v/>
      </c>
      <c r="BD309" s="43" t="str">
        <f>IFERROR(_xlfn.XLOOKUP(Tableau1[[#This Row],[Isin]]&amp;1&amp;2017,#REF!,Tableau3[Capi]),"")</f>
        <v/>
      </c>
      <c r="BE309" s="43" t="str">
        <f>IFERROR(_xlfn.XLOOKUP(Tableau1[[#This Row],[Isin]]&amp;1&amp;2018,#REF!,Tableau3[Capi]),"")</f>
        <v/>
      </c>
      <c r="BF309" s="43" t="str">
        <f>IFERROR(_xlfn.XLOOKUP(Tableau1[[#This Row],[Isin]]&amp;1&amp;2019,#REF!,Tableau3[Capi]),"")</f>
        <v/>
      </c>
      <c r="BG309" s="43" t="str">
        <f>IFERROR(_xlfn.XLOOKUP(Tableau1[[#This Row],[Isin]]&amp;1&amp;2020,#REF!,Tableau3[Capi]),"")</f>
        <v/>
      </c>
      <c r="BH309" s="43">
        <f>IF(IFERROR(_xlfn.XLOOKUP(Tableau1[[#This Row],[Isin]]&amp;1&amp;2021,#REF!,Tableau3[Capi]),"")="",Tableau1[[#This Row],[Capitalisation 2021
Manuel]],IFERROR(_xlfn.XLOOKUP(Tableau1[[#This Row],[Isin]]&amp;1&amp;2021,#REF!,Tableau3[Capi]),""))</f>
        <v>0</v>
      </c>
      <c r="BI309" s="43"/>
      <c r="BJ309" s="43">
        <f>IF(IFERROR(_xlfn.XLOOKUP(Tableau1[[#This Row],[Isin]]&amp;1&amp;2022,#REF!,Tableau3[Capi]),"")="",Tableau1[[#This Row],[Capitalisation 2022
Manuel]],IFERROR(_xlfn.XLOOKUP(Tableau1[[#This Row],[Isin]]&amp;1&amp;2022,#REF!,Tableau3[Capi]),""))</f>
        <v>0</v>
      </c>
      <c r="BK309" s="43"/>
      <c r="BL309" s="43">
        <f ca="1">Tableau1[[#This Row],[Capitalisation boursière]]</f>
        <v>308630307405</v>
      </c>
      <c r="BM309" s="162" t="str" cm="1">
        <f t="array" aca="1" ref="BM309" ca="1">_FV(Tableau1[[#This Row],[Code Excel]],"Description")</f>
        <v>The Coca-Cola Company est une entreprise de boissons. Les secteurs de la Société comprennent l'Europe, le moyen-Orient et l'Afrique, l'Amérique latine, l'Amérique du Nord, l'Asie-Pacifique, Global Ventures et Bottling Investments. Elle possède ou concède des licences et commercialise diverses marques de boissons, regroupées en catégories, telles que la marque de commerce Coca-Cola ; les arômes pétillants ; l'eau, les sports, le café et le thé; jus, produits laitiers à valeur ajoutée et boissons végétales et boissons émergentes. Elle possède et commercialise diverses marques de boissons gazeuses sans alcool, notamment Coca-Cola, Coca-Cola Light/Coca-Cola Light, Coca-Cola Zero Sugar, Fanta, Fresca, Schweppes, Sprite et Thums Up. Ses marques d'eau, de sport, de café et de thé incluent Aquarius, Ayataka, BODYARMOR, ciel, Costa, Dasani, dogadan, FUZE TEA, Géorgie, eau intelligente glacée, glaceau vitaminwater, Gold Peak, Ice Dew, I LOHAS, Powerade et Topo Chico. Ses marques de jus, de produits laitiers à valeur ajoutée et de boissons végétales incluent Ades, Del Valle, fairlife, Innocent, minute Maid, minute Maid pulpeuse et simplement.</v>
      </c>
      <c r="BN309" s="43"/>
      <c r="BO309" s="43"/>
      <c r="BP309" s="43"/>
      <c r="BQ309" s="43"/>
      <c r="BR309" s="13"/>
      <c r="BS309" s="13"/>
      <c r="BT309" s="13"/>
      <c r="BU309" s="13"/>
      <c r="BV309" s="13"/>
      <c r="BW309" s="13"/>
      <c r="BX309" s="13"/>
      <c r="BY309" s="21"/>
      <c r="BZ309" s="13"/>
      <c r="CA309" s="13"/>
      <c r="CB309" s="13"/>
      <c r="CC309" s="13"/>
      <c r="CD309" s="13"/>
      <c r="CF309" s="4"/>
      <c r="CG309" s="4"/>
    </row>
    <row r="310" spans="3:85">
      <c r="C310" s="43"/>
      <c r="D310" s="42">
        <f>IF(Tableau1[[#This Row],[Isin]]="",99,Tableau1[[#This Row],[Intérêt]]+Tableau1[[#This Row],[Valeur d''intérêt]]+Tableau1[[#This Row],[N° Portefeuille]])</f>
        <v>30</v>
      </c>
      <c r="E310" s="43"/>
      <c r="F310" s="42">
        <f>IF(Tableau1[[#This Row],[Portefeuille]]="p",0,Tableau1[[#This Row],[F. Investissement
Niveau d''intérêt]]*10)</f>
        <v>30</v>
      </c>
      <c r="G310" s="43">
        <f>IF(Tableau1[[#This Row],[Portefeuille]]="p",3,0)</f>
        <v>0</v>
      </c>
      <c r="H310" s="42">
        <v>3</v>
      </c>
      <c r="I310" s="43">
        <v>4</v>
      </c>
      <c r="J310" s="43"/>
      <c r="K310" s="43"/>
      <c r="L310" s="16">
        <v>0</v>
      </c>
      <c r="M31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0" s="44" t="s">
        <v>4181</v>
      </c>
      <c r="O310" s="45"/>
      <c r="P310" s="4" t="s">
        <v>382</v>
      </c>
      <c r="Q310" s="4"/>
      <c r="R310" s="6"/>
      <c r="S310" s="6" t="s">
        <v>4182</v>
      </c>
      <c r="T310" s="6" t="e" vm="288">
        <v>#VALUE!</v>
      </c>
      <c r="U310" s="46" cm="1">
        <f t="array" aca="1" ref="U310" ca="1">IFERROR(_FV(Tableau1[[#This Row],[Code Excel]],"Capitalisation boursière",TRUE),"")</f>
        <v>359526536257</v>
      </c>
      <c r="V310" s="4" t="str" cm="1">
        <f t="array" aca="1" ref="V310" ca="1">IFERROR(_FV(Tableau1[[#This Row],[Code Excel]],"Industrie"),"")</f>
        <v>Specialty Retailers</v>
      </c>
      <c r="W310" s="4" t="s">
        <v>966</v>
      </c>
      <c r="X310" s="4" t="str">
        <f ca="1">Tableau1[[#This Row],[Grand Secteur]]&amp;Tableau1[[#This Row],[Industrie]]</f>
        <v>DistributionSpecialty Retailers</v>
      </c>
      <c r="Y310" s="23" cm="1">
        <f t="array" aca="1" ref="Y310" ca="1">IFERROR(_FV(Tableau1[[#This Row],[Code Excel]],"P/E",TRUE),"")</f>
        <v>24.0181</v>
      </c>
      <c r="Z310" s="43" cm="1">
        <f t="array" aca="1" ref="Z310" ca="1">IFERROR(_FV(Tableau1[[#This Row],[Code Excel]],"Employés"),"")</f>
        <v>470100</v>
      </c>
      <c r="AA310" s="46">
        <f ca="1">IFERROR(Tableau1[[#This Row],[Capitalisation boursière]]/Tableau1[[#This Row],[Employés]],"")</f>
        <v>764787.35642841947</v>
      </c>
      <c r="AB310" s="5" t="str">
        <f>IFERROR(Tableau1[[#This Row],[REX (2021)]]/Tableau1[[#This Row],[CA 2024]],"")</f>
        <v/>
      </c>
      <c r="AC310" s="9" t="str">
        <f>IFERROR(_xlfn.XLOOKUP(Tableau1[[#This Row],[Isin]]&amp;1&amp;2021,#REF!,Tableau3[Résultat d''exploitation]),"")</f>
        <v/>
      </c>
      <c r="AD310" s="9" t="str">
        <f>IFERROR(_xlfn.XLOOKUP(Tableau1[[#This Row],[Isin]]&amp;1&amp;2019,#REF!,Tableau3[Chiffre d''affaires]),"")</f>
        <v/>
      </c>
      <c r="AE310" s="9" t="str">
        <f>IFERROR(_xlfn.XLOOKUP(Tableau1[[#This Row],[Isin]]&amp;1&amp;2024,#REF!,Tableau3[Chiffre d''affaires]),"")</f>
        <v/>
      </c>
      <c r="AF310" s="8" t="str">
        <f>IFERROR(IF((Tableau1[[#This Row],[CA 2024]]-Tableau1[[#This Row],[CA 2019]])/Tableau1[[#This Row],[CA 2019]]=-1,"",(Tableau1[[#This Row],[CA 2024]]-Tableau1[[#This Row],[CA 2019]])/Tableau1[[#This Row],[CA 2019]]),"")</f>
        <v/>
      </c>
      <c r="AG310" s="9" t="str">
        <f>IFERROR(_xlfn.XLOOKUP(Tableau1[[#This Row],[Isin]]&amp;1&amp;2021,#REF!,Tableau3[EBE]),"")</f>
        <v/>
      </c>
      <c r="AH310" s="9" t="str">
        <f>IFERROR(_xlfn.XLOOKUP(Tableau1[[#This Row],[Isin]]&amp;1&amp;2022,#REF!,Tableau3[EBE]),"")</f>
        <v/>
      </c>
      <c r="AI310" s="43" t="s">
        <v>3419</v>
      </c>
      <c r="AJ310" s="43" t="s">
        <v>3150</v>
      </c>
      <c r="AK310" s="43" t="s">
        <v>3149</v>
      </c>
      <c r="AL310" s="43"/>
      <c r="AM310" s="43"/>
      <c r="AN310" s="9" t="str">
        <f>IFERROR(_xlfn.XLOOKUP(Tableau1[[#This Row],[Isin]]&amp;1&amp;2021,#REF!,Tableau3[Chiffre d''affaires]),"")</f>
        <v/>
      </c>
      <c r="AO310" s="43" cm="1">
        <f t="array" aca="1" ref="AO310" ca="1">_FV(Tableau1[[#This Row],[Code Excel]],"P/E",TRUE)</f>
        <v>24.0181</v>
      </c>
      <c r="AP310" s="43" t="str">
        <f>IFERROR(_xlfn.XLOOKUP(Tableau1[[#This Row],[Isin]]&amp;1&amp;2023,#REF!,Tableau3[Résultat Net (PdG)]),"")</f>
        <v/>
      </c>
      <c r="AQ310" s="43">
        <f>IF(IFERROR(_xlfn.XLOOKUP(Tableau1[[#This Row],[Isin]]&amp;1&amp;2022,#REF!,Tableau3[Résultat Net (PdG)]),"")="",Tableau1[[#This Row],[RN Groupe 2022
Manuel]],IFERROR(_xlfn.XLOOKUP(Tableau1[[#This Row],[Isin]]&amp;1&amp;2022,#REF!,Tableau3[Résultat Net (PdG)]),""))</f>
        <v>0</v>
      </c>
      <c r="AR310" s="43"/>
      <c r="AS310" s="43">
        <f>IF(IFERROR(_xlfn.XLOOKUP(Tableau1[[#This Row],[Isin]]&amp;1&amp;2021,#REF!,Tableau3[Résultat Net (PdG)]),"")="",Tableau1[[#This Row],[RN Groupe 2021
Manuel]],IFERROR(_xlfn.XLOOKUP(Tableau1[[#This Row],[Isin]]&amp;1&amp;2021,#REF!,Tableau3[Résultat Net (PdG)]),""))</f>
        <v>0</v>
      </c>
      <c r="AT310" s="43"/>
      <c r="AU310" s="43" t="str">
        <f>IFERROR(_xlfn.XLOOKUP(Tableau1[[#This Row],[Isin]]&amp;1&amp;2020,#REF!,Tableau3[Résultat Net (PdG)]),"")</f>
        <v/>
      </c>
      <c r="AV310" s="43" t="str">
        <f>IFERROR(_xlfn.XLOOKUP(Tableau1[[#This Row],[Isin]]&amp;1&amp;2019,#REF!,Tableau3[Résultat Net (PdG)]),"")</f>
        <v/>
      </c>
      <c r="AW310" s="43" t="str">
        <f>IFERROR(_xlfn.XLOOKUP(Tableau1[[#This Row],[Isin]]&amp;1&amp;2018,#REF!,Tableau3[Résultat Net (PdG)]),"")</f>
        <v/>
      </c>
      <c r="AX310" s="43" t="str">
        <f>IFERROR(_xlfn.XLOOKUP(Tableau1[[#This Row],[Isin]]&amp;1&amp;2017,#REF!,Tableau3[Résultat Net (PdG)]),"")</f>
        <v/>
      </c>
      <c r="AY310" s="43" t="str">
        <f>IFERROR(_xlfn.XLOOKUP(Tableau1[[#This Row],[Isin]]&amp;1&amp;2016,#REF!,Tableau3[Résultat Net (PdG)]),"")</f>
        <v/>
      </c>
      <c r="AZ310" s="137" t="str">
        <f ca="1">IFERROR(Tableau1[[#This Row],[Capitalisation boursière]]/Tableau1[[#This Row],[RN Groupe 2023]],"")</f>
        <v/>
      </c>
      <c r="BA310" s="4" t="str" cm="1">
        <f t="array" aca="1" ref="BA310" ca="1">IFERROR(_FV(Tableau1[[#This Row],[Code Excel]],"Industrie"),"")</f>
        <v>Specialty Retailers</v>
      </c>
      <c r="BB310" s="43" t="s">
        <v>3464</v>
      </c>
      <c r="BC310" s="43" t="str">
        <f>IFERROR(_xlfn.XLOOKUP(Tableau1[[#This Row],[Isin]]&amp;1&amp;2016,#REF!,Tableau3[Capi]),"")</f>
        <v/>
      </c>
      <c r="BD310" s="43" t="str">
        <f>IFERROR(_xlfn.XLOOKUP(Tableau1[[#This Row],[Isin]]&amp;1&amp;2017,#REF!,Tableau3[Capi]),"")</f>
        <v/>
      </c>
      <c r="BE310" s="43" t="str">
        <f>IFERROR(_xlfn.XLOOKUP(Tableau1[[#This Row],[Isin]]&amp;1&amp;2018,#REF!,Tableau3[Capi]),"")</f>
        <v/>
      </c>
      <c r="BF310" s="43" t="str">
        <f>IFERROR(_xlfn.XLOOKUP(Tableau1[[#This Row],[Isin]]&amp;1&amp;2019,#REF!,Tableau3[Capi]),"")</f>
        <v/>
      </c>
      <c r="BG310" s="43" t="str">
        <f>IFERROR(_xlfn.XLOOKUP(Tableau1[[#This Row],[Isin]]&amp;1&amp;2020,#REF!,Tableau3[Capi]),"")</f>
        <v/>
      </c>
      <c r="BH310" s="43">
        <f>IF(IFERROR(_xlfn.XLOOKUP(Tableau1[[#This Row],[Isin]]&amp;1&amp;2021,#REF!,Tableau3[Capi]),"")="",Tableau1[[#This Row],[Capitalisation 2021
Manuel]],IFERROR(_xlfn.XLOOKUP(Tableau1[[#This Row],[Isin]]&amp;1&amp;2021,#REF!,Tableau3[Capi]),""))</f>
        <v>0</v>
      </c>
      <c r="BI310" s="43"/>
      <c r="BJ310" s="43">
        <f>IF(IFERROR(_xlfn.XLOOKUP(Tableau1[[#This Row],[Isin]]&amp;1&amp;2022,#REF!,Tableau3[Capi]),"")="",Tableau1[[#This Row],[Capitalisation 2022
Manuel]],IFERROR(_xlfn.XLOOKUP(Tableau1[[#This Row],[Isin]]&amp;1&amp;2022,#REF!,Tableau3[Capi]),""))</f>
        <v>0</v>
      </c>
      <c r="BK310" s="43"/>
      <c r="BL310" s="43">
        <f ca="1">Tableau1[[#This Row],[Capitalisation boursière]]</f>
        <v>359526536257</v>
      </c>
      <c r="BM310" s="162" t="str" cm="1">
        <f t="array" aca="1" ref="BM310" ca="1">_FV(Tableau1[[#This Row],[Code Excel]],"Description")</f>
        <v>Home Depot, Inc. est un détaillant de rénovation domiciliaire. La Société offre un large assortiment de matériaux de construction, de produits d'amélioration de la maison, de produits de pelouse et de jardin, de produits de décoration et de produits d'entretien, de réparation et d'exploitation des installations. Elle fournit également divers services, y compris des services d'installation de rénovation domiciliaire et la location d'outils et d'équipement. La Société exploite environ 2 335 magasins situés aux États-Unis, y compris le Commonwealth de Porto Rico et les territoires des Îles Vierges américaines, de Guam, du Canada et du Mexique. Les magasins Home Depot ont en moyenne environ 104 000 pieds carrés d'espace clos, avec environ 24 000 pieds carrés supplémentaires de jardin extérieur. Elle gère également un réseau de centres de distribution et de traitement des commandes, ainsi que divers sites Web de commerce électronique aux États-Unis, au Canada et au Mexique. La Société dessert deux groupes de clients principaux : les clients bricoleurs (bricolage) et les clients professionnels (pros).</v>
      </c>
      <c r="BN310" s="43"/>
      <c r="BO310" s="43"/>
      <c r="BP310" s="43"/>
      <c r="BQ310" s="43"/>
      <c r="BR310" s="13"/>
      <c r="BS310" s="13"/>
      <c r="BT310" s="13"/>
      <c r="BU310" s="13"/>
      <c r="BV310" s="13"/>
      <c r="BW310" s="13"/>
      <c r="BX310" s="13"/>
      <c r="BY310" s="21"/>
      <c r="BZ310" s="13"/>
      <c r="CA310" s="13"/>
      <c r="CB310" s="13"/>
      <c r="CC310" s="13"/>
      <c r="CD310" s="13"/>
      <c r="CF310" s="4"/>
      <c r="CG310" s="4"/>
    </row>
    <row r="311" spans="3:85">
      <c r="C311" s="42"/>
      <c r="D311" s="42">
        <f>IF(Tableau1[[#This Row],[Isin]]="",99,Tableau1[[#This Row],[Intérêt]]+Tableau1[[#This Row],[Valeur d''intérêt]]+Tableau1[[#This Row],[N° Portefeuille]])</f>
        <v>30</v>
      </c>
      <c r="E311" s="42"/>
      <c r="F311" s="42">
        <f>IF(Tableau1[[#This Row],[Portefeuille]]="p",0,Tableau1[[#This Row],[F. Investissement
Niveau d''intérêt]]*10)</f>
        <v>30</v>
      </c>
      <c r="G311" s="42">
        <f>IF(Tableau1[[#This Row],[Portefeuille]]="p",3,0)</f>
        <v>0</v>
      </c>
      <c r="H311" s="42">
        <v>3</v>
      </c>
      <c r="I311" s="42">
        <v>4</v>
      </c>
      <c r="J311" s="42"/>
      <c r="K311" s="43"/>
      <c r="L311" s="16">
        <v>0</v>
      </c>
      <c r="M31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1" s="44" t="s">
        <v>4184</v>
      </c>
      <c r="O311" s="45"/>
      <c r="P311" s="4" t="s">
        <v>382</v>
      </c>
      <c r="Q311" s="4"/>
      <c r="R311" s="6"/>
      <c r="S311" s="6" t="s">
        <v>4185</v>
      </c>
      <c r="T311" s="6" t="e" vm="289">
        <v>#VALUE!</v>
      </c>
      <c r="U311" s="46" cm="1">
        <f t="array" aca="1" ref="U311" ca="1">IFERROR(_FV(Tableau1[[#This Row],[Code Excel]],"Capitalisation boursière",TRUE),"")</f>
        <v>397991729960</v>
      </c>
      <c r="V311" s="4" t="str" cm="1">
        <f t="array" aca="1" ref="V311" ca="1">IFERROR(_FV(Tableau1[[#This Row],[Code Excel]],"Industrie"),"")</f>
        <v>Personal &amp; Household Products &amp; Services</v>
      </c>
      <c r="W311" s="4" t="s">
        <v>1315</v>
      </c>
      <c r="X311" s="4" t="str">
        <f ca="1">Tableau1[[#This Row],[Grand Secteur]]&amp;Tableau1[[#This Row],[Industrie]]</f>
        <v>Biens de consommationPersonal &amp; Household Products &amp; Services</v>
      </c>
      <c r="Y311" s="23" cm="1">
        <f t="array" aca="1" ref="Y311" ca="1">IFERROR(_FV(Tableau1[[#This Row],[Code Excel]],"P/E",TRUE),"")</f>
        <v>26.763300000000001</v>
      </c>
      <c r="Z311" s="43" cm="1">
        <f t="array" aca="1" ref="Z311" ca="1">IFERROR(_FV(Tableau1[[#This Row],[Code Excel]],"Employés"),"")</f>
        <v>108000</v>
      </c>
      <c r="AA311" s="46">
        <f ca="1">IFERROR(Tableau1[[#This Row],[Capitalisation boursière]]/Tableau1[[#This Row],[Employés]],"")</f>
        <v>3685108.6107407408</v>
      </c>
      <c r="AB311" s="5" t="str">
        <f>IFERROR(Tableau1[[#This Row],[REX (2021)]]/Tableau1[[#This Row],[CA 2024]],"")</f>
        <v/>
      </c>
      <c r="AC311" s="9" t="str">
        <f>IFERROR(_xlfn.XLOOKUP(Tableau1[[#This Row],[Isin]]&amp;1&amp;2021,#REF!,Tableau3[Résultat d''exploitation]),"")</f>
        <v/>
      </c>
      <c r="AD311" s="9" t="str">
        <f>IFERROR(_xlfn.XLOOKUP(Tableau1[[#This Row],[Isin]]&amp;1&amp;2019,#REF!,Tableau3[Chiffre d''affaires]),"")</f>
        <v/>
      </c>
      <c r="AE311" s="9" t="str">
        <f>IFERROR(_xlfn.XLOOKUP(Tableau1[[#This Row],[Isin]]&amp;1&amp;2024,#REF!,Tableau3[Chiffre d''affaires]),"")</f>
        <v/>
      </c>
      <c r="AF311" s="8" t="str">
        <f>IFERROR(IF((Tableau1[[#This Row],[CA 2024]]-Tableau1[[#This Row],[CA 2019]])/Tableau1[[#This Row],[CA 2019]]=-1,"",(Tableau1[[#This Row],[CA 2024]]-Tableau1[[#This Row],[CA 2019]])/Tableau1[[#This Row],[CA 2019]]),"")</f>
        <v/>
      </c>
      <c r="AG311" s="9" t="str">
        <f>IFERROR(_xlfn.XLOOKUP(Tableau1[[#This Row],[Isin]]&amp;1&amp;2021,#REF!,Tableau3[EBE]),"")</f>
        <v/>
      </c>
      <c r="AH311" s="9" t="str">
        <f>IFERROR(_xlfn.XLOOKUP(Tableau1[[#This Row],[Isin]]&amp;1&amp;2022,#REF!,Tableau3[EBE]),"")</f>
        <v/>
      </c>
      <c r="AI311" s="43" t="s">
        <v>3431</v>
      </c>
      <c r="AJ311" s="43" t="s">
        <v>3150</v>
      </c>
      <c r="AK311" s="43" t="s">
        <v>3149</v>
      </c>
      <c r="AL311" s="43"/>
      <c r="AM311" s="43"/>
      <c r="AN311" s="9" t="str">
        <f>IFERROR(_xlfn.XLOOKUP(Tableau1[[#This Row],[Isin]]&amp;1&amp;2021,#REF!,Tableau3[Chiffre d''affaires]),"")</f>
        <v/>
      </c>
      <c r="AO311" s="43" cm="1">
        <f t="array" aca="1" ref="AO311" ca="1">_FV(Tableau1[[#This Row],[Code Excel]],"P/E",TRUE)</f>
        <v>26.763300000000001</v>
      </c>
      <c r="AP311" s="43" t="str">
        <f>IFERROR(_xlfn.XLOOKUP(Tableau1[[#This Row],[Isin]]&amp;1&amp;2023,#REF!,Tableau3[Résultat Net (PdG)]),"")</f>
        <v/>
      </c>
      <c r="AQ311" s="43">
        <f>IF(IFERROR(_xlfn.XLOOKUP(Tableau1[[#This Row],[Isin]]&amp;1&amp;2022,#REF!,Tableau3[Résultat Net (PdG)]),"")="",Tableau1[[#This Row],[RN Groupe 2022
Manuel]],IFERROR(_xlfn.XLOOKUP(Tableau1[[#This Row],[Isin]]&amp;1&amp;2022,#REF!,Tableau3[Résultat Net (PdG)]),""))</f>
        <v>0</v>
      </c>
      <c r="AR311" s="43"/>
      <c r="AS311" s="43">
        <f>IF(IFERROR(_xlfn.XLOOKUP(Tableau1[[#This Row],[Isin]]&amp;1&amp;2021,#REF!,Tableau3[Résultat Net (PdG)]),"")="",Tableau1[[#This Row],[RN Groupe 2021
Manuel]],IFERROR(_xlfn.XLOOKUP(Tableau1[[#This Row],[Isin]]&amp;1&amp;2021,#REF!,Tableau3[Résultat Net (PdG)]),""))</f>
        <v>0</v>
      </c>
      <c r="AT311" s="43"/>
      <c r="AU311" s="43" t="str">
        <f>IFERROR(_xlfn.XLOOKUP(Tableau1[[#This Row],[Isin]]&amp;1&amp;2020,#REF!,Tableau3[Résultat Net (PdG)]),"")</f>
        <v/>
      </c>
      <c r="AV311" s="43" t="str">
        <f>IFERROR(_xlfn.XLOOKUP(Tableau1[[#This Row],[Isin]]&amp;1&amp;2019,#REF!,Tableau3[Résultat Net (PdG)]),"")</f>
        <v/>
      </c>
      <c r="AW311" s="43" t="str">
        <f>IFERROR(_xlfn.XLOOKUP(Tableau1[[#This Row],[Isin]]&amp;1&amp;2018,#REF!,Tableau3[Résultat Net (PdG)]),"")</f>
        <v/>
      </c>
      <c r="AX311" s="43" t="str">
        <f>IFERROR(_xlfn.XLOOKUP(Tableau1[[#This Row],[Isin]]&amp;1&amp;2017,#REF!,Tableau3[Résultat Net (PdG)]),"")</f>
        <v/>
      </c>
      <c r="AY311" s="43" t="str">
        <f>IFERROR(_xlfn.XLOOKUP(Tableau1[[#This Row],[Isin]]&amp;1&amp;2016,#REF!,Tableau3[Résultat Net (PdG)]),"")</f>
        <v/>
      </c>
      <c r="AZ311" s="137" t="str">
        <f ca="1">IFERROR(Tableau1[[#This Row],[Capitalisation boursière]]/Tableau1[[#This Row],[RN Groupe 2023]],"")</f>
        <v/>
      </c>
      <c r="BA311" s="4" t="str" cm="1">
        <f t="array" aca="1" ref="BA311" ca="1">IFERROR(_FV(Tableau1[[#This Row],[Code Excel]],"Industrie"),"")</f>
        <v>Personal &amp; Household Products &amp; Services</v>
      </c>
      <c r="BB311" s="43" t="s">
        <v>3464</v>
      </c>
      <c r="BC311" s="43" t="str">
        <f>IFERROR(_xlfn.XLOOKUP(Tableau1[[#This Row],[Isin]]&amp;1&amp;2016,#REF!,Tableau3[Capi]),"")</f>
        <v/>
      </c>
      <c r="BD311" s="43" t="str">
        <f>IFERROR(_xlfn.XLOOKUP(Tableau1[[#This Row],[Isin]]&amp;1&amp;2017,#REF!,Tableau3[Capi]),"")</f>
        <v/>
      </c>
      <c r="BE311" s="43" t="str">
        <f>IFERROR(_xlfn.XLOOKUP(Tableau1[[#This Row],[Isin]]&amp;1&amp;2018,#REF!,Tableau3[Capi]),"")</f>
        <v/>
      </c>
      <c r="BF311" s="43" t="str">
        <f>IFERROR(_xlfn.XLOOKUP(Tableau1[[#This Row],[Isin]]&amp;1&amp;2019,#REF!,Tableau3[Capi]),"")</f>
        <v/>
      </c>
      <c r="BG311" s="43" t="str">
        <f>IFERROR(_xlfn.XLOOKUP(Tableau1[[#This Row],[Isin]]&amp;1&amp;2020,#REF!,Tableau3[Capi]),"")</f>
        <v/>
      </c>
      <c r="BH311" s="43">
        <f>IF(IFERROR(_xlfn.XLOOKUP(Tableau1[[#This Row],[Isin]]&amp;1&amp;2021,#REF!,Tableau3[Capi]),"")="",Tableau1[[#This Row],[Capitalisation 2021
Manuel]],IFERROR(_xlfn.XLOOKUP(Tableau1[[#This Row],[Isin]]&amp;1&amp;2021,#REF!,Tableau3[Capi]),""))</f>
        <v>0</v>
      </c>
      <c r="BI311" s="43"/>
      <c r="BJ311" s="43">
        <f>IF(IFERROR(_xlfn.XLOOKUP(Tableau1[[#This Row],[Isin]]&amp;1&amp;2022,#REF!,Tableau3[Capi]),"")="",Tableau1[[#This Row],[Capitalisation 2022
Manuel]],IFERROR(_xlfn.XLOOKUP(Tableau1[[#This Row],[Isin]]&amp;1&amp;2022,#REF!,Tableau3[Capi]),""))</f>
        <v>0</v>
      </c>
      <c r="BK311" s="43"/>
      <c r="BL311" s="43">
        <f ca="1">Tableau1[[#This Row],[Capitalisation boursière]]</f>
        <v>397991729960</v>
      </c>
      <c r="BM311" s="162" t="str" cm="1">
        <f t="array" aca="1" ref="BM311" ca="1">_FV(Tableau1[[#This Row],[Code Excel]],"Description")</f>
        <v>Procter &amp; Gamble Company se concentre sur la fourniture de produits de consommation emballés de marque aux consommateurs du monde entier. Les segments de la société comprennent la beauté, le toilettage, les soins de santé, les tissus et les soins à domicile et les soins pour bébés, femmes et familles. Les produits de la Société sont vendus dans environ 180 pays et territoires, principalement par le biais de grandes surfaces, du commerce électronique, y compris les canaux de commerce social, les épiceries, les magasins de clubs membres, les pharmacies, les grands magasins, distributeurs, grossistes, magasins de beauté spécialisés, y compris les magasins hors taxes d'aéroport), magasins à haute fréquence, pharmacies, magasins d'électronique et canaux professionnels. Elle vend également directement aux consommateurs individuels. Elle opère dans environ 70 pays. Il offre des produits sous des marques, telles que Head &amp; Shoulders, Herbal Essences, Pantene, Rejoice, Olay, Old Spice, SafeGuard, Secret, SK-II, Braun, Gillette, Vénus, Crest, Oral-B, Ariel, Downy, gain, Tide, toujours, toujours discret, Tampax et d'autres.</v>
      </c>
      <c r="BN311" s="43"/>
      <c r="BO311" s="43"/>
      <c r="BP311" s="43"/>
      <c r="BQ311" s="43"/>
      <c r="BR311" s="13"/>
      <c r="BS311" s="13"/>
      <c r="BT311" s="13"/>
      <c r="BU311" s="13"/>
      <c r="BV311" s="13"/>
      <c r="BW311" s="13"/>
      <c r="BX311" s="13"/>
      <c r="BY311" s="21"/>
      <c r="BZ311" s="13"/>
      <c r="CA311" s="13"/>
      <c r="CB311" s="13"/>
      <c r="CC311" s="13"/>
      <c r="CD311" s="13"/>
      <c r="CF311" s="4"/>
      <c r="CG311" s="4"/>
    </row>
    <row r="312" spans="3:85">
      <c r="C312" s="43"/>
      <c r="D312" s="42">
        <f>IF(Tableau1[[#This Row],[Isin]]="",99,Tableau1[[#This Row],[Intérêt]]+Tableau1[[#This Row],[Valeur d''intérêt]]+Tableau1[[#This Row],[N° Portefeuille]])</f>
        <v>30</v>
      </c>
      <c r="E312" s="43"/>
      <c r="F312" s="42">
        <f>IF(Tableau1[[#This Row],[Portefeuille]]="p",0,Tableau1[[#This Row],[F. Investissement
Niveau d''intérêt]]*10)</f>
        <v>30</v>
      </c>
      <c r="G312" s="43">
        <f>IF(Tableau1[[#This Row],[Portefeuille]]="p",3,0)</f>
        <v>0</v>
      </c>
      <c r="H312" s="42">
        <v>3</v>
      </c>
      <c r="I312" s="43">
        <v>4</v>
      </c>
      <c r="J312" s="43"/>
      <c r="K312" s="43"/>
      <c r="L312" s="16">
        <v>0</v>
      </c>
      <c r="M31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2" s="44" t="s">
        <v>4187</v>
      </c>
      <c r="O312" s="45"/>
      <c r="P312" s="4" t="s">
        <v>382</v>
      </c>
      <c r="Q312" s="4"/>
      <c r="R312" s="6"/>
      <c r="S312" s="6" t="s">
        <v>4188</v>
      </c>
      <c r="T312" s="6" t="e" vm="290">
        <v>#VALUE!</v>
      </c>
      <c r="U312" s="46" cm="1">
        <f t="array" aca="1" ref="U312" ca="1">IFERROR(_FV(Tableau1[[#This Row],[Code Excel]],"Capitalisation boursière",TRUE),"")</f>
        <v>59978254764</v>
      </c>
      <c r="V312" s="4" t="str" cm="1">
        <f t="array" aca="1" ref="V312" ca="1">IFERROR(_FV(Tableau1[[#This Row],[Code Excel]],"Industrie"),"")</f>
        <v>Insurance</v>
      </c>
      <c r="W312" s="4" t="s">
        <v>4336</v>
      </c>
      <c r="X312" s="4" t="str">
        <f ca="1">Tableau1[[#This Row],[Grand Secteur]]&amp;Tableau1[[#This Row],[Industrie]]</f>
        <v>AssuranceInsurance</v>
      </c>
      <c r="Y312" s="23" cm="1">
        <f t="array" aca="1" ref="Y312" ca="1">IFERROR(_FV(Tableau1[[#This Row],[Code Excel]],"P/E",TRUE),"")</f>
        <v>12.19</v>
      </c>
      <c r="Z312" s="43" cm="1">
        <f t="array" aca="1" ref="Z312" ca="1">IFERROR(_FV(Tableau1[[#This Row],[Code Excel]],"Employés"),"")</f>
        <v>34000</v>
      </c>
      <c r="AA312" s="46">
        <f ca="1">IFERROR(Tableau1[[#This Row],[Capitalisation boursière]]/Tableau1[[#This Row],[Employés]],"")</f>
        <v>1764066.3165882353</v>
      </c>
      <c r="AB312" s="5" t="str">
        <f>IFERROR(Tableau1[[#This Row],[REX (2021)]]/Tableau1[[#This Row],[CA 2024]],"")</f>
        <v/>
      </c>
      <c r="AC312" s="9" t="str">
        <f>IFERROR(_xlfn.XLOOKUP(Tableau1[[#This Row],[Isin]]&amp;1&amp;2021,#REF!,Tableau3[Résultat d''exploitation]),"")</f>
        <v/>
      </c>
      <c r="AD312" s="9" t="str">
        <f>IFERROR(_xlfn.XLOOKUP(Tableau1[[#This Row],[Isin]]&amp;1&amp;2019,#REF!,Tableau3[Chiffre d''affaires]),"")</f>
        <v/>
      </c>
      <c r="AE312" s="9" t="str">
        <f>IFERROR(_xlfn.XLOOKUP(Tableau1[[#This Row],[Isin]]&amp;1&amp;2024,#REF!,Tableau3[Chiffre d''affaires]),"")</f>
        <v/>
      </c>
      <c r="AF312" s="8" t="str">
        <f>IFERROR(IF((Tableau1[[#This Row],[CA 2024]]-Tableau1[[#This Row],[CA 2019]])/Tableau1[[#This Row],[CA 2019]]=-1,"",(Tableau1[[#This Row],[CA 2024]]-Tableau1[[#This Row],[CA 2019]])/Tableau1[[#This Row],[CA 2019]]),"")</f>
        <v/>
      </c>
      <c r="AG312" s="9" t="str">
        <f>IFERROR(_xlfn.XLOOKUP(Tableau1[[#This Row],[Isin]]&amp;1&amp;2021,#REF!,Tableau3[EBE]),"")</f>
        <v/>
      </c>
      <c r="AH312" s="9" t="str">
        <f>IFERROR(_xlfn.XLOOKUP(Tableau1[[#This Row],[Isin]]&amp;1&amp;2022,#REF!,Tableau3[EBE]),"")</f>
        <v/>
      </c>
      <c r="AI312" s="43" t="s">
        <v>4329</v>
      </c>
      <c r="AJ312" s="43" t="s">
        <v>4322</v>
      </c>
      <c r="AK312" s="43" t="s">
        <v>3431</v>
      </c>
      <c r="AL312" s="43"/>
      <c r="AM312" s="43"/>
      <c r="AN312" s="9" t="str">
        <f>IFERROR(_xlfn.XLOOKUP(Tableau1[[#This Row],[Isin]]&amp;1&amp;2021,#REF!,Tableau3[Chiffre d''affaires]),"")</f>
        <v/>
      </c>
      <c r="AO312" s="43" cm="1">
        <f t="array" aca="1" ref="AO312" ca="1">_FV(Tableau1[[#This Row],[Code Excel]],"P/E",TRUE)</f>
        <v>12.19</v>
      </c>
      <c r="AP312" s="43" t="str">
        <f>IFERROR(_xlfn.XLOOKUP(Tableau1[[#This Row],[Isin]]&amp;1&amp;2023,#REF!,Tableau3[Résultat Net (PdG)]),"")</f>
        <v/>
      </c>
      <c r="AQ312" s="43">
        <f>IF(IFERROR(_xlfn.XLOOKUP(Tableau1[[#This Row],[Isin]]&amp;1&amp;2022,#REF!,Tableau3[Résultat Net (PdG)]),"")="",Tableau1[[#This Row],[RN Groupe 2022
Manuel]],IFERROR(_xlfn.XLOOKUP(Tableau1[[#This Row],[Isin]]&amp;1&amp;2022,#REF!,Tableau3[Résultat Net (PdG)]),""))</f>
        <v>0</v>
      </c>
      <c r="AR312" s="43"/>
      <c r="AS312" s="43">
        <f>IF(IFERROR(_xlfn.XLOOKUP(Tableau1[[#This Row],[Isin]]&amp;1&amp;2021,#REF!,Tableau3[Résultat Net (PdG)]),"")="",Tableau1[[#This Row],[RN Groupe 2021
Manuel]],IFERROR(_xlfn.XLOOKUP(Tableau1[[#This Row],[Isin]]&amp;1&amp;2021,#REF!,Tableau3[Résultat Net (PdG)]),""))</f>
        <v>0</v>
      </c>
      <c r="AT312" s="43"/>
      <c r="AU312" s="43" t="str">
        <f>IFERROR(_xlfn.XLOOKUP(Tableau1[[#This Row],[Isin]]&amp;1&amp;2020,#REF!,Tableau3[Résultat Net (PdG)]),"")</f>
        <v/>
      </c>
      <c r="AV312" s="43" t="str">
        <f>IFERROR(_xlfn.XLOOKUP(Tableau1[[#This Row],[Isin]]&amp;1&amp;2019,#REF!,Tableau3[Résultat Net (PdG)]),"")</f>
        <v/>
      </c>
      <c r="AW312" s="43" t="str">
        <f>IFERROR(_xlfn.XLOOKUP(Tableau1[[#This Row],[Isin]]&amp;1&amp;2018,#REF!,Tableau3[Résultat Net (PdG)]),"")</f>
        <v/>
      </c>
      <c r="AX312" s="43" t="str">
        <f>IFERROR(_xlfn.XLOOKUP(Tableau1[[#This Row],[Isin]]&amp;1&amp;2017,#REF!,Tableau3[Résultat Net (PdG)]),"")</f>
        <v/>
      </c>
      <c r="AY312" s="43" t="str">
        <f>IFERROR(_xlfn.XLOOKUP(Tableau1[[#This Row],[Isin]]&amp;1&amp;2016,#REF!,Tableau3[Résultat Net (PdG)]),"")</f>
        <v/>
      </c>
      <c r="AZ312" s="137" t="str">
        <f ca="1">IFERROR(Tableau1[[#This Row],[Capitalisation boursière]]/Tableau1[[#This Row],[RN Groupe 2023]],"")</f>
        <v/>
      </c>
      <c r="BA312" s="4" t="str" cm="1">
        <f t="array" aca="1" ref="BA312" ca="1">IFERROR(_FV(Tableau1[[#This Row],[Code Excel]],"Industrie"),"")</f>
        <v>Insurance</v>
      </c>
      <c r="BB312" s="43" t="s">
        <v>3464</v>
      </c>
      <c r="BC312" s="43" t="str">
        <f>IFERROR(_xlfn.XLOOKUP(Tableau1[[#This Row],[Isin]]&amp;1&amp;2016,#REF!,Tableau3[Capi]),"")</f>
        <v/>
      </c>
      <c r="BD312" s="43" t="str">
        <f>IFERROR(_xlfn.XLOOKUP(Tableau1[[#This Row],[Isin]]&amp;1&amp;2017,#REF!,Tableau3[Capi]),"")</f>
        <v/>
      </c>
      <c r="BE312" s="43" t="str">
        <f>IFERROR(_xlfn.XLOOKUP(Tableau1[[#This Row],[Isin]]&amp;1&amp;2018,#REF!,Tableau3[Capi]),"")</f>
        <v/>
      </c>
      <c r="BF312" s="43" t="str">
        <f>IFERROR(_xlfn.XLOOKUP(Tableau1[[#This Row],[Isin]]&amp;1&amp;2019,#REF!,Tableau3[Capi]),"")</f>
        <v/>
      </c>
      <c r="BG312" s="43" t="str">
        <f>IFERROR(_xlfn.XLOOKUP(Tableau1[[#This Row],[Isin]]&amp;1&amp;2020,#REF!,Tableau3[Capi]),"")</f>
        <v/>
      </c>
      <c r="BH312" s="43">
        <f>IF(IFERROR(_xlfn.XLOOKUP(Tableau1[[#This Row],[Isin]]&amp;1&amp;2021,#REF!,Tableau3[Capi]),"")="",Tableau1[[#This Row],[Capitalisation 2021
Manuel]],IFERROR(_xlfn.XLOOKUP(Tableau1[[#This Row],[Isin]]&amp;1&amp;2021,#REF!,Tableau3[Capi]),""))</f>
        <v>0</v>
      </c>
      <c r="BI312" s="43"/>
      <c r="BJ312" s="43">
        <f>IF(IFERROR(_xlfn.XLOOKUP(Tableau1[[#This Row],[Isin]]&amp;1&amp;2022,#REF!,Tableau3[Capi]),"")="",Tableau1[[#This Row],[Capitalisation 2022
Manuel]],IFERROR(_xlfn.XLOOKUP(Tableau1[[#This Row],[Isin]]&amp;1&amp;2022,#REF!,Tableau3[Capi]),""))</f>
        <v>0</v>
      </c>
      <c r="BK312" s="43"/>
      <c r="BL312" s="43">
        <f ca="1">Tableau1[[#This Row],[Capitalisation boursière]]</f>
        <v>59978254764</v>
      </c>
      <c r="BM312" s="162" t="str" cm="1">
        <f t="array" aca="1" ref="BM312" ca="1">_FV(Tableau1[[#This Row],[Code Excel]],"Description")</f>
        <v>Travelers Companies, Inc. est un fournisseur d'assurance de dommages pour l'automobile, la maison et les affaires. Les segments de la société comprennent l'assurance des entreprises, l'assurance des obligations et des assurances spécialisées et l'assurance des particuliers. Le secteur de l'assurance des entreprises offre une vaste gamme de produits et de services d'assurance de biens et de risques divers. Le secteur assurance obligations et assurances spécialisées offre des garanties de cautionnement, de fidélité, de responsabilité civile de la direction, de responsabilité civile professionnelle et d'autres garanties de biens et de risques divers ainsi que des services de gestion des risques connexes, principalement aux États-Unis, et certains produits d'assurance de cautionnement et d'assurances spécialisées au Canada, au Royaume-Uni et en République d'Irlande, ainsi qu'au Brésil. Le secteur de l'assurance des particuliers offre une vaste gamme de produits et de services d'assurance de biens et de risques divers couvrant les risques personnels des particuliers, principalement aux États-Unis et au Canada. La Société, par l'intermédiaire de sa filiale, Corvus Insurance Holdings, Inc., est un souscripteur général de gestion de cyberassurance.</v>
      </c>
      <c r="BN312" s="43"/>
      <c r="BO312" s="43"/>
      <c r="BP312" s="43"/>
      <c r="BQ312" s="43"/>
      <c r="BR312" s="13"/>
      <c r="BS312" s="13"/>
      <c r="BT312" s="13"/>
      <c r="BU312" s="13"/>
      <c r="BV312" s="13"/>
      <c r="BW312" s="13"/>
      <c r="BX312" s="13"/>
      <c r="BY312" s="21"/>
      <c r="BZ312" s="13"/>
      <c r="CA312" s="13"/>
      <c r="CB312" s="13"/>
      <c r="CC312" s="13"/>
      <c r="CD312" s="13"/>
      <c r="CF312" s="4"/>
      <c r="CG312" s="4"/>
    </row>
    <row r="313" spans="3:85">
      <c r="C313" s="42"/>
      <c r="D313" s="42">
        <f>IF(Tableau1[[#This Row],[Isin]]="",99,Tableau1[[#This Row],[Intérêt]]+Tableau1[[#This Row],[Valeur d''intérêt]]+Tableau1[[#This Row],[N° Portefeuille]])</f>
        <v>30</v>
      </c>
      <c r="E313" s="42"/>
      <c r="F313" s="42">
        <f>IF(Tableau1[[#This Row],[Portefeuille]]="p",0,Tableau1[[#This Row],[F. Investissement
Niveau d''intérêt]]*10)</f>
        <v>30</v>
      </c>
      <c r="G313" s="42">
        <f>IF(Tableau1[[#This Row],[Portefeuille]]="p",3,0)</f>
        <v>0</v>
      </c>
      <c r="H313" s="42">
        <v>3</v>
      </c>
      <c r="I313" s="42">
        <v>4</v>
      </c>
      <c r="J313" s="42"/>
      <c r="K313" s="43"/>
      <c r="L313" s="16">
        <v>0</v>
      </c>
      <c r="M31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3" s="44" t="s">
        <v>4190</v>
      </c>
      <c r="O313" s="45"/>
      <c r="P313" s="4" t="s">
        <v>382</v>
      </c>
      <c r="Q313" s="4"/>
      <c r="R313" s="6"/>
      <c r="S313" s="6" t="s">
        <v>4191</v>
      </c>
      <c r="T313" s="6" t="e" vm="291">
        <v>#VALUE!</v>
      </c>
      <c r="U313" s="46" cm="1">
        <f t="array" aca="1" ref="U313" ca="1">IFERROR(_FV(Tableau1[[#This Row],[Code Excel]],"Capitalisation boursière",TRUE),"")</f>
        <v>174352210105</v>
      </c>
      <c r="V313" s="4" t="str" cm="1">
        <f t="array" aca="1" ref="V313" ca="1">IFERROR(_FV(Tableau1[[#This Row],[Code Excel]],"Industrie"),"")</f>
        <v>Media &amp; Publishing</v>
      </c>
      <c r="W313" s="4" t="s">
        <v>2018</v>
      </c>
      <c r="X313" s="4" t="str">
        <f ca="1">Tableau1[[#This Row],[Grand Secteur]]&amp;Tableau1[[#This Row],[Industrie]]</f>
        <v>MédiaMedia &amp; Publishing</v>
      </c>
      <c r="Y313" s="23" cm="1">
        <f t="array" aca="1" ref="Y313" ca="1">IFERROR(_FV(Tableau1[[#This Row],[Code Excel]],"P/E",TRUE),"")</f>
        <v>31.836500000000001</v>
      </c>
      <c r="Z313" s="43" cm="1">
        <f t="array" aca="1" ref="Z313" ca="1">IFERROR(_FV(Tableau1[[#This Row],[Code Excel]],"Employés"),"")</f>
        <v>233000</v>
      </c>
      <c r="AA313" s="49">
        <f ca="1">IFERROR(Tableau1[[#This Row],[Capitalisation boursière]]/Tableau1[[#This Row],[Employés]],"")</f>
        <v>748292.74723175971</v>
      </c>
      <c r="AB313" s="5" t="str">
        <f>IFERROR(Tableau1[[#This Row],[REX (2021)]]/Tableau1[[#This Row],[CA 2024]],"")</f>
        <v/>
      </c>
      <c r="AC313" s="9" t="str">
        <f>IFERROR(_xlfn.XLOOKUP(Tableau1[[#This Row],[Isin]]&amp;1&amp;2021,#REF!,Tableau3[Résultat d''exploitation]),"")</f>
        <v/>
      </c>
      <c r="AD313" s="9" t="str">
        <f>IFERROR(_xlfn.XLOOKUP(Tableau1[[#This Row],[Isin]]&amp;1&amp;2019,#REF!,Tableau3[Chiffre d''affaires]),"")</f>
        <v/>
      </c>
      <c r="AE313" s="9" t="str">
        <f>IFERROR(_xlfn.XLOOKUP(Tableau1[[#This Row],[Isin]]&amp;1&amp;2024,#REF!,Tableau3[Chiffre d''affaires]),"")</f>
        <v/>
      </c>
      <c r="AF313" s="8" t="str">
        <f>IFERROR(IF((Tableau1[[#This Row],[CA 2024]]-Tableau1[[#This Row],[CA 2019]])/Tableau1[[#This Row],[CA 2019]]=-1,"",(Tableau1[[#This Row],[CA 2024]]-Tableau1[[#This Row],[CA 2019]])/Tableau1[[#This Row],[CA 2019]]),"")</f>
        <v/>
      </c>
      <c r="AG313" s="9" t="str">
        <f>IFERROR(_xlfn.XLOOKUP(Tableau1[[#This Row],[Isin]]&amp;1&amp;2021,#REF!,Tableau3[EBE]),"")</f>
        <v/>
      </c>
      <c r="AH313" s="9" t="str">
        <f>IFERROR(_xlfn.XLOOKUP(Tableau1[[#This Row],[Isin]]&amp;1&amp;2022,#REF!,Tableau3[EBE]),"")</f>
        <v/>
      </c>
      <c r="AI313" s="43" t="s">
        <v>3431</v>
      </c>
      <c r="AJ313" s="13" t="s">
        <v>3150</v>
      </c>
      <c r="AK313" s="43" t="s">
        <v>3431</v>
      </c>
      <c r="AL313" s="43"/>
      <c r="AM313" s="43"/>
      <c r="AN313" s="9" t="str">
        <f>IFERROR(_xlfn.XLOOKUP(Tableau1[[#This Row],[Isin]]&amp;1&amp;2021,#REF!,Tableau3[Chiffre d''affaires]),"")</f>
        <v/>
      </c>
      <c r="AO313" s="43" cm="1">
        <f t="array" aca="1" ref="AO313" ca="1">_FV(Tableau1[[#This Row],[Code Excel]],"P/E",TRUE)</f>
        <v>31.836500000000001</v>
      </c>
      <c r="AP313" s="43" t="str">
        <f>IFERROR(_xlfn.XLOOKUP(Tableau1[[#This Row],[Isin]]&amp;1&amp;2023,#REF!,Tableau3[Résultat Net (PdG)]),"")</f>
        <v/>
      </c>
      <c r="AQ313" s="43">
        <f>IF(IFERROR(_xlfn.XLOOKUP(Tableau1[[#This Row],[Isin]]&amp;1&amp;2022,#REF!,Tableau3[Résultat Net (PdG)]),"")="",Tableau1[[#This Row],[RN Groupe 2022
Manuel]],IFERROR(_xlfn.XLOOKUP(Tableau1[[#This Row],[Isin]]&amp;1&amp;2022,#REF!,Tableau3[Résultat Net (PdG)]),""))</f>
        <v>0</v>
      </c>
      <c r="AR313" s="43"/>
      <c r="AS313" s="43">
        <f>IF(IFERROR(_xlfn.XLOOKUP(Tableau1[[#This Row],[Isin]]&amp;1&amp;2021,#REF!,Tableau3[Résultat Net (PdG)]),"")="",Tableau1[[#This Row],[RN Groupe 2021
Manuel]],IFERROR(_xlfn.XLOOKUP(Tableau1[[#This Row],[Isin]]&amp;1&amp;2021,#REF!,Tableau3[Résultat Net (PdG)]),""))</f>
        <v>0</v>
      </c>
      <c r="AT313" s="43"/>
      <c r="AU313" s="43" t="str">
        <f>IFERROR(_xlfn.XLOOKUP(Tableau1[[#This Row],[Isin]]&amp;1&amp;2020,#REF!,Tableau3[Résultat Net (PdG)]),"")</f>
        <v/>
      </c>
      <c r="AV313" s="43" t="str">
        <f>IFERROR(_xlfn.XLOOKUP(Tableau1[[#This Row],[Isin]]&amp;1&amp;2019,#REF!,Tableau3[Résultat Net (PdG)]),"")</f>
        <v/>
      </c>
      <c r="AW313" s="43" t="str">
        <f>IFERROR(_xlfn.XLOOKUP(Tableau1[[#This Row],[Isin]]&amp;1&amp;2018,#REF!,Tableau3[Résultat Net (PdG)]),"")</f>
        <v/>
      </c>
      <c r="AX313" s="43" t="str">
        <f>IFERROR(_xlfn.XLOOKUP(Tableau1[[#This Row],[Isin]]&amp;1&amp;2017,#REF!,Tableau3[Résultat Net (PdG)]),"")</f>
        <v/>
      </c>
      <c r="AY313" s="43" t="str">
        <f>IFERROR(_xlfn.XLOOKUP(Tableau1[[#This Row],[Isin]]&amp;1&amp;2016,#REF!,Tableau3[Résultat Net (PdG)]),"")</f>
        <v/>
      </c>
      <c r="AZ313" s="137" t="str">
        <f ca="1">IFERROR(Tableau1[[#This Row],[Capitalisation boursière]]/Tableau1[[#This Row],[RN Groupe 2023]],"")</f>
        <v/>
      </c>
      <c r="BA313" s="4" t="str" cm="1">
        <f t="array" aca="1" ref="BA313" ca="1">IFERROR(_FV(Tableau1[[#This Row],[Code Excel]],"Industrie"),"")</f>
        <v>Media &amp; Publishing</v>
      </c>
      <c r="BB313" s="43" t="s">
        <v>3474</v>
      </c>
      <c r="BC313" s="43" t="str">
        <f>IFERROR(_xlfn.XLOOKUP(Tableau1[[#This Row],[Isin]]&amp;1&amp;2016,#REF!,Tableau3[Capi]),"")</f>
        <v/>
      </c>
      <c r="BD313" s="43" t="str">
        <f>IFERROR(_xlfn.XLOOKUP(Tableau1[[#This Row],[Isin]]&amp;1&amp;2017,#REF!,Tableau3[Capi]),"")</f>
        <v/>
      </c>
      <c r="BE313" s="43" t="str">
        <f>IFERROR(_xlfn.XLOOKUP(Tableau1[[#This Row],[Isin]]&amp;1&amp;2018,#REF!,Tableau3[Capi]),"")</f>
        <v/>
      </c>
      <c r="BF313" s="43" t="str">
        <f>IFERROR(_xlfn.XLOOKUP(Tableau1[[#This Row],[Isin]]&amp;1&amp;2019,#REF!,Tableau3[Capi]),"")</f>
        <v/>
      </c>
      <c r="BG313" s="43" t="str">
        <f>IFERROR(_xlfn.XLOOKUP(Tableau1[[#This Row],[Isin]]&amp;1&amp;2020,#REF!,Tableau3[Capi]),"")</f>
        <v/>
      </c>
      <c r="BH313" s="43">
        <f>IF(IFERROR(_xlfn.XLOOKUP(Tableau1[[#This Row],[Isin]]&amp;1&amp;2021,#REF!,Tableau3[Capi]),"")="",Tableau1[[#This Row],[Capitalisation 2021
Manuel]],IFERROR(_xlfn.XLOOKUP(Tableau1[[#This Row],[Isin]]&amp;1&amp;2021,#REF!,Tableau3[Capi]),""))</f>
        <v>0</v>
      </c>
      <c r="BI313" s="43"/>
      <c r="BJ313" s="43">
        <f>IF(IFERROR(_xlfn.XLOOKUP(Tableau1[[#This Row],[Isin]]&amp;1&amp;2022,#REF!,Tableau3[Capi]),"")="",Tableau1[[#This Row],[Capitalisation 2022
Manuel]],IFERROR(_xlfn.XLOOKUP(Tableau1[[#This Row],[Isin]]&amp;1&amp;2022,#REF!,Tableau3[Capi]),""))</f>
        <v>0</v>
      </c>
      <c r="BK313" s="43"/>
      <c r="BL313" s="43">
        <f ca="1">Tableau1[[#This Row],[Capitalisation boursière]]</f>
        <v>174352210105</v>
      </c>
      <c r="BM313" s="162" t="str" cm="1">
        <f t="array" aca="1" ref="BM313" ca="1">_FV(Tableau1[[#This Row],[Code Excel]],"Description")</f>
        <v>The Walt Disney Company est une société de divertissement diversifiée dans le monde entier. Les segments de la société comprennent le divertissement, le sport et les expériences. Le segment divertissement englobe généralement les activités mondiales de production et de distribution de contenu vidéo en streaming non axé sur le sport, la télévision et le cinéma en direct au consommateur (DTC) de la Société. Son secteur d'activité comprend les réseaux linéaires, les ventes directes aux consommateurs et les ventes/licences de contenu. Le segment Sports englobe généralement les activités de production et de distribution de contenu vidéo en streaming DTC et télévisuel axé sur le sport de la Société. Son secteur d'activité comprend ESPN et Star. Le segment expériences comprend Parcs et expériences et produits de consommation. Parcs et expériences comprend Walt Disney World Resort en Floride, Disneyland Resort en Californie, Disney Cruise Line, Disney Vacation Club et Disneyland Paris, entre autres. Les produits de consommation comprennent la concession de licences pour ses noms commerciaux, personnages, visuels, littéraires et autres adresses IP.</v>
      </c>
      <c r="BN313" s="43"/>
      <c r="BO313" s="43"/>
      <c r="BP313" s="43"/>
      <c r="BQ313" s="43"/>
      <c r="BR313" s="13"/>
      <c r="BS313" s="13"/>
      <c r="BT313" s="13"/>
      <c r="BU313" s="13"/>
      <c r="BV313" s="13"/>
      <c r="BW313" s="13"/>
      <c r="BX313" s="13"/>
      <c r="BY313" s="21"/>
      <c r="BZ313" s="13"/>
      <c r="CA313" s="13"/>
      <c r="CB313" s="13"/>
      <c r="CC313" s="13"/>
      <c r="CD313" s="13"/>
      <c r="CF313" s="4"/>
      <c r="CG313" s="4"/>
    </row>
    <row r="314" spans="3:85">
      <c r="C314" s="43"/>
      <c r="D314" s="42">
        <f>IF(Tableau1[[#This Row],[Isin]]="",99,Tableau1[[#This Row],[Intérêt]]+Tableau1[[#This Row],[Valeur d''intérêt]]+Tableau1[[#This Row],[N° Portefeuille]])</f>
        <v>30</v>
      </c>
      <c r="E314" s="43"/>
      <c r="F314" s="42">
        <f>IF(Tableau1[[#This Row],[Portefeuille]]="p",0,Tableau1[[#This Row],[F. Investissement
Niveau d''intérêt]]*10)</f>
        <v>30</v>
      </c>
      <c r="G314" s="43">
        <f>IF(Tableau1[[#This Row],[Portefeuille]]="p",3,0)</f>
        <v>0</v>
      </c>
      <c r="H314" s="42">
        <v>3</v>
      </c>
      <c r="I314" s="43">
        <v>4</v>
      </c>
      <c r="J314" s="43"/>
      <c r="K314" s="43"/>
      <c r="L314" s="16"/>
      <c r="M31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4" s="64" t="s">
        <v>4193</v>
      </c>
      <c r="O314" s="68"/>
      <c r="P314" s="4"/>
      <c r="Q314" s="4"/>
      <c r="R314" s="6"/>
      <c r="S314" s="6" t="s">
        <v>4194</v>
      </c>
      <c r="T314" s="4" t="e" vm="292">
        <v>#VALUE!</v>
      </c>
      <c r="U314" s="46" cm="1">
        <f t="array" aca="1" ref="U314" ca="1">IFERROR(_FV(Tableau1[[#This Row],[Code Excel]],"Capitalisation boursière",TRUE),"")</f>
        <v>3506693000</v>
      </c>
      <c r="V314" s="4" t="str" cm="1">
        <f t="array" aca="1" ref="V314" ca="1">IFERROR(_FV(Tableau1[[#This Row],[Code Excel]],"Industrie"),"")</f>
        <v>Investment Banking &amp; Investment Services</v>
      </c>
      <c r="X314" s="4" t="str">
        <f ca="1">Tableau1[[#This Row],[Grand Secteur]]&amp;Tableau1[[#This Row],[Industrie]]</f>
        <v>Investment Banking &amp; Investment Services</v>
      </c>
      <c r="Y314" s="65" cm="1">
        <f t="array" aca="1" ref="Y314" ca="1">IFERROR(_FV(Tableau1[[#This Row],[Code Excel]],"P/E",TRUE),"")</f>
        <v>22.389900000000001</v>
      </c>
      <c r="Z314" s="43" cm="1">
        <f t="array" aca="1" ref="Z314" ca="1">IFERROR(_FV(Tableau1[[#This Row],[Code Excel]],"Employés"),"")</f>
        <v>747</v>
      </c>
      <c r="AA314" s="49">
        <f ca="1">IFERROR(Tableau1[[#This Row],[Capitalisation boursière]]/Tableau1[[#This Row],[Employés]],"")</f>
        <v>4694368.1392235607</v>
      </c>
      <c r="AB314" s="5" t="str">
        <f>IFERROR(Tableau1[[#This Row],[REX (2021)]]/Tableau1[[#This Row],[CA 2024]],"")</f>
        <v/>
      </c>
      <c r="AC314" s="43" t="str">
        <f>IFERROR(_xlfn.XLOOKUP(Tableau1[[#This Row],[Isin]]&amp;1&amp;2021,#REF!,Tableau3[Résultat d''exploitation]),"")</f>
        <v/>
      </c>
      <c r="AD314" s="43" t="str">
        <f>IFERROR(_xlfn.XLOOKUP(Tableau1[[#This Row],[Isin]]&amp;1&amp;2019,#REF!,Tableau3[Chiffre d''affaires]),"")</f>
        <v/>
      </c>
      <c r="AE314" s="43" t="str">
        <f>IFERROR(_xlfn.XLOOKUP(Tableau1[[#This Row],[Isin]]&amp;1&amp;2024,#REF!,Tableau3[Chiffre d''affaires]),"")</f>
        <v/>
      </c>
      <c r="AF314" s="297" t="str">
        <f>IFERROR(IF((Tableau1[[#This Row],[CA 2024]]-Tableau1[[#This Row],[CA 2019]])/Tableau1[[#This Row],[CA 2019]]=-1,"",(Tableau1[[#This Row],[CA 2024]]-Tableau1[[#This Row],[CA 2019]])/Tableau1[[#This Row],[CA 2019]]),"")</f>
        <v/>
      </c>
      <c r="AG314" s="9" t="str">
        <f>IFERROR(_xlfn.XLOOKUP(Tableau1[[#This Row],[Isin]]&amp;1&amp;2021,#REF!,Tableau3[EBE]),"")</f>
        <v/>
      </c>
      <c r="AH314" s="9" t="str">
        <f>IFERROR(_xlfn.XLOOKUP(Tableau1[[#This Row],[Isin]]&amp;1&amp;2022,#REF!,Tableau3[EBE]),"")</f>
        <v/>
      </c>
      <c r="AI314" s="43"/>
      <c r="AJ314" s="43"/>
      <c r="AK314" s="43"/>
      <c r="AL314" s="43"/>
      <c r="AM314" s="43"/>
      <c r="AN314" s="43" t="str">
        <f>IFERROR(_xlfn.XLOOKUP(Tableau1[[#This Row],[Isin]]&amp;1&amp;2021,#REF!,Tableau3[Chiffre d''affaires]),"")</f>
        <v/>
      </c>
      <c r="AO314" s="43" cm="1">
        <f t="array" aca="1" ref="AO314" ca="1">_FV(Tableau1[[#This Row],[Code Excel]],"P/E",TRUE)</f>
        <v>22.389900000000001</v>
      </c>
      <c r="AP314" s="43" t="str">
        <f>IFERROR(_xlfn.XLOOKUP(Tableau1[[#This Row],[Isin]]&amp;1&amp;2023,#REF!,Tableau3[Résultat Net (PdG)]),"")</f>
        <v/>
      </c>
      <c r="AQ314" s="43">
        <f>IF(IFERROR(_xlfn.XLOOKUP(Tableau1[[#This Row],[Isin]]&amp;1&amp;2022,#REF!,Tableau3[Résultat Net (PdG)]),"")="",Tableau1[[#This Row],[RN Groupe 2022
Manuel]],IFERROR(_xlfn.XLOOKUP(Tableau1[[#This Row],[Isin]]&amp;1&amp;2022,#REF!,Tableau3[Résultat Net (PdG)]),""))</f>
        <v>0</v>
      </c>
      <c r="AR314" s="43"/>
      <c r="AS314" s="43">
        <f>IF(IFERROR(_xlfn.XLOOKUP(Tableau1[[#This Row],[Isin]]&amp;1&amp;2021,#REF!,Tableau3[Résultat Net (PdG)]),"")="",Tableau1[[#This Row],[RN Groupe 2021
Manuel]],IFERROR(_xlfn.XLOOKUP(Tableau1[[#This Row],[Isin]]&amp;1&amp;2021,#REF!,Tableau3[Résultat Net (PdG)]),""))</f>
        <v>0</v>
      </c>
      <c r="AT314" s="43"/>
      <c r="AU314" s="43"/>
      <c r="AV314" s="43"/>
      <c r="AW314" s="43"/>
      <c r="AX314" s="43"/>
      <c r="AY314" s="43" t="str">
        <f>IFERROR(_xlfn.XLOOKUP(Tableau1[[#This Row],[Isin]]&amp;1&amp;2016,#REF!,Tableau3[Résultat Net (PdG)]),"")</f>
        <v/>
      </c>
      <c r="AZ314" s="137" t="str">
        <f ca="1">IFERROR(Tableau1[[#This Row],[Capitalisation boursière]]/Tableau1[[#This Row],[RN Groupe 2023]],"")</f>
        <v/>
      </c>
      <c r="BA314" s="43" t="str" cm="1">
        <f t="array" aca="1" ref="BA314" ca="1">IFERROR(_FV(Tableau1[[#This Row],[Code Excel]],"Industrie"),"")</f>
        <v>Investment Banking &amp; Investment Services</v>
      </c>
      <c r="BB314" s="43"/>
      <c r="BC314" s="43" t="str">
        <f>IFERROR(_xlfn.XLOOKUP(Tableau1[[#This Row],[Isin]]&amp;1&amp;2016,#REF!,Tableau3[Capi]),"")</f>
        <v/>
      </c>
      <c r="BD314" s="43" t="str">
        <f>IFERROR(_xlfn.XLOOKUP(Tableau1[[#This Row],[Isin]]&amp;1&amp;2017,#REF!,Tableau3[Capi]),"")</f>
        <v/>
      </c>
      <c r="BE314" s="43" t="str">
        <f>IFERROR(_xlfn.XLOOKUP(Tableau1[[#This Row],[Isin]]&amp;1&amp;2018,#REF!,Tableau3[Capi]),"")</f>
        <v/>
      </c>
      <c r="BF314" s="43" t="str">
        <f>IFERROR(_xlfn.XLOOKUP(Tableau1[[#This Row],[Isin]]&amp;1&amp;2019,#REF!,Tableau3[Capi]),"")</f>
        <v/>
      </c>
      <c r="BG314" s="43" t="str">
        <f>IFERROR(_xlfn.XLOOKUP(Tableau1[[#This Row],[Isin]]&amp;1&amp;2020,#REF!,Tableau3[Capi]),"")</f>
        <v/>
      </c>
      <c r="BH314" s="43">
        <f>IF(IFERROR(_xlfn.XLOOKUP(Tableau1[[#This Row],[Isin]]&amp;1&amp;2021,#REF!,Tableau3[Capi]),"")="",Tableau1[[#This Row],[Capitalisation 2021
Manuel]],IFERROR(_xlfn.XLOOKUP(Tableau1[[#This Row],[Isin]]&amp;1&amp;2021,#REF!,Tableau3[Capi]),""))</f>
        <v>0</v>
      </c>
      <c r="BI314" s="43"/>
      <c r="BJ314" s="43">
        <f>IF(IFERROR(_xlfn.XLOOKUP(Tableau1[[#This Row],[Isin]]&amp;1&amp;2022,#REF!,Tableau3[Capi]),"")="",Tableau1[[#This Row],[Capitalisation 2022
Manuel]],IFERROR(_xlfn.XLOOKUP(Tableau1[[#This Row],[Isin]]&amp;1&amp;2022,#REF!,Tableau3[Capi]),""))</f>
        <v>0</v>
      </c>
      <c r="BK314" s="43"/>
      <c r="BL314" s="43">
        <f ca="1">Tableau1[[#This Row],[Capitalisation boursière]]</f>
        <v>3506693000</v>
      </c>
      <c r="BM314" s="162" t="str" cm="1">
        <f t="array" aca="1" ref="BM314" ca="1">_FV(Tableau1[[#This Row],[Code Excel]],"Description")</f>
        <v>Tikehau Capital SCA est une société de gestion d'actifs et d'investissement basée en France. La Société investit dans diverses classes d'actifs, y compris la dette privée, qui comprend des opérations de financement par emprunt, telles que la dette senior, l'unité et la mezzanine, ainsi que des obligations de prêt garanties ; l'immobilier, qui se concentre sur l'immobilier commercial et recherche des transactions de vente et de cession-bail dans lesquelles les véhicules de la société agissent en tant qu'acheteur ; Private Equity, qui regroupe les investissements en fonds propres de sociétés cotées et non cotées, et Liquid Strategies, qui regroupe les investissements en obligations, en titres investment grade et la gestion de fonds ouverts et en solutions logicielles avec l'acquisition d'Isotrol. La Société opère soit par des prises de participation directes, soit par l'intermédiaire de sa filiale de gestion d'actifs, Tikehau IM, pour le compte d'investisseurs institutionnels et privés. La Société possède des bureaux à Paris, Londres, Bruxelles, New York et Singapour, entre autres.</v>
      </c>
      <c r="BN314" s="43"/>
      <c r="BO314" s="43"/>
      <c r="BP314" s="43"/>
      <c r="BQ314" s="43"/>
      <c r="BR314" s="13"/>
      <c r="BS314" s="13"/>
      <c r="BT314" s="13"/>
      <c r="BU314" s="13"/>
      <c r="BV314" s="13"/>
      <c r="BW314" s="13"/>
      <c r="BX314" s="13"/>
      <c r="BY314" s="21"/>
      <c r="BZ314" s="13"/>
      <c r="CA314" s="13"/>
      <c r="CB314" s="13"/>
      <c r="CC314" s="13"/>
      <c r="CD314" s="13"/>
      <c r="CF314" s="4"/>
      <c r="CG314" s="4"/>
    </row>
    <row r="315" spans="3:85">
      <c r="C315" s="43"/>
      <c r="D315" s="42">
        <f>IF(Tableau1[[#This Row],[Isin]]="",99,Tableau1[[#This Row],[Intérêt]]+Tableau1[[#This Row],[Valeur d''intérêt]]+Tableau1[[#This Row],[N° Portefeuille]])</f>
        <v>30</v>
      </c>
      <c r="E315" s="43"/>
      <c r="F315" s="42">
        <f>IF(Tableau1[[#This Row],[Portefeuille]]="p",0,Tableau1[[#This Row],[F. Investissement
Niveau d''intérêt]]*10)</f>
        <v>30</v>
      </c>
      <c r="G315" s="43">
        <f>IF(Tableau1[[#This Row],[Portefeuille]]="p",3,0)</f>
        <v>0</v>
      </c>
      <c r="H315" s="43">
        <v>3</v>
      </c>
      <c r="I315" s="43">
        <v>4</v>
      </c>
      <c r="J315" s="43"/>
      <c r="K315" s="43"/>
      <c r="L315" s="16">
        <v>1</v>
      </c>
      <c r="M31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5" s="44" t="s">
        <v>618</v>
      </c>
      <c r="O315" s="44" t="s">
        <v>4430</v>
      </c>
      <c r="P315" s="4" t="s">
        <v>619</v>
      </c>
      <c r="Q315" s="6" t="s">
        <v>85</v>
      </c>
      <c r="R315" s="6"/>
      <c r="S315" s="6" t="s">
        <v>621</v>
      </c>
      <c r="T315" s="6" t="e" vm="293">
        <v>#VALUE!</v>
      </c>
      <c r="U315" s="46" cm="1">
        <f t="array" aca="1" ref="U315" ca="1">IFERROR(_FV(Tableau1[[#This Row],[Code Excel]],"Capitalisation boursière",TRUE),"")</f>
        <v>1422360000</v>
      </c>
      <c r="V315" s="4" t="str" cm="1">
        <f t="array" aca="1" ref="V315" ca="1">IFERROR(_FV(Tableau1[[#This Row],[Code Excel]],"Industrie"),"")</f>
        <v>Textiles &amp; Apparel</v>
      </c>
      <c r="W315" s="4" t="s">
        <v>1315</v>
      </c>
      <c r="X315" s="4" t="str">
        <f ca="1">Tableau1[[#This Row],[Grand Secteur]]&amp;Tableau1[[#This Row],[Industrie]]</f>
        <v>Biens de consommationTextiles &amp; Apparel</v>
      </c>
      <c r="Y315" s="23" cm="1">
        <f t="array" aca="1" ref="Y315" ca="1">IFERROR(_FV(Tableau1[[#This Row],[Code Excel]],"P/E",TRUE),"")</f>
        <v>28.423999999999999</v>
      </c>
      <c r="Z315" s="43" cm="1">
        <f t="array" aca="1" ref="Z315" ca="1">IFERROR(_FV(Tableau1[[#This Row],[Code Excel]],"Employés"),"")</f>
        <v>5076</v>
      </c>
      <c r="AA315" s="46">
        <f ca="1">IFERROR(Tableau1[[#This Row],[Capitalisation boursière]]/Tableau1[[#This Row],[Employés]],"")</f>
        <v>280212.76595744683</v>
      </c>
      <c r="AB315" s="5" t="str">
        <f>IFERROR(Tableau1[[#This Row],[REX (2021)]]/Tableau1[[#This Row],[CA 2024]],"")</f>
        <v/>
      </c>
      <c r="AC315" s="9" t="str">
        <f>IFERROR(_xlfn.XLOOKUP(Tableau1[[#This Row],[Isin]]&amp;1&amp;2021,#REF!,Tableau3[Résultat d''exploitation]),"")</f>
        <v/>
      </c>
      <c r="AD315" s="9" t="str">
        <f>IFERROR(_xlfn.XLOOKUP(Tableau1[[#This Row],[Isin]]&amp;1&amp;2019,#REF!,Tableau3[Chiffre d''affaires]),"")</f>
        <v/>
      </c>
      <c r="AE315" s="9" t="str">
        <f>IFERROR(_xlfn.XLOOKUP(Tableau1[[#This Row],[Isin]]&amp;1&amp;2024,#REF!,Tableau3[Chiffre d''affaires]),"")</f>
        <v/>
      </c>
      <c r="AF315" s="8" t="str">
        <f>IFERROR(IF((Tableau1[[#This Row],[CA 2024]]-Tableau1[[#This Row],[CA 2019]])/Tableau1[[#This Row],[CA 2019]]=-1,"",(Tableau1[[#This Row],[CA 2024]]-Tableau1[[#This Row],[CA 2019]])/Tableau1[[#This Row],[CA 2019]]),"")</f>
        <v/>
      </c>
      <c r="AG315" s="9" t="str">
        <f>IFERROR(_xlfn.XLOOKUP(Tableau1[[#This Row],[Isin]]&amp;1&amp;2021,#REF!,Tableau3[EBE]),"")</f>
        <v/>
      </c>
      <c r="AH315" s="9" t="str">
        <f>IFERROR(_xlfn.XLOOKUP(Tableau1[[#This Row],[Isin]]&amp;1&amp;2022,#REF!,Tableau3[EBE]),"")</f>
        <v/>
      </c>
      <c r="AI315" s="43" t="s">
        <v>4329</v>
      </c>
      <c r="AJ315" s="43" t="s">
        <v>4376</v>
      </c>
      <c r="AK315" s="43" t="s">
        <v>3149</v>
      </c>
      <c r="AL315" s="43" t="s">
        <v>3149</v>
      </c>
      <c r="AM315" s="43"/>
      <c r="AN315" s="9" t="str">
        <f>IFERROR(_xlfn.XLOOKUP(Tableau1[[#This Row],[Isin]]&amp;1&amp;2021,#REF!,Tableau3[Chiffre d''affaires]),"")</f>
        <v/>
      </c>
      <c r="AO315" s="43" cm="1">
        <f t="array" aca="1" ref="AO315" ca="1">_FV(Tableau1[[#This Row],[Code Excel]],"P/E",TRUE)</f>
        <v>28.423999999999999</v>
      </c>
      <c r="AP315" s="43" t="str">
        <f>IFERROR(_xlfn.XLOOKUP(Tableau1[[#This Row],[Isin]]&amp;1&amp;2023,#REF!,Tableau3[Résultat Net (PdG)]),"")</f>
        <v/>
      </c>
      <c r="AQ315" s="43">
        <f>IF(IFERROR(_xlfn.XLOOKUP(Tableau1[[#This Row],[Isin]]&amp;1&amp;2022,#REF!,Tableau3[Résultat Net (PdG)]),"")="",Tableau1[[#This Row],[RN Groupe 2022
Manuel]],IFERROR(_xlfn.XLOOKUP(Tableau1[[#This Row],[Isin]]&amp;1&amp;2022,#REF!,Tableau3[Résultat Net (PdG)]),""))</f>
        <v>0</v>
      </c>
      <c r="AR315" s="43"/>
      <c r="AS315" s="43">
        <f>IF(IFERROR(_xlfn.XLOOKUP(Tableau1[[#This Row],[Isin]]&amp;1&amp;2021,#REF!,Tableau3[Résultat Net (PdG)]),"")="",Tableau1[[#This Row],[RN Groupe 2021
Manuel]],IFERROR(_xlfn.XLOOKUP(Tableau1[[#This Row],[Isin]]&amp;1&amp;2021,#REF!,Tableau3[Résultat Net (PdG)]),""))</f>
        <v>0</v>
      </c>
      <c r="AT315" s="43"/>
      <c r="AU315" s="43" t="str">
        <f>IFERROR(_xlfn.XLOOKUP(Tableau1[[#This Row],[Isin]]&amp;1&amp;2020,#REF!,Tableau3[Résultat Net (PdG)]),"")</f>
        <v/>
      </c>
      <c r="AV315" s="43" t="str">
        <f>IFERROR(_xlfn.XLOOKUP(Tableau1[[#This Row],[Isin]]&amp;1&amp;2019,#REF!,Tableau3[Résultat Net (PdG)]),"")</f>
        <v/>
      </c>
      <c r="AW315" s="43" t="str">
        <f>IFERROR(_xlfn.XLOOKUP(Tableau1[[#This Row],[Isin]]&amp;1&amp;2018,#REF!,Tableau3[Résultat Net (PdG)]),"")</f>
        <v/>
      </c>
      <c r="AX315" s="43" t="str">
        <f>IFERROR(_xlfn.XLOOKUP(Tableau1[[#This Row],[Isin]]&amp;1&amp;2017,#REF!,Tableau3[Résultat Net (PdG)]),"")</f>
        <v/>
      </c>
      <c r="AY315" s="43" t="str">
        <f>IFERROR(_xlfn.XLOOKUP(Tableau1[[#This Row],[Isin]]&amp;1&amp;2016,#REF!,Tableau3[Résultat Net (PdG)]),"")</f>
        <v/>
      </c>
      <c r="AZ315" s="137" t="str">
        <f ca="1">IFERROR(Tableau1[[#This Row],[Capitalisation boursière]]/Tableau1[[#This Row],[RN Groupe 2023]],"")</f>
        <v/>
      </c>
      <c r="BA315" s="4" t="str" cm="1">
        <f t="array" aca="1" ref="BA315" ca="1">IFERROR(_FV(Tableau1[[#This Row],[Code Excel]],"Industrie"),"")</f>
        <v>Textiles &amp; Apparel</v>
      </c>
      <c r="BB315" s="43" t="e">
        <v>#N/A</v>
      </c>
      <c r="BC315" s="43" t="str">
        <f>IFERROR(_xlfn.XLOOKUP(Tableau1[[#This Row],[Isin]]&amp;1&amp;2016,#REF!,Tableau3[Capi]),"")</f>
        <v/>
      </c>
      <c r="BD315" s="43" t="str">
        <f>IFERROR(_xlfn.XLOOKUP(Tableau1[[#This Row],[Isin]]&amp;1&amp;2017,#REF!,Tableau3[Capi]),"")</f>
        <v/>
      </c>
      <c r="BE315" s="43" t="str">
        <f>IFERROR(_xlfn.XLOOKUP(Tableau1[[#This Row],[Isin]]&amp;1&amp;2018,#REF!,Tableau3[Capi]),"")</f>
        <v/>
      </c>
      <c r="BF315" s="43" t="str">
        <f>IFERROR(_xlfn.XLOOKUP(Tableau1[[#This Row],[Isin]]&amp;1&amp;2019,#REF!,Tableau3[Capi]),"")</f>
        <v/>
      </c>
      <c r="BG315" s="43" t="str">
        <f>IFERROR(_xlfn.XLOOKUP(Tableau1[[#This Row],[Isin]]&amp;1&amp;2020,#REF!,Tableau3[Capi]),"")</f>
        <v/>
      </c>
      <c r="BH315" s="43">
        <f>IF(IFERROR(_xlfn.XLOOKUP(Tableau1[[#This Row],[Isin]]&amp;1&amp;2021,#REF!,Tableau3[Capi]),"")="",Tableau1[[#This Row],[Capitalisation 2021
Manuel]],IFERROR(_xlfn.XLOOKUP(Tableau1[[#This Row],[Isin]]&amp;1&amp;2021,#REF!,Tableau3[Capi]),""))</f>
        <v>0</v>
      </c>
      <c r="BI315" s="43"/>
      <c r="BJ315" s="43">
        <f>IF(IFERROR(_xlfn.XLOOKUP(Tableau1[[#This Row],[Isin]]&amp;1&amp;2022,#REF!,Tableau3[Capi]),"")="",Tableau1[[#This Row],[Capitalisation 2022
Manuel]],IFERROR(_xlfn.XLOOKUP(Tableau1[[#This Row],[Isin]]&amp;1&amp;2022,#REF!,Tableau3[Capi]),""))</f>
        <v>0</v>
      </c>
      <c r="BK315" s="43"/>
      <c r="BL315" s="43">
        <f ca="1">Tableau1[[#This Row],[Capitalisation boursière]]</f>
        <v>1422360000</v>
      </c>
      <c r="BM315" s="162" t="str" cm="1">
        <f t="array" aca="1" ref="BM315" ca="1">_FV(Tableau1[[#This Row],[Code Excel]],"Description")</f>
        <v>Tod's spa est une société holding basée en Italie. La Société, par l'intermédiaire de ses filiales, est principalement engagée dans la création, la production et la distribution de chaussures, d'articles et d'accessoires en cuir et de vêtements. La société opère dans le secteur du luxe sous des marques telles que tod'S, ROGER VIVIER, HOGAN et FAY. La Société produit des chaussures et des articles en cuir dans ses usines, avec une sous-traitance partielle vers des ateliers spécialisés. La Société offre ses produits à ses clients par l'intermédiaire d'un réseau de magasins spécialisés. La Société compte sur environ trois canaux : les magasins exploités directement (DOS), les points de vente franchisés, ainsi qu'une série de magasins multibandes indépendants sélectionnés. La marque tod'S propose chaussures et maroquinerie de luxe. La marque ROGER VIVIER propose chaussures, sacs à main, petite maroquinerie, bijoux, ainsi que lunettes de soleil. La marque HOGAN propose des collections de chaussures pour femmes, hommes, enfants, ainsi que de l'artisanat divers articles de maroquinerie. La marque FAY propose une gamme de produits de vêtements décontractés pour hommes et femmes.</v>
      </c>
      <c r="BN315" s="43"/>
      <c r="BO315" s="43"/>
      <c r="BP315" s="43"/>
      <c r="BQ315" s="43"/>
      <c r="BR315" s="13"/>
      <c r="BS315" s="13"/>
      <c r="BT315" s="13"/>
      <c r="BU315" s="13"/>
      <c r="BV315" s="13"/>
      <c r="BW315" s="13"/>
      <c r="BX315" s="13"/>
      <c r="BY315" s="21"/>
      <c r="BZ315" s="13"/>
      <c r="CA315" s="13"/>
      <c r="CB315" s="13"/>
      <c r="CC315" s="13"/>
      <c r="CD315" s="13"/>
      <c r="CF315" s="4"/>
      <c r="CG315" s="4"/>
    </row>
    <row r="316" spans="3:85">
      <c r="C316" s="42"/>
      <c r="D316" s="42">
        <f>IF(Tableau1[[#This Row],[Isin]]="",99,Tableau1[[#This Row],[Intérêt]]+Tableau1[[#This Row],[Valeur d''intérêt]]+Tableau1[[#This Row],[N° Portefeuille]])</f>
        <v>30</v>
      </c>
      <c r="E316" s="42"/>
      <c r="F316" s="42">
        <f>IF(Tableau1[[#This Row],[Portefeuille]]="p",0,Tableau1[[#This Row],[F. Investissement
Niveau d''intérêt]]*10)</f>
        <v>30</v>
      </c>
      <c r="G316" s="42">
        <f>IF(Tableau1[[#This Row],[Portefeuille]]="p",3,0)</f>
        <v>0</v>
      </c>
      <c r="H316" s="42">
        <v>3</v>
      </c>
      <c r="I316" s="42">
        <v>4</v>
      </c>
      <c r="J316" s="42"/>
      <c r="K316" s="43"/>
      <c r="L316" s="16">
        <v>1</v>
      </c>
      <c r="M31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6" s="44" t="s">
        <v>4197</v>
      </c>
      <c r="O316" s="44" t="s">
        <v>4431</v>
      </c>
      <c r="P316" s="4" t="s">
        <v>84</v>
      </c>
      <c r="Q316" s="6" t="s">
        <v>383</v>
      </c>
      <c r="R316" s="6"/>
      <c r="S316" s="6" t="s">
        <v>1093</v>
      </c>
      <c r="T316" s="6" t="e" vm="294">
        <v>#VALUE!</v>
      </c>
      <c r="U316" s="46" cm="1">
        <f t="array" aca="1" ref="U316" ca="1">IFERROR(_FV(Tableau1[[#This Row],[Code Excel]],"Capitalisation boursière",TRUE),"")</f>
        <v>134087800000</v>
      </c>
      <c r="V316" s="4" t="str" cm="1">
        <f t="array" aca="1" ref="V316" ca="1">IFERROR(_FV(Tableau1[[#This Row],[Code Excel]],"Industrie"),"")</f>
        <v>Oil &amp; Gas</v>
      </c>
      <c r="W316" s="4" t="s">
        <v>371</v>
      </c>
      <c r="X316" s="4" t="str">
        <f ca="1">Tableau1[[#This Row],[Grand Secteur]]&amp;Tableau1[[#This Row],[Industrie]]</f>
        <v>EnergieOil &amp; Gas</v>
      </c>
      <c r="Y316" s="23" cm="1">
        <f t="array" aca="1" ref="Y316" ca="1">IFERROR(_FV(Tableau1[[#This Row],[Code Excel]],"P/E",TRUE),"")</f>
        <v>9.0950000000000006</v>
      </c>
      <c r="Z316" s="43" cm="1">
        <f t="array" aca="1" ref="Z316" ca="1">IFERROR(_FV(Tableau1[[#This Row],[Code Excel]],"Employés"),"")</f>
        <v>102579</v>
      </c>
      <c r="AA316" s="46">
        <f ca="1">IFERROR(Tableau1[[#This Row],[Capitalisation boursière]]/Tableau1[[#This Row],[Employés]],"")</f>
        <v>1307166.1841117577</v>
      </c>
      <c r="AB316" s="5" t="str">
        <f>IFERROR(Tableau1[[#This Row],[REX (2021)]]/Tableau1[[#This Row],[CA 2024]],"")</f>
        <v/>
      </c>
      <c r="AC316" s="9" t="str">
        <f>IFERROR(_xlfn.XLOOKUP(Tableau1[[#This Row],[Isin]]&amp;1&amp;2021,#REF!,Tableau3[Résultat d''exploitation]),"")</f>
        <v/>
      </c>
      <c r="AD316" s="9" t="str">
        <f>IFERROR(_xlfn.XLOOKUP(Tableau1[[#This Row],[Isin]]&amp;1&amp;2019,#REF!,Tableau3[Chiffre d''affaires]),"")</f>
        <v/>
      </c>
      <c r="AE316" s="9" t="str">
        <f>IFERROR(_xlfn.XLOOKUP(Tableau1[[#This Row],[Isin]]&amp;1&amp;2024,#REF!,Tableau3[Chiffre d''affaires]),"")</f>
        <v/>
      </c>
      <c r="AF316" s="8" t="str">
        <f>IFERROR(IF((Tableau1[[#This Row],[CA 2024]]-Tableau1[[#This Row],[CA 2019]])/Tableau1[[#This Row],[CA 2019]]=-1,"",(Tableau1[[#This Row],[CA 2024]]-Tableau1[[#This Row],[CA 2019]])/Tableau1[[#This Row],[CA 2019]]),"")</f>
        <v/>
      </c>
      <c r="AG316" s="9" t="str">
        <f>IFERROR(_xlfn.XLOOKUP(Tableau1[[#This Row],[Isin]]&amp;1&amp;2021,#REF!,Tableau3[EBE]),"")</f>
        <v/>
      </c>
      <c r="AH316" s="9" t="str">
        <f>IFERROR(_xlfn.XLOOKUP(Tableau1[[#This Row],[Isin]]&amp;1&amp;2022,#REF!,Tableau3[EBE]),"")</f>
        <v/>
      </c>
      <c r="AI316" s="43" t="s">
        <v>4343</v>
      </c>
      <c r="AJ316" s="43" t="s">
        <v>3150</v>
      </c>
      <c r="AK316" s="43" t="s">
        <v>3419</v>
      </c>
      <c r="AL316" s="43" t="s">
        <v>3149</v>
      </c>
      <c r="AM316" s="43"/>
      <c r="AN316" s="9" t="str">
        <f>IFERROR(_xlfn.XLOOKUP(Tableau1[[#This Row],[Isin]]&amp;1&amp;2021,#REF!,Tableau3[Chiffre d''affaires]),"")</f>
        <v/>
      </c>
      <c r="AO316" s="43" cm="1">
        <f t="array" aca="1" ref="AO316" ca="1">_FV(Tableau1[[#This Row],[Code Excel]],"P/E",TRUE)</f>
        <v>9.0950000000000006</v>
      </c>
      <c r="AP316" s="43" t="str">
        <f>IFERROR(_xlfn.XLOOKUP(Tableau1[[#This Row],[Isin]]&amp;1&amp;2023,#REF!,Tableau3[Résultat Net (PdG)]),"")</f>
        <v/>
      </c>
      <c r="AQ316" s="43">
        <f>IF(IFERROR(_xlfn.XLOOKUP(Tableau1[[#This Row],[Isin]]&amp;1&amp;2022,#REF!,Tableau3[Résultat Net (PdG)]),"")="",Tableau1[[#This Row],[RN Groupe 2022
Manuel]],IFERROR(_xlfn.XLOOKUP(Tableau1[[#This Row],[Isin]]&amp;1&amp;2022,#REF!,Tableau3[Résultat Net (PdG)]),""))</f>
        <v>19470000000</v>
      </c>
      <c r="AR316" s="140">
        <v>19470000000</v>
      </c>
      <c r="AS316" s="43">
        <f>IF(IFERROR(_xlfn.XLOOKUP(Tableau1[[#This Row],[Isin]]&amp;1&amp;2021,#REF!,Tableau3[Résultat Net (PdG)]),"")="",Tableau1[[#This Row],[RN Groupe 2021
Manuel]],IFERROR(_xlfn.XLOOKUP(Tableau1[[#This Row],[Isin]]&amp;1&amp;2021,#REF!,Tableau3[Résultat Net (PdG)]),""))</f>
        <v>16032000000</v>
      </c>
      <c r="AT316" s="140">
        <v>16032000000</v>
      </c>
      <c r="AU316" s="43" t="str">
        <f>IFERROR(_xlfn.XLOOKUP(Tableau1[[#This Row],[Isin]]&amp;1&amp;2020,#REF!,Tableau3[Résultat Net (PdG)]),"")</f>
        <v/>
      </c>
      <c r="AV316" s="43" t="str">
        <f>IFERROR(_xlfn.XLOOKUP(Tableau1[[#This Row],[Isin]]&amp;1&amp;2019,#REF!,Tableau3[Résultat Net (PdG)]),"")</f>
        <v/>
      </c>
      <c r="AW316" s="43" t="str">
        <f>IFERROR(_xlfn.XLOOKUP(Tableau1[[#This Row],[Isin]]&amp;1&amp;2018,#REF!,Tableau3[Résultat Net (PdG)]),"")</f>
        <v/>
      </c>
      <c r="AX316" s="43" t="str">
        <f>IFERROR(_xlfn.XLOOKUP(Tableau1[[#This Row],[Isin]]&amp;1&amp;2017,#REF!,Tableau3[Résultat Net (PdG)]),"")</f>
        <v/>
      </c>
      <c r="AY316" s="43" t="str">
        <f>IFERROR(_xlfn.XLOOKUP(Tableau1[[#This Row],[Isin]]&amp;1&amp;2016,#REF!,Tableau3[Résultat Net (PdG)]),"")</f>
        <v/>
      </c>
      <c r="AZ316" s="137" t="str">
        <f ca="1">IFERROR(Tableau1[[#This Row],[Capitalisation boursière]]/Tableau1[[#This Row],[RN Groupe 2023]],"")</f>
        <v/>
      </c>
      <c r="BA316" s="4" t="s">
        <v>371</v>
      </c>
      <c r="BB316" s="43" t="s">
        <v>3518</v>
      </c>
      <c r="BC316" s="43" t="str">
        <f>IFERROR(_xlfn.XLOOKUP(Tableau1[[#This Row],[Isin]]&amp;1&amp;2016,#REF!,Tableau3[Capi]),"")</f>
        <v/>
      </c>
      <c r="BD316" s="43" t="str">
        <f>IFERROR(_xlfn.XLOOKUP(Tableau1[[#This Row],[Isin]]&amp;1&amp;2017,#REF!,Tableau3[Capi]),"")</f>
        <v/>
      </c>
      <c r="BE316" s="43" t="str">
        <f>IFERROR(_xlfn.XLOOKUP(Tableau1[[#This Row],[Isin]]&amp;1&amp;2018,#REF!,Tableau3[Capi]),"")</f>
        <v/>
      </c>
      <c r="BF316" s="43" t="str">
        <f>IFERROR(_xlfn.XLOOKUP(Tableau1[[#This Row],[Isin]]&amp;1&amp;2019,#REF!,Tableau3[Capi]),"")</f>
        <v/>
      </c>
      <c r="BG316" s="43" t="str">
        <f>IFERROR(_xlfn.XLOOKUP(Tableau1[[#This Row],[Isin]]&amp;1&amp;2020,#REF!,Tableau3[Capi]),"")</f>
        <v/>
      </c>
      <c r="BH316" s="43">
        <f>IF(IFERROR(_xlfn.XLOOKUP(Tableau1[[#This Row],[Isin]]&amp;1&amp;2021,#REF!,Tableau3[Capi]),"")="",Tableau1[[#This Row],[Capitalisation 2021
Manuel]],IFERROR(_xlfn.XLOOKUP(Tableau1[[#This Row],[Isin]]&amp;1&amp;2021,#REF!,Tableau3[Capi]),""))</f>
        <v>154578165000</v>
      </c>
      <c r="BI316" s="142">
        <v>154578165000</v>
      </c>
      <c r="BJ316" s="141">
        <f>IF(IFERROR(_xlfn.XLOOKUP(Tableau1[[#This Row],[Isin]]&amp;1&amp;2022,#REF!,Tableau3[Capi]),"")="",Tableau1[[#This Row],[Capitalisation 2022
Manuel]],IFERROR(_xlfn.XLOOKUP(Tableau1[[#This Row],[Isin]]&amp;1&amp;2022,#REF!,Tableau3[Capi]),""))</f>
        <v>160540489000</v>
      </c>
      <c r="BK316" s="142">
        <v>160540489000</v>
      </c>
      <c r="BL316" s="43">
        <f ca="1">Tableau1[[#This Row],[Capitalisation boursière]]</f>
        <v>134087800000</v>
      </c>
      <c r="BM316" s="162" t="str" cm="1">
        <f t="array" aca="1" ref="BM316" ca="1">_FV(Tableau1[[#This Row],[Code Excel]],"Description")</f>
        <v>TotalEnergies SE est une société française dont l’activité principale est celle d’un groupe pétrolier mondial. Ses divisions de segment sont divisées en raffinage et chimie tels que le raffinage des produits pétroliers et la fabrication de produits chimiques de base et de spécialités, la distribution de produits pétroliers, la production d’électricité à partir de centrales à gaz à cycle combiné et les énergies renouvelables, La production, le commerce, le transport et la distribution de gaz comprennent principalement le gaz naturel liquéfié, le gaz naturel, le biogaz, l’hydrogène, le gaz de pétrole liquéfié et les hydrocarbures. Le groupe opère également dans le négoce et le transport maritime du pétrole brut et des produits pétroliers.</v>
      </c>
      <c r="BN316" s="43"/>
      <c r="BO316" s="43"/>
      <c r="BP316" s="43"/>
      <c r="BQ316" s="43"/>
      <c r="BR316" s="13"/>
      <c r="BS316" s="13"/>
      <c r="BT316" s="13"/>
      <c r="BU316" s="13"/>
      <c r="BV316" s="13"/>
      <c r="BW316" s="13"/>
      <c r="BX316" s="13"/>
      <c r="BY316" s="21"/>
      <c r="BZ316" s="13"/>
      <c r="CA316" s="13"/>
      <c r="CB316" s="13"/>
      <c r="CC316" s="13"/>
      <c r="CD316" s="13"/>
      <c r="CF316" s="4"/>
      <c r="CG316" s="4"/>
    </row>
    <row r="317" spans="3:85">
      <c r="C317" s="43"/>
      <c r="D317" s="42">
        <f>IF(Tableau1[[#This Row],[Isin]]="",99,Tableau1[[#This Row],[Intérêt]]+Tableau1[[#This Row],[Valeur d''intérêt]]+Tableau1[[#This Row],[N° Portefeuille]])</f>
        <v>20</v>
      </c>
      <c r="E317" s="43"/>
      <c r="F317" s="42">
        <f>IF(Tableau1[[#This Row],[Portefeuille]]="p",0,Tableau1[[#This Row],[F. Investissement
Niveau d''intérêt]]*10)</f>
        <v>20</v>
      </c>
      <c r="G317" s="43">
        <f>IF(Tableau1[[#This Row],[Portefeuille]]="p",3,0)</f>
        <v>0</v>
      </c>
      <c r="H317" s="43">
        <v>2</v>
      </c>
      <c r="I317" s="43">
        <v>4</v>
      </c>
      <c r="J317" s="43"/>
      <c r="K317" s="43"/>
      <c r="L317" s="16">
        <v>1</v>
      </c>
      <c r="M31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7" s="44" t="s">
        <v>2277</v>
      </c>
      <c r="O317" s="44" t="s">
        <v>4432</v>
      </c>
      <c r="P317" s="4" t="s">
        <v>84</v>
      </c>
      <c r="Q317" s="6" t="s">
        <v>85</v>
      </c>
      <c r="R317" s="6"/>
      <c r="S317" s="6" t="s">
        <v>2280</v>
      </c>
      <c r="T317" s="6" t="e" vm="295">
        <v>#VALUE!</v>
      </c>
      <c r="U317" s="46" cm="1">
        <f t="array" aca="1" ref="U317" ca="1">IFERROR(_FV(Tableau1[[#This Row],[Code Excel]],"Capitalisation boursière",TRUE),"")</f>
        <v>2012906000</v>
      </c>
      <c r="V317" s="4" t="str" cm="1">
        <f t="array" aca="1" ref="V317" ca="1">IFERROR(_FV(Tableau1[[#This Row],[Code Excel]],"Industrie"),"")</f>
        <v>Leisure Products</v>
      </c>
      <c r="W317" s="4" t="s">
        <v>4380</v>
      </c>
      <c r="X317" s="4" t="str">
        <f ca="1">Tableau1[[#This Row],[Grand Secteur]]&amp;Tableau1[[#This Row],[Industrie]]</f>
        <v>MachinesLeisure Products</v>
      </c>
      <c r="Y317" s="23" cm="1">
        <f t="array" aca="1" ref="Y317" ca="1">IFERROR(_FV(Tableau1[[#This Row],[Code Excel]],"P/E",TRUE),"")</f>
        <v>5.3924000000000003</v>
      </c>
      <c r="Z317" s="43" cm="1">
        <f t="array" aca="1" ref="Z317" ca="1">IFERROR(_FV(Tableau1[[#This Row],[Code Excel]],"Employés"),"")</f>
        <v>10652</v>
      </c>
      <c r="AA317" s="49">
        <f ca="1">IFERROR(Tableau1[[#This Row],[Capitalisation boursière]]/Tableau1[[#This Row],[Employés]],"")</f>
        <v>188969.77093503566</v>
      </c>
      <c r="AB317" s="5" t="str">
        <f>IFERROR(Tableau1[[#This Row],[REX (2021)]]/Tableau1[[#This Row],[CA 2024]],"")</f>
        <v/>
      </c>
      <c r="AC317" s="9" t="str">
        <f>IFERROR(_xlfn.XLOOKUP(Tableau1[[#This Row],[Isin]]&amp;1&amp;2021,#REF!,Tableau3[Résultat d''exploitation]),"")</f>
        <v/>
      </c>
      <c r="AD317" s="9" t="str">
        <f>IFERROR(_xlfn.XLOOKUP(Tableau1[[#This Row],[Isin]]&amp;1&amp;2019,#REF!,Tableau3[Chiffre d''affaires]),"")</f>
        <v/>
      </c>
      <c r="AE317" s="9" t="str">
        <f>IFERROR(_xlfn.XLOOKUP(Tableau1[[#This Row],[Isin]]&amp;1&amp;2024,#REF!,Tableau3[Chiffre d''affaires]),"")</f>
        <v/>
      </c>
      <c r="AF317" s="8" t="str">
        <f>IFERROR(IF((Tableau1[[#This Row],[CA 2024]]-Tableau1[[#This Row],[CA 2019]])/Tableau1[[#This Row],[CA 2019]]=-1,"",(Tableau1[[#This Row],[CA 2024]]-Tableau1[[#This Row],[CA 2019]])/Tableau1[[#This Row],[CA 2019]]),"")</f>
        <v/>
      </c>
      <c r="AG317" s="9" t="str">
        <f>IFERROR(_xlfn.XLOOKUP(Tableau1[[#This Row],[Isin]]&amp;1&amp;2021,#REF!,Tableau3[EBE]),"")</f>
        <v/>
      </c>
      <c r="AH317" s="9" t="str">
        <f>IFERROR(_xlfn.XLOOKUP(Tableau1[[#This Row],[Isin]]&amp;1&amp;2022,#REF!,Tableau3[EBE]),"")</f>
        <v/>
      </c>
      <c r="AI317" s="43" t="s">
        <v>4329</v>
      </c>
      <c r="AJ317" s="43" t="s">
        <v>4348</v>
      </c>
      <c r="AK317" s="43" t="s">
        <v>3431</v>
      </c>
      <c r="AL317" s="43" t="s">
        <v>3148</v>
      </c>
      <c r="AM317" s="43"/>
      <c r="AN317" s="9" t="str">
        <f>IFERROR(_xlfn.XLOOKUP(Tableau1[[#This Row],[Isin]]&amp;1&amp;2021,#REF!,Tableau3[Chiffre d''affaires]),"")</f>
        <v/>
      </c>
      <c r="AO317" s="43" cm="1">
        <f t="array" aca="1" ref="AO317" ca="1">_FV(Tableau1[[#This Row],[Code Excel]],"P/E",TRUE)</f>
        <v>5.3924000000000003</v>
      </c>
      <c r="AP317" s="43" t="str">
        <f>IFERROR(_xlfn.XLOOKUP(Tableau1[[#This Row],[Isin]]&amp;1&amp;2023,#REF!,Tableau3[Résultat Net (PdG)]),"")</f>
        <v/>
      </c>
      <c r="AQ317" s="43">
        <f>IF(IFERROR(_xlfn.XLOOKUP(Tableau1[[#This Row],[Isin]]&amp;1&amp;2022,#REF!,Tableau3[Résultat Net (PdG)]),"")="",Tableau1[[#This Row],[RN Groupe 2022
Manuel]],IFERROR(_xlfn.XLOOKUP(Tableau1[[#This Row],[Isin]]&amp;1&amp;2022,#REF!,Tableau3[Résultat Net (PdG)]),""))</f>
        <v>0</v>
      </c>
      <c r="AR317" s="43"/>
      <c r="AS317" s="43">
        <f>IF(IFERROR(_xlfn.XLOOKUP(Tableau1[[#This Row],[Isin]]&amp;1&amp;2021,#REF!,Tableau3[Résultat Net (PdG)]),"")="",Tableau1[[#This Row],[RN Groupe 2021
Manuel]],IFERROR(_xlfn.XLOOKUP(Tableau1[[#This Row],[Isin]]&amp;1&amp;2021,#REF!,Tableau3[Résultat Net (PdG)]),""))</f>
        <v>0</v>
      </c>
      <c r="AT317" s="43"/>
      <c r="AU317" s="43" t="str">
        <f>IFERROR(_xlfn.XLOOKUP(Tableau1[[#This Row],[Isin]]&amp;1&amp;2020,#REF!,Tableau3[Résultat Net (PdG)]),"")</f>
        <v/>
      </c>
      <c r="AV317" s="43" t="str">
        <f>IFERROR(_xlfn.XLOOKUP(Tableau1[[#This Row],[Isin]]&amp;1&amp;2019,#REF!,Tableau3[Résultat Net (PdG)]),"")</f>
        <v/>
      </c>
      <c r="AW317" s="43" t="str">
        <f>IFERROR(_xlfn.XLOOKUP(Tableau1[[#This Row],[Isin]]&amp;1&amp;2018,#REF!,Tableau3[Résultat Net (PdG)]),"")</f>
        <v/>
      </c>
      <c r="AX317" s="43" t="str">
        <f>IFERROR(_xlfn.XLOOKUP(Tableau1[[#This Row],[Isin]]&amp;1&amp;2017,#REF!,Tableau3[Résultat Net (PdG)]),"")</f>
        <v/>
      </c>
      <c r="AY317" s="43" t="str">
        <f>IFERROR(_xlfn.XLOOKUP(Tableau1[[#This Row],[Isin]]&amp;1&amp;2016,#REF!,Tableau3[Résultat Net (PdG)]),"")</f>
        <v/>
      </c>
      <c r="AZ317" s="137" t="str">
        <f ca="1">IFERROR(Tableau1[[#This Row],[Capitalisation boursière]]/Tableau1[[#This Row],[RN Groupe 2023]],"")</f>
        <v/>
      </c>
      <c r="BA317" s="4" t="str" cm="1">
        <f t="array" aca="1" ref="BA317" ca="1">IFERROR(_FV(Tableau1[[#This Row],[Code Excel]],"Industrie"),"")</f>
        <v>Leisure Products</v>
      </c>
      <c r="BB317" s="43" t="s">
        <v>3477</v>
      </c>
      <c r="BC317" s="43" t="str">
        <f>IFERROR(_xlfn.XLOOKUP(Tableau1[[#This Row],[Isin]]&amp;1&amp;2016,#REF!,Tableau3[Capi]),"")</f>
        <v/>
      </c>
      <c r="BD317" s="43" t="str">
        <f>IFERROR(_xlfn.XLOOKUP(Tableau1[[#This Row],[Isin]]&amp;1&amp;2017,#REF!,Tableau3[Capi]),"")</f>
        <v/>
      </c>
      <c r="BE317" s="43" t="str">
        <f>IFERROR(_xlfn.XLOOKUP(Tableau1[[#This Row],[Isin]]&amp;1&amp;2018,#REF!,Tableau3[Capi]),"")</f>
        <v/>
      </c>
      <c r="BF317" s="43" t="str">
        <f>IFERROR(_xlfn.XLOOKUP(Tableau1[[#This Row],[Isin]]&amp;1&amp;2019,#REF!,Tableau3[Capi]),"")</f>
        <v/>
      </c>
      <c r="BG317" s="43" t="str">
        <f>IFERROR(_xlfn.XLOOKUP(Tableau1[[#This Row],[Isin]]&amp;1&amp;2020,#REF!,Tableau3[Capi]),"")</f>
        <v/>
      </c>
      <c r="BH317" s="43">
        <f>IF(IFERROR(_xlfn.XLOOKUP(Tableau1[[#This Row],[Isin]]&amp;1&amp;2021,#REF!,Tableau3[Capi]),"")="",Tableau1[[#This Row],[Capitalisation 2021
Manuel]],IFERROR(_xlfn.XLOOKUP(Tableau1[[#This Row],[Isin]]&amp;1&amp;2021,#REF!,Tableau3[Capi]),""))</f>
        <v>0</v>
      </c>
      <c r="BI317" s="43"/>
      <c r="BJ317" s="43">
        <f>IF(IFERROR(_xlfn.XLOOKUP(Tableau1[[#This Row],[Isin]]&amp;1&amp;2022,#REF!,Tableau3[Capi]),"")="",Tableau1[[#This Row],[Capitalisation 2022
Manuel]],IFERROR(_xlfn.XLOOKUP(Tableau1[[#This Row],[Isin]]&amp;1&amp;2022,#REF!,Tableau3[Capi]),""))</f>
        <v>0</v>
      </c>
      <c r="BK317" s="43"/>
      <c r="BL317" s="43">
        <f ca="1">Tableau1[[#This Row],[Capitalisation boursière]]</f>
        <v>2012906000</v>
      </c>
      <c r="BM317" s="162" t="str" cm="1">
        <f t="array" aca="1" ref="BM317" ca="1">_FV(Tableau1[[#This Row],[Code Excel]],"Description")</f>
        <v>Trigano sa est une société française spécialisée dans la conception, la fabrication et la commercialisation de véhicules et équipements de loisirs. La Société fournit des produits et des services, tels que des véhicules de loisirs et des équipements de loisirs. Il offre des équipements pour les véhicules (8,5% ; réfrigérateurs, appareils de cuisine, terrasses, etc; camping-Profi, Euro Accessoires, Clairval, etc) ainsi que des services de location et de financement. La Société fournit des camping-cars. Il propose des marques, telles que ERKA, Sorel, Trelgo, etc.). La Société fournit du matériel de jardin (balançoires, abris, piscines ; Abak, Amca, Yardmaster) et du matériel de camping (tentes, auvents ; Jamet, Plisson, etc.).</v>
      </c>
      <c r="BN317" s="43"/>
      <c r="BO317" s="43"/>
      <c r="BP317" s="43"/>
      <c r="BQ317" s="43"/>
      <c r="BR317" s="13"/>
      <c r="BS317" s="13"/>
      <c r="BT317" s="13"/>
      <c r="BU317" s="13"/>
      <c r="BV317" s="13"/>
      <c r="BW317" s="13"/>
      <c r="BX317" s="13"/>
      <c r="BY317" s="21"/>
      <c r="BZ317" s="13"/>
      <c r="CA317" s="13"/>
      <c r="CB317" s="13"/>
      <c r="CC317" s="13"/>
      <c r="CD317" s="13"/>
      <c r="CF317" s="4"/>
      <c r="CG317" s="4"/>
    </row>
    <row r="318" spans="3:85">
      <c r="C318" s="42"/>
      <c r="D318" s="42">
        <f>IF(Tableau1[[#This Row],[Isin]]="",99,Tableau1[[#This Row],[Intérêt]]+Tableau1[[#This Row],[Valeur d''intérêt]]+Tableau1[[#This Row],[N° Portefeuille]])</f>
        <v>30</v>
      </c>
      <c r="E318" s="42"/>
      <c r="F318" s="42">
        <f>IF(Tableau1[[#This Row],[Portefeuille]]="p",0,Tableau1[[#This Row],[F. Investissement
Niveau d''intérêt]]*10)</f>
        <v>30</v>
      </c>
      <c r="G318" s="42">
        <f>IF(Tableau1[[#This Row],[Portefeuille]]="p",3,0)</f>
        <v>0</v>
      </c>
      <c r="H318" s="42">
        <v>3</v>
      </c>
      <c r="I318" s="42">
        <v>4</v>
      </c>
      <c r="J318" s="42"/>
      <c r="K318" s="43"/>
      <c r="L318" s="16">
        <v>0</v>
      </c>
      <c r="M31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8" s="44" t="s">
        <v>4200</v>
      </c>
      <c r="O318" s="45"/>
      <c r="P318" s="4" t="s">
        <v>84</v>
      </c>
      <c r="Q318" s="4"/>
      <c r="R318" s="6"/>
      <c r="S318" s="6" t="s">
        <v>4201</v>
      </c>
      <c r="T318" s="6" t="e" vm="296">
        <v>#VALUE!</v>
      </c>
      <c r="U318" s="46" cm="1">
        <f t="array" aca="1" ref="U318" ca="1">IFERROR(_FV(Tableau1[[#This Row],[Code Excel]],"Capitalisation boursière",TRUE),"")</f>
        <v>1659149000</v>
      </c>
      <c r="V318" s="4" t="str" cm="1">
        <f t="array" aca="1" ref="V318" ca="1">IFERROR(_FV(Tableau1[[#This Row],[Code Excel]],"Industrie"),"")</f>
        <v>Software &amp; IT Services</v>
      </c>
      <c r="W318" s="4" t="s">
        <v>4333</v>
      </c>
      <c r="X318" s="4" t="str">
        <f ca="1">Tableau1[[#This Row],[Grand Secteur]]&amp;Tableau1[[#This Row],[Industrie]]</f>
        <v>Logiciels et TechnologieSoftware &amp; IT Services</v>
      </c>
      <c r="Y318" s="23" cm="1">
        <f t="array" aca="1" ref="Y318" ca="1">IFERROR(_FV(Tableau1[[#This Row],[Code Excel]],"P/E",TRUE),"")</f>
        <v>0</v>
      </c>
      <c r="Z318" s="43" cm="1">
        <f t="array" aca="1" ref="Z318" ca="1">IFERROR(_FV(Tableau1[[#This Row],[Code Excel]],"Employés"),"")</f>
        <v>18666</v>
      </c>
      <c r="AA318" s="49">
        <f ca="1">IFERROR(Tableau1[[#This Row],[Capitalisation boursière]]/Tableau1[[#This Row],[Employés]],"")</f>
        <v>88886.156648451724</v>
      </c>
      <c r="AB318" s="5" t="str">
        <f>IFERROR(Tableau1[[#This Row],[REX (2021)]]/Tableau1[[#This Row],[CA 2024]],"")</f>
        <v/>
      </c>
      <c r="AC318" s="9" t="str">
        <f>IFERROR(_xlfn.XLOOKUP(Tableau1[[#This Row],[Isin]]&amp;1&amp;2021,#REF!,Tableau3[Résultat d''exploitation]),"")</f>
        <v/>
      </c>
      <c r="AD318" s="9" t="str">
        <f>IFERROR(_xlfn.XLOOKUP(Tableau1[[#This Row],[Isin]]&amp;1&amp;2019,#REF!,Tableau3[Chiffre d''affaires]),"")</f>
        <v/>
      </c>
      <c r="AE318" s="9" t="str">
        <f>IFERROR(_xlfn.XLOOKUP(Tableau1[[#This Row],[Isin]]&amp;1&amp;2024,#REF!,Tableau3[Chiffre d''affaires]),"")</f>
        <v/>
      </c>
      <c r="AF318" s="8" t="str">
        <f>IFERROR(IF((Tableau1[[#This Row],[CA 2024]]-Tableau1[[#This Row],[CA 2019]])/Tableau1[[#This Row],[CA 2019]]=-1,"",(Tableau1[[#This Row],[CA 2024]]-Tableau1[[#This Row],[CA 2019]])/Tableau1[[#This Row],[CA 2019]]),"")</f>
        <v/>
      </c>
      <c r="AG318" s="9" t="str">
        <f>IFERROR(_xlfn.XLOOKUP(Tableau1[[#This Row],[Isin]]&amp;1&amp;2021,#REF!,Tableau3[EBE]),"")</f>
        <v/>
      </c>
      <c r="AH318" s="9" t="str">
        <f>IFERROR(_xlfn.XLOOKUP(Tableau1[[#This Row],[Isin]]&amp;1&amp;2022,#REF!,Tableau3[EBE]),"")</f>
        <v/>
      </c>
      <c r="AI318" s="43" t="s">
        <v>4324</v>
      </c>
      <c r="AJ318" s="43" t="s">
        <v>4334</v>
      </c>
      <c r="AK318" s="43" t="s">
        <v>3148</v>
      </c>
      <c r="AL318" s="43"/>
      <c r="AM318" s="43"/>
      <c r="AN318" s="9" t="str">
        <f>IFERROR(_xlfn.XLOOKUP(Tableau1[[#This Row],[Isin]]&amp;1&amp;2021,#REF!,Tableau3[Chiffre d''affaires]),"")</f>
        <v/>
      </c>
      <c r="AO318" s="43" cm="1">
        <f t="array" aca="1" ref="AO318" ca="1">_FV(Tableau1[[#This Row],[Code Excel]],"P/E",TRUE)</f>
        <v>0</v>
      </c>
      <c r="AP318" s="43" t="str">
        <f>IFERROR(_xlfn.XLOOKUP(Tableau1[[#This Row],[Isin]]&amp;1&amp;2023,#REF!,Tableau3[Résultat Net (PdG)]),"")</f>
        <v/>
      </c>
      <c r="AQ318" s="43">
        <f>IF(IFERROR(_xlfn.XLOOKUP(Tableau1[[#This Row],[Isin]]&amp;1&amp;2022,#REF!,Tableau3[Résultat Net (PdG)]),"")="",Tableau1[[#This Row],[RN Groupe 2022
Manuel]],IFERROR(_xlfn.XLOOKUP(Tableau1[[#This Row],[Isin]]&amp;1&amp;2022,#REF!,Tableau3[Résultat Net (PdG)]),""))</f>
        <v>0</v>
      </c>
      <c r="AR318" s="43"/>
      <c r="AS318" s="43">
        <f>IF(IFERROR(_xlfn.XLOOKUP(Tableau1[[#This Row],[Isin]]&amp;1&amp;2021,#REF!,Tableau3[Résultat Net (PdG)]),"")="",Tableau1[[#This Row],[RN Groupe 2021
Manuel]],IFERROR(_xlfn.XLOOKUP(Tableau1[[#This Row],[Isin]]&amp;1&amp;2021,#REF!,Tableau3[Résultat Net (PdG)]),""))</f>
        <v>0</v>
      </c>
      <c r="AT318" s="43"/>
      <c r="AU318" s="43" t="str">
        <f>IFERROR(_xlfn.XLOOKUP(Tableau1[[#This Row],[Isin]]&amp;1&amp;2020,#REF!,Tableau3[Résultat Net (PdG)]),"")</f>
        <v/>
      </c>
      <c r="AV318" s="43" t="str">
        <f>IFERROR(_xlfn.XLOOKUP(Tableau1[[#This Row],[Isin]]&amp;1&amp;2019,#REF!,Tableau3[Résultat Net (PdG)]),"")</f>
        <v/>
      </c>
      <c r="AW318" s="43" t="str">
        <f>IFERROR(_xlfn.XLOOKUP(Tableau1[[#This Row],[Isin]]&amp;1&amp;2018,#REF!,Tableau3[Résultat Net (PdG)]),"")</f>
        <v/>
      </c>
      <c r="AX318" s="43" t="str">
        <f>IFERROR(_xlfn.XLOOKUP(Tableau1[[#This Row],[Isin]]&amp;1&amp;2017,#REF!,Tableau3[Résultat Net (PdG)]),"")</f>
        <v/>
      </c>
      <c r="AY318" s="43" t="str">
        <f>IFERROR(_xlfn.XLOOKUP(Tableau1[[#This Row],[Isin]]&amp;1&amp;2016,#REF!,Tableau3[Résultat Net (PdG)]),"")</f>
        <v/>
      </c>
      <c r="AZ318" s="137" t="str">
        <f ca="1">IFERROR(Tableau1[[#This Row],[Capitalisation boursière]]/Tableau1[[#This Row],[RN Groupe 2023]],"")</f>
        <v/>
      </c>
      <c r="BA318" s="4" t="str" cm="1">
        <f t="array" aca="1" ref="BA318" ca="1">IFERROR(_FV(Tableau1[[#This Row],[Code Excel]],"Industrie"),"")</f>
        <v>Software &amp; IT Services</v>
      </c>
      <c r="BB318" s="43" t="s">
        <v>3477</v>
      </c>
      <c r="BC318" s="43" t="str">
        <f>IFERROR(_xlfn.XLOOKUP(Tableau1[[#This Row],[Isin]]&amp;1&amp;2016,#REF!,Tableau3[Capi]),"")</f>
        <v/>
      </c>
      <c r="BD318" s="43" t="str">
        <f>IFERROR(_xlfn.XLOOKUP(Tableau1[[#This Row],[Isin]]&amp;1&amp;2017,#REF!,Tableau3[Capi]),"")</f>
        <v/>
      </c>
      <c r="BE318" s="43" t="str">
        <f>IFERROR(_xlfn.XLOOKUP(Tableau1[[#This Row],[Isin]]&amp;1&amp;2018,#REF!,Tableau3[Capi]),"")</f>
        <v/>
      </c>
      <c r="BF318" s="43" t="str">
        <f>IFERROR(_xlfn.XLOOKUP(Tableau1[[#This Row],[Isin]]&amp;1&amp;2019,#REF!,Tableau3[Capi]),"")</f>
        <v/>
      </c>
      <c r="BG318" s="43" t="str">
        <f>IFERROR(_xlfn.XLOOKUP(Tableau1[[#This Row],[Isin]]&amp;1&amp;2020,#REF!,Tableau3[Capi]),"")</f>
        <v/>
      </c>
      <c r="BH318" s="43">
        <f>IF(IFERROR(_xlfn.XLOOKUP(Tableau1[[#This Row],[Isin]]&amp;1&amp;2021,#REF!,Tableau3[Capi]),"")="",Tableau1[[#This Row],[Capitalisation 2021
Manuel]],IFERROR(_xlfn.XLOOKUP(Tableau1[[#This Row],[Isin]]&amp;1&amp;2021,#REF!,Tableau3[Capi]),""))</f>
        <v>0</v>
      </c>
      <c r="BI318" s="43"/>
      <c r="BJ318" s="43">
        <f>IF(IFERROR(_xlfn.XLOOKUP(Tableau1[[#This Row],[Isin]]&amp;1&amp;2022,#REF!,Tableau3[Capi]),"")="",Tableau1[[#This Row],[Capitalisation 2022
Manuel]],IFERROR(_xlfn.XLOOKUP(Tableau1[[#This Row],[Isin]]&amp;1&amp;2022,#REF!,Tableau3[Capi]),""))</f>
        <v>0</v>
      </c>
      <c r="BK318" s="43"/>
      <c r="BL318" s="43">
        <f ca="1">Tableau1[[#This Row],[Capitalisation boursière]]</f>
        <v>1659149000</v>
      </c>
      <c r="BM318" s="162" t="str" cm="1">
        <f t="array" aca="1" ref="BM318" ca="1">_FV(Tableau1[[#This Row],[Code Excel]],"Description")</f>
        <v>Ubisoft Entertainment SA est une société basée en France active dans l'industrie du jeu vidéo en développant, publiant et distribuant des jeux vidéo pour consoles, PC (ordinateurs personnels), smartphones et tablettes dans des formats physiques et numériques. Il possède plusieurs marques et un portefeuille diversifié de franchises, notamment Assassin's Creed, The Crew, Far Cry, For Honor, Tom Clancy's Ghost Recon, Tom Clancy's Rainbow Six Siege, Tom Clancy's The Division et Watch Dogs. La Société, par l'intermédiaire de ses filiales, est active à l'échelle mondiale.</v>
      </c>
      <c r="BN318" s="43"/>
      <c r="BO318" s="43"/>
      <c r="BP318" s="43"/>
      <c r="BQ318" s="43"/>
      <c r="BR318" s="13"/>
      <c r="BS318" s="13"/>
      <c r="BT318" s="13"/>
      <c r="BU318" s="13"/>
      <c r="BV318" s="13"/>
      <c r="BW318" s="13"/>
      <c r="BX318" s="13"/>
      <c r="BY318" s="21"/>
      <c r="BZ318" s="13"/>
      <c r="CA318" s="13"/>
      <c r="CB318" s="13"/>
      <c r="CC318" s="13"/>
      <c r="CD318" s="13"/>
      <c r="CF318" s="4"/>
      <c r="CG318" s="4"/>
    </row>
    <row r="319" spans="3:85">
      <c r="C319" s="43"/>
      <c r="D319" s="42">
        <f>IF(Tableau1[[#This Row],[Isin]]="",99,Tableau1[[#This Row],[Intérêt]]+Tableau1[[#This Row],[Valeur d''intérêt]]+Tableau1[[#This Row],[N° Portefeuille]])</f>
        <v>30</v>
      </c>
      <c r="E319" s="43"/>
      <c r="F319" s="42">
        <f>IF(Tableau1[[#This Row],[Portefeuille]]="p",0,Tableau1[[#This Row],[F. Investissement
Niveau d''intérêt]]*10)</f>
        <v>30</v>
      </c>
      <c r="G319" s="43">
        <f>IF(Tableau1[[#This Row],[Portefeuille]]="p",3,0)</f>
        <v>0</v>
      </c>
      <c r="H319" s="43">
        <v>3</v>
      </c>
      <c r="I319" s="43">
        <v>4</v>
      </c>
      <c r="J319" s="43"/>
      <c r="K319" s="43"/>
      <c r="L319" s="16">
        <v>0</v>
      </c>
      <c r="M31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19" s="44" t="s">
        <v>4203</v>
      </c>
      <c r="O319" s="45"/>
      <c r="P319" s="4" t="s">
        <v>99</v>
      </c>
      <c r="Q319" s="4"/>
      <c r="R319" s="6"/>
      <c r="S319" s="6" t="s">
        <v>4204</v>
      </c>
      <c r="T319" s="6" t="e" vm="297">
        <v>#VALUE!</v>
      </c>
      <c r="U319" s="46" cm="1">
        <f t="array" aca="1" ref="U319" ca="1">IFERROR(_FV(Tableau1[[#This Row],[Code Excel]],"Capitalisation boursière",TRUE),"")</f>
        <v>96620970000</v>
      </c>
      <c r="V319" s="4" t="str" cm="1">
        <f t="array" aca="1" ref="V319" ca="1">IFERROR(_FV(Tableau1[[#This Row],[Code Excel]],"Industrie"),"")</f>
        <v>Investment Banking &amp; Investment Services</v>
      </c>
      <c r="W319" s="4" t="s">
        <v>4335</v>
      </c>
      <c r="X319" s="4" t="str">
        <f ca="1">Tableau1[[#This Row],[Grand Secteur]]&amp;Tableau1[[#This Row],[Industrie]]</f>
        <v>FinanceInvestment Banking &amp; Investment Services</v>
      </c>
      <c r="Y319" s="23" cm="1">
        <f t="array" aca="1" ref="Y319" ca="1">IFERROR(_FV(Tableau1[[#This Row],[Code Excel]],"P/E",TRUE),"")</f>
        <v>20.246400000000001</v>
      </c>
      <c r="Z319" s="43" cm="1">
        <f t="array" aca="1" ref="Z319" ca="1">IFERROR(_FV(Tableau1[[#This Row],[Code Excel]],"Employés"),"")</f>
        <v>128983</v>
      </c>
      <c r="AA319" s="49">
        <f ca="1">IFERROR(Tableau1[[#This Row],[Capitalisation boursière]]/Tableau1[[#This Row],[Employés]],"")</f>
        <v>749098.48584697209</v>
      </c>
      <c r="AB319" s="5" t="str">
        <f>IFERROR(Tableau1[[#This Row],[REX (2021)]]/Tableau1[[#This Row],[CA 2024]],"")</f>
        <v/>
      </c>
      <c r="AC319" s="9" t="str">
        <f>IFERROR(_xlfn.XLOOKUP(Tableau1[[#This Row],[Isin]]&amp;1&amp;2021,#REF!,Tableau3[Résultat d''exploitation]),"")</f>
        <v/>
      </c>
      <c r="AD319" s="9" t="str">
        <f>IFERROR(_xlfn.XLOOKUP(Tableau1[[#This Row],[Isin]]&amp;1&amp;2019,#REF!,Tableau3[Chiffre d''affaires]),"")</f>
        <v/>
      </c>
      <c r="AE319" s="9" t="str">
        <f>IFERROR(_xlfn.XLOOKUP(Tableau1[[#This Row],[Isin]]&amp;1&amp;2024,#REF!,Tableau3[Chiffre d''affaires]),"")</f>
        <v/>
      </c>
      <c r="AF319" s="8" t="str">
        <f>IFERROR(IF((Tableau1[[#This Row],[CA 2024]]-Tableau1[[#This Row],[CA 2019]])/Tableau1[[#This Row],[CA 2019]]=-1,"",(Tableau1[[#This Row],[CA 2024]]-Tableau1[[#This Row],[CA 2019]])/Tableau1[[#This Row],[CA 2019]]),"")</f>
        <v/>
      </c>
      <c r="AG319" s="9" t="str">
        <f>IFERROR(_xlfn.XLOOKUP(Tableau1[[#This Row],[Isin]]&amp;1&amp;2021,#REF!,Tableau3[EBE]),"")</f>
        <v/>
      </c>
      <c r="AH319" s="9" t="str">
        <f>IFERROR(_xlfn.XLOOKUP(Tableau1[[#This Row],[Isin]]&amp;1&amp;2022,#REF!,Tableau3[EBE]),"")</f>
        <v/>
      </c>
      <c r="AI319" s="43" t="s">
        <v>4343</v>
      </c>
      <c r="AJ319" s="43" t="s">
        <v>4356</v>
      </c>
      <c r="AK319" s="43" t="s">
        <v>3149</v>
      </c>
      <c r="AL319" s="43"/>
      <c r="AM319" s="43"/>
      <c r="AN319" s="9" t="str">
        <f>IFERROR(_xlfn.XLOOKUP(Tableau1[[#This Row],[Isin]]&amp;1&amp;2021,#REF!,Tableau3[Chiffre d''affaires]),"")</f>
        <v/>
      </c>
      <c r="AO319" s="43" cm="1">
        <f t="array" aca="1" ref="AO319" ca="1">_FV(Tableau1[[#This Row],[Code Excel]],"P/E",TRUE)</f>
        <v>20.246400000000001</v>
      </c>
      <c r="AP319" s="43" t="str">
        <f>IFERROR(_xlfn.XLOOKUP(Tableau1[[#This Row],[Isin]]&amp;1&amp;2023,#REF!,Tableau3[Résultat Net (PdG)]),"")</f>
        <v/>
      </c>
      <c r="AQ319" s="43">
        <f>IF(IFERROR(_xlfn.XLOOKUP(Tableau1[[#This Row],[Isin]]&amp;1&amp;2022,#REF!,Tableau3[Résultat Net (PdG)]),"")="",Tableau1[[#This Row],[RN Groupe 2022
Manuel]],IFERROR(_xlfn.XLOOKUP(Tableau1[[#This Row],[Isin]]&amp;1&amp;2022,#REF!,Tableau3[Résultat Net (PdG)]),""))</f>
        <v>0</v>
      </c>
      <c r="AR319" s="43"/>
      <c r="AS319" s="43">
        <f>IF(IFERROR(_xlfn.XLOOKUP(Tableau1[[#This Row],[Isin]]&amp;1&amp;2021,#REF!,Tableau3[Résultat Net (PdG)]),"")="",Tableau1[[#This Row],[RN Groupe 2021
Manuel]],IFERROR(_xlfn.XLOOKUP(Tableau1[[#This Row],[Isin]]&amp;1&amp;2021,#REF!,Tableau3[Résultat Net (PdG)]),""))</f>
        <v>0</v>
      </c>
      <c r="AT319" s="43"/>
      <c r="AU319" s="43" t="str">
        <f>IFERROR(_xlfn.XLOOKUP(Tableau1[[#This Row],[Isin]]&amp;1&amp;2020,#REF!,Tableau3[Résultat Net (PdG)]),"")</f>
        <v/>
      </c>
      <c r="AV319" s="43" t="str">
        <f>IFERROR(_xlfn.XLOOKUP(Tableau1[[#This Row],[Isin]]&amp;1&amp;2019,#REF!,Tableau3[Résultat Net (PdG)]),"")</f>
        <v/>
      </c>
      <c r="AW319" s="43" t="str">
        <f>IFERROR(_xlfn.XLOOKUP(Tableau1[[#This Row],[Isin]]&amp;1&amp;2018,#REF!,Tableau3[Résultat Net (PdG)]),"")</f>
        <v/>
      </c>
      <c r="AX319" s="43" t="str">
        <f>IFERROR(_xlfn.XLOOKUP(Tableau1[[#This Row],[Isin]]&amp;1&amp;2017,#REF!,Tableau3[Résultat Net (PdG)]),"")</f>
        <v/>
      </c>
      <c r="AY319" s="43" t="str">
        <f>IFERROR(_xlfn.XLOOKUP(Tableau1[[#This Row],[Isin]]&amp;1&amp;2016,#REF!,Tableau3[Résultat Net (PdG)]),"")</f>
        <v/>
      </c>
      <c r="AZ319" s="137" t="str">
        <f ca="1">IFERROR(Tableau1[[#This Row],[Capitalisation boursière]]/Tableau1[[#This Row],[RN Groupe 2023]],"")</f>
        <v/>
      </c>
      <c r="BA319" s="4" t="str" cm="1">
        <f t="array" aca="1" ref="BA319" ca="1">IFERROR(_FV(Tableau1[[#This Row],[Code Excel]],"Industrie"),"")</f>
        <v>Investment Banking &amp; Investment Services</v>
      </c>
      <c r="BB319" s="43" t="s">
        <v>3469</v>
      </c>
      <c r="BC319" s="43" t="str">
        <f>IFERROR(_xlfn.XLOOKUP(Tableau1[[#This Row],[Isin]]&amp;1&amp;2016,#REF!,Tableau3[Capi]),"")</f>
        <v/>
      </c>
      <c r="BD319" s="43" t="str">
        <f>IFERROR(_xlfn.XLOOKUP(Tableau1[[#This Row],[Isin]]&amp;1&amp;2017,#REF!,Tableau3[Capi]),"")</f>
        <v/>
      </c>
      <c r="BE319" s="43" t="str">
        <f>IFERROR(_xlfn.XLOOKUP(Tableau1[[#This Row],[Isin]]&amp;1&amp;2018,#REF!,Tableau3[Capi]),"")</f>
        <v/>
      </c>
      <c r="BF319" s="43" t="str">
        <f>IFERROR(_xlfn.XLOOKUP(Tableau1[[#This Row],[Isin]]&amp;1&amp;2019,#REF!,Tableau3[Capi]),"")</f>
        <v/>
      </c>
      <c r="BG319" s="43" t="str">
        <f>IFERROR(_xlfn.XLOOKUP(Tableau1[[#This Row],[Isin]]&amp;1&amp;2020,#REF!,Tableau3[Capi]),"")</f>
        <v/>
      </c>
      <c r="BH319" s="43">
        <f>IF(IFERROR(_xlfn.XLOOKUP(Tableau1[[#This Row],[Isin]]&amp;1&amp;2021,#REF!,Tableau3[Capi]),"")="",Tableau1[[#This Row],[Capitalisation 2021
Manuel]],IFERROR(_xlfn.XLOOKUP(Tableau1[[#This Row],[Isin]]&amp;1&amp;2021,#REF!,Tableau3[Capi]),""))</f>
        <v>0</v>
      </c>
      <c r="BI319" s="43"/>
      <c r="BJ319" s="43">
        <f>IF(IFERROR(_xlfn.XLOOKUP(Tableau1[[#This Row],[Isin]]&amp;1&amp;2022,#REF!,Tableau3[Capi]),"")="",Tableau1[[#This Row],[Capitalisation 2022
Manuel]],IFERROR(_xlfn.XLOOKUP(Tableau1[[#This Row],[Isin]]&amp;1&amp;2022,#REF!,Tableau3[Capi]),""))</f>
        <v>0</v>
      </c>
      <c r="BK319" s="43"/>
      <c r="BL319" s="43">
        <f ca="1">Tableau1[[#This Row],[Capitalisation boursière]]</f>
        <v>96620970000</v>
      </c>
      <c r="BM319" s="162" t="str" cm="1">
        <f t="array" aca="1" ref="BM319" ca="1">_FV(Tableau1[[#This Row],[Code Excel]],"Description")</f>
        <v>UBS Group AG est une société holding basée en Suisse et exerce ses activités par l'intermédiaire d'UBS AG et de ses filiales. La société opère en tant que gestionnaire de patrimoine avec des capacités de gestion d'actifs et de banque d'investissement ciblées et un modèle d'affaires léger de capital et générant de la trésorerie. La Société comprend quatre divisions : Global Wealth Management, qui fournit des conseils et des solutions sur mesure à ses clients dans le monde entier ; Personal &amp; Corporate Banking division fournit des produits et services financiers complets aux clients privés, corporatifs et institutionnels en Suisse; la division Asset Management offre des capacités et des styles de placement dans toutes les classes d'actifs traditionnelles et alternatives, ainsi qu'un soutien-conseil aux institutions ; Investment Bank fournit des conseils en investissement, des solutions financières et un accès aux marchés des capitaux aux clients institutionnels, aux entreprises et aux gestionnaires de patrimoine.</v>
      </c>
      <c r="BN319" s="43"/>
      <c r="BO319" s="43"/>
      <c r="BP319" s="43"/>
      <c r="BQ319" s="43"/>
      <c r="BR319" s="13"/>
      <c r="BS319" s="13"/>
      <c r="BT319" s="13"/>
      <c r="BU319" s="13"/>
      <c r="BV319" s="13"/>
      <c r="BW319" s="13"/>
      <c r="BX319" s="13"/>
      <c r="BY319" s="21"/>
      <c r="BZ319" s="13"/>
      <c r="CA319" s="13"/>
      <c r="CB319" s="13"/>
      <c r="CC319" s="13"/>
      <c r="CD319" s="13"/>
      <c r="CF319" s="4"/>
      <c r="CG319" s="4"/>
    </row>
    <row r="320" spans="3:85">
      <c r="C320" s="42"/>
      <c r="D320" s="42">
        <f>IF(Tableau1[[#This Row],[Isin]]="",99,Tableau1[[#This Row],[Intérêt]]+Tableau1[[#This Row],[Valeur d''intérêt]]+Tableau1[[#This Row],[N° Portefeuille]])</f>
        <v>30</v>
      </c>
      <c r="E320" s="42"/>
      <c r="F320" s="42">
        <f>IF(Tableau1[[#This Row],[Portefeuille]]="p",0,Tableau1[[#This Row],[F. Investissement
Niveau d''intérêt]]*10)</f>
        <v>30</v>
      </c>
      <c r="G320" s="42">
        <f>IF(Tableau1[[#This Row],[Portefeuille]]="p",3,0)</f>
        <v>0</v>
      </c>
      <c r="H320" s="42">
        <v>3</v>
      </c>
      <c r="I320" s="42">
        <v>4</v>
      </c>
      <c r="J320" s="42"/>
      <c r="K320" s="43"/>
      <c r="L320" s="16">
        <v>0</v>
      </c>
      <c r="M32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0" s="44" t="s">
        <v>4206</v>
      </c>
      <c r="O320" s="45"/>
      <c r="P320" s="4" t="s">
        <v>452</v>
      </c>
      <c r="Q320" s="4"/>
      <c r="R320" s="6"/>
      <c r="S320" s="6" t="s">
        <v>4207</v>
      </c>
      <c r="T320" s="6" t="e" vm="298">
        <v>#VALUE!</v>
      </c>
      <c r="U320" s="46" cm="1">
        <f t="array" aca="1" ref="U320" ca="1">IFERROR(_FV(Tableau1[[#This Row],[Code Excel]],"Capitalisation boursière",TRUE),"")</f>
        <v>31967010000</v>
      </c>
      <c r="V320" s="4" t="str" cm="1">
        <f t="array" aca="1" ref="V320" ca="1">IFERROR(_FV(Tableau1[[#This Row],[Code Excel]],"Industrie"),"")</f>
        <v>Pharmaceuticals</v>
      </c>
      <c r="W320" s="4" t="s">
        <v>1586</v>
      </c>
      <c r="X320" s="4" t="str">
        <f ca="1">Tableau1[[#This Row],[Grand Secteur]]&amp;Tableau1[[#This Row],[Industrie]]</f>
        <v>SantéPharmaceuticals</v>
      </c>
      <c r="Y320" s="23" cm="1">
        <f t="array" aca="1" ref="Y320" ca="1">IFERROR(_FV(Tableau1[[#This Row],[Code Excel]],"P/E",TRUE),"")</f>
        <v>29.319400000000002</v>
      </c>
      <c r="Z320" s="43" cm="1">
        <f t="array" aca="1" ref="Z320" ca="1">IFERROR(_FV(Tableau1[[#This Row],[Code Excel]],"Employés"),"")</f>
        <v>9378</v>
      </c>
      <c r="AA320" s="49">
        <f ca="1">IFERROR(Tableau1[[#This Row],[Capitalisation boursière]]/Tableau1[[#This Row],[Employés]],"")</f>
        <v>3408723.6084452975</v>
      </c>
      <c r="AB320" s="5" t="str">
        <f>IFERROR(Tableau1[[#This Row],[REX (2021)]]/Tableau1[[#This Row],[CA 2024]],"")</f>
        <v/>
      </c>
      <c r="AC320" s="9" t="str">
        <f>IFERROR(_xlfn.XLOOKUP(Tableau1[[#This Row],[Isin]]&amp;1&amp;2021,#REF!,Tableau3[Résultat d''exploitation]),"")</f>
        <v/>
      </c>
      <c r="AD320" s="9" t="str">
        <f>IFERROR(_xlfn.XLOOKUP(Tableau1[[#This Row],[Isin]]&amp;1&amp;2019,#REF!,Tableau3[Chiffre d''affaires]),"")</f>
        <v/>
      </c>
      <c r="AE320" s="9" t="str">
        <f>IFERROR(_xlfn.XLOOKUP(Tableau1[[#This Row],[Isin]]&amp;1&amp;2024,#REF!,Tableau3[Chiffre d''affaires]),"")</f>
        <v/>
      </c>
      <c r="AF320" s="8" t="str">
        <f>IFERROR(IF((Tableau1[[#This Row],[CA 2024]]-Tableau1[[#This Row],[CA 2019]])/Tableau1[[#This Row],[CA 2019]]=-1,"",(Tableau1[[#This Row],[CA 2024]]-Tableau1[[#This Row],[CA 2019]])/Tableau1[[#This Row],[CA 2019]]),"")</f>
        <v/>
      </c>
      <c r="AG320" s="9" t="str">
        <f>IFERROR(_xlfn.XLOOKUP(Tableau1[[#This Row],[Isin]]&amp;1&amp;2021,#REF!,Tableau3[EBE]),"")</f>
        <v/>
      </c>
      <c r="AH320" s="9" t="str">
        <f>IFERROR(_xlfn.XLOOKUP(Tableau1[[#This Row],[Isin]]&amp;1&amp;2022,#REF!,Tableau3[EBE]),"")</f>
        <v/>
      </c>
      <c r="AI320" s="13" t="s">
        <v>4324</v>
      </c>
      <c r="AJ320" s="13" t="s">
        <v>4325</v>
      </c>
      <c r="AK320" s="13" t="s">
        <v>3148</v>
      </c>
      <c r="AL320" s="43"/>
      <c r="AM320" s="43"/>
      <c r="AN320" s="9" t="str">
        <f>IFERROR(_xlfn.XLOOKUP(Tableau1[[#This Row],[Isin]]&amp;1&amp;2021,#REF!,Tableau3[Chiffre d''affaires]),"")</f>
        <v/>
      </c>
      <c r="AO320" s="43" cm="1">
        <f t="array" aca="1" ref="AO320" ca="1">_FV(Tableau1[[#This Row],[Code Excel]],"P/E",TRUE)</f>
        <v>29.319400000000002</v>
      </c>
      <c r="AP320" s="43" t="str">
        <f>IFERROR(_xlfn.XLOOKUP(Tableau1[[#This Row],[Isin]]&amp;1&amp;2023,#REF!,Tableau3[Résultat Net (PdG)]),"")</f>
        <v/>
      </c>
      <c r="AQ320" s="43">
        <f>IF(IFERROR(_xlfn.XLOOKUP(Tableau1[[#This Row],[Isin]]&amp;1&amp;2022,#REF!,Tableau3[Résultat Net (PdG)]),"")="",Tableau1[[#This Row],[RN Groupe 2022
Manuel]],IFERROR(_xlfn.XLOOKUP(Tableau1[[#This Row],[Isin]]&amp;1&amp;2022,#REF!,Tableau3[Résultat Net (PdG)]),""))</f>
        <v>0</v>
      </c>
      <c r="AR320" s="43"/>
      <c r="AS320" s="43">
        <f>IF(IFERROR(_xlfn.XLOOKUP(Tableau1[[#This Row],[Isin]]&amp;1&amp;2021,#REF!,Tableau3[Résultat Net (PdG)]),"")="",Tableau1[[#This Row],[RN Groupe 2021
Manuel]],IFERROR(_xlfn.XLOOKUP(Tableau1[[#This Row],[Isin]]&amp;1&amp;2021,#REF!,Tableau3[Résultat Net (PdG)]),""))</f>
        <v>0</v>
      </c>
      <c r="AT320" s="43"/>
      <c r="AU320" s="43" t="str">
        <f>IFERROR(_xlfn.XLOOKUP(Tableau1[[#This Row],[Isin]]&amp;1&amp;2020,#REF!,Tableau3[Résultat Net (PdG)]),"")</f>
        <v/>
      </c>
      <c r="AV320" s="43" t="str">
        <f>IFERROR(_xlfn.XLOOKUP(Tableau1[[#This Row],[Isin]]&amp;1&amp;2019,#REF!,Tableau3[Résultat Net (PdG)]),"")</f>
        <v/>
      </c>
      <c r="AW320" s="43" t="str">
        <f>IFERROR(_xlfn.XLOOKUP(Tableau1[[#This Row],[Isin]]&amp;1&amp;2018,#REF!,Tableau3[Résultat Net (PdG)]),"")</f>
        <v/>
      </c>
      <c r="AX320" s="43" t="str">
        <f>IFERROR(_xlfn.XLOOKUP(Tableau1[[#This Row],[Isin]]&amp;1&amp;2017,#REF!,Tableau3[Résultat Net (PdG)]),"")</f>
        <v/>
      </c>
      <c r="AY320" s="43" t="str">
        <f>IFERROR(_xlfn.XLOOKUP(Tableau1[[#This Row],[Isin]]&amp;1&amp;2016,#REF!,Tableau3[Résultat Net (PdG)]),"")</f>
        <v/>
      </c>
      <c r="AZ320" s="137" t="str">
        <f ca="1">IFERROR(Tableau1[[#This Row],[Capitalisation boursière]]/Tableau1[[#This Row],[RN Groupe 2023]],"")</f>
        <v/>
      </c>
      <c r="BA320" s="4" t="str" cm="1">
        <f t="array" aca="1" ref="BA320" ca="1">IFERROR(_FV(Tableau1[[#This Row],[Code Excel]],"Industrie"),"")</f>
        <v>Pharmaceuticals</v>
      </c>
      <c r="BB320" s="43" t="s">
        <v>3482</v>
      </c>
      <c r="BC320" s="43" t="str">
        <f>IFERROR(_xlfn.XLOOKUP(Tableau1[[#This Row],[Isin]]&amp;1&amp;2016,#REF!,Tableau3[Capi]),"")</f>
        <v/>
      </c>
      <c r="BD320" s="43" t="str">
        <f>IFERROR(_xlfn.XLOOKUP(Tableau1[[#This Row],[Isin]]&amp;1&amp;2017,#REF!,Tableau3[Capi]),"")</f>
        <v/>
      </c>
      <c r="BE320" s="43" t="str">
        <f>IFERROR(_xlfn.XLOOKUP(Tableau1[[#This Row],[Isin]]&amp;1&amp;2018,#REF!,Tableau3[Capi]),"")</f>
        <v/>
      </c>
      <c r="BF320" s="43" t="str">
        <f>IFERROR(_xlfn.XLOOKUP(Tableau1[[#This Row],[Isin]]&amp;1&amp;2019,#REF!,Tableau3[Capi]),"")</f>
        <v/>
      </c>
      <c r="BG320" s="43" t="str">
        <f>IFERROR(_xlfn.XLOOKUP(Tableau1[[#This Row],[Isin]]&amp;1&amp;2020,#REF!,Tableau3[Capi]),"")</f>
        <v/>
      </c>
      <c r="BH320" s="43">
        <f>IF(IFERROR(_xlfn.XLOOKUP(Tableau1[[#This Row],[Isin]]&amp;1&amp;2021,#REF!,Tableau3[Capi]),"")="",Tableau1[[#This Row],[Capitalisation 2021
Manuel]],IFERROR(_xlfn.XLOOKUP(Tableau1[[#This Row],[Isin]]&amp;1&amp;2021,#REF!,Tableau3[Capi]),""))</f>
        <v>0</v>
      </c>
      <c r="BI320" s="43"/>
      <c r="BJ320" s="43">
        <f>IF(IFERROR(_xlfn.XLOOKUP(Tableau1[[#This Row],[Isin]]&amp;1&amp;2022,#REF!,Tableau3[Capi]),"")="",Tableau1[[#This Row],[Capitalisation 2022
Manuel]],IFERROR(_xlfn.XLOOKUP(Tableau1[[#This Row],[Isin]]&amp;1&amp;2022,#REF!,Tableau3[Capi]),""))</f>
        <v>0</v>
      </c>
      <c r="BK320" s="43"/>
      <c r="BL320" s="43">
        <f ca="1">Tableau1[[#This Row],[Capitalisation boursière]]</f>
        <v>31967010000</v>
      </c>
      <c r="BM320" s="162" t="str" cm="1">
        <f t="array" aca="1" ref="BM320" ca="1">_FV(Tableau1[[#This Row],[Code Excel]],"Description")</f>
        <v>Ucb SA est une société belge pharmaceutique et de produits chimiques spécialisés qui se spécialise dans deux domaines thérapeutiques : les maladies du système nerveux central (SNC) et l'immunologie. Dans le domaine des troubles du système nerveux central, la Société se concentre sur l'épilepsie, la douleur neuropathique diabétique, la sclérose en plaques, la fibromyalgie, le syndrome des jambes sans repos et la maladie de Parkinson et, dans le domaine de l'immunologie, sur les allergies, les troubles de perte osseuse, la maladie de Crohn, la polyarthrite rhumatoïde et les maladies respiratoires. En plus de ses champs principaux d'activités, Ucb SA offre des solutions de molécules à des spécialistes pour une utilisation dans le traitement des maladies graves. Son portefeuille de produits comprend des médicaments comme Neupro, Vimpat, Cimzia, entre autres. Ucb SA a aussi une présence sélective en premiers soins pour soutenir les produits spécialisés qui sont administrés par des médecins traitants.</v>
      </c>
      <c r="BN320" s="43"/>
      <c r="BO320" s="43"/>
      <c r="BP320" s="43"/>
      <c r="BQ320" s="43"/>
      <c r="BR320" s="13"/>
      <c r="BS320" s="13"/>
      <c r="BT320" s="13"/>
      <c r="BU320" s="13"/>
      <c r="BV320" s="13"/>
      <c r="BW320" s="13"/>
      <c r="BX320" s="13"/>
      <c r="BY320" s="21"/>
      <c r="BZ320" s="13"/>
      <c r="CA320" s="13"/>
      <c r="CB320" s="13"/>
      <c r="CC320" s="13"/>
      <c r="CD320" s="13"/>
      <c r="CF320" s="4"/>
      <c r="CG320" s="4"/>
    </row>
    <row r="321" spans="3:85">
      <c r="C321" s="43"/>
      <c r="D321" s="42">
        <f>IF(Tableau1[[#This Row],[Isin]]="",99,Tableau1[[#This Row],[Intérêt]]+Tableau1[[#This Row],[Valeur d''intérêt]]+Tableau1[[#This Row],[N° Portefeuille]])</f>
        <v>30</v>
      </c>
      <c r="E321" s="43"/>
      <c r="F321" s="42">
        <f>IF(Tableau1[[#This Row],[Portefeuille]]="p",0,Tableau1[[#This Row],[F. Investissement
Niveau d''intérêt]]*10)</f>
        <v>30</v>
      </c>
      <c r="G321" s="43">
        <f>IF(Tableau1[[#This Row],[Portefeuille]]="p",3,0)</f>
        <v>0</v>
      </c>
      <c r="H321" s="43">
        <v>3</v>
      </c>
      <c r="I321" s="43">
        <v>2</v>
      </c>
      <c r="J321" s="43"/>
      <c r="K321" s="43"/>
      <c r="L321" s="16">
        <v>1</v>
      </c>
      <c r="M32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1" s="44" t="s">
        <v>513</v>
      </c>
      <c r="O321" s="44" t="s">
        <v>514</v>
      </c>
      <c r="P321" s="4" t="s">
        <v>452</v>
      </c>
      <c r="Q321" s="6" t="s">
        <v>85</v>
      </c>
      <c r="R321" s="6"/>
      <c r="S321" s="6" t="s">
        <v>516</v>
      </c>
      <c r="T321" s="6" t="e" vm="299">
        <v>#VALUE!</v>
      </c>
      <c r="U321" s="46" cm="1">
        <f t="array" aca="1" ref="U321" ca="1">IFERROR(_FV(Tableau1[[#This Row],[Code Excel]],"Capitalisation boursière",TRUE),"")</f>
        <v>2500960000</v>
      </c>
      <c r="V321" s="4" t="str" cm="1">
        <f t="array" aca="1" ref="V321" ca="1">IFERROR(_FV(Tableau1[[#This Row],[Code Excel]],"Industrie"),"")</f>
        <v>Chemicals</v>
      </c>
      <c r="W321" s="4" t="s">
        <v>514</v>
      </c>
      <c r="X321" s="4" t="str">
        <f ca="1">Tableau1[[#This Row],[Grand Secteur]]&amp;Tableau1[[#This Row],[Industrie]]</f>
        <v>RecyclageChemicals</v>
      </c>
      <c r="Y321" s="23" cm="1">
        <f t="array" aca="1" ref="Y321" ca="1">IFERROR(_FV(Tableau1[[#This Row],[Code Excel]],"P/E",TRUE),"")</f>
        <v>0</v>
      </c>
      <c r="Z321" s="43" cm="1">
        <f t="array" aca="1" ref="Z321" ca="1">IFERROR(_FV(Tableau1[[#This Row],[Code Excel]],"Employés"),"")</f>
        <v>11581</v>
      </c>
      <c r="AA321" s="46">
        <f ca="1">IFERROR(Tableau1[[#This Row],[Capitalisation boursière]]/Tableau1[[#This Row],[Employés]],"")</f>
        <v>215953.71729557033</v>
      </c>
      <c r="AB321" s="5" t="str">
        <f>IFERROR(Tableau1[[#This Row],[REX (2021)]]/Tableau1[[#This Row],[CA 2024]],"")</f>
        <v/>
      </c>
      <c r="AC321" s="9" t="str">
        <f>IFERROR(_xlfn.XLOOKUP(Tableau1[[#This Row],[Isin]]&amp;1&amp;2021,#REF!,Tableau3[Résultat d''exploitation]),"")</f>
        <v/>
      </c>
      <c r="AD321" s="9" t="str">
        <f>IFERROR(_xlfn.XLOOKUP(Tableau1[[#This Row],[Isin]]&amp;1&amp;2019,#REF!,Tableau3[Chiffre d''affaires]),"")</f>
        <v/>
      </c>
      <c r="AE321" s="9" t="str">
        <f>IFERROR(_xlfn.XLOOKUP(Tableau1[[#This Row],[Isin]]&amp;1&amp;2024,#REF!,Tableau3[Chiffre d''affaires]),"")</f>
        <v/>
      </c>
      <c r="AF321" s="8" t="str">
        <f>IFERROR(IF((Tableau1[[#This Row],[CA 2024]]-Tableau1[[#This Row],[CA 2019]])/Tableau1[[#This Row],[CA 2019]]=-1,"",(Tableau1[[#This Row],[CA 2024]]-Tableau1[[#This Row],[CA 2019]])/Tableau1[[#This Row],[CA 2019]]),"")</f>
        <v/>
      </c>
      <c r="AG321" s="9" t="str">
        <f>IFERROR(_xlfn.XLOOKUP(Tableau1[[#This Row],[Isin]]&amp;1&amp;2021,#REF!,Tableau3[EBE]),"")</f>
        <v/>
      </c>
      <c r="AH321" s="9" t="str">
        <f>IFERROR(_xlfn.XLOOKUP(Tableau1[[#This Row],[Isin]]&amp;1&amp;2022,#REF!,Tableau3[EBE]),"")</f>
        <v/>
      </c>
      <c r="AI321" s="43" t="s">
        <v>4329</v>
      </c>
      <c r="AJ321" s="43" t="s">
        <v>4322</v>
      </c>
      <c r="AK321" s="43" t="s">
        <v>3431</v>
      </c>
      <c r="AL321" s="43" t="s">
        <v>3431</v>
      </c>
      <c r="AM321" s="43"/>
      <c r="AN321" s="9" t="str">
        <f>IFERROR(_xlfn.XLOOKUP(Tableau1[[#This Row],[Isin]]&amp;1&amp;2021,#REF!,Tableau3[Chiffre d''affaires]),"")</f>
        <v/>
      </c>
      <c r="AO321" s="43" cm="1">
        <f t="array" aca="1" ref="AO321" ca="1">_FV(Tableau1[[#This Row],[Code Excel]],"P/E",TRUE)</f>
        <v>0</v>
      </c>
      <c r="AP321" s="43" t="str">
        <f>IFERROR(_xlfn.XLOOKUP(Tableau1[[#This Row],[Isin]]&amp;1&amp;2023,#REF!,Tableau3[Résultat Net (PdG)]),"")</f>
        <v/>
      </c>
      <c r="AQ321" s="43">
        <f>IF(IFERROR(_xlfn.XLOOKUP(Tableau1[[#This Row],[Isin]]&amp;1&amp;2022,#REF!,Tableau3[Résultat Net (PdG)]),"")="",Tableau1[[#This Row],[RN Groupe 2022
Manuel]],IFERROR(_xlfn.XLOOKUP(Tableau1[[#This Row],[Isin]]&amp;1&amp;2022,#REF!,Tableau3[Résultat Net (PdG)]),""))</f>
        <v>0</v>
      </c>
      <c r="AR321" s="43"/>
      <c r="AS321" s="43">
        <f>IF(IFERROR(_xlfn.XLOOKUP(Tableau1[[#This Row],[Isin]]&amp;1&amp;2021,#REF!,Tableau3[Résultat Net (PdG)]),"")="",Tableau1[[#This Row],[RN Groupe 2021
Manuel]],IFERROR(_xlfn.XLOOKUP(Tableau1[[#This Row],[Isin]]&amp;1&amp;2021,#REF!,Tableau3[Résultat Net (PdG)]),""))</f>
        <v>0</v>
      </c>
      <c r="AT321" s="43"/>
      <c r="AU321" s="43" t="str">
        <f>IFERROR(_xlfn.XLOOKUP(Tableau1[[#This Row],[Isin]]&amp;1&amp;2020,#REF!,Tableau3[Résultat Net (PdG)]),"")</f>
        <v/>
      </c>
      <c r="AV321" s="43" t="str">
        <f>IFERROR(_xlfn.XLOOKUP(Tableau1[[#This Row],[Isin]]&amp;1&amp;2019,#REF!,Tableau3[Résultat Net (PdG)]),"")</f>
        <v/>
      </c>
      <c r="AW321" s="43" t="str">
        <f>IFERROR(_xlfn.XLOOKUP(Tableau1[[#This Row],[Isin]]&amp;1&amp;2018,#REF!,Tableau3[Résultat Net (PdG)]),"")</f>
        <v/>
      </c>
      <c r="AX321" s="43" t="str">
        <f>IFERROR(_xlfn.XLOOKUP(Tableau1[[#This Row],[Isin]]&amp;1&amp;2017,#REF!,Tableau3[Résultat Net (PdG)]),"")</f>
        <v/>
      </c>
      <c r="AY321" s="43" t="str">
        <f>IFERROR(_xlfn.XLOOKUP(Tableau1[[#This Row],[Isin]]&amp;1&amp;2016,#REF!,Tableau3[Résultat Net (PdG)]),"")</f>
        <v/>
      </c>
      <c r="AZ321" s="137" t="str">
        <f ca="1">IFERROR(Tableau1[[#This Row],[Capitalisation boursière]]/Tableau1[[#This Row],[RN Groupe 2023]],"")</f>
        <v/>
      </c>
      <c r="BA321" s="4" t="str" cm="1">
        <f t="array" aca="1" ref="BA321" ca="1">IFERROR(_FV(Tableau1[[#This Row],[Code Excel]],"Industrie"),"")</f>
        <v>Chemicals</v>
      </c>
      <c r="BB321" s="43" t="s">
        <v>3482</v>
      </c>
      <c r="BC321" s="43" t="str">
        <f>IFERROR(_xlfn.XLOOKUP(Tableau1[[#This Row],[Isin]]&amp;1&amp;2016,#REF!,Tableau3[Capi]),"")</f>
        <v/>
      </c>
      <c r="BD321" s="43" t="str">
        <f>IFERROR(_xlfn.XLOOKUP(Tableau1[[#This Row],[Isin]]&amp;1&amp;2017,#REF!,Tableau3[Capi]),"")</f>
        <v/>
      </c>
      <c r="BE321" s="43" t="str">
        <f>IFERROR(_xlfn.XLOOKUP(Tableau1[[#This Row],[Isin]]&amp;1&amp;2018,#REF!,Tableau3[Capi]),"")</f>
        <v/>
      </c>
      <c r="BF321" s="43" t="str">
        <f>IFERROR(_xlfn.XLOOKUP(Tableau1[[#This Row],[Isin]]&amp;1&amp;2019,#REF!,Tableau3[Capi]),"")</f>
        <v/>
      </c>
      <c r="BG321" s="43" t="str">
        <f>IFERROR(_xlfn.XLOOKUP(Tableau1[[#This Row],[Isin]]&amp;1&amp;2020,#REF!,Tableau3[Capi]),"")</f>
        <v/>
      </c>
      <c r="BH321" s="43">
        <f>IF(IFERROR(_xlfn.XLOOKUP(Tableau1[[#This Row],[Isin]]&amp;1&amp;2021,#REF!,Tableau3[Capi]),"")="",Tableau1[[#This Row],[Capitalisation 2021
Manuel]],IFERROR(_xlfn.XLOOKUP(Tableau1[[#This Row],[Isin]]&amp;1&amp;2021,#REF!,Tableau3[Capi]),""))</f>
        <v>0</v>
      </c>
      <c r="BI321" s="43"/>
      <c r="BJ321" s="43">
        <f>IF(IFERROR(_xlfn.XLOOKUP(Tableau1[[#This Row],[Isin]]&amp;1&amp;2022,#REF!,Tableau3[Capi]),"")="",Tableau1[[#This Row],[Capitalisation 2022
Manuel]],IFERROR(_xlfn.XLOOKUP(Tableau1[[#This Row],[Isin]]&amp;1&amp;2022,#REF!,Tableau3[Capi]),""))</f>
        <v>0</v>
      </c>
      <c r="BK321" s="43"/>
      <c r="BL321" s="43">
        <f ca="1">Tableau1[[#This Row],[Capitalisation boursière]]</f>
        <v>2500960000</v>
      </c>
      <c r="BM321" s="162" t="str" cm="1">
        <f t="array" aca="1" ref="BM321" ca="1">_FV(Tableau1[[#This Row],[Code Excel]],"Description")</f>
        <v>Umicore sa est un groupe mondial de technologie des matériaux basé en Belgique. La Société développe des technologies et produit des matériaux pour les cellules solaires utilisées dans les satellites, les batteries rechargeables, les applications LED, les catalyseurs, etc Il recycle et extrait les métaux précieux des ordinateurs portables et des téléphones portables, entre autres. Il réduit les émissions nocives, alimente les véhicules et les technologies du futur et donne une nouvelle vie aux métaux usagés. La société combine des compétences en métallurgie, chimie et science des matériaux avec une compréhension approfondie des besoins, des applications et des systèmes des clients. Il fournit des informations fiables et pertinentes sur les activités en temps utile et de manière régulière, dans les limites du secret commercial.</v>
      </c>
      <c r="BN321" s="43"/>
      <c r="BO321" s="43"/>
      <c r="BP321" s="43"/>
      <c r="BQ321" s="43"/>
      <c r="BR321" s="13"/>
      <c r="BS321" s="13"/>
      <c r="BT321" s="13"/>
      <c r="BU321" s="13"/>
      <c r="BV321" s="13"/>
      <c r="BW321" s="13"/>
      <c r="BX321" s="13"/>
      <c r="BY321" s="21"/>
      <c r="BZ321" s="13"/>
      <c r="CA321" s="13"/>
      <c r="CB321" s="13"/>
      <c r="CC321" s="13"/>
      <c r="CD321" s="13"/>
      <c r="CF321" s="4"/>
      <c r="CG321" s="4"/>
    </row>
    <row r="322" spans="3:85">
      <c r="C322" s="42"/>
      <c r="D322" s="42">
        <f>IF(Tableau1[[#This Row],[Isin]]="",99,Tableau1[[#This Row],[Intérêt]]+Tableau1[[#This Row],[Valeur d''intérêt]]+Tableau1[[#This Row],[N° Portefeuille]])</f>
        <v>3</v>
      </c>
      <c r="E322" s="42"/>
      <c r="F322" s="42">
        <f>IF(Tableau1[[#This Row],[Portefeuille]]="p",0,Tableau1[[#This Row],[F. Investissement
Niveau d''intérêt]]*10)</f>
        <v>0</v>
      </c>
      <c r="G322" s="42">
        <f>IF(Tableau1[[#This Row],[Portefeuille]]="p",3,0)</f>
        <v>3</v>
      </c>
      <c r="H322" s="42">
        <v>1</v>
      </c>
      <c r="I322" s="42">
        <v>1</v>
      </c>
      <c r="J322" s="42" t="s">
        <v>4357</v>
      </c>
      <c r="K322" s="43" t="s">
        <v>4362</v>
      </c>
      <c r="L322" s="16">
        <v>1</v>
      </c>
      <c r="M32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2" s="44" t="s">
        <v>4210</v>
      </c>
      <c r="O322" s="44" t="s">
        <v>2083</v>
      </c>
      <c r="P322" s="4" t="s">
        <v>196</v>
      </c>
      <c r="Q322" s="6" t="s">
        <v>85</v>
      </c>
      <c r="R322" s="6" t="s">
        <v>4433</v>
      </c>
      <c r="S322" s="6" t="s">
        <v>2084</v>
      </c>
      <c r="T322" s="6" t="e" vm="300">
        <v>#VALUE!</v>
      </c>
      <c r="U322" s="46" cm="1">
        <f t="array" aca="1" ref="U322" ca="1">IFERROR(_FV(Tableau1[[#This Row],[Code Excel]],"Capitalisation boursière",TRUE),"")</f>
        <v>11155840000</v>
      </c>
      <c r="V322" s="4" t="str" cm="1">
        <f t="array" aca="1" ref="V322" ca="1">IFERROR(_FV(Tableau1[[#This Row],[Code Excel]],"Industrie"),"")</f>
        <v>Residential &amp; Commercial REIT</v>
      </c>
      <c r="W322" s="4" t="s">
        <v>2083</v>
      </c>
      <c r="X322" s="4" t="str">
        <f ca="1">Tableau1[[#This Row],[Grand Secteur]]&amp;Tableau1[[#This Row],[Industrie]]</f>
        <v>ImmobilierResidential &amp; Commercial REIT</v>
      </c>
      <c r="Y322" s="23" cm="1">
        <f t="array" aca="1" ref="Y322" ca="1">IFERROR(_FV(Tableau1[[#This Row],[Code Excel]],"P/E",TRUE),"")</f>
        <v>77.738900000000001</v>
      </c>
      <c r="Z322" s="43" cm="1">
        <f t="array" aca="1" ref="Z322" ca="1">IFERROR(_FV(Tableau1[[#This Row],[Code Excel]],"Employés"),"")</f>
        <v>2410</v>
      </c>
      <c r="AA322" s="49">
        <f ca="1">IFERROR(Tableau1[[#This Row],[Capitalisation boursière]]/Tableau1[[#This Row],[Employés]],"")</f>
        <v>4628979.253112033</v>
      </c>
      <c r="AB322" s="5" t="str">
        <f>IFERROR(Tableau1[[#This Row],[REX (2021)]]/Tableau1[[#This Row],[CA 2024]],"")</f>
        <v/>
      </c>
      <c r="AC322" s="9" t="str">
        <f>IFERROR(_xlfn.XLOOKUP(Tableau1[[#This Row],[Isin]]&amp;1&amp;2021,#REF!,Tableau3[Résultat d''exploitation]),"")</f>
        <v/>
      </c>
      <c r="AD322" s="9" t="str">
        <f>IFERROR(_xlfn.XLOOKUP(Tableau1[[#This Row],[Isin]]&amp;1&amp;2019,#REF!,Tableau3[Chiffre d''affaires]),"")</f>
        <v/>
      </c>
      <c r="AE322" s="9" t="str">
        <f>IFERROR(_xlfn.XLOOKUP(Tableau1[[#This Row],[Isin]]&amp;1&amp;2024,#REF!,Tableau3[Chiffre d''affaires]),"")</f>
        <v/>
      </c>
      <c r="AF322" s="8" t="str">
        <f>IFERROR(IF((Tableau1[[#This Row],[CA 2024]]-Tableau1[[#This Row],[CA 2019]])/Tableau1[[#This Row],[CA 2019]]=-1,"",(Tableau1[[#This Row],[CA 2024]]-Tableau1[[#This Row],[CA 2019]])/Tableau1[[#This Row],[CA 2019]]),"")</f>
        <v/>
      </c>
      <c r="AG322" s="9" t="str">
        <f>IFERROR(_xlfn.XLOOKUP(Tableau1[[#This Row],[Isin]]&amp;1&amp;2021,#REF!,Tableau3[EBE]),"")</f>
        <v/>
      </c>
      <c r="AH322" s="9" t="str">
        <f>IFERROR(_xlfn.XLOOKUP(Tableau1[[#This Row],[Isin]]&amp;1&amp;2022,#REF!,Tableau3[EBE]),"")</f>
        <v/>
      </c>
      <c r="AI322" s="43" t="s">
        <v>3431</v>
      </c>
      <c r="AJ322" s="43" t="s">
        <v>4376</v>
      </c>
      <c r="AK322" s="43" t="s">
        <v>3419</v>
      </c>
      <c r="AL322" s="43" t="s">
        <v>3149</v>
      </c>
      <c r="AM322" s="43"/>
      <c r="AN322" s="9" t="str">
        <f>IFERROR(_xlfn.XLOOKUP(Tableau1[[#This Row],[Isin]]&amp;1&amp;2021,#REF!,Tableau3[Chiffre d''affaires]),"")</f>
        <v/>
      </c>
      <c r="AO322" s="43" cm="1">
        <f t="array" aca="1" ref="AO322" ca="1">_FV(Tableau1[[#This Row],[Code Excel]],"P/E",TRUE)</f>
        <v>77.738900000000001</v>
      </c>
      <c r="AP322" s="43" t="str">
        <f>IFERROR(_xlfn.XLOOKUP(Tableau1[[#This Row],[Isin]]&amp;1&amp;2023,#REF!,Tableau3[Résultat Net (PdG)]),"")</f>
        <v/>
      </c>
      <c r="AQ322" s="43">
        <f>IF(IFERROR(_xlfn.XLOOKUP(Tableau1[[#This Row],[Isin]]&amp;1&amp;2022,#REF!,Tableau3[Résultat Net (PdG)]),"")="",Tableau1[[#This Row],[RN Groupe 2022
Manuel]],IFERROR(_xlfn.XLOOKUP(Tableau1[[#This Row],[Isin]]&amp;1&amp;2022,#REF!,Tableau3[Résultat Net (PdG)]),""))</f>
        <v>0</v>
      </c>
      <c r="AR322" s="140"/>
      <c r="AS322" s="43">
        <f>IF(IFERROR(_xlfn.XLOOKUP(Tableau1[[#This Row],[Isin]]&amp;1&amp;2021,#REF!,Tableau3[Résultat Net (PdG)]),"")="",Tableau1[[#This Row],[RN Groupe 2021
Manuel]],IFERROR(_xlfn.XLOOKUP(Tableau1[[#This Row],[Isin]]&amp;1&amp;2021,#REF!,Tableau3[Résultat Net (PdG)]),""))</f>
        <v>0</v>
      </c>
      <c r="AT322" s="140"/>
      <c r="AU322" s="43" t="str">
        <f>IFERROR(_xlfn.XLOOKUP(Tableau1[[#This Row],[Isin]]&amp;1&amp;2020,#REF!,Tableau3[Résultat Net (PdG)]),"")</f>
        <v/>
      </c>
      <c r="AV322" s="43" t="str">
        <f>IFERROR(_xlfn.XLOOKUP(Tableau1[[#This Row],[Isin]]&amp;1&amp;2019,#REF!,Tableau3[Résultat Net (PdG)]),"")</f>
        <v/>
      </c>
      <c r="AW322" s="43" t="str">
        <f>IFERROR(_xlfn.XLOOKUP(Tableau1[[#This Row],[Isin]]&amp;1&amp;2018,#REF!,Tableau3[Résultat Net (PdG)]),"")</f>
        <v/>
      </c>
      <c r="AX322" s="43" t="str">
        <f>IFERROR(_xlfn.XLOOKUP(Tableau1[[#This Row],[Isin]]&amp;1&amp;2017,#REF!,Tableau3[Résultat Net (PdG)]),"")</f>
        <v/>
      </c>
      <c r="AY322" s="43" t="str">
        <f>IFERROR(_xlfn.XLOOKUP(Tableau1[[#This Row],[Isin]]&amp;1&amp;2016,#REF!,Tableau3[Résultat Net (PdG)]),"")</f>
        <v/>
      </c>
      <c r="AZ322" s="137" t="str">
        <f ca="1">IFERROR(Tableau1[[#This Row],[Capitalisation boursière]]/Tableau1[[#This Row],[RN Groupe 2023]],"")</f>
        <v/>
      </c>
      <c r="BA322" s="4" t="str" cm="1">
        <f t="array" aca="1" ref="BA322" ca="1">IFERROR(_FV(Tableau1[[#This Row],[Code Excel]],"Industrie"),"")</f>
        <v>Residential &amp; Commercial REIT</v>
      </c>
      <c r="BB322" s="43" t="s">
        <v>3518</v>
      </c>
      <c r="BC322" s="43" t="str">
        <f>IFERROR(_xlfn.XLOOKUP(Tableau1[[#This Row],[Isin]]&amp;1&amp;2016,#REF!,Tableau3[Capi]),"")</f>
        <v/>
      </c>
      <c r="BD322" s="43" t="str">
        <f>IFERROR(_xlfn.XLOOKUP(Tableau1[[#This Row],[Isin]]&amp;1&amp;2017,#REF!,Tableau3[Capi]),"")</f>
        <v/>
      </c>
      <c r="BE322" s="43" t="str">
        <f>IFERROR(_xlfn.XLOOKUP(Tableau1[[#This Row],[Isin]]&amp;1&amp;2018,#REF!,Tableau3[Capi]),"")</f>
        <v/>
      </c>
      <c r="BF322" s="43" t="str">
        <f>IFERROR(_xlfn.XLOOKUP(Tableau1[[#This Row],[Isin]]&amp;1&amp;2019,#REF!,Tableau3[Capi]),"")</f>
        <v/>
      </c>
      <c r="BG322" s="43" t="str">
        <f>IFERROR(_xlfn.XLOOKUP(Tableau1[[#This Row],[Isin]]&amp;1&amp;2020,#REF!,Tableau3[Capi]),"")</f>
        <v/>
      </c>
      <c r="BH322" s="43">
        <f>IF(IFERROR(_xlfn.XLOOKUP(Tableau1[[#This Row],[Isin]]&amp;1&amp;2021,#REF!,Tableau3[Capi]),"")="",Tableau1[[#This Row],[Capitalisation 2021
Manuel]],IFERROR(_xlfn.XLOOKUP(Tableau1[[#This Row],[Isin]]&amp;1&amp;2021,#REF!,Tableau3[Capi]),""))</f>
        <v>0</v>
      </c>
      <c r="BI322" s="142"/>
      <c r="BJ322" s="141">
        <f>IF(IFERROR(_xlfn.XLOOKUP(Tableau1[[#This Row],[Isin]]&amp;1&amp;2022,#REF!,Tableau3[Capi]),"")="",Tableau1[[#This Row],[Capitalisation 2022
Manuel]],IFERROR(_xlfn.XLOOKUP(Tableau1[[#This Row],[Isin]]&amp;1&amp;2022,#REF!,Tableau3[Capi]),""))</f>
        <v>0</v>
      </c>
      <c r="BK322" s="142"/>
      <c r="BL322" s="43">
        <f ca="1">Tableau1[[#This Row],[Capitalisation boursière]]</f>
        <v>11155840000</v>
      </c>
      <c r="BM322" s="162" t="str" cm="1">
        <f t="array" aca="1" ref="BM322" ca="1">_FV(Tableau1[[#This Row],[Code Excel]],"Description")</f>
        <v>Unibail-Rodamco-Westfield SE (URW), anciennement connu sous le nom d'Unibail Rodamco, est un groupe basé en France qui opère dans le secteur de l'immobilier commercial.Le groupe est engagé dans le développement, la construction et la gestion de biens immobiliers en Europe et aux Etats-Unis. Son portefeuille d'actifs est divisé en trois principaux secteurs d'activité : Retail, qui comprend 96 centres commerciaux en France, en Europe centrale, en Espagne, en Autriche, en Allemagne, au Royaume-Uni, aux Pays-Bas, aux États-Unis et autres ; bureaux &amp; autres, où URW développe et possède des immeubles de bureaux et des hôtels situés principalement dans le quartier central des affaires de Paris et à La Défense, il possède également des actifs de bureaux, d'hôtels et résidentiels aux États-Unis ; et Convention and Exhibition segment est situé dans la région parisienne et se compose de sites immobiliers et d'une société de services : Viparis.Viparis est détenue conjointement avec la Chambre de Commerce et d'Industrie de Paris Ile-de-France (CCIR) et exploitée par URW.</v>
      </c>
      <c r="BN322" s="43"/>
      <c r="BO322" s="43"/>
      <c r="BP322" s="43"/>
      <c r="BQ322" s="43"/>
      <c r="BR322" s="13"/>
      <c r="BS322" s="13"/>
      <c r="BT322" s="13"/>
      <c r="BU322" s="13"/>
      <c r="BV322" s="13"/>
      <c r="BW322" s="13"/>
      <c r="BX322" s="13"/>
      <c r="BY322" s="21"/>
      <c r="BZ322" s="13"/>
      <c r="CA322" s="13"/>
      <c r="CB322" s="13"/>
      <c r="CC322" s="13"/>
      <c r="CD322" s="13"/>
      <c r="CF322" s="4"/>
      <c r="CG322" s="4"/>
    </row>
    <row r="323" spans="3:85">
      <c r="C323" s="43"/>
      <c r="D323" s="42">
        <f>IF(Tableau1[[#This Row],[Isin]]="",99,Tableau1[[#This Row],[Intérêt]]+Tableau1[[#This Row],[Valeur d''intérêt]]+Tableau1[[#This Row],[N° Portefeuille]])</f>
        <v>30</v>
      </c>
      <c r="E323" s="43"/>
      <c r="F323" s="42">
        <f>IF(Tableau1[[#This Row],[Portefeuille]]="p",0,Tableau1[[#This Row],[F. Investissement
Niveau d''intérêt]]*10)</f>
        <v>30</v>
      </c>
      <c r="G323" s="43">
        <f>IF(Tableau1[[#This Row],[Portefeuille]]="p",3,0)</f>
        <v>0</v>
      </c>
      <c r="H323" s="43">
        <v>3</v>
      </c>
      <c r="I323" s="43">
        <v>4</v>
      </c>
      <c r="J323" s="43"/>
      <c r="K323" s="43"/>
      <c r="L323" s="16">
        <v>0</v>
      </c>
      <c r="M32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3" s="44" t="s">
        <v>4212</v>
      </c>
      <c r="O323" s="45"/>
      <c r="P323" s="4" t="s">
        <v>427</v>
      </c>
      <c r="Q323" s="4"/>
      <c r="R323" s="6"/>
      <c r="S323" s="6" t="s">
        <v>4213</v>
      </c>
      <c r="T323" s="6" t="e" vm="301">
        <v>#VALUE!</v>
      </c>
      <c r="U323" s="46" cm="1">
        <f t="array" aca="1" ref="U323" ca="1">IFERROR(_FV(Tableau1[[#This Row],[Code Excel]],"Capitalisation boursière",TRUE),"")</f>
        <v>115299900000</v>
      </c>
      <c r="V323" s="4" t="str" cm="1">
        <f t="array" aca="1" ref="V323" ca="1">IFERROR(_FV(Tableau1[[#This Row],[Code Excel]],"Industrie"),"")</f>
        <v>Personal &amp; Household Products &amp; Services</v>
      </c>
      <c r="W323" s="4" t="s">
        <v>1315</v>
      </c>
      <c r="X323" s="4" t="str">
        <f ca="1">Tableau1[[#This Row],[Grand Secteur]]&amp;Tableau1[[#This Row],[Industrie]]</f>
        <v>Biens de consommationPersonal &amp; Household Products &amp; Services</v>
      </c>
      <c r="Y323" s="23" cm="1">
        <f t="array" aca="1" ref="Y323" ca="1">IFERROR(_FV(Tableau1[[#This Row],[Code Excel]],"P/E",TRUE),"")</f>
        <v>23.831499999999998</v>
      </c>
      <c r="Z323" s="43" cm="1">
        <f t="array" aca="1" ref="Z323" ca="1">IFERROR(_FV(Tableau1[[#This Row],[Code Excel]],"Employés"),"")</f>
        <v>120040</v>
      </c>
      <c r="AA323" s="46">
        <f ca="1">IFERROR(Tableau1[[#This Row],[Capitalisation boursière]]/Tableau1[[#This Row],[Employés]],"")</f>
        <v>960512.32922359218</v>
      </c>
      <c r="AB323" s="5" t="str">
        <f>IFERROR(Tableau1[[#This Row],[REX (2021)]]/Tableau1[[#This Row],[CA 2024]],"")</f>
        <v/>
      </c>
      <c r="AC323" s="9" t="str">
        <f>IFERROR(_xlfn.XLOOKUP(Tableau1[[#This Row],[Isin]]&amp;1&amp;2021,#REF!,Tableau3[Résultat d''exploitation]),"")</f>
        <v/>
      </c>
      <c r="AD323" s="9" t="str">
        <f>IFERROR(_xlfn.XLOOKUP(Tableau1[[#This Row],[Isin]]&amp;1&amp;2019,#REF!,Tableau3[Chiffre d''affaires]),"")</f>
        <v/>
      </c>
      <c r="AE323" s="9" t="str">
        <f>IFERROR(_xlfn.XLOOKUP(Tableau1[[#This Row],[Isin]]&amp;1&amp;2024,#REF!,Tableau3[Chiffre d''affaires]),"")</f>
        <v/>
      </c>
      <c r="AF323" s="8" t="str">
        <f>IFERROR(IF((Tableau1[[#This Row],[CA 2024]]-Tableau1[[#This Row],[CA 2019]])/Tableau1[[#This Row],[CA 2019]]=-1,"",(Tableau1[[#This Row],[CA 2024]]-Tableau1[[#This Row],[CA 2019]])/Tableau1[[#This Row],[CA 2019]]),"")</f>
        <v/>
      </c>
      <c r="AG323" s="9" t="str">
        <f>IFERROR(_xlfn.XLOOKUP(Tableau1[[#This Row],[Isin]]&amp;1&amp;2021,#REF!,Tableau3[EBE]),"")</f>
        <v/>
      </c>
      <c r="AH323" s="9" t="str">
        <f>IFERROR(_xlfn.XLOOKUP(Tableau1[[#This Row],[Isin]]&amp;1&amp;2022,#REF!,Tableau3[EBE]),"")</f>
        <v/>
      </c>
      <c r="AI323" s="43" t="s">
        <v>3431</v>
      </c>
      <c r="AJ323" s="43" t="s">
        <v>3150</v>
      </c>
      <c r="AK323" s="43" t="s">
        <v>3149</v>
      </c>
      <c r="AL323" s="43"/>
      <c r="AM323" s="43"/>
      <c r="AN323" s="9" t="str">
        <f>IFERROR(_xlfn.XLOOKUP(Tableau1[[#This Row],[Isin]]&amp;1&amp;2021,#REF!,Tableau3[Chiffre d''affaires]),"")</f>
        <v/>
      </c>
      <c r="AO323" s="43" cm="1">
        <f t="array" aca="1" ref="AO323" ca="1">_FV(Tableau1[[#This Row],[Code Excel]],"P/E",TRUE)</f>
        <v>23.831499999999998</v>
      </c>
      <c r="AP323" s="43" t="str">
        <f>IFERROR(_xlfn.XLOOKUP(Tableau1[[#This Row],[Isin]]&amp;1&amp;2023,#REF!,Tableau3[Résultat Net (PdG)]),"")</f>
        <v/>
      </c>
      <c r="AQ323" s="43">
        <f>IF(IFERROR(_xlfn.XLOOKUP(Tableau1[[#This Row],[Isin]]&amp;1&amp;2022,#REF!,Tableau3[Résultat Net (PdG)]),"")="",Tableau1[[#This Row],[RN Groupe 2022
Manuel]],IFERROR(_xlfn.XLOOKUP(Tableau1[[#This Row],[Isin]]&amp;1&amp;2022,#REF!,Tableau3[Résultat Net (PdG)]),""))</f>
        <v>0</v>
      </c>
      <c r="AR323" s="43"/>
      <c r="AS323" s="43">
        <f>IF(IFERROR(_xlfn.XLOOKUP(Tableau1[[#This Row],[Isin]]&amp;1&amp;2021,#REF!,Tableau3[Résultat Net (PdG)]),"")="",Tableau1[[#This Row],[RN Groupe 2021
Manuel]],IFERROR(_xlfn.XLOOKUP(Tableau1[[#This Row],[Isin]]&amp;1&amp;2021,#REF!,Tableau3[Résultat Net (PdG)]),""))</f>
        <v>0</v>
      </c>
      <c r="AT323" s="43"/>
      <c r="AU323" s="43" t="str">
        <f>IFERROR(_xlfn.XLOOKUP(Tableau1[[#This Row],[Isin]]&amp;1&amp;2020,#REF!,Tableau3[Résultat Net (PdG)]),"")</f>
        <v/>
      </c>
      <c r="AV323" s="43" t="str">
        <f>IFERROR(_xlfn.XLOOKUP(Tableau1[[#This Row],[Isin]]&amp;1&amp;2019,#REF!,Tableau3[Résultat Net (PdG)]),"")</f>
        <v/>
      </c>
      <c r="AW323" s="43" t="str">
        <f>IFERROR(_xlfn.XLOOKUP(Tableau1[[#This Row],[Isin]]&amp;1&amp;2018,#REF!,Tableau3[Résultat Net (PdG)]),"")</f>
        <v/>
      </c>
      <c r="AX323" s="43" t="str">
        <f>IFERROR(_xlfn.XLOOKUP(Tableau1[[#This Row],[Isin]]&amp;1&amp;2017,#REF!,Tableau3[Résultat Net (PdG)]),"")</f>
        <v/>
      </c>
      <c r="AY323" s="43" t="str">
        <f>IFERROR(_xlfn.XLOOKUP(Tableau1[[#This Row],[Isin]]&amp;1&amp;2016,#REF!,Tableau3[Résultat Net (PdG)]),"")</f>
        <v/>
      </c>
      <c r="AZ323" s="137" t="str">
        <f ca="1">IFERROR(Tableau1[[#This Row],[Capitalisation boursière]]/Tableau1[[#This Row],[RN Groupe 2023]],"")</f>
        <v/>
      </c>
      <c r="BA323" s="4" t="str" cm="1">
        <f t="array" aca="1" ref="BA323" ca="1">IFERROR(_FV(Tableau1[[#This Row],[Code Excel]],"Industrie"),"")</f>
        <v>Personal &amp; Household Products &amp; Services</v>
      </c>
      <c r="BB323" s="43" t="s">
        <v>3496</v>
      </c>
      <c r="BC323" s="43" t="str">
        <f>IFERROR(_xlfn.XLOOKUP(Tableau1[[#This Row],[Isin]]&amp;1&amp;2016,#REF!,Tableau3[Capi]),"")</f>
        <v/>
      </c>
      <c r="BD323" s="43" t="str">
        <f>IFERROR(_xlfn.XLOOKUP(Tableau1[[#This Row],[Isin]]&amp;1&amp;2017,#REF!,Tableau3[Capi]),"")</f>
        <v/>
      </c>
      <c r="BE323" s="43" t="str">
        <f>IFERROR(_xlfn.XLOOKUP(Tableau1[[#This Row],[Isin]]&amp;1&amp;2018,#REF!,Tableau3[Capi]),"")</f>
        <v/>
      </c>
      <c r="BF323" s="43" t="str">
        <f>IFERROR(_xlfn.XLOOKUP(Tableau1[[#This Row],[Isin]]&amp;1&amp;2019,#REF!,Tableau3[Capi]),"")</f>
        <v/>
      </c>
      <c r="BG323" s="43" t="str">
        <f>IFERROR(_xlfn.XLOOKUP(Tableau1[[#This Row],[Isin]]&amp;1&amp;2020,#REF!,Tableau3[Capi]),"")</f>
        <v/>
      </c>
      <c r="BH323" s="43">
        <f>IF(IFERROR(_xlfn.XLOOKUP(Tableau1[[#This Row],[Isin]]&amp;1&amp;2021,#REF!,Tableau3[Capi]),"")="",Tableau1[[#This Row],[Capitalisation 2021
Manuel]],IFERROR(_xlfn.XLOOKUP(Tableau1[[#This Row],[Isin]]&amp;1&amp;2021,#REF!,Tableau3[Capi]),""))</f>
        <v>0</v>
      </c>
      <c r="BI323" s="43"/>
      <c r="BJ323" s="43">
        <f>IF(IFERROR(_xlfn.XLOOKUP(Tableau1[[#This Row],[Isin]]&amp;1&amp;2022,#REF!,Tableau3[Capi]),"")="",Tableau1[[#This Row],[Capitalisation 2022
Manuel]],IFERROR(_xlfn.XLOOKUP(Tableau1[[#This Row],[Isin]]&amp;1&amp;2022,#REF!,Tableau3[Capi]),""))</f>
        <v>0</v>
      </c>
      <c r="BK323" s="43"/>
      <c r="BL323" s="43">
        <f ca="1">Tableau1[[#This Row],[Capitalisation boursière]]</f>
        <v>115299900000</v>
      </c>
      <c r="BM323" s="162" t="str" cm="1">
        <f t="array" aca="1" ref="BM323" ca="1">_FV(Tableau1[[#This Row],[Code Excel]],"Description")</f>
        <v>Unilever PLC est une société britannique spécialisée dans les biens de consommation à évolution rapide. La Société opère dans cinq segments : beauté et bien-être, soins personnels, soins à domicile, Nutrition et crème glacée. Le segment beauté &amp; bien-être vend des soins capillaires (shampooing, après-shampooing, coiffant), des soins de la peau (hydratants visage, mains et corps) et comprend les produits beauté Prestige et santé &amp; bien-être. Le segment soins personnels vend des produits nettoyants pour la peau (savon, douche), déodorants et de soins buccaux (dentifrice, brosse à dents, rince-bouche). Le segment soins à domicile vend des produits d'entretien des tissus (poudres et liquides à laver, conditionneurs de rinçage) et une gamme de produits d'entretien. The Nutrition vend des aides à la cuisson à gratter (soupes, bouillons, assaisonnements), des vinaigrettes (mayonnaise, ketchup) et des produits à base de thé. Le segment des crèmes glacées comprend des produits de crème glacée. Il offre K18 est une marque de soins capillaires de biologie. Ses filiales comprennent Unilever de Argentina S.A., Unilever Australia Limited, Unilever Canada Inc et d'autres.</v>
      </c>
      <c r="BN323" s="43"/>
      <c r="BO323" s="43"/>
      <c r="BP323" s="43"/>
      <c r="BQ323" s="43"/>
      <c r="BR323" s="13"/>
      <c r="BS323" s="13"/>
      <c r="BT323" s="13"/>
      <c r="BU323" s="13"/>
      <c r="BV323" s="13"/>
      <c r="BW323" s="13"/>
      <c r="BX323" s="13"/>
      <c r="BY323" s="21"/>
      <c r="BZ323" s="13"/>
      <c r="CA323" s="13"/>
      <c r="CB323" s="13"/>
      <c r="CC323" s="13"/>
      <c r="CD323" s="13"/>
      <c r="CF323" s="4"/>
      <c r="CG323" s="4"/>
    </row>
    <row r="324" spans="3:85">
      <c r="C324" s="42"/>
      <c r="D324" s="42">
        <f>IF(Tableau1[[#This Row],[Isin]]="",99,Tableau1[[#This Row],[Intérêt]]+Tableau1[[#This Row],[Valeur d''intérêt]]+Tableau1[[#This Row],[N° Portefeuille]])</f>
        <v>30</v>
      </c>
      <c r="E324" s="42"/>
      <c r="F324" s="42">
        <f>IF(Tableau1[[#This Row],[Portefeuille]]="p",0,Tableau1[[#This Row],[F. Investissement
Niveau d''intérêt]]*10)</f>
        <v>30</v>
      </c>
      <c r="G324" s="42">
        <f>IF(Tableau1[[#This Row],[Portefeuille]]="p",3,0)</f>
        <v>0</v>
      </c>
      <c r="H324" s="42">
        <v>3</v>
      </c>
      <c r="I324" s="42">
        <v>4</v>
      </c>
      <c r="J324" s="42"/>
      <c r="K324" s="43"/>
      <c r="L324" s="16">
        <v>0</v>
      </c>
      <c r="M32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4" s="44" t="s">
        <v>4215</v>
      </c>
      <c r="O324" s="45"/>
      <c r="P324" s="4" t="s">
        <v>382</v>
      </c>
      <c r="Q324" s="4"/>
      <c r="R324" s="6"/>
      <c r="S324" s="6" t="s">
        <v>4216</v>
      </c>
      <c r="T324" s="6" t="e" vm="302">
        <v>#VALUE!</v>
      </c>
      <c r="U324" s="46" cm="1">
        <f t="array" aca="1" ref="U324" ca="1">IFERROR(_FV(Tableau1[[#This Row],[Code Excel]],"Capitalisation boursière",TRUE),"")</f>
        <v>477379202247</v>
      </c>
      <c r="V324" s="4" t="str" cm="1">
        <f t="array" aca="1" ref="V324" ca="1">IFERROR(_FV(Tableau1[[#This Row],[Code Excel]],"Industrie"),"")</f>
        <v>Healthcare Providers &amp; Services</v>
      </c>
      <c r="W324" s="4" t="s">
        <v>1586</v>
      </c>
      <c r="X324" s="4" t="str">
        <f ca="1">Tableau1[[#This Row],[Grand Secteur]]&amp;Tableau1[[#This Row],[Industrie]]</f>
        <v>SantéHealthcare Providers &amp; Services</v>
      </c>
      <c r="Y324" s="23" cm="1">
        <f t="array" aca="1" ref="Y324" ca="1">IFERROR(_FV(Tableau1[[#This Row],[Code Excel]],"P/E",TRUE),"")</f>
        <v>33.268000000000001</v>
      </c>
      <c r="Z324" s="43" cm="1">
        <f t="array" aca="1" ref="Z324" ca="1">IFERROR(_FV(Tableau1[[#This Row],[Code Excel]],"Employés"),"")</f>
        <v>400000</v>
      </c>
      <c r="AA324" s="49">
        <f ca="1">IFERROR(Tableau1[[#This Row],[Capitalisation boursière]]/Tableau1[[#This Row],[Employés]],"")</f>
        <v>1193448.0056175</v>
      </c>
      <c r="AB324" s="5" t="str">
        <f>IFERROR(Tableau1[[#This Row],[REX (2021)]]/Tableau1[[#This Row],[CA 2024]],"")</f>
        <v/>
      </c>
      <c r="AC324" s="9" t="str">
        <f>IFERROR(_xlfn.XLOOKUP(Tableau1[[#This Row],[Isin]]&amp;1&amp;2021,#REF!,Tableau3[Résultat d''exploitation]),"")</f>
        <v/>
      </c>
      <c r="AD324" s="9" t="str">
        <f>IFERROR(_xlfn.XLOOKUP(Tableau1[[#This Row],[Isin]]&amp;1&amp;2019,#REF!,Tableau3[Chiffre d''affaires]),"")</f>
        <v/>
      </c>
      <c r="AE324" s="9" t="str">
        <f>IFERROR(_xlfn.XLOOKUP(Tableau1[[#This Row],[Isin]]&amp;1&amp;2024,#REF!,Tableau3[Chiffre d''affaires]),"")</f>
        <v/>
      </c>
      <c r="AF324" s="8" t="str">
        <f>IFERROR(IF((Tableau1[[#This Row],[CA 2024]]-Tableau1[[#This Row],[CA 2019]])/Tableau1[[#This Row],[CA 2019]]=-1,"",(Tableau1[[#This Row],[CA 2024]]-Tableau1[[#This Row],[CA 2019]])/Tableau1[[#This Row],[CA 2019]]),"")</f>
        <v/>
      </c>
      <c r="AG324" s="9" t="str">
        <f>IFERROR(_xlfn.XLOOKUP(Tableau1[[#This Row],[Isin]]&amp;1&amp;2021,#REF!,Tableau3[EBE]),"")</f>
        <v/>
      </c>
      <c r="AH324" s="9" t="str">
        <f>IFERROR(_xlfn.XLOOKUP(Tableau1[[#This Row],[Isin]]&amp;1&amp;2022,#REF!,Tableau3[EBE]),"")</f>
        <v/>
      </c>
      <c r="AI324" s="13" t="s">
        <v>4324</v>
      </c>
      <c r="AJ324" s="13" t="s">
        <v>4325</v>
      </c>
      <c r="AK324" s="13" t="s">
        <v>3148</v>
      </c>
      <c r="AL324" s="43"/>
      <c r="AM324" s="43"/>
      <c r="AN324" s="9" t="str">
        <f>IFERROR(_xlfn.XLOOKUP(Tableau1[[#This Row],[Isin]]&amp;1&amp;2021,#REF!,Tableau3[Chiffre d''affaires]),"")</f>
        <v/>
      </c>
      <c r="AO324" s="43" cm="1">
        <f t="array" aca="1" ref="AO324" ca="1">_FV(Tableau1[[#This Row],[Code Excel]],"P/E",TRUE)</f>
        <v>33.268000000000001</v>
      </c>
      <c r="AP324" s="43" t="str">
        <f>IFERROR(_xlfn.XLOOKUP(Tableau1[[#This Row],[Isin]]&amp;1&amp;2023,#REF!,Tableau3[Résultat Net (PdG)]),"")</f>
        <v/>
      </c>
      <c r="AQ324" s="43">
        <f>IF(IFERROR(_xlfn.XLOOKUP(Tableau1[[#This Row],[Isin]]&amp;1&amp;2022,#REF!,Tableau3[Résultat Net (PdG)]),"")="",Tableau1[[#This Row],[RN Groupe 2022
Manuel]],IFERROR(_xlfn.XLOOKUP(Tableau1[[#This Row],[Isin]]&amp;1&amp;2022,#REF!,Tableau3[Résultat Net (PdG)]),""))</f>
        <v>0</v>
      </c>
      <c r="AR324" s="43"/>
      <c r="AS324" s="43">
        <f>IF(IFERROR(_xlfn.XLOOKUP(Tableau1[[#This Row],[Isin]]&amp;1&amp;2021,#REF!,Tableau3[Résultat Net (PdG)]),"")="",Tableau1[[#This Row],[RN Groupe 2021
Manuel]],IFERROR(_xlfn.XLOOKUP(Tableau1[[#This Row],[Isin]]&amp;1&amp;2021,#REF!,Tableau3[Résultat Net (PdG)]),""))</f>
        <v>0</v>
      </c>
      <c r="AT324" s="43"/>
      <c r="AU324" s="43" t="str">
        <f>IFERROR(_xlfn.XLOOKUP(Tableau1[[#This Row],[Isin]]&amp;1&amp;2020,#REF!,Tableau3[Résultat Net (PdG)]),"")</f>
        <v/>
      </c>
      <c r="AV324" s="43" t="str">
        <f>IFERROR(_xlfn.XLOOKUP(Tableau1[[#This Row],[Isin]]&amp;1&amp;2019,#REF!,Tableau3[Résultat Net (PdG)]),"")</f>
        <v/>
      </c>
      <c r="AW324" s="43" t="str">
        <f>IFERROR(_xlfn.XLOOKUP(Tableau1[[#This Row],[Isin]]&amp;1&amp;2018,#REF!,Tableau3[Résultat Net (PdG)]),"")</f>
        <v/>
      </c>
      <c r="AX324" s="43" t="str">
        <f>IFERROR(_xlfn.XLOOKUP(Tableau1[[#This Row],[Isin]]&amp;1&amp;2017,#REF!,Tableau3[Résultat Net (PdG)]),"")</f>
        <v/>
      </c>
      <c r="AY324" s="43" t="str">
        <f>IFERROR(_xlfn.XLOOKUP(Tableau1[[#This Row],[Isin]]&amp;1&amp;2016,#REF!,Tableau3[Résultat Net (PdG)]),"")</f>
        <v/>
      </c>
      <c r="AZ324" s="137" t="str">
        <f ca="1">IFERROR(Tableau1[[#This Row],[Capitalisation boursière]]/Tableau1[[#This Row],[RN Groupe 2023]],"")</f>
        <v/>
      </c>
      <c r="BA324" s="4" t="str" cm="1">
        <f t="array" aca="1" ref="BA324" ca="1">IFERROR(_FV(Tableau1[[#This Row],[Code Excel]],"Industrie"),"")</f>
        <v>Healthcare Providers &amp; Services</v>
      </c>
      <c r="BB324" s="43" t="s">
        <v>3464</v>
      </c>
      <c r="BC324" s="43" t="str">
        <f>IFERROR(_xlfn.XLOOKUP(Tableau1[[#This Row],[Isin]]&amp;1&amp;2016,#REF!,Tableau3[Capi]),"")</f>
        <v/>
      </c>
      <c r="BD324" s="43" t="str">
        <f>IFERROR(_xlfn.XLOOKUP(Tableau1[[#This Row],[Isin]]&amp;1&amp;2017,#REF!,Tableau3[Capi]),"")</f>
        <v/>
      </c>
      <c r="BE324" s="43" t="str">
        <f>IFERROR(_xlfn.XLOOKUP(Tableau1[[#This Row],[Isin]]&amp;1&amp;2018,#REF!,Tableau3[Capi]),"")</f>
        <v/>
      </c>
      <c r="BF324" s="43" t="str">
        <f>IFERROR(_xlfn.XLOOKUP(Tableau1[[#This Row],[Isin]]&amp;1&amp;2019,#REF!,Tableau3[Capi]),"")</f>
        <v/>
      </c>
      <c r="BG324" s="43" t="str">
        <f>IFERROR(_xlfn.XLOOKUP(Tableau1[[#This Row],[Isin]]&amp;1&amp;2020,#REF!,Tableau3[Capi]),"")</f>
        <v/>
      </c>
      <c r="BH324" s="43">
        <f>IF(IFERROR(_xlfn.XLOOKUP(Tableau1[[#This Row],[Isin]]&amp;1&amp;2021,#REF!,Tableau3[Capi]),"")="",Tableau1[[#This Row],[Capitalisation 2021
Manuel]],IFERROR(_xlfn.XLOOKUP(Tableau1[[#This Row],[Isin]]&amp;1&amp;2021,#REF!,Tableau3[Capi]),""))</f>
        <v>0</v>
      </c>
      <c r="BI324" s="43"/>
      <c r="BJ324" s="43">
        <f>IF(IFERROR(_xlfn.XLOOKUP(Tableau1[[#This Row],[Isin]]&amp;1&amp;2022,#REF!,Tableau3[Capi]),"")="",Tableau1[[#This Row],[Capitalisation 2022
Manuel]],IFERROR(_xlfn.XLOOKUP(Tableau1[[#This Row],[Isin]]&amp;1&amp;2022,#REF!,Tableau3[Capi]),""))</f>
        <v>0</v>
      </c>
      <c r="BK324" s="43"/>
      <c r="BL324" s="43">
        <f ca="1">Tableau1[[#This Row],[Capitalisation boursière]]</f>
        <v>477379202247</v>
      </c>
      <c r="BM324" s="162" t="str" cm="1">
        <f t="array" aca="1" ref="BM324" ca="1">_FV(Tableau1[[#This Row],[Code Excel]],"Description")</f>
        <v>UnitedHealth Group Incorporated est une société de soins de santé. La Société a deux entreprises, Optum et UnitedHealthcare. Optum dessert le marché des soins de santé, y compris les patients et les consommateurs, les payeurs, les fournisseurs de soins, les employeurs, les gouvernements et les entreprises des sciences de la vie. UnitedHealthcare offre une gamme complète d'avantages pour la santé conçus pour simplifier l'expérience de soins de santé et rendre l'accès aux soins plus abordable pour les consommateurs. UnitedHealthcare employer &amp; Individual sert les consommateurs et les employeurs, allant des entreprises individuelles aux grands employeurs, multi-sites et nationaux et aux employeurs du secteur public. UnitedHealthcare Medicare &amp; Retirement offre des avantages en matière de santé et de bien-être aux personnes âgées et aux autres consommateurs admissibles à Medicare. Les segments de la société comprennent Optum Health, Optum Insight, Optum Rx et UnitedHealthcare. Le segment UnitedHealthcare comprend UnitedHealthcare employeur &amp; Individual, UnitedHealthcare Medicare &amp; Retirement et UnitedHealthcare Community &amp; State.</v>
      </c>
      <c r="BN324" s="43"/>
      <c r="BO324" s="43"/>
      <c r="BP324" s="43"/>
      <c r="BQ324" s="43"/>
      <c r="BR324" s="13"/>
      <c r="BS324" s="13"/>
      <c r="BT324" s="13"/>
      <c r="BU324" s="13"/>
      <c r="BV324" s="13"/>
      <c r="BW324" s="13"/>
      <c r="BX324" s="13"/>
      <c r="BY324" s="21"/>
      <c r="BZ324" s="13"/>
      <c r="CA324" s="13"/>
      <c r="CB324" s="13"/>
      <c r="CC324" s="13"/>
      <c r="CD324" s="13"/>
      <c r="CF324" s="4"/>
      <c r="CG324" s="4"/>
    </row>
    <row r="325" spans="3:85">
      <c r="C325" s="43"/>
      <c r="D325" s="42">
        <f>IF(Tableau1[[#This Row],[Isin]]="",99,Tableau1[[#This Row],[Intérêt]]+Tableau1[[#This Row],[Valeur d''intérêt]]+Tableau1[[#This Row],[N° Portefeuille]])</f>
        <v>20</v>
      </c>
      <c r="E325" s="43"/>
      <c r="F325" s="42">
        <f>IF(Tableau1[[#This Row],[Portefeuille]]="p",0,Tableau1[[#This Row],[F. Investissement
Niveau d''intérêt]]*10)</f>
        <v>20</v>
      </c>
      <c r="G325" s="43">
        <f>IF(Tableau1[[#This Row],[Portefeuille]]="p",3,0)</f>
        <v>0</v>
      </c>
      <c r="H325" s="43">
        <v>2</v>
      </c>
      <c r="I325" s="43">
        <v>2</v>
      </c>
      <c r="J325" s="43"/>
      <c r="K325" s="43"/>
      <c r="L325" s="16">
        <v>1</v>
      </c>
      <c r="M32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5" s="44" t="s">
        <v>4218</v>
      </c>
      <c r="O325" s="45"/>
      <c r="P325" s="4" t="s">
        <v>427</v>
      </c>
      <c r="Q325" s="4"/>
      <c r="R325" s="6"/>
      <c r="S325" s="6" t="s">
        <v>4219</v>
      </c>
      <c r="T325" s="6" t="e" vm="303">
        <v>#VALUE!</v>
      </c>
      <c r="U325" s="46" cm="1">
        <f t="array" aca="1" ref="U325" ca="1">IFERROR(_FV(Tableau1[[#This Row],[Code Excel]],"Capitalisation boursière",TRUE),"")</f>
        <v>47559610000</v>
      </c>
      <c r="V325" s="4" t="str" cm="1">
        <f t="array" aca="1" ref="V325" ca="1">IFERROR(_FV(Tableau1[[#This Row],[Code Excel]],"Industrie"),"")</f>
        <v>Media &amp; Publishing</v>
      </c>
      <c r="W325" s="4" t="s">
        <v>2018</v>
      </c>
      <c r="X325" s="4" t="str">
        <f ca="1">Tableau1[[#This Row],[Grand Secteur]]&amp;Tableau1[[#This Row],[Industrie]]</f>
        <v>MédiaMedia &amp; Publishing</v>
      </c>
      <c r="Y325" s="23" cm="1">
        <f t="array" aca="1" ref="Y325" ca="1">IFERROR(_FV(Tableau1[[#This Row],[Code Excel]],"P/E",TRUE),"")</f>
        <v>22.798200000000001</v>
      </c>
      <c r="Z325" s="43" cm="1">
        <f t="array" aca="1" ref="Z325" ca="1">IFERROR(_FV(Tableau1[[#This Row],[Code Excel]],"Employés"),"")</f>
        <v>10000</v>
      </c>
      <c r="AA325" s="49">
        <f ca="1">IFERROR(Tableau1[[#This Row],[Capitalisation boursière]]/Tableau1[[#This Row],[Employés]],"")</f>
        <v>4755961</v>
      </c>
      <c r="AB325" s="5" t="str">
        <f>IFERROR(Tableau1[[#This Row],[REX (2021)]]/Tableau1[[#This Row],[CA 2024]],"")</f>
        <v/>
      </c>
      <c r="AC325" s="9" t="str">
        <f>IFERROR(_xlfn.XLOOKUP(Tableau1[[#This Row],[Isin]]&amp;1&amp;2021,#REF!,Tableau3[Résultat d''exploitation]),"")</f>
        <v/>
      </c>
      <c r="AD325" s="9" t="str">
        <f>IFERROR(_xlfn.XLOOKUP(Tableau1[[#This Row],[Isin]]&amp;1&amp;2019,#REF!,Tableau3[Chiffre d''affaires]),"")</f>
        <v/>
      </c>
      <c r="AE325" s="9" t="str">
        <f>IFERROR(_xlfn.XLOOKUP(Tableau1[[#This Row],[Isin]]&amp;1&amp;2024,#REF!,Tableau3[Chiffre d''affaires]),"")</f>
        <v/>
      </c>
      <c r="AF325" s="8" t="str">
        <f>IFERROR(IF((Tableau1[[#This Row],[CA 2024]]-Tableau1[[#This Row],[CA 2019]])/Tableau1[[#This Row],[CA 2019]]=-1,"",(Tableau1[[#This Row],[CA 2024]]-Tableau1[[#This Row],[CA 2019]])/Tableau1[[#This Row],[CA 2019]]),"")</f>
        <v/>
      </c>
      <c r="AG325" s="9" t="str">
        <f>IFERROR(_xlfn.XLOOKUP(Tableau1[[#This Row],[Isin]]&amp;1&amp;2021,#REF!,Tableau3[EBE]),"")</f>
        <v/>
      </c>
      <c r="AH325" s="9" t="str">
        <f>IFERROR(_xlfn.XLOOKUP(Tableau1[[#This Row],[Isin]]&amp;1&amp;2022,#REF!,Tableau3[EBE]),"")</f>
        <v/>
      </c>
      <c r="AI325" s="43" t="s">
        <v>3431</v>
      </c>
      <c r="AJ325" s="13" t="s">
        <v>3150</v>
      </c>
      <c r="AK325" s="43" t="s">
        <v>3431</v>
      </c>
      <c r="AL325" s="43"/>
      <c r="AM325" s="43"/>
      <c r="AN325" s="9" t="str">
        <f>IFERROR(_xlfn.XLOOKUP(Tableau1[[#This Row],[Isin]]&amp;1&amp;2021,#REF!,Tableau3[Chiffre d''affaires]),"")</f>
        <v/>
      </c>
      <c r="AO325" s="43" cm="1">
        <f t="array" aca="1" ref="AO325" ca="1">_FV(Tableau1[[#This Row],[Code Excel]],"P/E",TRUE)</f>
        <v>22.798200000000001</v>
      </c>
      <c r="AP325" s="43" t="str">
        <f>IFERROR(_xlfn.XLOOKUP(Tableau1[[#This Row],[Isin]]&amp;1&amp;2023,#REF!,Tableau3[Résultat Net (PdG)]),"")</f>
        <v/>
      </c>
      <c r="AQ325" s="43">
        <f>IF(IFERROR(_xlfn.XLOOKUP(Tableau1[[#This Row],[Isin]]&amp;1&amp;2022,#REF!,Tableau3[Résultat Net (PdG)]),"")="",Tableau1[[#This Row],[RN Groupe 2022
Manuel]],IFERROR(_xlfn.XLOOKUP(Tableau1[[#This Row],[Isin]]&amp;1&amp;2022,#REF!,Tableau3[Résultat Net (PdG)]),""))</f>
        <v>0</v>
      </c>
      <c r="AR325" s="43"/>
      <c r="AS325" s="43">
        <f>IF(IFERROR(_xlfn.XLOOKUP(Tableau1[[#This Row],[Isin]]&amp;1&amp;2021,#REF!,Tableau3[Résultat Net (PdG)]),"")="",Tableau1[[#This Row],[RN Groupe 2021
Manuel]],IFERROR(_xlfn.XLOOKUP(Tableau1[[#This Row],[Isin]]&amp;1&amp;2021,#REF!,Tableau3[Résultat Net (PdG)]),""))</f>
        <v>0</v>
      </c>
      <c r="AT325" s="43"/>
      <c r="AU325" s="43" t="str">
        <f>IFERROR(_xlfn.XLOOKUP(Tableau1[[#This Row],[Isin]]&amp;1&amp;2020,#REF!,Tableau3[Résultat Net (PdG)]),"")</f>
        <v/>
      </c>
      <c r="AV325" s="43" t="str">
        <f>IFERROR(_xlfn.XLOOKUP(Tableau1[[#This Row],[Isin]]&amp;1&amp;2019,#REF!,Tableau3[Résultat Net (PdG)]),"")</f>
        <v/>
      </c>
      <c r="AW325" s="43" t="str">
        <f>IFERROR(_xlfn.XLOOKUP(Tableau1[[#This Row],[Isin]]&amp;1&amp;2018,#REF!,Tableau3[Résultat Net (PdG)]),"")</f>
        <v/>
      </c>
      <c r="AX325" s="43" t="str">
        <f>IFERROR(_xlfn.XLOOKUP(Tableau1[[#This Row],[Isin]]&amp;1&amp;2017,#REF!,Tableau3[Résultat Net (PdG)]),"")</f>
        <v/>
      </c>
      <c r="AY325" s="43" t="str">
        <f>IFERROR(_xlfn.XLOOKUP(Tableau1[[#This Row],[Isin]]&amp;1&amp;2016,#REF!,Tableau3[Résultat Net (PdG)]),"")</f>
        <v/>
      </c>
      <c r="AZ325" s="137" t="str">
        <f ca="1">IFERROR(Tableau1[[#This Row],[Capitalisation boursière]]/Tableau1[[#This Row],[RN Groupe 2023]],"")</f>
        <v/>
      </c>
      <c r="BA325" s="4" t="str" cm="1">
        <f t="array" aca="1" ref="BA325" ca="1">IFERROR(_FV(Tableau1[[#This Row],[Code Excel]],"Industrie"),"")</f>
        <v>Media &amp; Publishing</v>
      </c>
      <c r="BB325" s="43" t="s">
        <v>3496</v>
      </c>
      <c r="BC325" s="43" t="str">
        <f>IFERROR(_xlfn.XLOOKUP(Tableau1[[#This Row],[Isin]]&amp;1&amp;2016,#REF!,Tableau3[Capi]),"")</f>
        <v/>
      </c>
      <c r="BD325" s="43" t="str">
        <f>IFERROR(_xlfn.XLOOKUP(Tableau1[[#This Row],[Isin]]&amp;1&amp;2017,#REF!,Tableau3[Capi]),"")</f>
        <v/>
      </c>
      <c r="BE325" s="43" t="str">
        <f>IFERROR(_xlfn.XLOOKUP(Tableau1[[#This Row],[Isin]]&amp;1&amp;2018,#REF!,Tableau3[Capi]),"")</f>
        <v/>
      </c>
      <c r="BF325" s="43" t="str">
        <f>IFERROR(_xlfn.XLOOKUP(Tableau1[[#This Row],[Isin]]&amp;1&amp;2019,#REF!,Tableau3[Capi]),"")</f>
        <v/>
      </c>
      <c r="BG325" s="43" t="str">
        <f>IFERROR(_xlfn.XLOOKUP(Tableau1[[#This Row],[Isin]]&amp;1&amp;2020,#REF!,Tableau3[Capi]),"")</f>
        <v/>
      </c>
      <c r="BH325" s="43">
        <f>IF(IFERROR(_xlfn.XLOOKUP(Tableau1[[#This Row],[Isin]]&amp;1&amp;2021,#REF!,Tableau3[Capi]),"")="",Tableau1[[#This Row],[Capitalisation 2021
Manuel]],IFERROR(_xlfn.XLOOKUP(Tableau1[[#This Row],[Isin]]&amp;1&amp;2021,#REF!,Tableau3[Capi]),""))</f>
        <v>0</v>
      </c>
      <c r="BI325" s="43"/>
      <c r="BJ325" s="43">
        <f>IF(IFERROR(_xlfn.XLOOKUP(Tableau1[[#This Row],[Isin]]&amp;1&amp;2022,#REF!,Tableau3[Capi]),"")="",Tableau1[[#This Row],[Capitalisation 2022
Manuel]],IFERROR(_xlfn.XLOOKUP(Tableau1[[#This Row],[Isin]]&amp;1&amp;2022,#REF!,Tableau3[Capi]),""))</f>
        <v>0</v>
      </c>
      <c r="BK325" s="43"/>
      <c r="BL325" s="43">
        <f ca="1">Tableau1[[#This Row],[Capitalisation boursière]]</f>
        <v>47559610000</v>
      </c>
      <c r="BM325" s="162" t="str" cm="1">
        <f t="array" aca="1" ref="BM325" ca="1">_FV(Tableau1[[#This Row],[Code Excel]],"Description")</f>
        <v>Universal Music Group NV est une société basée aux Pays-Bas qui est principalement engagée dans le divertissement musical. La Société se concentre sur la découverte et le développement d'artistes et d'auteurs-compositeurs et sur le marketing, la promotion, la distribution, la vente et l'octroi de licences de contenu audio et audiovisuel. Universal Music Group N.V. comprend les sociétés d'édition musicale Universal Music Publishing Group. Son catalogue de musique enregistrée comprend plus de trois millions d'enregistrements et comprend un large éventail d'artistes tels que ABBA, Louis Armstrong, The Beatles, The Beach Boys, The Bee Gees, Ariana Grande, Imagine Dragons, Lady Gaga, James Brown, Bon Jovi, Neil Diamond, Marvin Gaye, Drake, Billie Eilish, Eminem, Selena Gomez Guns N' Roses, Elton John, Bob Marley, Paul McCartney, Nirvana, Luciano Pavarotti, Queen, The Rolling Stones, Frank Sinatra, U2, Amy Winehouse et Stevie Wonde, r entre autres.</v>
      </c>
      <c r="BN325" s="43"/>
      <c r="BO325" s="43"/>
      <c r="BP325" s="43"/>
      <c r="BQ325" s="43"/>
      <c r="BR325" s="13"/>
      <c r="BS325" s="13"/>
      <c r="BT325" s="13"/>
      <c r="BU325" s="13"/>
      <c r="BV325" s="13"/>
      <c r="BW325" s="13"/>
      <c r="BX325" s="13"/>
      <c r="BY325" s="21"/>
      <c r="BZ325" s="13"/>
      <c r="CA325" s="13"/>
      <c r="CB325" s="13"/>
      <c r="CC325" s="13"/>
      <c r="CD325" s="13"/>
      <c r="CF325" s="4"/>
      <c r="CG325" s="4"/>
    </row>
    <row r="326" spans="3:85">
      <c r="C326" s="42"/>
      <c r="D326" s="42">
        <f>IF(Tableau1[[#This Row],[Isin]]="",99,Tableau1[[#This Row],[Intérêt]]+Tableau1[[#This Row],[Valeur d''intérêt]]+Tableau1[[#This Row],[N° Portefeuille]])</f>
        <v>3</v>
      </c>
      <c r="E326" s="42"/>
      <c r="F326" s="42">
        <f>IF(Tableau1[[#This Row],[Portefeuille]]="p",0,Tableau1[[#This Row],[F. Investissement
Niveau d''intérêt]]*10)</f>
        <v>0</v>
      </c>
      <c r="G326" s="42">
        <f>IF(Tableau1[[#This Row],[Portefeuille]]="p",3,0)</f>
        <v>3</v>
      </c>
      <c r="H326" s="42">
        <v>1</v>
      </c>
      <c r="I326" s="42">
        <v>1</v>
      </c>
      <c r="J326" s="42" t="s">
        <v>4357</v>
      </c>
      <c r="K326" s="43" t="s">
        <v>4362</v>
      </c>
      <c r="L326" s="16">
        <v>1</v>
      </c>
      <c r="M32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6" s="44" t="s">
        <v>1223</v>
      </c>
      <c r="O326" s="44" t="s">
        <v>4395</v>
      </c>
      <c r="P326" s="4" t="s">
        <v>84</v>
      </c>
      <c r="Q326" s="6" t="s">
        <v>85</v>
      </c>
      <c r="R326" s="6"/>
      <c r="S326" s="6" t="s">
        <v>1225</v>
      </c>
      <c r="T326" s="6" t="e" vm="304">
        <v>#VALUE!</v>
      </c>
      <c r="U326" s="46" cm="1">
        <f t="array" aca="1" ref="U326" ca="1">IFERROR(_FV(Tableau1[[#This Row],[Code Excel]],"Capitalisation boursière",TRUE),"")</f>
        <v>2179195000</v>
      </c>
      <c r="V326" s="4" t="str" cm="1">
        <f t="array" aca="1" ref="V326" ca="1">IFERROR(_FV(Tableau1[[#This Row],[Code Excel]],"Industrie"),"")</f>
        <v>Automobiles &amp; Auto Parts</v>
      </c>
      <c r="W326" s="4" t="s">
        <v>1224</v>
      </c>
      <c r="X326" s="4" t="str">
        <f ca="1">Tableau1[[#This Row],[Grand Secteur]]&amp;Tableau1[[#This Row],[Industrie]]</f>
        <v>AutomobileAutomobiles &amp; Auto Parts</v>
      </c>
      <c r="Y326" s="23" cm="1">
        <f t="array" aca="1" ref="Y326" ca="1">IFERROR(_FV(Tableau1[[#This Row],[Code Excel]],"P/E",TRUE),"")</f>
        <v>13.3774</v>
      </c>
      <c r="Z326" s="43" cm="1">
        <f t="array" aca="1" ref="Z326" ca="1">IFERROR(_FV(Tableau1[[#This Row],[Code Excel]],"Employés"),"")</f>
        <v>106100</v>
      </c>
      <c r="AA326" s="46">
        <f ca="1">IFERROR(Tableau1[[#This Row],[Capitalisation boursière]]/Tableau1[[#This Row],[Employés]],"")</f>
        <v>20539.066918001885</v>
      </c>
      <c r="AB326" s="5" t="str">
        <f>IFERROR(Tableau1[[#This Row],[REX (2021)]]/Tableau1[[#This Row],[CA 2024]],"")</f>
        <v/>
      </c>
      <c r="AC326" s="9" t="str">
        <f>IFERROR(_xlfn.XLOOKUP(Tableau1[[#This Row],[Isin]]&amp;1&amp;2021,#REF!,Tableau3[Résultat d''exploitation]),"")</f>
        <v/>
      </c>
      <c r="AD326" s="9" t="str">
        <f>IFERROR(_xlfn.XLOOKUP(Tableau1[[#This Row],[Isin]]&amp;1&amp;2019,#REF!,Tableau3[Chiffre d''affaires]),"")</f>
        <v/>
      </c>
      <c r="AE326" s="9" t="str">
        <f>IFERROR(_xlfn.XLOOKUP(Tableau1[[#This Row],[Isin]]&amp;1&amp;2024,#REF!,Tableau3[Chiffre d''affaires]),"")</f>
        <v/>
      </c>
      <c r="AF326" s="8" t="str">
        <f>IFERROR(IF((Tableau1[[#This Row],[CA 2024]]-Tableau1[[#This Row],[CA 2019]])/Tableau1[[#This Row],[CA 2019]]=-1,"",(Tableau1[[#This Row],[CA 2024]]-Tableau1[[#This Row],[CA 2019]])/Tableau1[[#This Row],[CA 2019]]),"")</f>
        <v/>
      </c>
      <c r="AG326" s="9" t="str">
        <f>IFERROR(_xlfn.XLOOKUP(Tableau1[[#This Row],[Isin]]&amp;1&amp;2021,#REF!,Tableau3[EBE]),"")</f>
        <v/>
      </c>
      <c r="AH326" s="9" t="str">
        <f>IFERROR(_xlfn.XLOOKUP(Tableau1[[#This Row],[Isin]]&amp;1&amp;2022,#REF!,Tableau3[EBE]),"")</f>
        <v/>
      </c>
      <c r="AI326" s="43" t="s">
        <v>4329</v>
      </c>
      <c r="AJ326" s="43" t="s">
        <v>3150</v>
      </c>
      <c r="AK326" s="43" t="s">
        <v>3148</v>
      </c>
      <c r="AL326" s="43" t="s">
        <v>3149</v>
      </c>
      <c r="AM326" s="43"/>
      <c r="AN326" s="9" t="str">
        <f>IFERROR(_xlfn.XLOOKUP(Tableau1[[#This Row],[Isin]]&amp;1&amp;2021,#REF!,Tableau3[Chiffre d''affaires]),"")</f>
        <v/>
      </c>
      <c r="AO326" s="43" cm="1">
        <f t="array" aca="1" ref="AO326" ca="1">_FV(Tableau1[[#This Row],[Code Excel]],"P/E",TRUE)</f>
        <v>13.3774</v>
      </c>
      <c r="AP326" s="43" t="str">
        <f>IFERROR(_xlfn.XLOOKUP(Tableau1[[#This Row],[Isin]]&amp;1&amp;2023,#REF!,Tableau3[Résultat Net (PdG)]),"")</f>
        <v/>
      </c>
      <c r="AQ326" s="43">
        <f>IF(IFERROR(_xlfn.XLOOKUP(Tableau1[[#This Row],[Isin]]&amp;1&amp;2022,#REF!,Tableau3[Résultat Net (PdG)]),"")="",Tableau1[[#This Row],[RN Groupe 2022
Manuel]],IFERROR(_xlfn.XLOOKUP(Tableau1[[#This Row],[Isin]]&amp;1&amp;2022,#REF!,Tableau3[Résultat Net (PdG)]),""))</f>
        <v>0</v>
      </c>
      <c r="AR326" s="43"/>
      <c r="AS326" s="43">
        <f>IF(IFERROR(_xlfn.XLOOKUP(Tableau1[[#This Row],[Isin]]&amp;1&amp;2021,#REF!,Tableau3[Résultat Net (PdG)]),"")="",Tableau1[[#This Row],[RN Groupe 2021
Manuel]],IFERROR(_xlfn.XLOOKUP(Tableau1[[#This Row],[Isin]]&amp;1&amp;2021,#REF!,Tableau3[Résultat Net (PdG)]),""))</f>
        <v>0</v>
      </c>
      <c r="AT326" s="43"/>
      <c r="AU326" s="43" t="str">
        <f>IFERROR(_xlfn.XLOOKUP(Tableau1[[#This Row],[Isin]]&amp;1&amp;2020,#REF!,Tableau3[Résultat Net (PdG)]),"")</f>
        <v/>
      </c>
      <c r="AV326" s="43" t="str">
        <f>IFERROR(_xlfn.XLOOKUP(Tableau1[[#This Row],[Isin]]&amp;1&amp;2019,#REF!,Tableau3[Résultat Net (PdG)]),"")</f>
        <v/>
      </c>
      <c r="AW326" s="43" t="str">
        <f>IFERROR(_xlfn.XLOOKUP(Tableau1[[#This Row],[Isin]]&amp;1&amp;2018,#REF!,Tableau3[Résultat Net (PdG)]),"")</f>
        <v/>
      </c>
      <c r="AX326" s="43" t="str">
        <f>IFERROR(_xlfn.XLOOKUP(Tableau1[[#This Row],[Isin]]&amp;1&amp;2017,#REF!,Tableau3[Résultat Net (PdG)]),"")</f>
        <v/>
      </c>
      <c r="AY326" s="43" t="str">
        <f>IFERROR(_xlfn.XLOOKUP(Tableau1[[#This Row],[Isin]]&amp;1&amp;2016,#REF!,Tableau3[Résultat Net (PdG)]),"")</f>
        <v/>
      </c>
      <c r="AZ326" s="137" t="str">
        <f ca="1">IFERROR(Tableau1[[#This Row],[Capitalisation boursière]]/Tableau1[[#This Row],[RN Groupe 2023]],"")</f>
        <v/>
      </c>
      <c r="BA326" s="4" t="str" cm="1">
        <f t="array" aca="1" ref="BA326" ca="1">IFERROR(_FV(Tableau1[[#This Row],[Code Excel]],"Industrie"),"")</f>
        <v>Automobiles &amp; Auto Parts</v>
      </c>
      <c r="BB326" s="43" t="s">
        <v>3477</v>
      </c>
      <c r="BC326" s="43" t="str">
        <f>IFERROR(_xlfn.XLOOKUP(Tableau1[[#This Row],[Isin]]&amp;1&amp;2016,#REF!,Tableau3[Capi]),"")</f>
        <v/>
      </c>
      <c r="BD326" s="43" t="str">
        <f>IFERROR(_xlfn.XLOOKUP(Tableau1[[#This Row],[Isin]]&amp;1&amp;2017,#REF!,Tableau3[Capi]),"")</f>
        <v/>
      </c>
      <c r="BE326" s="43" t="str">
        <f>IFERROR(_xlfn.XLOOKUP(Tableau1[[#This Row],[Isin]]&amp;1&amp;2018,#REF!,Tableau3[Capi]),"")</f>
        <v/>
      </c>
      <c r="BF326" s="43" t="str">
        <f>IFERROR(_xlfn.XLOOKUP(Tableau1[[#This Row],[Isin]]&amp;1&amp;2019,#REF!,Tableau3[Capi]),"")</f>
        <v/>
      </c>
      <c r="BG326" s="43" t="str">
        <f>IFERROR(_xlfn.XLOOKUP(Tableau1[[#This Row],[Isin]]&amp;1&amp;2020,#REF!,Tableau3[Capi]),"")</f>
        <v/>
      </c>
      <c r="BH326" s="43">
        <f>IF(IFERROR(_xlfn.XLOOKUP(Tableau1[[#This Row],[Isin]]&amp;1&amp;2021,#REF!,Tableau3[Capi]),"")="",Tableau1[[#This Row],[Capitalisation 2021
Manuel]],IFERROR(_xlfn.XLOOKUP(Tableau1[[#This Row],[Isin]]&amp;1&amp;2021,#REF!,Tableau3[Capi]),""))</f>
        <v>0</v>
      </c>
      <c r="BI326" s="43"/>
      <c r="BJ326" s="43">
        <f>IF(IFERROR(_xlfn.XLOOKUP(Tableau1[[#This Row],[Isin]]&amp;1&amp;2022,#REF!,Tableau3[Capi]),"")="",Tableau1[[#This Row],[Capitalisation 2022
Manuel]],IFERROR(_xlfn.XLOOKUP(Tableau1[[#This Row],[Isin]]&amp;1&amp;2022,#REF!,Tableau3[Capi]),""))</f>
        <v>0</v>
      </c>
      <c r="BK326" s="43"/>
      <c r="BL326" s="43">
        <f ca="1">Tableau1[[#This Row],[Capitalisation boursière]]</f>
        <v>2179195000</v>
      </c>
      <c r="BM326" s="162" t="str" cm="1">
        <f t="array" aca="1" ref="BM326" ca="1">_FV(Tableau1[[#This Row],[Code Excel]],"Description")</f>
        <v>Valeo se est un constructeur automobile mondial basé en France. La société est une entreprise technologique qui se concentre sur la conception, la production et la vente de composants, de systèmes intégrés, de modules et de services pour le secteur automobile. Ses segments comprennent les systèmes de confort et d'assistance à la conduite, les systèmes de groupe motopropulseur, les systèmes thermiques et les systèmes de visibilité. Le segment des systèmes de confort et d'aide à la conduite comprend trois groupes de produits, dont l'aide à la conduite, les commandes intérieures et les voitures connectées. Il offre des capteurs intelligents et des fonctionnalités qui améliorent la sécurité du véhicule et un système de conduite automatisé. Le segment des systèmes de groupe motopropulseur comprend quatre groupes de produits, dont les systèmes électriques, les systèmes de transmission, les systèmes de moteurs à combustion et les circuits électroniques. Le segment Thermal Systems comprend cinq groupes de produits, dont le système de climatisation thermique, le groupe motopropulseur thermique, les compresseurs thermiques, le système frontal thermique et le système de bus thermique. Le segment des systèmes de visibilité comprend les systèmes d'éclairage et les systèmes d'essuie-glace.</v>
      </c>
      <c r="BN326" s="43"/>
      <c r="BO326" s="43"/>
      <c r="BP326" s="43"/>
      <c r="BQ326" s="43"/>
      <c r="BR326" s="13"/>
      <c r="BS326" s="13"/>
      <c r="BT326" s="13"/>
      <c r="BU326" s="13"/>
      <c r="BV326" s="13"/>
      <c r="BW326" s="13"/>
      <c r="BX326" s="13"/>
      <c r="BY326" s="21"/>
      <c r="BZ326" s="13"/>
      <c r="CA326" s="13"/>
      <c r="CB326" s="13"/>
      <c r="CC326" s="13"/>
      <c r="CD326" s="13"/>
      <c r="CF326" s="4"/>
      <c r="CG326" s="4"/>
    </row>
    <row r="327" spans="3:85">
      <c r="C327" s="43"/>
      <c r="D327" s="42">
        <f>IF(Tableau1[[#This Row],[Isin]]="",99,Tableau1[[#This Row],[Intérêt]]+Tableau1[[#This Row],[Valeur d''intérêt]]+Tableau1[[#This Row],[N° Portefeuille]])</f>
        <v>30</v>
      </c>
      <c r="E327" s="43"/>
      <c r="F327" s="42">
        <f>IF(Tableau1[[#This Row],[Portefeuille]]="p",0,Tableau1[[#This Row],[F. Investissement
Niveau d''intérêt]]*10)</f>
        <v>30</v>
      </c>
      <c r="G327" s="43">
        <f>IF(Tableau1[[#This Row],[Portefeuille]]="p",3,0)</f>
        <v>0</v>
      </c>
      <c r="H327" s="43">
        <v>3</v>
      </c>
      <c r="I327" s="43">
        <v>4</v>
      </c>
      <c r="J327" s="43"/>
      <c r="K327" s="43"/>
      <c r="L327" s="16">
        <v>0</v>
      </c>
      <c r="M32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7" s="44" t="s">
        <v>4223</v>
      </c>
      <c r="O327" s="45"/>
      <c r="P327" s="4" t="s">
        <v>84</v>
      </c>
      <c r="Q327" s="4"/>
      <c r="R327" s="6"/>
      <c r="S327" s="6" t="s">
        <v>4224</v>
      </c>
      <c r="T327" s="6" t="e" vm="305">
        <v>#VALUE!</v>
      </c>
      <c r="U327" s="46" cm="1">
        <f t="array" aca="1" ref="U327" ca="1">IFERROR(_FV(Tableau1[[#This Row],[Code Excel]],"Capitalisation boursière",TRUE),"")</f>
        <v>4130232000</v>
      </c>
      <c r="V327" s="4" t="str" cm="1">
        <f t="array" aca="1" ref="V327" ca="1">IFERROR(_FV(Tableau1[[#This Row],[Code Excel]],"Industrie"),"")</f>
        <v>Oil &amp; Gas Related Equipment and Services</v>
      </c>
      <c r="W327" s="4" t="s">
        <v>371</v>
      </c>
      <c r="X327" s="4" t="str">
        <f ca="1">Tableau1[[#This Row],[Grand Secteur]]&amp;Tableau1[[#This Row],[Industrie]]</f>
        <v>EnergieOil &amp; Gas Related Equipment and Services</v>
      </c>
      <c r="Y327" s="23" cm="1">
        <f t="array" aca="1" ref="Y327" ca="1">IFERROR(_FV(Tableau1[[#This Row],[Code Excel]],"P/E",TRUE),"")</f>
        <v>8.9863999999999997</v>
      </c>
      <c r="Z327" s="43" cm="1">
        <f t="array" aca="1" ref="Z327" ca="1">IFERROR(_FV(Tableau1[[#This Row],[Code Excel]],"Employés"),"")</f>
        <v>14220</v>
      </c>
      <c r="AA327" s="46">
        <f ca="1">IFERROR(Tableau1[[#This Row],[Capitalisation boursière]]/Tableau1[[#This Row],[Employés]],"")</f>
        <v>290452.3206751055</v>
      </c>
      <c r="AB327" s="5" t="str">
        <f>IFERROR(Tableau1[[#This Row],[REX (2021)]]/Tableau1[[#This Row],[CA 2024]],"")</f>
        <v/>
      </c>
      <c r="AC327" s="9" t="str">
        <f>IFERROR(_xlfn.XLOOKUP(Tableau1[[#This Row],[Isin]]&amp;1&amp;2021,#REF!,Tableau3[Résultat d''exploitation]),"")</f>
        <v/>
      </c>
      <c r="AD327" s="9" t="str">
        <f>IFERROR(_xlfn.XLOOKUP(Tableau1[[#This Row],[Isin]]&amp;1&amp;2019,#REF!,Tableau3[Chiffre d''affaires]),"")</f>
        <v/>
      </c>
      <c r="AE327" s="9" t="str">
        <f>IFERROR(_xlfn.XLOOKUP(Tableau1[[#This Row],[Isin]]&amp;1&amp;2024,#REF!,Tableau3[Chiffre d''affaires]),"")</f>
        <v/>
      </c>
      <c r="AF327" s="8" t="str">
        <f>IFERROR(IF((Tableau1[[#This Row],[CA 2024]]-Tableau1[[#This Row],[CA 2019]])/Tableau1[[#This Row],[CA 2019]]=-1,"",(Tableau1[[#This Row],[CA 2024]]-Tableau1[[#This Row],[CA 2019]])/Tableau1[[#This Row],[CA 2019]]),"")</f>
        <v/>
      </c>
      <c r="AG327" s="9" t="str">
        <f>IFERROR(_xlfn.XLOOKUP(Tableau1[[#This Row],[Isin]]&amp;1&amp;2021,#REF!,Tableau3[EBE]),"")</f>
        <v/>
      </c>
      <c r="AH327" s="9" t="str">
        <f>IFERROR(_xlfn.XLOOKUP(Tableau1[[#This Row],[Isin]]&amp;1&amp;2022,#REF!,Tableau3[EBE]),"")</f>
        <v/>
      </c>
      <c r="AI327" s="43" t="s">
        <v>4343</v>
      </c>
      <c r="AJ327" s="43" t="s">
        <v>3150</v>
      </c>
      <c r="AK327" s="43" t="s">
        <v>3419</v>
      </c>
      <c r="AL327" s="43"/>
      <c r="AM327" s="43"/>
      <c r="AN327" s="9" t="str">
        <f>IFERROR(_xlfn.XLOOKUP(Tableau1[[#This Row],[Isin]]&amp;1&amp;2021,#REF!,Tableau3[Chiffre d''affaires]),"")</f>
        <v/>
      </c>
      <c r="AO327" s="43" cm="1">
        <f t="array" aca="1" ref="AO327" ca="1">_FV(Tableau1[[#This Row],[Code Excel]],"P/E",TRUE)</f>
        <v>8.9863999999999997</v>
      </c>
      <c r="AP327" s="43" t="str">
        <f>IFERROR(_xlfn.XLOOKUP(Tableau1[[#This Row],[Isin]]&amp;1&amp;2023,#REF!,Tableau3[Résultat Net (PdG)]),"")</f>
        <v/>
      </c>
      <c r="AQ327" s="43">
        <f>IF(IFERROR(_xlfn.XLOOKUP(Tableau1[[#This Row],[Isin]]&amp;1&amp;2022,#REF!,Tableau3[Résultat Net (PdG)]),"")="",Tableau1[[#This Row],[RN Groupe 2022
Manuel]],IFERROR(_xlfn.XLOOKUP(Tableau1[[#This Row],[Isin]]&amp;1&amp;2022,#REF!,Tableau3[Résultat Net (PdG)]),""))</f>
        <v>0</v>
      </c>
      <c r="AR327" s="43"/>
      <c r="AS327" s="43">
        <f>IF(IFERROR(_xlfn.XLOOKUP(Tableau1[[#This Row],[Isin]]&amp;1&amp;2021,#REF!,Tableau3[Résultat Net (PdG)]),"")="",Tableau1[[#This Row],[RN Groupe 2021
Manuel]],IFERROR(_xlfn.XLOOKUP(Tableau1[[#This Row],[Isin]]&amp;1&amp;2021,#REF!,Tableau3[Résultat Net (PdG)]),""))</f>
        <v>0</v>
      </c>
      <c r="AT327" s="43"/>
      <c r="AU327" s="43" t="str">
        <f>IFERROR(_xlfn.XLOOKUP(Tableau1[[#This Row],[Isin]]&amp;1&amp;2020,#REF!,Tableau3[Résultat Net (PdG)]),"")</f>
        <v/>
      </c>
      <c r="AV327" s="43" t="str">
        <f>IFERROR(_xlfn.XLOOKUP(Tableau1[[#This Row],[Isin]]&amp;1&amp;2019,#REF!,Tableau3[Résultat Net (PdG)]),"")</f>
        <v/>
      </c>
      <c r="AW327" s="43" t="str">
        <f>IFERROR(_xlfn.XLOOKUP(Tableau1[[#This Row],[Isin]]&amp;1&amp;2018,#REF!,Tableau3[Résultat Net (PdG)]),"")</f>
        <v/>
      </c>
      <c r="AX327" s="43" t="str">
        <f>IFERROR(_xlfn.XLOOKUP(Tableau1[[#This Row],[Isin]]&amp;1&amp;2017,#REF!,Tableau3[Résultat Net (PdG)]),"")</f>
        <v/>
      </c>
      <c r="AY327" s="43" t="str">
        <f>IFERROR(_xlfn.XLOOKUP(Tableau1[[#This Row],[Isin]]&amp;1&amp;2016,#REF!,Tableau3[Résultat Net (PdG)]),"")</f>
        <v/>
      </c>
      <c r="AZ327" s="137" t="str">
        <f ca="1">IFERROR(Tableau1[[#This Row],[Capitalisation boursière]]/Tableau1[[#This Row],[RN Groupe 2023]],"")</f>
        <v/>
      </c>
      <c r="BA327" s="4" t="s">
        <v>371</v>
      </c>
      <c r="BB327" s="43" t="s">
        <v>3477</v>
      </c>
      <c r="BC327" s="43" t="str">
        <f>IFERROR(_xlfn.XLOOKUP(Tableau1[[#This Row],[Isin]]&amp;1&amp;2016,#REF!,Tableau3[Capi]),"")</f>
        <v/>
      </c>
      <c r="BD327" s="43" t="str">
        <f>IFERROR(_xlfn.XLOOKUP(Tableau1[[#This Row],[Isin]]&amp;1&amp;2017,#REF!,Tableau3[Capi]),"")</f>
        <v/>
      </c>
      <c r="BE327" s="43" t="str">
        <f>IFERROR(_xlfn.XLOOKUP(Tableau1[[#This Row],[Isin]]&amp;1&amp;2018,#REF!,Tableau3[Capi]),"")</f>
        <v/>
      </c>
      <c r="BF327" s="43" t="str">
        <f>IFERROR(_xlfn.XLOOKUP(Tableau1[[#This Row],[Isin]]&amp;1&amp;2019,#REF!,Tableau3[Capi]),"")</f>
        <v/>
      </c>
      <c r="BG327" s="43" t="str">
        <f>IFERROR(_xlfn.XLOOKUP(Tableau1[[#This Row],[Isin]]&amp;1&amp;2020,#REF!,Tableau3[Capi]),"")</f>
        <v/>
      </c>
      <c r="BH327" s="43">
        <f>IF(IFERROR(_xlfn.XLOOKUP(Tableau1[[#This Row],[Isin]]&amp;1&amp;2021,#REF!,Tableau3[Capi]),"")="",Tableau1[[#This Row],[Capitalisation 2021
Manuel]],IFERROR(_xlfn.XLOOKUP(Tableau1[[#This Row],[Isin]]&amp;1&amp;2021,#REF!,Tableau3[Capi]),""))</f>
        <v>0</v>
      </c>
      <c r="BI327" s="43"/>
      <c r="BJ327" s="43">
        <f>IF(IFERROR(_xlfn.XLOOKUP(Tableau1[[#This Row],[Isin]]&amp;1&amp;2022,#REF!,Tableau3[Capi]),"")="",Tableau1[[#This Row],[Capitalisation 2022
Manuel]],IFERROR(_xlfn.XLOOKUP(Tableau1[[#This Row],[Isin]]&amp;1&amp;2022,#REF!,Tableau3[Capi]),""))</f>
        <v>0</v>
      </c>
      <c r="BK327" s="43"/>
      <c r="BL327" s="43">
        <f ca="1">Tableau1[[#This Row],[Capitalisation boursière]]</f>
        <v>4130232000</v>
      </c>
      <c r="BM327" s="162" t="str" cm="1">
        <f t="array" aca="1" ref="BM327" ca="1">_FV(Tableau1[[#This Row],[Code Excel]],"Description")</f>
        <v>Vallourec sa est une société française spécialisée dans la production de tubes en acier non soudés et de produits tubulaires spécialisés pour applications industrielles. La Société opère dans deux segments : les tubes sans soudure et les produits spécialisés. Elle conçoit et développe une gamme complète de produits comprenant des tubes sans soudure et des raccords pour les opérations de forage, les tuyaux de canalisation et les équipements de puits. Pour le marché de la production d'énergie, il propose des tubes qui résistent à des conditions de température et de pression sévères. Ses solutions permettent aux compagnies d'électricité de relever les défis de l'efficacité énergétique et de réduire les émissions de CO2 dans les centrales électriques. Elle propose également une large gamme de tubes pour les installations pétrochimiques (raffineries), pour les applications mécaniques (vérins hydrauliques et machines-outils), pour l'industrie automobile, pour la construction (stades, autres bâtiments et structures complexes) et pour divers autres secteurs industriels.</v>
      </c>
      <c r="BN327" s="43"/>
      <c r="BO327" s="43"/>
      <c r="BP327" s="43"/>
      <c r="BQ327" s="43"/>
      <c r="BR327" s="13"/>
      <c r="BS327" s="13"/>
      <c r="BT327" s="13"/>
      <c r="BU327" s="13"/>
      <c r="BV327" s="13"/>
      <c r="BW327" s="13"/>
      <c r="BX327" s="13"/>
      <c r="BY327" s="21"/>
      <c r="BZ327" s="13"/>
      <c r="CA327" s="13"/>
      <c r="CB327" s="13"/>
      <c r="CC327" s="13"/>
      <c r="CD327" s="13"/>
      <c r="CF327" s="4"/>
      <c r="CG327" s="4"/>
    </row>
    <row r="328" spans="3:85">
      <c r="C328" s="42"/>
      <c r="D328" s="42">
        <f>IF(Tableau1[[#This Row],[Isin]]="",99,Tableau1[[#This Row],[Intérêt]]+Tableau1[[#This Row],[Valeur d''intérêt]]+Tableau1[[#This Row],[N° Portefeuille]])</f>
        <v>30</v>
      </c>
      <c r="E328" s="42"/>
      <c r="F328" s="42">
        <f>IF(Tableau1[[#This Row],[Portefeuille]]="p",0,Tableau1[[#This Row],[F. Investissement
Niveau d''intérêt]]*10)</f>
        <v>30</v>
      </c>
      <c r="G328" s="42">
        <f>IF(Tableau1[[#This Row],[Portefeuille]]="p",3,0)</f>
        <v>0</v>
      </c>
      <c r="H328" s="42">
        <v>3</v>
      </c>
      <c r="I328" s="42">
        <v>4</v>
      </c>
      <c r="J328" s="42"/>
      <c r="K328" s="43"/>
      <c r="L328" s="16">
        <v>0</v>
      </c>
      <c r="M32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8" s="44" t="s">
        <v>4226</v>
      </c>
      <c r="O328" s="45"/>
      <c r="P328" s="4" t="s">
        <v>84</v>
      </c>
      <c r="Q328" s="4"/>
      <c r="R328" s="6"/>
      <c r="S328" s="6" t="s">
        <v>4227</v>
      </c>
      <c r="T328" s="6" t="e" vm="306">
        <v>#VALUE!</v>
      </c>
      <c r="U328" s="46" cm="1">
        <f t="array" aca="1" ref="U328" ca="1">IFERROR(_FV(Tableau1[[#This Row],[Code Excel]],"Capitalisation boursière",TRUE),"")</f>
        <v>532420500</v>
      </c>
      <c r="V328" s="4" t="str" cm="1">
        <f t="array" aca="1" ref="V328" ca="1">IFERROR(_FV(Tableau1[[#This Row],[Code Excel]],"Industrie"),"")</f>
        <v>Biotechnology &amp; Medical Research</v>
      </c>
      <c r="W328" s="4" t="s">
        <v>1586</v>
      </c>
      <c r="X328" s="4" t="str">
        <f ca="1">Tableau1[[#This Row],[Grand Secteur]]&amp;Tableau1[[#This Row],[Industrie]]</f>
        <v>SantéBiotechnology &amp; Medical Research</v>
      </c>
      <c r="Y328" s="23" t="str" cm="1">
        <f t="array" ref="Y328">IFERROR(_FV(Tableau1[[#This Row],[Code Excel]],"P/E",TRUE),"")</f>
        <v/>
      </c>
      <c r="Z328" s="43" cm="1">
        <f t="array" aca="1" ref="Z328" ca="1">IFERROR(_FV(Tableau1[[#This Row],[Code Excel]],"Employés"),"")</f>
        <v>695</v>
      </c>
      <c r="AA328" s="49">
        <f ca="1">IFERROR(Tableau1[[#This Row],[Capitalisation boursière]]/Tableau1[[#This Row],[Employés]],"")</f>
        <v>766072.66187050357</v>
      </c>
      <c r="AB328" s="5" t="str">
        <f>IFERROR(Tableau1[[#This Row],[REX (2021)]]/Tableau1[[#This Row],[CA 2024]],"")</f>
        <v/>
      </c>
      <c r="AC328" s="9" t="str">
        <f>IFERROR(_xlfn.XLOOKUP(Tableau1[[#This Row],[Isin]]&amp;1&amp;2021,#REF!,Tableau3[Résultat d''exploitation]),"")</f>
        <v/>
      </c>
      <c r="AD328" s="9" t="str">
        <f>IFERROR(_xlfn.XLOOKUP(Tableau1[[#This Row],[Isin]]&amp;1&amp;2019,#REF!,Tableau3[Chiffre d''affaires]),"")</f>
        <v/>
      </c>
      <c r="AE328" s="9" t="str">
        <f>IFERROR(_xlfn.XLOOKUP(Tableau1[[#This Row],[Isin]]&amp;1&amp;2024,#REF!,Tableau3[Chiffre d''affaires]),"")</f>
        <v/>
      </c>
      <c r="AF328" s="8" t="str">
        <f>IFERROR(IF((Tableau1[[#This Row],[CA 2024]]-Tableau1[[#This Row],[CA 2019]])/Tableau1[[#This Row],[CA 2019]]=-1,"",(Tableau1[[#This Row],[CA 2024]]-Tableau1[[#This Row],[CA 2019]])/Tableau1[[#This Row],[CA 2019]]),"")</f>
        <v/>
      </c>
      <c r="AG328" s="9" t="str">
        <f>IFERROR(_xlfn.XLOOKUP(Tableau1[[#This Row],[Isin]]&amp;1&amp;2021,#REF!,Tableau3[EBE]),"")</f>
        <v/>
      </c>
      <c r="AH328" s="9" t="str">
        <f>IFERROR(_xlfn.XLOOKUP(Tableau1[[#This Row],[Isin]]&amp;1&amp;2022,#REF!,Tableau3[EBE]),"")</f>
        <v/>
      </c>
      <c r="AI328" s="13" t="s">
        <v>4324</v>
      </c>
      <c r="AJ328" s="13" t="s">
        <v>4325</v>
      </c>
      <c r="AK328" s="13" t="s">
        <v>3148</v>
      </c>
      <c r="AL328" s="43"/>
      <c r="AM328" s="43"/>
      <c r="AN328" s="9" t="str">
        <f>IFERROR(_xlfn.XLOOKUP(Tableau1[[#This Row],[Isin]]&amp;1&amp;2021,#REF!,Tableau3[Chiffre d''affaires]),"")</f>
        <v/>
      </c>
      <c r="AO328" s="43" t="e" cm="1" vm="1">
        <f t="array" ref="AO328">_FV(Tableau1[[#This Row],[Code Excel]],"P/E",TRUE)</f>
        <v>#VALUE!</v>
      </c>
      <c r="AP328" s="43" t="str">
        <f>IFERROR(_xlfn.XLOOKUP(Tableau1[[#This Row],[Isin]]&amp;1&amp;2023,#REF!,Tableau3[Résultat Net (PdG)]),"")</f>
        <v/>
      </c>
      <c r="AQ328" s="43">
        <f>IF(IFERROR(_xlfn.XLOOKUP(Tableau1[[#This Row],[Isin]]&amp;1&amp;2022,#REF!,Tableau3[Résultat Net (PdG)]),"")="",Tableau1[[#This Row],[RN Groupe 2022
Manuel]],IFERROR(_xlfn.XLOOKUP(Tableau1[[#This Row],[Isin]]&amp;1&amp;2022,#REF!,Tableau3[Résultat Net (PdG)]),""))</f>
        <v>0</v>
      </c>
      <c r="AR328" s="43"/>
      <c r="AS328" s="43">
        <f>IF(IFERROR(_xlfn.XLOOKUP(Tableau1[[#This Row],[Isin]]&amp;1&amp;2021,#REF!,Tableau3[Résultat Net (PdG)]),"")="",Tableau1[[#This Row],[RN Groupe 2021
Manuel]],IFERROR(_xlfn.XLOOKUP(Tableau1[[#This Row],[Isin]]&amp;1&amp;2021,#REF!,Tableau3[Résultat Net (PdG)]),""))</f>
        <v>0</v>
      </c>
      <c r="AT328" s="43"/>
      <c r="AU328" s="43" t="str">
        <f>IFERROR(_xlfn.XLOOKUP(Tableau1[[#This Row],[Isin]]&amp;1&amp;2020,#REF!,Tableau3[Résultat Net (PdG)]),"")</f>
        <v/>
      </c>
      <c r="AV328" s="43" t="str">
        <f>IFERROR(_xlfn.XLOOKUP(Tableau1[[#This Row],[Isin]]&amp;1&amp;2019,#REF!,Tableau3[Résultat Net (PdG)]),"")</f>
        <v/>
      </c>
      <c r="AW328" s="43" t="str">
        <f>IFERROR(_xlfn.XLOOKUP(Tableau1[[#This Row],[Isin]]&amp;1&amp;2018,#REF!,Tableau3[Résultat Net (PdG)]),"")</f>
        <v/>
      </c>
      <c r="AX328" s="43" t="str">
        <f>IFERROR(_xlfn.XLOOKUP(Tableau1[[#This Row],[Isin]]&amp;1&amp;2017,#REF!,Tableau3[Résultat Net (PdG)]),"")</f>
        <v/>
      </c>
      <c r="AY328" s="43" t="str">
        <f>IFERROR(_xlfn.XLOOKUP(Tableau1[[#This Row],[Isin]]&amp;1&amp;2016,#REF!,Tableau3[Résultat Net (PdG)]),"")</f>
        <v/>
      </c>
      <c r="AZ328" s="137" t="str">
        <f ca="1">IFERROR(Tableau1[[#This Row],[Capitalisation boursière]]/Tableau1[[#This Row],[RN Groupe 2023]],"")</f>
        <v/>
      </c>
      <c r="BA328" s="4" t="str" cm="1">
        <f t="array" aca="1" ref="BA328" ca="1">IFERROR(_FV(Tableau1[[#This Row],[Code Excel]],"Industrie"),"")</f>
        <v>Biotechnology &amp; Medical Research</v>
      </c>
      <c r="BB328" s="43" t="s">
        <v>3477</v>
      </c>
      <c r="BC328" s="43" t="str">
        <f>IFERROR(_xlfn.XLOOKUP(Tableau1[[#This Row],[Isin]]&amp;1&amp;2016,#REF!,Tableau3[Capi]),"")</f>
        <v/>
      </c>
      <c r="BD328" s="43" t="str">
        <f>IFERROR(_xlfn.XLOOKUP(Tableau1[[#This Row],[Isin]]&amp;1&amp;2017,#REF!,Tableau3[Capi]),"")</f>
        <v/>
      </c>
      <c r="BE328" s="43" t="str">
        <f>IFERROR(_xlfn.XLOOKUP(Tableau1[[#This Row],[Isin]]&amp;1&amp;2018,#REF!,Tableau3[Capi]),"")</f>
        <v/>
      </c>
      <c r="BF328" s="43" t="str">
        <f>IFERROR(_xlfn.XLOOKUP(Tableau1[[#This Row],[Isin]]&amp;1&amp;2019,#REF!,Tableau3[Capi]),"")</f>
        <v/>
      </c>
      <c r="BG328" s="43" t="str">
        <f>IFERROR(_xlfn.XLOOKUP(Tableau1[[#This Row],[Isin]]&amp;1&amp;2020,#REF!,Tableau3[Capi]),"")</f>
        <v/>
      </c>
      <c r="BH328" s="43">
        <f>IF(IFERROR(_xlfn.XLOOKUP(Tableau1[[#This Row],[Isin]]&amp;1&amp;2021,#REF!,Tableau3[Capi]),"")="",Tableau1[[#This Row],[Capitalisation 2021
Manuel]],IFERROR(_xlfn.XLOOKUP(Tableau1[[#This Row],[Isin]]&amp;1&amp;2021,#REF!,Tableau3[Capi]),""))</f>
        <v>0</v>
      </c>
      <c r="BI328" s="43"/>
      <c r="BJ328" s="43">
        <f>IF(IFERROR(_xlfn.XLOOKUP(Tableau1[[#This Row],[Isin]]&amp;1&amp;2022,#REF!,Tableau3[Capi]),"")="",Tableau1[[#This Row],[Capitalisation 2022
Manuel]],IFERROR(_xlfn.XLOOKUP(Tableau1[[#This Row],[Isin]]&amp;1&amp;2022,#REF!,Tableau3[Capi]),""))</f>
        <v>0</v>
      </c>
      <c r="BK328" s="43"/>
      <c r="BL328" s="43">
        <f ca="1">Tableau1[[#This Row],[Capitalisation boursière]]</f>
        <v>532420500</v>
      </c>
      <c r="BM328" s="162" t="str" cm="1">
        <f t="array" aca="1" ref="BM328" ca="1">_FV(Tableau1[[#This Row],[Code Excel]],"Description")</f>
        <v>Valneva SE est une société basée en France spécialisée dans le développement, la fabrication et la commercialisation de vaccins pour protéger les personnes contre les maladies infectieuses grâce à la médecine préventive. Le portefeuille de la Société comprend deux vaccins commerciaux pour les voyageurs : IXIARO/JESPECT, pour la prévention de l'encéphalite japonaise, et DUKORAL, qui est indiqué pour la prévention du choléra et, dans certains pays, la prévention de la diarrhée causée par l'Escherichia coli entérotoxinogène (ETEC). La Société a également des vaccins en développement, notamment des candidats contre la maladie de Lyme, le COVID-19 et le chikungunya. Son segment technologies et services coopère avec différentes sociétés pharmaceutiques utilisant sa plateforme : lignée cellulaire de production de vaccin EB66 et adjuvant IC31. La Société se concentre sur les programmes de recherche et développement (R&amp;D) et détient des investissements dans des produits candidats et des produits commerciaux.</v>
      </c>
      <c r="BN328" s="43"/>
      <c r="BO328" s="43"/>
      <c r="BP328" s="43"/>
      <c r="BQ328" s="43"/>
      <c r="BR328" s="21"/>
      <c r="BS328" s="13"/>
      <c r="BT328" s="13"/>
      <c r="BU328" s="13"/>
      <c r="BV328" s="13"/>
      <c r="BW328" s="13"/>
      <c r="BY328" s="4"/>
      <c r="BZ328" s="4"/>
    </row>
    <row r="329" spans="3:85">
      <c r="C329" s="43"/>
      <c r="D329" s="42">
        <f>IF(Tableau1[[#This Row],[Isin]]="",99,Tableau1[[#This Row],[Intérêt]]+Tableau1[[#This Row],[Valeur d''intérêt]]+Tableau1[[#This Row],[N° Portefeuille]])</f>
        <v>30</v>
      </c>
      <c r="E329" s="43"/>
      <c r="F329" s="42">
        <f>IF(Tableau1[[#This Row],[Portefeuille]]="p",0,Tableau1[[#This Row],[F. Investissement
Niveau d''intérêt]]*10)</f>
        <v>30</v>
      </c>
      <c r="G329" s="43">
        <f>IF(Tableau1[[#This Row],[Portefeuille]]="p",3,0)</f>
        <v>0</v>
      </c>
      <c r="H329" s="43">
        <v>3</v>
      </c>
      <c r="I329" s="43">
        <v>4</v>
      </c>
      <c r="J329" s="43"/>
      <c r="K329" s="43"/>
      <c r="L329" s="16">
        <v>1</v>
      </c>
      <c r="M32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29" s="44" t="s">
        <v>4434</v>
      </c>
      <c r="O329" s="44" t="s">
        <v>4435</v>
      </c>
      <c r="P329" s="4" t="s">
        <v>382</v>
      </c>
      <c r="Q329" s="6" t="s">
        <v>383</v>
      </c>
      <c r="R329" s="6" t="s">
        <v>1584</v>
      </c>
      <c r="S329" s="6" t="s">
        <v>819</v>
      </c>
      <c r="T329" s="6"/>
      <c r="U329" s="51" t="str" cm="1">
        <f t="array" ref="U329">IFERROR(_FV(Tableau1[[#This Row],[Code Excel]],"Capitalisation boursière",TRUE),"")</f>
        <v/>
      </c>
      <c r="V329" s="4" t="str" cm="1">
        <f t="array" ref="V329">IFERROR(_FV(Tableau1[[#This Row],[Code Excel]],"Industrie"),"")</f>
        <v/>
      </c>
      <c r="W329" s="4"/>
      <c r="X329" s="4" t="str">
        <f>Tableau1[[#This Row],[Grand Secteur]]&amp;Tableau1[[#This Row],[Industrie]]</f>
        <v/>
      </c>
      <c r="Y329" s="23" t="str" cm="1">
        <f t="array" ref="Y329">IFERROR(_FV(Tableau1[[#This Row],[Code Excel]],"P/E",TRUE),"")</f>
        <v/>
      </c>
      <c r="Z329" s="43" t="str" cm="1">
        <f t="array" ref="Z329">IFERROR(_FV(Tableau1[[#This Row],[Code Excel]],"Employés"),"")</f>
        <v/>
      </c>
      <c r="AA329" s="49" t="str">
        <f>IFERROR(Tableau1[[#This Row],[Capitalisation boursière]]/Tableau1[[#This Row],[Employés]],"")</f>
        <v/>
      </c>
      <c r="AB329" s="5" t="str">
        <f>IFERROR(Tableau1[[#This Row],[REX (2021)]]/Tableau1[[#This Row],[CA 2024]],"")</f>
        <v/>
      </c>
      <c r="AC329" s="9" t="str">
        <f>IFERROR(_xlfn.XLOOKUP(Tableau1[[#This Row],[Isin]]&amp;1&amp;2021,#REF!,Tableau3[Résultat d''exploitation]),"")</f>
        <v/>
      </c>
      <c r="AD329" s="9" t="str">
        <f>IFERROR(_xlfn.XLOOKUP(Tableau1[[#This Row],[Isin]]&amp;1&amp;2019,#REF!,Tableau3[Chiffre d''affaires]),"")</f>
        <v/>
      </c>
      <c r="AE329" s="9" t="str">
        <f>IFERROR(_xlfn.XLOOKUP(Tableau1[[#This Row],[Isin]]&amp;1&amp;2024,#REF!,Tableau3[Chiffre d''affaires]),"")</f>
        <v/>
      </c>
      <c r="AF329" s="8" t="str">
        <f>IFERROR(IF((Tableau1[[#This Row],[CA 2024]]-Tableau1[[#This Row],[CA 2019]])/Tableau1[[#This Row],[CA 2019]]=-1,"",(Tableau1[[#This Row],[CA 2024]]-Tableau1[[#This Row],[CA 2019]])/Tableau1[[#This Row],[CA 2019]]),"")</f>
        <v/>
      </c>
      <c r="AG329" s="9" t="str">
        <f>IFERROR(_xlfn.XLOOKUP(Tableau1[[#This Row],[Isin]]&amp;1&amp;2021,#REF!,Tableau3[EBE]),"")</f>
        <v/>
      </c>
      <c r="AH329" s="9" t="str">
        <f>IFERROR(_xlfn.XLOOKUP(Tableau1[[#This Row],[Isin]]&amp;1&amp;2022,#REF!,Tableau3[EBE]),"")</f>
        <v/>
      </c>
      <c r="AI329" s="43"/>
      <c r="AJ329" s="43"/>
      <c r="AK329" s="43"/>
      <c r="AL329" s="43"/>
      <c r="AM329" s="43"/>
      <c r="AN329" s="9" t="str">
        <f>IFERROR(_xlfn.XLOOKUP(Tableau1[[#This Row],[Isin]]&amp;1&amp;2021,#REF!,Tableau3[Chiffre d''affaires]),"")</f>
        <v/>
      </c>
      <c r="AO329" s="43" t="e" cm="1" vm="1">
        <f t="array" ref="AO329">_FV(Tableau1[[#This Row],[Code Excel]],"P/E",TRUE)</f>
        <v>#VALUE!</v>
      </c>
      <c r="AP329" s="43" t="str">
        <f>IFERROR(_xlfn.XLOOKUP(Tableau1[[#This Row],[Isin]]&amp;1&amp;2023,#REF!,Tableau3[Résultat Net (PdG)]),"")</f>
        <v/>
      </c>
      <c r="AQ329" s="43">
        <f>IF(IFERROR(_xlfn.XLOOKUP(Tableau1[[#This Row],[Isin]]&amp;1&amp;2022,#REF!,Tableau3[Résultat Net (PdG)]),"")="",Tableau1[[#This Row],[RN Groupe 2022
Manuel]],IFERROR(_xlfn.XLOOKUP(Tableau1[[#This Row],[Isin]]&amp;1&amp;2022,#REF!,Tableau3[Résultat Net (PdG)]),""))</f>
        <v>0</v>
      </c>
      <c r="AR329" s="43"/>
      <c r="AS329" s="43">
        <f>IF(IFERROR(_xlfn.XLOOKUP(Tableau1[[#This Row],[Isin]]&amp;1&amp;2021,#REF!,Tableau3[Résultat Net (PdG)]),"")="",Tableau1[[#This Row],[RN Groupe 2021
Manuel]],IFERROR(_xlfn.XLOOKUP(Tableau1[[#This Row],[Isin]]&amp;1&amp;2021,#REF!,Tableau3[Résultat Net (PdG)]),""))</f>
        <v>0</v>
      </c>
      <c r="AT329" s="43"/>
      <c r="AU329" s="43" t="str">
        <f>IFERROR(_xlfn.XLOOKUP(Tableau1[[#This Row],[Isin]]&amp;1&amp;2020,#REF!,Tableau3[Résultat Net (PdG)]),"")</f>
        <v/>
      </c>
      <c r="AV329" s="43" t="str">
        <f>IFERROR(_xlfn.XLOOKUP(Tableau1[[#This Row],[Isin]]&amp;1&amp;2019,#REF!,Tableau3[Résultat Net (PdG)]),"")</f>
        <v/>
      </c>
      <c r="AW329" s="43" t="str">
        <f>IFERROR(_xlfn.XLOOKUP(Tableau1[[#This Row],[Isin]]&amp;1&amp;2018,#REF!,Tableau3[Résultat Net (PdG)]),"")</f>
        <v/>
      </c>
      <c r="AX329" s="43" t="str">
        <f>IFERROR(_xlfn.XLOOKUP(Tableau1[[#This Row],[Isin]]&amp;1&amp;2017,#REF!,Tableau3[Résultat Net (PdG)]),"")</f>
        <v/>
      </c>
      <c r="AY329" s="43" t="str">
        <f>IFERROR(_xlfn.XLOOKUP(Tableau1[[#This Row],[Isin]]&amp;1&amp;2016,#REF!,Tableau3[Résultat Net (PdG)]),"")</f>
        <v/>
      </c>
      <c r="AZ329" s="137" t="str">
        <f>IFERROR(Tableau1[[#This Row],[Capitalisation boursière]]/Tableau1[[#This Row],[RN Groupe 2023]],"")</f>
        <v/>
      </c>
      <c r="BA329" s="4" t="str" cm="1">
        <f t="array" ref="BA329">IFERROR(_FV(Tableau1[[#This Row],[Code Excel]],"Industrie"),"")</f>
        <v/>
      </c>
      <c r="BB329" s="43" t="e">
        <v>#N/A</v>
      </c>
      <c r="BC329" s="43" t="str">
        <f>IFERROR(_xlfn.XLOOKUP(Tableau1[[#This Row],[Isin]]&amp;1&amp;2016,#REF!,Tableau3[Capi]),"")</f>
        <v/>
      </c>
      <c r="BD329" s="43" t="str">
        <f>IFERROR(_xlfn.XLOOKUP(Tableau1[[#This Row],[Isin]]&amp;1&amp;2017,#REF!,Tableau3[Capi]),"")</f>
        <v/>
      </c>
      <c r="BE329" s="43" t="str">
        <f>IFERROR(_xlfn.XLOOKUP(Tableau1[[#This Row],[Isin]]&amp;1&amp;2018,#REF!,Tableau3[Capi]),"")</f>
        <v/>
      </c>
      <c r="BF329" s="43" t="str">
        <f>IFERROR(_xlfn.XLOOKUP(Tableau1[[#This Row],[Isin]]&amp;1&amp;2019,#REF!,Tableau3[Capi]),"")</f>
        <v/>
      </c>
      <c r="BG329" s="43" t="str">
        <f>IFERROR(_xlfn.XLOOKUP(Tableau1[[#This Row],[Isin]]&amp;1&amp;2020,#REF!,Tableau3[Capi]),"")</f>
        <v/>
      </c>
      <c r="BH329" s="43">
        <f>IF(IFERROR(_xlfn.XLOOKUP(Tableau1[[#This Row],[Isin]]&amp;1&amp;2021,#REF!,Tableau3[Capi]),"")="",Tableau1[[#This Row],[Capitalisation 2021
Manuel]],IFERROR(_xlfn.XLOOKUP(Tableau1[[#This Row],[Isin]]&amp;1&amp;2021,#REF!,Tableau3[Capi]),""))</f>
        <v>0</v>
      </c>
      <c r="BI329" s="43"/>
      <c r="BJ329" s="43">
        <f>IF(IFERROR(_xlfn.XLOOKUP(Tableau1[[#This Row],[Isin]]&amp;1&amp;2022,#REF!,Tableau3[Capi]),"")="",Tableau1[[#This Row],[Capitalisation 2022
Manuel]],IFERROR(_xlfn.XLOOKUP(Tableau1[[#This Row],[Isin]]&amp;1&amp;2022,#REF!,Tableau3[Capi]),""))</f>
        <v>0</v>
      </c>
      <c r="BK329" s="43"/>
      <c r="BL329" s="43" t="str">
        <f>Tableau1[[#This Row],[Capitalisation boursière]]</f>
        <v/>
      </c>
      <c r="BM329" s="162" t="e" cm="1" vm="2">
        <f t="array" ref="BM329">_FV(Tableau1[[#This Row],[Code Excel]],"Description")</f>
        <v>#VALUE!</v>
      </c>
      <c r="BN329" s="43"/>
      <c r="BO329" s="43"/>
      <c r="BP329" s="43"/>
      <c r="BQ329" s="43"/>
      <c r="BR329" s="21"/>
      <c r="BS329" s="13"/>
      <c r="BT329" s="13"/>
      <c r="BU329" s="13"/>
      <c r="BV329" s="13"/>
      <c r="BW329" s="13"/>
      <c r="BY329" s="4"/>
      <c r="BZ329" s="4"/>
    </row>
    <row r="330" spans="3:85">
      <c r="C330" s="42"/>
      <c r="D330" s="42">
        <f>IF(Tableau1[[#This Row],[Isin]]="",99,Tableau1[[#This Row],[Intérêt]]+Tableau1[[#This Row],[Valeur d''intérêt]]+Tableau1[[#This Row],[N° Portefeuille]])</f>
        <v>20</v>
      </c>
      <c r="E330" s="43"/>
      <c r="F330" s="42">
        <f>IF(Tableau1[[#This Row],[Portefeuille]]="p",0,Tableau1[[#This Row],[F. Investissement
Niveau d''intérêt]]*10)</f>
        <v>20</v>
      </c>
      <c r="G330" s="43">
        <f>IF(Tableau1[[#This Row],[Portefeuille]]="p",3,0)</f>
        <v>0</v>
      </c>
      <c r="H330" s="42">
        <v>2</v>
      </c>
      <c r="I330" s="43">
        <v>2</v>
      </c>
      <c r="J330" s="42"/>
      <c r="K330" s="43"/>
      <c r="L330" s="16">
        <v>1</v>
      </c>
      <c r="M33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0" s="44" t="s">
        <v>3424</v>
      </c>
      <c r="O330" s="44" t="s">
        <v>4436</v>
      </c>
      <c r="P330" s="4" t="s">
        <v>84</v>
      </c>
      <c r="Q330" s="6" t="s">
        <v>85</v>
      </c>
      <c r="R330" s="6"/>
      <c r="S330" s="6" t="s">
        <v>343</v>
      </c>
      <c r="T330" s="6" t="e" vm="307">
        <v>#VALUE!</v>
      </c>
      <c r="U330" s="46" cm="1">
        <f t="array" aca="1" ref="U330" ca="1">IFERROR(_FV(Tableau1[[#This Row],[Code Excel]],"Capitalisation boursière",TRUE),"")</f>
        <v>23811980000</v>
      </c>
      <c r="V330" s="4" t="str" cm="1">
        <f t="array" aca="1" ref="V330" ca="1">IFERROR(_FV(Tableau1[[#This Row],[Code Excel]],"Industrie"),"")</f>
        <v>Multiline Utilities</v>
      </c>
      <c r="W330" s="4" t="s">
        <v>4425</v>
      </c>
      <c r="X330" s="4" t="str">
        <f ca="1">Tableau1[[#This Row],[Grand Secteur]]&amp;Tableau1[[#This Row],[Industrie]]</f>
        <v>UtilitiesMultiline Utilities</v>
      </c>
      <c r="Y330" s="23" cm="1">
        <f t="array" aca="1" ref="Y330" ca="1">IFERROR(_FV(Tableau1[[#This Row],[Code Excel]],"P/E",TRUE),"")</f>
        <v>20.7288</v>
      </c>
      <c r="Z330" s="43" cm="1">
        <f t="array" aca="1" ref="Z330" ca="1">IFERROR(_FV(Tableau1[[#This Row],[Code Excel]],"Employés"),"")</f>
        <v>221202</v>
      </c>
      <c r="AA330" s="49">
        <f ca="1">IFERROR(Tableau1[[#This Row],[Capitalisation boursière]]/Tableau1[[#This Row],[Employés]],"")</f>
        <v>107648.1225305377</v>
      </c>
      <c r="AB330" s="5" t="str">
        <f>IFERROR(Tableau1[[#This Row],[REX (2021)]]/Tableau1[[#This Row],[CA 2024]],"")</f>
        <v/>
      </c>
      <c r="AC330" s="9" t="str">
        <f>IFERROR(_xlfn.XLOOKUP(Tableau1[[#This Row],[Isin]]&amp;1&amp;2021,#REF!,Tableau3[Résultat d''exploitation]),"")</f>
        <v/>
      </c>
      <c r="AD330" s="9" t="str">
        <f>IFERROR(_xlfn.XLOOKUP(Tableau1[[#This Row],[Isin]]&amp;1&amp;2019,#REF!,Tableau3[Chiffre d''affaires]),"")</f>
        <v/>
      </c>
      <c r="AE330" s="9" t="str">
        <f>IFERROR(_xlfn.XLOOKUP(Tableau1[[#This Row],[Isin]]&amp;1&amp;2024,#REF!,Tableau3[Chiffre d''affaires]),"")</f>
        <v/>
      </c>
      <c r="AF330" s="8" t="str">
        <f>IFERROR(IF((Tableau1[[#This Row],[CA 2024]]-Tableau1[[#This Row],[CA 2019]])/Tableau1[[#This Row],[CA 2019]]=-1,"",(Tableau1[[#This Row],[CA 2024]]-Tableau1[[#This Row],[CA 2019]])/Tableau1[[#This Row],[CA 2019]]),"")</f>
        <v/>
      </c>
      <c r="AG330" s="9" t="str">
        <f>IFERROR(_xlfn.XLOOKUP(Tableau1[[#This Row],[Isin]]&amp;1&amp;2021,#REF!,Tableau3[EBE]),"")</f>
        <v/>
      </c>
      <c r="AH330" s="9" t="str">
        <f>IFERROR(_xlfn.XLOOKUP(Tableau1[[#This Row],[Isin]]&amp;1&amp;2022,#REF!,Tableau3[EBE]),"")</f>
        <v/>
      </c>
      <c r="AI330" s="43" t="s">
        <v>3431</v>
      </c>
      <c r="AJ330" s="43" t="s">
        <v>4322</v>
      </c>
      <c r="AK330" s="43" t="s">
        <v>3419</v>
      </c>
      <c r="AL330" s="43" t="s">
        <v>3149</v>
      </c>
      <c r="AM330" s="43"/>
      <c r="AN330" s="9" t="str">
        <f>IFERROR(_xlfn.XLOOKUP(Tableau1[[#This Row],[Isin]]&amp;1&amp;2021,#REF!,Tableau3[Chiffre d''affaires]),"")</f>
        <v/>
      </c>
      <c r="AO330" s="43" cm="1">
        <f t="array" aca="1" ref="AO330" ca="1">_FV(Tableau1[[#This Row],[Code Excel]],"P/E",TRUE)</f>
        <v>20.7288</v>
      </c>
      <c r="AP330" s="43" t="str">
        <f>IFERROR(_xlfn.XLOOKUP(Tableau1[[#This Row],[Isin]]&amp;1&amp;2023,#REF!,Tableau3[Résultat Net (PdG)]),"")</f>
        <v/>
      </c>
      <c r="AQ330" s="43">
        <f>IF(IFERROR(_xlfn.XLOOKUP(Tableau1[[#This Row],[Isin]]&amp;1&amp;2022,#REF!,Tableau3[Résultat Net (PdG)]),"")="",Tableau1[[#This Row],[RN Groupe 2022
Manuel]],IFERROR(_xlfn.XLOOKUP(Tableau1[[#This Row],[Isin]]&amp;1&amp;2022,#REF!,Tableau3[Résultat Net (PdG)]),""))</f>
        <v>0</v>
      </c>
      <c r="AR330" s="140"/>
      <c r="AS330" s="43">
        <f>IF(IFERROR(_xlfn.XLOOKUP(Tableau1[[#This Row],[Isin]]&amp;1&amp;2021,#REF!,Tableau3[Résultat Net (PdG)]),"")="",Tableau1[[#This Row],[RN Groupe 2021
Manuel]],IFERROR(_xlfn.XLOOKUP(Tableau1[[#This Row],[Isin]]&amp;1&amp;2021,#REF!,Tableau3[Résultat Net (PdG)]),""))</f>
        <v>0</v>
      </c>
      <c r="AT330" s="140"/>
      <c r="AU330" s="43" t="str">
        <f>IFERROR(_xlfn.XLOOKUP(Tableau1[[#This Row],[Isin]]&amp;1&amp;2020,#REF!,Tableau3[Résultat Net (PdG)]),"")</f>
        <v/>
      </c>
      <c r="AV330" s="43" t="str">
        <f>IFERROR(_xlfn.XLOOKUP(Tableau1[[#This Row],[Isin]]&amp;1&amp;2019,#REF!,Tableau3[Résultat Net (PdG)]),"")</f>
        <v/>
      </c>
      <c r="AW330" s="43" t="str">
        <f>IFERROR(_xlfn.XLOOKUP(Tableau1[[#This Row],[Isin]]&amp;1&amp;2018,#REF!,Tableau3[Résultat Net (PdG)]),"")</f>
        <v/>
      </c>
      <c r="AX330" s="43" t="str">
        <f>IFERROR(_xlfn.XLOOKUP(Tableau1[[#This Row],[Isin]]&amp;1&amp;2017,#REF!,Tableau3[Résultat Net (PdG)]),"")</f>
        <v/>
      </c>
      <c r="AY330" s="43" t="str">
        <f>IFERROR(_xlfn.XLOOKUP(Tableau1[[#This Row],[Isin]]&amp;1&amp;2016,#REF!,Tableau3[Résultat Net (PdG)]),"")</f>
        <v/>
      </c>
      <c r="AZ330" s="137" t="str">
        <f ca="1">IFERROR(Tableau1[[#This Row],[Capitalisation boursière]]/Tableau1[[#This Row],[RN Groupe 2023]],"")</f>
        <v/>
      </c>
      <c r="BA330" s="4" t="str" cm="1">
        <f t="array" aca="1" ref="BA330" ca="1">IFERROR(_FV(Tableau1[[#This Row],[Code Excel]],"Industrie"),"")</f>
        <v>Multiline Utilities</v>
      </c>
      <c r="BB330" s="43" t="s">
        <v>3518</v>
      </c>
      <c r="BC330" s="43" t="str">
        <f>IFERROR(_xlfn.XLOOKUP(Tableau1[[#This Row],[Isin]]&amp;1&amp;2016,#REF!,Tableau3[Capi]),"")</f>
        <v/>
      </c>
      <c r="BD330" s="43" t="str">
        <f>IFERROR(_xlfn.XLOOKUP(Tableau1[[#This Row],[Isin]]&amp;1&amp;2017,#REF!,Tableau3[Capi]),"")</f>
        <v/>
      </c>
      <c r="BE330" s="43" t="str">
        <f>IFERROR(_xlfn.XLOOKUP(Tableau1[[#This Row],[Isin]]&amp;1&amp;2018,#REF!,Tableau3[Capi]),"")</f>
        <v/>
      </c>
      <c r="BF330" s="43" t="str">
        <f>IFERROR(_xlfn.XLOOKUP(Tableau1[[#This Row],[Isin]]&amp;1&amp;2019,#REF!,Tableau3[Capi]),"")</f>
        <v/>
      </c>
      <c r="BG330" s="43" t="str">
        <f>IFERROR(_xlfn.XLOOKUP(Tableau1[[#This Row],[Isin]]&amp;1&amp;2020,#REF!,Tableau3[Capi]),"")</f>
        <v/>
      </c>
      <c r="BH330" s="43">
        <f>IF(IFERROR(_xlfn.XLOOKUP(Tableau1[[#This Row],[Isin]]&amp;1&amp;2021,#REF!,Tableau3[Capi]),"")="",Tableau1[[#This Row],[Capitalisation 2021
Manuel]],IFERROR(_xlfn.XLOOKUP(Tableau1[[#This Row],[Isin]]&amp;1&amp;2021,#REF!,Tableau3[Capi]),""))</f>
        <v>0</v>
      </c>
      <c r="BI330" s="142"/>
      <c r="BJ330" s="141">
        <f>IF(IFERROR(_xlfn.XLOOKUP(Tableau1[[#This Row],[Isin]]&amp;1&amp;2022,#REF!,Tableau3[Capi]),"")="",Tableau1[[#This Row],[Capitalisation 2022
Manuel]],IFERROR(_xlfn.XLOOKUP(Tableau1[[#This Row],[Isin]]&amp;1&amp;2022,#REF!,Tableau3[Capi]),""))</f>
        <v>0</v>
      </c>
      <c r="BK330" s="142"/>
      <c r="BL330" s="43">
        <f ca="1">Tableau1[[#This Row],[Capitalisation boursière]]</f>
        <v>23811980000</v>
      </c>
      <c r="BM330" s="162" t="str" cm="1">
        <f t="array" aca="1" ref="BM330" ca="1">_FV(Tableau1[[#This Row],[Code Excel]],"Description")</f>
        <v>Veolia environnement sa est une société française qui fournit des services environnementaux. L'activité de la Société est répartie sous forme de prestation de services liés à l'eau, de prestation de services de gestion des déchets et de prestation de services énergétiques. Il offre la gestion des ressources en eau, la distribution et le transport de l'eau potable, la collecte, le traitement et la récupération des eaux usées, les services d'ingénierie et de conception et la construction d'installations de traitement de l'eau, la gestion de la relation client, etc Elle assure la collecte, le traitement et le recyclage des déchets liquides, solides, ordinaires et dangereux, le traitement et la valorisation des déchets par compostage, la valorisation énergétique des déchets, etc La Société offre des services de propreté urbaine (entretien et nettoyage des espaces publics, prestation de services de nettoyage mécanisé des rues et de traitement des façades), d'entretien et d'entretien des sites industriels, de démantèlement des équipements industriels et de fin de vie.</v>
      </c>
      <c r="BN330" s="43"/>
      <c r="BO330" s="43"/>
      <c r="BP330" s="43"/>
      <c r="BQ330" s="43"/>
      <c r="BR330" s="13"/>
      <c r="BS330" s="13"/>
      <c r="BU330" s="4"/>
      <c r="BV330" s="4"/>
    </row>
    <row r="331" spans="3:85">
      <c r="C331" s="43"/>
      <c r="D331" s="42">
        <f>IF(Tableau1[[#This Row],[Isin]]="",99,Tableau1[[#This Row],[Intérêt]]+Tableau1[[#This Row],[Valeur d''intérêt]]+Tableau1[[#This Row],[N° Portefeuille]])</f>
        <v>20</v>
      </c>
      <c r="E331" s="43"/>
      <c r="F331" s="42">
        <f>IF(Tableau1[[#This Row],[Portefeuille]]="p",0,Tableau1[[#This Row],[F. Investissement
Niveau d''intérêt]]*10)</f>
        <v>20</v>
      </c>
      <c r="G331" s="43">
        <f>IF(Tableau1[[#This Row],[Portefeuille]]="p",3,0)</f>
        <v>0</v>
      </c>
      <c r="H331" s="43">
        <v>2</v>
      </c>
      <c r="I331" s="43">
        <v>2</v>
      </c>
      <c r="J331" s="43"/>
      <c r="K331" s="43"/>
      <c r="L331" s="16">
        <v>1</v>
      </c>
      <c r="M33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1" s="44" t="s">
        <v>194</v>
      </c>
      <c r="O331" s="44" t="s">
        <v>4437</v>
      </c>
      <c r="P331" s="4" t="s">
        <v>196</v>
      </c>
      <c r="Q331" s="6" t="s">
        <v>85</v>
      </c>
      <c r="R331" s="6"/>
      <c r="S331" s="6" t="s">
        <v>199</v>
      </c>
      <c r="T331" s="6" t="e" vm="308">
        <v>#VALUE!</v>
      </c>
      <c r="U331" s="46" cm="1">
        <f t="array" aca="1" ref="U331" ca="1">IFERROR(_FV(Tableau1[[#This Row],[Code Excel]],"Capitalisation boursière",TRUE),"")</f>
        <v>3496100000</v>
      </c>
      <c r="V331" s="4" t="str" cm="1">
        <f t="array" aca="1" ref="V331" ca="1">IFERROR(_FV(Tableau1[[#This Row],[Code Excel]],"Industrie"),"")</f>
        <v>Containers &amp; Packaging</v>
      </c>
      <c r="W331" s="4" t="s">
        <v>4321</v>
      </c>
      <c r="X331" s="4" t="str">
        <f ca="1">Tableau1[[#This Row],[Grand Secteur]]&amp;Tableau1[[#This Row],[Industrie]]</f>
        <v>EquipementiersContainers &amp; Packaging</v>
      </c>
      <c r="Y331" s="23" cm="1">
        <f t="array" aca="1" ref="Y331" ca="1">IFERROR(_FV(Tableau1[[#This Row],[Code Excel]],"P/E",TRUE),"")</f>
        <v>14.4124</v>
      </c>
      <c r="Z331" s="43" cm="1">
        <f t="array" aca="1" ref="Z331" ca="1">IFERROR(_FV(Tableau1[[#This Row],[Code Excel]],"Employés"),"")</f>
        <v>10942</v>
      </c>
      <c r="AA331" s="46">
        <f ca="1">IFERROR(Tableau1[[#This Row],[Capitalisation boursière]]/Tableau1[[#This Row],[Employés]],"")</f>
        <v>319511.97221714497</v>
      </c>
      <c r="AB331" s="5" t="str">
        <f>IFERROR(Tableau1[[#This Row],[REX (2021)]]/Tableau1[[#This Row],[CA 2024]],"")</f>
        <v/>
      </c>
      <c r="AC331" s="9" t="str">
        <f>IFERROR(_xlfn.XLOOKUP(Tableau1[[#This Row],[Isin]]&amp;1&amp;2021,#REF!,Tableau3[Résultat d''exploitation]),"")</f>
        <v/>
      </c>
      <c r="AD331" s="9" t="str">
        <f>IFERROR(_xlfn.XLOOKUP(Tableau1[[#This Row],[Isin]]&amp;1&amp;2019,#REF!,Tableau3[Chiffre d''affaires]),"")</f>
        <v/>
      </c>
      <c r="AE331" s="9" t="str">
        <f>IFERROR(_xlfn.XLOOKUP(Tableau1[[#This Row],[Isin]]&amp;1&amp;2024,#REF!,Tableau3[Chiffre d''affaires]),"")</f>
        <v/>
      </c>
      <c r="AF331" s="8" t="str">
        <f>IFERROR(IF((Tableau1[[#This Row],[CA 2024]]-Tableau1[[#This Row],[CA 2019]])/Tableau1[[#This Row],[CA 2019]]=-1,"",(Tableau1[[#This Row],[CA 2024]]-Tableau1[[#This Row],[CA 2019]])/Tableau1[[#This Row],[CA 2019]]),"")</f>
        <v/>
      </c>
      <c r="AG331" s="9" t="str">
        <f>IFERROR(_xlfn.XLOOKUP(Tableau1[[#This Row],[Isin]]&amp;1&amp;2021,#REF!,Tableau3[EBE]),"")</f>
        <v/>
      </c>
      <c r="AH331" s="9" t="str">
        <f>IFERROR(_xlfn.XLOOKUP(Tableau1[[#This Row],[Isin]]&amp;1&amp;2022,#REF!,Tableau3[EBE]),"")</f>
        <v/>
      </c>
      <c r="AI331" s="43" t="s">
        <v>3431</v>
      </c>
      <c r="AJ331" s="43" t="s">
        <v>4322</v>
      </c>
      <c r="AK331" s="43" t="s">
        <v>3431</v>
      </c>
      <c r="AL331" s="43" t="s">
        <v>3149</v>
      </c>
      <c r="AM331" s="43"/>
      <c r="AN331" s="9" t="str">
        <f>IFERROR(_xlfn.XLOOKUP(Tableau1[[#This Row],[Isin]]&amp;1&amp;2021,#REF!,Tableau3[Chiffre d''affaires]),"")</f>
        <v/>
      </c>
      <c r="AO331" s="43" cm="1">
        <f t="array" aca="1" ref="AO331" ca="1">_FV(Tableau1[[#This Row],[Code Excel]],"P/E",TRUE)</f>
        <v>14.4124</v>
      </c>
      <c r="AP331" s="43" t="str">
        <f>IFERROR(_xlfn.XLOOKUP(Tableau1[[#This Row],[Isin]]&amp;1&amp;2023,#REF!,Tableau3[Résultat Net (PdG)]),"")</f>
        <v/>
      </c>
      <c r="AQ331" s="43">
        <f>IF(IFERROR(_xlfn.XLOOKUP(Tableau1[[#This Row],[Isin]]&amp;1&amp;2022,#REF!,Tableau3[Résultat Net (PdG)]),"")="",Tableau1[[#This Row],[RN Groupe 2022
Manuel]],IFERROR(_xlfn.XLOOKUP(Tableau1[[#This Row],[Isin]]&amp;1&amp;2022,#REF!,Tableau3[Résultat Net (PdG)]),""))</f>
        <v>0</v>
      </c>
      <c r="AR331" s="43"/>
      <c r="AS331" s="43">
        <f>IF(IFERROR(_xlfn.XLOOKUP(Tableau1[[#This Row],[Isin]]&amp;1&amp;2021,#REF!,Tableau3[Résultat Net (PdG)]),"")="",Tableau1[[#This Row],[RN Groupe 2021
Manuel]],IFERROR(_xlfn.XLOOKUP(Tableau1[[#This Row],[Isin]]&amp;1&amp;2021,#REF!,Tableau3[Résultat Net (PdG)]),""))</f>
        <v>0</v>
      </c>
      <c r="AT331" s="43"/>
      <c r="AU331" s="43" t="str">
        <f>IFERROR(_xlfn.XLOOKUP(Tableau1[[#This Row],[Isin]]&amp;1&amp;2020,#REF!,Tableau3[Résultat Net (PdG)]),"")</f>
        <v/>
      </c>
      <c r="AV331" s="43" t="str">
        <f>IFERROR(_xlfn.XLOOKUP(Tableau1[[#This Row],[Isin]]&amp;1&amp;2019,#REF!,Tableau3[Résultat Net (PdG)]),"")</f>
        <v/>
      </c>
      <c r="AW331" s="43" t="str">
        <f>IFERROR(_xlfn.XLOOKUP(Tableau1[[#This Row],[Isin]]&amp;1&amp;2018,#REF!,Tableau3[Résultat Net (PdG)]),"")</f>
        <v/>
      </c>
      <c r="AX331" s="43" t="str">
        <f>IFERROR(_xlfn.XLOOKUP(Tableau1[[#This Row],[Isin]]&amp;1&amp;2017,#REF!,Tableau3[Résultat Net (PdG)]),"")</f>
        <v/>
      </c>
      <c r="AY331" s="43" t="str">
        <f>IFERROR(_xlfn.XLOOKUP(Tableau1[[#This Row],[Isin]]&amp;1&amp;2016,#REF!,Tableau3[Résultat Net (PdG)]),"")</f>
        <v/>
      </c>
      <c r="AZ331" s="137" t="str">
        <f ca="1">IFERROR(Tableau1[[#This Row],[Capitalisation boursière]]/Tableau1[[#This Row],[RN Groupe 2023]],"")</f>
        <v/>
      </c>
      <c r="BA331" s="4" t="str" cm="1">
        <f t="array" aca="1" ref="BA331" ca="1">IFERROR(_FV(Tableau1[[#This Row],[Code Excel]],"Industrie"),"")</f>
        <v>Containers &amp; Packaging</v>
      </c>
      <c r="BB331" s="43" t="s">
        <v>3477</v>
      </c>
      <c r="BC331" s="43" t="str">
        <f>IFERROR(_xlfn.XLOOKUP(Tableau1[[#This Row],[Isin]]&amp;1&amp;2016,#REF!,Tableau3[Capi]),"")</f>
        <v/>
      </c>
      <c r="BD331" s="43" t="str">
        <f>IFERROR(_xlfn.XLOOKUP(Tableau1[[#This Row],[Isin]]&amp;1&amp;2017,#REF!,Tableau3[Capi]),"")</f>
        <v/>
      </c>
      <c r="BE331" s="43" t="str">
        <f>IFERROR(_xlfn.XLOOKUP(Tableau1[[#This Row],[Isin]]&amp;1&amp;2018,#REF!,Tableau3[Capi]),"")</f>
        <v/>
      </c>
      <c r="BF331" s="43" t="str">
        <f>IFERROR(_xlfn.XLOOKUP(Tableau1[[#This Row],[Isin]]&amp;1&amp;2019,#REF!,Tableau3[Capi]),"")</f>
        <v/>
      </c>
      <c r="BG331" s="43" t="str">
        <f>IFERROR(_xlfn.XLOOKUP(Tableau1[[#This Row],[Isin]]&amp;1&amp;2020,#REF!,Tableau3[Capi]),"")</f>
        <v/>
      </c>
      <c r="BH331" s="43">
        <f>IF(IFERROR(_xlfn.XLOOKUP(Tableau1[[#This Row],[Isin]]&amp;1&amp;2021,#REF!,Tableau3[Capi]),"")="",Tableau1[[#This Row],[Capitalisation 2021
Manuel]],IFERROR(_xlfn.XLOOKUP(Tableau1[[#This Row],[Isin]]&amp;1&amp;2021,#REF!,Tableau3[Capi]),""))</f>
        <v>0</v>
      </c>
      <c r="BI331" s="43"/>
      <c r="BJ331" s="43">
        <f>IF(IFERROR(_xlfn.XLOOKUP(Tableau1[[#This Row],[Isin]]&amp;1&amp;2022,#REF!,Tableau3[Capi]),"")="",Tableau1[[#This Row],[Capitalisation 2022
Manuel]],IFERROR(_xlfn.XLOOKUP(Tableau1[[#This Row],[Isin]]&amp;1&amp;2022,#REF!,Tableau3[Capi]),""))</f>
        <v>0</v>
      </c>
      <c r="BK331" s="43"/>
      <c r="BL331" s="43">
        <f ca="1">Tableau1[[#This Row],[Capitalisation boursière]]</f>
        <v>3496100000</v>
      </c>
      <c r="BM331" s="162" t="str" cm="1">
        <f t="array" aca="1" ref="BM331" ca="1">_FV(Tableau1[[#This Row],[Code Excel]],"Description")</f>
        <v>Verallia SASU est une société basée en France, qui produit des solutions d'emballage en verre. La Société fabrique un certain nombre de pots et de bouteilles pour différents marchés, notamment les secteurs des vins tranquilles et mousseux, des spiritueux, des produits alimentaires, ainsi que des secteurs de la bière et des boissons non alcoolisées. Outre la France, la Société est également présente dans de nombreux pays d'Europe occidentale, d'Europe orientale et d'Amérique du Sud, entre autres.</v>
      </c>
      <c r="BN331" s="43"/>
      <c r="BO331" s="43"/>
      <c r="BP331" s="43"/>
      <c r="BQ331" s="43"/>
      <c r="BR331" s="13"/>
      <c r="BS331" s="13"/>
      <c r="BU331" s="4"/>
      <c r="BV331" s="4"/>
    </row>
    <row r="332" spans="3:85">
      <c r="C332" s="42"/>
      <c r="D332" s="42">
        <f>IF(Tableau1[[#This Row],[Isin]]="",99,Tableau1[[#This Row],[Intérêt]]+Tableau1[[#This Row],[Valeur d''intérêt]]+Tableau1[[#This Row],[N° Portefeuille]])</f>
        <v>30</v>
      </c>
      <c r="E332" s="42"/>
      <c r="F332" s="42">
        <f>IF(Tableau1[[#This Row],[Portefeuille]]="p",0,Tableau1[[#This Row],[F. Investissement
Niveau d''intérêt]]*10)</f>
        <v>30</v>
      </c>
      <c r="G332" s="42">
        <f>IF(Tableau1[[#This Row],[Portefeuille]]="p",3,0)</f>
        <v>0</v>
      </c>
      <c r="H332" s="42">
        <v>3</v>
      </c>
      <c r="I332" s="42">
        <v>4</v>
      </c>
      <c r="J332" s="42"/>
      <c r="K332" s="43"/>
      <c r="L332" s="16">
        <v>0</v>
      </c>
      <c r="M33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2" s="44" t="s">
        <v>4234</v>
      </c>
      <c r="O332" s="45"/>
      <c r="P332" s="4" t="s">
        <v>382</v>
      </c>
      <c r="Q332" s="4"/>
      <c r="R332" s="6"/>
      <c r="S332" s="6" t="s">
        <v>4235</v>
      </c>
      <c r="T332" s="6" t="e" vm="309">
        <v>#VALUE!</v>
      </c>
      <c r="U332" s="46" cm="1">
        <f t="array" aca="1" ref="U332" ca="1">IFERROR(_FV(Tableau1[[#This Row],[Code Excel]],"Capitalisation boursière",TRUE),"")</f>
        <v>192615006520</v>
      </c>
      <c r="V332" s="4" t="str" cm="1">
        <f t="array" aca="1" ref="V332" ca="1">IFERROR(_FV(Tableau1[[#This Row],[Code Excel]],"Industrie"),"")</f>
        <v>Telecommunications Services</v>
      </c>
      <c r="W332" s="4" t="s">
        <v>1737</v>
      </c>
      <c r="X332" s="4" t="str">
        <f ca="1">Tableau1[[#This Row],[Grand Secteur]]&amp;Tableau1[[#This Row],[Industrie]]</f>
        <v>TélécommunicationTelecommunications Services</v>
      </c>
      <c r="Y332" s="23" cm="1">
        <f t="array" aca="1" ref="Y332" ca="1">IFERROR(_FV(Tableau1[[#This Row],[Code Excel]],"P/E",TRUE),"")</f>
        <v>10.8399</v>
      </c>
      <c r="Z332" s="43" cm="1">
        <f t="array" aca="1" ref="Z332" ca="1">IFERROR(_FV(Tableau1[[#This Row],[Code Excel]],"Employés"),"")</f>
        <v>99600</v>
      </c>
      <c r="AA332" s="49">
        <f ca="1">IFERROR(Tableau1[[#This Row],[Capitalisation boursière]]/Tableau1[[#This Row],[Employés]],"")</f>
        <v>1933885.607630522</v>
      </c>
      <c r="AB332" s="5" t="str">
        <f>IFERROR(Tableau1[[#This Row],[REX (2021)]]/Tableau1[[#This Row],[CA 2024]],"")</f>
        <v/>
      </c>
      <c r="AC332" s="9" t="str">
        <f>IFERROR(_xlfn.XLOOKUP(Tableau1[[#This Row],[Isin]]&amp;1&amp;2021,#REF!,Tableau3[Résultat d''exploitation]),"")</f>
        <v/>
      </c>
      <c r="AD332" s="9" t="str">
        <f>IFERROR(_xlfn.XLOOKUP(Tableau1[[#This Row],[Isin]]&amp;1&amp;2019,#REF!,Tableau3[Chiffre d''affaires]),"")</f>
        <v/>
      </c>
      <c r="AE332" s="9" t="str">
        <f>IFERROR(_xlfn.XLOOKUP(Tableau1[[#This Row],[Isin]]&amp;1&amp;2024,#REF!,Tableau3[Chiffre d''affaires]),"")</f>
        <v/>
      </c>
      <c r="AF332" s="8" t="str">
        <f>IFERROR(IF((Tableau1[[#This Row],[CA 2024]]-Tableau1[[#This Row],[CA 2019]])/Tableau1[[#This Row],[CA 2019]]=-1,"",(Tableau1[[#This Row],[CA 2024]]-Tableau1[[#This Row],[CA 2019]])/Tableau1[[#This Row],[CA 2019]]),"")</f>
        <v/>
      </c>
      <c r="AG332" s="9" t="str">
        <f>IFERROR(_xlfn.XLOOKUP(Tableau1[[#This Row],[Isin]]&amp;1&amp;2021,#REF!,Tableau3[EBE]),"")</f>
        <v/>
      </c>
      <c r="AH332" s="9" t="str">
        <f>IFERROR(_xlfn.XLOOKUP(Tableau1[[#This Row],[Isin]]&amp;1&amp;2022,#REF!,Tableau3[EBE]),"")</f>
        <v/>
      </c>
      <c r="AI332" s="13" t="s">
        <v>4324</v>
      </c>
      <c r="AJ332" s="43" t="s">
        <v>4376</v>
      </c>
      <c r="AK332" s="43" t="s">
        <v>4377</v>
      </c>
      <c r="AL332" s="43"/>
      <c r="AM332" s="43"/>
      <c r="AN332" s="9" t="str">
        <f>IFERROR(_xlfn.XLOOKUP(Tableau1[[#This Row],[Isin]]&amp;1&amp;2021,#REF!,Tableau3[Chiffre d''affaires]),"")</f>
        <v/>
      </c>
      <c r="AO332" s="43" cm="1">
        <f t="array" aca="1" ref="AO332" ca="1">_FV(Tableau1[[#This Row],[Code Excel]],"P/E",TRUE)</f>
        <v>10.8399</v>
      </c>
      <c r="AP332" s="43" t="str">
        <f>IFERROR(_xlfn.XLOOKUP(Tableau1[[#This Row],[Isin]]&amp;1&amp;2023,#REF!,Tableau3[Résultat Net (PdG)]),"")</f>
        <v/>
      </c>
      <c r="AQ332" s="43">
        <f>IF(IFERROR(_xlfn.XLOOKUP(Tableau1[[#This Row],[Isin]]&amp;1&amp;2022,#REF!,Tableau3[Résultat Net (PdG)]),"")="",Tableau1[[#This Row],[RN Groupe 2022
Manuel]],IFERROR(_xlfn.XLOOKUP(Tableau1[[#This Row],[Isin]]&amp;1&amp;2022,#REF!,Tableau3[Résultat Net (PdG)]),""))</f>
        <v>0</v>
      </c>
      <c r="AR332" s="43"/>
      <c r="AS332" s="43">
        <f>IF(IFERROR(_xlfn.XLOOKUP(Tableau1[[#This Row],[Isin]]&amp;1&amp;2021,#REF!,Tableau3[Résultat Net (PdG)]),"")="",Tableau1[[#This Row],[RN Groupe 2021
Manuel]],IFERROR(_xlfn.XLOOKUP(Tableau1[[#This Row],[Isin]]&amp;1&amp;2021,#REF!,Tableau3[Résultat Net (PdG)]),""))</f>
        <v>0</v>
      </c>
      <c r="AT332" s="43"/>
      <c r="AU332" s="43" t="str">
        <f>IFERROR(_xlfn.XLOOKUP(Tableau1[[#This Row],[Isin]]&amp;1&amp;2020,#REF!,Tableau3[Résultat Net (PdG)]),"")</f>
        <v/>
      </c>
      <c r="AV332" s="43" t="str">
        <f>IFERROR(_xlfn.XLOOKUP(Tableau1[[#This Row],[Isin]]&amp;1&amp;2019,#REF!,Tableau3[Résultat Net (PdG)]),"")</f>
        <v/>
      </c>
      <c r="AW332" s="43" t="str">
        <f>IFERROR(_xlfn.XLOOKUP(Tableau1[[#This Row],[Isin]]&amp;1&amp;2018,#REF!,Tableau3[Résultat Net (PdG)]),"")</f>
        <v/>
      </c>
      <c r="AX332" s="43" t="str">
        <f>IFERROR(_xlfn.XLOOKUP(Tableau1[[#This Row],[Isin]]&amp;1&amp;2017,#REF!,Tableau3[Résultat Net (PdG)]),"")</f>
        <v/>
      </c>
      <c r="AY332" s="43" t="str">
        <f>IFERROR(_xlfn.XLOOKUP(Tableau1[[#This Row],[Isin]]&amp;1&amp;2016,#REF!,Tableau3[Résultat Net (PdG)]),"")</f>
        <v/>
      </c>
      <c r="AZ332" s="137" t="str">
        <f ca="1">IFERROR(Tableau1[[#This Row],[Capitalisation boursière]]/Tableau1[[#This Row],[RN Groupe 2023]],"")</f>
        <v/>
      </c>
      <c r="BA332" s="4" t="str" cm="1">
        <f t="array" aca="1" ref="BA332" ca="1">IFERROR(_FV(Tableau1[[#This Row],[Code Excel]],"Industrie"),"")</f>
        <v>Telecommunications Services</v>
      </c>
      <c r="BB332" s="43" t="s">
        <v>3464</v>
      </c>
      <c r="BC332" s="43" t="str">
        <f>IFERROR(_xlfn.XLOOKUP(Tableau1[[#This Row],[Isin]]&amp;1&amp;2016,#REF!,Tableau3[Capi]),"")</f>
        <v/>
      </c>
      <c r="BD332" s="43" t="str">
        <f>IFERROR(_xlfn.XLOOKUP(Tableau1[[#This Row],[Isin]]&amp;1&amp;2017,#REF!,Tableau3[Capi]),"")</f>
        <v/>
      </c>
      <c r="BE332" s="43" t="str">
        <f>IFERROR(_xlfn.XLOOKUP(Tableau1[[#This Row],[Isin]]&amp;1&amp;2018,#REF!,Tableau3[Capi]),"")</f>
        <v/>
      </c>
      <c r="BF332" s="43" t="str">
        <f>IFERROR(_xlfn.XLOOKUP(Tableau1[[#This Row],[Isin]]&amp;1&amp;2019,#REF!,Tableau3[Capi]),"")</f>
        <v/>
      </c>
      <c r="BG332" s="43" t="str">
        <f>IFERROR(_xlfn.XLOOKUP(Tableau1[[#This Row],[Isin]]&amp;1&amp;2020,#REF!,Tableau3[Capi]),"")</f>
        <v/>
      </c>
      <c r="BH332" s="43">
        <f>IF(IFERROR(_xlfn.XLOOKUP(Tableau1[[#This Row],[Isin]]&amp;1&amp;2021,#REF!,Tableau3[Capi]),"")="",Tableau1[[#This Row],[Capitalisation 2021
Manuel]],IFERROR(_xlfn.XLOOKUP(Tableau1[[#This Row],[Isin]]&amp;1&amp;2021,#REF!,Tableau3[Capi]),""))</f>
        <v>0</v>
      </c>
      <c r="BI332" s="43"/>
      <c r="BJ332" s="43">
        <f>IF(IFERROR(_xlfn.XLOOKUP(Tableau1[[#This Row],[Isin]]&amp;1&amp;2022,#REF!,Tableau3[Capi]),"")="",Tableau1[[#This Row],[Capitalisation 2022
Manuel]],IFERROR(_xlfn.XLOOKUP(Tableau1[[#This Row],[Isin]]&amp;1&amp;2022,#REF!,Tableau3[Capi]),""))</f>
        <v>0</v>
      </c>
      <c r="BK332" s="43"/>
      <c r="BL332" s="43">
        <f ca="1">Tableau1[[#This Row],[Capitalisation boursière]]</f>
        <v>192615006520</v>
      </c>
      <c r="BM332" s="162" t="str" cm="1">
        <f t="array" aca="1" ref="BM332" ca="1">_FV(Tableau1[[#This Row],[Code Excel]],"Description")</f>
        <v>Verizon Communications Inc. est une société holding. La Société, par l'intermédiaire de ses filiales, fournit des produits et services de communication, d'information et de divertissement aux consommateurs, aux entreprises et aux organismes gouvernementaux. Ses segments isolables sont Verizon Consumer Group et Verizon Business Group. Son segment Grand public fournit des services de communications sans fil et filaires. Ses services sans fil sont fournis sur des réseaux sans fil aux États-Unis sous les marques Verizon. Ses services filaires sont fournis dans neuf états du centre de l'Atlantique et du nord-est des États-Unis, ainsi qu'à Washington D.C. sur son réseau de fibres optiques sous la marque Fios et sur un réseau traditionnel en cuivre. Son secteur d'activité fournit des services et des produits de communications sans fil et filaires, y compris des services de données, de vidéo et de conférence, des services de sécurité et de réseau géré, des services vocaux locaux et interurbains et un accès au réseau pour offrir divers services et produits liés à l'Internet des objets.</v>
      </c>
      <c r="BN332" s="43"/>
      <c r="BO332" s="43"/>
      <c r="BP332" s="43"/>
      <c r="BQ332" s="43"/>
      <c r="BR332" s="13"/>
      <c r="BS332" s="13"/>
      <c r="BU332" s="4"/>
      <c r="BV332" s="4"/>
    </row>
    <row r="333" spans="3:85">
      <c r="C333" s="43"/>
      <c r="D333" s="42">
        <f>IF(Tableau1[[#This Row],[Isin]]="",99,Tableau1[[#This Row],[Intérêt]]+Tableau1[[#This Row],[Valeur d''intérêt]]+Tableau1[[#This Row],[N° Portefeuille]])</f>
        <v>30</v>
      </c>
      <c r="E333" s="43"/>
      <c r="F333" s="42">
        <f>IF(Tableau1[[#This Row],[Portefeuille]]="p",0,Tableau1[[#This Row],[F. Investissement
Niveau d''intérêt]]*10)</f>
        <v>30</v>
      </c>
      <c r="G333" s="43">
        <f>IF(Tableau1[[#This Row],[Portefeuille]]="p",3,0)</f>
        <v>0</v>
      </c>
      <c r="H333" s="43">
        <v>3</v>
      </c>
      <c r="I333" s="43">
        <v>4</v>
      </c>
      <c r="J333" s="43"/>
      <c r="K333" s="43"/>
      <c r="L333" s="16">
        <v>1</v>
      </c>
      <c r="M33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3" s="44" t="s">
        <v>1363</v>
      </c>
      <c r="O333" s="44" t="s">
        <v>4410</v>
      </c>
      <c r="P333" s="4" t="s">
        <v>1364</v>
      </c>
      <c r="Q333" s="6" t="s">
        <v>1365</v>
      </c>
      <c r="R333" s="6"/>
      <c r="S333" s="6" t="s">
        <v>1367</v>
      </c>
      <c r="T333" s="6" t="e" vm="310">
        <v>#VALUE!</v>
      </c>
      <c r="U333" s="46" cm="1">
        <f t="array" aca="1" ref="U333" ca="1">IFERROR(_FV(Tableau1[[#This Row],[Code Excel]],"Capitalisation boursière",TRUE),"")</f>
        <v>101075400000</v>
      </c>
      <c r="V333" s="4" t="str" cm="1">
        <f t="array" aca="1" ref="V333" ca="1">IFERROR(_FV(Tableau1[[#This Row],[Code Excel]],"Industrie"),"")</f>
        <v>Renewable Energy</v>
      </c>
      <c r="W333" s="4" t="s">
        <v>371</v>
      </c>
      <c r="X333" s="4" t="str">
        <f ca="1">Tableau1[[#This Row],[Grand Secteur]]&amp;Tableau1[[#This Row],[Industrie]]</f>
        <v>EnergieRenewable Energy</v>
      </c>
      <c r="Y333" s="23" cm="1">
        <f t="array" aca="1" ref="Y333" ca="1">IFERROR(_FV(Tableau1[[#This Row],[Code Excel]],"P/E",TRUE),"")</f>
        <v>28.94</v>
      </c>
      <c r="Z333" s="43" cm="1">
        <f t="array" aca="1" ref="Z333" ca="1">IFERROR(_FV(Tableau1[[#This Row],[Code Excel]],"Employés"),"")</f>
        <v>35100</v>
      </c>
      <c r="AA333" s="46">
        <f ca="1">IFERROR(Tableau1[[#This Row],[Capitalisation boursière]]/Tableau1[[#This Row],[Employés]],"")</f>
        <v>2879641.0256410255</v>
      </c>
      <c r="AB333" s="5" t="str">
        <f>IFERROR(Tableau1[[#This Row],[REX (2021)]]/Tableau1[[#This Row],[CA 2024]],"")</f>
        <v/>
      </c>
      <c r="AC333" s="9" t="str">
        <f>IFERROR(_xlfn.XLOOKUP(Tableau1[[#This Row],[Isin]]&amp;1&amp;2021,#REF!,Tableau3[Résultat d''exploitation]),"")</f>
        <v/>
      </c>
      <c r="AD333" s="9" t="str">
        <f>IFERROR(_xlfn.XLOOKUP(Tableau1[[#This Row],[Isin]]&amp;1&amp;2019,#REF!,Tableau3[Chiffre d''affaires]),"")</f>
        <v/>
      </c>
      <c r="AE333" s="9" t="str">
        <f>IFERROR(_xlfn.XLOOKUP(Tableau1[[#This Row],[Isin]]&amp;1&amp;2024,#REF!,Tableau3[Chiffre d''affaires]),"")</f>
        <v/>
      </c>
      <c r="AF333" s="8" t="str">
        <f>IFERROR(IF((Tableau1[[#This Row],[CA 2024]]-Tableau1[[#This Row],[CA 2019]])/Tableau1[[#This Row],[CA 2019]]=-1,"",(Tableau1[[#This Row],[CA 2024]]-Tableau1[[#This Row],[CA 2019]])/Tableau1[[#This Row],[CA 2019]]),"")</f>
        <v/>
      </c>
      <c r="AG333" s="9" t="str">
        <f>IFERROR(_xlfn.XLOOKUP(Tableau1[[#This Row],[Isin]]&amp;1&amp;2021,#REF!,Tableau3[EBE]),"")</f>
        <v/>
      </c>
      <c r="AH333" s="9" t="str">
        <f>IFERROR(_xlfn.XLOOKUP(Tableau1[[#This Row],[Isin]]&amp;1&amp;2022,#REF!,Tableau3[EBE]),"")</f>
        <v/>
      </c>
      <c r="AI333" s="43" t="s">
        <v>3431</v>
      </c>
      <c r="AJ333" s="43" t="s">
        <v>4348</v>
      </c>
      <c r="AK333" s="43" t="s">
        <v>3149</v>
      </c>
      <c r="AL333" s="43" t="s">
        <v>3419</v>
      </c>
      <c r="AM333" s="43"/>
      <c r="AN333" s="9" t="str">
        <f>IFERROR(_xlfn.XLOOKUP(Tableau1[[#This Row],[Isin]]&amp;1&amp;2021,#REF!,Tableau3[Chiffre d''affaires]),"")</f>
        <v/>
      </c>
      <c r="AO333" s="43" cm="1">
        <f t="array" aca="1" ref="AO333" ca="1">_FV(Tableau1[[#This Row],[Code Excel]],"P/E",TRUE)</f>
        <v>28.94</v>
      </c>
      <c r="AP333" s="43" t="str">
        <f>IFERROR(_xlfn.XLOOKUP(Tableau1[[#This Row],[Isin]]&amp;1&amp;2023,#REF!,Tableau3[Résultat Net (PdG)]),"")</f>
        <v/>
      </c>
      <c r="AQ333" s="43">
        <f>IF(IFERROR(_xlfn.XLOOKUP(Tableau1[[#This Row],[Isin]]&amp;1&amp;2022,#REF!,Tableau3[Résultat Net (PdG)]),"")="",Tableau1[[#This Row],[RN Groupe 2022
Manuel]],IFERROR(_xlfn.XLOOKUP(Tableau1[[#This Row],[Isin]]&amp;1&amp;2022,#REF!,Tableau3[Résultat Net (PdG)]),""))</f>
        <v>0</v>
      </c>
      <c r="AR333" s="43"/>
      <c r="AS333" s="43">
        <f>IF(IFERROR(_xlfn.XLOOKUP(Tableau1[[#This Row],[Isin]]&amp;1&amp;2021,#REF!,Tableau3[Résultat Net (PdG)]),"")="",Tableau1[[#This Row],[RN Groupe 2021
Manuel]],IFERROR(_xlfn.XLOOKUP(Tableau1[[#This Row],[Isin]]&amp;1&amp;2021,#REF!,Tableau3[Résultat Net (PdG)]),""))</f>
        <v>0</v>
      </c>
      <c r="AT333" s="43"/>
      <c r="AU333" s="43" t="str">
        <f>IFERROR(_xlfn.XLOOKUP(Tableau1[[#This Row],[Isin]]&amp;1&amp;2020,#REF!,Tableau3[Résultat Net (PdG)]),"")</f>
        <v/>
      </c>
      <c r="AV333" s="43" t="str">
        <f>IFERROR(_xlfn.XLOOKUP(Tableau1[[#This Row],[Isin]]&amp;1&amp;2019,#REF!,Tableau3[Résultat Net (PdG)]),"")</f>
        <v/>
      </c>
      <c r="AW333" s="43" t="str">
        <f>IFERROR(_xlfn.XLOOKUP(Tableau1[[#This Row],[Isin]]&amp;1&amp;2018,#REF!,Tableau3[Résultat Net (PdG)]),"")</f>
        <v/>
      </c>
      <c r="AX333" s="43" t="str">
        <f>IFERROR(_xlfn.XLOOKUP(Tableau1[[#This Row],[Isin]]&amp;1&amp;2017,#REF!,Tableau3[Résultat Net (PdG)]),"")</f>
        <v/>
      </c>
      <c r="AY333" s="43" t="str">
        <f>IFERROR(_xlfn.XLOOKUP(Tableau1[[#This Row],[Isin]]&amp;1&amp;2016,#REF!,Tableau3[Résultat Net (PdG)]),"")</f>
        <v/>
      </c>
      <c r="AZ333" s="137" t="str">
        <f ca="1">IFERROR(Tableau1[[#This Row],[Capitalisation boursière]]/Tableau1[[#This Row],[RN Groupe 2023]],"")</f>
        <v/>
      </c>
      <c r="BA333" s="4" t="s">
        <v>3527</v>
      </c>
      <c r="BB333" s="43" t="e">
        <v>#N/A</v>
      </c>
      <c r="BC333" s="43" t="str">
        <f>IFERROR(_xlfn.XLOOKUP(Tableau1[[#This Row],[Isin]]&amp;1&amp;2016,#REF!,Tableau3[Capi]),"")</f>
        <v/>
      </c>
      <c r="BD333" s="43" t="str">
        <f>IFERROR(_xlfn.XLOOKUP(Tableau1[[#This Row],[Isin]]&amp;1&amp;2017,#REF!,Tableau3[Capi]),"")</f>
        <v/>
      </c>
      <c r="BE333" s="43" t="str">
        <f>IFERROR(_xlfn.XLOOKUP(Tableau1[[#This Row],[Isin]]&amp;1&amp;2018,#REF!,Tableau3[Capi]),"")</f>
        <v/>
      </c>
      <c r="BF333" s="43" t="str">
        <f>IFERROR(_xlfn.XLOOKUP(Tableau1[[#This Row],[Isin]]&amp;1&amp;2019,#REF!,Tableau3[Capi]),"")</f>
        <v/>
      </c>
      <c r="BG333" s="43" t="str">
        <f>IFERROR(_xlfn.XLOOKUP(Tableau1[[#This Row],[Isin]]&amp;1&amp;2020,#REF!,Tableau3[Capi]),"")</f>
        <v/>
      </c>
      <c r="BH333" s="43">
        <f>IF(IFERROR(_xlfn.XLOOKUP(Tableau1[[#This Row],[Isin]]&amp;1&amp;2021,#REF!,Tableau3[Capi]),"")="",Tableau1[[#This Row],[Capitalisation 2021
Manuel]],IFERROR(_xlfn.XLOOKUP(Tableau1[[#This Row],[Isin]]&amp;1&amp;2021,#REF!,Tableau3[Capi]),""))</f>
        <v>0</v>
      </c>
      <c r="BI333" s="43"/>
      <c r="BJ333" s="43">
        <f>IF(IFERROR(_xlfn.XLOOKUP(Tableau1[[#This Row],[Isin]]&amp;1&amp;2022,#REF!,Tableau3[Capi]),"")="",Tableau1[[#This Row],[Capitalisation 2022
Manuel]],IFERROR(_xlfn.XLOOKUP(Tableau1[[#This Row],[Isin]]&amp;1&amp;2022,#REF!,Tableau3[Capi]),""))</f>
        <v>0</v>
      </c>
      <c r="BK333" s="43"/>
      <c r="BL333" s="43">
        <f ca="1">Tableau1[[#This Row],[Capitalisation boursière]]</f>
        <v>101075400000</v>
      </c>
      <c r="BM333" s="162" t="str" cm="1">
        <f t="array" aca="1" ref="BM333" ca="1">_FV(Tableau1[[#This Row],[Code Excel]],"Description")</f>
        <v>VESTAS WIND SYSTEMS A/S est une société basée au Danemark, active dans l'industrie éolienne. La Société opère deux segments: Projet et Service. Le segment Projet est responsible, entre autres, de la vente d'appareils d'énergie éolienne et d'éoliennes. Le segment Services comprend la prestation de services liés à l'offre de la Société ainsi que la vente de pièces détachées et d'autres activités. La gamme de produits de Vestas Wind System comprend des plates-formes de capture d'énergie de 2 mégawatts (MW) et 3 MW équipées de systèmes de détection de la glace, de la fumée et de l'ombre. Sa gamme de services se compose, entre autres, de services de conseil informatisés, d'optimisation de flotte, de maintenance et d'inspection de la lame, de réparations de générateurs et d'échange de boîtes de vitesses.</v>
      </c>
      <c r="BN333" s="43"/>
      <c r="BO333" s="43"/>
      <c r="BP333" s="43"/>
      <c r="BQ333" s="43"/>
      <c r="BR333" s="13"/>
      <c r="BS333" s="13"/>
      <c r="BU333" s="4"/>
      <c r="BV333" s="4"/>
    </row>
    <row r="334" spans="3:85">
      <c r="C334" s="42"/>
      <c r="D334" s="42">
        <f>IF(Tableau1[[#This Row],[Isin]]="",99,Tableau1[[#This Row],[Intérêt]]+Tableau1[[#This Row],[Valeur d''intérêt]]+Tableau1[[#This Row],[N° Portefeuille]])</f>
        <v>20</v>
      </c>
      <c r="E334" s="43"/>
      <c r="F334" s="42">
        <f>IF(Tableau1[[#This Row],[Portefeuille]]="p",0,Tableau1[[#This Row],[F. Investissement
Niveau d''intérêt]]*10)</f>
        <v>20</v>
      </c>
      <c r="G334" s="43">
        <f>IF(Tableau1[[#This Row],[Portefeuille]]="p",3,0)</f>
        <v>0</v>
      </c>
      <c r="H334" s="42">
        <v>2</v>
      </c>
      <c r="I334" s="43">
        <v>2</v>
      </c>
      <c r="J334" s="42"/>
      <c r="K334" s="43"/>
      <c r="L334" s="16">
        <v>1</v>
      </c>
      <c r="M33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4" s="44" t="s">
        <v>1163</v>
      </c>
      <c r="O334" s="44" t="s">
        <v>4282</v>
      </c>
      <c r="P334" s="4" t="s">
        <v>84</v>
      </c>
      <c r="Q334" s="6" t="s">
        <v>85</v>
      </c>
      <c r="R334" s="6"/>
      <c r="S334" s="6" t="s">
        <v>1164</v>
      </c>
      <c r="T334" s="6" t="e" vm="311">
        <v>#VALUE!</v>
      </c>
      <c r="U334" s="46" cm="1">
        <f t="array" aca="1" ref="U334" ca="1">IFERROR(_FV(Tableau1[[#This Row],[Code Excel]],"Capitalisation boursière",TRUE),"")</f>
        <v>963622300</v>
      </c>
      <c r="V334" s="4" t="str" cm="1">
        <f t="array" aca="1" ref="V334" ca="1">IFERROR(_FV(Tableau1[[#This Row],[Code Excel]],"Industrie"),"")</f>
        <v>Pharmaceuticals</v>
      </c>
      <c r="W334" s="4" t="s">
        <v>1586</v>
      </c>
      <c r="X334" s="4" t="str">
        <f ca="1">Tableau1[[#This Row],[Grand Secteur]]&amp;Tableau1[[#This Row],[Industrie]]</f>
        <v>SantéPharmaceuticals</v>
      </c>
      <c r="Y334" s="23" cm="1">
        <f t="array" aca="1" ref="Y334" ca="1">IFERROR(_FV(Tableau1[[#This Row],[Code Excel]],"P/E",TRUE),"")</f>
        <v>19.379899999999999</v>
      </c>
      <c r="Z334" s="43" cm="1">
        <f t="array" aca="1" ref="Z334" ca="1">IFERROR(_FV(Tableau1[[#This Row],[Code Excel]],"Employés"),"")</f>
        <v>2519</v>
      </c>
      <c r="AA334" s="49">
        <f ca="1">IFERROR(Tableau1[[#This Row],[Capitalisation boursière]]/Tableau1[[#This Row],[Employés]],"")</f>
        <v>382541.6038110361</v>
      </c>
      <c r="AB334" s="5" t="str">
        <f>IFERROR(Tableau1[[#This Row],[REX (2021)]]/Tableau1[[#This Row],[CA 2024]],"")</f>
        <v/>
      </c>
      <c r="AC334" s="9" t="str">
        <f>IFERROR(_xlfn.XLOOKUP(Tableau1[[#This Row],[Isin]]&amp;1&amp;2021,#REF!,Tableau3[Résultat d''exploitation]),"")</f>
        <v/>
      </c>
      <c r="AD334" s="9" t="str">
        <f>IFERROR(_xlfn.XLOOKUP(Tableau1[[#This Row],[Isin]]&amp;1&amp;2019,#REF!,Tableau3[Chiffre d''affaires]),"")</f>
        <v/>
      </c>
      <c r="AE334" s="9" t="str">
        <f>IFERROR(_xlfn.XLOOKUP(Tableau1[[#This Row],[Isin]]&amp;1&amp;2024,#REF!,Tableau3[Chiffre d''affaires]),"")</f>
        <v/>
      </c>
      <c r="AF334" s="8" t="str">
        <f>IFERROR(IF((Tableau1[[#This Row],[CA 2024]]-Tableau1[[#This Row],[CA 2019]])/Tableau1[[#This Row],[CA 2019]]=-1,"",(Tableau1[[#This Row],[CA 2024]]-Tableau1[[#This Row],[CA 2019]])/Tableau1[[#This Row],[CA 2019]]),"")</f>
        <v/>
      </c>
      <c r="AG334" s="9" t="str">
        <f>IFERROR(_xlfn.XLOOKUP(Tableau1[[#This Row],[Isin]]&amp;1&amp;2021,#REF!,Tableau3[EBE]),"")</f>
        <v/>
      </c>
      <c r="AH334" s="9" t="str">
        <f>IFERROR(_xlfn.XLOOKUP(Tableau1[[#This Row],[Isin]]&amp;1&amp;2022,#REF!,Tableau3[EBE]),"")</f>
        <v/>
      </c>
      <c r="AI334" s="13" t="s">
        <v>4343</v>
      </c>
      <c r="AJ334" s="13" t="s">
        <v>4322</v>
      </c>
      <c r="AK334" s="13" t="s">
        <v>3148</v>
      </c>
      <c r="AL334" s="43" t="s">
        <v>4343</v>
      </c>
      <c r="AM334" s="43"/>
      <c r="AN334" s="9" t="str">
        <f>IFERROR(_xlfn.XLOOKUP(Tableau1[[#This Row],[Isin]]&amp;1&amp;2021,#REF!,Tableau3[Chiffre d''affaires]),"")</f>
        <v/>
      </c>
      <c r="AO334" s="43" cm="1">
        <f t="array" aca="1" ref="AO334" ca="1">_FV(Tableau1[[#This Row],[Code Excel]],"P/E",TRUE)</f>
        <v>19.379899999999999</v>
      </c>
      <c r="AP334" s="43" t="str">
        <f>IFERROR(_xlfn.XLOOKUP(Tableau1[[#This Row],[Isin]]&amp;1&amp;2023,#REF!,Tableau3[Résultat Net (PdG)]),"")</f>
        <v/>
      </c>
      <c r="AQ334" s="43">
        <f>IF(IFERROR(_xlfn.XLOOKUP(Tableau1[[#This Row],[Isin]]&amp;1&amp;2022,#REF!,Tableau3[Résultat Net (PdG)]),"")="",Tableau1[[#This Row],[RN Groupe 2022
Manuel]],IFERROR(_xlfn.XLOOKUP(Tableau1[[#This Row],[Isin]]&amp;1&amp;2022,#REF!,Tableau3[Résultat Net (PdG)]),""))</f>
        <v>0</v>
      </c>
      <c r="AR334" s="43"/>
      <c r="AS334" s="43">
        <f>IF(IFERROR(_xlfn.XLOOKUP(Tableau1[[#This Row],[Isin]]&amp;1&amp;2021,#REF!,Tableau3[Résultat Net (PdG)]),"")="",Tableau1[[#This Row],[RN Groupe 2021
Manuel]],IFERROR(_xlfn.XLOOKUP(Tableau1[[#This Row],[Isin]]&amp;1&amp;2021,#REF!,Tableau3[Résultat Net (PdG)]),""))</f>
        <v>0</v>
      </c>
      <c r="AT334" s="43"/>
      <c r="AU334" s="43" t="str">
        <f>IFERROR(_xlfn.XLOOKUP(Tableau1[[#This Row],[Isin]]&amp;1&amp;2020,#REF!,Tableau3[Résultat Net (PdG)]),"")</f>
        <v/>
      </c>
      <c r="AV334" s="43" t="str">
        <f>IFERROR(_xlfn.XLOOKUP(Tableau1[[#This Row],[Isin]]&amp;1&amp;2019,#REF!,Tableau3[Résultat Net (PdG)]),"")</f>
        <v/>
      </c>
      <c r="AW334" s="43" t="str">
        <f>IFERROR(_xlfn.XLOOKUP(Tableau1[[#This Row],[Isin]]&amp;1&amp;2018,#REF!,Tableau3[Résultat Net (PdG)]),"")</f>
        <v/>
      </c>
      <c r="AX334" s="43" t="str">
        <f>IFERROR(_xlfn.XLOOKUP(Tableau1[[#This Row],[Isin]]&amp;1&amp;2017,#REF!,Tableau3[Résultat Net (PdG)]),"")</f>
        <v/>
      </c>
      <c r="AY334" s="43" t="str">
        <f>IFERROR(_xlfn.XLOOKUP(Tableau1[[#This Row],[Isin]]&amp;1&amp;2016,#REF!,Tableau3[Résultat Net (PdG)]),"")</f>
        <v/>
      </c>
      <c r="AZ334" s="137" t="str">
        <f ca="1">IFERROR(Tableau1[[#This Row],[Capitalisation boursière]]/Tableau1[[#This Row],[RN Groupe 2023]],"")</f>
        <v/>
      </c>
      <c r="BA334" s="4" t="str" cm="1">
        <f t="array" aca="1" ref="BA334" ca="1">IFERROR(_FV(Tableau1[[#This Row],[Code Excel]],"Industrie"),"")</f>
        <v>Pharmaceuticals</v>
      </c>
      <c r="BB334" s="43" t="e">
        <v>#N/A</v>
      </c>
      <c r="BC334" s="43" t="str">
        <f>IFERROR(_xlfn.XLOOKUP(Tableau1[[#This Row],[Isin]]&amp;1&amp;2016,#REF!,Tableau3[Capi]),"")</f>
        <v/>
      </c>
      <c r="BD334" s="43" t="str">
        <f>IFERROR(_xlfn.XLOOKUP(Tableau1[[#This Row],[Isin]]&amp;1&amp;2017,#REF!,Tableau3[Capi]),"")</f>
        <v/>
      </c>
      <c r="BE334" s="43" t="str">
        <f>IFERROR(_xlfn.XLOOKUP(Tableau1[[#This Row],[Isin]]&amp;1&amp;2018,#REF!,Tableau3[Capi]),"")</f>
        <v/>
      </c>
      <c r="BF334" s="43" t="str">
        <f>IFERROR(_xlfn.XLOOKUP(Tableau1[[#This Row],[Isin]]&amp;1&amp;2019,#REF!,Tableau3[Capi]),"")</f>
        <v/>
      </c>
      <c r="BG334" s="43" t="str">
        <f>IFERROR(_xlfn.XLOOKUP(Tableau1[[#This Row],[Isin]]&amp;1&amp;2020,#REF!,Tableau3[Capi]),"")</f>
        <v/>
      </c>
      <c r="BH334" s="43">
        <f>IF(IFERROR(_xlfn.XLOOKUP(Tableau1[[#This Row],[Isin]]&amp;1&amp;2021,#REF!,Tableau3[Capi]),"")="",Tableau1[[#This Row],[Capitalisation 2021
Manuel]],IFERROR(_xlfn.XLOOKUP(Tableau1[[#This Row],[Isin]]&amp;1&amp;2021,#REF!,Tableau3[Capi]),""))</f>
        <v>0</v>
      </c>
      <c r="BI334" s="43"/>
      <c r="BJ334" s="43">
        <f>IF(IFERROR(_xlfn.XLOOKUP(Tableau1[[#This Row],[Isin]]&amp;1&amp;2022,#REF!,Tableau3[Capi]),"")="",Tableau1[[#This Row],[Capitalisation 2022
Manuel]],IFERROR(_xlfn.XLOOKUP(Tableau1[[#This Row],[Isin]]&amp;1&amp;2022,#REF!,Tableau3[Capi]),""))</f>
        <v>0</v>
      </c>
      <c r="BK334" s="43"/>
      <c r="BL334" s="43">
        <f ca="1">Tableau1[[#This Row],[Capitalisation boursière]]</f>
        <v>963622300</v>
      </c>
      <c r="BM334" s="162" t="str" cm="1">
        <f t="array" aca="1" ref="BM334" ca="1">_FV(Tableau1[[#This Row],[Code Excel]],"Description")</f>
        <v>VETOQUINOL SA est une société basée en France spécialisée dans la recherche, le développement, la fabrication, la commercialisation et la vente de produits et médicaments vétérinaires. Le portefeuille de produits de la Société est divisé entre les animaux, tels que les bovins et porcs et animaux de compagnie, dont les chiens et les chats. L'offre deVetoquinol SA comprend des anti-infectieux, tels que Marbocyl ; inflammatoires antidouleurs, qui comprennent la Tolfedine destinée aux chiens et chats et la Tolfine pour le bétail, et le traitement cardio-vasculaire et néphrologique, tels que Prilium, une formule d'administration quotidienne orale pour chiens, entre autres. La Société commercialise plus de 700 produits, dans des pays comme la France, l'Autriche, le Canada, l'Italie, la Pologne, l'Espagne et les Pays-Bas, entre autres. Elle négocie ses produits dans toute l'Europe, en Amérique du Nord, en Afrique, au Moyen-Orient et en Asie Pacifique. En avril 2014, elle a acquis l'entreprise de santé animale Bioniche.</v>
      </c>
      <c r="BN334" s="43"/>
      <c r="BO334" s="43"/>
      <c r="BP334" s="43"/>
      <c r="BQ334" s="43"/>
      <c r="BR334" s="13"/>
      <c r="BS334" s="13"/>
      <c r="BU334" s="4"/>
      <c r="BV334" s="4"/>
    </row>
    <row r="335" spans="3:85">
      <c r="C335" s="43"/>
      <c r="D335" s="42">
        <f>IF(Tableau1[[#This Row],[Isin]]="",99,Tableau1[[#This Row],[Intérêt]]+Tableau1[[#This Row],[Valeur d''intérêt]]+Tableau1[[#This Row],[N° Portefeuille]])</f>
        <v>3</v>
      </c>
      <c r="E335" s="42"/>
      <c r="F335" s="42">
        <f>IF(Tableau1[[#This Row],[Portefeuille]]="p",0,Tableau1[[#This Row],[F. Investissement
Niveau d''intérêt]]*10)</f>
        <v>0</v>
      </c>
      <c r="G335" s="42">
        <f>IF(Tableau1[[#This Row],[Portefeuille]]="p",3,0)</f>
        <v>3</v>
      </c>
      <c r="H335" s="42">
        <v>1</v>
      </c>
      <c r="I335" s="42">
        <v>1</v>
      </c>
      <c r="J335" s="43" t="s">
        <v>4357</v>
      </c>
      <c r="K335" s="43" t="s">
        <v>4362</v>
      </c>
      <c r="L335" s="16">
        <v>1</v>
      </c>
      <c r="M33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5" s="44" t="s">
        <v>262</v>
      </c>
      <c r="O335" s="44" t="s">
        <v>4404</v>
      </c>
      <c r="P335" s="4" t="s">
        <v>84</v>
      </c>
      <c r="Q335" s="6" t="s">
        <v>85</v>
      </c>
      <c r="R335" s="6"/>
      <c r="S335" s="6" t="s">
        <v>264</v>
      </c>
      <c r="T335" s="48" t="e" vm="312">
        <v>#VALUE!</v>
      </c>
      <c r="U335" s="46" cm="1">
        <f t="array" aca="1" ref="U335" ca="1">IFERROR(_FV(Tableau1[[#This Row],[Code Excel]],"Capitalisation boursière",TRUE),"")</f>
        <v>2294390000</v>
      </c>
      <c r="V335" s="4" t="str" cm="1">
        <f t="array" aca="1" ref="V335" ca="1">IFERROR(_FV(Tableau1[[#This Row],[Code Excel]],"Industrie"),"")</f>
        <v>Construction Materials</v>
      </c>
      <c r="W335" s="4" t="s">
        <v>1926</v>
      </c>
      <c r="X335" s="4" t="str">
        <f ca="1">Tableau1[[#This Row],[Grand Secteur]]&amp;Tableau1[[#This Row],[Industrie]]</f>
        <v>ConstructionConstruction Materials</v>
      </c>
      <c r="Y335" s="23" cm="1">
        <f t="array" aca="1" ref="Y335" ca="1">IFERROR(_FV(Tableau1[[#This Row],[Code Excel]],"P/E",TRUE),"")</f>
        <v>8.3199000000000005</v>
      </c>
      <c r="Z335" s="43" cm="1">
        <f t="array" aca="1" ref="Z335" ca="1">IFERROR(_FV(Tableau1[[#This Row],[Code Excel]],"Employés"),"")</f>
        <v>9990</v>
      </c>
      <c r="AA335" s="46">
        <f ca="1">IFERROR(Tableau1[[#This Row],[Capitalisation boursière]]/Tableau1[[#This Row],[Employés]],"")</f>
        <v>229668.66866866866</v>
      </c>
      <c r="AB335" s="5" t="str">
        <f>IFERROR(Tableau1[[#This Row],[REX (2021)]]/Tableau1[[#This Row],[CA 2024]],"")</f>
        <v/>
      </c>
      <c r="AC335" s="9" t="str">
        <f>IFERROR(_xlfn.XLOOKUP(Tableau1[[#This Row],[Isin]]&amp;1&amp;2021,#REF!,Tableau3[Résultat d''exploitation]),"")</f>
        <v/>
      </c>
      <c r="AD335" s="9" t="str">
        <f>IFERROR(_xlfn.XLOOKUP(Tableau1[[#This Row],[Isin]]&amp;1&amp;2019,#REF!,Tableau3[Chiffre d''affaires]),"")</f>
        <v/>
      </c>
      <c r="AE335" s="9" t="str">
        <f>IFERROR(_xlfn.XLOOKUP(Tableau1[[#This Row],[Isin]]&amp;1&amp;2024,#REF!,Tableau3[Chiffre d''affaires]),"")</f>
        <v/>
      </c>
      <c r="AF335" s="8" t="str">
        <f>IFERROR(IF((Tableau1[[#This Row],[CA 2024]]-Tableau1[[#This Row],[CA 2019]])/Tableau1[[#This Row],[CA 2019]]=-1,"",(Tableau1[[#This Row],[CA 2024]]-Tableau1[[#This Row],[CA 2019]])/Tableau1[[#This Row],[CA 2019]]),"")</f>
        <v/>
      </c>
      <c r="AG335" s="9" t="str">
        <f>IFERROR(_xlfn.XLOOKUP(Tableau1[[#This Row],[Isin]]&amp;1&amp;2021,#REF!,Tableau3[EBE]),"")</f>
        <v/>
      </c>
      <c r="AH335" s="9" t="str">
        <f>IFERROR(_xlfn.XLOOKUP(Tableau1[[#This Row],[Isin]]&amp;1&amp;2022,#REF!,Tableau3[EBE]),"")</f>
        <v/>
      </c>
      <c r="AI335" s="43" t="s">
        <v>4329</v>
      </c>
      <c r="AJ335" s="43" t="s">
        <v>3150</v>
      </c>
      <c r="AK335" s="43" t="s">
        <v>3431</v>
      </c>
      <c r="AL335" s="43" t="s">
        <v>3148</v>
      </c>
      <c r="AM335" s="43"/>
      <c r="AN335" s="9" t="str">
        <f>IFERROR(_xlfn.XLOOKUP(Tableau1[[#This Row],[Isin]]&amp;1&amp;2021,#REF!,Tableau3[Chiffre d''affaires]),"")</f>
        <v/>
      </c>
      <c r="AO335" s="43" cm="1">
        <f t="array" aca="1" ref="AO335" ca="1">_FV(Tableau1[[#This Row],[Code Excel]],"P/E",TRUE)</f>
        <v>8.3199000000000005</v>
      </c>
      <c r="AP335" s="43" t="str">
        <f>IFERROR(_xlfn.XLOOKUP(Tableau1[[#This Row],[Isin]]&amp;1&amp;2023,#REF!,Tableau3[Résultat Net (PdG)]),"")</f>
        <v/>
      </c>
      <c r="AQ335" s="43">
        <f>IF(IFERROR(_xlfn.XLOOKUP(Tableau1[[#This Row],[Isin]]&amp;1&amp;2022,#REF!,Tableau3[Résultat Net (PdG)]),"")="",Tableau1[[#This Row],[RN Groupe 2022
Manuel]],IFERROR(_xlfn.XLOOKUP(Tableau1[[#This Row],[Isin]]&amp;1&amp;2022,#REF!,Tableau3[Résultat Net (PdG)]),""))</f>
        <v>0</v>
      </c>
      <c r="AR335" s="43"/>
      <c r="AS335" s="43">
        <f>IF(IFERROR(_xlfn.XLOOKUP(Tableau1[[#This Row],[Isin]]&amp;1&amp;2021,#REF!,Tableau3[Résultat Net (PdG)]),"")="",Tableau1[[#This Row],[RN Groupe 2021
Manuel]],IFERROR(_xlfn.XLOOKUP(Tableau1[[#This Row],[Isin]]&amp;1&amp;2021,#REF!,Tableau3[Résultat Net (PdG)]),""))</f>
        <v>0</v>
      </c>
      <c r="AT335" s="43"/>
      <c r="AU335" s="43" t="str">
        <f>IFERROR(_xlfn.XLOOKUP(Tableau1[[#This Row],[Isin]]&amp;1&amp;2020,#REF!,Tableau3[Résultat Net (PdG)]),"")</f>
        <v/>
      </c>
      <c r="AV335" s="43" t="str">
        <f>IFERROR(_xlfn.XLOOKUP(Tableau1[[#This Row],[Isin]]&amp;1&amp;2019,#REF!,Tableau3[Résultat Net (PdG)]),"")</f>
        <v/>
      </c>
      <c r="AW335" s="43" t="str">
        <f>IFERROR(_xlfn.XLOOKUP(Tableau1[[#This Row],[Isin]]&amp;1&amp;2018,#REF!,Tableau3[Résultat Net (PdG)]),"")</f>
        <v/>
      </c>
      <c r="AX335" s="43" t="str">
        <f>IFERROR(_xlfn.XLOOKUP(Tableau1[[#This Row],[Isin]]&amp;1&amp;2017,#REF!,Tableau3[Résultat Net (PdG)]),"")</f>
        <v/>
      </c>
      <c r="AY335" s="43" t="str">
        <f>IFERROR(_xlfn.XLOOKUP(Tableau1[[#This Row],[Isin]]&amp;1&amp;2016,#REF!,Tableau3[Résultat Net (PdG)]),"")</f>
        <v/>
      </c>
      <c r="AZ335" s="137" t="str">
        <f ca="1">IFERROR(Tableau1[[#This Row],[Capitalisation boursière]]/Tableau1[[#This Row],[RN Groupe 2023]],"")</f>
        <v/>
      </c>
      <c r="BA335" s="4" t="str" cm="1">
        <f t="array" aca="1" ref="BA335" ca="1">IFERROR(_FV(Tableau1[[#This Row],[Code Excel]],"Industrie"),"")</f>
        <v>Construction Materials</v>
      </c>
      <c r="BB335" s="43" t="s">
        <v>3845</v>
      </c>
      <c r="BC335" s="43" t="str">
        <f>IFERROR(_xlfn.XLOOKUP(Tableau1[[#This Row],[Isin]]&amp;1&amp;2016,#REF!,Tableau3[Capi]),"")</f>
        <v/>
      </c>
      <c r="BD335" s="43" t="str">
        <f>IFERROR(_xlfn.XLOOKUP(Tableau1[[#This Row],[Isin]]&amp;1&amp;2017,#REF!,Tableau3[Capi]),"")</f>
        <v/>
      </c>
      <c r="BE335" s="43" t="str">
        <f>IFERROR(_xlfn.XLOOKUP(Tableau1[[#This Row],[Isin]]&amp;1&amp;2018,#REF!,Tableau3[Capi]),"")</f>
        <v/>
      </c>
      <c r="BF335" s="43" t="str">
        <f>IFERROR(_xlfn.XLOOKUP(Tableau1[[#This Row],[Isin]]&amp;1&amp;2019,#REF!,Tableau3[Capi]),"")</f>
        <v/>
      </c>
      <c r="BG335" s="43" t="str">
        <f>IFERROR(_xlfn.XLOOKUP(Tableau1[[#This Row],[Isin]]&amp;1&amp;2020,#REF!,Tableau3[Capi]),"")</f>
        <v/>
      </c>
      <c r="BH335" s="43">
        <f>IF(IFERROR(_xlfn.XLOOKUP(Tableau1[[#This Row],[Isin]]&amp;1&amp;2021,#REF!,Tableau3[Capi]),"")="",Tableau1[[#This Row],[Capitalisation 2021
Manuel]],IFERROR(_xlfn.XLOOKUP(Tableau1[[#This Row],[Isin]]&amp;1&amp;2021,#REF!,Tableau3[Capi]),""))</f>
        <v>0</v>
      </c>
      <c r="BI335" s="43"/>
      <c r="BJ335" s="43">
        <f>IF(IFERROR(_xlfn.XLOOKUP(Tableau1[[#This Row],[Isin]]&amp;1&amp;2022,#REF!,Tableau3[Capi]),"")="",Tableau1[[#This Row],[Capitalisation 2022
Manuel]],IFERROR(_xlfn.XLOOKUP(Tableau1[[#This Row],[Isin]]&amp;1&amp;2022,#REF!,Tableau3[Capi]),""))</f>
        <v>0</v>
      </c>
      <c r="BK335" s="43"/>
      <c r="BL335" s="43">
        <f ca="1">Tableau1[[#This Row],[Capitalisation boursière]]</f>
        <v>2294390000</v>
      </c>
      <c r="BM335" s="162" t="str" cm="1">
        <f t="array" aca="1" ref="BM335" ca="1">_FV(Tableau1[[#This Row],[Code Excel]],"Description")</f>
        <v>Vicat sa est une entreprise française qui fabrique du ciment. La Société développe des matériaux de construction (ciment, béton, granulats), des produits et services comme le pompage du béton, les produits en béton préfabriqué, le transport et la logistique, les mortiers prémélangés, l'impression 3D du béton, services d'emballage et de papier, ingénierie et examen de la norme pour les acteurs de la construction. Ses applications incluent les bâtiments, les logements individuels et collectifs, les routes, les travaux publics et le génie civil. Il opère dans six zones et 12 pays.</v>
      </c>
      <c r="BN335" s="43"/>
      <c r="BO335" s="43"/>
      <c r="BP335" s="43"/>
      <c r="BQ335" s="43"/>
      <c r="BR335" s="13"/>
      <c r="BS335" s="13"/>
      <c r="BU335" s="4"/>
      <c r="BV335" s="4"/>
    </row>
    <row r="336" spans="3:85">
      <c r="C336" s="42"/>
      <c r="D336" s="42">
        <f>IF(Tableau1[[#This Row],[Isin]]="",99,Tableau1[[#This Row],[Intérêt]]+Tableau1[[#This Row],[Valeur d''intérêt]]+Tableau1[[#This Row],[N° Portefeuille]])</f>
        <v>30</v>
      </c>
      <c r="E336" s="42"/>
      <c r="F336" s="42">
        <f>IF(Tableau1[[#This Row],[Portefeuille]]="p",0,Tableau1[[#This Row],[F. Investissement
Niveau d''intérêt]]*10)</f>
        <v>30</v>
      </c>
      <c r="G336" s="42">
        <f>IF(Tableau1[[#This Row],[Portefeuille]]="p",3,0)</f>
        <v>0</v>
      </c>
      <c r="H336" s="42">
        <v>3</v>
      </c>
      <c r="I336" s="42">
        <v>4</v>
      </c>
      <c r="J336" s="42"/>
      <c r="K336" s="43"/>
      <c r="L336" s="16">
        <v>1</v>
      </c>
      <c r="M33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6" s="44" t="s">
        <v>4240</v>
      </c>
      <c r="O336" s="44" t="s">
        <v>1693</v>
      </c>
      <c r="P336" s="4" t="s">
        <v>84</v>
      </c>
      <c r="Q336" s="6" t="s">
        <v>85</v>
      </c>
      <c r="R336" s="6"/>
      <c r="S336" s="6" t="s">
        <v>1695</v>
      </c>
      <c r="T336" s="48" t="e" vm="313">
        <v>#VALUE!</v>
      </c>
      <c r="U336" s="46" cm="1">
        <f t="array" aca="1" ref="U336" ca="1">IFERROR(_FV(Tableau1[[#This Row],[Code Excel]],"Capitalisation boursière",TRUE),"")</f>
        <v>1462123000</v>
      </c>
      <c r="V336" s="4" t="str" cm="1">
        <f t="array" aca="1" ref="V336" ca="1">IFERROR(_FV(Tableau1[[#This Row],[Code Excel]],"Industrie"),"")</f>
        <v>Food &amp; Tobacco</v>
      </c>
      <c r="W336" s="4" t="s">
        <v>1693</v>
      </c>
      <c r="X336" s="4" t="str">
        <f ca="1">Tableau1[[#This Row],[Grand Secteur]]&amp;Tableau1[[#This Row],[Industrie]]</f>
        <v>SemencesFood &amp; Tobacco</v>
      </c>
      <c r="Y336" s="23" cm="1">
        <f t="array" aca="1" ref="Y336" ca="1">IFERROR(_FV(Tableau1[[#This Row],[Code Excel]],"P/E",TRUE),"")</f>
        <v>11.639799999999999</v>
      </c>
      <c r="Z336" s="43" cm="1">
        <f t="array" aca="1" ref="Z336" ca="1">IFERROR(_FV(Tableau1[[#This Row],[Code Excel]],"Employés"),"")</f>
        <v>7254</v>
      </c>
      <c r="AA336" s="46">
        <f ca="1">IFERROR(Tableau1[[#This Row],[Capitalisation boursière]]/Tableau1[[#This Row],[Employés]],"")</f>
        <v>201560.93189964158</v>
      </c>
      <c r="AB336" s="5" t="str">
        <f>IFERROR(Tableau1[[#This Row],[REX (2021)]]/Tableau1[[#This Row],[CA 2024]],"")</f>
        <v/>
      </c>
      <c r="AC336" s="9" t="str">
        <f>IFERROR(_xlfn.XLOOKUP(Tableau1[[#This Row],[Isin]]&amp;1&amp;2021,#REF!,Tableau3[Résultat d''exploitation]),"")</f>
        <v/>
      </c>
      <c r="AD336" s="9" t="str">
        <f>IFERROR(_xlfn.XLOOKUP(Tableau1[[#This Row],[Isin]]&amp;1&amp;2019,#REF!,Tableau3[Chiffre d''affaires]),"")</f>
        <v/>
      </c>
      <c r="AE336" s="9" t="str">
        <f>IFERROR(_xlfn.XLOOKUP(Tableau1[[#This Row],[Isin]]&amp;1&amp;2024,#REF!,Tableau3[Chiffre d''affaires]),"")</f>
        <v/>
      </c>
      <c r="AF336" s="8" t="str">
        <f>IFERROR(IF((Tableau1[[#This Row],[CA 2024]]-Tableau1[[#This Row],[CA 2019]])/Tableau1[[#This Row],[CA 2019]]=-1,"",(Tableau1[[#This Row],[CA 2024]]-Tableau1[[#This Row],[CA 2019]])/Tableau1[[#This Row],[CA 2019]]),"")</f>
        <v/>
      </c>
      <c r="AG336" s="9" t="str">
        <f>IFERROR(_xlfn.XLOOKUP(Tableau1[[#This Row],[Isin]]&amp;1&amp;2021,#REF!,Tableau3[EBE]),"")</f>
        <v/>
      </c>
      <c r="AH336" s="9" t="str">
        <f>IFERROR(_xlfn.XLOOKUP(Tableau1[[#This Row],[Isin]]&amp;1&amp;2022,#REF!,Tableau3[EBE]),"")</f>
        <v/>
      </c>
      <c r="AI336" s="43" t="s">
        <v>4343</v>
      </c>
      <c r="AJ336" s="43" t="s">
        <v>3150</v>
      </c>
      <c r="AK336" s="43" t="s">
        <v>3148</v>
      </c>
      <c r="AL336" s="43" t="s">
        <v>3149</v>
      </c>
      <c r="AM336" s="43"/>
      <c r="AN336" s="9" t="str">
        <f>IFERROR(_xlfn.XLOOKUP(Tableau1[[#This Row],[Isin]]&amp;1&amp;2021,#REF!,Tableau3[Chiffre d''affaires]),"")</f>
        <v/>
      </c>
      <c r="AO336" s="43" cm="1">
        <f t="array" aca="1" ref="AO336" ca="1">_FV(Tableau1[[#This Row],[Code Excel]],"P/E",TRUE)</f>
        <v>11.639799999999999</v>
      </c>
      <c r="AP336" s="43" t="str">
        <f>IFERROR(_xlfn.XLOOKUP(Tableau1[[#This Row],[Isin]]&amp;1&amp;2023,#REF!,Tableau3[Résultat Net (PdG)]),"")</f>
        <v/>
      </c>
      <c r="AQ336" s="43">
        <f>IF(IFERROR(_xlfn.XLOOKUP(Tableau1[[#This Row],[Isin]]&amp;1&amp;2022,#REF!,Tableau3[Résultat Net (PdG)]),"")="",Tableau1[[#This Row],[RN Groupe 2022
Manuel]],IFERROR(_xlfn.XLOOKUP(Tableau1[[#This Row],[Isin]]&amp;1&amp;2022,#REF!,Tableau3[Résultat Net (PdG)]),""))</f>
        <v>0</v>
      </c>
      <c r="AR336" s="43"/>
      <c r="AS336" s="43">
        <f>IF(IFERROR(_xlfn.XLOOKUP(Tableau1[[#This Row],[Isin]]&amp;1&amp;2021,#REF!,Tableau3[Résultat Net (PdG)]),"")="",Tableau1[[#This Row],[RN Groupe 2021
Manuel]],IFERROR(_xlfn.XLOOKUP(Tableau1[[#This Row],[Isin]]&amp;1&amp;2021,#REF!,Tableau3[Résultat Net (PdG)]),""))</f>
        <v>0</v>
      </c>
      <c r="AT336" s="43"/>
      <c r="AU336" s="43" t="str">
        <f>IFERROR(_xlfn.XLOOKUP(Tableau1[[#This Row],[Isin]]&amp;1&amp;2020,#REF!,Tableau3[Résultat Net (PdG)]),"")</f>
        <v/>
      </c>
      <c r="AV336" s="43" t="str">
        <f>IFERROR(_xlfn.XLOOKUP(Tableau1[[#This Row],[Isin]]&amp;1&amp;2019,#REF!,Tableau3[Résultat Net (PdG)]),"")</f>
        <v/>
      </c>
      <c r="AW336" s="43" t="str">
        <f>IFERROR(_xlfn.XLOOKUP(Tableau1[[#This Row],[Isin]]&amp;1&amp;2018,#REF!,Tableau3[Résultat Net (PdG)]),"")</f>
        <v/>
      </c>
      <c r="AX336" s="43" t="str">
        <f>IFERROR(_xlfn.XLOOKUP(Tableau1[[#This Row],[Isin]]&amp;1&amp;2017,#REF!,Tableau3[Résultat Net (PdG)]),"")</f>
        <v/>
      </c>
      <c r="AY336" s="43" t="str">
        <f>IFERROR(_xlfn.XLOOKUP(Tableau1[[#This Row],[Isin]]&amp;1&amp;2016,#REF!,Tableau3[Résultat Net (PdG)]),"")</f>
        <v/>
      </c>
      <c r="AZ336" s="137" t="str">
        <f ca="1">IFERROR(Tableau1[[#This Row],[Capitalisation boursière]]/Tableau1[[#This Row],[RN Groupe 2023]],"")</f>
        <v/>
      </c>
      <c r="BA336" s="4" t="str" cm="1">
        <f t="array" aca="1" ref="BA336" ca="1">IFERROR(_FV(Tableau1[[#This Row],[Code Excel]],"Industrie"),"")</f>
        <v>Food &amp; Tobacco</v>
      </c>
      <c r="BB336" s="43" t="e">
        <v>#N/A</v>
      </c>
      <c r="BC336" s="43" t="str">
        <f>IFERROR(_xlfn.XLOOKUP(Tableau1[[#This Row],[Isin]]&amp;1&amp;2016,#REF!,Tableau3[Capi]),"")</f>
        <v/>
      </c>
      <c r="BD336" s="43" t="str">
        <f>IFERROR(_xlfn.XLOOKUP(Tableau1[[#This Row],[Isin]]&amp;1&amp;2017,#REF!,Tableau3[Capi]),"")</f>
        <v/>
      </c>
      <c r="BE336" s="43" t="str">
        <f>IFERROR(_xlfn.XLOOKUP(Tableau1[[#This Row],[Isin]]&amp;1&amp;2018,#REF!,Tableau3[Capi]),"")</f>
        <v/>
      </c>
      <c r="BF336" s="43" t="str">
        <f>IFERROR(_xlfn.XLOOKUP(Tableau1[[#This Row],[Isin]]&amp;1&amp;2019,#REF!,Tableau3[Capi]),"")</f>
        <v/>
      </c>
      <c r="BG336" s="43" t="str">
        <f>IFERROR(_xlfn.XLOOKUP(Tableau1[[#This Row],[Isin]]&amp;1&amp;2020,#REF!,Tableau3[Capi]),"")</f>
        <v/>
      </c>
      <c r="BH336" s="43">
        <f>IF(IFERROR(_xlfn.XLOOKUP(Tableau1[[#This Row],[Isin]]&amp;1&amp;2021,#REF!,Tableau3[Capi]),"")="",Tableau1[[#This Row],[Capitalisation 2021
Manuel]],IFERROR(_xlfn.XLOOKUP(Tableau1[[#This Row],[Isin]]&amp;1&amp;2021,#REF!,Tableau3[Capi]),""))</f>
        <v>0</v>
      </c>
      <c r="BI336" s="43"/>
      <c r="BJ336" s="43">
        <f>IF(IFERROR(_xlfn.XLOOKUP(Tableau1[[#This Row],[Isin]]&amp;1&amp;2022,#REF!,Tableau3[Capi]),"")="",Tableau1[[#This Row],[Capitalisation 2022
Manuel]],IFERROR(_xlfn.XLOOKUP(Tableau1[[#This Row],[Isin]]&amp;1&amp;2022,#REF!,Tableau3[Capi]),""))</f>
        <v>0</v>
      </c>
      <c r="BK336" s="43"/>
      <c r="BL336" s="43">
        <f ca="1">Tableau1[[#This Row],[Capitalisation boursière]]</f>
        <v>1462123000</v>
      </c>
      <c r="BM336" s="162" t="str" cm="1">
        <f t="array" aca="1" ref="BM336" ca="1">_FV(Tableau1[[#This Row],[Code Excel]],"Description")</f>
        <v>Vilmorin &amp; Cie SA is engaged in the production, marketing and sale of vegetable and crop seeds for agricultural production and market gardeners. The Vegetable seeds division is involved in the production and sale of vegetable seeds under the brand names, such as Hazera-Nickerson, Vilmorin SA, HM.Clause and Mikado Kyowa Seed, among others, intended for the professional food market, including market gardeners, processors, and specialists in canning, specialists in deep-freezing and freeze-drying. The Field Seeds division is focused on field seeds, including corn, straw cereals, grape and sunflower seeds for European and American clients. The Garden Products division is structured around two companies, Vilmorin Jardin and Suttons. In March 15, 2013, it acquired the Bisco Bio Sciences of India. In October 2013, it announced that it has recently taken over Shamrock. In November 2013, it acquired Eureka Seeds Inc. In March 2014, it acquired Seed Asia based in Bangkok.</v>
      </c>
      <c r="BN336" s="43"/>
      <c r="BO336" s="43"/>
      <c r="BP336" s="43"/>
      <c r="BQ336" s="43"/>
      <c r="BR336" s="13"/>
      <c r="BS336" s="13"/>
      <c r="BU336" s="4"/>
      <c r="BV336" s="4"/>
    </row>
    <row r="337" spans="3:73">
      <c r="C337" s="43"/>
      <c r="D337" s="42">
        <f>IF(Tableau1[[#This Row],[Isin]]="",99,Tableau1[[#This Row],[Intérêt]]+Tableau1[[#This Row],[Valeur d''intérêt]]+Tableau1[[#This Row],[N° Portefeuille]])</f>
        <v>20</v>
      </c>
      <c r="E337" s="43"/>
      <c r="F337" s="42">
        <f>IF(Tableau1[[#This Row],[Portefeuille]]="p",0,Tableau1[[#This Row],[F. Investissement
Niveau d''intérêt]]*10)</f>
        <v>20</v>
      </c>
      <c r="G337" s="43">
        <f>IF(Tableau1[[#This Row],[Portefeuille]]="p",3,0)</f>
        <v>0</v>
      </c>
      <c r="H337" s="43">
        <v>2</v>
      </c>
      <c r="I337" s="43">
        <v>2</v>
      </c>
      <c r="J337" s="43"/>
      <c r="K337" s="43"/>
      <c r="L337" s="16">
        <v>1</v>
      </c>
      <c r="M33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7" s="44" t="s">
        <v>1925</v>
      </c>
      <c r="O337" s="44" t="s">
        <v>1926</v>
      </c>
      <c r="P337" s="4" t="s">
        <v>84</v>
      </c>
      <c r="Q337" s="6" t="s">
        <v>85</v>
      </c>
      <c r="R337" s="6"/>
      <c r="S337" s="6" t="s">
        <v>1928</v>
      </c>
      <c r="T337" s="48" t="e" vm="314">
        <v>#VALUE!</v>
      </c>
      <c r="U337" s="46" cm="1">
        <f t="array" aca="1" ref="U337" ca="1">IFERROR(_FV(Tableau1[[#This Row],[Code Excel]],"Capitalisation boursière",TRUE),"")</f>
        <v>69132590000</v>
      </c>
      <c r="V337" s="4" t="str" cm="1">
        <f t="array" aca="1" ref="V337" ca="1">IFERROR(_FV(Tableau1[[#This Row],[Code Excel]],"Industrie"),"")</f>
        <v>Construction &amp; Engineering</v>
      </c>
      <c r="W337" s="4" t="s">
        <v>1926</v>
      </c>
      <c r="X337" s="4" t="str">
        <f ca="1">Tableau1[[#This Row],[Grand Secteur]]&amp;Tableau1[[#This Row],[Industrie]]</f>
        <v>ConstructionConstruction &amp; Engineering</v>
      </c>
      <c r="Y337" s="23" cm="1">
        <f t="array" aca="1" ref="Y337" ca="1">IFERROR(_FV(Tableau1[[#This Row],[Code Excel]],"P/E",TRUE),"")</f>
        <v>13.911199999999999</v>
      </c>
      <c r="Z337" s="43" cm="1">
        <f t="array" aca="1" ref="Z337" ca="1">IFERROR(_FV(Tableau1[[#This Row],[Code Excel]],"Employés"),"")</f>
        <v>282481</v>
      </c>
      <c r="AA337" s="46">
        <f ca="1">IFERROR(Tableau1[[#This Row],[Capitalisation boursière]]/Tableau1[[#This Row],[Employés]],"")</f>
        <v>244733.59270181003</v>
      </c>
      <c r="AB337" s="5" t="str">
        <f>IFERROR(Tableau1[[#This Row],[REX (2021)]]/Tableau1[[#This Row],[CA 2024]],"")</f>
        <v/>
      </c>
      <c r="AC337" s="9" t="str">
        <f>IFERROR(_xlfn.XLOOKUP(Tableau1[[#This Row],[Isin]]&amp;1&amp;2021,#REF!,Tableau3[Résultat d''exploitation]),"")</f>
        <v/>
      </c>
      <c r="AD337" s="9" t="str">
        <f>IFERROR(_xlfn.XLOOKUP(Tableau1[[#This Row],[Isin]]&amp;1&amp;2019,#REF!,Tableau3[Chiffre d''affaires]),"")</f>
        <v/>
      </c>
      <c r="AE337" s="9" t="str">
        <f>IFERROR(_xlfn.XLOOKUP(Tableau1[[#This Row],[Isin]]&amp;1&amp;2024,#REF!,Tableau3[Chiffre d''affaires]),"")</f>
        <v/>
      </c>
      <c r="AF337" s="8" t="str">
        <f>IFERROR(IF((Tableau1[[#This Row],[CA 2024]]-Tableau1[[#This Row],[CA 2019]])/Tableau1[[#This Row],[CA 2019]]=-1,"",(Tableau1[[#This Row],[CA 2024]]-Tableau1[[#This Row],[CA 2019]])/Tableau1[[#This Row],[CA 2019]]),"")</f>
        <v/>
      </c>
      <c r="AG337" s="9" t="str">
        <f>IFERROR(_xlfn.XLOOKUP(Tableau1[[#This Row],[Isin]]&amp;1&amp;2021,#REF!,Tableau3[EBE]),"")</f>
        <v/>
      </c>
      <c r="AH337" s="9" t="str">
        <f>IFERROR(_xlfn.XLOOKUP(Tableau1[[#This Row],[Isin]]&amp;1&amp;2022,#REF!,Tableau3[EBE]),"")</f>
        <v/>
      </c>
      <c r="AI337" s="43" t="s">
        <v>4329</v>
      </c>
      <c r="AJ337" s="43" t="s">
        <v>4322</v>
      </c>
      <c r="AK337" s="43" t="s">
        <v>3431</v>
      </c>
      <c r="AL337" s="43" t="s">
        <v>3148</v>
      </c>
      <c r="AM337" s="43"/>
      <c r="AN337" s="9" t="str">
        <f>IFERROR(_xlfn.XLOOKUP(Tableau1[[#This Row],[Isin]]&amp;1&amp;2021,#REF!,Tableau3[Chiffre d''affaires]),"")</f>
        <v/>
      </c>
      <c r="AO337" s="43" cm="1">
        <f t="array" aca="1" ref="AO337" ca="1">_FV(Tableau1[[#This Row],[Code Excel]],"P/E",TRUE)</f>
        <v>13.911199999999999</v>
      </c>
      <c r="AP337" s="43" t="str">
        <f>IFERROR(_xlfn.XLOOKUP(Tableau1[[#This Row],[Isin]]&amp;1&amp;2023,#REF!,Tableau3[Résultat Net (PdG)]),"")</f>
        <v/>
      </c>
      <c r="AQ337" s="43">
        <f>IF(IFERROR(_xlfn.XLOOKUP(Tableau1[[#This Row],[Isin]]&amp;1&amp;2022,#REF!,Tableau3[Résultat Net (PdG)]),"")="",Tableau1[[#This Row],[RN Groupe 2022
Manuel]],IFERROR(_xlfn.XLOOKUP(Tableau1[[#This Row],[Isin]]&amp;1&amp;2022,#REF!,Tableau3[Résultat Net (PdG)]),""))</f>
        <v>0</v>
      </c>
      <c r="AR337" s="140"/>
      <c r="AS337" s="43">
        <f>IF(IFERROR(_xlfn.XLOOKUP(Tableau1[[#This Row],[Isin]]&amp;1&amp;2021,#REF!,Tableau3[Résultat Net (PdG)]),"")="",Tableau1[[#This Row],[RN Groupe 2021
Manuel]],IFERROR(_xlfn.XLOOKUP(Tableau1[[#This Row],[Isin]]&amp;1&amp;2021,#REF!,Tableau3[Résultat Net (PdG)]),""))</f>
        <v>0</v>
      </c>
      <c r="AT337" s="140"/>
      <c r="AU337" s="43" t="str">
        <f>IFERROR(_xlfn.XLOOKUP(Tableau1[[#This Row],[Isin]]&amp;1&amp;2020,#REF!,Tableau3[Résultat Net (PdG)]),"")</f>
        <v/>
      </c>
      <c r="AV337" s="43" t="str">
        <f>IFERROR(_xlfn.XLOOKUP(Tableau1[[#This Row],[Isin]]&amp;1&amp;2019,#REF!,Tableau3[Résultat Net (PdG)]),"")</f>
        <v/>
      </c>
      <c r="AW337" s="43" t="str">
        <f>IFERROR(_xlfn.XLOOKUP(Tableau1[[#This Row],[Isin]]&amp;1&amp;2018,#REF!,Tableau3[Résultat Net (PdG)]),"")</f>
        <v/>
      </c>
      <c r="AX337" s="43" t="str">
        <f>IFERROR(_xlfn.XLOOKUP(Tableau1[[#This Row],[Isin]]&amp;1&amp;2017,#REF!,Tableau3[Résultat Net (PdG)]),"")</f>
        <v/>
      </c>
      <c r="AY337" s="43" t="str">
        <f>IFERROR(_xlfn.XLOOKUP(Tableau1[[#This Row],[Isin]]&amp;1&amp;2016,#REF!,Tableau3[Résultat Net (PdG)]),"")</f>
        <v/>
      </c>
      <c r="AZ337" s="137" t="str">
        <f ca="1">IFERROR(Tableau1[[#This Row],[Capitalisation boursière]]/Tableau1[[#This Row],[RN Groupe 2023]],"")</f>
        <v/>
      </c>
      <c r="BA337" s="4" t="str" cm="1">
        <f t="array" aca="1" ref="BA337" ca="1">IFERROR(_FV(Tableau1[[#This Row],[Code Excel]],"Industrie"),"")</f>
        <v>Construction &amp; Engineering</v>
      </c>
      <c r="BB337" s="43" t="s">
        <v>3518</v>
      </c>
      <c r="BC337" s="43" t="str">
        <f>IFERROR(_xlfn.XLOOKUP(Tableau1[[#This Row],[Isin]]&amp;1&amp;2016,#REF!,Tableau3[Capi]),"")</f>
        <v/>
      </c>
      <c r="BD337" s="43" t="str">
        <f>IFERROR(_xlfn.XLOOKUP(Tableau1[[#This Row],[Isin]]&amp;1&amp;2017,#REF!,Tableau3[Capi]),"")</f>
        <v/>
      </c>
      <c r="BE337" s="43" t="str">
        <f>IFERROR(_xlfn.XLOOKUP(Tableau1[[#This Row],[Isin]]&amp;1&amp;2018,#REF!,Tableau3[Capi]),"")</f>
        <v/>
      </c>
      <c r="BF337" s="43" t="str">
        <f>IFERROR(_xlfn.XLOOKUP(Tableau1[[#This Row],[Isin]]&amp;1&amp;2019,#REF!,Tableau3[Capi]),"")</f>
        <v/>
      </c>
      <c r="BG337" s="43" t="str">
        <f>IFERROR(_xlfn.XLOOKUP(Tableau1[[#This Row],[Isin]]&amp;1&amp;2020,#REF!,Tableau3[Capi]),"")</f>
        <v/>
      </c>
      <c r="BH337" s="43">
        <f>IF(IFERROR(_xlfn.XLOOKUP(Tableau1[[#This Row],[Isin]]&amp;1&amp;2021,#REF!,Tableau3[Capi]),"")="",Tableau1[[#This Row],[Capitalisation 2021
Manuel]],IFERROR(_xlfn.XLOOKUP(Tableau1[[#This Row],[Isin]]&amp;1&amp;2021,#REF!,Tableau3[Capi]),""))</f>
        <v>55642451000</v>
      </c>
      <c r="BI337" s="142">
        <v>55642451000</v>
      </c>
      <c r="BJ337" s="141">
        <f>IF(IFERROR(_xlfn.XLOOKUP(Tableau1[[#This Row],[Isin]]&amp;1&amp;2022,#REF!,Tableau3[Capi]),"")="",Tableau1[[#This Row],[Capitalisation 2022
Manuel]],IFERROR(_xlfn.XLOOKUP(Tableau1[[#This Row],[Isin]]&amp;1&amp;2022,#REF!,Tableau3[Capi]),""))</f>
        <v>59535005000</v>
      </c>
      <c r="BK337" s="142">
        <v>59535005000</v>
      </c>
      <c r="BL337" s="43">
        <f ca="1">Tableau1[[#This Row],[Capitalisation boursière]]</f>
        <v>69132590000</v>
      </c>
      <c r="BM337" s="162" t="str" cm="1">
        <f t="array" aca="1" ref="BM337" ca="1">_FV(Tableau1[[#This Row],[Code Excel]],"Description")</f>
        <v>Vinci sa est une société française active dans le secteur des concessions et de la construction dans le monde entier. Elle gère quatre secteurs : conception et construction d'infrastructures, conception, exécution et maintenance d'infrastructures énergétiques et télécoms, gestion d'infrastructures sous-traitées et autres. La conception et la construction d'infrastructures (VINCI construction) : principalement dans les domaines du bâtiment, du génie civil et de l'hydraulique. Par ailleurs, le groupe développe une activité dans la construction, la rénovation et la maintenance d'infrastructures de transport (routes, autoroutes et voies ferrées ; Eurovia), la production d'agrégats et l'aménagement urbain ; la conception, l'exécution et la maintenance d'infrastructures énergétiques et télécoms (VINCI Energies et Cobra IS) ; la gestion d'infrastructures sous-traitées (VINCI concessions) : gestion principalement des routes et autoroutes (principalement par les autoroutes du Sud de la France et Cofiroute), des aires de stationnement, des activités aéroportuaires ; autre : principalement développement immobilier.</v>
      </c>
      <c r="BN337" s="43"/>
      <c r="BO337" s="43"/>
      <c r="BP337" s="43"/>
      <c r="BQ337" s="43"/>
      <c r="BR337" s="13"/>
      <c r="BT337" s="4"/>
      <c r="BU337" s="4"/>
    </row>
    <row r="338" spans="3:73">
      <c r="C338" s="42"/>
      <c r="D338" s="42">
        <f>IF(Tableau1[[#This Row],[Isin]]="",99,Tableau1[[#This Row],[Intérêt]]+Tableau1[[#This Row],[Valeur d''intérêt]]+Tableau1[[#This Row],[N° Portefeuille]])</f>
        <v>3</v>
      </c>
      <c r="E338" s="43"/>
      <c r="F338" s="42">
        <f>IF(Tableau1[[#This Row],[Portefeuille]]="p",0,Tableau1[[#This Row],[F. Investissement
Niveau d''intérêt]]*10)</f>
        <v>0</v>
      </c>
      <c r="G338" s="43">
        <f>IF(Tableau1[[#This Row],[Portefeuille]]="p",3,0)</f>
        <v>3</v>
      </c>
      <c r="H338" s="42">
        <v>1</v>
      </c>
      <c r="I338" s="43">
        <v>1</v>
      </c>
      <c r="J338" s="42"/>
      <c r="K338" s="43" t="s">
        <v>4362</v>
      </c>
      <c r="L338" s="16">
        <v>1</v>
      </c>
      <c r="M33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8" s="44" t="s">
        <v>1141</v>
      </c>
      <c r="O338" s="44" t="s">
        <v>4282</v>
      </c>
      <c r="P338" s="4" t="s">
        <v>84</v>
      </c>
      <c r="Q338" s="6" t="s">
        <v>85</v>
      </c>
      <c r="R338" s="6"/>
      <c r="S338" s="6" t="s">
        <v>1144</v>
      </c>
      <c r="T338" s="48" t="e" vm="315">
        <v>#VALUE!</v>
      </c>
      <c r="U338" s="46" cm="1">
        <f t="array" aca="1" ref="U338" ca="1">IFERROR(_FV(Tableau1[[#This Row],[Code Excel]],"Capitalisation boursière",TRUE),"")</f>
        <v>2529784000</v>
      </c>
      <c r="V338" s="4" t="str" cm="1">
        <f t="array" aca="1" ref="V338" ca="1">IFERROR(_FV(Tableau1[[#This Row],[Code Excel]],"Industrie"),"")</f>
        <v>Pharmaceuticals</v>
      </c>
      <c r="W338" s="4" t="s">
        <v>1586</v>
      </c>
      <c r="X338" s="4" t="str">
        <f ca="1">Tableau1[[#This Row],[Grand Secteur]]&amp;Tableau1[[#This Row],[Industrie]]</f>
        <v>SantéPharmaceuticals</v>
      </c>
      <c r="Y338" s="23" cm="1">
        <f t="array" aca="1" ref="Y338" ca="1">IFERROR(_FV(Tableau1[[#This Row],[Code Excel]],"P/E",TRUE),"")</f>
        <v>17.029399999999999</v>
      </c>
      <c r="Z338" s="43" cm="1">
        <f t="array" aca="1" ref="Z338" ca="1">IFERROR(_FV(Tableau1[[#This Row],[Code Excel]],"Employés"),"")</f>
        <v>5620</v>
      </c>
      <c r="AA338" s="49">
        <f ca="1">IFERROR(Tableau1[[#This Row],[Capitalisation boursière]]/Tableau1[[#This Row],[Employés]],"")</f>
        <v>450139.50177935942</v>
      </c>
      <c r="AB338" s="5" t="str">
        <f>IFERROR(Tableau1[[#This Row],[REX (2021)]]/Tableau1[[#This Row],[CA 2024]],"")</f>
        <v/>
      </c>
      <c r="AC338" s="9" t="str">
        <f>IFERROR(_xlfn.XLOOKUP(Tableau1[[#This Row],[Isin]]&amp;1&amp;2021,#REF!,Tableau3[Résultat d''exploitation]),"")</f>
        <v/>
      </c>
      <c r="AD338" s="9" t="str">
        <f>IFERROR(_xlfn.XLOOKUP(Tableau1[[#This Row],[Isin]]&amp;1&amp;2019,#REF!,Tableau3[Chiffre d''affaires]),"")</f>
        <v/>
      </c>
      <c r="AE338" s="9" t="str">
        <f>IFERROR(_xlfn.XLOOKUP(Tableau1[[#This Row],[Isin]]&amp;1&amp;2024,#REF!,Tableau3[Chiffre d''affaires]),"")</f>
        <v/>
      </c>
      <c r="AF338" s="8" t="str">
        <f>IFERROR(IF((Tableau1[[#This Row],[CA 2024]]-Tableau1[[#This Row],[CA 2019]])/Tableau1[[#This Row],[CA 2019]]=-1,"",(Tableau1[[#This Row],[CA 2024]]-Tableau1[[#This Row],[CA 2019]])/Tableau1[[#This Row],[CA 2019]]),"")</f>
        <v/>
      </c>
      <c r="AG338" s="9" t="str">
        <f>IFERROR(_xlfn.XLOOKUP(Tableau1[[#This Row],[Isin]]&amp;1&amp;2021,#REF!,Tableau3[EBE]),"")</f>
        <v/>
      </c>
      <c r="AH338" s="9" t="str">
        <f>IFERROR(_xlfn.XLOOKUP(Tableau1[[#This Row],[Isin]]&amp;1&amp;2022,#REF!,Tableau3[EBE]),"")</f>
        <v/>
      </c>
      <c r="AI338" s="13" t="s">
        <v>4343</v>
      </c>
      <c r="AJ338" s="13" t="s">
        <v>4322</v>
      </c>
      <c r="AK338" s="13" t="s">
        <v>3148</v>
      </c>
      <c r="AL338" s="43" t="s">
        <v>4343</v>
      </c>
      <c r="AM338" s="43"/>
      <c r="AN338" s="9" t="str">
        <f>IFERROR(_xlfn.XLOOKUP(Tableau1[[#This Row],[Isin]]&amp;1&amp;2021,#REF!,Tableau3[Chiffre d''affaires]),"")</f>
        <v/>
      </c>
      <c r="AO338" s="43" cm="1">
        <f t="array" aca="1" ref="AO338" ca="1">_FV(Tableau1[[#This Row],[Code Excel]],"P/E",TRUE)</f>
        <v>17.029399999999999</v>
      </c>
      <c r="AP338" s="43" t="str">
        <f>IFERROR(_xlfn.XLOOKUP(Tableau1[[#This Row],[Isin]]&amp;1&amp;2023,#REF!,Tableau3[Résultat Net (PdG)]),"")</f>
        <v/>
      </c>
      <c r="AQ338" s="43">
        <f>IF(IFERROR(_xlfn.XLOOKUP(Tableau1[[#This Row],[Isin]]&amp;1&amp;2022,#REF!,Tableau3[Résultat Net (PdG)]),"")="",Tableau1[[#This Row],[RN Groupe 2022
Manuel]],IFERROR(_xlfn.XLOOKUP(Tableau1[[#This Row],[Isin]]&amp;1&amp;2022,#REF!,Tableau3[Résultat Net (PdG)]),""))</f>
        <v>0</v>
      </c>
      <c r="AR338" s="43"/>
      <c r="AS338" s="43">
        <f>IF(IFERROR(_xlfn.XLOOKUP(Tableau1[[#This Row],[Isin]]&amp;1&amp;2021,#REF!,Tableau3[Résultat Net (PdG)]),"")="",Tableau1[[#This Row],[RN Groupe 2021
Manuel]],IFERROR(_xlfn.XLOOKUP(Tableau1[[#This Row],[Isin]]&amp;1&amp;2021,#REF!,Tableau3[Résultat Net (PdG)]),""))</f>
        <v>0</v>
      </c>
      <c r="AT338" s="43"/>
      <c r="AU338" s="43" t="str">
        <f>IFERROR(_xlfn.XLOOKUP(Tableau1[[#This Row],[Isin]]&amp;1&amp;2020,#REF!,Tableau3[Résultat Net (PdG)]),"")</f>
        <v/>
      </c>
      <c r="AV338" s="43" t="str">
        <f>IFERROR(_xlfn.XLOOKUP(Tableau1[[#This Row],[Isin]]&amp;1&amp;2019,#REF!,Tableau3[Résultat Net (PdG)]),"")</f>
        <v/>
      </c>
      <c r="AW338" s="43" t="str">
        <f>IFERROR(_xlfn.XLOOKUP(Tableau1[[#This Row],[Isin]]&amp;1&amp;2018,#REF!,Tableau3[Résultat Net (PdG)]),"")</f>
        <v/>
      </c>
      <c r="AX338" s="43" t="str">
        <f>IFERROR(_xlfn.XLOOKUP(Tableau1[[#This Row],[Isin]]&amp;1&amp;2017,#REF!,Tableau3[Résultat Net (PdG)]),"")</f>
        <v/>
      </c>
      <c r="AY338" s="43" t="str">
        <f>IFERROR(_xlfn.XLOOKUP(Tableau1[[#This Row],[Isin]]&amp;1&amp;2016,#REF!,Tableau3[Résultat Net (PdG)]),"")</f>
        <v/>
      </c>
      <c r="AZ338" s="137" t="str">
        <f ca="1">IFERROR(Tableau1[[#This Row],[Capitalisation boursière]]/Tableau1[[#This Row],[RN Groupe 2023]],"")</f>
        <v/>
      </c>
      <c r="BA338" s="4" t="str" cm="1">
        <f t="array" aca="1" ref="BA338" ca="1">IFERROR(_FV(Tableau1[[#This Row],[Code Excel]],"Industrie"),"")</f>
        <v>Pharmaceuticals</v>
      </c>
      <c r="BB338" s="43" t="s">
        <v>3477</v>
      </c>
      <c r="BC338" s="43" t="str">
        <f>IFERROR(_xlfn.XLOOKUP(Tableau1[[#This Row],[Isin]]&amp;1&amp;2016,#REF!,Tableau3[Capi]),"")</f>
        <v/>
      </c>
      <c r="BD338" s="43" t="str">
        <f>IFERROR(_xlfn.XLOOKUP(Tableau1[[#This Row],[Isin]]&amp;1&amp;2017,#REF!,Tableau3[Capi]),"")</f>
        <v/>
      </c>
      <c r="BE338" s="43" t="str">
        <f>IFERROR(_xlfn.XLOOKUP(Tableau1[[#This Row],[Isin]]&amp;1&amp;2018,#REF!,Tableau3[Capi]),"")</f>
        <v/>
      </c>
      <c r="BF338" s="43" t="str">
        <f>IFERROR(_xlfn.XLOOKUP(Tableau1[[#This Row],[Isin]]&amp;1&amp;2019,#REF!,Tableau3[Capi]),"")</f>
        <v/>
      </c>
      <c r="BG338" s="43" t="str">
        <f>IFERROR(_xlfn.XLOOKUP(Tableau1[[#This Row],[Isin]]&amp;1&amp;2020,#REF!,Tableau3[Capi]),"")</f>
        <v/>
      </c>
      <c r="BH338" s="43">
        <f>IF(IFERROR(_xlfn.XLOOKUP(Tableau1[[#This Row],[Isin]]&amp;1&amp;2021,#REF!,Tableau3[Capi]),"")="",Tableau1[[#This Row],[Capitalisation 2021
Manuel]],IFERROR(_xlfn.XLOOKUP(Tableau1[[#This Row],[Isin]]&amp;1&amp;2021,#REF!,Tableau3[Capi]),""))</f>
        <v>0</v>
      </c>
      <c r="BI338" s="43"/>
      <c r="BJ338" s="43">
        <f>IF(IFERROR(_xlfn.XLOOKUP(Tableau1[[#This Row],[Isin]]&amp;1&amp;2022,#REF!,Tableau3[Capi]),"")="",Tableau1[[#This Row],[Capitalisation 2022
Manuel]],IFERROR(_xlfn.XLOOKUP(Tableau1[[#This Row],[Isin]]&amp;1&amp;2022,#REF!,Tableau3[Capi]),""))</f>
        <v>0</v>
      </c>
      <c r="BK338" s="43"/>
      <c r="BL338" s="43">
        <f ca="1">Tableau1[[#This Row],[Capitalisation boursière]]</f>
        <v>2529784000</v>
      </c>
      <c r="BM338" s="162" t="str" cm="1">
        <f t="array" aca="1" ref="BM338" ca="1">_FV(Tableau1[[#This Row],[Code Excel]],"Description")</f>
        <v>Virbac sa est une société pharmaceutique vétérinaire basée en France, spécialisée dans le développement et la production de vaccins et de médicaments pour les animaux domestiques et le bétail. Ses centres de production sont situés en France, en Australie, aux États-Unis, au Mexique, au Vietnam, Brésil et Afrique du Sud. Ses efforts de développement se concentrent principalement sur la formulation de médicaments destinés à prévenir ou guérir certaines maladies animales. Son portefeuille de produits comprend des médicaments pour animaux de compagnie tels que des médicaments antiparasitaires, des vaccins, des antibiotiques, des anesthésiques, des anti-inflammatoires, les produits de soins buccaux et dentaires, les produits ophtalmologiques et dermatologiques destinés aux chiens, chats, chevaux, oiseaux et rongeurs, ainsi que les médicaments pour le bétail, y compris les médicaments antiparasitaires et les antibiotiques destinés aux bovins, ovins, porcins et volailles. Il propose également des puces alimentaires et électroniques d'identification pour animaux de compagnie.</v>
      </c>
      <c r="BN338" s="43"/>
      <c r="BO338" s="43"/>
      <c r="BP338" s="43"/>
      <c r="BQ338" s="43"/>
      <c r="BR338" s="13"/>
      <c r="BT338" s="4"/>
      <c r="BU338" s="4"/>
    </row>
    <row r="339" spans="3:73">
      <c r="C339" s="43"/>
      <c r="D339" s="42">
        <f>IF(Tableau1[[#This Row],[Isin]]="",99,Tableau1[[#This Row],[Intérêt]]+Tableau1[[#This Row],[Valeur d''intérêt]]+Tableau1[[#This Row],[N° Portefeuille]])</f>
        <v>30</v>
      </c>
      <c r="E339" s="43"/>
      <c r="F339" s="42">
        <f>IF(Tableau1[[#This Row],[Portefeuille]]="p",0,Tableau1[[#This Row],[F. Investissement
Niveau d''intérêt]]*10)</f>
        <v>30</v>
      </c>
      <c r="G339" s="43">
        <f>IF(Tableau1[[#This Row],[Portefeuille]]="p",3,0)</f>
        <v>0</v>
      </c>
      <c r="H339" s="43">
        <v>3</v>
      </c>
      <c r="I339" s="43">
        <v>4</v>
      </c>
      <c r="J339" s="43"/>
      <c r="K339" s="43"/>
      <c r="L339" s="16">
        <v>1</v>
      </c>
      <c r="M33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39" s="44" t="s">
        <v>659</v>
      </c>
      <c r="O339" s="44" t="s">
        <v>4400</v>
      </c>
      <c r="P339" s="4" t="s">
        <v>382</v>
      </c>
      <c r="Q339" s="6" t="s">
        <v>383</v>
      </c>
      <c r="R339" s="6"/>
      <c r="S339" s="6" t="s">
        <v>662</v>
      </c>
      <c r="T339" s="6" t="e" vm="316">
        <v>#VALUE!</v>
      </c>
      <c r="U339" s="51" cm="1">
        <f t="array" aca="1" ref="U339" ca="1">IFERROR(_FV(Tableau1[[#This Row],[Code Excel]],"Capitalisation boursière",TRUE),"")</f>
        <v>664138036920</v>
      </c>
      <c r="V339" s="4" t="str" cm="1">
        <f t="array" aca="1" ref="V339" ca="1">IFERROR(_FV(Tableau1[[#This Row],[Code Excel]],"Industrie"),"")</f>
        <v>Software &amp; IT Services</v>
      </c>
      <c r="W339" s="4" t="s">
        <v>4335</v>
      </c>
      <c r="X339" s="4" t="str">
        <f ca="1">Tableau1[[#This Row],[Grand Secteur]]&amp;Tableau1[[#This Row],[Industrie]]</f>
        <v>FinanceSoftware &amp; IT Services</v>
      </c>
      <c r="Y339" s="23" cm="1">
        <f t="array" aca="1" ref="Y339" ca="1">IFERROR(_FV(Tableau1[[#This Row],[Code Excel]],"P/E",TRUE),"")</f>
        <v>34.519399999999997</v>
      </c>
      <c r="Z339" s="43" cm="1">
        <f t="array" aca="1" ref="Z339" ca="1">IFERROR(_FV(Tableau1[[#This Row],[Code Excel]],"Employés"),"")</f>
        <v>31600</v>
      </c>
      <c r="AA339" s="49">
        <f ca="1">IFERROR(Tableau1[[#This Row],[Capitalisation boursière]]/Tableau1[[#This Row],[Employés]],"")</f>
        <v>21017026.484810125</v>
      </c>
      <c r="AB339" s="5" t="str">
        <f>IFERROR(Tableau1[[#This Row],[REX (2021)]]/Tableau1[[#This Row],[CA 2024]],"")</f>
        <v/>
      </c>
      <c r="AC339" s="9" t="str">
        <f>IFERROR(_xlfn.XLOOKUP(Tableau1[[#This Row],[Isin]]&amp;1&amp;2021,#REF!,Tableau3[Résultat d''exploitation]),"")</f>
        <v/>
      </c>
      <c r="AD339" s="9" t="str">
        <f>IFERROR(_xlfn.XLOOKUP(Tableau1[[#This Row],[Isin]]&amp;1&amp;2019,#REF!,Tableau3[Chiffre d''affaires]),"")</f>
        <v/>
      </c>
      <c r="AE339" s="9" t="str">
        <f>IFERROR(_xlfn.XLOOKUP(Tableau1[[#This Row],[Isin]]&amp;1&amp;2024,#REF!,Tableau3[Chiffre d''affaires]),"")</f>
        <v/>
      </c>
      <c r="AF339" s="8" t="str">
        <f>IFERROR(IF((Tableau1[[#This Row],[CA 2024]]-Tableau1[[#This Row],[CA 2019]])/Tableau1[[#This Row],[CA 2019]]=-1,"",(Tableau1[[#This Row],[CA 2024]]-Tableau1[[#This Row],[CA 2019]])/Tableau1[[#This Row],[CA 2019]]),"")</f>
        <v/>
      </c>
      <c r="AG339" s="9" t="str">
        <f>IFERROR(_xlfn.XLOOKUP(Tableau1[[#This Row],[Isin]]&amp;1&amp;2021,#REF!,Tableau3[EBE]),"")</f>
        <v/>
      </c>
      <c r="AH339" s="9" t="str">
        <f>IFERROR(_xlfn.XLOOKUP(Tableau1[[#This Row],[Isin]]&amp;1&amp;2022,#REF!,Tableau3[EBE]),"")</f>
        <v/>
      </c>
      <c r="AI339" s="43" t="s">
        <v>4324</v>
      </c>
      <c r="AJ339" s="43" t="s">
        <v>4330</v>
      </c>
      <c r="AK339" s="43" t="s">
        <v>4327</v>
      </c>
      <c r="AL339" s="43" t="s">
        <v>3419</v>
      </c>
      <c r="AM339" s="43"/>
      <c r="AN339" s="9" t="str">
        <f>IFERROR(_xlfn.XLOOKUP(Tableau1[[#This Row],[Isin]]&amp;1&amp;2021,#REF!,Tableau3[Chiffre d''affaires]),"")</f>
        <v/>
      </c>
      <c r="AO339" s="43" cm="1">
        <f t="array" aca="1" ref="AO339" ca="1">_FV(Tableau1[[#This Row],[Code Excel]],"P/E",TRUE)</f>
        <v>34.519399999999997</v>
      </c>
      <c r="AP339" s="43" t="str">
        <f>IFERROR(_xlfn.XLOOKUP(Tableau1[[#This Row],[Isin]]&amp;1&amp;2023,#REF!,Tableau3[Résultat Net (PdG)]),"")</f>
        <v/>
      </c>
      <c r="AQ339" s="43">
        <f>IF(IFERROR(_xlfn.XLOOKUP(Tableau1[[#This Row],[Isin]]&amp;1&amp;2022,#REF!,Tableau3[Résultat Net (PdG)]),"")="",Tableau1[[#This Row],[RN Groupe 2022
Manuel]],IFERROR(_xlfn.XLOOKUP(Tableau1[[#This Row],[Isin]]&amp;1&amp;2022,#REF!,Tableau3[Résultat Net (PdG)]),""))</f>
        <v>0</v>
      </c>
      <c r="AR339" s="43"/>
      <c r="AS339" s="43">
        <f>IF(IFERROR(_xlfn.XLOOKUP(Tableau1[[#This Row],[Isin]]&amp;1&amp;2021,#REF!,Tableau3[Résultat Net (PdG)]),"")="",Tableau1[[#This Row],[RN Groupe 2021
Manuel]],IFERROR(_xlfn.XLOOKUP(Tableau1[[#This Row],[Isin]]&amp;1&amp;2021,#REF!,Tableau3[Résultat Net (PdG)]),""))</f>
        <v>0</v>
      </c>
      <c r="AT339" s="43"/>
      <c r="AU339" s="43" t="str">
        <f>IFERROR(_xlfn.XLOOKUP(Tableau1[[#This Row],[Isin]]&amp;1&amp;2020,#REF!,Tableau3[Résultat Net (PdG)]),"")</f>
        <v/>
      </c>
      <c r="AV339" s="43" t="str">
        <f>IFERROR(_xlfn.XLOOKUP(Tableau1[[#This Row],[Isin]]&amp;1&amp;2019,#REF!,Tableau3[Résultat Net (PdG)]),"")</f>
        <v/>
      </c>
      <c r="AW339" s="43" t="str">
        <f>IFERROR(_xlfn.XLOOKUP(Tableau1[[#This Row],[Isin]]&amp;1&amp;2018,#REF!,Tableau3[Résultat Net (PdG)]),"")</f>
        <v/>
      </c>
      <c r="AX339" s="43" t="str">
        <f>IFERROR(_xlfn.XLOOKUP(Tableau1[[#This Row],[Isin]]&amp;1&amp;2017,#REF!,Tableau3[Résultat Net (PdG)]),"")</f>
        <v/>
      </c>
      <c r="AY339" s="43" t="str">
        <f>IFERROR(_xlfn.XLOOKUP(Tableau1[[#This Row],[Isin]]&amp;1&amp;2016,#REF!,Tableau3[Résultat Net (PdG)]),"")</f>
        <v/>
      </c>
      <c r="AZ339" s="137" t="str">
        <f ca="1">IFERROR(Tableau1[[#This Row],[Capitalisation boursière]]/Tableau1[[#This Row],[RN Groupe 2023]],"")</f>
        <v/>
      </c>
      <c r="BA339" s="4" t="str" cm="1">
        <f t="array" aca="1" ref="BA339" ca="1">IFERROR(_FV(Tableau1[[#This Row],[Code Excel]],"Industrie"),"")</f>
        <v>Software &amp; IT Services</v>
      </c>
      <c r="BB339" s="43" t="s">
        <v>3464</v>
      </c>
      <c r="BC339" s="43" t="str">
        <f>IFERROR(_xlfn.XLOOKUP(Tableau1[[#This Row],[Isin]]&amp;1&amp;2016,#REF!,Tableau3[Capi]),"")</f>
        <v/>
      </c>
      <c r="BD339" s="43" t="str">
        <f>IFERROR(_xlfn.XLOOKUP(Tableau1[[#This Row],[Isin]]&amp;1&amp;2017,#REF!,Tableau3[Capi]),"")</f>
        <v/>
      </c>
      <c r="BE339" s="43" t="str">
        <f>IFERROR(_xlfn.XLOOKUP(Tableau1[[#This Row],[Isin]]&amp;1&amp;2018,#REF!,Tableau3[Capi]),"")</f>
        <v/>
      </c>
      <c r="BF339" s="43" t="str">
        <f>IFERROR(_xlfn.XLOOKUP(Tableau1[[#This Row],[Isin]]&amp;1&amp;2019,#REF!,Tableau3[Capi]),"")</f>
        <v/>
      </c>
      <c r="BG339" s="43" t="str">
        <f>IFERROR(_xlfn.XLOOKUP(Tableau1[[#This Row],[Isin]]&amp;1&amp;2020,#REF!,Tableau3[Capi]),"")</f>
        <v/>
      </c>
      <c r="BH339" s="43">
        <f>IF(IFERROR(_xlfn.XLOOKUP(Tableau1[[#This Row],[Isin]]&amp;1&amp;2021,#REF!,Tableau3[Capi]),"")="",Tableau1[[#This Row],[Capitalisation 2021
Manuel]],IFERROR(_xlfn.XLOOKUP(Tableau1[[#This Row],[Isin]]&amp;1&amp;2021,#REF!,Tableau3[Capi]),""))</f>
        <v>0</v>
      </c>
      <c r="BI339" s="43"/>
      <c r="BJ339" s="43">
        <f>IF(IFERROR(_xlfn.XLOOKUP(Tableau1[[#This Row],[Isin]]&amp;1&amp;2022,#REF!,Tableau3[Capi]),"")="",Tableau1[[#This Row],[Capitalisation 2022
Manuel]],IFERROR(_xlfn.XLOOKUP(Tableau1[[#This Row],[Isin]]&amp;1&amp;2022,#REF!,Tableau3[Capi]),""))</f>
        <v>0</v>
      </c>
      <c r="BK339" s="43"/>
      <c r="BL339" s="43">
        <f ca="1">Tableau1[[#This Row],[Capitalisation boursière]]</f>
        <v>664138036920</v>
      </c>
      <c r="BM339" s="162" t="str" cm="1">
        <f t="array" aca="1" ref="BM339" ca="1">_FV(Tableau1[[#This Row],[Code Excel]],"Description")</f>
        <v>Visa Inc. (Visa) est une société mondiale de technologie de paiement. La société fournit des paiements numériques dans plus de 200 pays et territoires. La Société relie les consommateurs, les commerçants, les institutions financières, les entreprises, les partenaires stratégiques et les entités gouvernementales grâce aux technologies. La Société exerce ses activités dans le secteur des services de paiement. La Société fournit des services de traitement des transactions, y compris principalement l'autorisation, la compensation et le règlement à ses clients institutions financières et commerçants par l'intermédiaire de VisaNet, son réseau de traitement des transactions. Ses principales solutions commerciales, y compris les programmes de crédit, de débit, prépayés et d'accès aux espèces pour les particuliers, les entreprises et les titulaires de comptes gouvernementaux. Elle fournit également des services à valeur ajoutée à ses clients, notamment des solutions d'émission, des solutions d'acceptation, des solutions de risque et d'identité, des services bancaires ouverts et des services de conseil. Elle propose également des produits et des solutions qui facilitent les mouvements d'argent pour tous les participants de l'écosystème.</v>
      </c>
      <c r="BN339" s="43"/>
      <c r="BO339" s="43"/>
      <c r="BP339" s="43"/>
      <c r="BQ339" s="43"/>
      <c r="BR339" s="13"/>
      <c r="BT339" s="4"/>
      <c r="BU339" s="4"/>
    </row>
    <row r="340" spans="3:73">
      <c r="C340" s="42"/>
      <c r="D340" s="42">
        <f>IF(Tableau1[[#This Row],[Isin]]="",99,Tableau1[[#This Row],[Intérêt]]+Tableau1[[#This Row],[Valeur d''intérêt]]+Tableau1[[#This Row],[N° Portefeuille]])</f>
        <v>30</v>
      </c>
      <c r="E340" s="42"/>
      <c r="F340" s="42">
        <f>IF(Tableau1[[#This Row],[Portefeuille]]="p",0,Tableau1[[#This Row],[F. Investissement
Niveau d''intérêt]]*10)</f>
        <v>30</v>
      </c>
      <c r="G340" s="42">
        <f>IF(Tableau1[[#This Row],[Portefeuille]]="p",3,0)</f>
        <v>0</v>
      </c>
      <c r="H340" s="42">
        <v>3</v>
      </c>
      <c r="I340" s="42">
        <v>4</v>
      </c>
      <c r="J340" s="42"/>
      <c r="K340" s="43"/>
      <c r="L340" s="16">
        <v>0</v>
      </c>
      <c r="M34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0" s="44" t="s">
        <v>4245</v>
      </c>
      <c r="O340" s="45"/>
      <c r="P340" s="4" t="s">
        <v>84</v>
      </c>
      <c r="Q340" s="4"/>
      <c r="R340" s="6"/>
      <c r="S340" s="6" t="s">
        <v>4246</v>
      </c>
      <c r="T340" s="6" t="e" vm="317">
        <v>#VALUE!</v>
      </c>
      <c r="U340" s="46" cm="1">
        <f t="array" aca="1" ref="U340" ca="1">IFERROR(_FV(Tableau1[[#This Row],[Code Excel]],"Capitalisation boursière",TRUE),"")</f>
        <v>2932177000</v>
      </c>
      <c r="V340" s="4" t="str" cm="1">
        <f t="array" aca="1" ref="V340" ca="1">IFERROR(_FV(Tableau1[[#This Row],[Code Excel]],"Industrie"),"")</f>
        <v>Media &amp; Publishing</v>
      </c>
      <c r="W340" s="4" t="s">
        <v>2018</v>
      </c>
      <c r="X340" s="4" t="str">
        <f ca="1">Tableau1[[#This Row],[Grand Secteur]]&amp;Tableau1[[#This Row],[Industrie]]</f>
        <v>MédiaMedia &amp; Publishing</v>
      </c>
      <c r="Y340" s="23" cm="1">
        <f t="array" aca="1" ref="Y340" ca="1">IFERROR(_FV(Tableau1[[#This Row],[Code Excel]],"P/E",TRUE),"")</f>
        <v>0</v>
      </c>
      <c r="Z340" s="43" cm="1">
        <f t="array" aca="1" ref="Z340" ca="1">IFERROR(_FV(Tableau1[[#This Row],[Code Excel]],"Employés"),"")</f>
        <v>2700</v>
      </c>
      <c r="AA340" s="49">
        <f ca="1">IFERROR(Tableau1[[#This Row],[Capitalisation boursière]]/Tableau1[[#This Row],[Employés]],"")</f>
        <v>1085991.4814814816</v>
      </c>
      <c r="AB340" s="5" t="str">
        <f>IFERROR(Tableau1[[#This Row],[REX (2021)]]/Tableau1[[#This Row],[CA 2024]],"")</f>
        <v/>
      </c>
      <c r="AC340" s="9" t="str">
        <f>IFERROR(_xlfn.XLOOKUP(Tableau1[[#This Row],[Isin]]&amp;1&amp;2021,#REF!,Tableau3[Résultat d''exploitation]),"")</f>
        <v/>
      </c>
      <c r="AD340" s="9" t="str">
        <f>IFERROR(_xlfn.XLOOKUP(Tableau1[[#This Row],[Isin]]&amp;1&amp;2019,#REF!,Tableau3[Chiffre d''affaires]),"")</f>
        <v/>
      </c>
      <c r="AE340" s="9" t="str">
        <f>IFERROR(_xlfn.XLOOKUP(Tableau1[[#This Row],[Isin]]&amp;1&amp;2024,#REF!,Tableau3[Chiffre d''affaires]),"")</f>
        <v/>
      </c>
      <c r="AF340" s="8" t="str">
        <f>IFERROR(IF((Tableau1[[#This Row],[CA 2024]]-Tableau1[[#This Row],[CA 2019]])/Tableau1[[#This Row],[CA 2019]]=-1,"",(Tableau1[[#This Row],[CA 2024]]-Tableau1[[#This Row],[CA 2019]])/Tableau1[[#This Row],[CA 2019]]),"")</f>
        <v/>
      </c>
      <c r="AG340" s="9" t="str">
        <f>IFERROR(_xlfn.XLOOKUP(Tableau1[[#This Row],[Isin]]&amp;1&amp;2021,#REF!,Tableau3[EBE]),"")</f>
        <v/>
      </c>
      <c r="AH340" s="9" t="str">
        <f>IFERROR(_xlfn.XLOOKUP(Tableau1[[#This Row],[Isin]]&amp;1&amp;2022,#REF!,Tableau3[EBE]),"")</f>
        <v/>
      </c>
      <c r="AI340" s="43" t="s">
        <v>3431</v>
      </c>
      <c r="AJ340" s="13" t="s">
        <v>3150</v>
      </c>
      <c r="AK340" s="43" t="s">
        <v>3431</v>
      </c>
      <c r="AL340" s="43"/>
      <c r="AM340" s="43"/>
      <c r="AN340" s="9" t="str">
        <f>IFERROR(_xlfn.XLOOKUP(Tableau1[[#This Row],[Isin]]&amp;1&amp;2021,#REF!,Tableau3[Chiffre d''affaires]),"")</f>
        <v/>
      </c>
      <c r="AO340" s="43" cm="1">
        <f t="array" aca="1" ref="AO340" ca="1">_FV(Tableau1[[#This Row],[Code Excel]],"P/E",TRUE)</f>
        <v>0</v>
      </c>
      <c r="AP340" s="43" t="str">
        <f>IFERROR(_xlfn.XLOOKUP(Tableau1[[#This Row],[Isin]]&amp;1&amp;2023,#REF!,Tableau3[Résultat Net (PdG)]),"")</f>
        <v/>
      </c>
      <c r="AQ340" s="43">
        <f>IF(IFERROR(_xlfn.XLOOKUP(Tableau1[[#This Row],[Isin]]&amp;1&amp;2022,#REF!,Tableau3[Résultat Net (PdG)]),"")="",Tableau1[[#This Row],[RN Groupe 2022
Manuel]],IFERROR(_xlfn.XLOOKUP(Tableau1[[#This Row],[Isin]]&amp;1&amp;2022,#REF!,Tableau3[Résultat Net (PdG)]),""))</f>
        <v>-1000000000</v>
      </c>
      <c r="AR340" s="140">
        <v>-1000000000</v>
      </c>
      <c r="AS340" s="43">
        <f>IF(IFERROR(_xlfn.XLOOKUP(Tableau1[[#This Row],[Isin]]&amp;1&amp;2021,#REF!,Tableau3[Résultat Net (PdG)]),"")="",Tableau1[[#This Row],[RN Groupe 2021
Manuel]],IFERROR(_xlfn.XLOOKUP(Tableau1[[#This Row],[Isin]]&amp;1&amp;2021,#REF!,Tableau3[Résultat Net (PdG)]),""))</f>
        <v>24692000000</v>
      </c>
      <c r="AT340" s="140">
        <v>24692000000</v>
      </c>
      <c r="AU340" s="43" t="str">
        <f>IFERROR(_xlfn.XLOOKUP(Tableau1[[#This Row],[Isin]]&amp;1&amp;2020,#REF!,Tableau3[Résultat Net (PdG)]),"")</f>
        <v/>
      </c>
      <c r="AV340" s="43" t="str">
        <f>IFERROR(_xlfn.XLOOKUP(Tableau1[[#This Row],[Isin]]&amp;1&amp;2019,#REF!,Tableau3[Résultat Net (PdG)]),"")</f>
        <v/>
      </c>
      <c r="AW340" s="43" t="str">
        <f>IFERROR(_xlfn.XLOOKUP(Tableau1[[#This Row],[Isin]]&amp;1&amp;2018,#REF!,Tableau3[Résultat Net (PdG)]),"")</f>
        <v/>
      </c>
      <c r="AX340" s="43" t="str">
        <f>IFERROR(_xlfn.XLOOKUP(Tableau1[[#This Row],[Isin]]&amp;1&amp;2017,#REF!,Tableau3[Résultat Net (PdG)]),"")</f>
        <v/>
      </c>
      <c r="AY340" s="43" t="str">
        <f>IFERROR(_xlfn.XLOOKUP(Tableau1[[#This Row],[Isin]]&amp;1&amp;2016,#REF!,Tableau3[Résultat Net (PdG)]),"")</f>
        <v/>
      </c>
      <c r="AZ340" s="137" t="str">
        <f ca="1">IFERROR(Tableau1[[#This Row],[Capitalisation boursière]]/Tableau1[[#This Row],[RN Groupe 2023]],"")</f>
        <v/>
      </c>
      <c r="BA340" s="4" t="str" cm="1">
        <f t="array" aca="1" ref="BA340" ca="1">IFERROR(_FV(Tableau1[[#This Row],[Code Excel]],"Industrie"),"")</f>
        <v>Media &amp; Publishing</v>
      </c>
      <c r="BB340" s="43" t="s">
        <v>3518</v>
      </c>
      <c r="BC340" s="43" t="str">
        <f>IFERROR(_xlfn.XLOOKUP(Tableau1[[#This Row],[Isin]]&amp;1&amp;2016,#REF!,Tableau3[Capi]),"")</f>
        <v/>
      </c>
      <c r="BD340" s="43" t="str">
        <f>IFERROR(_xlfn.XLOOKUP(Tableau1[[#This Row],[Isin]]&amp;1&amp;2017,#REF!,Tableau3[Capi]),"")</f>
        <v/>
      </c>
      <c r="BE340" s="43" t="str">
        <f>IFERROR(_xlfn.XLOOKUP(Tableau1[[#This Row],[Isin]]&amp;1&amp;2018,#REF!,Tableau3[Capi]),"")</f>
        <v/>
      </c>
      <c r="BF340" s="43" t="str">
        <f>IFERROR(_xlfn.XLOOKUP(Tableau1[[#This Row],[Isin]]&amp;1&amp;2019,#REF!,Tableau3[Capi]),"")</f>
        <v/>
      </c>
      <c r="BG340" s="43" t="str">
        <f>IFERROR(_xlfn.XLOOKUP(Tableau1[[#This Row],[Isin]]&amp;1&amp;2020,#REF!,Tableau3[Capi]),"")</f>
        <v/>
      </c>
      <c r="BH340" s="43">
        <f>IF(IFERROR(_xlfn.XLOOKUP(Tableau1[[#This Row],[Isin]]&amp;1&amp;2021,#REF!,Tableau3[Capi]),"")="",Tableau1[[#This Row],[Capitalisation 2021
Manuel]],IFERROR(_xlfn.XLOOKUP(Tableau1[[#This Row],[Isin]]&amp;1&amp;2021,#REF!,Tableau3[Capi]),""))</f>
        <v>11766022000</v>
      </c>
      <c r="BI340" s="142">
        <v>11766022000</v>
      </c>
      <c r="BJ340" s="141">
        <f>IF(IFERROR(_xlfn.XLOOKUP(Tableau1[[#This Row],[Isin]]&amp;1&amp;2022,#REF!,Tableau3[Capi]),"")="",Tableau1[[#This Row],[Capitalisation 2022
Manuel]],IFERROR(_xlfn.XLOOKUP(Tableau1[[#This Row],[Isin]]&amp;1&amp;2022,#REF!,Tableau3[Capi]),""))</f>
        <v>10099266000</v>
      </c>
      <c r="BK340" s="142">
        <v>10099266000</v>
      </c>
      <c r="BL340" s="43">
        <f ca="1">Tableau1[[#This Row],[Capitalisation boursière]]</f>
        <v>2932177000</v>
      </c>
      <c r="BM340" s="162" t="str" cm="1">
        <f t="array" aca="1" ref="BM340" ca="1">_FV(Tableau1[[#This Row],[Code Excel]],"Description")</f>
        <v>Vivendi SE est une société française. La société est principalement engagée dans le contenu, les médias et le divertissement, développant un portefeuille d’actifs cotés et non cotés sur son marché. Il est constitué principalement de plusieurs entreprises dans la production de contenu, la communication et les médias. Son portefeuille comprend des participations minoritaires dans des sociétés cotées en bourse : Universal Music Group et Banijay Group pour le contenu et le divertissement, MediaForEurope, Telecom Italia, Telefonica et Prisa pour les médias et les télécommunications. Il soutient les entreprises créatrices de valeur, offrant des perspectives durables et une contribution à l’évolution. Elle propose également l’édition de magazines (Prisma Media) et de jeux vidéo (Gameloft). Elle anticipe les dynamiques globales et participe aux transformations des secteurs dans lesquels le groupe opère.</v>
      </c>
      <c r="BN340" s="43"/>
      <c r="BO340" s="43"/>
      <c r="BP340" s="43"/>
      <c r="BQ340" s="43"/>
      <c r="BR340" s="13"/>
      <c r="BT340" s="4"/>
      <c r="BU340" s="4"/>
    </row>
    <row r="341" spans="3:73">
      <c r="C341" s="43"/>
      <c r="D341" s="42">
        <f>IF(Tableau1[[#This Row],[Isin]]="",99,Tableau1[[#This Row],[Intérêt]]+Tableau1[[#This Row],[Valeur d''intérêt]]+Tableau1[[#This Row],[N° Portefeuille]])</f>
        <v>30</v>
      </c>
      <c r="E341" s="43"/>
      <c r="F341" s="42">
        <f>IF(Tableau1[[#This Row],[Portefeuille]]="p",0,Tableau1[[#This Row],[F. Investissement
Niveau d''intérêt]]*10)</f>
        <v>30</v>
      </c>
      <c r="G341" s="43">
        <f>IF(Tableau1[[#This Row],[Portefeuille]]="p",3,0)</f>
        <v>0</v>
      </c>
      <c r="H341" s="43">
        <v>3</v>
      </c>
      <c r="I341" s="43">
        <v>4</v>
      </c>
      <c r="J341" s="43"/>
      <c r="K341" s="43"/>
      <c r="L341" s="16">
        <v>0</v>
      </c>
      <c r="M34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1" s="44" t="s">
        <v>4248</v>
      </c>
      <c r="O341" s="45"/>
      <c r="P341" s="4" t="s">
        <v>564</v>
      </c>
      <c r="Q341" s="4"/>
      <c r="R341" s="6"/>
      <c r="S341" s="6" t="s">
        <v>4249</v>
      </c>
      <c r="T341" s="6" t="e" vm="318">
        <v>#VALUE!</v>
      </c>
      <c r="U341" s="46" cm="1">
        <f t="array" aca="1" ref="U341" ca="1">IFERROR(_FV(Tableau1[[#This Row],[Code Excel]],"Capitalisation boursière",TRUE),"")</f>
        <v>49281340000</v>
      </c>
      <c r="V341" s="4" t="str" cm="1">
        <f t="array" aca="1" ref="V341" ca="1">IFERROR(_FV(Tableau1[[#This Row],[Code Excel]],"Industrie"),"")</f>
        <v>Automobiles &amp; Auto Parts</v>
      </c>
      <c r="W341" s="4" t="s">
        <v>1224</v>
      </c>
      <c r="X341" s="4" t="str">
        <f ca="1">Tableau1[[#This Row],[Grand Secteur]]&amp;Tableau1[[#This Row],[Industrie]]</f>
        <v>AutomobileAutomobiles &amp; Auto Parts</v>
      </c>
      <c r="Y341" s="23" cm="1">
        <f t="array" aca="1" ref="Y341" ca="1">IFERROR(_FV(Tableau1[[#This Row],[Code Excel]],"P/E",TRUE),"")</f>
        <v>4.76</v>
      </c>
      <c r="Z341" s="43" cm="1">
        <f t="array" aca="1" ref="Z341" ca="1">IFERROR(_FV(Tableau1[[#This Row],[Code Excel]],"Employés"),"")</f>
        <v>679472</v>
      </c>
      <c r="AA341" s="46">
        <f ca="1">IFERROR(Tableau1[[#This Row],[Capitalisation boursière]]/Tableau1[[#This Row],[Employés]],"")</f>
        <v>72528.87536204583</v>
      </c>
      <c r="AB341" s="5" t="str">
        <f>IFERROR(Tableau1[[#This Row],[REX (2021)]]/Tableau1[[#This Row],[CA 2024]],"")</f>
        <v/>
      </c>
      <c r="AC341" s="9" t="str">
        <f>IFERROR(_xlfn.XLOOKUP(Tableau1[[#This Row],[Isin]]&amp;1&amp;2021,#REF!,Tableau3[Résultat d''exploitation]),"")</f>
        <v/>
      </c>
      <c r="AD341" s="9" t="str">
        <f>IFERROR(_xlfn.XLOOKUP(Tableau1[[#This Row],[Isin]]&amp;1&amp;2019,#REF!,Tableau3[Chiffre d''affaires]),"")</f>
        <v/>
      </c>
      <c r="AE341" s="9" t="str">
        <f>IFERROR(_xlfn.XLOOKUP(Tableau1[[#This Row],[Isin]]&amp;1&amp;2024,#REF!,Tableau3[Chiffre d''affaires]),"")</f>
        <v/>
      </c>
      <c r="AF341" s="8" t="str">
        <f>IFERROR(IF((Tableau1[[#This Row],[CA 2024]]-Tableau1[[#This Row],[CA 2019]])/Tableau1[[#This Row],[CA 2019]]=-1,"",(Tableau1[[#This Row],[CA 2024]]-Tableau1[[#This Row],[CA 2019]])/Tableau1[[#This Row],[CA 2019]]),"")</f>
        <v/>
      </c>
      <c r="AG341" s="9" t="str">
        <f>IFERROR(_xlfn.XLOOKUP(Tableau1[[#This Row],[Isin]]&amp;1&amp;2021,#REF!,Tableau3[EBE]),"")</f>
        <v/>
      </c>
      <c r="AH341" s="9" t="str">
        <f>IFERROR(_xlfn.XLOOKUP(Tableau1[[#This Row],[Isin]]&amp;1&amp;2022,#REF!,Tableau3[EBE]),"")</f>
        <v/>
      </c>
      <c r="AI341" s="43" t="s">
        <v>4329</v>
      </c>
      <c r="AJ341" s="43" t="s">
        <v>3150</v>
      </c>
      <c r="AK341" s="43" t="s">
        <v>3148</v>
      </c>
      <c r="AL341" s="43"/>
      <c r="AM341" s="43"/>
      <c r="AN341" s="9" t="str">
        <f>IFERROR(_xlfn.XLOOKUP(Tableau1[[#This Row],[Isin]]&amp;1&amp;2021,#REF!,Tableau3[Chiffre d''affaires]),"")</f>
        <v/>
      </c>
      <c r="AO341" s="43" cm="1">
        <f t="array" aca="1" ref="AO341" ca="1">_FV(Tableau1[[#This Row],[Code Excel]],"P/E",TRUE)</f>
        <v>4.76</v>
      </c>
      <c r="AP341" s="43" t="str">
        <f>IFERROR(_xlfn.XLOOKUP(Tableau1[[#This Row],[Isin]]&amp;1&amp;2023,#REF!,Tableau3[Résultat Net (PdG)]),"")</f>
        <v/>
      </c>
      <c r="AQ341" s="43">
        <f>IF(IFERROR(_xlfn.XLOOKUP(Tableau1[[#This Row],[Isin]]&amp;1&amp;2022,#REF!,Tableau3[Résultat Net (PdG)]),"")="",Tableau1[[#This Row],[RN Groupe 2022
Manuel]],IFERROR(_xlfn.XLOOKUP(Tableau1[[#This Row],[Isin]]&amp;1&amp;2022,#REF!,Tableau3[Résultat Net (PdG)]),""))</f>
        <v>0</v>
      </c>
      <c r="AR341" s="43"/>
      <c r="AS341" s="43">
        <f>IF(IFERROR(_xlfn.XLOOKUP(Tableau1[[#This Row],[Isin]]&amp;1&amp;2021,#REF!,Tableau3[Résultat Net (PdG)]),"")="",Tableau1[[#This Row],[RN Groupe 2021
Manuel]],IFERROR(_xlfn.XLOOKUP(Tableau1[[#This Row],[Isin]]&amp;1&amp;2021,#REF!,Tableau3[Résultat Net (PdG)]),""))</f>
        <v>0</v>
      </c>
      <c r="AT341" s="43"/>
      <c r="AU341" s="43" t="str">
        <f>IFERROR(_xlfn.XLOOKUP(Tableau1[[#This Row],[Isin]]&amp;1&amp;2020,#REF!,Tableau3[Résultat Net (PdG)]),"")</f>
        <v/>
      </c>
      <c r="AV341" s="43" t="str">
        <f>IFERROR(_xlfn.XLOOKUP(Tableau1[[#This Row],[Isin]]&amp;1&amp;2019,#REF!,Tableau3[Résultat Net (PdG)]),"")</f>
        <v/>
      </c>
      <c r="AW341" s="43" t="str">
        <f>IFERROR(_xlfn.XLOOKUP(Tableau1[[#This Row],[Isin]]&amp;1&amp;2018,#REF!,Tableau3[Résultat Net (PdG)]),"")</f>
        <v/>
      </c>
      <c r="AX341" s="43" t="str">
        <f>IFERROR(_xlfn.XLOOKUP(Tableau1[[#This Row],[Isin]]&amp;1&amp;2017,#REF!,Tableau3[Résultat Net (PdG)]),"")</f>
        <v/>
      </c>
      <c r="AY341" s="43" t="str">
        <f>IFERROR(_xlfn.XLOOKUP(Tableau1[[#This Row],[Isin]]&amp;1&amp;2016,#REF!,Tableau3[Résultat Net (PdG)]),"")</f>
        <v/>
      </c>
      <c r="AZ341" s="137" t="str">
        <f ca="1">IFERROR(Tableau1[[#This Row],[Capitalisation boursière]]/Tableau1[[#This Row],[RN Groupe 2023]],"")</f>
        <v/>
      </c>
      <c r="BA341" s="4" t="str" cm="1">
        <f t="array" aca="1" ref="BA341" ca="1">IFERROR(_FV(Tableau1[[#This Row],[Code Excel]],"Industrie"),"")</f>
        <v>Automobiles &amp; Auto Parts</v>
      </c>
      <c r="BB341" s="43" t="s">
        <v>3487</v>
      </c>
      <c r="BC341" s="43" t="str">
        <f>IFERROR(_xlfn.XLOOKUP(Tableau1[[#This Row],[Isin]]&amp;1&amp;2016,#REF!,Tableau3[Capi]),"")</f>
        <v/>
      </c>
      <c r="BD341" s="43" t="str">
        <f>IFERROR(_xlfn.XLOOKUP(Tableau1[[#This Row],[Isin]]&amp;1&amp;2017,#REF!,Tableau3[Capi]),"")</f>
        <v/>
      </c>
      <c r="BE341" s="43" t="str">
        <f>IFERROR(_xlfn.XLOOKUP(Tableau1[[#This Row],[Isin]]&amp;1&amp;2018,#REF!,Tableau3[Capi]),"")</f>
        <v/>
      </c>
      <c r="BF341" s="43" t="str">
        <f>IFERROR(_xlfn.XLOOKUP(Tableau1[[#This Row],[Isin]]&amp;1&amp;2019,#REF!,Tableau3[Capi]),"")</f>
        <v/>
      </c>
      <c r="BG341" s="43" t="str">
        <f>IFERROR(_xlfn.XLOOKUP(Tableau1[[#This Row],[Isin]]&amp;1&amp;2020,#REF!,Tableau3[Capi]),"")</f>
        <v/>
      </c>
      <c r="BH341" s="43">
        <f>IF(IFERROR(_xlfn.XLOOKUP(Tableau1[[#This Row],[Isin]]&amp;1&amp;2021,#REF!,Tableau3[Capi]),"")="",Tableau1[[#This Row],[Capitalisation 2021
Manuel]],IFERROR(_xlfn.XLOOKUP(Tableau1[[#This Row],[Isin]]&amp;1&amp;2021,#REF!,Tableau3[Capi]),""))</f>
        <v>0</v>
      </c>
      <c r="BI341" s="43"/>
      <c r="BJ341" s="43">
        <f>IF(IFERROR(_xlfn.XLOOKUP(Tableau1[[#This Row],[Isin]]&amp;1&amp;2022,#REF!,Tableau3[Capi]),"")="",Tableau1[[#This Row],[Capitalisation 2022
Manuel]],IFERROR(_xlfn.XLOOKUP(Tableau1[[#This Row],[Isin]]&amp;1&amp;2022,#REF!,Tableau3[Capi]),""))</f>
        <v>0</v>
      </c>
      <c r="BK341" s="43"/>
      <c r="BL341" s="43">
        <f ca="1">Tableau1[[#This Row],[Capitalisation boursière]]</f>
        <v>49281340000</v>
      </c>
      <c r="BM341" s="162" t="str" cm="1">
        <f t="array" aca="1" ref="BM341" ca="1">_FV(Tableau1[[#This Row],[Code Excel]],"Description")</f>
        <v>Volkswagen AG est une entreprise allemande qui fabrique et vend des véhicules. Le Groupe se compose de deux divisions : la Division automobile et la Division services financiers. La division automobile comprend les secteurs d'activité voitures particulières, véhicules utilitaires et ingénierie énergétique. Cette division se concentre sur le développement de véhicules, de moteurs et de logiciels de véhicules, la production et la vente de voitures particulières, de véhicules utilitaires légers, de camions, d'autobus et de motos, ainsi que des entreprises de pièces d'origine, de moteurs diesel à gros alésage, de turbomachines et de composants de propulsion. La Division des services financiers se concentre sur le financement des concessionnaires et des clients, la location, les services bancaires directs et les activités d'assurance, la gestion de flotte et les services de mobilité. Son portefeuille de marques comprend Volkswagen, Audi, SEAT, Skoda, Bentley, Lamborghini, Porsche, Ducati, Volkswagen véhicules utilitaires, Scania, et HOMME.</v>
      </c>
      <c r="BN341" s="43"/>
      <c r="BO341" s="43"/>
      <c r="BP341" s="43"/>
      <c r="BQ341" s="43"/>
      <c r="BS341" s="4"/>
      <c r="BT341" s="4"/>
    </row>
    <row r="342" spans="3:73">
      <c r="C342" s="42"/>
      <c r="D342" s="42">
        <f>IF(Tableau1[[#This Row],[Isin]]="",99,Tableau1[[#This Row],[Intérêt]]+Tableau1[[#This Row],[Valeur d''intérêt]]+Tableau1[[#This Row],[N° Portefeuille]])</f>
        <v>30</v>
      </c>
      <c r="E342" s="42"/>
      <c r="F342" s="42">
        <f>IF(Tableau1[[#This Row],[Portefeuille]]="p",0,Tableau1[[#This Row],[F. Investissement
Niveau d''intérêt]]*10)</f>
        <v>30</v>
      </c>
      <c r="G342" s="42">
        <f>IF(Tableau1[[#This Row],[Portefeuille]]="p",3,0)</f>
        <v>0</v>
      </c>
      <c r="H342" s="42">
        <v>3</v>
      </c>
      <c r="I342" s="42">
        <v>4</v>
      </c>
      <c r="J342" s="42"/>
      <c r="K342" s="43"/>
      <c r="L342" s="16">
        <v>1</v>
      </c>
      <c r="M34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2" s="44" t="s">
        <v>2540</v>
      </c>
      <c r="O342" s="44"/>
      <c r="P342" s="4"/>
      <c r="Q342" s="6"/>
      <c r="R342" s="6"/>
      <c r="S342" s="6" t="s">
        <v>4251</v>
      </c>
      <c r="T342" s="6" t="e" vm="319">
        <v>#VALUE!</v>
      </c>
      <c r="U342" s="51" cm="1">
        <f t="array" aca="1" ref="U342" ca="1">IFERROR(_FV(Tableau1[[#This Row],[Code Excel]],"Capitalisation boursière",TRUE),"")</f>
        <v>889027700</v>
      </c>
      <c r="V342" s="4" t="str" cm="1">
        <f t="array" aca="1" ref="V342" ca="1">IFERROR(_FV(Tableau1[[#This Row],[Code Excel]],"Industrie"),"")</f>
        <v>Electrical Utilities &amp; IPPs</v>
      </c>
      <c r="W342" s="4" t="s">
        <v>371</v>
      </c>
      <c r="X342" s="4" t="str">
        <f ca="1">Tableau1[[#This Row],[Grand Secteur]]&amp;Tableau1[[#This Row],[Industrie]]</f>
        <v>EnergieElectrical Utilities &amp; IPPs</v>
      </c>
      <c r="Y342" s="23" cm="1">
        <f t="array" aca="1" ref="Y342" ca="1">IFERROR(_FV(Tableau1[[#This Row],[Code Excel]],"P/E",TRUE),"")</f>
        <v>0</v>
      </c>
      <c r="Z342" s="43" cm="1">
        <f t="array" aca="1" ref="Z342" ca="1">IFERROR(_FV(Tableau1[[#This Row],[Code Excel]],"Employés"),"")</f>
        <v>2010</v>
      </c>
      <c r="AA342" s="49">
        <f ca="1">IFERROR(Tableau1[[#This Row],[Capitalisation boursière]]/Tableau1[[#This Row],[Employés]],"")</f>
        <v>442302.33830845769</v>
      </c>
      <c r="AB342" s="5" t="str">
        <f>IFERROR(Tableau1[[#This Row],[REX (2021)]]/Tableau1[[#This Row],[CA 2024]],"")</f>
        <v/>
      </c>
      <c r="AC342" s="9" t="str">
        <f>IFERROR(_xlfn.XLOOKUP(Tableau1[[#This Row],[Isin]]&amp;1&amp;2021,#REF!,Tableau3[Résultat d''exploitation]),"")</f>
        <v/>
      </c>
      <c r="AD342" s="9" t="str">
        <f>IFERROR(_xlfn.XLOOKUP(Tableau1[[#This Row],[Isin]]&amp;1&amp;2019,#REF!,Tableau3[Chiffre d''affaires]),"")</f>
        <v/>
      </c>
      <c r="AE342" s="9" t="str">
        <f>IFERROR(_xlfn.XLOOKUP(Tableau1[[#This Row],[Isin]]&amp;1&amp;2024,#REF!,Tableau3[Chiffre d''affaires]),"")</f>
        <v/>
      </c>
      <c r="AF342" s="8" t="str">
        <f>IFERROR(IF((Tableau1[[#This Row],[CA 2024]]-Tableau1[[#This Row],[CA 2019]])/Tableau1[[#This Row],[CA 2019]]=-1,"",(Tableau1[[#This Row],[CA 2024]]-Tableau1[[#This Row],[CA 2019]])/Tableau1[[#This Row],[CA 2019]]),"")</f>
        <v/>
      </c>
      <c r="AG342" s="9" t="str">
        <f>IFERROR(_xlfn.XLOOKUP(Tableau1[[#This Row],[Isin]]&amp;1&amp;2021,#REF!,Tableau3[EBE]),"")</f>
        <v/>
      </c>
      <c r="AH342" s="9" t="str">
        <f>IFERROR(_xlfn.XLOOKUP(Tableau1[[#This Row],[Isin]]&amp;1&amp;2022,#REF!,Tableau3[EBE]),"")</f>
        <v/>
      </c>
      <c r="AI342" s="43" t="s">
        <v>3431</v>
      </c>
      <c r="AJ342" s="43" t="s">
        <v>4348</v>
      </c>
      <c r="AK342" s="43" t="s">
        <v>3149</v>
      </c>
      <c r="AL342" s="43"/>
      <c r="AM342" s="43"/>
      <c r="AN342" s="9" t="str">
        <f>IFERROR(_xlfn.XLOOKUP(Tableau1[[#This Row],[Isin]]&amp;1&amp;2021,#REF!,Tableau3[Chiffre d''affaires]),"")</f>
        <v/>
      </c>
      <c r="AO342" s="43" cm="1">
        <f t="array" aca="1" ref="AO342" ca="1">_FV(Tableau1[[#This Row],[Code Excel]],"P/E",TRUE)</f>
        <v>0</v>
      </c>
      <c r="AP342" s="43" t="str">
        <f>IFERROR(_xlfn.XLOOKUP(Tableau1[[#This Row],[Isin]]&amp;1&amp;2023,#REF!,Tableau3[Résultat Net (PdG)]),"")</f>
        <v/>
      </c>
      <c r="AQ342" s="43">
        <f>IF(IFERROR(_xlfn.XLOOKUP(Tableau1[[#This Row],[Isin]]&amp;1&amp;2022,#REF!,Tableau3[Résultat Net (PdG)]),"")="",Tableau1[[#This Row],[RN Groupe 2022
Manuel]],IFERROR(_xlfn.XLOOKUP(Tableau1[[#This Row],[Isin]]&amp;1&amp;2022,#REF!,Tableau3[Résultat Net (PdG)]),""))</f>
        <v>0</v>
      </c>
      <c r="AR342" s="43"/>
      <c r="AS342" s="43">
        <f>IF(IFERROR(_xlfn.XLOOKUP(Tableau1[[#This Row],[Isin]]&amp;1&amp;2021,#REF!,Tableau3[Résultat Net (PdG)]),"")="",Tableau1[[#This Row],[RN Groupe 2021
Manuel]],IFERROR(_xlfn.XLOOKUP(Tableau1[[#This Row],[Isin]]&amp;1&amp;2021,#REF!,Tableau3[Résultat Net (PdG)]),""))</f>
        <v>0</v>
      </c>
      <c r="AT342" s="43"/>
      <c r="AU342" s="43" t="str">
        <f>IFERROR(_xlfn.XLOOKUP(Tableau1[[#This Row],[Isin]]&amp;1&amp;2020,#REF!,Tableau3[Résultat Net (PdG)]),"")</f>
        <v/>
      </c>
      <c r="AV342" s="43" t="str">
        <f>IFERROR(_xlfn.XLOOKUP(Tableau1[[#This Row],[Isin]]&amp;1&amp;2019,#REF!,Tableau3[Résultat Net (PdG)]),"")</f>
        <v/>
      </c>
      <c r="AW342" s="43" t="str">
        <f>IFERROR(_xlfn.XLOOKUP(Tableau1[[#This Row],[Isin]]&amp;1&amp;2018,#REF!,Tableau3[Résultat Net (PdG)]),"")</f>
        <v/>
      </c>
      <c r="AX342" s="43" t="str">
        <f>IFERROR(_xlfn.XLOOKUP(Tableau1[[#This Row],[Isin]]&amp;1&amp;2017,#REF!,Tableau3[Résultat Net (PdG)]),"")</f>
        <v/>
      </c>
      <c r="AY342" s="43" t="str">
        <f>IFERROR(_xlfn.XLOOKUP(Tableau1[[#This Row],[Isin]]&amp;1&amp;2016,#REF!,Tableau3[Résultat Net (PdG)]),"")</f>
        <v/>
      </c>
      <c r="AZ342" s="137" t="str">
        <f ca="1">IFERROR(Tableau1[[#This Row],[Capitalisation boursière]]/Tableau1[[#This Row],[RN Groupe 2023]],"")</f>
        <v/>
      </c>
      <c r="BA342" s="4" t="s">
        <v>3527</v>
      </c>
      <c r="BB342" s="43" t="e">
        <v>#N/A</v>
      </c>
      <c r="BC342" s="43" t="str">
        <f>IFERROR(_xlfn.XLOOKUP(Tableau1[[#This Row],[Isin]]&amp;1&amp;2016,#REF!,Tableau3[Capi]),"")</f>
        <v/>
      </c>
      <c r="BD342" s="43" t="str">
        <f>IFERROR(_xlfn.XLOOKUP(Tableau1[[#This Row],[Isin]]&amp;1&amp;2017,#REF!,Tableau3[Capi]),"")</f>
        <v/>
      </c>
      <c r="BE342" s="43" t="str">
        <f>IFERROR(_xlfn.XLOOKUP(Tableau1[[#This Row],[Isin]]&amp;1&amp;2018,#REF!,Tableau3[Capi]),"")</f>
        <v/>
      </c>
      <c r="BF342" s="43" t="str">
        <f>IFERROR(_xlfn.XLOOKUP(Tableau1[[#This Row],[Isin]]&amp;1&amp;2019,#REF!,Tableau3[Capi]),"")</f>
        <v/>
      </c>
      <c r="BG342" s="43" t="str">
        <f>IFERROR(_xlfn.XLOOKUP(Tableau1[[#This Row],[Isin]]&amp;1&amp;2020,#REF!,Tableau3[Capi]),"")</f>
        <v/>
      </c>
      <c r="BH342" s="43">
        <f>IF(IFERROR(_xlfn.XLOOKUP(Tableau1[[#This Row],[Isin]]&amp;1&amp;2021,#REF!,Tableau3[Capi]),"")="",Tableau1[[#This Row],[Capitalisation 2021
Manuel]],IFERROR(_xlfn.XLOOKUP(Tableau1[[#This Row],[Isin]]&amp;1&amp;2021,#REF!,Tableau3[Capi]),""))</f>
        <v>0</v>
      </c>
      <c r="BI342" s="43"/>
      <c r="BJ342" s="43">
        <f>IF(IFERROR(_xlfn.XLOOKUP(Tableau1[[#This Row],[Isin]]&amp;1&amp;2022,#REF!,Tableau3[Capi]),"")="",Tableau1[[#This Row],[Capitalisation 2022
Manuel]],IFERROR(_xlfn.XLOOKUP(Tableau1[[#This Row],[Isin]]&amp;1&amp;2022,#REF!,Tableau3[Capi]),""))</f>
        <v>0</v>
      </c>
      <c r="BK342" s="43"/>
      <c r="BL342" s="43">
        <f ca="1">Tableau1[[#This Row],[Capitalisation boursière]]</f>
        <v>889027700</v>
      </c>
      <c r="BM342" s="162" t="str" cm="1">
        <f t="array" aca="1" ref="BM342" ca="1">_FV(Tableau1[[#This Row],[Code Excel]],"Description")</f>
        <v>VOLTALIA S.A. est une société de portefeuille basée en France, qui est active dans le secteur des services publics renouvelables. Elle conçoit, développe et exploite des centrales électriques dans de nombreux pays, tels que la Guyane française, le Brésil, la Grèce, la France et le Maroc. La Société génère de l'électricité à partir d'une diversité de sources d'énergie renouvelables. Il s'agit du vent, de l'eau, de la biomasse et de l'énergie solaire. En outre, VOLTALIA S.A. se spécialise dans les activités d'échange de crédits carbone. La Société exploite plusieurs filiales, parmi lesquelles Anelia et Bio-Bar en France, Voltalia Guyane, SIG Kourou, SIG Mana and SIG Cacao en Guyane française, Voltalia Energia do Brasil au Brésil, Thegero en Grèce et Alterrya Maroc au Maroc, entre autres. La Société est détenue par Voltalia Investissement SA.</v>
      </c>
      <c r="BN342" s="43"/>
      <c r="BO342" s="43"/>
      <c r="BP342" s="43"/>
      <c r="BQ342" s="43"/>
      <c r="BS342" s="4"/>
      <c r="BT342" s="4"/>
    </row>
    <row r="343" spans="3:73">
      <c r="C343" s="42"/>
      <c r="D343" s="42">
        <f>IF(Tableau1[[#This Row],[Isin]]="",99,Tableau1[[#This Row],[Intérêt]]+Tableau1[[#This Row],[Valeur d''intérêt]]+Tableau1[[#This Row],[N° Portefeuille]])</f>
        <v>30</v>
      </c>
      <c r="E343" s="42"/>
      <c r="F343" s="42">
        <f>IF(Tableau1[[#This Row],[Portefeuille]]="p",0,Tableau1[[#This Row],[F. Investissement
Niveau d''intérêt]]*10)</f>
        <v>30</v>
      </c>
      <c r="G343" s="42">
        <f>IF(Tableau1[[#This Row],[Portefeuille]]="p",3,0)</f>
        <v>0</v>
      </c>
      <c r="H343" s="42">
        <v>3</v>
      </c>
      <c r="I343" s="42">
        <v>4</v>
      </c>
      <c r="J343" s="42"/>
      <c r="K343" s="43"/>
      <c r="L343" s="16">
        <v>0</v>
      </c>
      <c r="M34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3" s="44" t="s">
        <v>4253</v>
      </c>
      <c r="O343" s="45"/>
      <c r="P343" s="4" t="s">
        <v>564</v>
      </c>
      <c r="Q343" s="4"/>
      <c r="R343" s="6"/>
      <c r="S343" s="6" t="s">
        <v>4254</v>
      </c>
      <c r="T343" s="6" t="e" vm="320">
        <v>#VALUE!</v>
      </c>
      <c r="U343" s="46" cm="1">
        <f t="array" aca="1" ref="U343" ca="1">IFERROR(_FV(Tableau1[[#This Row],[Code Excel]],"Capitalisation boursière",TRUE),"")</f>
        <v>20604240000</v>
      </c>
      <c r="V343" s="4" t="str" cm="1">
        <f t="array" aca="1" ref="V343" ca="1">IFERROR(_FV(Tableau1[[#This Row],[Code Excel]],"Industrie"),"")</f>
        <v>Real Estate Operations</v>
      </c>
      <c r="W343" s="4" t="s">
        <v>2083</v>
      </c>
      <c r="X343" s="4" t="str">
        <f ca="1">Tableau1[[#This Row],[Grand Secteur]]&amp;Tableau1[[#This Row],[Industrie]]</f>
        <v>ImmobilierReal Estate Operations</v>
      </c>
      <c r="Y343" s="23" t="str" cm="1">
        <f t="array" ref="Y343">IFERROR(_FV(Tableau1[[#This Row],[Code Excel]],"P/E",TRUE),"")</f>
        <v/>
      </c>
      <c r="Z343" s="43" cm="1">
        <f t="array" aca="1" ref="Z343" ca="1">IFERROR(_FV(Tableau1[[#This Row],[Code Excel]],"Employés"),"")</f>
        <v>12056</v>
      </c>
      <c r="AA343" s="49">
        <f ca="1">IFERROR(Tableau1[[#This Row],[Capitalisation boursière]]/Tableau1[[#This Row],[Employés]],"")</f>
        <v>1709044.4591904446</v>
      </c>
      <c r="AB343" s="5" t="str">
        <f>IFERROR(Tableau1[[#This Row],[REX (2021)]]/Tableau1[[#This Row],[CA 2024]],"")</f>
        <v/>
      </c>
      <c r="AC343" s="9" t="str">
        <f>IFERROR(_xlfn.XLOOKUP(Tableau1[[#This Row],[Isin]]&amp;1&amp;2021,#REF!,Tableau3[Résultat d''exploitation]),"")</f>
        <v/>
      </c>
      <c r="AD343" s="9" t="str">
        <f>IFERROR(_xlfn.XLOOKUP(Tableau1[[#This Row],[Isin]]&amp;1&amp;2019,#REF!,Tableau3[Chiffre d''affaires]),"")</f>
        <v/>
      </c>
      <c r="AE343" s="9" t="str">
        <f>IFERROR(_xlfn.XLOOKUP(Tableau1[[#This Row],[Isin]]&amp;1&amp;2024,#REF!,Tableau3[Chiffre d''affaires]),"")</f>
        <v/>
      </c>
      <c r="AF343" s="8" t="str">
        <f>IFERROR(IF((Tableau1[[#This Row],[CA 2024]]-Tableau1[[#This Row],[CA 2019]])/Tableau1[[#This Row],[CA 2019]]=-1,"",(Tableau1[[#This Row],[CA 2024]]-Tableau1[[#This Row],[CA 2019]])/Tableau1[[#This Row],[CA 2019]]),"")</f>
        <v/>
      </c>
      <c r="AG343" s="9" t="str">
        <f>IFERROR(_xlfn.XLOOKUP(Tableau1[[#This Row],[Isin]]&amp;1&amp;2021,#REF!,Tableau3[EBE]),"")</f>
        <v/>
      </c>
      <c r="AH343" s="9" t="str">
        <f>IFERROR(_xlfn.XLOOKUP(Tableau1[[#This Row],[Isin]]&amp;1&amp;2022,#REF!,Tableau3[EBE]),"")</f>
        <v/>
      </c>
      <c r="AI343" s="43" t="s">
        <v>3431</v>
      </c>
      <c r="AJ343" s="43" t="s">
        <v>4322</v>
      </c>
      <c r="AK343" s="43" t="s">
        <v>3148</v>
      </c>
      <c r="AL343" s="43"/>
      <c r="AM343" s="43"/>
      <c r="AN343" s="9" t="str">
        <f>IFERROR(_xlfn.XLOOKUP(Tableau1[[#This Row],[Isin]]&amp;1&amp;2021,#REF!,Tableau3[Chiffre d''affaires]),"")</f>
        <v/>
      </c>
      <c r="AO343" s="43" t="e" cm="1" vm="1">
        <f t="array" ref="AO343">_FV(Tableau1[[#This Row],[Code Excel]],"P/E",TRUE)</f>
        <v>#VALUE!</v>
      </c>
      <c r="AP343" s="43" t="str">
        <f>IFERROR(_xlfn.XLOOKUP(Tableau1[[#This Row],[Isin]]&amp;1&amp;2023,#REF!,Tableau3[Résultat Net (PdG)]),"")</f>
        <v/>
      </c>
      <c r="AQ343" s="43">
        <f>IF(IFERROR(_xlfn.XLOOKUP(Tableau1[[#This Row],[Isin]]&amp;1&amp;2022,#REF!,Tableau3[Résultat Net (PdG)]),"")="",Tableau1[[#This Row],[RN Groupe 2022
Manuel]],IFERROR(_xlfn.XLOOKUP(Tableau1[[#This Row],[Isin]]&amp;1&amp;2022,#REF!,Tableau3[Résultat Net (PdG)]),""))</f>
        <v>0</v>
      </c>
      <c r="AR343" s="43"/>
      <c r="AS343" s="43">
        <f>IF(IFERROR(_xlfn.XLOOKUP(Tableau1[[#This Row],[Isin]]&amp;1&amp;2021,#REF!,Tableau3[Résultat Net (PdG)]),"")="",Tableau1[[#This Row],[RN Groupe 2021
Manuel]],IFERROR(_xlfn.XLOOKUP(Tableau1[[#This Row],[Isin]]&amp;1&amp;2021,#REF!,Tableau3[Résultat Net (PdG)]),""))</f>
        <v>0</v>
      </c>
      <c r="AT343" s="43"/>
      <c r="AU343" s="43" t="str">
        <f>IFERROR(_xlfn.XLOOKUP(Tableau1[[#This Row],[Isin]]&amp;1&amp;2020,#REF!,Tableau3[Résultat Net (PdG)]),"")</f>
        <v/>
      </c>
      <c r="AV343" s="43" t="str">
        <f>IFERROR(_xlfn.XLOOKUP(Tableau1[[#This Row],[Isin]]&amp;1&amp;2019,#REF!,Tableau3[Résultat Net (PdG)]),"")</f>
        <v/>
      </c>
      <c r="AW343" s="43" t="str">
        <f>IFERROR(_xlfn.XLOOKUP(Tableau1[[#This Row],[Isin]]&amp;1&amp;2018,#REF!,Tableau3[Résultat Net (PdG)]),"")</f>
        <v/>
      </c>
      <c r="AX343" s="43" t="str">
        <f>IFERROR(_xlfn.XLOOKUP(Tableau1[[#This Row],[Isin]]&amp;1&amp;2017,#REF!,Tableau3[Résultat Net (PdG)]),"")</f>
        <v/>
      </c>
      <c r="AY343" s="43" t="str">
        <f>IFERROR(_xlfn.XLOOKUP(Tableau1[[#This Row],[Isin]]&amp;1&amp;2016,#REF!,Tableau3[Résultat Net (PdG)]),"")</f>
        <v/>
      </c>
      <c r="AZ343" s="137" t="str">
        <f ca="1">IFERROR(Tableau1[[#This Row],[Capitalisation boursière]]/Tableau1[[#This Row],[RN Groupe 2023]],"")</f>
        <v/>
      </c>
      <c r="BA343" s="4" t="str" cm="1">
        <f t="array" aca="1" ref="BA343" ca="1">IFERROR(_FV(Tableau1[[#This Row],[Code Excel]],"Industrie"),"")</f>
        <v>Real Estate Operations</v>
      </c>
      <c r="BB343" s="43" t="s">
        <v>3487</v>
      </c>
      <c r="BC343" s="43" t="str">
        <f>IFERROR(_xlfn.XLOOKUP(Tableau1[[#This Row],[Isin]]&amp;1&amp;2016,#REF!,Tableau3[Capi]),"")</f>
        <v/>
      </c>
      <c r="BD343" s="43" t="str">
        <f>IFERROR(_xlfn.XLOOKUP(Tableau1[[#This Row],[Isin]]&amp;1&amp;2017,#REF!,Tableau3[Capi]),"")</f>
        <v/>
      </c>
      <c r="BE343" s="43" t="str">
        <f>IFERROR(_xlfn.XLOOKUP(Tableau1[[#This Row],[Isin]]&amp;1&amp;2018,#REF!,Tableau3[Capi]),"")</f>
        <v/>
      </c>
      <c r="BF343" s="43" t="str">
        <f>IFERROR(_xlfn.XLOOKUP(Tableau1[[#This Row],[Isin]]&amp;1&amp;2019,#REF!,Tableau3[Capi]),"")</f>
        <v/>
      </c>
      <c r="BG343" s="43" t="str">
        <f>IFERROR(_xlfn.XLOOKUP(Tableau1[[#This Row],[Isin]]&amp;1&amp;2020,#REF!,Tableau3[Capi]),"")</f>
        <v/>
      </c>
      <c r="BH343" s="43">
        <f>IF(IFERROR(_xlfn.XLOOKUP(Tableau1[[#This Row],[Isin]]&amp;1&amp;2021,#REF!,Tableau3[Capi]),"")="",Tableau1[[#This Row],[Capitalisation 2021
Manuel]],IFERROR(_xlfn.XLOOKUP(Tableau1[[#This Row],[Isin]]&amp;1&amp;2021,#REF!,Tableau3[Capi]),""))</f>
        <v>0</v>
      </c>
      <c r="BI343" s="43"/>
      <c r="BJ343" s="43">
        <f>IF(IFERROR(_xlfn.XLOOKUP(Tableau1[[#This Row],[Isin]]&amp;1&amp;2022,#REF!,Tableau3[Capi]),"")="",Tableau1[[#This Row],[Capitalisation 2022
Manuel]],IFERROR(_xlfn.XLOOKUP(Tableau1[[#This Row],[Isin]]&amp;1&amp;2022,#REF!,Tableau3[Capi]),""))</f>
        <v>0</v>
      </c>
      <c r="BK343" s="43"/>
      <c r="BL343" s="43">
        <f ca="1">Tableau1[[#This Row],[Capitalisation boursière]]</f>
        <v>20604240000</v>
      </c>
      <c r="BM343" s="162" t="str" cm="1">
        <f t="array" aca="1" ref="BM343" ca="1">_FV(Tableau1[[#This Row],[Code Excel]],"Description")</f>
        <v>Vonovia SE est une société immobilière résidentielle basée en Allemagne. La société opère dans quatre segments : location, valeur ajoutée, développement et ventes récurrentes. Le segment Location regroupe des activités visant à valoriser la gestion des biens. Le segment à valeur ajoutée offre tous les services liés au logement, comme l'entretien et la modernisation, en plus des services liés aux activités de location. Le segment Développement comprend l'élaboration de projets pour la création de nouvelles maisons, de l'achat d'un terrain à l'achèvement du nouveau bâtiment et de la construction neuve sur leurs propres terres, ainsi que l'ajout d'étages supplémentaires aux bâtiments existants. Le segment des ventes récurrentes offre des maisons individuelles ou des maisons unifamiliales sont vendues aux acheteurs privés.</v>
      </c>
      <c r="BN343" s="43"/>
      <c r="BO343" s="43"/>
      <c r="BP343" s="43"/>
      <c r="BQ343" s="43"/>
      <c r="BS343" s="4"/>
      <c r="BT343" s="4"/>
    </row>
    <row r="344" spans="3:73">
      <c r="C344" s="43"/>
      <c r="D344" s="42">
        <f>IF(Tableau1[[#This Row],[Isin]]="",99,Tableau1[[#This Row],[Intérêt]]+Tableau1[[#This Row],[Valeur d''intérêt]]+Tableau1[[#This Row],[N° Portefeuille]])</f>
        <v>30</v>
      </c>
      <c r="E344" s="43"/>
      <c r="F344" s="42">
        <f>IF(Tableau1[[#This Row],[Portefeuille]]="p",0,Tableau1[[#This Row],[F. Investissement
Niveau d''intérêt]]*10)</f>
        <v>30</v>
      </c>
      <c r="G344" s="43">
        <f>IF(Tableau1[[#This Row],[Portefeuille]]="p",3,0)</f>
        <v>0</v>
      </c>
      <c r="H344" s="42">
        <v>3</v>
      </c>
      <c r="I344" s="43">
        <v>4</v>
      </c>
      <c r="J344" s="43"/>
      <c r="K344" s="43"/>
      <c r="L344" s="16">
        <v>0</v>
      </c>
      <c r="M34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4" s="44" t="s">
        <v>4256</v>
      </c>
      <c r="O344" s="45"/>
      <c r="P344" s="4" t="s">
        <v>382</v>
      </c>
      <c r="Q344" s="4"/>
      <c r="R344" s="6"/>
      <c r="S344" s="6" t="s">
        <v>4257</v>
      </c>
      <c r="T344" s="6" t="e" vm="321">
        <v>#VALUE!</v>
      </c>
      <c r="U344" s="46" cm="1">
        <f t="array" aca="1" ref="U344" ca="1">IFERROR(_FV(Tableau1[[#This Row],[Code Excel]],"Capitalisation boursière",TRUE),"")</f>
        <v>692670270330</v>
      </c>
      <c r="V344" s="4" t="str" cm="1">
        <f t="array" aca="1" ref="V344" ca="1">IFERROR(_FV(Tableau1[[#This Row],[Code Excel]],"Industrie"),"")</f>
        <v>Food &amp; Drug Retailing</v>
      </c>
      <c r="W344" s="4" t="s">
        <v>966</v>
      </c>
      <c r="X344" s="4" t="str">
        <f ca="1">Tableau1[[#This Row],[Grand Secteur]]&amp;Tableau1[[#This Row],[Industrie]]</f>
        <v>DistributionFood &amp; Drug Retailing</v>
      </c>
      <c r="Y344" s="23" cm="1">
        <f t="array" aca="1" ref="Y344" ca="1">IFERROR(_FV(Tableau1[[#This Row],[Code Excel]],"P/E",TRUE),"")</f>
        <v>35.4041</v>
      </c>
      <c r="Z344" s="43" cm="1">
        <f t="array" aca="1" ref="Z344" ca="1">IFERROR(_FV(Tableau1[[#This Row],[Code Excel]],"Employés"),"")</f>
        <v>2100000</v>
      </c>
      <c r="AA344" s="46">
        <f ca="1">IFERROR(Tableau1[[#This Row],[Capitalisation boursière]]/Tableau1[[#This Row],[Employés]],"")</f>
        <v>329842.98587142857</v>
      </c>
      <c r="AB344" s="5" t="str">
        <f>IFERROR(Tableau1[[#This Row],[REX (2021)]]/Tableau1[[#This Row],[CA 2024]],"")</f>
        <v/>
      </c>
      <c r="AC344" s="9" t="str">
        <f>IFERROR(_xlfn.XLOOKUP(Tableau1[[#This Row],[Isin]]&amp;1&amp;2021,#REF!,Tableau3[Résultat d''exploitation]),"")</f>
        <v/>
      </c>
      <c r="AD344" s="9" t="str">
        <f>IFERROR(_xlfn.XLOOKUP(Tableau1[[#This Row],[Isin]]&amp;1&amp;2019,#REF!,Tableau3[Chiffre d''affaires]),"")</f>
        <v/>
      </c>
      <c r="AE344" s="9" t="str">
        <f>IFERROR(_xlfn.XLOOKUP(Tableau1[[#This Row],[Isin]]&amp;1&amp;2024,#REF!,Tableau3[Chiffre d''affaires]),"")</f>
        <v/>
      </c>
      <c r="AF344" s="8" t="str">
        <f>IFERROR(IF((Tableau1[[#This Row],[CA 2024]]-Tableau1[[#This Row],[CA 2019]])/Tableau1[[#This Row],[CA 2019]]=-1,"",(Tableau1[[#This Row],[CA 2024]]-Tableau1[[#This Row],[CA 2019]])/Tableau1[[#This Row],[CA 2019]]),"")</f>
        <v/>
      </c>
      <c r="AG344" s="9" t="str">
        <f>IFERROR(_xlfn.XLOOKUP(Tableau1[[#This Row],[Isin]]&amp;1&amp;2021,#REF!,Tableau3[EBE]),"")</f>
        <v/>
      </c>
      <c r="AH344" s="9" t="str">
        <f>IFERROR(_xlfn.XLOOKUP(Tableau1[[#This Row],[Isin]]&amp;1&amp;2022,#REF!,Tableau3[EBE]),"")</f>
        <v/>
      </c>
      <c r="AI344" s="43" t="s">
        <v>3419</v>
      </c>
      <c r="AJ344" s="43" t="s">
        <v>3150</v>
      </c>
      <c r="AK344" s="43" t="s">
        <v>3149</v>
      </c>
      <c r="AL344" s="43"/>
      <c r="AM344" s="43"/>
      <c r="AN344" s="9" t="str">
        <f>IFERROR(_xlfn.XLOOKUP(Tableau1[[#This Row],[Isin]]&amp;1&amp;2021,#REF!,Tableau3[Chiffre d''affaires]),"")</f>
        <v/>
      </c>
      <c r="AO344" s="43" cm="1">
        <f t="array" aca="1" ref="AO344" ca="1">_FV(Tableau1[[#This Row],[Code Excel]],"P/E",TRUE)</f>
        <v>35.4041</v>
      </c>
      <c r="AP344" s="43" t="str">
        <f>IFERROR(_xlfn.XLOOKUP(Tableau1[[#This Row],[Isin]]&amp;1&amp;2023,#REF!,Tableau3[Résultat Net (PdG)]),"")</f>
        <v/>
      </c>
      <c r="AQ344" s="43">
        <f>IF(IFERROR(_xlfn.XLOOKUP(Tableau1[[#This Row],[Isin]]&amp;1&amp;2022,#REF!,Tableau3[Résultat Net (PdG)]),"")="",Tableau1[[#This Row],[RN Groupe 2022
Manuel]],IFERROR(_xlfn.XLOOKUP(Tableau1[[#This Row],[Isin]]&amp;1&amp;2022,#REF!,Tableau3[Résultat Net (PdG)]),""))</f>
        <v>0</v>
      </c>
      <c r="AR344" s="43"/>
      <c r="AS344" s="43">
        <f>IF(IFERROR(_xlfn.XLOOKUP(Tableau1[[#This Row],[Isin]]&amp;1&amp;2021,#REF!,Tableau3[Résultat Net (PdG)]),"")="",Tableau1[[#This Row],[RN Groupe 2021
Manuel]],IFERROR(_xlfn.XLOOKUP(Tableau1[[#This Row],[Isin]]&amp;1&amp;2021,#REF!,Tableau3[Résultat Net (PdG)]),""))</f>
        <v>0</v>
      </c>
      <c r="AT344" s="43"/>
      <c r="AU344" s="43" t="str">
        <f>IFERROR(_xlfn.XLOOKUP(Tableau1[[#This Row],[Isin]]&amp;1&amp;2020,#REF!,Tableau3[Résultat Net (PdG)]),"")</f>
        <v/>
      </c>
      <c r="AV344" s="43" t="str">
        <f>IFERROR(_xlfn.XLOOKUP(Tableau1[[#This Row],[Isin]]&amp;1&amp;2019,#REF!,Tableau3[Résultat Net (PdG)]),"")</f>
        <v/>
      </c>
      <c r="AW344" s="43" t="str">
        <f>IFERROR(_xlfn.XLOOKUP(Tableau1[[#This Row],[Isin]]&amp;1&amp;2018,#REF!,Tableau3[Résultat Net (PdG)]),"")</f>
        <v/>
      </c>
      <c r="AX344" s="43" t="str">
        <f>IFERROR(_xlfn.XLOOKUP(Tableau1[[#This Row],[Isin]]&amp;1&amp;2017,#REF!,Tableau3[Résultat Net (PdG)]),"")</f>
        <v/>
      </c>
      <c r="AY344" s="43" t="str">
        <f>IFERROR(_xlfn.XLOOKUP(Tableau1[[#This Row],[Isin]]&amp;1&amp;2016,#REF!,Tableau3[Résultat Net (PdG)]),"")</f>
        <v/>
      </c>
      <c r="AZ344" s="137" t="str">
        <f ca="1">IFERROR(Tableau1[[#This Row],[Capitalisation boursière]]/Tableau1[[#This Row],[RN Groupe 2023]],"")</f>
        <v/>
      </c>
      <c r="BA344" s="4" t="str" cm="1">
        <f t="array" aca="1" ref="BA344" ca="1">IFERROR(_FV(Tableau1[[#This Row],[Code Excel]],"Industrie"),"")</f>
        <v>Food &amp; Drug Retailing</v>
      </c>
      <c r="BB344" s="43" t="s">
        <v>3464</v>
      </c>
      <c r="BC344" s="43" t="str">
        <f>IFERROR(_xlfn.XLOOKUP(Tableau1[[#This Row],[Isin]]&amp;1&amp;2016,#REF!,Tableau3[Capi]),"")</f>
        <v/>
      </c>
      <c r="BD344" s="43" t="str">
        <f>IFERROR(_xlfn.XLOOKUP(Tableau1[[#This Row],[Isin]]&amp;1&amp;2017,#REF!,Tableau3[Capi]),"")</f>
        <v/>
      </c>
      <c r="BE344" s="43" t="str">
        <f>IFERROR(_xlfn.XLOOKUP(Tableau1[[#This Row],[Isin]]&amp;1&amp;2018,#REF!,Tableau3[Capi]),"")</f>
        <v/>
      </c>
      <c r="BF344" s="43" t="str">
        <f>IFERROR(_xlfn.XLOOKUP(Tableau1[[#This Row],[Isin]]&amp;1&amp;2019,#REF!,Tableau3[Capi]),"")</f>
        <v/>
      </c>
      <c r="BG344" s="43" t="str">
        <f>IFERROR(_xlfn.XLOOKUP(Tableau1[[#This Row],[Isin]]&amp;1&amp;2020,#REF!,Tableau3[Capi]),"")</f>
        <v/>
      </c>
      <c r="BH344" s="43">
        <f>IF(IFERROR(_xlfn.XLOOKUP(Tableau1[[#This Row],[Isin]]&amp;1&amp;2021,#REF!,Tableau3[Capi]),"")="",Tableau1[[#This Row],[Capitalisation 2021
Manuel]],IFERROR(_xlfn.XLOOKUP(Tableau1[[#This Row],[Isin]]&amp;1&amp;2021,#REF!,Tableau3[Capi]),""))</f>
        <v>0</v>
      </c>
      <c r="BI344" s="43"/>
      <c r="BJ344" s="43">
        <f>IF(IFERROR(_xlfn.XLOOKUP(Tableau1[[#This Row],[Isin]]&amp;1&amp;2022,#REF!,Tableau3[Capi]),"")="",Tableau1[[#This Row],[Capitalisation 2022
Manuel]],IFERROR(_xlfn.XLOOKUP(Tableau1[[#This Row],[Isin]]&amp;1&amp;2022,#REF!,Tableau3[Capi]),""))</f>
        <v>0</v>
      </c>
      <c r="BK344" s="43"/>
      <c r="BL344" s="43">
        <f ca="1">Tableau1[[#This Row],[Capitalisation boursière]]</f>
        <v>692670270330</v>
      </c>
      <c r="BM344" s="162" t="str" cm="1">
        <f t="array" aca="1" ref="BM344" ca="1">_FV(Tableau1[[#This Row],[Code Excel]],"Description")</f>
        <v>Walmart Inc. est un détaillant omnicanal doté de technologies. La Société est engagée dans l'exploitation de magasins et clubs de détail et de gros, ainsi que de sites Web de commerce électronique et d'applications mobiles, situés à travers les États-Unis, l'Afrique, le Canada, l'Amérique centrale, le Chili, Chine, Inde et Mexique. Elle opère à travers trois segments : Walmart U.S., Walmart International et Sam's Club. Le segment Walmart États-Unis comprend le concept de marchand de masse de la Société aux États-Unis, ainsi que le commerce électronique, qui comprend des initiatives omnicanales et certaines autres offres commerciales telles que les services publicitaires offerts par Walmart Connect. Elle opère sous les marques Walmart et Walmart Neighborhood Market. Le secteur Walmart International comprend les activités de la Société à l'extérieur des États-Unis, ainsi que les initiatives de commerce électronique et omnicanal. Le segment Sam's Club comprend les clubs d'adhésion d'entrepôt aux États-Unis, ainsi que des initiatives de commerce électronique et omnicanal.</v>
      </c>
      <c r="BN344" s="43"/>
      <c r="BO344" s="43"/>
      <c r="BP344" s="43"/>
      <c r="BQ344" s="43"/>
      <c r="BS344" s="4"/>
      <c r="BT344" s="4"/>
    </row>
    <row r="345" spans="3:73">
      <c r="C345" s="42"/>
      <c r="D345" s="42">
        <f>IF(Tableau1[[#This Row],[Isin]]="",99,Tableau1[[#This Row],[Intérêt]]+Tableau1[[#This Row],[Valeur d''intérêt]]+Tableau1[[#This Row],[N° Portefeuille]])</f>
        <v>30</v>
      </c>
      <c r="E345" s="42"/>
      <c r="F345" s="42">
        <f>IF(Tableau1[[#This Row],[Portefeuille]]="p",0,Tableau1[[#This Row],[F. Investissement
Niveau d''intérêt]]*10)</f>
        <v>30</v>
      </c>
      <c r="G345" s="42">
        <f>IF(Tableau1[[#This Row],[Portefeuille]]="p",3,0)</f>
        <v>0</v>
      </c>
      <c r="H345" s="42">
        <v>3</v>
      </c>
      <c r="I345" s="42">
        <v>4</v>
      </c>
      <c r="J345" s="42"/>
      <c r="K345" s="43"/>
      <c r="L345" s="16">
        <v>0</v>
      </c>
      <c r="M34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5" s="44" t="s">
        <v>4259</v>
      </c>
      <c r="O345" s="45"/>
      <c r="P345" s="4" t="s">
        <v>452</v>
      </c>
      <c r="Q345" s="4"/>
      <c r="R345" s="6"/>
      <c r="S345" s="6" t="s">
        <v>4260</v>
      </c>
      <c r="T345" s="6" t="e" vm="322">
        <v>#VALUE!</v>
      </c>
      <c r="U345" s="46" cm="1">
        <f t="array" aca="1" ref="U345" ca="1">IFERROR(_FV(Tableau1[[#This Row],[Code Excel]],"Capitalisation boursière",TRUE),"")</f>
        <v>4977645000</v>
      </c>
      <c r="V345" s="4" t="str" cm="1">
        <f t="array" aca="1" ref="V345" ca="1">IFERROR(_FV(Tableau1[[#This Row],[Code Excel]],"Industrie"),"")</f>
        <v>Residential &amp; Commercial REIT</v>
      </c>
      <c r="W345" s="4" t="s">
        <v>2083</v>
      </c>
      <c r="X345" s="4" t="str">
        <f ca="1">Tableau1[[#This Row],[Grand Secteur]]&amp;Tableau1[[#This Row],[Industrie]]</f>
        <v>ImmobilierResidential &amp; Commercial REIT</v>
      </c>
      <c r="Y345" s="23" cm="1">
        <f t="array" aca="1" ref="Y345" ca="1">IFERROR(_FV(Tableau1[[#This Row],[Code Excel]],"P/E",TRUE),"")</f>
        <v>11.244899999999999</v>
      </c>
      <c r="Z345" s="43" cm="1">
        <f t="array" aca="1" ref="Z345" ca="1">IFERROR(_FV(Tableau1[[#This Row],[Code Excel]],"Employés"),"")</f>
        <v>98</v>
      </c>
      <c r="AA345" s="49">
        <f ca="1">IFERROR(Tableau1[[#This Row],[Capitalisation boursière]]/Tableau1[[#This Row],[Employés]],"")</f>
        <v>50792295.918367349</v>
      </c>
      <c r="AB345" s="5" t="str">
        <f>IFERROR(Tableau1[[#This Row],[REX (2021)]]/Tableau1[[#This Row],[CA 2024]],"")</f>
        <v/>
      </c>
      <c r="AC345" s="9" t="str">
        <f>IFERROR(_xlfn.XLOOKUP(Tableau1[[#This Row],[Isin]]&amp;1&amp;2021,#REF!,Tableau3[Résultat d''exploitation]),"")</f>
        <v/>
      </c>
      <c r="AD345" s="9" t="str">
        <f>IFERROR(_xlfn.XLOOKUP(Tableau1[[#This Row],[Isin]]&amp;1&amp;2019,#REF!,Tableau3[Chiffre d''affaires]),"")</f>
        <v/>
      </c>
      <c r="AE345" s="9" t="str">
        <f>IFERROR(_xlfn.XLOOKUP(Tableau1[[#This Row],[Isin]]&amp;1&amp;2024,#REF!,Tableau3[Chiffre d''affaires]),"")</f>
        <v/>
      </c>
      <c r="AF345" s="8" t="str">
        <f>IFERROR(IF((Tableau1[[#This Row],[CA 2024]]-Tableau1[[#This Row],[CA 2019]])/Tableau1[[#This Row],[CA 2019]]=-1,"",(Tableau1[[#This Row],[CA 2024]]-Tableau1[[#This Row],[CA 2019]])/Tableau1[[#This Row],[CA 2019]]),"")</f>
        <v/>
      </c>
      <c r="AG345" s="9" t="str">
        <f>IFERROR(_xlfn.XLOOKUP(Tableau1[[#This Row],[Isin]]&amp;1&amp;2021,#REF!,Tableau3[EBE]),"")</f>
        <v/>
      </c>
      <c r="AH345" s="9" t="str">
        <f>IFERROR(_xlfn.XLOOKUP(Tableau1[[#This Row],[Isin]]&amp;1&amp;2022,#REF!,Tableau3[EBE]),"")</f>
        <v/>
      </c>
      <c r="AI345" s="43" t="s">
        <v>3431</v>
      </c>
      <c r="AJ345" s="43" t="s">
        <v>4322</v>
      </c>
      <c r="AK345" s="43" t="s">
        <v>3148</v>
      </c>
      <c r="AL345" s="43"/>
      <c r="AM345" s="43"/>
      <c r="AN345" s="9" t="str">
        <f>IFERROR(_xlfn.XLOOKUP(Tableau1[[#This Row],[Isin]]&amp;1&amp;2021,#REF!,Tableau3[Chiffre d''affaires]),"")</f>
        <v/>
      </c>
      <c r="AO345" s="43" cm="1">
        <f t="array" aca="1" ref="AO345" ca="1">_FV(Tableau1[[#This Row],[Code Excel]],"P/E",TRUE)</f>
        <v>11.244899999999999</v>
      </c>
      <c r="AP345" s="43" t="str">
        <f>IFERROR(_xlfn.XLOOKUP(Tableau1[[#This Row],[Isin]]&amp;1&amp;2023,#REF!,Tableau3[Résultat Net (PdG)]),"")</f>
        <v/>
      </c>
      <c r="AQ345" s="43">
        <f>IF(IFERROR(_xlfn.XLOOKUP(Tableau1[[#This Row],[Isin]]&amp;1&amp;2022,#REF!,Tableau3[Résultat Net (PdG)]),"")="",Tableau1[[#This Row],[RN Groupe 2022
Manuel]],IFERROR(_xlfn.XLOOKUP(Tableau1[[#This Row],[Isin]]&amp;1&amp;2022,#REF!,Tableau3[Résultat Net (PdG)]),""))</f>
        <v>0</v>
      </c>
      <c r="AR345" s="43"/>
      <c r="AS345" s="43">
        <f>IF(IFERROR(_xlfn.XLOOKUP(Tableau1[[#This Row],[Isin]]&amp;1&amp;2021,#REF!,Tableau3[Résultat Net (PdG)]),"")="",Tableau1[[#This Row],[RN Groupe 2021
Manuel]],IFERROR(_xlfn.XLOOKUP(Tableau1[[#This Row],[Isin]]&amp;1&amp;2021,#REF!,Tableau3[Résultat Net (PdG)]),""))</f>
        <v>0</v>
      </c>
      <c r="AT345" s="43"/>
      <c r="AU345" s="43" t="str">
        <f>IFERROR(_xlfn.XLOOKUP(Tableau1[[#This Row],[Isin]]&amp;1&amp;2020,#REF!,Tableau3[Résultat Net (PdG)]),"")</f>
        <v/>
      </c>
      <c r="AV345" s="43" t="str">
        <f>IFERROR(_xlfn.XLOOKUP(Tableau1[[#This Row],[Isin]]&amp;1&amp;2019,#REF!,Tableau3[Résultat Net (PdG)]),"")</f>
        <v/>
      </c>
      <c r="AW345" s="43" t="str">
        <f>IFERROR(_xlfn.XLOOKUP(Tableau1[[#This Row],[Isin]]&amp;1&amp;2018,#REF!,Tableau3[Résultat Net (PdG)]),"")</f>
        <v/>
      </c>
      <c r="AX345" s="43" t="str">
        <f>IFERROR(_xlfn.XLOOKUP(Tableau1[[#This Row],[Isin]]&amp;1&amp;2017,#REF!,Tableau3[Résultat Net (PdG)]),"")</f>
        <v/>
      </c>
      <c r="AY345" s="43" t="str">
        <f>IFERROR(_xlfn.XLOOKUP(Tableau1[[#This Row],[Isin]]&amp;1&amp;2016,#REF!,Tableau3[Résultat Net (PdG)]),"")</f>
        <v/>
      </c>
      <c r="AZ345" s="137" t="str">
        <f ca="1">IFERROR(Tableau1[[#This Row],[Capitalisation boursière]]/Tableau1[[#This Row],[RN Groupe 2023]],"")</f>
        <v/>
      </c>
      <c r="BA345" s="4" t="str" cm="1">
        <f t="array" aca="1" ref="BA345" ca="1">IFERROR(_FV(Tableau1[[#This Row],[Code Excel]],"Industrie"),"")</f>
        <v>Residential &amp; Commercial REIT</v>
      </c>
      <c r="BB345" s="43" t="s">
        <v>3482</v>
      </c>
      <c r="BC345" s="43" t="str">
        <f>IFERROR(_xlfn.XLOOKUP(Tableau1[[#This Row],[Isin]]&amp;1&amp;2016,#REF!,Tableau3[Capi]),"")</f>
        <v/>
      </c>
      <c r="BD345" s="43" t="str">
        <f>IFERROR(_xlfn.XLOOKUP(Tableau1[[#This Row],[Isin]]&amp;1&amp;2017,#REF!,Tableau3[Capi]),"")</f>
        <v/>
      </c>
      <c r="BE345" s="43" t="str">
        <f>IFERROR(_xlfn.XLOOKUP(Tableau1[[#This Row],[Isin]]&amp;1&amp;2018,#REF!,Tableau3[Capi]),"")</f>
        <v/>
      </c>
      <c r="BF345" s="43" t="str">
        <f>IFERROR(_xlfn.XLOOKUP(Tableau1[[#This Row],[Isin]]&amp;1&amp;2019,#REF!,Tableau3[Capi]),"")</f>
        <v/>
      </c>
      <c r="BG345" s="43" t="str">
        <f>IFERROR(_xlfn.XLOOKUP(Tableau1[[#This Row],[Isin]]&amp;1&amp;2020,#REF!,Tableau3[Capi]),"")</f>
        <v/>
      </c>
      <c r="BH345" s="43">
        <f>IF(IFERROR(_xlfn.XLOOKUP(Tableau1[[#This Row],[Isin]]&amp;1&amp;2021,#REF!,Tableau3[Capi]),"")="",Tableau1[[#This Row],[Capitalisation 2021
Manuel]],IFERROR(_xlfn.XLOOKUP(Tableau1[[#This Row],[Isin]]&amp;1&amp;2021,#REF!,Tableau3[Capi]),""))</f>
        <v>0</v>
      </c>
      <c r="BI345" s="43"/>
      <c r="BJ345" s="43">
        <f>IF(IFERROR(_xlfn.XLOOKUP(Tableau1[[#This Row],[Isin]]&amp;1&amp;2022,#REF!,Tableau3[Capi]),"")="",Tableau1[[#This Row],[Capitalisation 2022
Manuel]],IFERROR(_xlfn.XLOOKUP(Tableau1[[#This Row],[Isin]]&amp;1&amp;2022,#REF!,Tableau3[Capi]),""))</f>
        <v>0</v>
      </c>
      <c r="BK345" s="43"/>
      <c r="BL345" s="43">
        <f ca="1">Tableau1[[#This Row],[Capitalisation boursière]]</f>
        <v>4977645000</v>
      </c>
      <c r="BM345" s="162" t="str" cm="1">
        <f t="array" aca="1" ref="BM345" ca="1">_FV(Tableau1[[#This Row],[Code Excel]],"Description")</f>
        <v>Warehouses de Pauw NV (WDP) est une société belge spécialisée dans la logistique de location d'entrepôts. La Société développe et investit dans des biens logistiques (entrepôts et bureaux). La Société offre aux clients des solutions et des services de plus en plus ciblés et intégrés, notamment par l'intermédiaire de MyWDP, le portail client numérique. Elle opère sur trois plates-formes intégrées, les traitant comme une équipe unifiée : les pays-Bas et l'Allemagne. Le spécialiste de l'immobilier de la Société opère dans des emplacements clés le long d'axes logistiques clés dans six régions européennes. Sa stratégie et s'appuie sur une présence interne et locale pour acquérir, développer et louer un large éventail de propriétés logistiques durables qui s'adaptent aux activités de la chaîne d'approvisionnement de ses clients. La Société développe et loue des propriétés situées le long d'axes logistiques dans six régions européennes. Il construit une coquille durable autour du processus logistique.</v>
      </c>
      <c r="BN345" s="43"/>
      <c r="BO345" s="43"/>
      <c r="BP345" s="43"/>
      <c r="BQ345" s="43"/>
      <c r="BS345" s="4"/>
      <c r="BT345" s="4"/>
    </row>
    <row r="346" spans="3:73">
      <c r="C346" s="43"/>
      <c r="D346" s="42">
        <f>IF(Tableau1[[#This Row],[Isin]]="",99,Tableau1[[#This Row],[Intérêt]]+Tableau1[[#This Row],[Valeur d''intérêt]]+Tableau1[[#This Row],[N° Portefeuille]])</f>
        <v>30</v>
      </c>
      <c r="E346" s="43"/>
      <c r="F346" s="42">
        <f>IF(Tableau1[[#This Row],[Portefeuille]]="p",0,Tableau1[[#This Row],[F. Investissement
Niveau d''intérêt]]*10)</f>
        <v>30</v>
      </c>
      <c r="G346" s="43">
        <f>IF(Tableau1[[#This Row],[Portefeuille]]="p",3,0)</f>
        <v>0</v>
      </c>
      <c r="H346" s="42">
        <v>3</v>
      </c>
      <c r="I346" s="43">
        <v>4</v>
      </c>
      <c r="J346" s="43"/>
      <c r="K346" s="43"/>
      <c r="L346" s="16">
        <v>0</v>
      </c>
      <c r="M34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6" s="44" t="s">
        <v>4262</v>
      </c>
      <c r="O346" s="45"/>
      <c r="P346" s="4" t="s">
        <v>382</v>
      </c>
      <c r="Q346" s="4"/>
      <c r="R346" s="6"/>
      <c r="S346" s="6" t="s">
        <v>4263</v>
      </c>
      <c r="T346" s="6" t="e" vm="323">
        <v>#VALUE!</v>
      </c>
      <c r="U346" s="46" cm="1">
        <f t="array" aca="1" ref="U346" ca="1">IFERROR(_FV(Tableau1[[#This Row],[Code Excel]],"Capitalisation boursière",TRUE),"")</f>
        <v>229899845190</v>
      </c>
      <c r="V346" s="4" t="str" cm="1">
        <f t="array" aca="1" ref="V346" ca="1">IFERROR(_FV(Tableau1[[#This Row],[Code Excel]],"Industrie"),"")</f>
        <v>Banking Services</v>
      </c>
      <c r="W346" s="4" t="s">
        <v>4335</v>
      </c>
      <c r="X346" s="4" t="str">
        <f ca="1">Tableau1[[#This Row],[Grand Secteur]]&amp;Tableau1[[#This Row],[Industrie]]</f>
        <v>FinanceBanking Services</v>
      </c>
      <c r="Y346" s="23" cm="1">
        <f t="array" aca="1" ref="Y346" ca="1">IFERROR(_FV(Tableau1[[#This Row],[Code Excel]],"P/E",TRUE),"")</f>
        <v>13.144</v>
      </c>
      <c r="Z346" s="43" cm="1">
        <f t="array" aca="1" ref="Z346" ca="1">IFERROR(_FV(Tableau1[[#This Row],[Code Excel]],"Employés"),"")</f>
        <v>217000</v>
      </c>
      <c r="AA346" s="49">
        <f ca="1">IFERROR(Tableau1[[#This Row],[Capitalisation boursière]]/Tableau1[[#This Row],[Employés]],"")</f>
        <v>1059446.2911981568</v>
      </c>
      <c r="AB346" s="5" t="str">
        <f>IFERROR(Tableau1[[#This Row],[REX (2021)]]/Tableau1[[#This Row],[CA 2024]],"")</f>
        <v/>
      </c>
      <c r="AC346" s="9" t="str">
        <f>IFERROR(_xlfn.XLOOKUP(Tableau1[[#This Row],[Isin]]&amp;1&amp;2021,#REF!,Tableau3[Résultat d''exploitation]),"")</f>
        <v/>
      </c>
      <c r="AD346" s="9" t="str">
        <f>IFERROR(_xlfn.XLOOKUP(Tableau1[[#This Row],[Isin]]&amp;1&amp;2019,#REF!,Tableau3[Chiffre d''affaires]),"")</f>
        <v/>
      </c>
      <c r="AE346" s="9" t="str">
        <f>IFERROR(_xlfn.XLOOKUP(Tableau1[[#This Row],[Isin]]&amp;1&amp;2024,#REF!,Tableau3[Chiffre d''affaires]),"")</f>
        <v/>
      </c>
      <c r="AF346" s="8" t="str">
        <f>IFERROR(IF((Tableau1[[#This Row],[CA 2024]]-Tableau1[[#This Row],[CA 2019]])/Tableau1[[#This Row],[CA 2019]]=-1,"",(Tableau1[[#This Row],[CA 2024]]-Tableau1[[#This Row],[CA 2019]])/Tableau1[[#This Row],[CA 2019]]),"")</f>
        <v/>
      </c>
      <c r="AG346" s="9" t="str">
        <f>IFERROR(_xlfn.XLOOKUP(Tableau1[[#This Row],[Isin]]&amp;1&amp;2021,#REF!,Tableau3[EBE]),"")</f>
        <v/>
      </c>
      <c r="AH346" s="9" t="str">
        <f>IFERROR(_xlfn.XLOOKUP(Tableau1[[#This Row],[Isin]]&amp;1&amp;2022,#REF!,Tableau3[EBE]),"")</f>
        <v/>
      </c>
      <c r="AI346" s="43" t="s">
        <v>4343</v>
      </c>
      <c r="AJ346" s="43" t="s">
        <v>3150</v>
      </c>
      <c r="AK346" s="43" t="s">
        <v>3148</v>
      </c>
      <c r="AL346" s="43"/>
      <c r="AM346" s="43"/>
      <c r="AN346" s="9" t="str">
        <f>IFERROR(_xlfn.XLOOKUP(Tableau1[[#This Row],[Isin]]&amp;1&amp;2021,#REF!,Tableau3[Chiffre d''affaires]),"")</f>
        <v/>
      </c>
      <c r="AO346" s="43" cm="1">
        <f t="array" aca="1" ref="AO346" ca="1">_FV(Tableau1[[#This Row],[Code Excel]],"P/E",TRUE)</f>
        <v>13.144</v>
      </c>
      <c r="AP346" s="43" t="str">
        <f>IFERROR(_xlfn.XLOOKUP(Tableau1[[#This Row],[Isin]]&amp;1&amp;2023,#REF!,Tableau3[Résultat Net (PdG)]),"")</f>
        <v/>
      </c>
      <c r="AQ346" s="43">
        <f>IF(IFERROR(_xlfn.XLOOKUP(Tableau1[[#This Row],[Isin]]&amp;1&amp;2022,#REF!,Tableau3[Résultat Net (PdG)]),"")="",Tableau1[[#This Row],[RN Groupe 2022
Manuel]],IFERROR(_xlfn.XLOOKUP(Tableau1[[#This Row],[Isin]]&amp;1&amp;2022,#REF!,Tableau3[Résultat Net (PdG)]),""))</f>
        <v>0</v>
      </c>
      <c r="AR346" s="43"/>
      <c r="AS346" s="43">
        <f>IF(IFERROR(_xlfn.XLOOKUP(Tableau1[[#This Row],[Isin]]&amp;1&amp;2021,#REF!,Tableau3[Résultat Net (PdG)]),"")="",Tableau1[[#This Row],[RN Groupe 2021
Manuel]],IFERROR(_xlfn.XLOOKUP(Tableau1[[#This Row],[Isin]]&amp;1&amp;2021,#REF!,Tableau3[Résultat Net (PdG)]),""))</f>
        <v>0</v>
      </c>
      <c r="AT346" s="43"/>
      <c r="AU346" s="43" t="str">
        <f>IFERROR(_xlfn.XLOOKUP(Tableau1[[#This Row],[Isin]]&amp;1&amp;2020,#REF!,Tableau3[Résultat Net (PdG)]),"")</f>
        <v/>
      </c>
      <c r="AV346" s="43" t="str">
        <f>IFERROR(_xlfn.XLOOKUP(Tableau1[[#This Row],[Isin]]&amp;1&amp;2019,#REF!,Tableau3[Résultat Net (PdG)]),"")</f>
        <v/>
      </c>
      <c r="AW346" s="43" t="str">
        <f>IFERROR(_xlfn.XLOOKUP(Tableau1[[#This Row],[Isin]]&amp;1&amp;2018,#REF!,Tableau3[Résultat Net (PdG)]),"")</f>
        <v/>
      </c>
      <c r="AX346" s="43" t="str">
        <f>IFERROR(_xlfn.XLOOKUP(Tableau1[[#This Row],[Isin]]&amp;1&amp;2017,#REF!,Tableau3[Résultat Net (PdG)]),"")</f>
        <v/>
      </c>
      <c r="AY346" s="43" t="str">
        <f>IFERROR(_xlfn.XLOOKUP(Tableau1[[#This Row],[Isin]]&amp;1&amp;2016,#REF!,Tableau3[Résultat Net (PdG)]),"")</f>
        <v/>
      </c>
      <c r="AZ346" s="137" t="str">
        <f ca="1">IFERROR(Tableau1[[#This Row],[Capitalisation boursière]]/Tableau1[[#This Row],[RN Groupe 2023]],"")</f>
        <v/>
      </c>
      <c r="BA346" s="4" t="str" cm="1">
        <f t="array" aca="1" ref="BA346" ca="1">IFERROR(_FV(Tableau1[[#This Row],[Code Excel]],"Industrie"),"")</f>
        <v>Banking Services</v>
      </c>
      <c r="BB346" s="43" t="s">
        <v>3474</v>
      </c>
      <c r="BC346" s="43" t="str">
        <f>IFERROR(_xlfn.XLOOKUP(Tableau1[[#This Row],[Isin]]&amp;1&amp;2016,#REF!,Tableau3[Capi]),"")</f>
        <v/>
      </c>
      <c r="BD346" s="43" t="str">
        <f>IFERROR(_xlfn.XLOOKUP(Tableau1[[#This Row],[Isin]]&amp;1&amp;2017,#REF!,Tableau3[Capi]),"")</f>
        <v/>
      </c>
      <c r="BE346" s="43" t="str">
        <f>IFERROR(_xlfn.XLOOKUP(Tableau1[[#This Row],[Isin]]&amp;1&amp;2018,#REF!,Tableau3[Capi]),"")</f>
        <v/>
      </c>
      <c r="BF346" s="43" t="str">
        <f>IFERROR(_xlfn.XLOOKUP(Tableau1[[#This Row],[Isin]]&amp;1&amp;2019,#REF!,Tableau3[Capi]),"")</f>
        <v/>
      </c>
      <c r="BG346" s="43" t="str">
        <f>IFERROR(_xlfn.XLOOKUP(Tableau1[[#This Row],[Isin]]&amp;1&amp;2020,#REF!,Tableau3[Capi]),"")</f>
        <v/>
      </c>
      <c r="BH346" s="43">
        <f>IF(IFERROR(_xlfn.XLOOKUP(Tableau1[[#This Row],[Isin]]&amp;1&amp;2021,#REF!,Tableau3[Capi]),"")="",Tableau1[[#This Row],[Capitalisation 2021
Manuel]],IFERROR(_xlfn.XLOOKUP(Tableau1[[#This Row],[Isin]]&amp;1&amp;2021,#REF!,Tableau3[Capi]),""))</f>
        <v>0</v>
      </c>
      <c r="BI346" s="43"/>
      <c r="BJ346" s="43">
        <f>IF(IFERROR(_xlfn.XLOOKUP(Tableau1[[#This Row],[Isin]]&amp;1&amp;2022,#REF!,Tableau3[Capi]),"")="",Tableau1[[#This Row],[Capitalisation 2022
Manuel]],IFERROR(_xlfn.XLOOKUP(Tableau1[[#This Row],[Isin]]&amp;1&amp;2022,#REF!,Tableau3[Capi]),""))</f>
        <v>0</v>
      </c>
      <c r="BK346" s="43"/>
      <c r="BL346" s="43">
        <f ca="1">Tableau1[[#This Row],[Capitalisation boursière]]</f>
        <v>229899845190</v>
      </c>
      <c r="BM346" s="162" t="str" cm="1">
        <f t="array" aca="1" ref="BM346" ca="1">_FV(Tableau1[[#This Row],[Code Excel]],"Description")</f>
        <v>Wells Fargo &amp; Company est une société de services financiers. Elle fournit un ensemble diversifié de produits et services bancaires, d'investissement et hypothécaires, ainsi que des services de financement à la consommation et commercial, par l'intermédiaire de bureaux et d'emplacements bancaires, d'Internet (www.wellsfargo.com) et d'autres canaux de distribution aux particuliers, aux entreprises et aux institutions dans les 50 états, dans le district de Columbia et dans des pays autres que les États-Unis. Ses segments comprennent les services bancaires aux consommateurs et prêts, les services bancaires aux entreprises, les services bancaires aux entreprises et d'investissement et la gestion de patrimoine et d'investissement. Le segment gestion de patrimoine et de placements offre des services personnalisés de gestion de patrimoine, de courtage, de planification financière, de prêt, de banque privée, produits et services fiduciaires et fiduciaires aux clients aisés, fortunés et très fortunés. Les produits et services des services bancaires aux entreprises comprennent des produits bancaires et de crédit dans plusieurs secteurs industriels et municipalités, des produits de prêt garanti et de location, ainsi que la gestion de trésorerie.</v>
      </c>
      <c r="BN346" s="43"/>
      <c r="BO346" s="43"/>
      <c r="BP346" s="43"/>
      <c r="BQ346" s="43"/>
      <c r="BS346" s="4"/>
      <c r="BT346" s="4"/>
    </row>
    <row r="347" spans="3:73">
      <c r="C347" s="42"/>
      <c r="D347" s="42">
        <f>IF(Tableau1[[#This Row],[Isin]]="",99,Tableau1[[#This Row],[Intérêt]]+Tableau1[[#This Row],[Valeur d''intérêt]]+Tableau1[[#This Row],[N° Portefeuille]])</f>
        <v>30</v>
      </c>
      <c r="E347" s="42"/>
      <c r="F347" s="42">
        <f>IF(Tableau1[[#This Row],[Portefeuille]]="p",0,Tableau1[[#This Row],[F. Investissement
Niveau d''intérêt]]*10)</f>
        <v>30</v>
      </c>
      <c r="G347" s="42">
        <f>IF(Tableau1[[#This Row],[Portefeuille]]="p",3,0)</f>
        <v>0</v>
      </c>
      <c r="H347" s="42">
        <v>3</v>
      </c>
      <c r="I347" s="42">
        <v>4</v>
      </c>
      <c r="J347" s="42"/>
      <c r="K347" s="43"/>
      <c r="L347" s="16">
        <v>0</v>
      </c>
      <c r="M34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7" s="44" t="s">
        <v>4265</v>
      </c>
      <c r="O347" s="45"/>
      <c r="P347" s="4" t="s">
        <v>84</v>
      </c>
      <c r="Q347" s="4"/>
      <c r="R347" s="6"/>
      <c r="S347" s="6" t="s">
        <v>4266</v>
      </c>
      <c r="T347" s="6" t="e" vm="324">
        <v>#VALUE!</v>
      </c>
      <c r="U347" s="46" cm="1">
        <f t="array" aca="1" ref="U347" ca="1">IFERROR(_FV(Tableau1[[#This Row],[Code Excel]],"Capitalisation boursière",TRUE),"")</f>
        <v>4025251000</v>
      </c>
      <c r="V347" s="4" t="str" cm="1">
        <f t="array" aca="1" ref="V347" ca="1">IFERROR(_FV(Tableau1[[#This Row],[Code Excel]],"Industrie"),"")</f>
        <v>Holding Companies</v>
      </c>
      <c r="W347" s="4" t="s">
        <v>2188</v>
      </c>
      <c r="X347" s="4" t="str">
        <f ca="1">Tableau1[[#This Row],[Grand Secteur]]&amp;Tableau1[[#This Row],[Industrie]]</f>
        <v>HoldingHolding Companies</v>
      </c>
      <c r="Y347" s="23" cm="1">
        <f t="array" aca="1" ref="Y347" ca="1">IFERROR(_FV(Tableau1[[#This Row],[Code Excel]],"P/E",TRUE),"")</f>
        <v>13.462</v>
      </c>
      <c r="Z347" s="43" cm="1">
        <f t="array" aca="1" ref="Z347" ca="1">IFERROR(_FV(Tableau1[[#This Row],[Code Excel]],"Employés"),"")</f>
        <v>92426</v>
      </c>
      <c r="AA347" s="49">
        <f ca="1">IFERROR(Tableau1[[#This Row],[Capitalisation boursière]]/Tableau1[[#This Row],[Employés]],"")</f>
        <v>43551.067881332092</v>
      </c>
      <c r="AB347" s="5" t="str">
        <f>IFERROR(Tableau1[[#This Row],[REX (2021)]]/Tableau1[[#This Row],[CA 2024]],"")</f>
        <v/>
      </c>
      <c r="AC347" s="9" t="str">
        <f>IFERROR(_xlfn.XLOOKUP(Tableau1[[#This Row],[Isin]]&amp;1&amp;2021,#REF!,Tableau3[Résultat d''exploitation]),"")</f>
        <v/>
      </c>
      <c r="AD347" s="9" t="str">
        <f>IFERROR(_xlfn.XLOOKUP(Tableau1[[#This Row],[Isin]]&amp;1&amp;2019,#REF!,Tableau3[Chiffre d''affaires]),"")</f>
        <v/>
      </c>
      <c r="AE347" s="9" t="str">
        <f>IFERROR(_xlfn.XLOOKUP(Tableau1[[#This Row],[Isin]]&amp;1&amp;2024,#REF!,Tableau3[Chiffre d''affaires]),"")</f>
        <v/>
      </c>
      <c r="AF347" s="8" t="str">
        <f>IFERROR(IF((Tableau1[[#This Row],[CA 2024]]-Tableau1[[#This Row],[CA 2019]])/Tableau1[[#This Row],[CA 2019]]=-1,"",(Tableau1[[#This Row],[CA 2024]]-Tableau1[[#This Row],[CA 2019]])/Tableau1[[#This Row],[CA 2019]]),"")</f>
        <v/>
      </c>
      <c r="AG347" s="9" t="str">
        <f>IFERROR(_xlfn.XLOOKUP(Tableau1[[#This Row],[Isin]]&amp;1&amp;2021,#REF!,Tableau3[EBE]),"")</f>
        <v/>
      </c>
      <c r="AH347" s="9" t="str">
        <f>IFERROR(_xlfn.XLOOKUP(Tableau1[[#This Row],[Isin]]&amp;1&amp;2022,#REF!,Tableau3[EBE]),"")</f>
        <v/>
      </c>
      <c r="AI347" s="43" t="s">
        <v>4329</v>
      </c>
      <c r="AJ347" s="43" t="s">
        <v>4330</v>
      </c>
      <c r="AK347" s="43" t="s">
        <v>3419</v>
      </c>
      <c r="AL347" s="43"/>
      <c r="AM347" s="43"/>
      <c r="AN347" s="9" t="str">
        <f>IFERROR(_xlfn.XLOOKUP(Tableau1[[#This Row],[Isin]]&amp;1&amp;2021,#REF!,Tableau3[Chiffre d''affaires]),"")</f>
        <v/>
      </c>
      <c r="AO347" s="43" cm="1">
        <f t="array" aca="1" ref="AO347" ca="1">_FV(Tableau1[[#This Row],[Code Excel]],"P/E",TRUE)</f>
        <v>13.462</v>
      </c>
      <c r="AP347" s="43" t="str">
        <f>IFERROR(_xlfn.XLOOKUP(Tableau1[[#This Row],[Isin]]&amp;1&amp;2023,#REF!,Tableau3[Résultat Net (PdG)]),"")</f>
        <v/>
      </c>
      <c r="AQ347" s="43">
        <f>IF(IFERROR(_xlfn.XLOOKUP(Tableau1[[#This Row],[Isin]]&amp;1&amp;2022,#REF!,Tableau3[Résultat Net (PdG)]),"")="",Tableau1[[#This Row],[RN Groupe 2022
Manuel]],IFERROR(_xlfn.XLOOKUP(Tableau1[[#This Row],[Isin]]&amp;1&amp;2022,#REF!,Tableau3[Résultat Net (PdG)]),""))</f>
        <v>0</v>
      </c>
      <c r="AR347" s="43"/>
      <c r="AS347" s="43">
        <f>IF(IFERROR(_xlfn.XLOOKUP(Tableau1[[#This Row],[Isin]]&amp;1&amp;2021,#REF!,Tableau3[Résultat Net (PdG)]),"")="",Tableau1[[#This Row],[RN Groupe 2021
Manuel]],IFERROR(_xlfn.XLOOKUP(Tableau1[[#This Row],[Isin]]&amp;1&amp;2021,#REF!,Tableau3[Résultat Net (PdG)]),""))</f>
        <v>0</v>
      </c>
      <c r="AT347" s="43"/>
      <c r="AU347" s="43" t="str">
        <f>IFERROR(_xlfn.XLOOKUP(Tableau1[[#This Row],[Isin]]&amp;1&amp;2020,#REF!,Tableau3[Résultat Net (PdG)]),"")</f>
        <v/>
      </c>
      <c r="AV347" s="43" t="str">
        <f>IFERROR(_xlfn.XLOOKUP(Tableau1[[#This Row],[Isin]]&amp;1&amp;2019,#REF!,Tableau3[Résultat Net (PdG)]),"")</f>
        <v/>
      </c>
      <c r="AW347" s="43" t="str">
        <f>IFERROR(_xlfn.XLOOKUP(Tableau1[[#This Row],[Isin]]&amp;1&amp;2018,#REF!,Tableau3[Résultat Net (PdG)]),"")</f>
        <v/>
      </c>
      <c r="AX347" s="43" t="str">
        <f>IFERROR(_xlfn.XLOOKUP(Tableau1[[#This Row],[Isin]]&amp;1&amp;2017,#REF!,Tableau3[Résultat Net (PdG)]),"")</f>
        <v/>
      </c>
      <c r="AY347" s="43" t="str">
        <f>IFERROR(_xlfn.XLOOKUP(Tableau1[[#This Row],[Isin]]&amp;1&amp;2016,#REF!,Tableau3[Résultat Net (PdG)]),"")</f>
        <v/>
      </c>
      <c r="AZ347" s="137" t="str">
        <f ca="1">IFERROR(Tableau1[[#This Row],[Capitalisation boursière]]/Tableau1[[#This Row],[RN Groupe 2023]],"")</f>
        <v/>
      </c>
      <c r="BA347" s="4" t="str" cm="1">
        <f t="array" aca="1" ref="BA347" ca="1">IFERROR(_FV(Tableau1[[#This Row],[Code Excel]],"Industrie"),"")</f>
        <v>Holding Companies</v>
      </c>
      <c r="BB347" s="43" t="s">
        <v>3477</v>
      </c>
      <c r="BC347" s="43" t="str">
        <f>IFERROR(_xlfn.XLOOKUP(Tableau1[[#This Row],[Isin]]&amp;1&amp;2016,#REF!,Tableau3[Capi]),"")</f>
        <v/>
      </c>
      <c r="BD347" s="43" t="str">
        <f>IFERROR(_xlfn.XLOOKUP(Tableau1[[#This Row],[Isin]]&amp;1&amp;2017,#REF!,Tableau3[Capi]),"")</f>
        <v/>
      </c>
      <c r="BE347" s="43" t="str">
        <f>IFERROR(_xlfn.XLOOKUP(Tableau1[[#This Row],[Isin]]&amp;1&amp;2018,#REF!,Tableau3[Capi]),"")</f>
        <v/>
      </c>
      <c r="BF347" s="43" t="str">
        <f>IFERROR(_xlfn.XLOOKUP(Tableau1[[#This Row],[Isin]]&amp;1&amp;2019,#REF!,Tableau3[Capi]),"")</f>
        <v/>
      </c>
      <c r="BG347" s="43" t="str">
        <f>IFERROR(_xlfn.XLOOKUP(Tableau1[[#This Row],[Isin]]&amp;1&amp;2020,#REF!,Tableau3[Capi]),"")</f>
        <v/>
      </c>
      <c r="BH347" s="43">
        <f>IF(IFERROR(_xlfn.XLOOKUP(Tableau1[[#This Row],[Isin]]&amp;1&amp;2021,#REF!,Tableau3[Capi]),"")="",Tableau1[[#This Row],[Capitalisation 2021
Manuel]],IFERROR(_xlfn.XLOOKUP(Tableau1[[#This Row],[Isin]]&amp;1&amp;2021,#REF!,Tableau3[Capi]),""))</f>
        <v>0</v>
      </c>
      <c r="BI347" s="43"/>
      <c r="BJ347" s="43">
        <f>IF(IFERROR(_xlfn.XLOOKUP(Tableau1[[#This Row],[Isin]]&amp;1&amp;2022,#REF!,Tableau3[Capi]),"")="",Tableau1[[#This Row],[Capitalisation 2022
Manuel]],IFERROR(_xlfn.XLOOKUP(Tableau1[[#This Row],[Isin]]&amp;1&amp;2022,#REF!,Tableau3[Capi]),""))</f>
        <v>0</v>
      </c>
      <c r="BK347" s="43"/>
      <c r="BL347" s="43">
        <f ca="1">Tableau1[[#This Row],[Capitalisation boursière]]</f>
        <v>4025251000</v>
      </c>
      <c r="BM347" s="162" t="str" cm="1">
        <f t="array" aca="1" ref="BM347" ca="1">_FV(Tableau1[[#This Row],[Code Excel]],"Description")</f>
        <v>Wendel SE est un investisseur de long terme basé en France comme actionnaire majoritaire ou minoritaire dans des sociétés cotées ou non cotées, prenant l'initiative afin d'accélérer la croissance et le développement. L'entreprise participe à la définition et à la mise en œuvre de stratégies ambitieuses et fournit le financement nécessaire. La stratégie d'investissement et de développement du Groupe passe par un dialogue étroit, noué avec les équipes de management des sociétés dont Wendel est actionnaire. Ce partenariat est au cœur du processus de création de valeur. L'entreprise offre un soutien actif et constant, partage la prise de risques et met à contribution son expérience, ainsi que ses compétences financières et techniques. La société a des filiales telles que CSP Technologies, Materis Corporate Services SASU et Maxwell Chase Technologies, entre autres. Avec Future French Champions SAS, elle opère par le biais de SGI Africaine De Bourse SA.</v>
      </c>
      <c r="BN347" s="43"/>
      <c r="BO347" s="43"/>
      <c r="BP347" s="43"/>
      <c r="BQ347" s="43"/>
      <c r="BS347" s="4"/>
      <c r="BT347" s="4"/>
    </row>
    <row r="348" spans="3:73">
      <c r="C348" s="43"/>
      <c r="D348" s="42">
        <f>IF(Tableau1[[#This Row],[Isin]]="",99,Tableau1[[#This Row],[Intérêt]]+Tableau1[[#This Row],[Valeur d''intérêt]]+Tableau1[[#This Row],[N° Portefeuille]])</f>
        <v>30</v>
      </c>
      <c r="E348" s="43"/>
      <c r="F348" s="42">
        <f>IF(Tableau1[[#This Row],[Portefeuille]]="p",0,Tableau1[[#This Row],[F. Investissement
Niveau d''intérêt]]*10)</f>
        <v>30</v>
      </c>
      <c r="G348" s="43">
        <f>IF(Tableau1[[#This Row],[Portefeuille]]="p",3,0)</f>
        <v>0</v>
      </c>
      <c r="H348" s="42">
        <v>3</v>
      </c>
      <c r="I348" s="43">
        <v>4</v>
      </c>
      <c r="J348" s="43"/>
      <c r="K348" s="43"/>
      <c r="L348" s="16">
        <v>0</v>
      </c>
      <c r="M348"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8" s="44" t="s">
        <v>4268</v>
      </c>
      <c r="O348" s="45"/>
      <c r="P348" s="4" t="s">
        <v>427</v>
      </c>
      <c r="Q348" s="4"/>
      <c r="R348" s="6"/>
      <c r="S348" s="6" t="s">
        <v>4269</v>
      </c>
      <c r="T348" s="6" t="e" vm="325">
        <v>#VALUE!</v>
      </c>
      <c r="U348" s="46" cm="1">
        <f t="array" aca="1" ref="U348" ca="1">IFERROR(_FV(Tableau1[[#This Row],[Code Excel]],"Capitalisation boursière",TRUE),"")</f>
        <v>34620620000</v>
      </c>
      <c r="V348" s="4" t="str" cm="1">
        <f t="array" aca="1" ref="V348" ca="1">IFERROR(_FV(Tableau1[[#This Row],[Code Excel]],"Industrie"),"")</f>
        <v>Professional &amp; Commercial Services</v>
      </c>
      <c r="W348" s="4" t="s">
        <v>4333</v>
      </c>
      <c r="X348" s="4" t="str">
        <f ca="1">Tableau1[[#This Row],[Grand Secteur]]&amp;Tableau1[[#This Row],[Industrie]]</f>
        <v>Logiciels et TechnologieProfessional &amp; Commercial Services</v>
      </c>
      <c r="Y348" s="23" cm="1">
        <f t="array" aca="1" ref="Y348" ca="1">IFERROR(_FV(Tableau1[[#This Row],[Code Excel]],"P/E",TRUE),"")</f>
        <v>31.927099999999999</v>
      </c>
      <c r="Z348" s="43" cm="1">
        <f t="array" aca="1" ref="Z348" ca="1">IFERROR(_FV(Tableau1[[#This Row],[Code Excel]],"Employés"),"")</f>
        <v>21200</v>
      </c>
      <c r="AA348" s="49">
        <f ca="1">IFERROR(Tableau1[[#This Row],[Capitalisation boursière]]/Tableau1[[#This Row],[Employés]],"")</f>
        <v>1633048.1132075472</v>
      </c>
      <c r="AB348" s="5" t="str">
        <f>IFERROR(Tableau1[[#This Row],[REX (2021)]]/Tableau1[[#This Row],[CA 2024]],"")</f>
        <v/>
      </c>
      <c r="AC348" s="9" t="str">
        <f>IFERROR(_xlfn.XLOOKUP(Tableau1[[#This Row],[Isin]]&amp;1&amp;2021,#REF!,Tableau3[Résultat d''exploitation]),"")</f>
        <v/>
      </c>
      <c r="AD348" s="9" t="str">
        <f>IFERROR(_xlfn.XLOOKUP(Tableau1[[#This Row],[Isin]]&amp;1&amp;2019,#REF!,Tableau3[Chiffre d''affaires]),"")</f>
        <v/>
      </c>
      <c r="AE348" s="9" t="str">
        <f>IFERROR(_xlfn.XLOOKUP(Tableau1[[#This Row],[Isin]]&amp;1&amp;2024,#REF!,Tableau3[Chiffre d''affaires]),"")</f>
        <v/>
      </c>
      <c r="AF348" s="8" t="str">
        <f>IFERROR(IF((Tableau1[[#This Row],[CA 2024]]-Tableau1[[#This Row],[CA 2019]])/Tableau1[[#This Row],[CA 2019]]=-1,"",(Tableau1[[#This Row],[CA 2024]]-Tableau1[[#This Row],[CA 2019]])/Tableau1[[#This Row],[CA 2019]]),"")</f>
        <v/>
      </c>
      <c r="AG348" s="9" t="str">
        <f>IFERROR(_xlfn.XLOOKUP(Tableau1[[#This Row],[Isin]]&amp;1&amp;2021,#REF!,Tableau3[EBE]),"")</f>
        <v/>
      </c>
      <c r="AH348" s="9" t="str">
        <f>IFERROR(_xlfn.XLOOKUP(Tableau1[[#This Row],[Isin]]&amp;1&amp;2022,#REF!,Tableau3[EBE]),"")</f>
        <v/>
      </c>
      <c r="AI348" s="43" t="s">
        <v>4324</v>
      </c>
      <c r="AJ348" s="43" t="s">
        <v>4334</v>
      </c>
      <c r="AK348" s="43" t="s">
        <v>3148</v>
      </c>
      <c r="AL348" s="43"/>
      <c r="AM348" s="43"/>
      <c r="AN348" s="9" t="str">
        <f>IFERROR(_xlfn.XLOOKUP(Tableau1[[#This Row],[Isin]]&amp;1&amp;2021,#REF!,Tableau3[Chiffre d''affaires]),"")</f>
        <v/>
      </c>
      <c r="AO348" s="43" cm="1">
        <f t="array" aca="1" ref="AO348" ca="1">_FV(Tableau1[[#This Row],[Code Excel]],"P/E",TRUE)</f>
        <v>31.927099999999999</v>
      </c>
      <c r="AP348" s="43" t="str">
        <f>IFERROR(_xlfn.XLOOKUP(Tableau1[[#This Row],[Isin]]&amp;1&amp;2023,#REF!,Tableau3[Résultat Net (PdG)]),"")</f>
        <v/>
      </c>
      <c r="AQ348" s="43">
        <f>IF(IFERROR(_xlfn.XLOOKUP(Tableau1[[#This Row],[Isin]]&amp;1&amp;2022,#REF!,Tableau3[Résultat Net (PdG)]),"")="",Tableau1[[#This Row],[RN Groupe 2022
Manuel]],IFERROR(_xlfn.XLOOKUP(Tableau1[[#This Row],[Isin]]&amp;1&amp;2022,#REF!,Tableau3[Résultat Net (PdG)]),""))</f>
        <v>0</v>
      </c>
      <c r="AR348" s="43"/>
      <c r="AS348" s="43">
        <f>IF(IFERROR(_xlfn.XLOOKUP(Tableau1[[#This Row],[Isin]]&amp;1&amp;2021,#REF!,Tableau3[Résultat Net (PdG)]),"")="",Tableau1[[#This Row],[RN Groupe 2021
Manuel]],IFERROR(_xlfn.XLOOKUP(Tableau1[[#This Row],[Isin]]&amp;1&amp;2021,#REF!,Tableau3[Résultat Net (PdG)]),""))</f>
        <v>0</v>
      </c>
      <c r="AT348" s="43"/>
      <c r="AU348" s="43" t="str">
        <f>IFERROR(_xlfn.XLOOKUP(Tableau1[[#This Row],[Isin]]&amp;1&amp;2020,#REF!,Tableau3[Résultat Net (PdG)]),"")</f>
        <v/>
      </c>
      <c r="AV348" s="43" t="str">
        <f>IFERROR(_xlfn.XLOOKUP(Tableau1[[#This Row],[Isin]]&amp;1&amp;2019,#REF!,Tableau3[Résultat Net (PdG)]),"")</f>
        <v/>
      </c>
      <c r="AW348" s="43" t="str">
        <f>IFERROR(_xlfn.XLOOKUP(Tableau1[[#This Row],[Isin]]&amp;1&amp;2018,#REF!,Tableau3[Résultat Net (PdG)]),"")</f>
        <v/>
      </c>
      <c r="AX348" s="43" t="str">
        <f>IFERROR(_xlfn.XLOOKUP(Tableau1[[#This Row],[Isin]]&amp;1&amp;2017,#REF!,Tableau3[Résultat Net (PdG)]),"")</f>
        <v/>
      </c>
      <c r="AY348" s="43" t="str">
        <f>IFERROR(_xlfn.XLOOKUP(Tableau1[[#This Row],[Isin]]&amp;1&amp;2016,#REF!,Tableau3[Résultat Net (PdG)]),"")</f>
        <v/>
      </c>
      <c r="AZ348" s="137" t="str">
        <f ca="1">IFERROR(Tableau1[[#This Row],[Capitalisation boursière]]/Tableau1[[#This Row],[RN Groupe 2023]],"")</f>
        <v/>
      </c>
      <c r="BA348" s="4" t="str" cm="1">
        <f t="array" aca="1" ref="BA348" ca="1">IFERROR(_FV(Tableau1[[#This Row],[Code Excel]],"Industrie"),"")</f>
        <v>Professional &amp; Commercial Services</v>
      </c>
      <c r="BB348" s="43" t="s">
        <v>3496</v>
      </c>
      <c r="BC348" s="43" t="str">
        <f>IFERROR(_xlfn.XLOOKUP(Tableau1[[#This Row],[Isin]]&amp;1&amp;2016,#REF!,Tableau3[Capi]),"")</f>
        <v/>
      </c>
      <c r="BD348" s="43" t="str">
        <f>IFERROR(_xlfn.XLOOKUP(Tableau1[[#This Row],[Isin]]&amp;1&amp;2017,#REF!,Tableau3[Capi]),"")</f>
        <v/>
      </c>
      <c r="BE348" s="43" t="str">
        <f>IFERROR(_xlfn.XLOOKUP(Tableau1[[#This Row],[Isin]]&amp;1&amp;2018,#REF!,Tableau3[Capi]),"")</f>
        <v/>
      </c>
      <c r="BF348" s="43" t="str">
        <f>IFERROR(_xlfn.XLOOKUP(Tableau1[[#This Row],[Isin]]&amp;1&amp;2019,#REF!,Tableau3[Capi]),"")</f>
        <v/>
      </c>
      <c r="BG348" s="43" t="str">
        <f>IFERROR(_xlfn.XLOOKUP(Tableau1[[#This Row],[Isin]]&amp;1&amp;2020,#REF!,Tableau3[Capi]),"")</f>
        <v/>
      </c>
      <c r="BH348" s="43">
        <f>IF(IFERROR(_xlfn.XLOOKUP(Tableau1[[#This Row],[Isin]]&amp;1&amp;2021,#REF!,Tableau3[Capi]),"")="",Tableau1[[#This Row],[Capitalisation 2021
Manuel]],IFERROR(_xlfn.XLOOKUP(Tableau1[[#This Row],[Isin]]&amp;1&amp;2021,#REF!,Tableau3[Capi]),""))</f>
        <v>0</v>
      </c>
      <c r="BI348" s="43"/>
      <c r="BJ348" s="43">
        <f>IF(IFERROR(_xlfn.XLOOKUP(Tableau1[[#This Row],[Isin]]&amp;1&amp;2022,#REF!,Tableau3[Capi]),"")="",Tableau1[[#This Row],[Capitalisation 2022
Manuel]],IFERROR(_xlfn.XLOOKUP(Tableau1[[#This Row],[Isin]]&amp;1&amp;2022,#REF!,Tableau3[Capi]),""))</f>
        <v>0</v>
      </c>
      <c r="BK348" s="43"/>
      <c r="BL348" s="43">
        <f ca="1">Tableau1[[#This Row],[Capitalisation boursière]]</f>
        <v>34620620000</v>
      </c>
      <c r="BM348" s="162" t="str" cm="1">
        <f t="array" aca="1" ref="BM348" ca="1">_FV(Tableau1[[#This Row],[Code Excel]],"Description")</f>
        <v>Wolters Kluwer NV est une société basée aux Pays-Bas qui fournit des informations, des logiciels et des services aux professionnels du droit, des affaires, de la fiscalité, de la comptabilité, de la finance, de l'audit, du risque, de la conformité et de la santé dans le monde entier. Les quatre divisions opérationnelles de la Société sont basées sur des segments de clientèle stratégiques : Santé ; Comptabilité fiscale; Gouvernance, Risque &amp; Conformité, et Juridique &amp; Réglementaire. Ses secteurs géographiques comprennent les Pays-Bas, l'Europe, l'Amérique du Nord, l'Asie-Pacifique et le reste du monde. Le portefeuille de produits de la Société propose des outils logiciels associés à du contenu et des services qui permettent à ses clients de prendre des décisions fondées sur des preuves, grâce à des solutions de gestion des flux de travail, des informations réglementaires, des analyses et des rapports, adaptés aux spécificités de leur secteur. En outre, la Société est active dans l'édition numérique et imprimée.</v>
      </c>
      <c r="BN348" s="43"/>
      <c r="BO348" s="43"/>
      <c r="BP348" s="43"/>
      <c r="BQ348" s="43"/>
      <c r="BS348" s="4"/>
      <c r="BT348" s="4"/>
    </row>
    <row r="349" spans="3:73">
      <c r="C349" s="42"/>
      <c r="D349" s="42">
        <f>IF(Tableau1[[#This Row],[Isin]]="",99,Tableau1[[#This Row],[Intérêt]]+Tableau1[[#This Row],[Valeur d''intérêt]]+Tableau1[[#This Row],[N° Portefeuille]])</f>
        <v>30</v>
      </c>
      <c r="E349" s="42"/>
      <c r="F349" s="42">
        <f>IF(Tableau1[[#This Row],[Portefeuille]]="p",0,Tableau1[[#This Row],[F. Investissement
Niveau d''intérêt]]*10)</f>
        <v>30</v>
      </c>
      <c r="G349" s="42">
        <f>IF(Tableau1[[#This Row],[Portefeuille]]="p",3,0)</f>
        <v>0</v>
      </c>
      <c r="H349" s="42">
        <v>3</v>
      </c>
      <c r="I349" s="42"/>
      <c r="J349" s="42"/>
      <c r="K349" s="43"/>
      <c r="L349" s="16">
        <v>1</v>
      </c>
      <c r="M349"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49" s="44" t="s">
        <v>4272</v>
      </c>
      <c r="O349" s="44" t="s">
        <v>4400</v>
      </c>
      <c r="P349" s="4" t="s">
        <v>84</v>
      </c>
      <c r="Q349" s="6" t="s">
        <v>85</v>
      </c>
      <c r="R349" s="6"/>
      <c r="S349" s="6" t="s">
        <v>672</v>
      </c>
      <c r="T349" s="48" t="e" vm="326">
        <v>#VALUE!</v>
      </c>
      <c r="U349" s="46" cm="1">
        <f t="array" aca="1" ref="U349" ca="1">IFERROR(_FV(Tableau1[[#This Row],[Code Excel]],"Capitalisation boursière",TRUE),"")</f>
        <v>1727518000</v>
      </c>
      <c r="V349" s="4" t="str" cm="1">
        <f t="array" aca="1" ref="V349" ca="1">IFERROR(_FV(Tableau1[[#This Row],[Code Excel]],"Industrie"),"")</f>
        <v>Financial Technology (Fintech) &amp; Infrastructure</v>
      </c>
      <c r="W349" s="4" t="s">
        <v>4335</v>
      </c>
      <c r="X349" s="4" t="str">
        <f ca="1">Tableau1[[#This Row],[Grand Secteur]]&amp;Tableau1[[#This Row],[Industrie]]</f>
        <v>FinanceFinancial Technology (Fintech) &amp; Infrastructure</v>
      </c>
      <c r="Y349" s="23" cm="1">
        <f t="array" aca="1" ref="Y349" ca="1">IFERROR(_FV(Tableau1[[#This Row],[Code Excel]],"P/E",TRUE),"")</f>
        <v>0</v>
      </c>
      <c r="Z349" s="43" cm="1">
        <f t="array" aca="1" ref="Z349" ca="1">IFERROR(_FV(Tableau1[[#This Row],[Code Excel]],"Employés"),"")</f>
        <v>18112</v>
      </c>
      <c r="AA349" s="49">
        <f ca="1">IFERROR(Tableau1[[#This Row],[Capitalisation boursière]]/Tableau1[[#This Row],[Employés]],"")</f>
        <v>95379.748233215549</v>
      </c>
      <c r="AB349" s="5" t="str">
        <f>IFERROR(Tableau1[[#This Row],[REX (2021)]]/Tableau1[[#This Row],[CA 2024]],"")</f>
        <v/>
      </c>
      <c r="AC349" s="9" t="str">
        <f>IFERROR(_xlfn.XLOOKUP(Tableau1[[#This Row],[Isin]]&amp;1&amp;2021,#REF!,Tableau3[Résultat d''exploitation]),"")</f>
        <v/>
      </c>
      <c r="AD349" s="9" t="str">
        <f>IFERROR(_xlfn.XLOOKUP(Tableau1[[#This Row],[Isin]]&amp;1&amp;2019,#REF!,Tableau3[Chiffre d''affaires]),"")</f>
        <v/>
      </c>
      <c r="AE349" s="9" t="str">
        <f>IFERROR(_xlfn.XLOOKUP(Tableau1[[#This Row],[Isin]]&amp;1&amp;2024,#REF!,Tableau3[Chiffre d''affaires]),"")</f>
        <v/>
      </c>
      <c r="AF349" s="8" t="str">
        <f>IFERROR(IF((Tableau1[[#This Row],[CA 2024]]-Tableau1[[#This Row],[CA 2019]])/Tableau1[[#This Row],[CA 2019]]=-1,"",(Tableau1[[#This Row],[CA 2024]]-Tableau1[[#This Row],[CA 2019]])/Tableau1[[#This Row],[CA 2019]]),"")</f>
        <v/>
      </c>
      <c r="AG349" s="9" t="str">
        <f>IFERROR(_xlfn.XLOOKUP(Tableau1[[#This Row],[Isin]]&amp;1&amp;2021,#REF!,Tableau3[EBE]),"")</f>
        <v/>
      </c>
      <c r="AH349" s="9" t="str">
        <f>IFERROR(_xlfn.XLOOKUP(Tableau1[[#This Row],[Isin]]&amp;1&amp;2022,#REF!,Tableau3[EBE]),"")</f>
        <v/>
      </c>
      <c r="AI349" s="43" t="s">
        <v>4324</v>
      </c>
      <c r="AJ349" s="43" t="s">
        <v>4330</v>
      </c>
      <c r="AK349" s="43" t="s">
        <v>4327</v>
      </c>
      <c r="AL349" s="43" t="s">
        <v>3419</v>
      </c>
      <c r="AM349" s="43"/>
      <c r="AN349" s="9" t="str">
        <f>IFERROR(_xlfn.XLOOKUP(Tableau1[[#This Row],[Isin]]&amp;1&amp;2021,#REF!,Tableau3[Chiffre d''affaires]),"")</f>
        <v/>
      </c>
      <c r="AO349" s="43" cm="1">
        <f t="array" aca="1" ref="AO349" ca="1">_FV(Tableau1[[#This Row],[Code Excel]],"P/E",TRUE)</f>
        <v>0</v>
      </c>
      <c r="AP349" s="43" t="str">
        <f>IFERROR(_xlfn.XLOOKUP(Tableau1[[#This Row],[Isin]]&amp;1&amp;2023,#REF!,Tableau3[Résultat Net (PdG)]),"")</f>
        <v/>
      </c>
      <c r="AQ349" s="43">
        <f>IF(IFERROR(_xlfn.XLOOKUP(Tableau1[[#This Row],[Isin]]&amp;1&amp;2022,#REF!,Tableau3[Résultat Net (PdG)]),"")="",Tableau1[[#This Row],[RN Groupe 2022
Manuel]],IFERROR(_xlfn.XLOOKUP(Tableau1[[#This Row],[Isin]]&amp;1&amp;2022,#REF!,Tableau3[Résultat Net (PdG)]),""))</f>
        <v>211000000</v>
      </c>
      <c r="AR349" s="140">
        <v>211000000</v>
      </c>
      <c r="AS349" s="43">
        <f>IF(IFERROR(_xlfn.XLOOKUP(Tableau1[[#This Row],[Isin]]&amp;1&amp;2021,#REF!,Tableau3[Résultat Net (PdG)]),"")="",Tableau1[[#This Row],[RN Groupe 2021
Manuel]],IFERROR(_xlfn.XLOOKUP(Tableau1[[#This Row],[Isin]]&amp;1&amp;2021,#REF!,Tableau3[Résultat Net (PdG)]),""))</f>
        <v>0</v>
      </c>
      <c r="AT349" s="140"/>
      <c r="AU349" s="43" t="str">
        <f>IFERROR(_xlfn.XLOOKUP(Tableau1[[#This Row],[Isin]]&amp;1&amp;2020,#REF!,Tableau3[Résultat Net (PdG)]),"")</f>
        <v/>
      </c>
      <c r="AV349" s="43" t="str">
        <f>IFERROR(_xlfn.XLOOKUP(Tableau1[[#This Row],[Isin]]&amp;1&amp;2019,#REF!,Tableau3[Résultat Net (PdG)]),"")</f>
        <v/>
      </c>
      <c r="AW349" s="43" t="str">
        <f>IFERROR(_xlfn.XLOOKUP(Tableau1[[#This Row],[Isin]]&amp;1&amp;2018,#REF!,Tableau3[Résultat Net (PdG)]),"")</f>
        <v/>
      </c>
      <c r="AX349" s="43" t="str">
        <f>IFERROR(_xlfn.XLOOKUP(Tableau1[[#This Row],[Isin]]&amp;1&amp;2017,#REF!,Tableau3[Résultat Net (PdG)]),"")</f>
        <v/>
      </c>
      <c r="AY349" s="43" t="str">
        <f>IFERROR(_xlfn.XLOOKUP(Tableau1[[#This Row],[Isin]]&amp;1&amp;2016,#REF!,Tableau3[Résultat Net (PdG)]),"")</f>
        <v/>
      </c>
      <c r="AZ349" s="137" t="str">
        <f ca="1">IFERROR(Tableau1[[#This Row],[Capitalisation boursière]]/Tableau1[[#This Row],[RN Groupe 2023]],"")</f>
        <v/>
      </c>
      <c r="BA349" s="4" t="str" cm="1">
        <f t="array" aca="1" ref="BA349" ca="1">IFERROR(_FV(Tableau1[[#This Row],[Code Excel]],"Industrie"),"")</f>
        <v>Financial Technology (Fintech) &amp; Infrastructure</v>
      </c>
      <c r="BB349" s="43" t="s">
        <v>3518</v>
      </c>
      <c r="BC349" s="43" t="str">
        <f>IFERROR(_xlfn.XLOOKUP(Tableau1[[#This Row],[Isin]]&amp;1&amp;2016,#REF!,Tableau3[Capi]),"")</f>
        <v/>
      </c>
      <c r="BD349" s="43" t="str">
        <f>IFERROR(_xlfn.XLOOKUP(Tableau1[[#This Row],[Isin]]&amp;1&amp;2017,#REF!,Tableau3[Capi]),"")</f>
        <v/>
      </c>
      <c r="BE349" s="43" t="str">
        <f>IFERROR(_xlfn.XLOOKUP(Tableau1[[#This Row],[Isin]]&amp;1&amp;2018,#REF!,Tableau3[Capi]),"")</f>
        <v/>
      </c>
      <c r="BF349" s="43" t="str">
        <f>IFERROR(_xlfn.XLOOKUP(Tableau1[[#This Row],[Isin]]&amp;1&amp;2019,#REF!,Tableau3[Capi]),"")</f>
        <v/>
      </c>
      <c r="BG349" s="43" t="str">
        <f>IFERROR(_xlfn.XLOOKUP(Tableau1[[#This Row],[Isin]]&amp;1&amp;2020,#REF!,Tableau3[Capi]),"")</f>
        <v/>
      </c>
      <c r="BH349" s="43">
        <f>IF(IFERROR(_xlfn.XLOOKUP(Tableau1[[#This Row],[Isin]]&amp;1&amp;2021,#REF!,Tableau3[Capi]),"")="",Tableau1[[#This Row],[Capitalisation 2021
Manuel]],IFERROR(_xlfn.XLOOKUP(Tableau1[[#This Row],[Isin]]&amp;1&amp;2021,#REF!,Tableau3[Capi]),""))</f>
        <v>0</v>
      </c>
      <c r="BI349" s="142"/>
      <c r="BJ349" s="141">
        <f>IF(IFERROR(_xlfn.XLOOKUP(Tableau1[[#This Row],[Isin]]&amp;1&amp;2022,#REF!,Tableau3[Capi]),"")="",Tableau1[[#This Row],[Capitalisation 2022
Manuel]],IFERROR(_xlfn.XLOOKUP(Tableau1[[#This Row],[Isin]]&amp;1&amp;2022,#REF!,Tableau3[Capi]),""))</f>
        <v>0</v>
      </c>
      <c r="BK349" s="142"/>
      <c r="BL349" s="43">
        <f ca="1">Tableau1[[#This Row],[Capitalisation boursière]]</f>
        <v>1727518000</v>
      </c>
      <c r="BM349" s="162" t="str" cm="1">
        <f t="array" aca="1" ref="BM349" ca="1">_FV(Tableau1[[#This Row],[Code Excel]],"Description")</f>
        <v>Worldline SA, anciennement Atos Worldline SAS, est une société basée en France fournissant des services de paiement et de transaction. La Société crée et exploite des plateformes numériques qui traitent toutes les transactions entre les entreprises, leurs partenaires et leurs clients. Ses solutions sont divisées en trois segments : Merchant Services &amp; Terminaux, comprenant des services, des solutions et une mise en œuvre dans les domaines des terminaux de paiement, de l'acceptation de paiement multicanal, des paiements sans espèces, des cartes privatives, des services de fidélité et du commerce électronique ; Mobility &amp; eTransactional Services, engagé dans la création de produits numériques tels que les billets électroniques, les plateformes de collecte d'e-gouvernement et les plateformes cloud de contact et de consommation, entre autres ; et Financial Processing &amp; Software Licensing, qui fournit le traitement des paiements, le traitement des acquisitions et des émissions, des solutions bancaires en ligne et des solutions logicielles. La Société est active au niveau international par le biais de filiales telles que Worldline Euro SA, Santeos SA, Worldline BV, entre autres.</v>
      </c>
      <c r="BN349" s="43"/>
      <c r="BO349" s="43"/>
      <c r="BP349" s="43"/>
      <c r="BQ349" s="43"/>
      <c r="BS349" s="4"/>
      <c r="BT349" s="4"/>
    </row>
    <row r="350" spans="3:73">
      <c r="C350" s="43"/>
      <c r="D350" s="42">
        <f>IF(Tableau1[[#This Row],[Isin]]="",99,Tableau1[[#This Row],[Intérêt]]+Tableau1[[#This Row],[Valeur d''intérêt]]+Tableau1[[#This Row],[N° Portefeuille]])</f>
        <v>30</v>
      </c>
      <c r="E350" s="43"/>
      <c r="F350" s="42">
        <f>IF(Tableau1[[#This Row],[Portefeuille]]="p",0,Tableau1[[#This Row],[F. Investissement
Niveau d''intérêt]]*10)</f>
        <v>30</v>
      </c>
      <c r="G350" s="43">
        <f>IF(Tableau1[[#This Row],[Portefeuille]]="p",3,0)</f>
        <v>0</v>
      </c>
      <c r="H350" s="42">
        <v>3</v>
      </c>
      <c r="I350" s="43">
        <v>4</v>
      </c>
      <c r="J350" s="43"/>
      <c r="K350" s="43"/>
      <c r="L350" s="16">
        <v>0</v>
      </c>
      <c r="M350"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0" s="44" t="s">
        <v>4274</v>
      </c>
      <c r="O350" s="45"/>
      <c r="P350" s="4" t="s">
        <v>564</v>
      </c>
      <c r="Q350" s="4"/>
      <c r="R350" s="6"/>
      <c r="S350" s="6" t="s">
        <v>4275</v>
      </c>
      <c r="T350" s="48" t="e" vm="327">
        <v>#VALUE!</v>
      </c>
      <c r="U350" s="46" cm="1">
        <f t="array" aca="1" ref="U350" ca="1">IFERROR(_FV(Tableau1[[#This Row],[Code Excel]],"Capitalisation boursière",TRUE),"")</f>
        <v>8515183000</v>
      </c>
      <c r="V350" s="4" t="str" cm="1">
        <f t="array" aca="1" ref="V350" ca="1">IFERROR(_FV(Tableau1[[#This Row],[Code Excel]],"Industrie"),"")</f>
        <v>Software &amp; IT Services</v>
      </c>
      <c r="W350" s="4" t="s">
        <v>4333</v>
      </c>
      <c r="X350" s="4" t="str">
        <f ca="1">Tableau1[[#This Row],[Grand Secteur]]&amp;Tableau1[[#This Row],[Industrie]]</f>
        <v>Logiciels et TechnologieSoftware &amp; IT Services</v>
      </c>
      <c r="Y350" s="23" cm="1">
        <f t="array" aca="1" ref="Y350" ca="1">IFERROR(_FV(Tableau1[[#This Row],[Code Excel]],"P/E",TRUE),"")</f>
        <v>34.36</v>
      </c>
      <c r="Z350" s="43" cm="1">
        <f t="array" aca="1" ref="Z350" ca="1">IFERROR(_FV(Tableau1[[#This Row],[Code Excel]],"Employés"),"")</f>
        <v>15309</v>
      </c>
      <c r="AA350" s="49">
        <f ca="1">IFERROR(Tableau1[[#This Row],[Capitalisation boursière]]/Tableau1[[#This Row],[Employés]],"")</f>
        <v>556220.71983800374</v>
      </c>
      <c r="AB350" s="5" t="str">
        <f>IFERROR(Tableau1[[#This Row],[REX (2021)]]/Tableau1[[#This Row],[CA 2024]],"")</f>
        <v/>
      </c>
      <c r="AC350" s="9" t="str">
        <f>IFERROR(_xlfn.XLOOKUP(Tableau1[[#This Row],[Isin]]&amp;1&amp;2021,#REF!,Tableau3[Résultat d''exploitation]),"")</f>
        <v/>
      </c>
      <c r="AD350" s="9" t="str">
        <f>IFERROR(_xlfn.XLOOKUP(Tableau1[[#This Row],[Isin]]&amp;1&amp;2019,#REF!,Tableau3[Chiffre d''affaires]),"")</f>
        <v/>
      </c>
      <c r="AE350" s="9" t="str">
        <f>IFERROR(_xlfn.XLOOKUP(Tableau1[[#This Row],[Isin]]&amp;1&amp;2024,#REF!,Tableau3[Chiffre d''affaires]),"")</f>
        <v/>
      </c>
      <c r="AF350" s="8" t="str">
        <f>IFERROR(IF((Tableau1[[#This Row],[CA 2024]]-Tableau1[[#This Row],[CA 2019]])/Tableau1[[#This Row],[CA 2019]]=-1,"",(Tableau1[[#This Row],[CA 2024]]-Tableau1[[#This Row],[CA 2019]])/Tableau1[[#This Row],[CA 2019]]),"")</f>
        <v/>
      </c>
      <c r="AG350" s="9" t="str">
        <f>IFERROR(_xlfn.XLOOKUP(Tableau1[[#This Row],[Isin]]&amp;1&amp;2021,#REF!,Tableau3[EBE]),"")</f>
        <v/>
      </c>
      <c r="AH350" s="9" t="str">
        <f>IFERROR(_xlfn.XLOOKUP(Tableau1[[#This Row],[Isin]]&amp;1&amp;2022,#REF!,Tableau3[EBE]),"")</f>
        <v/>
      </c>
      <c r="AI350" s="43" t="s">
        <v>4324</v>
      </c>
      <c r="AJ350" s="43" t="s">
        <v>4334</v>
      </c>
      <c r="AK350" s="43" t="s">
        <v>3148</v>
      </c>
      <c r="AL350" s="43"/>
      <c r="AM350" s="43"/>
      <c r="AN350" s="9" t="str">
        <f>IFERROR(_xlfn.XLOOKUP(Tableau1[[#This Row],[Isin]]&amp;1&amp;2021,#REF!,Tableau3[Chiffre d''affaires]),"")</f>
        <v/>
      </c>
      <c r="AO350" s="43" cm="1">
        <f t="array" aca="1" ref="AO350" ca="1">_FV(Tableau1[[#This Row],[Code Excel]],"P/E",TRUE)</f>
        <v>34.36</v>
      </c>
      <c r="AP350" s="43" t="str">
        <f>IFERROR(_xlfn.XLOOKUP(Tableau1[[#This Row],[Isin]]&amp;1&amp;2023,#REF!,Tableau3[Résultat Net (PdG)]),"")</f>
        <v/>
      </c>
      <c r="AQ350" s="43">
        <f>IF(IFERROR(_xlfn.XLOOKUP(Tableau1[[#This Row],[Isin]]&amp;1&amp;2022,#REF!,Tableau3[Résultat Net (PdG)]),"")="",Tableau1[[#This Row],[RN Groupe 2022
Manuel]],IFERROR(_xlfn.XLOOKUP(Tableau1[[#This Row],[Isin]]&amp;1&amp;2022,#REF!,Tableau3[Résultat Net (PdG)]),""))</f>
        <v>0</v>
      </c>
      <c r="AR350" s="43"/>
      <c r="AS350" s="43">
        <f>IF(IFERROR(_xlfn.XLOOKUP(Tableau1[[#This Row],[Isin]]&amp;1&amp;2021,#REF!,Tableau3[Résultat Net (PdG)]),"")="",Tableau1[[#This Row],[RN Groupe 2021
Manuel]],IFERROR(_xlfn.XLOOKUP(Tableau1[[#This Row],[Isin]]&amp;1&amp;2021,#REF!,Tableau3[Résultat Net (PdG)]),""))</f>
        <v>0</v>
      </c>
      <c r="AT350" s="43"/>
      <c r="AU350" s="43" t="str">
        <f>IFERROR(_xlfn.XLOOKUP(Tableau1[[#This Row],[Isin]]&amp;1&amp;2020,#REF!,Tableau3[Résultat Net (PdG)]),"")</f>
        <v/>
      </c>
      <c r="AV350" s="43" t="str">
        <f>IFERROR(_xlfn.XLOOKUP(Tableau1[[#This Row],[Isin]]&amp;1&amp;2019,#REF!,Tableau3[Résultat Net (PdG)]),"")</f>
        <v/>
      </c>
      <c r="AW350" s="43" t="str">
        <f>IFERROR(_xlfn.XLOOKUP(Tableau1[[#This Row],[Isin]]&amp;1&amp;2018,#REF!,Tableau3[Résultat Net (PdG)]),"")</f>
        <v/>
      </c>
      <c r="AX350" s="43" t="str">
        <f>IFERROR(_xlfn.XLOOKUP(Tableau1[[#This Row],[Isin]]&amp;1&amp;2017,#REF!,Tableau3[Résultat Net (PdG)]),"")</f>
        <v/>
      </c>
      <c r="AY350" s="43" t="str">
        <f>IFERROR(_xlfn.XLOOKUP(Tableau1[[#This Row],[Isin]]&amp;1&amp;2016,#REF!,Tableau3[Résultat Net (PdG)]),"")</f>
        <v/>
      </c>
      <c r="AZ350" s="137" t="str">
        <f ca="1">IFERROR(Tableau1[[#This Row],[Capitalisation boursière]]/Tableau1[[#This Row],[RN Groupe 2023]],"")</f>
        <v/>
      </c>
      <c r="BA350" s="4" t="str" cm="1">
        <f t="array" aca="1" ref="BA350" ca="1">IFERROR(_FV(Tableau1[[#This Row],[Code Excel]],"Industrie"),"")</f>
        <v>Software &amp; IT Services</v>
      </c>
      <c r="BB350" s="43" t="s">
        <v>3487</v>
      </c>
      <c r="BC350" s="43" t="str">
        <f>IFERROR(_xlfn.XLOOKUP(Tableau1[[#This Row],[Isin]]&amp;1&amp;2016,#REF!,Tableau3[Capi]),"")</f>
        <v/>
      </c>
      <c r="BD350" s="43" t="str">
        <f>IFERROR(_xlfn.XLOOKUP(Tableau1[[#This Row],[Isin]]&amp;1&amp;2017,#REF!,Tableau3[Capi]),"")</f>
        <v/>
      </c>
      <c r="BE350" s="43" t="str">
        <f>IFERROR(_xlfn.XLOOKUP(Tableau1[[#This Row],[Isin]]&amp;1&amp;2018,#REF!,Tableau3[Capi]),"")</f>
        <v/>
      </c>
      <c r="BF350" s="43" t="str">
        <f>IFERROR(_xlfn.XLOOKUP(Tableau1[[#This Row],[Isin]]&amp;1&amp;2019,#REF!,Tableau3[Capi]),"")</f>
        <v/>
      </c>
      <c r="BG350" s="43" t="str">
        <f>IFERROR(_xlfn.XLOOKUP(Tableau1[[#This Row],[Isin]]&amp;1&amp;2020,#REF!,Tableau3[Capi]),"")</f>
        <v/>
      </c>
      <c r="BH350" s="43">
        <f>IF(IFERROR(_xlfn.XLOOKUP(Tableau1[[#This Row],[Isin]]&amp;1&amp;2021,#REF!,Tableau3[Capi]),"")="",Tableau1[[#This Row],[Capitalisation 2021
Manuel]],IFERROR(_xlfn.XLOOKUP(Tableau1[[#This Row],[Isin]]&amp;1&amp;2021,#REF!,Tableau3[Capi]),""))</f>
        <v>0</v>
      </c>
      <c r="BI350" s="43"/>
      <c r="BJ350" s="43">
        <f>IF(IFERROR(_xlfn.XLOOKUP(Tableau1[[#This Row],[Isin]]&amp;1&amp;2022,#REF!,Tableau3[Capi]),"")="",Tableau1[[#This Row],[Capitalisation 2022
Manuel]],IFERROR(_xlfn.XLOOKUP(Tableau1[[#This Row],[Isin]]&amp;1&amp;2022,#REF!,Tableau3[Capi]),""))</f>
        <v>0</v>
      </c>
      <c r="BK350" s="43"/>
      <c r="BL350" s="43">
        <f ca="1">Tableau1[[#This Row],[Capitalisation boursière]]</f>
        <v>8515183000</v>
      </c>
      <c r="BM350" s="162" t="str" cm="1">
        <f t="array" aca="1" ref="BM350" ca="1">_FV(Tableau1[[#This Row],[Code Excel]],"Description")</f>
        <v>alando SE est une plateforme européenne de commerce électronique de mode et de style de vie basée en Allemagne. La société propose un portefeuille de vêtements pour femmes, hommes et enfants. Son assortiment comprend une gamme de chaussures, de vêtements, d'accessoires, de produits de beauté et d'articles de sport provenant de plus de 6 000 marques. Zalando opère dans deux segments : le commerce interentreprises (B2C) et le commerce interentreprises (B2B). Zalando offre une expérience d'achat multimarques pour les produits de mode et de style de vie aux clients du B2C.</v>
      </c>
      <c r="BN350" s="43"/>
      <c r="BO350" s="43"/>
      <c r="BP350" s="43"/>
      <c r="BQ350" s="43"/>
      <c r="BS350" s="4"/>
      <c r="BT350" s="4"/>
    </row>
    <row r="351" spans="3:73">
      <c r="C351" s="42"/>
      <c r="D351" s="42">
        <f>IF(Tableau1[[#This Row],[Isin]]="",99,Tableau1[[#This Row],[Intérêt]]+Tableau1[[#This Row],[Valeur d''intérêt]]+Tableau1[[#This Row],[N° Portefeuille]])</f>
        <v>30</v>
      </c>
      <c r="E351" s="42"/>
      <c r="F351" s="42">
        <f>IF(Tableau1[[#This Row],[Portefeuille]]="p",0,Tableau1[[#This Row],[F. Investissement
Niveau d''intérêt]]*10)</f>
        <v>30</v>
      </c>
      <c r="G351" s="42">
        <f>IF(Tableau1[[#This Row],[Portefeuille]]="p",3,0)</f>
        <v>0</v>
      </c>
      <c r="H351" s="42">
        <v>3</v>
      </c>
      <c r="I351" s="42">
        <v>4</v>
      </c>
      <c r="J351" s="42"/>
      <c r="K351" s="43"/>
      <c r="L351" s="16">
        <v>1</v>
      </c>
      <c r="M351"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1" s="44" t="s">
        <v>1173</v>
      </c>
      <c r="O351" s="44" t="s">
        <v>4282</v>
      </c>
      <c r="P351" s="4" t="s">
        <v>382</v>
      </c>
      <c r="Q351" s="6" t="s">
        <v>383</v>
      </c>
      <c r="R351" s="6"/>
      <c r="S351" s="6" t="s">
        <v>1174</v>
      </c>
      <c r="T351" s="48" t="e" vm="328">
        <v>#VALUE!</v>
      </c>
      <c r="U351" s="51" cm="1">
        <f t="array" aca="1" ref="U351" ca="1">IFERROR(_FV(Tableau1[[#This Row],[Code Excel]],"Capitalisation boursière",TRUE),"")</f>
        <v>72600500747</v>
      </c>
      <c r="V351" s="4" t="str" cm="1">
        <f t="array" aca="1" ref="V351" ca="1">IFERROR(_FV(Tableau1[[#This Row],[Code Excel]],"Industrie"),"")</f>
        <v>Pharmaceuticals</v>
      </c>
      <c r="W351" s="4" t="s">
        <v>1586</v>
      </c>
      <c r="X351" s="4" t="str">
        <f ca="1">Tableau1[[#This Row],[Grand Secteur]]&amp;Tableau1[[#This Row],[Industrie]]</f>
        <v>SantéPharmaceuticals</v>
      </c>
      <c r="Y351" s="23" cm="1">
        <f t="array" aca="1" ref="Y351" ca="1">IFERROR(_FV(Tableau1[[#This Row],[Code Excel]],"P/E",TRUE),"")</f>
        <v>29.860600000000002</v>
      </c>
      <c r="Z351" s="43" cm="1">
        <f t="array" aca="1" ref="Z351" ca="1">IFERROR(_FV(Tableau1[[#This Row],[Code Excel]],"Employés"),"")</f>
        <v>13800</v>
      </c>
      <c r="AA351" s="49">
        <f ca="1">IFERROR(Tableau1[[#This Row],[Capitalisation boursière]]/Tableau1[[#This Row],[Employés]],"")</f>
        <v>5260905.8512318842</v>
      </c>
      <c r="AB351" s="5" t="str">
        <f>IFERROR(Tableau1[[#This Row],[REX (2021)]]/Tableau1[[#This Row],[CA 2024]],"")</f>
        <v/>
      </c>
      <c r="AC351" s="9" t="str">
        <f>IFERROR(_xlfn.XLOOKUP(Tableau1[[#This Row],[Isin]]&amp;1&amp;2021,#REF!,Tableau3[Résultat d''exploitation]),"")</f>
        <v/>
      </c>
      <c r="AD351" s="9" t="str">
        <f>IFERROR(_xlfn.XLOOKUP(Tableau1[[#This Row],[Isin]]&amp;1&amp;2019,#REF!,Tableau3[Chiffre d''affaires]),"")</f>
        <v/>
      </c>
      <c r="AE351" s="9" t="str">
        <f>IFERROR(_xlfn.XLOOKUP(Tableau1[[#This Row],[Isin]]&amp;1&amp;2024,#REF!,Tableau3[Chiffre d''affaires]),"")</f>
        <v/>
      </c>
      <c r="AF351" s="8" t="str">
        <f>IFERROR(IF((Tableau1[[#This Row],[CA 2024]]-Tableau1[[#This Row],[CA 2019]])/Tableau1[[#This Row],[CA 2019]]=-1,"",(Tableau1[[#This Row],[CA 2024]]-Tableau1[[#This Row],[CA 2019]])/Tableau1[[#This Row],[CA 2019]]),"")</f>
        <v/>
      </c>
      <c r="AG351" s="9" t="str">
        <f>IFERROR(_xlfn.XLOOKUP(Tableau1[[#This Row],[Isin]]&amp;1&amp;2021,#REF!,Tableau3[EBE]),"")</f>
        <v/>
      </c>
      <c r="AH351" s="9" t="str">
        <f>IFERROR(_xlfn.XLOOKUP(Tableau1[[#This Row],[Isin]]&amp;1&amp;2022,#REF!,Tableau3[EBE]),"")</f>
        <v/>
      </c>
      <c r="AI351" s="13" t="s">
        <v>4343</v>
      </c>
      <c r="AJ351" s="13" t="s">
        <v>4322</v>
      </c>
      <c r="AK351" s="13" t="s">
        <v>3148</v>
      </c>
      <c r="AL351" s="43" t="s">
        <v>4343</v>
      </c>
      <c r="AM351" s="43"/>
      <c r="AN351" s="9" t="str">
        <f>IFERROR(_xlfn.XLOOKUP(Tableau1[[#This Row],[Isin]]&amp;1&amp;2021,#REF!,Tableau3[Chiffre d''affaires]),"")</f>
        <v/>
      </c>
      <c r="AO351" s="43" cm="1">
        <f t="array" aca="1" ref="AO351" ca="1">_FV(Tableau1[[#This Row],[Code Excel]],"P/E",TRUE)</f>
        <v>29.860600000000002</v>
      </c>
      <c r="AP351" s="43" t="str">
        <f>IFERROR(_xlfn.XLOOKUP(Tableau1[[#This Row],[Isin]]&amp;1&amp;2023,#REF!,Tableau3[Résultat Net (PdG)]),"")</f>
        <v/>
      </c>
      <c r="AQ351" s="43">
        <f>IF(IFERROR(_xlfn.XLOOKUP(Tableau1[[#This Row],[Isin]]&amp;1&amp;2022,#REF!,Tableau3[Résultat Net (PdG)]),"")="",Tableau1[[#This Row],[RN Groupe 2022
Manuel]],IFERROR(_xlfn.XLOOKUP(Tableau1[[#This Row],[Isin]]&amp;1&amp;2022,#REF!,Tableau3[Résultat Net (PdG)]),""))</f>
        <v>0</v>
      </c>
      <c r="AR351" s="43"/>
      <c r="AS351" s="43">
        <f>IF(IFERROR(_xlfn.XLOOKUP(Tableau1[[#This Row],[Isin]]&amp;1&amp;2021,#REF!,Tableau3[Résultat Net (PdG)]),"")="",Tableau1[[#This Row],[RN Groupe 2021
Manuel]],IFERROR(_xlfn.XLOOKUP(Tableau1[[#This Row],[Isin]]&amp;1&amp;2021,#REF!,Tableau3[Résultat Net (PdG)]),""))</f>
        <v>0</v>
      </c>
      <c r="AT351" s="43"/>
      <c r="AU351" s="43" t="str">
        <f>IFERROR(_xlfn.XLOOKUP(Tableau1[[#This Row],[Isin]]&amp;1&amp;2020,#REF!,Tableau3[Résultat Net (PdG)]),"")</f>
        <v/>
      </c>
      <c r="AV351" s="43" t="str">
        <f>IFERROR(_xlfn.XLOOKUP(Tableau1[[#This Row],[Isin]]&amp;1&amp;2019,#REF!,Tableau3[Résultat Net (PdG)]),"")</f>
        <v/>
      </c>
      <c r="AW351" s="43" t="str">
        <f>IFERROR(_xlfn.XLOOKUP(Tableau1[[#This Row],[Isin]]&amp;1&amp;2018,#REF!,Tableau3[Résultat Net (PdG)]),"")</f>
        <v/>
      </c>
      <c r="AX351" s="43" t="str">
        <f>IFERROR(_xlfn.XLOOKUP(Tableau1[[#This Row],[Isin]]&amp;1&amp;2017,#REF!,Tableau3[Résultat Net (PdG)]),"")</f>
        <v/>
      </c>
      <c r="AY351" s="43" t="str">
        <f>IFERROR(_xlfn.XLOOKUP(Tableau1[[#This Row],[Isin]]&amp;1&amp;2016,#REF!,Tableau3[Résultat Net (PdG)]),"")</f>
        <v/>
      </c>
      <c r="AZ351" s="137" t="str">
        <f ca="1">IFERROR(Tableau1[[#This Row],[Capitalisation boursière]]/Tableau1[[#This Row],[RN Groupe 2023]],"")</f>
        <v/>
      </c>
      <c r="BA351" s="4" t="str" cm="1">
        <f t="array" aca="1" ref="BA351" ca="1">IFERROR(_FV(Tableau1[[#This Row],[Code Excel]],"Industrie"),"")</f>
        <v>Pharmaceuticals</v>
      </c>
      <c r="BB351" s="43" t="s">
        <v>3474</v>
      </c>
      <c r="BC351" s="43" t="str">
        <f>IFERROR(_xlfn.XLOOKUP(Tableau1[[#This Row],[Isin]]&amp;1&amp;2016,#REF!,Tableau3[Capi]),"")</f>
        <v/>
      </c>
      <c r="BD351" s="43" t="str">
        <f>IFERROR(_xlfn.XLOOKUP(Tableau1[[#This Row],[Isin]]&amp;1&amp;2017,#REF!,Tableau3[Capi]),"")</f>
        <v/>
      </c>
      <c r="BE351" s="43" t="str">
        <f>IFERROR(_xlfn.XLOOKUP(Tableau1[[#This Row],[Isin]]&amp;1&amp;2018,#REF!,Tableau3[Capi]),"")</f>
        <v/>
      </c>
      <c r="BF351" s="43" t="str">
        <f>IFERROR(_xlfn.XLOOKUP(Tableau1[[#This Row],[Isin]]&amp;1&amp;2019,#REF!,Tableau3[Capi]),"")</f>
        <v/>
      </c>
      <c r="BG351" s="43" t="str">
        <f>IFERROR(_xlfn.XLOOKUP(Tableau1[[#This Row],[Isin]]&amp;1&amp;2020,#REF!,Tableau3[Capi]),"")</f>
        <v/>
      </c>
      <c r="BH351" s="43">
        <f>IF(IFERROR(_xlfn.XLOOKUP(Tableau1[[#This Row],[Isin]]&amp;1&amp;2021,#REF!,Tableau3[Capi]),"")="",Tableau1[[#This Row],[Capitalisation 2021
Manuel]],IFERROR(_xlfn.XLOOKUP(Tableau1[[#This Row],[Isin]]&amp;1&amp;2021,#REF!,Tableau3[Capi]),""))</f>
        <v>0</v>
      </c>
      <c r="BI351" s="43"/>
      <c r="BJ351" s="43">
        <f>IF(IFERROR(_xlfn.XLOOKUP(Tableau1[[#This Row],[Isin]]&amp;1&amp;2022,#REF!,Tableau3[Capi]),"")="",Tableau1[[#This Row],[Capitalisation 2022
Manuel]],IFERROR(_xlfn.XLOOKUP(Tableau1[[#This Row],[Isin]]&amp;1&amp;2022,#REF!,Tableau3[Capi]),""))</f>
        <v>0</v>
      </c>
      <c r="BK351" s="43"/>
      <c r="BL351" s="43">
        <f ca="1">Tableau1[[#This Row],[Capitalisation boursière]]</f>
        <v>72600500747</v>
      </c>
      <c r="BM351" s="162" t="str" cm="1">
        <f t="array" aca="1" ref="BM351" ca="1">_FV(Tableau1[[#This Row],[Code Excel]],"Description")</f>
        <v>Zoetis Inc. est une entreprise de santé animale. La Société se concentre sur la découverte, le développement, la fabrication et la commercialisation de médicaments, de vaccins, de produits et services diagnostiques, de biodispositifs, de tests génétiques et de santé animale de précision. Elle a une activité diversifiée, commercialisant des produits pour huit espèces principales : chiens, chats et chevaux (animaux de compagnie) et bovins, porcs, volailles, poissons et moutons (bétail) ; et dans sept grandes catégories de produits : parasiticides, vaccins, dermatologie, autres produits pharmaceutiques, anti-infectieux, diagnostic de la santé animale et additifs médicamenteux pour l'alimentation animale. La Société opère dans deux secteurs : les États-Unis et l'international. Au sein de chacun de ces segments, elle offre un portefeuille de produits diversifié pour les clients des animaux de compagnie et du bétail. Elle commercialise directement ses produits dans environ 45 pays en Amérique du Nord, en Europe, en Afrique, en Asie, en Australie et en Amérique du Sud, et ses produits sont vendus dans plus de 100 pays.</v>
      </c>
      <c r="BN351" s="43"/>
      <c r="BO351" s="43"/>
      <c r="BP351" s="43"/>
      <c r="BQ351" s="43"/>
      <c r="BS351" s="4"/>
      <c r="BT351" s="4"/>
    </row>
    <row r="352" spans="3:73">
      <c r="C352" s="43"/>
      <c r="D352" s="42">
        <f>IF(Tableau1[[#This Row],[Isin]]="",99,Tableau1[[#This Row],[Intérêt]]+Tableau1[[#This Row],[Valeur d''intérêt]]+Tableau1[[#This Row],[N° Portefeuille]])</f>
        <v>30</v>
      </c>
      <c r="E352" s="43"/>
      <c r="F352" s="42">
        <f>IF(Tableau1[[#This Row],[Portefeuille]]="p",0,Tableau1[[#This Row],[F. Investissement
Niveau d''intérêt]]*10)</f>
        <v>30</v>
      </c>
      <c r="G352" s="43">
        <f>IF(Tableau1[[#This Row],[Portefeuille]]="p",3,0)</f>
        <v>0</v>
      </c>
      <c r="H352" s="42">
        <v>3</v>
      </c>
      <c r="I352" s="43">
        <v>4</v>
      </c>
      <c r="J352" s="43"/>
      <c r="K352" s="43"/>
      <c r="L352" s="16">
        <v>0</v>
      </c>
      <c r="M352"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2" s="44" t="s">
        <v>4278</v>
      </c>
      <c r="O352" s="45"/>
      <c r="P352" s="4" t="s">
        <v>99</v>
      </c>
      <c r="Q352" s="4"/>
      <c r="R352" s="6"/>
      <c r="S352" s="6" t="s">
        <v>4279</v>
      </c>
      <c r="T352" s="6" t="e" vm="329">
        <v>#VALUE!</v>
      </c>
      <c r="U352" s="46" cm="1">
        <f t="array" aca="1" ref="U352" ca="1">IFERROR(_FV(Tableau1[[#This Row],[Code Excel]],"Capitalisation boursière",TRUE),"")</f>
        <v>90842270000</v>
      </c>
      <c r="V352" s="4" t="str" cm="1">
        <f t="array" aca="1" ref="V352" ca="1">IFERROR(_FV(Tableau1[[#This Row],[Code Excel]],"Industrie"),"")</f>
        <v>Insurance</v>
      </c>
      <c r="W352" s="4" t="s">
        <v>4336</v>
      </c>
      <c r="X352" s="4" t="str">
        <f ca="1">Tableau1[[#This Row],[Grand Secteur]]&amp;Tableau1[[#This Row],[Industrie]]</f>
        <v>AssuranceInsurance</v>
      </c>
      <c r="Y352" s="23" cm="1">
        <f t="array" aca="1" ref="Y352" ca="1">IFERROR(_FV(Tableau1[[#This Row],[Code Excel]],"P/E",TRUE),"")</f>
        <v>17.062100000000001</v>
      </c>
      <c r="Z352" s="43" cm="1">
        <f t="array" aca="1" ref="Z352" ca="1">IFERROR(_FV(Tableau1[[#This Row],[Code Excel]],"Employés"),"")</f>
        <v>63842</v>
      </c>
      <c r="AA352" s="46">
        <f ca="1">IFERROR(Tableau1[[#This Row],[Capitalisation boursière]]/Tableau1[[#This Row],[Employés]],"")</f>
        <v>1422923.3106732245</v>
      </c>
      <c r="AB352" s="5" t="str">
        <f>IFERROR(Tableau1[[#This Row],[REX (2021)]]/Tableau1[[#This Row],[CA 2024]],"")</f>
        <v/>
      </c>
      <c r="AC352" s="9" t="str">
        <f>IFERROR(_xlfn.XLOOKUP(Tableau1[[#This Row],[Isin]]&amp;1&amp;2021,#REF!,Tableau3[Résultat d''exploitation]),"")</f>
        <v/>
      </c>
      <c r="AD352" s="9" t="str">
        <f>IFERROR(_xlfn.XLOOKUP(Tableau1[[#This Row],[Isin]]&amp;1&amp;2019,#REF!,Tableau3[Chiffre d''affaires]),"")</f>
        <v/>
      </c>
      <c r="AE352" s="9" t="str">
        <f>IFERROR(_xlfn.XLOOKUP(Tableau1[[#This Row],[Isin]]&amp;1&amp;2024,#REF!,Tableau3[Chiffre d''affaires]),"")</f>
        <v/>
      </c>
      <c r="AF352" s="8" t="str">
        <f>IFERROR(IF((Tableau1[[#This Row],[CA 2024]]-Tableau1[[#This Row],[CA 2019]])/Tableau1[[#This Row],[CA 2019]]=-1,"",(Tableau1[[#This Row],[CA 2024]]-Tableau1[[#This Row],[CA 2019]])/Tableau1[[#This Row],[CA 2019]]),"")</f>
        <v/>
      </c>
      <c r="AG352" s="9" t="str">
        <f>IFERROR(_xlfn.XLOOKUP(Tableau1[[#This Row],[Isin]]&amp;1&amp;2021,#REF!,Tableau3[EBE]),"")</f>
        <v/>
      </c>
      <c r="AH352" s="9" t="str">
        <f>IFERROR(_xlfn.XLOOKUP(Tableau1[[#This Row],[Isin]]&amp;1&amp;2022,#REF!,Tableau3[EBE]),"")</f>
        <v/>
      </c>
      <c r="AI352" s="43" t="s">
        <v>4329</v>
      </c>
      <c r="AJ352" s="43" t="s">
        <v>4322</v>
      </c>
      <c r="AK352" s="43" t="s">
        <v>3431</v>
      </c>
      <c r="AL352" s="43"/>
      <c r="AM352" s="43"/>
      <c r="AN352" s="9" t="str">
        <f>IFERROR(_xlfn.XLOOKUP(Tableau1[[#This Row],[Isin]]&amp;1&amp;2021,#REF!,Tableau3[Chiffre d''affaires]),"")</f>
        <v/>
      </c>
      <c r="AO352" s="43" cm="1">
        <f t="array" aca="1" ref="AO352" ca="1">_FV(Tableau1[[#This Row],[Code Excel]],"P/E",TRUE)</f>
        <v>17.062100000000001</v>
      </c>
      <c r="AP352" s="43" t="str">
        <f>IFERROR(_xlfn.XLOOKUP(Tableau1[[#This Row],[Isin]]&amp;1&amp;2023,#REF!,Tableau3[Résultat Net (PdG)]),"")</f>
        <v/>
      </c>
      <c r="AQ352" s="43">
        <f>IF(IFERROR(_xlfn.XLOOKUP(Tableau1[[#This Row],[Isin]]&amp;1&amp;2022,#REF!,Tableau3[Résultat Net (PdG)]),"")="",Tableau1[[#This Row],[RN Groupe 2022
Manuel]],IFERROR(_xlfn.XLOOKUP(Tableau1[[#This Row],[Isin]]&amp;1&amp;2022,#REF!,Tableau3[Résultat Net (PdG)]),""))</f>
        <v>0</v>
      </c>
      <c r="AR352" s="43"/>
      <c r="AS352" s="43">
        <f>IF(IFERROR(_xlfn.XLOOKUP(Tableau1[[#This Row],[Isin]]&amp;1&amp;2021,#REF!,Tableau3[Résultat Net (PdG)]),"")="",Tableau1[[#This Row],[RN Groupe 2021
Manuel]],IFERROR(_xlfn.XLOOKUP(Tableau1[[#This Row],[Isin]]&amp;1&amp;2021,#REF!,Tableau3[Résultat Net (PdG)]),""))</f>
        <v>0</v>
      </c>
      <c r="AT352" s="43"/>
      <c r="AU352" s="43" t="str">
        <f>IFERROR(_xlfn.XLOOKUP(Tableau1[[#This Row],[Isin]]&amp;1&amp;2020,#REF!,Tableau3[Résultat Net (PdG)]),"")</f>
        <v/>
      </c>
      <c r="AV352" s="43" t="str">
        <f>IFERROR(_xlfn.XLOOKUP(Tableau1[[#This Row],[Isin]]&amp;1&amp;2019,#REF!,Tableau3[Résultat Net (PdG)]),"")</f>
        <v/>
      </c>
      <c r="AW352" s="43" t="str">
        <f>IFERROR(_xlfn.XLOOKUP(Tableau1[[#This Row],[Isin]]&amp;1&amp;2018,#REF!,Tableau3[Résultat Net (PdG)]),"")</f>
        <v/>
      </c>
      <c r="AX352" s="43" t="str">
        <f>IFERROR(_xlfn.XLOOKUP(Tableau1[[#This Row],[Isin]]&amp;1&amp;2017,#REF!,Tableau3[Résultat Net (PdG)]),"")</f>
        <v/>
      </c>
      <c r="AY352" s="43" t="str">
        <f>IFERROR(_xlfn.XLOOKUP(Tableau1[[#This Row],[Isin]]&amp;1&amp;2016,#REF!,Tableau3[Résultat Net (PdG)]),"")</f>
        <v/>
      </c>
      <c r="AZ352" s="137" t="str">
        <f ca="1">IFERROR(Tableau1[[#This Row],[Capitalisation boursière]]/Tableau1[[#This Row],[RN Groupe 2023]],"")</f>
        <v/>
      </c>
      <c r="BA352" s="4" t="str" cm="1">
        <f t="array" aca="1" ref="BA352" ca="1">IFERROR(_FV(Tableau1[[#This Row],[Code Excel]],"Industrie"),"")</f>
        <v>Insurance</v>
      </c>
      <c r="BB352" s="43" t="s">
        <v>3469</v>
      </c>
      <c r="BC352" s="43" t="str">
        <f>IFERROR(_xlfn.XLOOKUP(Tableau1[[#This Row],[Isin]]&amp;1&amp;2016,#REF!,Tableau3[Capi]),"")</f>
        <v/>
      </c>
      <c r="BD352" s="43" t="str">
        <f>IFERROR(_xlfn.XLOOKUP(Tableau1[[#This Row],[Isin]]&amp;1&amp;2017,#REF!,Tableau3[Capi]),"")</f>
        <v/>
      </c>
      <c r="BE352" s="43" t="str">
        <f>IFERROR(_xlfn.XLOOKUP(Tableau1[[#This Row],[Isin]]&amp;1&amp;2018,#REF!,Tableau3[Capi]),"")</f>
        <v/>
      </c>
      <c r="BF352" s="43" t="str">
        <f>IFERROR(_xlfn.XLOOKUP(Tableau1[[#This Row],[Isin]]&amp;1&amp;2019,#REF!,Tableau3[Capi]),"")</f>
        <v/>
      </c>
      <c r="BG352" s="43" t="str">
        <f>IFERROR(_xlfn.XLOOKUP(Tableau1[[#This Row],[Isin]]&amp;1&amp;2020,#REF!,Tableau3[Capi]),"")</f>
        <v/>
      </c>
      <c r="BH352" s="43">
        <f>IF(IFERROR(_xlfn.XLOOKUP(Tableau1[[#This Row],[Isin]]&amp;1&amp;2021,#REF!,Tableau3[Capi]),"")="",Tableau1[[#This Row],[Capitalisation 2021
Manuel]],IFERROR(_xlfn.XLOOKUP(Tableau1[[#This Row],[Isin]]&amp;1&amp;2021,#REF!,Tableau3[Capi]),""))</f>
        <v>0</v>
      </c>
      <c r="BI352" s="43"/>
      <c r="BJ352" s="43">
        <f>IF(IFERROR(_xlfn.XLOOKUP(Tableau1[[#This Row],[Isin]]&amp;1&amp;2022,#REF!,Tableau3[Capi]),"")="",Tableau1[[#This Row],[Capitalisation 2022
Manuel]],IFERROR(_xlfn.XLOOKUP(Tableau1[[#This Row],[Isin]]&amp;1&amp;2022,#REF!,Tableau3[Capi]),""))</f>
        <v>0</v>
      </c>
      <c r="BK352" s="43"/>
      <c r="BL352" s="43">
        <f ca="1">Tableau1[[#This Row],[Capitalisation boursière]]</f>
        <v>90842270000</v>
      </c>
      <c r="BM352" s="162" t="str" cm="1">
        <f t="array" aca="1" ref="BM352" ca="1">_FV(Tableau1[[#This Row],[Code Excel]],"Description")</f>
        <v>Zurich Insurance Group Ltd est une société d'assurance. La société offre une gamme de produits et services d'assurance générale et d'assurance vie. Ses segments incluent l'assurance générale, qui fournit des produits et services automobiles, résidentiels et commerciaux pour les particuliers, mais aussi de petites et grandes entreprises ; Global Life, qui poursuit une stratégie avec les propositions en unités de compte et des produits phytopharmaceutiques, ainsi que des solutions payantes gérées par le biais de la distribution bancaire, la vie de la société et des pensions et de gestion en vigueur pour élaborer des positions dans ses marchés cibles, et Farmers, qui fournit, par le biais de Farmers Group, Inc. (FGI) et ses filiales, des services de non-réclamations connexes, administratifs et de gestion à Farmers Exchanges comme procureur de fait. FGI fournit des services à Farmers Exchanges, qui sont détenus par les assurés et gérés par FGI, une filiale de la Société. Ce segment inclut la réassurance assumée de Farmers Exchanges par la Société.</v>
      </c>
      <c r="BN352" s="43"/>
      <c r="BO352" s="43"/>
      <c r="BP352" s="43"/>
      <c r="BQ352" s="43"/>
      <c r="BS352" s="4"/>
      <c r="BT352" s="4"/>
    </row>
    <row r="353" spans="3:70">
      <c r="C353" s="43"/>
      <c r="D353" s="42">
        <f>IF(Tableau1[[#This Row],[Isin]]="",99,Tableau1[[#This Row],[Intérêt]]+Tableau1[[#This Row],[Valeur d''intérêt]]+Tableau1[[#This Row],[N° Portefeuille]])</f>
        <v>0</v>
      </c>
      <c r="E353" s="43"/>
      <c r="F353" s="42">
        <f>IF(Tableau1[[#This Row],[Portefeuille]]="p",0,Tableau1[[#This Row],[F. Investissement
Niveau d''intérêt]]*10)</f>
        <v>0</v>
      </c>
      <c r="G353" s="43">
        <f>IF(Tableau1[[#This Row],[Portefeuille]]="p",3,0)</f>
        <v>0</v>
      </c>
      <c r="H353" s="43"/>
      <c r="I353" s="43"/>
      <c r="J353" s="43"/>
      <c r="K353" s="43"/>
      <c r="L353" s="16"/>
      <c r="M353"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3" s="44"/>
      <c r="O353" s="45"/>
      <c r="P353" s="4"/>
      <c r="Q353" s="4"/>
      <c r="R353" s="6"/>
      <c r="S353" s="6" t="s">
        <v>819</v>
      </c>
      <c r="T353" s="6"/>
      <c r="U353" s="46" t="str" cm="1">
        <f t="array" ref="U353">IFERROR(_FV(Tableau1[[#This Row],[Code Excel]],"Capitalisation boursière",TRUE),"")</f>
        <v/>
      </c>
      <c r="V353" s="4" t="str" cm="1">
        <f t="array" ref="V353">IFERROR(_FV(Tableau1[[#This Row],[Code Excel]],"Industrie"),"")</f>
        <v/>
      </c>
      <c r="W353" s="4"/>
      <c r="X353" s="4" t="str">
        <f>Tableau1[[#This Row],[Grand Secteur]]&amp;Tableau1[[#This Row],[Industrie]]</f>
        <v/>
      </c>
      <c r="Y353" s="23" t="str" cm="1">
        <f t="array" ref="Y353">IFERROR(_FV(Tableau1[[#This Row],[Code Excel]],"P/E",TRUE),"")</f>
        <v/>
      </c>
      <c r="Z353" s="43" t="str" cm="1">
        <f t="array" ref="Z353">IFERROR(_FV(Tableau1[[#This Row],[Code Excel]],"Employés"),"")</f>
        <v/>
      </c>
      <c r="AA353" s="46" t="str">
        <f>IFERROR(Tableau1[[#This Row],[Capitalisation boursière]]/Tableau1[[#This Row],[Employés]],"")</f>
        <v/>
      </c>
      <c r="AB353" s="5" t="str">
        <f>IFERROR(Tableau1[[#This Row],[REX (2021)]]/Tableau1[[#This Row],[CA 2024]],"")</f>
        <v/>
      </c>
      <c r="AC353" s="9" t="str">
        <f>IFERROR(_xlfn.XLOOKUP(Tableau1[[#This Row],[Isin]]&amp;1&amp;2021,#REF!,Tableau3[Résultat d''exploitation]),"")</f>
        <v/>
      </c>
      <c r="AD353" s="9" t="str">
        <f>IFERROR(_xlfn.XLOOKUP(Tableau1[[#This Row],[Isin]]&amp;1&amp;2019,#REF!,Tableau3[Chiffre d''affaires]),"")</f>
        <v/>
      </c>
      <c r="AE353" s="9" t="str">
        <f>IFERROR(_xlfn.XLOOKUP(Tableau1[[#This Row],[Isin]]&amp;1&amp;2024,#REF!,Tableau3[Chiffre d''affaires]),"")</f>
        <v/>
      </c>
      <c r="AF353" s="8" t="str">
        <f>IFERROR(IF((Tableau1[[#This Row],[CA 2024]]-Tableau1[[#This Row],[CA 2019]])/Tableau1[[#This Row],[CA 2019]]=-1,"",(Tableau1[[#This Row],[CA 2024]]-Tableau1[[#This Row],[CA 2019]])/Tableau1[[#This Row],[CA 2019]]),"")</f>
        <v/>
      </c>
      <c r="AG353" s="9" t="str">
        <f>IFERROR(_xlfn.XLOOKUP(Tableau1[[#This Row],[Isin]]&amp;1&amp;2021,#REF!,Tableau3[EBE]),"")</f>
        <v/>
      </c>
      <c r="AH353" s="9" t="str">
        <f>IFERROR(_xlfn.XLOOKUP(Tableau1[[#This Row],[Isin]]&amp;1&amp;2022,#REF!,Tableau3[EBE]),"")</f>
        <v/>
      </c>
      <c r="AI353" s="43"/>
      <c r="AJ353" s="43"/>
      <c r="AK353" s="43"/>
      <c r="AL353" s="43"/>
      <c r="AM353" s="43"/>
      <c r="AN353" s="9" t="str">
        <f>IFERROR(_xlfn.XLOOKUP(Tableau1[[#This Row],[Isin]]&amp;1&amp;2021,#REF!,Tableau3[Chiffre d''affaires]),"")</f>
        <v/>
      </c>
      <c r="AO353" s="43" t="e" cm="1" vm="1">
        <f t="array" ref="AO353">_FV(Tableau1[[#This Row],[Code Excel]],"P/E",TRUE)</f>
        <v>#VALUE!</v>
      </c>
      <c r="AP353" s="43" t="str">
        <f>IFERROR(_xlfn.XLOOKUP(Tableau1[[#This Row],[Isin]]&amp;1&amp;2023,#REF!,Tableau3[Résultat Net (PdG)]),"")</f>
        <v/>
      </c>
      <c r="AQ353" s="43">
        <f>IF(IFERROR(_xlfn.XLOOKUP(Tableau1[[#This Row],[Isin]]&amp;1&amp;2022,#REF!,Tableau3[Résultat Net (PdG)]),"")="",Tableau1[[#This Row],[RN Groupe 2022
Manuel]],IFERROR(_xlfn.XLOOKUP(Tableau1[[#This Row],[Isin]]&amp;1&amp;2022,#REF!,Tableau3[Résultat Net (PdG)]),""))</f>
        <v>0</v>
      </c>
      <c r="AR353" s="43"/>
      <c r="AS353" s="43">
        <f>IF(IFERROR(_xlfn.XLOOKUP(Tableau1[[#This Row],[Isin]]&amp;1&amp;2021,#REF!,Tableau3[Résultat Net (PdG)]),"")="",Tableau1[[#This Row],[RN Groupe 2021
Manuel]],IFERROR(_xlfn.XLOOKUP(Tableau1[[#This Row],[Isin]]&amp;1&amp;2021,#REF!,Tableau3[Résultat Net (PdG)]),""))</f>
        <v>0</v>
      </c>
      <c r="AT353" s="43"/>
      <c r="AU353" s="43" t="str">
        <f>IFERROR(_xlfn.XLOOKUP(Tableau1[[#This Row],[Isin]]&amp;1&amp;2020,#REF!,Tableau3[Résultat Net (PdG)]),"")</f>
        <v/>
      </c>
      <c r="AV353" s="43" t="str">
        <f>IFERROR(_xlfn.XLOOKUP(Tableau1[[#This Row],[Isin]]&amp;1&amp;2019,#REF!,Tableau3[Résultat Net (PdG)]),"")</f>
        <v/>
      </c>
      <c r="AW353" s="43" t="str">
        <f>IFERROR(_xlfn.XLOOKUP(Tableau1[[#This Row],[Isin]]&amp;1&amp;2018,#REF!,Tableau3[Résultat Net (PdG)]),"")</f>
        <v/>
      </c>
      <c r="AX353" s="43" t="str">
        <f>IFERROR(_xlfn.XLOOKUP(Tableau1[[#This Row],[Isin]]&amp;1&amp;2017,#REF!,Tableau3[Résultat Net (PdG)]),"")</f>
        <v/>
      </c>
      <c r="AY353" s="43" t="str">
        <f>IFERROR(_xlfn.XLOOKUP(Tableau1[[#This Row],[Isin]]&amp;1&amp;2016,#REF!,Tableau3[Résultat Net (PdG)]),"")</f>
        <v/>
      </c>
      <c r="AZ353" s="137" t="str">
        <f>IFERROR(Tableau1[[#This Row],[Capitalisation boursière]]/Tableau1[[#This Row],[RN Groupe 2023]],"")</f>
        <v/>
      </c>
      <c r="BA353" s="4" t="str" cm="1">
        <f t="array" ref="BA353">IFERROR(_FV(Tableau1[[#This Row],[Code Excel]],"Industrie"),"")</f>
        <v/>
      </c>
      <c r="BB353" s="43">
        <v>0</v>
      </c>
      <c r="BC353" s="43" t="str">
        <f>IFERROR(_xlfn.XLOOKUP(Tableau1[[#This Row],[Isin]]&amp;1&amp;2016,#REF!,Tableau3[Capi]),"")</f>
        <v/>
      </c>
      <c r="BD353" s="43" t="str">
        <f>IFERROR(_xlfn.XLOOKUP(Tableau1[[#This Row],[Isin]]&amp;1&amp;2017,#REF!,Tableau3[Capi]),"")</f>
        <v/>
      </c>
      <c r="BE353" s="43" t="str">
        <f>IFERROR(_xlfn.XLOOKUP(Tableau1[[#This Row],[Isin]]&amp;1&amp;2018,#REF!,Tableau3[Capi]),"")</f>
        <v/>
      </c>
      <c r="BF353" s="43" t="str">
        <f>IFERROR(_xlfn.XLOOKUP(Tableau1[[#This Row],[Isin]]&amp;1&amp;2019,#REF!,Tableau3[Capi]),"")</f>
        <v/>
      </c>
      <c r="BG353" s="43" t="str">
        <f>IFERROR(_xlfn.XLOOKUP(Tableau1[[#This Row],[Isin]]&amp;1&amp;2020,#REF!,Tableau3[Capi]),"")</f>
        <v/>
      </c>
      <c r="BH353" s="43">
        <f>IF(IFERROR(_xlfn.XLOOKUP(Tableau1[[#This Row],[Isin]]&amp;1&amp;2021,#REF!,Tableau3[Capi]),"")="",Tableau1[[#This Row],[Capitalisation 2021
Manuel]],IFERROR(_xlfn.XLOOKUP(Tableau1[[#This Row],[Isin]]&amp;1&amp;2021,#REF!,Tableau3[Capi]),""))</f>
        <v>0</v>
      </c>
      <c r="BI353" s="43"/>
      <c r="BJ353" s="43">
        <f>IF(IFERROR(_xlfn.XLOOKUP(Tableau1[[#This Row],[Isin]]&amp;1&amp;2022,#REF!,Tableau3[Capi]),"")="",Tableau1[[#This Row],[Capitalisation 2022
Manuel]],IFERROR(_xlfn.XLOOKUP(Tableau1[[#This Row],[Isin]]&amp;1&amp;2022,#REF!,Tableau3[Capi]),""))</f>
        <v>0</v>
      </c>
      <c r="BK353" s="43"/>
      <c r="BL353" s="43" t="str">
        <f>Tableau1[[#This Row],[Capitalisation boursière]]</f>
        <v/>
      </c>
      <c r="BM353" s="162" t="e" cm="1" vm="2">
        <f t="array" ref="BM353">_FV(Tableau1[[#This Row],[Code Excel]],"Description")</f>
        <v>#VALUE!</v>
      </c>
      <c r="BQ353" s="4"/>
      <c r="BR353" s="4"/>
    </row>
    <row r="354" spans="3:70">
      <c r="C354" s="43"/>
      <c r="D354" s="42">
        <f>IF(Tableau1[[#This Row],[Isin]]="",99,Tableau1[[#This Row],[Intérêt]]+Tableau1[[#This Row],[Valeur d''intérêt]]+Tableau1[[#This Row],[N° Portefeuille]])</f>
        <v>0</v>
      </c>
      <c r="E354" s="43"/>
      <c r="F354" s="42">
        <f>IF(Tableau1[[#This Row],[Portefeuille]]="p",0,Tableau1[[#This Row],[F. Investissement
Niveau d''intérêt]]*10)</f>
        <v>0</v>
      </c>
      <c r="G354" s="43">
        <f>IF(Tableau1[[#This Row],[Portefeuille]]="p",3,0)</f>
        <v>0</v>
      </c>
      <c r="H354" s="42"/>
      <c r="I354" s="43"/>
      <c r="J354" s="43"/>
      <c r="K354" s="43"/>
      <c r="L354" s="16"/>
      <c r="M354"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4" s="44"/>
      <c r="O354" s="45"/>
      <c r="P354" s="4"/>
      <c r="Q354" s="4"/>
      <c r="R354" s="6"/>
      <c r="S354" s="6" t="s">
        <v>819</v>
      </c>
      <c r="T354" s="6"/>
      <c r="U354" s="46" t="str" cm="1">
        <f t="array" ref="U354">IFERROR(_FV(Tableau1[[#This Row],[Code Excel]],"Capitalisation boursière",TRUE),"")</f>
        <v/>
      </c>
      <c r="V354" s="4" t="str" cm="1">
        <f t="array" ref="V354">IFERROR(_FV(Tableau1[[#This Row],[Code Excel]],"Industrie"),"")</f>
        <v/>
      </c>
      <c r="W354" s="4"/>
      <c r="X354" s="4" t="str">
        <f>Tableau1[[#This Row],[Grand Secteur]]&amp;Tableau1[[#This Row],[Industrie]]</f>
        <v/>
      </c>
      <c r="Y354" s="23" t="str" cm="1">
        <f t="array" ref="Y354">IFERROR(_FV(Tableau1[[#This Row],[Code Excel]],"P/E",TRUE),"")</f>
        <v/>
      </c>
      <c r="Z354" s="43" t="str" cm="1">
        <f t="array" ref="Z354">IFERROR(_FV(Tableau1[[#This Row],[Code Excel]],"Employés"),"")</f>
        <v/>
      </c>
      <c r="AA354" s="46" t="str">
        <f>IFERROR(Tableau1[[#This Row],[Capitalisation boursière]]/Tableau1[[#This Row],[Employés]],"")</f>
        <v/>
      </c>
      <c r="AB354" s="5" t="str">
        <f>IFERROR(Tableau1[[#This Row],[REX (2021)]]/Tableau1[[#This Row],[CA 2024]],"")</f>
        <v/>
      </c>
      <c r="AC354" s="9" t="str">
        <f>IFERROR(_xlfn.XLOOKUP(Tableau1[[#This Row],[Isin]]&amp;1&amp;2021,#REF!,Tableau3[Résultat d''exploitation]),"")</f>
        <v/>
      </c>
      <c r="AD354" s="9" t="str">
        <f>IFERROR(_xlfn.XLOOKUP(Tableau1[[#This Row],[Isin]]&amp;1&amp;2019,#REF!,Tableau3[Chiffre d''affaires]),"")</f>
        <v/>
      </c>
      <c r="AE354" s="9" t="str">
        <f>IFERROR(_xlfn.XLOOKUP(Tableau1[[#This Row],[Isin]]&amp;1&amp;2024,#REF!,Tableau3[Chiffre d''affaires]),"")</f>
        <v/>
      </c>
      <c r="AF354" s="8" t="str">
        <f>IFERROR(IF((Tableau1[[#This Row],[CA 2024]]-Tableau1[[#This Row],[CA 2019]])/Tableau1[[#This Row],[CA 2019]]=-1,"",(Tableau1[[#This Row],[CA 2024]]-Tableau1[[#This Row],[CA 2019]])/Tableau1[[#This Row],[CA 2019]]),"")</f>
        <v/>
      </c>
      <c r="AG354" s="9" t="str">
        <f>IFERROR(_xlfn.XLOOKUP(Tableau1[[#This Row],[Isin]]&amp;1&amp;2021,#REF!,Tableau3[EBE]),"")</f>
        <v/>
      </c>
      <c r="AH354" s="9" t="str">
        <f>IFERROR(_xlfn.XLOOKUP(Tableau1[[#This Row],[Isin]]&amp;1&amp;2022,#REF!,Tableau3[EBE]),"")</f>
        <v/>
      </c>
      <c r="AI354" s="43"/>
      <c r="AJ354" s="43"/>
      <c r="AK354" s="43"/>
      <c r="AL354" s="43"/>
      <c r="AM354" s="43"/>
      <c r="AN354" s="9" t="str">
        <f>IFERROR(_xlfn.XLOOKUP(Tableau1[[#This Row],[Isin]]&amp;1&amp;2021,#REF!,Tableau3[Chiffre d''affaires]),"")</f>
        <v/>
      </c>
      <c r="AO354" s="43" t="e" cm="1" vm="1">
        <f t="array" ref="AO354">_FV(Tableau1[[#This Row],[Code Excel]],"P/E",TRUE)</f>
        <v>#VALUE!</v>
      </c>
      <c r="AP354" s="43" t="str">
        <f>IFERROR(_xlfn.XLOOKUP(Tableau1[[#This Row],[Isin]]&amp;1&amp;2023,#REF!,Tableau3[Résultat Net (PdG)]),"")</f>
        <v/>
      </c>
      <c r="AQ354" s="43">
        <f>IF(IFERROR(_xlfn.XLOOKUP(Tableau1[[#This Row],[Isin]]&amp;1&amp;2022,#REF!,Tableau3[Résultat Net (PdG)]),"")="",Tableau1[[#This Row],[RN Groupe 2022
Manuel]],IFERROR(_xlfn.XLOOKUP(Tableau1[[#This Row],[Isin]]&amp;1&amp;2022,#REF!,Tableau3[Résultat Net (PdG)]),""))</f>
        <v>0</v>
      </c>
      <c r="AR354" s="43"/>
      <c r="AS354" s="43">
        <f>IF(IFERROR(_xlfn.XLOOKUP(Tableau1[[#This Row],[Isin]]&amp;1&amp;2021,#REF!,Tableau3[Résultat Net (PdG)]),"")="",Tableau1[[#This Row],[RN Groupe 2021
Manuel]],IFERROR(_xlfn.XLOOKUP(Tableau1[[#This Row],[Isin]]&amp;1&amp;2021,#REF!,Tableau3[Résultat Net (PdG)]),""))</f>
        <v>0</v>
      </c>
      <c r="AT354" s="43"/>
      <c r="AU354" s="43" t="str">
        <f>IFERROR(_xlfn.XLOOKUP(Tableau1[[#This Row],[Isin]]&amp;1&amp;2020,#REF!,Tableau3[Résultat Net (PdG)]),"")</f>
        <v/>
      </c>
      <c r="AV354" s="43" t="str">
        <f>IFERROR(_xlfn.XLOOKUP(Tableau1[[#This Row],[Isin]]&amp;1&amp;2019,#REF!,Tableau3[Résultat Net (PdG)]),"")</f>
        <v/>
      </c>
      <c r="AW354" s="43" t="str">
        <f>IFERROR(_xlfn.XLOOKUP(Tableau1[[#This Row],[Isin]]&amp;1&amp;2018,#REF!,Tableau3[Résultat Net (PdG)]),"")</f>
        <v/>
      </c>
      <c r="AX354" s="43" t="str">
        <f>IFERROR(_xlfn.XLOOKUP(Tableau1[[#This Row],[Isin]]&amp;1&amp;2017,#REF!,Tableau3[Résultat Net (PdG)]),"")</f>
        <v/>
      </c>
      <c r="AY354" s="43" t="str">
        <f>IFERROR(_xlfn.XLOOKUP(Tableau1[[#This Row],[Isin]]&amp;1&amp;2016,#REF!,Tableau3[Résultat Net (PdG)]),"")</f>
        <v/>
      </c>
      <c r="AZ354" s="137" t="str">
        <f>IFERROR(Tableau1[[#This Row],[Capitalisation boursière]]/Tableau1[[#This Row],[RN Groupe 2023]],"")</f>
        <v/>
      </c>
      <c r="BA354" s="4" t="str" cm="1">
        <f t="array" ref="BA354">IFERROR(_FV(Tableau1[[#This Row],[Code Excel]],"Industrie"),"")</f>
        <v/>
      </c>
      <c r="BB354" s="43">
        <v>0</v>
      </c>
      <c r="BC354" s="43" t="str">
        <f>IFERROR(_xlfn.XLOOKUP(Tableau1[[#This Row],[Isin]]&amp;1&amp;2016,#REF!,Tableau3[Capi]),"")</f>
        <v/>
      </c>
      <c r="BD354" s="43" t="str">
        <f>IFERROR(_xlfn.XLOOKUP(Tableau1[[#This Row],[Isin]]&amp;1&amp;2017,#REF!,Tableau3[Capi]),"")</f>
        <v/>
      </c>
      <c r="BE354" s="43" t="str">
        <f>IFERROR(_xlfn.XLOOKUP(Tableau1[[#This Row],[Isin]]&amp;1&amp;2018,#REF!,Tableau3[Capi]),"")</f>
        <v/>
      </c>
      <c r="BF354" s="43" t="str">
        <f>IFERROR(_xlfn.XLOOKUP(Tableau1[[#This Row],[Isin]]&amp;1&amp;2019,#REF!,Tableau3[Capi]),"")</f>
        <v/>
      </c>
      <c r="BG354" s="43" t="str">
        <f>IFERROR(_xlfn.XLOOKUP(Tableau1[[#This Row],[Isin]]&amp;1&amp;2020,#REF!,Tableau3[Capi]),"")</f>
        <v/>
      </c>
      <c r="BH354" s="43">
        <f>IF(IFERROR(_xlfn.XLOOKUP(Tableau1[[#This Row],[Isin]]&amp;1&amp;2021,#REF!,Tableau3[Capi]),"")="",Tableau1[[#This Row],[Capitalisation 2021
Manuel]],IFERROR(_xlfn.XLOOKUP(Tableau1[[#This Row],[Isin]]&amp;1&amp;2021,#REF!,Tableau3[Capi]),""))</f>
        <v>0</v>
      </c>
      <c r="BI354" s="43"/>
      <c r="BJ354" s="43">
        <f>IF(IFERROR(_xlfn.XLOOKUP(Tableau1[[#This Row],[Isin]]&amp;1&amp;2022,#REF!,Tableau3[Capi]),"")="",Tableau1[[#This Row],[Capitalisation 2022
Manuel]],IFERROR(_xlfn.XLOOKUP(Tableau1[[#This Row],[Isin]]&amp;1&amp;2022,#REF!,Tableau3[Capi]),""))</f>
        <v>0</v>
      </c>
      <c r="BK354" s="43"/>
      <c r="BL354" s="43" t="str">
        <f>Tableau1[[#This Row],[Capitalisation boursière]]</f>
        <v/>
      </c>
      <c r="BM354" s="162" t="e" cm="1" vm="2">
        <f t="array" ref="BM354">_FV(Tableau1[[#This Row],[Code Excel]],"Description")</f>
        <v>#VALUE!</v>
      </c>
    </row>
    <row r="355" spans="3:70">
      <c r="C355" s="42"/>
      <c r="D355" s="42">
        <f>IF(Tableau1[[#This Row],[Isin]]="",99,Tableau1[[#This Row],[Intérêt]]+Tableau1[[#This Row],[Valeur d''intérêt]]+Tableau1[[#This Row],[N° Portefeuille]])</f>
        <v>0</v>
      </c>
      <c r="E355" s="42"/>
      <c r="F355" s="42">
        <f>IF(Tableau1[[#This Row],[Portefeuille]]="p",0,Tableau1[[#This Row],[F. Investissement
Niveau d''intérêt]]*10)</f>
        <v>0</v>
      </c>
      <c r="G355" s="42">
        <f>IF(Tableau1[[#This Row],[Portefeuille]]="p",3,0)</f>
        <v>0</v>
      </c>
      <c r="H355" s="42"/>
      <c r="I355" s="42"/>
      <c r="J355" s="42"/>
      <c r="K355" s="43"/>
      <c r="L355" s="16">
        <v>0</v>
      </c>
      <c r="M355"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5" s="44"/>
      <c r="O355" s="45"/>
      <c r="P355" s="4"/>
      <c r="Q355" s="4"/>
      <c r="R355" s="6"/>
      <c r="S355" s="6" t="s">
        <v>819</v>
      </c>
      <c r="T355" s="6"/>
      <c r="U355" s="46" t="str" cm="1">
        <f t="array" ref="U355">IFERROR(_FV(Tableau1[[#This Row],[Code Excel]],"Capitalisation boursière",TRUE),"")</f>
        <v/>
      </c>
      <c r="V355" s="4" t="str" cm="1">
        <f t="array" ref="V355">IFERROR(_FV(Tableau1[[#This Row],[Code Excel]],"Industrie"),"")</f>
        <v/>
      </c>
      <c r="W355" s="4"/>
      <c r="X355" s="4" t="str">
        <f>Tableau1[[#This Row],[Grand Secteur]]&amp;Tableau1[[#This Row],[Industrie]]</f>
        <v/>
      </c>
      <c r="Y355" s="23" t="str" cm="1">
        <f t="array" ref="Y355">IFERROR(_FV(Tableau1[[#This Row],[Code Excel]],"P/E",TRUE),"")</f>
        <v/>
      </c>
      <c r="Z355" s="43" t="str" cm="1">
        <f t="array" ref="Z355">IFERROR(_FV(Tableau1[[#This Row],[Code Excel]],"Employés"),"")</f>
        <v/>
      </c>
      <c r="AA355" s="46" t="str">
        <f>IFERROR(Tableau1[[#This Row],[Capitalisation boursière]]/Tableau1[[#This Row],[Employés]],"")</f>
        <v/>
      </c>
      <c r="AB355" s="5" t="str">
        <f>IFERROR(Tableau1[[#This Row],[REX (2021)]]/Tableau1[[#This Row],[CA 2024]],"")</f>
        <v/>
      </c>
      <c r="AC355" s="9" t="str">
        <f>IFERROR(_xlfn.XLOOKUP(Tableau1[[#This Row],[Isin]]&amp;1&amp;2021,#REF!,Tableau3[Résultat d''exploitation]),"")</f>
        <v/>
      </c>
      <c r="AD355" s="9" t="str">
        <f>IFERROR(_xlfn.XLOOKUP(Tableau1[[#This Row],[Isin]]&amp;1&amp;2019,#REF!,Tableau3[Chiffre d''affaires]),"")</f>
        <v/>
      </c>
      <c r="AE355" s="9" t="str">
        <f>IFERROR(_xlfn.XLOOKUP(Tableau1[[#This Row],[Isin]]&amp;1&amp;2024,#REF!,Tableau3[Chiffre d''affaires]),"")</f>
        <v/>
      </c>
      <c r="AF355" s="8" t="str">
        <f>IFERROR(IF((Tableau1[[#This Row],[CA 2024]]-Tableau1[[#This Row],[CA 2019]])/Tableau1[[#This Row],[CA 2019]]=-1,"",(Tableau1[[#This Row],[CA 2024]]-Tableau1[[#This Row],[CA 2019]])/Tableau1[[#This Row],[CA 2019]]),"")</f>
        <v/>
      </c>
      <c r="AG355" s="9" t="str">
        <f>IFERROR(_xlfn.XLOOKUP(Tableau1[[#This Row],[Isin]]&amp;1&amp;2021,#REF!,Tableau3[EBE]),"")</f>
        <v/>
      </c>
      <c r="AH355" s="9" t="str">
        <f>IFERROR(_xlfn.XLOOKUP(Tableau1[[#This Row],[Isin]]&amp;1&amp;2022,#REF!,Tableau3[EBE]),"")</f>
        <v/>
      </c>
      <c r="AI355" s="43"/>
      <c r="AJ355" s="43"/>
      <c r="AK355" s="43"/>
      <c r="AL355" s="43"/>
      <c r="AM355" s="43"/>
      <c r="AN355" s="9" t="str">
        <f>IFERROR(_xlfn.XLOOKUP(Tableau1[[#This Row],[Isin]]&amp;1&amp;2021,#REF!,Tableau3[Chiffre d''affaires]),"")</f>
        <v/>
      </c>
      <c r="AO355" s="43" t="e" cm="1" vm="1">
        <f t="array" ref="AO355">_FV(Tableau1[[#This Row],[Code Excel]],"P/E",TRUE)</f>
        <v>#VALUE!</v>
      </c>
      <c r="AP355" s="43" t="str">
        <f>IFERROR(_xlfn.XLOOKUP(Tableau1[[#This Row],[Isin]]&amp;1&amp;2023,#REF!,Tableau3[Résultat Net (PdG)]),"")</f>
        <v/>
      </c>
      <c r="AQ355" s="43">
        <f>IF(IFERROR(_xlfn.XLOOKUP(Tableau1[[#This Row],[Isin]]&amp;1&amp;2022,#REF!,Tableau3[Résultat Net (PdG)]),"")="",Tableau1[[#This Row],[RN Groupe 2022
Manuel]],IFERROR(_xlfn.XLOOKUP(Tableau1[[#This Row],[Isin]]&amp;1&amp;2022,#REF!,Tableau3[Résultat Net (PdG)]),""))</f>
        <v>0</v>
      </c>
      <c r="AR355" s="43"/>
      <c r="AS355" s="43">
        <f>IF(IFERROR(_xlfn.XLOOKUP(Tableau1[[#This Row],[Isin]]&amp;1&amp;2021,#REF!,Tableau3[Résultat Net (PdG)]),"")="",Tableau1[[#This Row],[RN Groupe 2021
Manuel]],IFERROR(_xlfn.XLOOKUP(Tableau1[[#This Row],[Isin]]&amp;1&amp;2021,#REF!,Tableau3[Résultat Net (PdG)]),""))</f>
        <v>0</v>
      </c>
      <c r="AT355" s="43"/>
      <c r="AU355" s="43" t="str">
        <f>IFERROR(_xlfn.XLOOKUP(Tableau1[[#This Row],[Isin]]&amp;1&amp;2020,#REF!,Tableau3[Résultat Net (PdG)]),"")</f>
        <v/>
      </c>
      <c r="AV355" s="43" t="str">
        <f>IFERROR(_xlfn.XLOOKUP(Tableau1[[#This Row],[Isin]]&amp;1&amp;2019,#REF!,Tableau3[Résultat Net (PdG)]),"")</f>
        <v/>
      </c>
      <c r="AW355" s="43" t="str">
        <f>IFERROR(_xlfn.XLOOKUP(Tableau1[[#This Row],[Isin]]&amp;1&amp;2018,#REF!,Tableau3[Résultat Net (PdG)]),"")</f>
        <v/>
      </c>
      <c r="AX355" s="43" t="str">
        <f>IFERROR(_xlfn.XLOOKUP(Tableau1[[#This Row],[Isin]]&amp;1&amp;2017,#REF!,Tableau3[Résultat Net (PdG)]),"")</f>
        <v/>
      </c>
      <c r="AY355" s="43" t="str">
        <f>IFERROR(_xlfn.XLOOKUP(Tableau1[[#This Row],[Isin]]&amp;1&amp;2016,#REF!,Tableau3[Résultat Net (PdG)]),"")</f>
        <v/>
      </c>
      <c r="AZ355" s="137" t="str">
        <f>IFERROR(Tableau1[[#This Row],[Capitalisation boursière]]/Tableau1[[#This Row],[RN Groupe 2023]],"")</f>
        <v/>
      </c>
      <c r="BA355" s="4" t="str" cm="1">
        <f t="array" ref="BA355">IFERROR(_FV(Tableau1[[#This Row],[Code Excel]],"Industrie"),"")</f>
        <v/>
      </c>
      <c r="BB355" s="43">
        <v>0</v>
      </c>
      <c r="BC355" s="43" t="str">
        <f>IFERROR(_xlfn.XLOOKUP(Tableau1[[#This Row],[Isin]]&amp;1&amp;2016,#REF!,Tableau3[Capi]),"")</f>
        <v/>
      </c>
      <c r="BD355" s="43" t="str">
        <f>IFERROR(_xlfn.XLOOKUP(Tableau1[[#This Row],[Isin]]&amp;1&amp;2017,#REF!,Tableau3[Capi]),"")</f>
        <v/>
      </c>
      <c r="BE355" s="43" t="str">
        <f>IFERROR(_xlfn.XLOOKUP(Tableau1[[#This Row],[Isin]]&amp;1&amp;2018,#REF!,Tableau3[Capi]),"")</f>
        <v/>
      </c>
      <c r="BF355" s="43" t="str">
        <f>IFERROR(_xlfn.XLOOKUP(Tableau1[[#This Row],[Isin]]&amp;1&amp;2019,#REF!,Tableau3[Capi]),"")</f>
        <v/>
      </c>
      <c r="BG355" s="43" t="str">
        <f>IFERROR(_xlfn.XLOOKUP(Tableau1[[#This Row],[Isin]]&amp;1&amp;2020,#REF!,Tableau3[Capi]),"")</f>
        <v/>
      </c>
      <c r="BH355" s="43">
        <f>IF(IFERROR(_xlfn.XLOOKUP(Tableau1[[#This Row],[Isin]]&amp;1&amp;2021,#REF!,Tableau3[Capi]),"")="",Tableau1[[#This Row],[Capitalisation 2021
Manuel]],IFERROR(_xlfn.XLOOKUP(Tableau1[[#This Row],[Isin]]&amp;1&amp;2021,#REF!,Tableau3[Capi]),""))</f>
        <v>0</v>
      </c>
      <c r="BI355" s="43"/>
      <c r="BJ355" s="43">
        <f>IF(IFERROR(_xlfn.XLOOKUP(Tableau1[[#This Row],[Isin]]&amp;1&amp;2022,#REF!,Tableau3[Capi]),"")="",Tableau1[[#This Row],[Capitalisation 2022
Manuel]],IFERROR(_xlfn.XLOOKUP(Tableau1[[#This Row],[Isin]]&amp;1&amp;2022,#REF!,Tableau3[Capi]),""))</f>
        <v>0</v>
      </c>
      <c r="BK355" s="43"/>
      <c r="BL355" s="43" t="str">
        <f>Tableau1[[#This Row],[Capitalisation boursière]]</f>
        <v/>
      </c>
      <c r="BM355" s="162" t="e" cm="1" vm="2">
        <f t="array" ref="BM355">_FV(Tableau1[[#This Row],[Code Excel]],"Description")</f>
        <v>#VALUE!</v>
      </c>
    </row>
    <row r="356" spans="3:70">
      <c r="C356" s="42"/>
      <c r="D356" s="42">
        <f>IF(Tableau1[[#This Row],[Isin]]="",99,Tableau1[[#This Row],[Intérêt]]+Tableau1[[#This Row],[Valeur d''intérêt]]+Tableau1[[#This Row],[N° Portefeuille]])</f>
        <v>0</v>
      </c>
      <c r="E356" s="42"/>
      <c r="F356" s="42">
        <f>IF(Tableau1[[#This Row],[Portefeuille]]="p",0,Tableau1[[#This Row],[F. Investissement
Niveau d''intérêt]]*10)</f>
        <v>0</v>
      </c>
      <c r="G356" s="42">
        <f>IF(Tableau1[[#This Row],[Portefeuille]]="p",3,0)</f>
        <v>0</v>
      </c>
      <c r="H356" s="42"/>
      <c r="I356" s="42"/>
      <c r="J356" s="42"/>
      <c r="K356" s="43"/>
      <c r="L356" s="16"/>
      <c r="M356"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6" s="64"/>
      <c r="O356" s="68"/>
      <c r="P356" s="4"/>
      <c r="Q356" s="4"/>
      <c r="R356" s="6"/>
      <c r="S356" s="6" t="s">
        <v>819</v>
      </c>
      <c r="T356" s="67"/>
      <c r="U356" s="46" t="str" cm="1">
        <f t="array" ref="U356">IFERROR(_FV(Tableau1[[#This Row],[Code Excel]],"Capitalisation boursière",TRUE),"")</f>
        <v/>
      </c>
      <c r="V356" s="4" t="str" cm="1">
        <f t="array" ref="V356">IFERROR(_FV(Tableau1[[#This Row],[Code Excel]],"Industrie"),"")</f>
        <v/>
      </c>
      <c r="X356" s="4" t="str">
        <f>Tableau1[[#This Row],[Grand Secteur]]&amp;Tableau1[[#This Row],[Industrie]]</f>
        <v/>
      </c>
      <c r="Y356" s="65" t="str" cm="1">
        <f t="array" ref="Y356">IFERROR(_FV(Tableau1[[#This Row],[Code Excel]],"P/E",TRUE),"")</f>
        <v/>
      </c>
      <c r="Z356" s="43" t="str" cm="1">
        <f t="array" ref="Z356">IFERROR(_FV(Tableau1[[#This Row],[Code Excel]],"Employés"),"")</f>
        <v/>
      </c>
      <c r="AA356" s="49" t="str">
        <f>IFERROR(Tableau1[[#This Row],[Capitalisation boursière]]/Tableau1[[#This Row],[Employés]],"")</f>
        <v/>
      </c>
      <c r="AB356" s="5" t="str">
        <f>IFERROR(Tableau1[[#This Row],[REX (2021)]]/Tableau1[[#This Row],[CA 2024]],"")</f>
        <v/>
      </c>
      <c r="AC356" s="43" t="str">
        <f>IFERROR(_xlfn.XLOOKUP(Tableau1[[#This Row],[Isin]]&amp;1&amp;2021,#REF!,Tableau3[Résultat d''exploitation]),"")</f>
        <v/>
      </c>
      <c r="AD356" s="43" t="str">
        <f>IFERROR(_xlfn.XLOOKUP(Tableau1[[#This Row],[Isin]]&amp;1&amp;2019,#REF!,Tableau3[Chiffre d''affaires]),"")</f>
        <v/>
      </c>
      <c r="AE356" s="43" t="str">
        <f>IFERROR(_xlfn.XLOOKUP(Tableau1[[#This Row],[Isin]]&amp;1&amp;2024,#REF!,Tableau3[Chiffre d''affaires]),"")</f>
        <v/>
      </c>
      <c r="AF356" s="8" t="str">
        <f>IFERROR(IF((Tableau1[[#This Row],[CA 2024]]-Tableau1[[#This Row],[CA 2019]])/Tableau1[[#This Row],[CA 2019]]=-1,"",(Tableau1[[#This Row],[CA 2024]]-Tableau1[[#This Row],[CA 2019]])/Tableau1[[#This Row],[CA 2019]]),"")</f>
        <v/>
      </c>
      <c r="AG356" s="9" t="str">
        <f>IFERROR(_xlfn.XLOOKUP(Tableau1[[#This Row],[Isin]]&amp;1&amp;2021,#REF!,Tableau3[EBE]),"")</f>
        <v/>
      </c>
      <c r="AH356" s="9" t="str">
        <f>IFERROR(_xlfn.XLOOKUP(Tableau1[[#This Row],[Isin]]&amp;1&amp;2022,#REF!,Tableau3[EBE]),"")</f>
        <v/>
      </c>
      <c r="AI356" s="43"/>
      <c r="AJ356" s="43"/>
      <c r="AK356" s="43"/>
      <c r="AL356" s="43"/>
      <c r="AM356" s="43"/>
      <c r="AN356" s="43" t="str">
        <f>IFERROR(_xlfn.XLOOKUP(Tableau1[[#This Row],[Isin]]&amp;1&amp;2021,#REF!,Tableau3[Chiffre d''affaires]),"")</f>
        <v/>
      </c>
      <c r="AO356" s="43" t="e" cm="1" vm="1">
        <f t="array" ref="AO356">_FV(Tableau1[[#This Row],[Code Excel]],"P/E",TRUE)</f>
        <v>#VALUE!</v>
      </c>
      <c r="AP356" s="43" t="str">
        <f>IFERROR(_xlfn.XLOOKUP(Tableau1[[#This Row],[Isin]]&amp;1&amp;2023,#REF!,Tableau3[Résultat Net (PdG)]),"")</f>
        <v/>
      </c>
      <c r="AQ356" s="43">
        <f>IF(IFERROR(_xlfn.XLOOKUP(Tableau1[[#This Row],[Isin]]&amp;1&amp;2022,#REF!,Tableau3[Résultat Net (PdG)]),"")="",Tableau1[[#This Row],[RN Groupe 2022
Manuel]],IFERROR(_xlfn.XLOOKUP(Tableau1[[#This Row],[Isin]]&amp;1&amp;2022,#REF!,Tableau3[Résultat Net (PdG)]),""))</f>
        <v>0</v>
      </c>
      <c r="AR356" s="43"/>
      <c r="AS356" s="43">
        <f>IF(IFERROR(_xlfn.XLOOKUP(Tableau1[[#This Row],[Isin]]&amp;1&amp;2021,#REF!,Tableau3[Résultat Net (PdG)]),"")="",Tableau1[[#This Row],[RN Groupe 2021
Manuel]],IFERROR(_xlfn.XLOOKUP(Tableau1[[#This Row],[Isin]]&amp;1&amp;2021,#REF!,Tableau3[Résultat Net (PdG)]),""))</f>
        <v>0</v>
      </c>
      <c r="AT356" s="43"/>
      <c r="AU356" s="43" t="str">
        <f>IFERROR(_xlfn.XLOOKUP(Tableau1[[#This Row],[Isin]]&amp;1&amp;2020,#REF!,Tableau3[Résultat Net (PdG)]),"")</f>
        <v/>
      </c>
      <c r="AV356" s="43" t="str">
        <f>IFERROR(_xlfn.XLOOKUP(Tableau1[[#This Row],[Isin]]&amp;1&amp;2019,#REF!,Tableau3[Résultat Net (PdG)]),"")</f>
        <v/>
      </c>
      <c r="AW356" s="43" t="str">
        <f>IFERROR(_xlfn.XLOOKUP(Tableau1[[#This Row],[Isin]]&amp;1&amp;2018,#REF!,Tableau3[Résultat Net (PdG)]),"")</f>
        <v/>
      </c>
      <c r="AX356" s="43" t="str">
        <f>IFERROR(_xlfn.XLOOKUP(Tableau1[[#This Row],[Isin]]&amp;1&amp;2017,#REF!,Tableau3[Résultat Net (PdG)]),"")</f>
        <v/>
      </c>
      <c r="AY356" s="43" t="str">
        <f>IFERROR(_xlfn.XLOOKUP(Tableau1[[#This Row],[Isin]]&amp;1&amp;2016,#REF!,Tableau3[Résultat Net (PdG)]),"")</f>
        <v/>
      </c>
      <c r="AZ356" s="137" t="str">
        <f>IFERROR(Tableau1[[#This Row],[Capitalisation boursière]]/Tableau1[[#This Row],[RN Groupe 2023]],"")</f>
        <v/>
      </c>
      <c r="BA356" s="4" t="str" cm="1">
        <f t="array" ref="BA356">IFERROR(_FV(Tableau1[[#This Row],[Code Excel]],"Industrie"),"")</f>
        <v/>
      </c>
      <c r="BB356" s="43">
        <v>0</v>
      </c>
      <c r="BC356" s="43" t="str">
        <f>IFERROR(_xlfn.XLOOKUP(Tableau1[[#This Row],[Isin]]&amp;1&amp;2016,#REF!,Tableau3[Capi]),"")</f>
        <v/>
      </c>
      <c r="BD356" s="43" t="str">
        <f>IFERROR(_xlfn.XLOOKUP(Tableau1[[#This Row],[Isin]]&amp;1&amp;2017,#REF!,Tableau3[Capi]),"")</f>
        <v/>
      </c>
      <c r="BE356" s="43" t="str">
        <f>IFERROR(_xlfn.XLOOKUP(Tableau1[[#This Row],[Isin]]&amp;1&amp;2018,#REF!,Tableau3[Capi]),"")</f>
        <v/>
      </c>
      <c r="BF356" s="43" t="str">
        <f>IFERROR(_xlfn.XLOOKUP(Tableau1[[#This Row],[Isin]]&amp;1&amp;2019,#REF!,Tableau3[Capi]),"")</f>
        <v/>
      </c>
      <c r="BG356" s="43" t="str">
        <f>IFERROR(_xlfn.XLOOKUP(Tableau1[[#This Row],[Isin]]&amp;1&amp;2020,#REF!,Tableau3[Capi]),"")</f>
        <v/>
      </c>
      <c r="BH356" s="43">
        <f>IF(IFERROR(_xlfn.XLOOKUP(Tableau1[[#This Row],[Isin]]&amp;1&amp;2021,#REF!,Tableau3[Capi]),"")="",Tableau1[[#This Row],[Capitalisation 2021
Manuel]],IFERROR(_xlfn.XLOOKUP(Tableau1[[#This Row],[Isin]]&amp;1&amp;2021,#REF!,Tableau3[Capi]),""))</f>
        <v>0</v>
      </c>
      <c r="BI356" s="43"/>
      <c r="BJ356" s="43">
        <f>IF(IFERROR(_xlfn.XLOOKUP(Tableau1[[#This Row],[Isin]]&amp;1&amp;2022,#REF!,Tableau3[Capi]),"")="",Tableau1[[#This Row],[Capitalisation 2022
Manuel]],IFERROR(_xlfn.XLOOKUP(Tableau1[[#This Row],[Isin]]&amp;1&amp;2022,#REF!,Tableau3[Capi]),""))</f>
        <v>0</v>
      </c>
      <c r="BK356" s="43"/>
      <c r="BL356" s="43" t="str">
        <f>Tableau1[[#This Row],[Capitalisation boursière]]</f>
        <v/>
      </c>
      <c r="BM356" s="162" t="e" cm="1" vm="2">
        <f t="array" ref="BM356">_FV(Tableau1[[#This Row],[Code Excel]],"Description")</f>
        <v>#VALUE!</v>
      </c>
    </row>
    <row r="357" spans="3:70">
      <c r="C357" s="43"/>
      <c r="D357" s="43">
        <f>IF(Tableau1[[#This Row],[Isin]]="",99,Tableau1[[#This Row],[Intérêt]]+Tableau1[[#This Row],[Valeur d''intérêt]]+Tableau1[[#This Row],[N° Portefeuille]])</f>
        <v>99</v>
      </c>
      <c r="E357" s="43"/>
      <c r="F357" s="43">
        <f>IF(Tableau1[[#This Row],[Portefeuille]]="p",0,Tableau1[[#This Row],[F. Investissement
Niveau d''intérêt]]*10)</f>
        <v>0</v>
      </c>
      <c r="G357" s="43">
        <f>IF(Tableau1[[#This Row],[Portefeuille]]="p",3,0)</f>
        <v>0</v>
      </c>
      <c r="H357" s="168"/>
      <c r="I357" s="43"/>
      <c r="J357" s="43"/>
      <c r="K357" s="43"/>
      <c r="L357" s="16"/>
      <c r="M357" s="16" t="e">
        <f xml:space="preserve">
IF(
_xlfn.IFNA(
_xlfn.XLOOKUP(
_xlfn.CONCAT(Tableau1[[#This Row],[Isin]],"1","2025"),#REF!,Tableau3[[Rating ]]),"")="",
         IF(
_xlfn.IFNA(
_xlfn.XLOOKUP(
_xlfn.CONCAT(Tableau1[[#This Row],[Isin]],"1","2024"),#REF!,Tableau3[[Rating ]]),"")="","",
       _xlfn.IFNA(
_xlfn.XLOOKUP(
_xlfn.CONCAT(Tableau1[[#This Row],[Isin]],"1","2024"),#REF!,Tableau3[[Rating ]]),"")),
_xlfn.IFNA(
_xlfn.XLOOKUP(
_xlfn.CONCAT(Tableau1[[#This Row],[Isin]],"1","2025"),#REF!,Tableau3[[Rating ]]),"")
)</f>
        <v>#REF!</v>
      </c>
      <c r="N357" s="64"/>
      <c r="O357" s="63"/>
      <c r="P357" s="4"/>
      <c r="Q357" s="4"/>
      <c r="S357" s="4"/>
      <c r="T357" s="67"/>
      <c r="U357" s="46" t="str" cm="1">
        <f t="array" ref="U357">IFERROR(_FV(Tableau1[[#This Row],[Code Excel]],"Capitalisation boursière",TRUE),"")</f>
        <v/>
      </c>
      <c r="V357" s="4" t="str" cm="1">
        <f t="array" ref="V357">IFERROR(_FV(Tableau1[[#This Row],[Code Excel]],"Industrie"),"")</f>
        <v/>
      </c>
      <c r="X357" s="4" t="str">
        <f>Tableau1[[#This Row],[Grand Secteur]]&amp;Tableau1[[#This Row],[Industrie]]</f>
        <v/>
      </c>
      <c r="Y357" s="65" t="str" cm="1">
        <f t="array" ref="Y357">IFERROR(_FV(Tableau1[[#This Row],[Code Excel]],"P/E",TRUE),"")</f>
        <v/>
      </c>
      <c r="Z357" s="43" t="str" cm="1">
        <f t="array" ref="Z357">IFERROR(_FV(Tableau1[[#This Row],[Code Excel]],"Employés"),"")</f>
        <v/>
      </c>
      <c r="AA357" s="49" t="str">
        <f>IFERROR(Tableau1[[#This Row],[Capitalisation boursière]]/Tableau1[[#This Row],[Employés]],"")</f>
        <v/>
      </c>
      <c r="AB357" s="34" t="str">
        <f>IFERROR(Tableau1[[#This Row],[REX (2021)]]/Tableau1[[#This Row],[CA 2024]],"")</f>
        <v/>
      </c>
      <c r="AC357" s="43" t="str">
        <f>IFERROR(_xlfn.XLOOKUP(Tableau1[[#This Row],[Isin]]&amp;1&amp;2021,#REF!,Tableau3[Résultat d''exploitation]),"")</f>
        <v/>
      </c>
      <c r="AD357" s="43" t="str">
        <f>IFERROR(_xlfn.XLOOKUP(Tableau1[[#This Row],[Isin]]&amp;1&amp;2019,#REF!,Tableau3[Chiffre d''affaires]),"")</f>
        <v/>
      </c>
      <c r="AE357" s="43" t="str">
        <f>IFERROR(_xlfn.XLOOKUP(Tableau1[[#This Row],[Isin]]&amp;1&amp;2024,#REF!,Tableau3[Chiffre d''affaires]),"")</f>
        <v/>
      </c>
      <c r="AF357" s="297" t="str">
        <f>IFERROR(IF((Tableau1[[#This Row],[CA 2024]]-Tableau1[[#This Row],[CA 2019]])/Tableau1[[#This Row],[CA 2019]]=-1,"",(Tableau1[[#This Row],[CA 2024]]-Tableau1[[#This Row],[CA 2019]])/Tableau1[[#This Row],[CA 2019]]),"")</f>
        <v/>
      </c>
      <c r="AG357" s="9" t="str">
        <f>IFERROR(_xlfn.XLOOKUP(Tableau1[[#This Row],[Isin]]&amp;1&amp;2021,#REF!,Tableau3[EBE]),"")</f>
        <v/>
      </c>
      <c r="AH357" s="9" t="str">
        <f>IFERROR(_xlfn.XLOOKUP(Tableau1[[#This Row],[Isin]]&amp;1&amp;2022,#REF!,Tableau3[EBE]),"")</f>
        <v/>
      </c>
      <c r="AI357" s="43"/>
      <c r="AJ357" s="43"/>
      <c r="AK357" s="43"/>
      <c r="AL357" s="43"/>
      <c r="AM357" s="43"/>
      <c r="AN357" s="43" t="str">
        <f>IFERROR(_xlfn.XLOOKUP(Tableau1[[#This Row],[Isin]]&amp;1&amp;2021,#REF!,Tableau3[Chiffre d''affaires]),"")</f>
        <v/>
      </c>
      <c r="AO357" s="43" t="e" cm="1" vm="1">
        <f t="array" ref="AO357">_FV(Tableau1[[#This Row],[Code Excel]],"P/E",TRUE)</f>
        <v>#VALUE!</v>
      </c>
      <c r="AP357" s="43" t="str">
        <f>IFERROR(_xlfn.XLOOKUP(Tableau1[[#This Row],[Isin]]&amp;1&amp;2023,#REF!,Tableau3[Résultat Net (PdG)]),"")</f>
        <v/>
      </c>
      <c r="AQ357" s="43">
        <f>IF(IFERROR(_xlfn.XLOOKUP(Tableau1[[#This Row],[Isin]]&amp;1&amp;2022,#REF!,Tableau3[Résultat Net (PdG)]),"")="",Tableau1[[#This Row],[RN Groupe 2022
Manuel]],IFERROR(_xlfn.XLOOKUP(Tableau1[[#This Row],[Isin]]&amp;1&amp;2022,#REF!,Tableau3[Résultat Net (PdG)]),""))</f>
        <v>0</v>
      </c>
      <c r="AR357" s="43"/>
      <c r="AS357" s="43">
        <f>IF(IFERROR(_xlfn.XLOOKUP(Tableau1[[#This Row],[Isin]]&amp;1&amp;2021,#REF!,Tableau3[Résultat Net (PdG)]),"")="",Tableau1[[#This Row],[RN Groupe 2021
Manuel]],IFERROR(_xlfn.XLOOKUP(Tableau1[[#This Row],[Isin]]&amp;1&amp;2021,#REF!,Tableau3[Résultat Net (PdG)]),""))</f>
        <v>0</v>
      </c>
      <c r="AT357" s="43"/>
      <c r="AU357" s="43"/>
      <c r="AV357" s="43"/>
      <c r="AW357" s="43"/>
      <c r="AX357" s="43"/>
      <c r="AY357" s="43" t="str">
        <f>IFERROR(_xlfn.XLOOKUP(Tableau1[[#This Row],[Isin]]&amp;1&amp;2016,#REF!,Tableau3[Résultat Net (PdG)]),"")</f>
        <v/>
      </c>
      <c r="AZ357" s="164" t="str">
        <f>IFERROR(Tableau1[[#This Row],[Capitalisation boursière]]/Tableau1[[#This Row],[RN Groupe 2023]],"")</f>
        <v/>
      </c>
      <c r="BA357" s="43" t="str" cm="1">
        <f t="array" ref="BA357">IFERROR(_FV(Tableau1[[#This Row],[Code Excel]],"Industrie"),"")</f>
        <v/>
      </c>
      <c r="BB357" s="43"/>
      <c r="BC357" s="43" t="str">
        <f>IFERROR(_xlfn.XLOOKUP(Tableau1[[#This Row],[Isin]]&amp;1&amp;2016,#REF!,Tableau3[Capi]),"")</f>
        <v/>
      </c>
      <c r="BD357" s="43" t="str">
        <f>IFERROR(_xlfn.XLOOKUP(Tableau1[[#This Row],[Isin]]&amp;1&amp;2017,#REF!,Tableau3[Capi]),"")</f>
        <v/>
      </c>
      <c r="BE357" s="43" t="str">
        <f>IFERROR(_xlfn.XLOOKUP(Tableau1[[#This Row],[Isin]]&amp;1&amp;2018,#REF!,Tableau3[Capi]),"")</f>
        <v/>
      </c>
      <c r="BF357" s="43" t="str">
        <f>IFERROR(_xlfn.XLOOKUP(Tableau1[[#This Row],[Isin]]&amp;1&amp;2019,#REF!,Tableau3[Capi]),"")</f>
        <v/>
      </c>
      <c r="BG357" s="43" t="str">
        <f>IFERROR(_xlfn.XLOOKUP(Tableau1[[#This Row],[Isin]]&amp;1&amp;2020,#REF!,Tableau3[Capi]),"")</f>
        <v/>
      </c>
      <c r="BH357" s="43">
        <f>IF(IFERROR(_xlfn.XLOOKUP(Tableau1[[#This Row],[Isin]]&amp;1&amp;2021,#REF!,Tableau3[Capi]),"")="",Tableau1[[#This Row],[Capitalisation 2021
Manuel]],IFERROR(_xlfn.XLOOKUP(Tableau1[[#This Row],[Isin]]&amp;1&amp;2021,#REF!,Tableau3[Capi]),""))</f>
        <v>0</v>
      </c>
      <c r="BI357" s="43"/>
      <c r="BJ357" s="43">
        <f>IF(IFERROR(_xlfn.XLOOKUP(Tableau1[[#This Row],[Isin]]&amp;1&amp;2022,#REF!,Tableau3[Capi]),"")="",Tableau1[[#This Row],[Capitalisation 2022
Manuel]],IFERROR(_xlfn.XLOOKUP(Tableau1[[#This Row],[Isin]]&amp;1&amp;2022,#REF!,Tableau3[Capi]),""))</f>
        <v>0</v>
      </c>
      <c r="BK357" s="43"/>
      <c r="BL357" s="43" t="str">
        <f>Tableau1[[#This Row],[Capitalisation boursière]]</f>
        <v/>
      </c>
      <c r="BM357" s="162" t="e" cm="1" vm="2">
        <f t="array" ref="BM357">_FV(Tableau1[[#This Row],[Code Excel]],"Description")</f>
        <v>#VALUE!</v>
      </c>
    </row>
    <row r="358" spans="3:70">
      <c r="C358" s="6"/>
      <c r="D358" s="6"/>
      <c r="E358" s="6"/>
      <c r="F358" s="6"/>
      <c r="G358" s="6"/>
      <c r="H358" s="6"/>
      <c r="I358" s="6"/>
      <c r="J358" s="6"/>
      <c r="K358" s="6"/>
      <c r="L358" s="22" t="s">
        <v>3151</v>
      </c>
      <c r="M358" s="22"/>
      <c r="N358" s="3">
        <f>SUBTOTAL(103,Tableau1[Liste des sociétés])</f>
        <v>341</v>
      </c>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row>
    <row r="359" spans="3:70">
      <c r="K359" s="14"/>
      <c r="L359" s="14"/>
      <c r="M359" s="14"/>
      <c r="N359" s="14"/>
      <c r="O359" s="14"/>
      <c r="P359" s="14"/>
      <c r="Q359" s="14"/>
    </row>
    <row r="363" spans="3:70">
      <c r="J363" s="30"/>
      <c r="K363" s="29"/>
      <c r="L363" s="29"/>
      <c r="M363" s="29"/>
      <c r="N363" s="29"/>
      <c r="O363" s="29"/>
      <c r="P363" s="29"/>
      <c r="Q363" s="29"/>
    </row>
    <row r="364" spans="3:70">
      <c r="J364" s="28"/>
    </row>
    <row r="365" spans="3:70">
      <c r="J365" s="69"/>
    </row>
    <row r="366" spans="3:70">
      <c r="J366" s="69"/>
    </row>
    <row r="367" spans="3:70">
      <c r="J367" s="69"/>
    </row>
    <row r="368" spans="3:70">
      <c r="J368" s="30"/>
    </row>
    <row r="369" spans="8:10">
      <c r="J369" s="30"/>
    </row>
    <row r="370" spans="8:10">
      <c r="H370" s="13" t="s">
        <v>5242</v>
      </c>
      <c r="J370" s="69"/>
    </row>
    <row r="371" spans="8:10">
      <c r="J371" s="69"/>
    </row>
    <row r="372" spans="8:10">
      <c r="J372" s="69"/>
    </row>
    <row r="373" spans="8:10">
      <c r="J373" s="69"/>
    </row>
    <row r="374" spans="8:10">
      <c r="J374" s="69"/>
    </row>
    <row r="375" spans="8:10">
      <c r="J375" s="69"/>
    </row>
    <row r="376" spans="8:10">
      <c r="J376" s="69"/>
    </row>
    <row r="377" spans="8:10">
      <c r="J377" s="69"/>
    </row>
    <row r="378" spans="8:10">
      <c r="J378" s="69"/>
    </row>
    <row r="379" spans="8:10">
      <c r="J379" s="69"/>
    </row>
    <row r="380" spans="8:10">
      <c r="J380" s="30"/>
    </row>
    <row r="381" spans="8:10">
      <c r="J381" s="69"/>
    </row>
    <row r="382" spans="8:10">
      <c r="J382" s="69"/>
    </row>
    <row r="1565" spans="77:77">
      <c r="BY1565" s="6" t="s">
        <v>1418</v>
      </c>
    </row>
    <row r="1566" spans="77:77">
      <c r="BY1566" s="6" t="s">
        <v>3427</v>
      </c>
    </row>
    <row r="1568" spans="77:77">
      <c r="BY1568" s="6" t="s">
        <v>1421</v>
      </c>
    </row>
    <row r="1569" spans="77:77">
      <c r="BY1569" s="6" t="s">
        <v>3428</v>
      </c>
    </row>
    <row r="1570" spans="77:77">
      <c r="BY1570" s="6" t="s">
        <v>1423</v>
      </c>
    </row>
    <row r="1583" spans="77:77">
      <c r="BY1583" s="6" t="s">
        <v>1435</v>
      </c>
    </row>
    <row r="1584" spans="77:77">
      <c r="BY1584" s="6" t="s">
        <v>1436</v>
      </c>
    </row>
    <row r="1588" spans="77:77">
      <c r="BY1588" s="6" t="s">
        <v>3429</v>
      </c>
    </row>
    <row r="1589" spans="77:77">
      <c r="BY1589" s="6" t="s">
        <v>3430</v>
      </c>
    </row>
  </sheetData>
  <phoneticPr fontId="8" type="noConversion"/>
  <conditionalFormatting sqref="J363:J382 N29:N315">
    <cfRule type="duplicateValues" dxfId="156" priority="1"/>
  </conditionalFormatting>
  <conditionalFormatting sqref="R118">
    <cfRule type="duplicateValues" dxfId="155" priority="46"/>
    <cfRule type="duplicateValues" dxfId="154" priority="45"/>
    <cfRule type="duplicateValues" dxfId="153" priority="44"/>
  </conditionalFormatting>
  <conditionalFormatting sqref="S2:S357">
    <cfRule type="duplicateValues" dxfId="152" priority="522"/>
  </conditionalFormatting>
  <conditionalFormatting sqref="S7">
    <cfRule type="duplicateValues" dxfId="151" priority="152"/>
    <cfRule type="duplicateValues" dxfId="150" priority="151"/>
    <cfRule type="duplicateValues" dxfId="149" priority="150"/>
  </conditionalFormatting>
  <conditionalFormatting sqref="S12:S14">
    <cfRule type="duplicateValues" dxfId="148" priority="188"/>
    <cfRule type="duplicateValues" dxfId="147" priority="187"/>
    <cfRule type="duplicateValues" dxfId="146" priority="186"/>
  </conditionalFormatting>
  <conditionalFormatting sqref="S15">
    <cfRule type="duplicateValues" dxfId="145" priority="105"/>
  </conditionalFormatting>
  <conditionalFormatting sqref="S16">
    <cfRule type="duplicateValues" dxfId="144" priority="106"/>
    <cfRule type="duplicateValues" dxfId="143" priority="107"/>
    <cfRule type="duplicateValues" dxfId="142" priority="108"/>
  </conditionalFormatting>
  <conditionalFormatting sqref="S17:S27">
    <cfRule type="duplicateValues" dxfId="141" priority="514"/>
  </conditionalFormatting>
  <conditionalFormatting sqref="S28">
    <cfRule type="duplicateValues" dxfId="140" priority="182"/>
    <cfRule type="duplicateValues" dxfId="139" priority="181"/>
    <cfRule type="duplicateValues" dxfId="138" priority="180"/>
  </conditionalFormatting>
  <conditionalFormatting sqref="S29">
    <cfRule type="duplicateValues" dxfId="137" priority="179"/>
    <cfRule type="duplicateValues" dxfId="136" priority="178"/>
    <cfRule type="duplicateValues" dxfId="135" priority="177"/>
  </conditionalFormatting>
  <conditionalFormatting sqref="S30">
    <cfRule type="duplicateValues" dxfId="134" priority="175"/>
    <cfRule type="duplicateValues" dxfId="133" priority="174"/>
    <cfRule type="duplicateValues" dxfId="132" priority="176"/>
  </conditionalFormatting>
  <conditionalFormatting sqref="S31:S38">
    <cfRule type="duplicateValues" dxfId="131" priority="173"/>
    <cfRule type="duplicateValues" dxfId="130" priority="172"/>
    <cfRule type="duplicateValues" dxfId="129" priority="171"/>
  </conditionalFormatting>
  <conditionalFormatting sqref="S40">
    <cfRule type="duplicateValues" dxfId="128" priority="104"/>
  </conditionalFormatting>
  <conditionalFormatting sqref="S41:S43">
    <cfRule type="duplicateValues" dxfId="127" priority="167"/>
    <cfRule type="duplicateValues" dxfId="126" priority="166"/>
    <cfRule type="duplicateValues" dxfId="125" priority="165"/>
  </conditionalFormatting>
  <conditionalFormatting sqref="S44">
    <cfRule type="duplicateValues" dxfId="124" priority="164"/>
  </conditionalFormatting>
  <conditionalFormatting sqref="S46">
    <cfRule type="duplicateValues" dxfId="123" priority="160"/>
  </conditionalFormatting>
  <conditionalFormatting sqref="S53">
    <cfRule type="duplicateValues" dxfId="122" priority="103"/>
  </conditionalFormatting>
  <conditionalFormatting sqref="S54">
    <cfRule type="duplicateValues" dxfId="121" priority="147"/>
    <cfRule type="duplicateValues" dxfId="120" priority="148"/>
    <cfRule type="duplicateValues" dxfId="119" priority="149"/>
  </conditionalFormatting>
  <conditionalFormatting sqref="S55:S57">
    <cfRule type="duplicateValues" dxfId="118" priority="145"/>
    <cfRule type="duplicateValues" dxfId="117" priority="146"/>
    <cfRule type="duplicateValues" dxfId="116" priority="144"/>
  </conditionalFormatting>
  <conditionalFormatting sqref="S59">
    <cfRule type="duplicateValues" dxfId="115" priority="102"/>
  </conditionalFormatting>
  <conditionalFormatting sqref="S60">
    <cfRule type="duplicateValues" dxfId="114" priority="101"/>
  </conditionalFormatting>
  <conditionalFormatting sqref="S61:S64">
    <cfRule type="duplicateValues" dxfId="113" priority="141"/>
    <cfRule type="duplicateValues" dxfId="112" priority="143"/>
    <cfRule type="duplicateValues" dxfId="111" priority="142"/>
  </conditionalFormatting>
  <conditionalFormatting sqref="S66:S67">
    <cfRule type="duplicateValues" dxfId="110" priority="137"/>
    <cfRule type="duplicateValues" dxfId="109" priority="138"/>
  </conditionalFormatting>
  <conditionalFormatting sqref="S66:S68">
    <cfRule type="duplicateValues" dxfId="108" priority="139"/>
  </conditionalFormatting>
  <conditionalFormatting sqref="S68">
    <cfRule type="duplicateValues" dxfId="107" priority="136"/>
  </conditionalFormatting>
  <conditionalFormatting sqref="S71">
    <cfRule type="duplicateValues" dxfId="106" priority="100"/>
    <cfRule type="duplicateValues" dxfId="105" priority="99"/>
    <cfRule type="duplicateValues" dxfId="104" priority="98"/>
  </conditionalFormatting>
  <conditionalFormatting sqref="S72">
    <cfRule type="duplicateValues" dxfId="103" priority="97"/>
    <cfRule type="duplicateValues" dxfId="102" priority="96"/>
  </conditionalFormatting>
  <conditionalFormatting sqref="S74">
    <cfRule type="duplicateValues" dxfId="101" priority="131"/>
    <cfRule type="duplicateValues" dxfId="100" priority="130"/>
    <cfRule type="duplicateValues" dxfId="99" priority="132"/>
  </conditionalFormatting>
  <conditionalFormatting sqref="S76">
    <cfRule type="duplicateValues" dxfId="98" priority="94"/>
    <cfRule type="duplicateValues" dxfId="97" priority="93"/>
    <cfRule type="duplicateValues" dxfId="96" priority="95"/>
  </conditionalFormatting>
  <conditionalFormatting sqref="S77:S79">
    <cfRule type="duplicateValues" dxfId="95" priority="129"/>
    <cfRule type="duplicateValues" dxfId="94" priority="128"/>
    <cfRule type="duplicateValues" dxfId="93" priority="127"/>
  </conditionalFormatting>
  <conditionalFormatting sqref="S80">
    <cfRule type="duplicateValues" dxfId="92" priority="126"/>
    <cfRule type="duplicateValues" dxfId="91" priority="125"/>
    <cfRule type="duplicateValues" dxfId="90" priority="124"/>
  </conditionalFormatting>
  <conditionalFormatting sqref="S82">
    <cfRule type="duplicateValues" dxfId="89" priority="92"/>
  </conditionalFormatting>
  <conditionalFormatting sqref="S83:S84">
    <cfRule type="duplicateValues" dxfId="88" priority="123"/>
    <cfRule type="duplicateValues" dxfId="87" priority="122"/>
    <cfRule type="duplicateValues" dxfId="86" priority="121"/>
  </conditionalFormatting>
  <conditionalFormatting sqref="S87">
    <cfRule type="duplicateValues" dxfId="85" priority="91"/>
  </conditionalFormatting>
  <conditionalFormatting sqref="S88">
    <cfRule type="duplicateValues" dxfId="84" priority="90"/>
  </conditionalFormatting>
  <conditionalFormatting sqref="S89">
    <cfRule type="duplicateValues" dxfId="83" priority="84"/>
    <cfRule type="duplicateValues" dxfId="82" priority="85"/>
    <cfRule type="duplicateValues" dxfId="81" priority="83"/>
  </conditionalFormatting>
  <conditionalFormatting sqref="S90:S92">
    <cfRule type="duplicateValues" dxfId="80" priority="117"/>
    <cfRule type="duplicateValues" dxfId="79" priority="115"/>
    <cfRule type="duplicateValues" dxfId="78" priority="116"/>
  </conditionalFormatting>
  <conditionalFormatting sqref="S94">
    <cfRule type="duplicateValues" dxfId="77" priority="112"/>
    <cfRule type="duplicateValues" dxfId="76" priority="114"/>
    <cfRule type="duplicateValues" dxfId="75" priority="113"/>
  </conditionalFormatting>
  <conditionalFormatting sqref="S95">
    <cfRule type="duplicateValues" dxfId="74" priority="88"/>
    <cfRule type="duplicateValues" dxfId="73" priority="87"/>
    <cfRule type="duplicateValues" dxfId="72" priority="89"/>
  </conditionalFormatting>
  <conditionalFormatting sqref="S96:S97">
    <cfRule type="duplicateValues" dxfId="71" priority="109"/>
    <cfRule type="duplicateValues" dxfId="70" priority="110"/>
    <cfRule type="duplicateValues" dxfId="69" priority="111"/>
  </conditionalFormatting>
  <conditionalFormatting sqref="S98">
    <cfRule type="duplicateValues" dxfId="68" priority="86"/>
  </conditionalFormatting>
  <conditionalFormatting sqref="S102">
    <cfRule type="duplicateValues" dxfId="67" priority="76"/>
    <cfRule type="duplicateValues" dxfId="66" priority="77"/>
    <cfRule type="duplicateValues" dxfId="65" priority="78"/>
  </conditionalFormatting>
  <conditionalFormatting sqref="S106">
    <cfRule type="duplicateValues" dxfId="64" priority="67"/>
    <cfRule type="duplicateValues" dxfId="63" priority="68"/>
    <cfRule type="duplicateValues" dxfId="62" priority="69"/>
  </conditionalFormatting>
  <conditionalFormatting sqref="S108:S110">
    <cfRule type="duplicateValues" dxfId="61" priority="63"/>
    <cfRule type="duplicateValues" dxfId="60" priority="64"/>
    <cfRule type="duplicateValues" dxfId="59" priority="65"/>
  </conditionalFormatting>
  <conditionalFormatting sqref="S113">
    <cfRule type="duplicateValues" dxfId="58" priority="59"/>
    <cfRule type="duplicateValues" dxfId="57" priority="58"/>
    <cfRule type="duplicateValues" dxfId="56" priority="57"/>
  </conditionalFormatting>
  <conditionalFormatting sqref="S114">
    <cfRule type="duplicateValues" dxfId="55" priority="54"/>
    <cfRule type="duplicateValues" dxfId="54" priority="53"/>
    <cfRule type="duplicateValues" dxfId="53" priority="55"/>
  </conditionalFormatting>
  <conditionalFormatting sqref="S115">
    <cfRule type="duplicateValues" dxfId="52" priority="52"/>
    <cfRule type="duplicateValues" dxfId="51" priority="51"/>
    <cfRule type="duplicateValues" dxfId="50" priority="50"/>
  </conditionalFormatting>
  <conditionalFormatting sqref="S117">
    <cfRule type="duplicateValues" dxfId="49" priority="49"/>
    <cfRule type="duplicateValues" dxfId="48" priority="48"/>
    <cfRule type="duplicateValues" dxfId="47" priority="47"/>
  </conditionalFormatting>
  <conditionalFormatting sqref="S120">
    <cfRule type="duplicateValues" dxfId="46" priority="41"/>
    <cfRule type="duplicateValues" dxfId="45" priority="42"/>
    <cfRule type="duplicateValues" dxfId="44" priority="43"/>
  </conditionalFormatting>
  <conditionalFormatting sqref="S122">
    <cfRule type="duplicateValues" dxfId="43" priority="40"/>
    <cfRule type="duplicateValues" dxfId="42" priority="38"/>
    <cfRule type="duplicateValues" dxfId="41" priority="39"/>
  </conditionalFormatting>
  <conditionalFormatting sqref="S124">
    <cfRule type="duplicateValues" dxfId="40" priority="37"/>
    <cfRule type="duplicateValues" dxfId="39" priority="36"/>
    <cfRule type="duplicateValues" dxfId="38" priority="35"/>
  </conditionalFormatting>
  <conditionalFormatting sqref="S126">
    <cfRule type="duplicateValues" dxfId="37" priority="34"/>
    <cfRule type="duplicateValues" dxfId="36" priority="33"/>
    <cfRule type="duplicateValues" dxfId="35" priority="32"/>
  </conditionalFormatting>
  <conditionalFormatting sqref="S128">
    <cfRule type="duplicateValues" dxfId="34" priority="31"/>
    <cfRule type="duplicateValues" dxfId="33" priority="30"/>
  </conditionalFormatting>
  <conditionalFormatting sqref="S128:S129">
    <cfRule type="duplicateValues" dxfId="32" priority="29"/>
  </conditionalFormatting>
  <conditionalFormatting sqref="S130">
    <cfRule type="duplicateValues" dxfId="31" priority="26"/>
    <cfRule type="duplicateValues" dxfId="30" priority="27"/>
    <cfRule type="duplicateValues" dxfId="29" priority="25"/>
  </conditionalFormatting>
  <conditionalFormatting sqref="S134">
    <cfRule type="duplicateValues" dxfId="28" priority="22"/>
    <cfRule type="duplicateValues" dxfId="27" priority="21"/>
    <cfRule type="duplicateValues" dxfId="26" priority="20"/>
  </conditionalFormatting>
  <conditionalFormatting sqref="S135">
    <cfRule type="duplicateValues" dxfId="25" priority="19"/>
    <cfRule type="duplicateValues" dxfId="24" priority="18"/>
    <cfRule type="duplicateValues" dxfId="23" priority="17"/>
  </conditionalFormatting>
  <conditionalFormatting sqref="S142">
    <cfRule type="duplicateValues" dxfId="22" priority="16"/>
    <cfRule type="duplicateValues" dxfId="21" priority="15"/>
    <cfRule type="duplicateValues" dxfId="20" priority="14"/>
  </conditionalFormatting>
  <conditionalFormatting sqref="S143">
    <cfRule type="duplicateValues" dxfId="19" priority="13"/>
    <cfRule type="duplicateValues" dxfId="18" priority="12"/>
    <cfRule type="duplicateValues" dxfId="17" priority="11"/>
  </conditionalFormatting>
  <conditionalFormatting sqref="S154:S169 S175:S231 S248:S356">
    <cfRule type="duplicateValues" dxfId="16" priority="524"/>
  </conditionalFormatting>
  <conditionalFormatting sqref="S154:S169 S175:S356">
    <cfRule type="duplicateValues" dxfId="15" priority="528"/>
  </conditionalFormatting>
  <conditionalFormatting sqref="S154:S169">
    <cfRule type="duplicateValues" dxfId="14" priority="9"/>
  </conditionalFormatting>
  <conditionalFormatting sqref="S170">
    <cfRule type="duplicateValues" dxfId="13" priority="5"/>
  </conditionalFormatting>
  <conditionalFormatting sqref="S171">
    <cfRule type="duplicateValues" dxfId="12" priority="4"/>
  </conditionalFormatting>
  <conditionalFormatting sqref="S172">
    <cfRule type="duplicateValues" dxfId="11" priority="3"/>
  </conditionalFormatting>
  <conditionalFormatting sqref="S173">
    <cfRule type="duplicateValues" dxfId="10" priority="2"/>
  </conditionalFormatting>
  <conditionalFormatting sqref="S232:S247">
    <cfRule type="duplicateValues" dxfId="9" priority="6"/>
  </conditionalFormatting>
  <conditionalFormatting sqref="T2:T29">
    <cfRule type="duplicateValues" dxfId="8" priority="516"/>
  </conditionalFormatting>
  <conditionalFormatting sqref="T2:T357">
    <cfRule type="duplicateValues" dxfId="7" priority="531"/>
  </conditionalFormatting>
  <conditionalFormatting sqref="T61:T64">
    <cfRule type="duplicateValues" dxfId="6" priority="140"/>
  </conditionalFormatting>
  <conditionalFormatting sqref="T67">
    <cfRule type="duplicateValues" dxfId="5" priority="135"/>
  </conditionalFormatting>
  <conditionalFormatting sqref="T106">
    <cfRule type="duplicateValues" dxfId="4" priority="66"/>
  </conditionalFormatting>
  <conditionalFormatting sqref="T113">
    <cfRule type="duplicateValues" dxfId="3" priority="56"/>
  </conditionalFormatting>
  <conditionalFormatting sqref="T130">
    <cfRule type="duplicateValues" dxfId="2" priority="28"/>
  </conditionalFormatting>
  <conditionalFormatting sqref="T215:T231">
    <cfRule type="duplicateValues" dxfId="1" priority="7"/>
  </conditionalFormatting>
  <pageMargins left="0.75" right="0.75" top="1" bottom="1" header="0.5" footer="0.5"/>
  <pageSetup paperSize="9" orientation="portrait" horizontalDpi="4294967292" verticalDpi="4294967292"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9 d d 6 2 6 2 - f 3 6 b - 4 b 4 5 - a 4 7 9 - f f d f 7 c 2 1 5 c 8 4 "   x m l n s = " h t t p : / / s c h e m a s . m i c r o s o f t . c o m / D a t a M a s h u p " > A A A A A M g K A A B Q S w M E F A A C A A g A s F T V W O F l B 0 y l A A A A 9 g A A A B I A H A B D b 2 5 m a W c v U G F j a 2 F n Z S 5 4 b W w g o h g A K K A U A A A A A A A A A A A A A A A A A A A A A A A A A A A A h Y 8 x D o I w G I W v Q r r T l h o T J T 9 l M H G S x G h i X J t S o B G K a Y t w N w e P 5 B X E K O r m + L 7 3 D e / d r z d I h 6 Y O L s o 6 3 Z o E R Z i i Q B n Z 5 t q U C e p 8 E S 5 Q y m E r 5 E m U K h h l 4 + L B 5 Q m q v D / H h P R 9 j / s Z b m 1 J G K U R O W a b v a x U I 9 B H 1 v / l U B v n h Z E K c T i 8 x n C G I 7 b E b M 4 w B T J B y L T 5 C m z c + 2 x / I K y 6 2 n d W 8 c K G 6 x 2 Q K Q J 5 f + A P U E s D B B Q A A g A I A L B U 1 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w V N V Y I H D k V c o H A A C D J g A A E w A c A E Z v c m 1 1 b G F z L 1 N l Y 3 R p b 2 4 x L m 0 g o h g A K K A U A A A A A A A A A A A A A A A A A A A A A A A A A A A A 7 V n r b i M 1 F P 6 / 0 r 6 D 5 Z V g g t I 0 y X Y v B Y q U t i m q Y N v S l I s U V c i d c V v D 3 L A 9 o V G U B + A t + E n 5 x T O Q F + P Y k 4 s 9 4 5 m k u 8 D u I i q 1 n f g c 2 + f y n d t E U F + y J E a D / H / n k 8 e P H j 8 S t 4 T T A D 3 B F + Q q p K i N 0 R 4 K q X z 8 C M H P I M m 4 T 2 H l W 3 r V O i M 3 1 F M P B 0 k s a S y F h 6 + A L h J O I t L y k 2 j b V x + 3 R e I z K u m 2 f 8 u u r z k V W 3 5 I x T b + A F 0 w y S n 6 A G / j R q O Z X 3 B I J G n D + f l F k / Z 0 q F Y u 5 1 Q Q a p x S F C U B u 2 a z e y W a l r J 1 w U k s r h M e H S R h F s W K S 3 j 6 r O Z k g l + x M G S U C 9 T / + h w 3 k V R n S H o n p 0 0 0 w Z 1 u q / M S V o 9 j + X y n p X Y u l 3 e d y 9 2 2 e 7 l j L 0 8 b S 6 E H W Z p y F l E O h k R S C U w y 5 P O E i d k 9 C s Y x i d h P G U U B F Y h k Y B K B / C R M 4 p i K l Y Z f x y k b J f J U 3 l K e K y m 8 o j m U J J a u I B v u S c n Z V S a B i r 8 h I c 0 4 X k n 2 J b u B W 9 A 1 C y W f 3 Z v 3 D W g I q D h P f l b X v I E C T U S J f 4 u 8 o S n Y J V y D z 2 f 3 I g s l k S i m E n k p 4 R I F G b r h S Z b S x g o S T / B B f h i K g J 2 l I a h K K 1 2 v x C 1 p B Y a Z L J S f C / Q 9 + g h 1 2 u 3 2 H A 5 x F l 1 R b j o t Z 0 e c R m l I f O v K c 6 q W K H B k 1 H O L 1 8 Q t + N 1 W W J l z 8 8 W 2 C 0 B e c 7 L y y 7 T x + B G L q 6 8 1 o z K P G D B e h / f 2 T 7 / o Y R R R S d D w W J w R i D q I M v 5 V R v l 4 T / K M N p G C x x 5 W F y p s F n j O 6 U 8 Z g 0 M 1 7 6 U d + 1 8 y I S k a 5 R Z z J o C J I U M T H s / 2 T 8 4 U x P Q T R t O V T v k W V 2 6 p O 7 8 g g 4 G F e E S 5 Z I j G O R J X b j n i S a Q 2 e f k h T T Q A Z 0 h Q t 6 U f 9 s c n i b x l 8 Y 3 X a I K / w 3 D x t 3 8 n O d H O F K 0 + 5 w k v I U + A P + I k i u w Q O a c A f L q C X V k 0 l X x y e s c I P x N l R 0 m c 5 + A U Q g O u I q G K K Y p I m t L Q A l 0 v C P K j P L d Y c P 7 h 7 F 4 S F i 6 D T h l k f 5 m R v W F + / 6 U R W Y s d K J j d j 2 i Y p K m Z V f t 3 K Y k D / b y 8 e q 3 A t h y l 5 O v K R z q F L j a 1 i h u W B H P n c n F x h B V E T r U 0 A o f o K M s V 0 D G w z + I A E K E i a o I x v d N R x 4 8 g m 2 Q h O Q H v Y v w x X l Z C P M X o c o l i 2 7 p O E H t 5 v B K h y 0 0 D 7 X 2 2 Y v p X y u n 6 k v r e l t V 3 u 7 S + P + X 1 r Z X Y t 1 B m 1 Z W L L F F 1 f X 3 h U q 2 y 2 g D m R B H h N x R 5 3 Y a 7 g v X v f B q 2 D j I O S V p + m / A f r 5 L k R 6 8 x G a q 8 s p c n F Z J 1 8 O V 0 O I / 4 1 2 t z 5 9 U O z N + D b D x W 2 f i J F 1 4 3 O r D t N G P 6 W c X / S R K X I y w v s g p Z K q 1 A 2 g T U l G J 5 r n S Z c E b G 5 c V D O m K C l p a h + N I y 8 7 F g c W n x I A l o b r 4 F i c T j n E J S J l X J I b o G 6 f z I Z r 9 x W t b s O A 4 y A b 4 v S / I 5 W D F A c 6 X K E h 1 + X 0 U 6 2 + 5 j G 8 x q t Q / Q S c a 5 3 Q o y K H H R N j I 5 i r t f a R C d n g G O 2 t 1 O w 8 F x 3 v 9 u R S x e 0 E O K 4 t g 1 B 3 b v h y S T e V m 2 d b m g c U B i A C o E 1 c 0 W N E m R z T N 1 N E E i z 1 P F L i h K R r Q y b y 5 B s s L F E g q 2 o 2 3 L W 2 Z 1 G d K 2 i 2 E J f J Z w S a 9 p B h m R w q a j T G Z Q F x k 0 Z 0 K n 6 k E W w S e w C p / 9 r h e O z Q 9 z w w U f W i w n f / 6 B z H P V 2 l E L 3 K E O Z U L Q C O J X h 9 o J G 6 n 0 X d j f Q 4 O M j T R O c f E c L X r n x U q L r n q c / T I C m 2 q Y H / T 0 y Z 7 i 2 l J 0 r X F / v 5 + r 7 H I V d G e R d r z l q Y Q H Z o l z O r Z p h 0 4 p W q p S x i K U 5 1 H i A L Y D k x U w 3 C C T l Z W G o g j N n D J Y T J X n y e K a + h b a s J Q S 3 u x q F 4 W M X a N h Q X Z d Y m e / h H S k b 4 D W I U Y d R E N B K 7 l f J W M K N 8 6 Z n 2 7 E j L Z Q 4 Z J u / b 4 L P v t N o N m 9 t a d d v + e I M D 1 H a d 6 d n D e f j I y k U p 8 O u t X 5 Y J 1 3 m h M L O f V g 7 j w Q z V 1 1 f A n B F r 6 r 4 P w P 4 1 d n v 9 j X 3 Y F P y 9 C b P v g l j d N c y / 7 Q M s I l + v Q z 7 e L G 6 7 z v K P d + G i 2 7 u 6 U e T O 9 Q J a B K N Y f M 3 R o X l 2 V 8 O + 4 t e G 4 j b 6 9 z L w h c c C 6 U C b d b u / r F Q j F V n S p b t X r C p 3 q m d b Y 6 L p 6 y J X K u Q 7 p k M 6 S 1 y n t n T W t a U k 6 / E K n p 4 f J u 2 R 8 v Z j 1 z q C / c 7 H p h l c V 6 U B o s P P 2 u N O Z r O h K r x S 1 2 J 6 W 2 d k W y 9 j n 7 l s J m R x d T 4 H h A T 1 P Y a X Q 4 h a 7 Z v t A m / j + y / O d H l i J x 1 e 4 6 K b r 7 L V L W N c M l B R e 9 s T t I X n s q y l 1 t J n + b t k 8 4 1 8 5 F s 1 9 R + C H E D 3 d d 0 x 9 8 X o J J 5 S Q H L u y a 3 H / j Z P a e D U o b 1 V k j 8 j c f P e u C d M 0 4 Z E + t 8 + F n 7 f D q a D 8 c 8 + w b D I V v 0 s 9 U o n g O X G v Y V u g 0 I H m Y Z F d w u A F J A 5 G H k L p Z 7 M v K 2 X O R X h / e / b r u X T a / 6 s x l z 4 u U A 1 d L 2 B u x Q H 1 / o S c n 1 F M v W N E B k Q 1 c y 3 i k 4 g Q d d D Z j 6 2 7 C V s k z I r H c Q D D N V n t S a g R U m W e r t K L v F L i h 1 7 2 h q / I a o 4 T Z r J W 8 Z n 2 L O e + w d t 6 k P d v 5 G / u z O R i X 2 d f I 9 Z r Q r S I 8 r S L s V B G e V R G e V x F e V B F e V h F 2 L c J r f a d d q B U Y w W / l O 3 b D f K b F T C O Z d j F N Y W p v K m z q u F L L U K U v U h D A n W Y c 3 1 e 4 J k d L c K U K b G R R D Q T W 8 T z d g G d n A 5 5 n G / A 8 3 4 D n x Q Y 8 L z f g 2 a 3 i q Y N W p x J b D t c 1 8 Z + / v m s I e + C k 6 z B A A W L 2 c F v A V i X x a R 1 x p 4 7 4 r I 7 4 v I 7 4 o o 7 4 s o 6 4 + 8 A h / i 9 Q S w E C L Q A U A A I A C A C w V N V Y 4 W U H T K U A A A D 2 A A A A E g A A A A A A A A A A A A A A A A A A A A A A Q 2 9 u Z m l n L 1 B h Y 2 t h Z 2 U u e G 1 s U E s B A i 0 A F A A C A A g A s F T V W F N y O C y b A A A A 4 Q A A A B M A A A A A A A A A A A A A A A A A 8 Q A A A F t D b 2 5 0 Z W 5 0 X 1 R 5 c G V z X S 5 4 b W x Q S w E C L Q A U A A I A C A C w V N V Y I H D k V c o H A A C D J g A A E w A A A A A A A A A A A A A A A A D Z A Q A A R m 9 y b X V s Y X M v U 2 V j d G l v b j E u b V B L B Q Y A A A A A A w A D A M I A A A D w 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k g A A A A A A A A A K A 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U Y W J s Z S U y M D A 8 L 0 l 0 Z W 1 Q Y X R o P j w v S X R l b U x v Y 2 F 0 a W 9 u P j x T d G F i b G V F b n R y a W V z P j x F b n R y e S B U e X B l P S J B Z G R l Z F R v R G F 0 Y U 1 v Z G V s I i B W Y W x 1 Z T 0 i b D A i I C 8 + P E V u d H J 5 I F R 5 c G U 9 I k 5 h d m l n Y X R p b 2 5 T d G V w T m F t Z S I g V m F s d W U 9 I n N O Y X Z p Z 2 F 0 a W 9 u I i A v P j x F b n R y e S B U e X B l P S J G a W x s Q 2 9 1 b n Q i I F Z h b H V l P S J s N C I g L z 4 8 R W 5 0 c n k g V H l w Z T 0 i R m l s b E V u Y W J s Z W Q i I F Z h b H V l P S J s M C I g L z 4 8 R W 5 0 c n k g V H l w Z T 0 i R m l s b E V y c m 9 y Q 2 9 k Z S I g V m F s d W U 9 I n N V b m t u b 3 d u I i A v P j x F b n R y e S B U e X B l P S J G a W x s R X J y b 3 J D b 3 V u d C I g V m F s d W U 9 I m w w I i A v P j x F b n R y e S B U e X B l P S J G a W x s T G F z d F V w Z G F 0 Z W Q i I F Z h b H V l P S J k M j A y M i 0 w N i 0 w N 1 Q w N j o y O T o x M S 4 z N T Q 3 N T c z W i I g L z 4 8 R W 5 0 c n k g V H l w Z T 0 i R m l s b E N v b H V t b l R 5 c G V z I i B W Y W x 1 Z T 0 i c 0 J n W U Y i I C 8 + P E V u d H J 5 I F R 5 c G U 9 I k Z p b G x D b 2 x 1 b W 5 O Y W 1 l c y I g V m F s d W U 9 I n N b J n F 1 b 3 Q 7 T W l s b G l l c n M g R V V S J n F 1 b 3 Q 7 L C Z x d W 9 0 O 0 F 0 d H J p Y n V 0 J n F 1 b 3 Q 7 L C Z x d W 9 0 O 1 Z h b G V 1 c 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H c m 9 1 c E l E I i B W Y W x 1 Z T 0 i c z F k M z I 2 M z E y L T A y Y T E t N D l k N S 1 h Y z d h L T R m Y m E 1 O D Z m O G F i Y i I g L z 4 8 R W 5 0 c n k g V H l w Z T 0 i U X V l c n l J R C I g V m F s d W U 9 I n M 4 O D c 0 N D R l N y 0 4 Z T d k L T Q 5 N m Q t O T M 1 N S 0 3 Z m N m M D U 1 N z B l N G Q i I C 8 + P E V u d H J 5 I F R 5 c G U 9 I l J l b G F 0 a W 9 u c 2 h p c E l u Z m 9 D b 2 5 0 Y W l u Z X I i I F Z h b H V l P S J z e y Z x d W 9 0 O 2 N v b H V t b k N v d W 5 0 J n F 1 b 3 Q 7 O j M s J n F 1 b 3 Q 7 a 2 V 5 Q 2 9 s d W 1 u T m F t Z X M m c X V v d D s 6 W 1 0 s J n F 1 b 3 Q 7 c X V l c n l S Z W x h d G l v b n N o a X B z J n F 1 b 3 Q 7 O l t d L C Z x d W 9 0 O 2 N v b H V t b k l k Z W 5 0 a X R p Z X M m c X V v d D s 6 W y Z x d W 9 0 O 1 N l Y 3 R p b 2 4 x L 1 R h Y m x l I D A v Q X V 0 b 1 J l b W 9 2 Z W R D b 2 x 1 b W 5 z M S 5 7 T W l s b G l l c n M g R V V S L D B 9 J n F 1 b 3 Q 7 L C Z x d W 9 0 O 1 N l Y 3 R p b 2 4 x L 1 R h Y m x l I D A v Q X V 0 b 1 J l b W 9 2 Z W R D b 2 x 1 b W 5 z M S 5 7 Q X R 0 c m l i d X Q s M X 0 m c X V v d D s s J n F 1 b 3 Q 7 U 2 V j d G l v b j E v V G F i b G U g M C 9 B d X R v U m V t b 3 Z l Z E N v b H V t b n M x L n t W Y W x l d X I s M n 0 m c X V v d D t d L C Z x d W 9 0 O 0 N v b H V t b k N v d W 5 0 J n F 1 b 3 Q 7 O j M s J n F 1 b 3 Q 7 S 2 V 5 Q 2 9 s d W 1 u T m F t Z X M m c X V v d D s 6 W 1 0 s J n F 1 b 3 Q 7 Q 2 9 s d W 1 u S W R l b n R p d G l l c y Z x d W 9 0 O z p b J n F 1 b 3 Q 7 U 2 V j d G l v b j E v V G F i b G U g M C 9 B d X R v U m V t b 3 Z l Z E N v b H V t b n M x L n t N a W x s a W V y c y B F V V I s M H 0 m c X V v d D s s J n F 1 b 3 Q 7 U 2 V j d G l v b j E v V G F i b G U g M C 9 B d X R v U m V t b 3 Z l Z E N v b H V t b n M x L n t B d H R y a W J 1 d C w x f S Z x d W 9 0 O y w m c X V v d D t T Z W N 0 a W 9 u M S 9 U Y W J s Z S A w L 0 F 1 d G 9 S Z W 1 v d m V k Q 2 9 s d W 1 u c z E u e 1 Z h b G V 1 c i w y 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U a X R y Z 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i 0 w N i 0 w N 1 Q w N j o y O T o w O C 4 z M z M w N j Q 1 W i I g L z 4 8 R W 5 0 c n k g V H l w Z T 0 i R m l s b G V k Q 2 9 t c G x l d G V S Z X N 1 b H R U b 1 d v c m t z a G V l d C I g V m F s d W U 9 I m w w I i A v P j x F b n R y e S B U e X B l P S J G a W x s U 3 R h d H V z I i B W Y W x 1 Z T 0 i c 0 N v b X B s Z X R l I i A v P j x F b n R y e S B U e X B l P S J G a W x s V G 9 E Y X R h T W 9 k Z W x F b m F i b G V k I i B W Y W x 1 Z T 0 i b D A i I C 8 + P E V u d H J 5 I F R 5 c G U 9 I k l z U H J p d m F 0 Z S I g V m F s d W U 9 I m w w I i A v P j x F b n R y e S B U e X B l P S J R d W V y e U d y b 3 V w S U Q i I F Z h b H V l P S J z M W Q z M j Y z M T I t M D J h M S 0 0 O W Q 1 L W F j N 2 E t N G Z i Y T U 4 N m Y 4 Y W J i I i A v P j x F b n R y e S B U e X B l P S J S Z X N 1 b H R U e X B l I i B W Y W x 1 Z T 0 i c 1 R l e H Q i I C 8 + P E V u d H J 5 I F R 5 c G U 9 I k 5 h d m l n Y X R p b 2 5 T d G V w T m F t Z S I g V m F s d W U 9 I n N O Y X Z p Z 2 F 0 a W 9 u I i A v P j x F b n R y e S B U e X B l P S J G a W x s T 2 J q Z W N 0 V H l w Z S I g V m F s d W U 9 I n N D b 2 5 u Z W N 0 a W 9 u T 2 5 s e S I g L z 4 8 R W 5 0 c n k g V H l w Z T 0 i T G 9 h Z F R v U m V w b 3 J 0 R G l z Y W J s Z W Q i I F Z h b H V l P S J s M S I g L z 4 8 R W 5 0 c n k g V H l w Z T 0 i U X V l c n l J R C I g V m F s d W U 9 I n N j Y 2 I 3 Y 2 Q z M y 0 2 Y z l i L T Q 3 M T E t Y j U y O S 1 k Y j R i N T R k Y T I 1 Y z U i I C 8 + P C 9 T d G F i b G V F b n R y a W V z P j w v S X R l b T 4 8 S X R l b T 4 8 S X R l b U x v Y 2 F 0 a W 9 u P j x J d G V t V H l w Z T 5 G b 3 J t d W x h P C 9 J d G V t V H l w Z T 4 8 S X R l b V B h d G g + U 2 V j d G l v b j E v T G l z d G U l M j B 2 Y W x l d X I 8 L 0 l 0 Z W 1 Q Y X R o P j w v S X R l b U x v Y 2 F 0 a W 9 u P j x T d G F i b G V F b n R y a W V z P j x F b n R y e S B U e X B l P S J B Z G R l Z F R v R G F 0 Y U 1 v Z G V s I i B W Y W x 1 Z T 0 i b D A i I C 8 + P E V u d H J 5 I F R 5 c G U 9 I k J 1 Z m Z l c k 5 l e H R S Z W Z y Z X N o I i B W Y W x 1 Z T 0 i b D E i I C 8 + P E V u d H J 5 I F R 5 c G U 9 I k Z p b G x D b 3 V u d C I g V m F s d W U 9 I m w z I i A v P j x F b n R y e S B U e X B l P S J G a W x s R W 5 h Y m x l Z C I g V m F s d W U 9 I m w w I i A v P j x F b n R y e S B U e X B l P S J G a W x s R X J y b 3 J D b 2 R l I i B W Y W x 1 Z T 0 i c 1 V u a 2 5 v d 2 4 i I C 8 + P E V u d H J 5 I F R 5 c G U 9 I k Z p b G x F c n J v c k N v d W 5 0 I i B W Y W x 1 Z T 0 i b D A i I C 8 + P E V u d H J 5 I F R 5 c G U 9 I k Z p b G x M Y X N 0 V X B k Y X R l Z C I g V m F s d W U 9 I m Q y M D I y L T A 2 L T A 3 V D A 2 O j I 5 O j E w L j M z O D g 5 N z h a I i A v P j x F b n R y e S B U e X B l P S J G a W x s Q 2 9 s d W 1 u V H l w Z X M i I F Z h b H V l P S J z Q U E 9 P S I g L z 4 8 R W 5 0 c n k g V H l w Z T 0 i R m l s b E N v b H V t b k 5 h b W V z I i B W Y W x 1 Z T 0 i c 1 s m c X V v d D t M a X N 0 Z S B 2 Y W x l d X 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s J n F 1 b 3 Q 7 a 2 V 5 Q 2 9 s d W 1 u T m F t Z X M m c X V v d D s 6 W 1 0 s J n F 1 b 3 Q 7 c X V l c n l S Z W x h d G l v b n N o a X B z J n F 1 b 3 Q 7 O l t d L C Z x d W 9 0 O 2 N v b H V t b k l k Z W 5 0 a X R p Z X M m c X V v d D s 6 W y Z x d W 9 0 O 1 N l Y 3 R p b 2 4 x L 0 x p c 3 R l I H Z h b G V 1 c i 9 B d X R v U m V t b 3 Z l Z E N v b H V t b n M x L n t M a X N 0 Z S B 2 Y W x l d X I s M H 0 m c X V v d D t d L C Z x d W 9 0 O 0 N v b H V t b k N v d W 5 0 J n F 1 b 3 Q 7 O j E s J n F 1 b 3 Q 7 S 2 V 5 Q 2 9 s d W 1 u T m F t Z X M m c X V v d D s 6 W 1 0 s J n F 1 b 3 Q 7 Q 2 9 s d W 1 u S W R l b n R p d G l l c y Z x d W 9 0 O z p b J n F 1 b 3 Q 7 U 2 V j d G l v b j E v T G l z d G U g d m F s Z X V y L 0 F 1 d G 9 S Z W 1 v d m V k Q 2 9 s d W 1 u c z E u e 0 x p c 3 R l I H Z h b G V 1 c i w w f S Z x d W 9 0 O 1 0 s J n F 1 b 3 Q 7 U m V s Y X R p b 2 5 z a G l w S W 5 m b y Z x d W 9 0 O z p b X X 0 i I C 8 + P E V u d H J 5 I F R 5 c G U 9 I l J l c 3 V s d F R 5 c G U i I F Z h b H V l P S J z T G l z d C I g L z 4 8 R W 5 0 c n k g V H l w Z T 0 i T m F 2 a W d h d G l v b l N 0 Z X B O Y W 1 l I i B W Y W x 1 Z T 0 i c 0 5 h d m l n Y X R p b 2 4 i I C 8 + P E V u d H J 5 I F R 5 c G U 9 I k Z p b G x P Y m p l Y 3 R U e X B l I i B W Y W x 1 Z T 0 i c 0 N v b m 5 l Y 3 R p b 2 5 P b m x 5 I i A v P j x F b n R y e S B U e X B l P S J O Y W 1 l V X B k Y X R l Z E F m d G V y R m l s b C I g V m F s d W U 9 I m w w I i A v P j x F b n R y e S B U e X B l P S J R d W V y e U l E I i B W Y W x 1 Z T 0 i c z l i N W Y 4 Y W J l L T I 0 M G Y t N D B j N S 1 h M T l h L W J j Z D k 3 M D E z N z k y M y I g L z 4 8 L 1 N 0 Y W J s Z U V u d H J p Z X M + P C 9 J d G V t P j x J d G V t P j x J d G V t T G 9 j Y X R p b 2 4 + P E l 0 Z W 1 U e X B l P k Z v c m 1 1 b G E 8 L 0 l 0 Z W 1 U e X B l P j x J d G V t U G F 0 a D 5 T Z W N 0 a W 9 u M S 9 U Y W J s Z S U y M H Z h b G V 1 c j w v S X R l b V B h d G g + P C 9 J d G V t T G 9 j Y X R p b 2 4 + P F N 0 Y W J s Z U V u d H J p Z X M + P E V u d H J 5 I F R 5 c G U 9 I k F k Z G V k V G 9 E Y X R h T W 9 k Z W w i I F Z h b H V l P S J s M C I g L z 4 8 R W 5 0 c n k g V H l w Z T 0 i T m F 2 a W d h d G l v b l N 0 Z X B O Y W 1 l I i B W Y W x 1 Z T 0 i c 0 5 h d m l n Y X R p b 2 4 i I C 8 + P E V u d H J 5 I F R 5 c G U 9 I k Z p b G x D b 3 V u d C I g V m F s d W U 9 I m w x M i I g L z 4 8 R W 5 0 c n k g V H l w Z T 0 i R m l s b E V u Y W J s Z W Q i I F Z h b H V l P S J s M C I g L z 4 8 R W 5 0 c n k g V H l w Z T 0 i R m l s b E V y c m 9 y Q 2 9 k Z S I g V m F s d W U 9 I n N V b m t u b 3 d u I i A v P j x F b n R y e S B U e X B l P S J G a W x s R X J y b 3 J D b 3 V u d C I g V m F s d W U 9 I m w w I i A v P j x F b n R y e S B U e X B l P S J G a W x s T G F z d F V w Z G F 0 Z W Q i I F Z h b H V l P S J k M j A y M i 0 w N i 0 w N 1 Q w N j o y O T o x N i 4 0 M T M 4 M T U z W i I g L z 4 8 R W 5 0 c n k g V H l w Z T 0 i R m l s b E N v b H V t b l R 5 c G V z I i B W Y W x 1 Z T 0 i c 0 F B Q U F B Q T 0 9 I i A v P j x F b n R y e S B U e X B l P S J G a W x s Q 2 9 s d W 1 u T m F t Z X M i I F Z h b H V l P S J z W y Z x d W 9 0 O 1 Z h b G V 1 c i Z x d W 9 0 O y w m c X V v d D t E w 6 l 0 Y W l s c y 5 N a W x s a W V y c y B F V V I m c X V v d D s s J n F 1 b 3 Q 7 R M O p d G F p b H M u Q X R 0 c m l i d X Q m c X V v d D s s J n F 1 b 3 Q 7 R M O p d G F p b H M u V m F s Z X V 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0 L C Z x d W 9 0 O 2 t l e U N v b H V t b k 5 h b W V z J n F 1 b 3 Q 7 O l t d L C Z x d W 9 0 O 3 F 1 Z X J 5 U m V s Y X R p b 2 5 z a G l w c y Z x d W 9 0 O z p b X S w m c X V v d D t j b 2 x 1 b W 5 J Z G V u d G l 0 a W V z J n F 1 b 3 Q 7 O l s m c X V v d D t T Z W N 0 a W 9 u M S 9 U Y W J s Z S B 2 Y W x l d X I v Q X V 0 b 1 J l b W 9 2 Z W R D b 2 x 1 b W 5 z M S 5 7 V m F s Z X V y L D B 9 J n F 1 b 3 Q 7 L C Z x d W 9 0 O 1 N l Y 3 R p b 2 4 x L 1 R h Y m x l I H Z h b G V 1 c i 9 B d X R v U m V t b 3 Z l Z E N v b H V t b n M x L n t E w 6 l 0 Y W l s c y 5 N a W x s a W V y c y B F V V I s M X 0 m c X V v d D s s J n F 1 b 3 Q 7 U 2 V j d G l v b j E v V G F i b G U g d m F s Z X V y L 0 F 1 d G 9 S Z W 1 v d m V k Q 2 9 s d W 1 u c z E u e 0 T D q X R h a W x z L k F 0 d H J p Y n V 0 L D J 9 J n F 1 b 3 Q 7 L C Z x d W 9 0 O 1 N l Y 3 R p b 2 4 x L 1 R h Y m x l I H Z h b G V 1 c i 9 B d X R v U m V t b 3 Z l Z E N v b H V t b n M x L n t E w 6 l 0 Y W l s c y 5 W Y W x l d X I s M 3 0 m c X V v d D t d L C Z x d W 9 0 O 0 N v b H V t b k N v d W 5 0 J n F 1 b 3 Q 7 O j Q s J n F 1 b 3 Q 7 S 2 V 5 Q 2 9 s d W 1 u T m F t Z X M m c X V v d D s 6 W 1 0 s J n F 1 b 3 Q 7 Q 2 9 s d W 1 u S W R l b n R p d G l l c y Z x d W 9 0 O z p b J n F 1 b 3 Q 7 U 2 V j d G l v b j E v V G F i b G U g d m F s Z X V y L 0 F 1 d G 9 S Z W 1 v d m V k Q 2 9 s d W 1 u c z E u e 1 Z h b G V 1 c i w w f S Z x d W 9 0 O y w m c X V v d D t T Z W N 0 a W 9 u M S 9 U Y W J s Z S B 2 Y W x l d X I v Q X V 0 b 1 J l b W 9 2 Z W R D b 2 x 1 b W 5 z M S 5 7 R M O p d G F p b H M u T W l s b G l l c n M g R V V S L D F 9 J n F 1 b 3 Q 7 L C Z x d W 9 0 O 1 N l Y 3 R p b 2 4 x L 1 R h Y m x l I H Z h b G V 1 c i 9 B d X R v U m V t b 3 Z l Z E N v b H V t b n M x L n t E w 6 l 0 Y W l s c y 5 B d H R y a W J 1 d C w y f S Z x d W 9 0 O y w m c X V v d D t T Z W N 0 a W 9 u M S 9 U Y W J s Z S B 2 Y W x l d X I v Q X V 0 b 1 J l b W 9 2 Z W R D b 2 x 1 b W 5 z M S 5 7 R M O p d G F p b H M u V m F s Z X V y L D N 9 J n F 1 b 3 Q 7 X S w m c X V v d D t S Z W x h d G l v b n N o a X B J b m Z v J n F 1 b 3 Q 7 O l t d f S 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R d W V y e U l E I i B W Y W x 1 Z T 0 i c z A 4 N G M 2 Z j l h L T I 0 Z D A t N D N m Z C 0 5 N 2 M w L W R h M 2 J k Y m Z h M m R j Y y I g L z 4 8 L 1 N 0 Y W J s Z U V u d H J p Z X M + P C 9 J d G V t P j x J d G V t P j x J d G V t T G 9 j Y X R p b 2 4 + P E l 0 Z W 1 U e X B l P k Z v c m 1 1 b G E 8 L 0 l 0 Z W 1 U e X B l P j x J d G V t U G F 0 a D 5 T Z W N 0 a W 9 u M S 9 G c m 9 t Q m 9 1 c n N v c m F t Y 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i 0 w N i 0 w N 1 Q w N j o y O T o w O C 4 1 M T U 0 M T g 4 W i I g L z 4 8 R W 5 0 c n k g V H l w Z T 0 i R m l s b G V k Q 2 9 t c G x l d G V S Z X N 1 b H R U b 1 d v c m t z a G V l d C I g V m F s d W U 9 I m w w I i A v P j x F b n R y e S B U e X B l P S J G a W x s U 3 R h d H V z I i B W Y W x 1 Z T 0 i c 0 N v b X B s Z X R l I i A v P j x F b n R y e S B U e X B l P S J G a W x s V G 9 E Y X R h T W 9 k Z W x F b m F i b G V k I i B W Y W x 1 Z T 0 i b D A i I C 8 + P E V u d H J 5 I F R 5 c G U 9 I l F 1 Z X J 5 R 3 J v d X B J R C I g V m F s d W U 9 I n M x Z D M y N j M x M i 0 w M m E x L T Q 5 Z D U t Y W M 3 Y S 0 0 Z m J h N T g 2 Z j h h Y m I i I C 8 + P E V u d H J 5 I F R 5 c G U 9 I l J l c 3 V s d F R 5 c G U i I F Z h b H V l P S J z R n V u Y 3 R p b 2 4 i I C 8 + P E V u d H J 5 I F R 5 c G U 9 I k 5 h d m l n Y X R p b 2 5 T d G V w T m F t Z S I g V m F s d W U 9 I n N O Y X Z p Z 2 F 0 a W 9 u I i A v P j x F b n R y e S B U e X B l P S J G a W x s T 2 J q Z W N 0 V H l w Z S I g V m F s d W U 9 I n N D b 2 5 u Z W N 0 a W 9 u T 2 5 s e S I g L z 4 8 R W 5 0 c n k g V H l w Z T 0 i U X V l c n l J R C I g V m F s d W U 9 I n M 4 M j F i Y W U 5 O C 0 5 Z T M 5 L T Q 1 M W Y t O D Y x Y i 0 w N D c 4 Z D A 2 M j c 2 Z m I i I C 8 + P C 9 T d G F i b G V F b n R y a W V z P j w v S X R l b T 4 8 S X R l b T 4 8 S X R l b U x v Y 2 F 0 a W 9 u P j x J d G V t V H l w Z T 5 G b 3 J t d W x h P C 9 J d G V t V H l w Z T 4 8 S X R l b V B h d G g + U 2 V j d G l v b j E v U 2 V j d G V 1 c i U y M H B h c i U y M G 1 h c m d l J T I w K D I p P C 9 J d G V t U G F 0 a D 4 8 L 0 l 0 Z W 1 M b 2 N h d G l v b j 4 8 U 3 R h Y m x l R W 5 0 c m l l c z 4 8 R W 5 0 c n k g V H l w Z T 0 i T m F 2 a W d h d G l v b l N 0 Z X B O Y W 1 l I i B W Y W x 1 Z T 0 i c 0 5 h d m l n Y X R p b 2 4 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M 0 M D d j Z j Q 3 Y i 0 5 Z T E z L T Q x N j U t Y T V l Y S 1 l O T U 3 Z D B h Y T A 5 O D g i I C 8 + P E V u d H J 5 I F R 5 c G U 9 I l J l Y 2 9 2 Z X J 5 V G F y Z 2 V 0 Q 2 9 s d W 1 u I i B W Y W x 1 Z T 0 i b D E i I C 8 + P E V u d H J 5 I F R 5 c G U 9 I l J l Y 2 9 2 Z X J 5 V G F y Z 2 V 0 U m 9 3 I i B W Y W x 1 Z T 0 i b D E i I C 8 + P E V u d H J 5 I F R 5 c G U 9 I l J l Y 2 9 2 Z X J 5 V G F y Z 2 V 0 U 2 h l Z X Q i I F Z h b H V l P S J z U 2 V j d G V 1 c i B y Z W Z v b n R l I G V u I G N v d X J z I i A v P j x F b n R y e S B U e X B l P S J O Y W 1 l V X B k Y X R l Z E F m d G V y R m l s b C I g V m F s d W U 9 I m w w I i A v P j x F b n R y e S B U e X B l P S J C d W Z m Z X J O Z X h 0 U m V m c m V z a C I g V m F s d W U 9 I m w x I i A v P j x F b n R y e S B U e X B l P S J G a W x s T 2 J q Z W N 0 V H l w Z S I g V m F s d W U 9 I n N U Y W J s Z S I g L z 4 8 R W 5 0 c n k g V H l w Z T 0 i U m V z d W x 0 V H l w Z S I g V m F s d W U 9 I n N U Y W J s Z S I g L z 4 8 R W 5 0 c n k g V H l w Z T 0 i R m l s b F R h c m d l d C I g V m F s d W U 9 I n N T Z W N 0 Z X V y X 3 B h c l 9 t Y X J n Z V 9 f M i I g L z 4 8 R W 5 0 c n k g V H l w Z T 0 i T G 9 h Z G V k V G 9 B b m F s e X N p c 1 N l c n Z p Y 2 V z I i B W Y W x 1 Z T 0 i b D A i I C 8 + P E V u d H J 5 I F R 5 c G U 9 I k Z p b G x F c n J v c k N v d W 5 0 I i B W Y W x 1 Z T 0 i b D U w I i A v P j x F b n R y e S B U e X B l P S J G a W x s R X J y b 3 J D b 2 R l I i B W Y W x 1 Z T 0 i c 1 V u a 2 5 v d 2 4 i I C 8 + P E V u d H J 5 I F R 5 c G U 9 I k Z p b G x M Y X N 0 V X B k Y X R l Z C I g V m F s d W U 9 I m Q y M D I z L T A 5 L T I x V D E z O j M 3 O j A 4 L j Q 4 N T g 2 N j R a I i A v P j x F b n R y e S B U e X B l P S J G a W x s Q 2 9 s d W 1 u V H l w Z X M i I F Z h b H V l P S J z Q m d B R 0 J n W V J C U V l B Q m d B R E F B Q U F B Q U F B Q U F B Q U F B Q U F B Q U F B Q U F B Q U F B Q U F B Q U F B Q U F B Q U J R P T 0 i I C 8 + P E V u d H J 5 I F R 5 c G U 9 I k Z p b G x D b 2 x 1 b W 5 O Y W 1 l c y I g V m F s d W U 9 I n N b J n F 1 b 3 Q 7 R 3 J h b m Q g U 2 V j d G V 1 c i Z x d W 9 0 O y w m c X V v d D t O b 3 R h d G l v b i B w Y X I g Y W d l b m N l I C Z x d W 9 0 O y w m c X V v d D t J b m R 1 c 3 R y a W U m c X V v d D s s J n F 1 b 3 Q 7 U 2 V j d G V 1 c n M m c X V v d D s s J n F 1 b 3 Q 7 T G l z d G U g Z G V z I H N v Y 2 n D q X T D q X M m c X V v d D s s J n F 1 b 3 Q 7 Q 2 F w a X R h b G l z Y X R p b 2 4 g Y m 9 1 c n N p w 6 h y Z S Z x d W 9 0 O y w m c X V v d D t N Y X J n Z S B P U C A o M j A y M S k m c X V v d D s s J n F 1 b 3 Q 7 V m F s Z X V y I E F q b 3 V 0 w 6 l l J n F 1 b 3 Q 7 L C Z x d W 9 0 O 0 V C R S A y M D I y J n F 1 b 3 Q 7 L C Z x d W 9 0 O 1 R l b m R h b m N l I G x v b m c t d G V y b W U m c X V v d D s s J n F 1 b 3 Q 7 Q 2 9 u Y 3 V y c m V u Y 2 U m c X V v d D s s J n F 1 b 3 Q 7 Q W 5 h b H l z w 6 l l X G 4 x I D 0 g T 3 V p X G 4 w I D 0 g T m 9 u J n F 1 b 3 Q 7 L C Z x d W 9 0 O 0 J h c n J p w 6 h y Z S D D o C B s X H U w M D I 3 Z W 5 0 c s O p Z S Z x d W 9 0 O y w m c X V v d D t F U 0 c m c X V v d D s s J n F 1 b 3 Q 7 U C 9 F M i Z x d W 9 0 O y w m c X V v d D t S T i B H c m 9 1 c G U g M j A y M y Z x d W 9 0 O y w m c X V v d D t S T i B H c m 9 1 c G U g M j A y M i Z x d W 9 0 O y w m c X V v d D t S T i B H c m 9 1 c G U g M j A y M l x u T W F u d W V s J n F 1 b 3 Q 7 L C Z x d W 9 0 O 1 J O I E d y b 3 V w Z S A y M D I x J n F 1 b 3 Q 7 L C Z x d W 9 0 O 1 J O I E d y b 3 V w Z S A y M D I x X G 5 N Y W 5 1 Z W w m c X V v d D s s J n F 1 b 3 Q 7 U k 4 g R 3 J v d X B l I D I w M j A m c X V v d D s s J n F 1 b 3 Q 7 U k 4 g R 3 J v d X B l I D I w M T k m c X V v d D s s J n F 1 b 3 Q 7 U k 4 g R 3 J v d X B l I D I w M T g m c X V v d D s s J n F 1 b 3 Q 7 U k 4 g R 3 J v d X B l I D I w M T c m c X V v d D s s J n F 1 b 3 Q 7 U k 4 g R 3 J v d X B l I D I w M T Y m c X V v d D s s J n F 1 b 3 Q 7 U E V S I D I w M j E m c X V v d D s s J n F 1 b 3 Q 7 U 2 9 1 c y B z Z W N 0 Z X V y J n F 1 b 3 Q 7 L C Z x d W 9 0 O 0 l u Z G l j Z S Z x d W 9 0 O y w m c X V v d D t D Y X B p d G F s a X N h d G l v b i A y M D E 2 J n F 1 b 3 Q 7 L C Z x d W 9 0 O 0 N h c G l 0 Y W x p c 2 F 0 a W 9 u I D I w M T c m c X V v d D s s J n F 1 b 3 Q 7 Q 2 F w a X R h b G l z Y X R p b 2 4 g M j A x O C Z x d W 9 0 O y w m c X V v d D t D Y X B p d G F s a X N h d G l v b i A y M D E 5 J n F 1 b 3 Q 7 L C Z x d W 9 0 O 0 N h c G l 0 Y W x p c 2 F 0 a W 9 u I D I w M j A m c X V v d D s s J n F 1 b 3 Q 7 Q 2 F w a X R h b G l z Y X R p b 2 4 g M j A y M S Z x d W 9 0 O y w m c X V v d D t D Y X B p d G F s a X N h d G l v b i A y M D I x X G 5 N Y W 5 1 Z W w m c X V v d D s s J n F 1 b 3 Q 7 Q 2 F w a X R h b G l z Y X R p b 2 4 g M j A y M i Z x d W 9 0 O y w m c X V v d D t D Y X B p d G F s a X N h d G l v b i A y M D I y X G 5 N Y W 5 1 Z W w m c X V v d D s s J n F 1 b 3 Q 7 Q 2 F w a X R h b G l z Y X R p b 2 4 g M j A y M y Z x d W 9 0 O y w m c X V v d D t E Z X N j c m l w d G l v b i Z x d W 9 0 O y w m c X V v d D t Q Z X J z b 2 5 u Y W x p c 8 O p J n F 1 b 3 Q 7 X S I g L z 4 8 R W 5 0 c n k g V H l w Z T 0 i R m l s b E N v d W 5 0 I i B W Y W x 1 Z T 0 i b D M x N S 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2 V j d G V 1 c i B w Y X I g b W F y Z 2 U g K D I p L 0 F 1 d G 9 S Z W 1 v d m V k Q 2 9 s d W 1 u c z E u e 0 d y Y W 5 k I F N l Y 3 R l d X I s M H 0 m c X V v d D s s J n F 1 b 3 Q 7 U 2 V j d G l v b j E v U 2 V j d G V 1 c i B w Y X I g b W F y Z 2 U g K D I p L 0 F 1 d G 9 S Z W 1 v d m V k Q 2 9 s d W 1 u c z E u e 0 5 v d G F 0 a W 9 u I H B h c i B h Z 2 V u Y 2 U g L D F 9 J n F 1 b 3 Q 7 L C Z x d W 9 0 O 1 N l Y 3 R p b 2 4 x L 1 N l Y 3 R l d X I g c G F y I G 1 h c m d l I C g y K S 9 B d X R v U m V t b 3 Z l Z E N v b H V t b n M x L n t J b m R 1 c 3 R y a W U s M n 0 m c X V v d D s s J n F 1 b 3 Q 7 U 2 V j d G l v b j E v U 2 V j d G V 1 c i B w Y X I g b W F y Z 2 U g K D I p L 0 F 1 d G 9 S Z W 1 v d m V k Q 2 9 s d W 1 u c z E u e 1 N l Y 3 R l d X J z L D N 9 J n F 1 b 3 Q 7 L C Z x d W 9 0 O 1 N l Y 3 R p b 2 4 x L 1 N l Y 3 R l d X I g c G F y I G 1 h c m d l I C g y K S 9 B d X R v U m V t b 3 Z l Z E N v b H V t b n M x L n t M a X N 0 Z S B k Z X M g c 2 9 j a c O p d M O p c y w 0 f S Z x d W 9 0 O y w m c X V v d D t T Z W N 0 a W 9 u M S 9 T Z W N 0 Z X V y I H B h c i B t Y X J n Z S A o M i k v Q X V 0 b 1 J l b W 9 2 Z W R D b 2 x 1 b W 5 z M S 5 7 Q 2 F w a X R h b G l z Y X R p b 2 4 g Y m 9 1 c n N p w 6 h y Z S w 1 f S Z x d W 9 0 O y w m c X V v d D t T Z W N 0 a W 9 u M S 9 T Z W N 0 Z X V y I H B h c i B t Y X J n Z S A o M i k v Q X V 0 b 1 J l b W 9 2 Z W R D b 2 x 1 b W 5 z M S 5 7 T W F y Z 2 U g T 1 A g K D I w M j E p L D Z 9 J n F 1 b 3 Q 7 L C Z x d W 9 0 O 1 N l Y 3 R p b 2 4 x L 1 N l Y 3 R l d X I g c G F y I G 1 h c m d l I C g y K S 9 B d X R v U m V t b 3 Z l Z E N v b H V t b n M x L n t W Y W x l d X I g Q W p v d X T D q W U s N 3 0 m c X V v d D s s J n F 1 b 3 Q 7 U 2 V j d G l v b j E v U 2 V j d G V 1 c i B w Y X I g b W F y Z 2 U g K D I p L 0 F 1 d G 9 S Z W 1 v d m V k Q 2 9 s d W 1 u c z E u e 0 V C R S A y M D I y L D h 9 J n F 1 b 3 Q 7 L C Z x d W 9 0 O 1 N l Y 3 R p b 2 4 x L 1 N l Y 3 R l d X I g c G F y I G 1 h c m d l I C g y K S 9 B d X R v U m V t b 3 Z l Z E N v b H V t b n M x L n t U Z W 5 k Y W 5 j Z S B s b 2 5 n L X R l c m 1 l L D l 9 J n F 1 b 3 Q 7 L C Z x d W 9 0 O 1 N l Y 3 R p b 2 4 x L 1 N l Y 3 R l d X I g c G F y I G 1 h c m d l I C g y K S 9 B d X R v U m V t b 3 Z l Z E N v b H V t b n M x L n t D b 2 5 j d X J y Z W 5 j Z S w x M H 0 m c X V v d D s s J n F 1 b 3 Q 7 U 2 V j d G l v b j E v U 2 V j d G V 1 c i B w Y X I g b W F y Z 2 U g K D I p L 0 F 1 d G 9 S Z W 1 v d m V k Q 2 9 s d W 1 u c z E u e 0 F u Y W x 5 c 8 O p Z V x u M S A 9 I E 9 1 a V x u M C A 9 I E 5 v b i w x M X 0 m c X V v d D s s J n F 1 b 3 Q 7 U 2 V j d G l v b j E v U 2 V j d G V 1 c i B w Y X I g b W F y Z 2 U g K D I p L 0 F 1 d G 9 S Z W 1 v d m V k Q 2 9 s d W 1 u c z E u e 0 J h c n J p w 6 h y Z S D D o C B s X H U w M D I 3 Z W 5 0 c s O p Z S w x M n 0 m c X V v d D s s J n F 1 b 3 Q 7 U 2 V j d G l v b j E v U 2 V j d G V 1 c i B w Y X I g b W F y Z 2 U g K D I p L 0 F 1 d G 9 S Z W 1 v d m V k Q 2 9 s d W 1 u c z E u e 0 V T R y w x M 3 0 m c X V v d D s s J n F 1 b 3 Q 7 U 2 V j d G l v b j E v U 2 V j d G V 1 c i B w Y X I g b W F y Z 2 U g K D I p L 0 F 1 d G 9 S Z W 1 v d m V k Q 2 9 s d W 1 u c z E u e 1 A v R T I s M T R 9 J n F 1 b 3 Q 7 L C Z x d W 9 0 O 1 N l Y 3 R p b 2 4 x L 1 N l Y 3 R l d X I g c G F y I G 1 h c m d l I C g y K S 9 B d X R v U m V t b 3 Z l Z E N v b H V t b n M x L n t S T i B H c m 9 1 c G U g M j A y M y w x N X 0 m c X V v d D s s J n F 1 b 3 Q 7 U 2 V j d G l v b j E v U 2 V j d G V 1 c i B w Y X I g b W F y Z 2 U g K D I p L 0 F 1 d G 9 S Z W 1 v d m V k Q 2 9 s d W 1 u c z E u e 1 J O I E d y b 3 V w Z S A y M D I y L D E 2 f S Z x d W 9 0 O y w m c X V v d D t T Z W N 0 a W 9 u M S 9 T Z W N 0 Z X V y I H B h c i B t Y X J n Z S A o M i k v Q X V 0 b 1 J l b W 9 2 Z W R D b 2 x 1 b W 5 z M S 5 7 U k 4 g R 3 J v d X B l I D I w M j J c b k 1 h b n V l b C w x N 3 0 m c X V v d D s s J n F 1 b 3 Q 7 U 2 V j d G l v b j E v U 2 V j d G V 1 c i B w Y X I g b W F y Z 2 U g K D I p L 0 F 1 d G 9 S Z W 1 v d m V k Q 2 9 s d W 1 u c z E u e 1 J O I E d y b 3 V w Z S A y M D I x L D E 4 f S Z x d W 9 0 O y w m c X V v d D t T Z W N 0 a W 9 u M S 9 T Z W N 0 Z X V y I H B h c i B t Y X J n Z S A o M i k v Q X V 0 b 1 J l b W 9 2 Z W R D b 2 x 1 b W 5 z M S 5 7 U k 4 g R 3 J v d X B l I D I w M j F c b k 1 h b n V l b C w x O X 0 m c X V v d D s s J n F 1 b 3 Q 7 U 2 V j d G l v b j E v U 2 V j d G V 1 c i B w Y X I g b W F y Z 2 U g K D I p L 0 F 1 d G 9 S Z W 1 v d m V k Q 2 9 s d W 1 u c z E u e 1 J O I E d y b 3 V w Z S A y M D I w L D I w f S Z x d W 9 0 O y w m c X V v d D t T Z W N 0 a W 9 u M S 9 T Z W N 0 Z X V y I H B h c i B t Y X J n Z S A o M i k v Q X V 0 b 1 J l b W 9 2 Z W R D b 2 x 1 b W 5 z M S 5 7 U k 4 g R 3 J v d X B l I D I w M T k s M j F 9 J n F 1 b 3 Q 7 L C Z x d W 9 0 O 1 N l Y 3 R p b 2 4 x L 1 N l Y 3 R l d X I g c G F y I G 1 h c m d l I C g y K S 9 B d X R v U m V t b 3 Z l Z E N v b H V t b n M x L n t S T i B H c m 9 1 c G U g M j A x O C w y M n 0 m c X V v d D s s J n F 1 b 3 Q 7 U 2 V j d G l v b j E v U 2 V j d G V 1 c i B w Y X I g b W F y Z 2 U g K D I p L 0 F 1 d G 9 S Z W 1 v d m V k Q 2 9 s d W 1 u c z E u e 1 J O I E d y b 3 V w Z S A y M D E 3 L D I z f S Z x d W 9 0 O y w m c X V v d D t T Z W N 0 a W 9 u M S 9 T Z W N 0 Z X V y I H B h c i B t Y X J n Z S A o M i k v Q X V 0 b 1 J l b W 9 2 Z W R D b 2 x 1 b W 5 z M S 5 7 U k 4 g R 3 J v d X B l I D I w M T Y s M j R 9 J n F 1 b 3 Q 7 L C Z x d W 9 0 O 1 N l Y 3 R p b 2 4 x L 1 N l Y 3 R l d X I g c G F y I G 1 h c m d l I C g y K S 9 B d X R v U m V t b 3 Z l Z E N v b H V t b n M x L n t Q R V I g M j A y M S w y N X 0 m c X V v d D s s J n F 1 b 3 Q 7 U 2 V j d G l v b j E v U 2 V j d G V 1 c i B w Y X I g b W F y Z 2 U g K D I p L 0 F 1 d G 9 S Z W 1 v d m V k Q 2 9 s d W 1 u c z E u e 1 N v d X M g c 2 V j d G V 1 c i w y N n 0 m c X V v d D s s J n F 1 b 3 Q 7 U 2 V j d G l v b j E v U 2 V j d G V 1 c i B w Y X I g b W F y Z 2 U g K D I p L 0 F 1 d G 9 S Z W 1 v d m V k Q 2 9 s d W 1 u c z E u e 0 l u Z G l j Z S w y N 3 0 m c X V v d D s s J n F 1 b 3 Q 7 U 2 V j d G l v b j E v U 2 V j d G V 1 c i B w Y X I g b W F y Z 2 U g K D I p L 0 F 1 d G 9 S Z W 1 v d m V k Q 2 9 s d W 1 u c z E u e 0 N h c G l 0 Y W x p c 2 F 0 a W 9 u I D I w M T Y s M j h 9 J n F 1 b 3 Q 7 L C Z x d W 9 0 O 1 N l Y 3 R p b 2 4 x L 1 N l Y 3 R l d X I g c G F y I G 1 h c m d l I C g y K S 9 B d X R v U m V t b 3 Z l Z E N v b H V t b n M x L n t D Y X B p d G F s a X N h d G l v b i A y M D E 3 L D I 5 f S Z x d W 9 0 O y w m c X V v d D t T Z W N 0 a W 9 u M S 9 T Z W N 0 Z X V y I H B h c i B t Y X J n Z S A o M i k v Q X V 0 b 1 J l b W 9 2 Z W R D b 2 x 1 b W 5 z M S 5 7 Q 2 F w a X R h b G l z Y X R p b 2 4 g M j A x O C w z M H 0 m c X V v d D s s J n F 1 b 3 Q 7 U 2 V j d G l v b j E v U 2 V j d G V 1 c i B w Y X I g b W F y Z 2 U g K D I p L 0 F 1 d G 9 S Z W 1 v d m V k Q 2 9 s d W 1 u c z E u e 0 N h c G l 0 Y W x p c 2 F 0 a W 9 u I D I w M T k s M z F 9 J n F 1 b 3 Q 7 L C Z x d W 9 0 O 1 N l Y 3 R p b 2 4 x L 1 N l Y 3 R l d X I g c G F y I G 1 h c m d l I C g y K S 9 B d X R v U m V t b 3 Z l Z E N v b H V t b n M x L n t D Y X B p d G F s a X N h d G l v b i A y M D I w L D M y f S Z x d W 9 0 O y w m c X V v d D t T Z W N 0 a W 9 u M S 9 T Z W N 0 Z X V y I H B h c i B t Y X J n Z S A o M i k v Q X V 0 b 1 J l b W 9 2 Z W R D b 2 x 1 b W 5 z M S 5 7 Q 2 F w a X R h b G l z Y X R p b 2 4 g M j A y M S w z M 3 0 m c X V v d D s s J n F 1 b 3 Q 7 U 2 V j d G l v b j E v U 2 V j d G V 1 c i B w Y X I g b W F y Z 2 U g K D I p L 0 F 1 d G 9 S Z W 1 v d m V k Q 2 9 s d W 1 u c z E u e 0 N h c G l 0 Y W x p c 2 F 0 a W 9 u I D I w M j F c b k 1 h b n V l b C w z N H 0 m c X V v d D s s J n F 1 b 3 Q 7 U 2 V j d G l v b j E v U 2 V j d G V 1 c i B w Y X I g b W F y Z 2 U g K D I p L 0 F 1 d G 9 S Z W 1 v d m V k Q 2 9 s d W 1 u c z E u e 0 N h c G l 0 Y W x p c 2 F 0 a W 9 u I D I w M j I s M z V 9 J n F 1 b 3 Q 7 L C Z x d W 9 0 O 1 N l Y 3 R p b 2 4 x L 1 N l Y 3 R l d X I g c G F y I G 1 h c m d l I C g y K S 9 B d X R v U m V t b 3 Z l Z E N v b H V t b n M x L n t D Y X B p d G F s a X N h d G l v b i A y M D I y X G 5 N Y W 5 1 Z W w s M z Z 9 J n F 1 b 3 Q 7 L C Z x d W 9 0 O 1 N l Y 3 R p b 2 4 x L 1 N l Y 3 R l d X I g c G F y I G 1 h c m d l I C g y K S 9 B d X R v U m V t b 3 Z l Z E N v b H V t b n M x L n t D Y X B p d G F s a X N h d G l v b i A y M D I z L D M 3 f S Z x d W 9 0 O y w m c X V v d D t T Z W N 0 a W 9 u M S 9 T Z W N 0 Z X V y I H B h c i B t Y X J n Z S A o M i k v Q X V 0 b 1 J l b W 9 2 Z W R D b 2 x 1 b W 5 z M S 5 7 R G V z Y 3 J p c H R p b 2 4 s M z h 9 J n F 1 b 3 Q 7 L C Z x d W 9 0 O 1 N l Y 3 R p b 2 4 x L 1 N l Y 3 R l d X I g c G F y I G 1 h c m d l I C g y K S 9 B d X R v U m V t b 3 Z l Z E N v b H V t b n M x L n t Q Z X J z b 2 5 u Y W x p c 8 O p L D M 5 f S Z x d W 9 0 O 1 0 s J n F 1 b 3 Q 7 Q 2 9 s d W 1 u Q 2 9 1 b n Q m c X V v d D s 6 N D A s J n F 1 b 3 Q 7 S 2 V 5 Q 2 9 s d W 1 u T m F t Z X M m c X V v d D s 6 W 1 0 s J n F 1 b 3 Q 7 Q 2 9 s d W 1 u S W R l b n R p d G l l c y Z x d W 9 0 O z p b J n F 1 b 3 Q 7 U 2 V j d G l v b j E v U 2 V j d G V 1 c i B w Y X I g b W F y Z 2 U g K D I p L 0 F 1 d G 9 S Z W 1 v d m V k Q 2 9 s d W 1 u c z E u e 0 d y Y W 5 k I F N l Y 3 R l d X I s M H 0 m c X V v d D s s J n F 1 b 3 Q 7 U 2 V j d G l v b j E v U 2 V j d G V 1 c i B w Y X I g b W F y Z 2 U g K D I p L 0 F 1 d G 9 S Z W 1 v d m V k Q 2 9 s d W 1 u c z E u e 0 5 v d G F 0 a W 9 u I H B h c i B h Z 2 V u Y 2 U g L D F 9 J n F 1 b 3 Q 7 L C Z x d W 9 0 O 1 N l Y 3 R p b 2 4 x L 1 N l Y 3 R l d X I g c G F y I G 1 h c m d l I C g y K S 9 B d X R v U m V t b 3 Z l Z E N v b H V t b n M x L n t J b m R 1 c 3 R y a W U s M n 0 m c X V v d D s s J n F 1 b 3 Q 7 U 2 V j d G l v b j E v U 2 V j d G V 1 c i B w Y X I g b W F y Z 2 U g K D I p L 0 F 1 d G 9 S Z W 1 v d m V k Q 2 9 s d W 1 u c z E u e 1 N l Y 3 R l d X J z L D N 9 J n F 1 b 3 Q 7 L C Z x d W 9 0 O 1 N l Y 3 R p b 2 4 x L 1 N l Y 3 R l d X I g c G F y I G 1 h c m d l I C g y K S 9 B d X R v U m V t b 3 Z l Z E N v b H V t b n M x L n t M a X N 0 Z S B k Z X M g c 2 9 j a c O p d M O p c y w 0 f S Z x d W 9 0 O y w m c X V v d D t T Z W N 0 a W 9 u M S 9 T Z W N 0 Z X V y I H B h c i B t Y X J n Z S A o M i k v Q X V 0 b 1 J l b W 9 2 Z W R D b 2 x 1 b W 5 z M S 5 7 Q 2 F w a X R h b G l z Y X R p b 2 4 g Y m 9 1 c n N p w 6 h y Z S w 1 f S Z x d W 9 0 O y w m c X V v d D t T Z W N 0 a W 9 u M S 9 T Z W N 0 Z X V y I H B h c i B t Y X J n Z S A o M i k v Q X V 0 b 1 J l b W 9 2 Z W R D b 2 x 1 b W 5 z M S 5 7 T W F y Z 2 U g T 1 A g K D I w M j E p L D Z 9 J n F 1 b 3 Q 7 L C Z x d W 9 0 O 1 N l Y 3 R p b 2 4 x L 1 N l Y 3 R l d X I g c G F y I G 1 h c m d l I C g y K S 9 B d X R v U m V t b 3 Z l Z E N v b H V t b n M x L n t W Y W x l d X I g Q W p v d X T D q W U s N 3 0 m c X V v d D s s J n F 1 b 3 Q 7 U 2 V j d G l v b j E v U 2 V j d G V 1 c i B w Y X I g b W F y Z 2 U g K D I p L 0 F 1 d G 9 S Z W 1 v d m V k Q 2 9 s d W 1 u c z E u e 0 V C R S A y M D I y L D h 9 J n F 1 b 3 Q 7 L C Z x d W 9 0 O 1 N l Y 3 R p b 2 4 x L 1 N l Y 3 R l d X I g c G F y I G 1 h c m d l I C g y K S 9 B d X R v U m V t b 3 Z l Z E N v b H V t b n M x L n t U Z W 5 k Y W 5 j Z S B s b 2 5 n L X R l c m 1 l L D l 9 J n F 1 b 3 Q 7 L C Z x d W 9 0 O 1 N l Y 3 R p b 2 4 x L 1 N l Y 3 R l d X I g c G F y I G 1 h c m d l I C g y K S 9 B d X R v U m V t b 3 Z l Z E N v b H V t b n M x L n t D b 2 5 j d X J y Z W 5 j Z S w x M H 0 m c X V v d D s s J n F 1 b 3 Q 7 U 2 V j d G l v b j E v U 2 V j d G V 1 c i B w Y X I g b W F y Z 2 U g K D I p L 0 F 1 d G 9 S Z W 1 v d m V k Q 2 9 s d W 1 u c z E u e 0 F u Y W x 5 c 8 O p Z V x u M S A 9 I E 9 1 a V x u M C A 9 I E 5 v b i w x M X 0 m c X V v d D s s J n F 1 b 3 Q 7 U 2 V j d G l v b j E v U 2 V j d G V 1 c i B w Y X I g b W F y Z 2 U g K D I p L 0 F 1 d G 9 S Z W 1 v d m V k Q 2 9 s d W 1 u c z E u e 0 J h c n J p w 6 h y Z S D D o C B s X H U w M D I 3 Z W 5 0 c s O p Z S w x M n 0 m c X V v d D s s J n F 1 b 3 Q 7 U 2 V j d G l v b j E v U 2 V j d G V 1 c i B w Y X I g b W F y Z 2 U g K D I p L 0 F 1 d G 9 S Z W 1 v d m V k Q 2 9 s d W 1 u c z E u e 0 V T R y w x M 3 0 m c X V v d D s s J n F 1 b 3 Q 7 U 2 V j d G l v b j E v U 2 V j d G V 1 c i B w Y X I g b W F y Z 2 U g K D I p L 0 F 1 d G 9 S Z W 1 v d m V k Q 2 9 s d W 1 u c z E u e 1 A v R T I s M T R 9 J n F 1 b 3 Q 7 L C Z x d W 9 0 O 1 N l Y 3 R p b 2 4 x L 1 N l Y 3 R l d X I g c G F y I G 1 h c m d l I C g y K S 9 B d X R v U m V t b 3 Z l Z E N v b H V t b n M x L n t S T i B H c m 9 1 c G U g M j A y M y w x N X 0 m c X V v d D s s J n F 1 b 3 Q 7 U 2 V j d G l v b j E v U 2 V j d G V 1 c i B w Y X I g b W F y Z 2 U g K D I p L 0 F 1 d G 9 S Z W 1 v d m V k Q 2 9 s d W 1 u c z E u e 1 J O I E d y b 3 V w Z S A y M D I y L D E 2 f S Z x d W 9 0 O y w m c X V v d D t T Z W N 0 a W 9 u M S 9 T Z W N 0 Z X V y I H B h c i B t Y X J n Z S A o M i k v Q X V 0 b 1 J l b W 9 2 Z W R D b 2 x 1 b W 5 z M S 5 7 U k 4 g R 3 J v d X B l I D I w M j J c b k 1 h b n V l b C w x N 3 0 m c X V v d D s s J n F 1 b 3 Q 7 U 2 V j d G l v b j E v U 2 V j d G V 1 c i B w Y X I g b W F y Z 2 U g K D I p L 0 F 1 d G 9 S Z W 1 v d m V k Q 2 9 s d W 1 u c z E u e 1 J O I E d y b 3 V w Z S A y M D I x L D E 4 f S Z x d W 9 0 O y w m c X V v d D t T Z W N 0 a W 9 u M S 9 T Z W N 0 Z X V y I H B h c i B t Y X J n Z S A o M i k v Q X V 0 b 1 J l b W 9 2 Z W R D b 2 x 1 b W 5 z M S 5 7 U k 4 g R 3 J v d X B l I D I w M j F c b k 1 h b n V l b C w x O X 0 m c X V v d D s s J n F 1 b 3 Q 7 U 2 V j d G l v b j E v U 2 V j d G V 1 c i B w Y X I g b W F y Z 2 U g K D I p L 0 F 1 d G 9 S Z W 1 v d m V k Q 2 9 s d W 1 u c z E u e 1 J O I E d y b 3 V w Z S A y M D I w L D I w f S Z x d W 9 0 O y w m c X V v d D t T Z W N 0 a W 9 u M S 9 T Z W N 0 Z X V y I H B h c i B t Y X J n Z S A o M i k v Q X V 0 b 1 J l b W 9 2 Z W R D b 2 x 1 b W 5 z M S 5 7 U k 4 g R 3 J v d X B l I D I w M T k s M j F 9 J n F 1 b 3 Q 7 L C Z x d W 9 0 O 1 N l Y 3 R p b 2 4 x L 1 N l Y 3 R l d X I g c G F y I G 1 h c m d l I C g y K S 9 B d X R v U m V t b 3 Z l Z E N v b H V t b n M x L n t S T i B H c m 9 1 c G U g M j A x O C w y M n 0 m c X V v d D s s J n F 1 b 3 Q 7 U 2 V j d G l v b j E v U 2 V j d G V 1 c i B w Y X I g b W F y Z 2 U g K D I p L 0 F 1 d G 9 S Z W 1 v d m V k Q 2 9 s d W 1 u c z E u e 1 J O I E d y b 3 V w Z S A y M D E 3 L D I z f S Z x d W 9 0 O y w m c X V v d D t T Z W N 0 a W 9 u M S 9 T Z W N 0 Z X V y I H B h c i B t Y X J n Z S A o M i k v Q X V 0 b 1 J l b W 9 2 Z W R D b 2 x 1 b W 5 z M S 5 7 U k 4 g R 3 J v d X B l I D I w M T Y s M j R 9 J n F 1 b 3 Q 7 L C Z x d W 9 0 O 1 N l Y 3 R p b 2 4 x L 1 N l Y 3 R l d X I g c G F y I G 1 h c m d l I C g y K S 9 B d X R v U m V t b 3 Z l Z E N v b H V t b n M x L n t Q R V I g M j A y M S w y N X 0 m c X V v d D s s J n F 1 b 3 Q 7 U 2 V j d G l v b j E v U 2 V j d G V 1 c i B w Y X I g b W F y Z 2 U g K D I p L 0 F 1 d G 9 S Z W 1 v d m V k Q 2 9 s d W 1 u c z E u e 1 N v d X M g c 2 V j d G V 1 c i w y N n 0 m c X V v d D s s J n F 1 b 3 Q 7 U 2 V j d G l v b j E v U 2 V j d G V 1 c i B w Y X I g b W F y Z 2 U g K D I p L 0 F 1 d G 9 S Z W 1 v d m V k Q 2 9 s d W 1 u c z E u e 0 l u Z G l j Z S w y N 3 0 m c X V v d D s s J n F 1 b 3 Q 7 U 2 V j d G l v b j E v U 2 V j d G V 1 c i B w Y X I g b W F y Z 2 U g K D I p L 0 F 1 d G 9 S Z W 1 v d m V k Q 2 9 s d W 1 u c z E u e 0 N h c G l 0 Y W x p c 2 F 0 a W 9 u I D I w M T Y s M j h 9 J n F 1 b 3 Q 7 L C Z x d W 9 0 O 1 N l Y 3 R p b 2 4 x L 1 N l Y 3 R l d X I g c G F y I G 1 h c m d l I C g y K S 9 B d X R v U m V t b 3 Z l Z E N v b H V t b n M x L n t D Y X B p d G F s a X N h d G l v b i A y M D E 3 L D I 5 f S Z x d W 9 0 O y w m c X V v d D t T Z W N 0 a W 9 u M S 9 T Z W N 0 Z X V y I H B h c i B t Y X J n Z S A o M i k v Q X V 0 b 1 J l b W 9 2 Z W R D b 2 x 1 b W 5 z M S 5 7 Q 2 F w a X R h b G l z Y X R p b 2 4 g M j A x O C w z M H 0 m c X V v d D s s J n F 1 b 3 Q 7 U 2 V j d G l v b j E v U 2 V j d G V 1 c i B w Y X I g b W F y Z 2 U g K D I p L 0 F 1 d G 9 S Z W 1 v d m V k Q 2 9 s d W 1 u c z E u e 0 N h c G l 0 Y W x p c 2 F 0 a W 9 u I D I w M T k s M z F 9 J n F 1 b 3 Q 7 L C Z x d W 9 0 O 1 N l Y 3 R p b 2 4 x L 1 N l Y 3 R l d X I g c G F y I G 1 h c m d l I C g y K S 9 B d X R v U m V t b 3 Z l Z E N v b H V t b n M x L n t D Y X B p d G F s a X N h d G l v b i A y M D I w L D M y f S Z x d W 9 0 O y w m c X V v d D t T Z W N 0 a W 9 u M S 9 T Z W N 0 Z X V y I H B h c i B t Y X J n Z S A o M i k v Q X V 0 b 1 J l b W 9 2 Z W R D b 2 x 1 b W 5 z M S 5 7 Q 2 F w a X R h b G l z Y X R p b 2 4 g M j A y M S w z M 3 0 m c X V v d D s s J n F 1 b 3 Q 7 U 2 V j d G l v b j E v U 2 V j d G V 1 c i B w Y X I g b W F y Z 2 U g K D I p L 0 F 1 d G 9 S Z W 1 v d m V k Q 2 9 s d W 1 u c z E u e 0 N h c G l 0 Y W x p c 2 F 0 a W 9 u I D I w M j F c b k 1 h b n V l b C w z N H 0 m c X V v d D s s J n F 1 b 3 Q 7 U 2 V j d G l v b j E v U 2 V j d G V 1 c i B w Y X I g b W F y Z 2 U g K D I p L 0 F 1 d G 9 S Z W 1 v d m V k Q 2 9 s d W 1 u c z E u e 0 N h c G l 0 Y W x p c 2 F 0 a W 9 u I D I w M j I s M z V 9 J n F 1 b 3 Q 7 L C Z x d W 9 0 O 1 N l Y 3 R p b 2 4 x L 1 N l Y 3 R l d X I g c G F y I G 1 h c m d l I C g y K S 9 B d X R v U m V t b 3 Z l Z E N v b H V t b n M x L n t D Y X B p d G F s a X N h d G l v b i A y M D I y X G 5 N Y W 5 1 Z W w s M z Z 9 J n F 1 b 3 Q 7 L C Z x d W 9 0 O 1 N l Y 3 R p b 2 4 x L 1 N l Y 3 R l d X I g c G F y I G 1 h c m d l I C g y K S 9 B d X R v U m V t b 3 Z l Z E N v b H V t b n M x L n t D Y X B p d G F s a X N h d G l v b i A y M D I z L D M 3 f S Z x d W 9 0 O y w m c X V v d D t T Z W N 0 a W 9 u M S 9 T Z W N 0 Z X V y I H B h c i B t Y X J n Z S A o M i k v Q X V 0 b 1 J l b W 9 2 Z W R D b 2 x 1 b W 5 z M S 5 7 R G V z Y 3 J p c H R p b 2 4 s M z h 9 J n F 1 b 3 Q 7 L C Z x d W 9 0 O 1 N l Y 3 R p b 2 4 x L 1 N l Y 3 R l d X I g c G F y I G 1 h c m d l I C g y K S 9 B d X R v U m V t b 3 Z l Z E N v b H V t b n M x L n t Q Z X J z b 2 5 u Y W x p c 8 O p L D M 5 f S Z x d W 9 0 O 1 0 s J n F 1 b 3 Q 7 U m V s Y X R p b 2 5 z a G l w S W 5 m b y Z x d W 9 0 O z p b X X 0 i I C 8 + P C 9 T d G F i b G V F b n R y a W V z P j w v S X R l b T 4 8 S X R l b T 4 8 S X R l b U x v Y 2 F 0 a W 9 u P j x J d G V t V H l w Z T 5 G b 3 J t d W x h P C 9 J d G V t V H l w Z T 4 8 S X R l b V B h d G g + U 2 V j d G l v b j E v V G F i b G U l M j A w L 1 N v d X J j Z T w v S X R l b V B h d G g + P C 9 J d G V t T G 9 j Y X R p b 2 4 + P F N 0 Y W J s Z U V u d H J p Z X M g L z 4 8 L 0 l 0 Z W 0 + P E l 0 Z W 0 + P E l 0 Z W 1 M b 2 N h d G l v b j 4 8 S X R l b V R 5 c G U + R m 9 y b X V s Y T w v S X R l b V R 5 c G U + P E l 0 Z W 1 Q Y X R o P l N l Y 3 R p b 2 4 x L 1 R h Y m x l J T I w M C 9 E Y X R h M D w v S X R l b V B h d G g + P C 9 J d G V t T G 9 j Y X R p b 2 4 + P F N 0 Y W J s Z U V u d H J p Z X M g L z 4 8 L 0 l 0 Z W 0 + P E l 0 Z W 0 + P E l 0 Z W 1 M b 2 N h d G l v b j 4 8 S X R l b V R 5 c G U + R m 9 y b X V s Y T w v S X R l b V R 5 c G U + P E l 0 Z W 1 Q Y X R o P l N l Y 3 R p b 2 4 x L 1 R h Y m x l J T I w M C 9 U e X B l J T I w b W 9 k a W Z p J U M z J U E 5 P C 9 J d G V t U G F 0 a D 4 8 L 0 l 0 Z W 1 M b 2 N h d G l v b j 4 8 U 3 R h Y m x l R W 5 0 c m l l c y A v P j w v S X R l b T 4 8 S X R l b T 4 8 S X R l b U x v Y 2 F 0 a W 9 u P j x J d G V t V H l w Z T 5 G b 3 J t d W x h P C 9 J d G V t V H l w Z T 4 8 S X R l b V B h d G g + U 2 V j d G l v b j E v V G F i b G U l M j A w L 1 N 1 c H B y a W 1 l c i U y M G x l J T I w d G F i b G V h d S U y M G N y b 2 l z J U M z J U E 5 J T I w Z H l u Y W 1 p c X V l J T I w Z G V z J T I w Y X V 0 c m V z J T I w Y 2 9 s b 2 5 u Z X M 8 L 0 l 0 Z W 1 Q Y X R o P j w v S X R l b U x v Y 2 F 0 a W 9 u P j x T d G F i b G V F b n R y a W V z I C 8 + P C 9 J d G V t P j x J d G V t P j x J d G V t T G 9 j Y X R p b 2 4 + P E l 0 Z W 1 U e X B l P k Z v c m 1 1 b G E 8 L 0 l 0 Z W 1 U e X B l P j x J d G V t U G F 0 a D 5 T Z W N 0 a W 9 u M S 9 U Y W J s Z S U y M D A v T G l n b m V z J T I w Z m l s d H I l Q z M l Q T l l c z w v S X R l b V B h d G g + P C 9 J d G V t T G 9 j Y X R p b 2 4 + P F N 0 Y W J s Z U V u d H J p Z X M g L z 4 8 L 0 l 0 Z W 0 + P E l 0 Z W 0 + P E l 0 Z W 1 M b 2 N h d G l v b j 4 8 S X R l b V R 5 c G U + R m 9 y b X V s Y T w v S X R l b V R 5 c G U + P E l 0 Z W 1 Q Y X R o P l N l Y 3 R p b 2 4 x L 1 R h Y m x l J T I w M C 9 D b 2 x v b m 5 l J T I w b X V s d G l w b G k l Q z M l Q T l l P C 9 J d G V t U G F 0 a D 4 8 L 0 l 0 Z W 1 M b 2 N h d G l v b j 4 8 U 3 R h Y m x l R W 5 0 c m l l c y A v P j w v S X R l b T 4 8 S X R l b T 4 8 S X R l b U x v Y 2 F 0 a W 9 u P j x J d G V t V H l w Z T 5 G b 3 J t d W x h P C 9 J d G V t V H l w Z T 4 8 S X R l b V B h d G g + U 2 V j d G l v b j E v V G F i b G U l M j A w L 1 Z h b G V 1 c i U y M H J l b X B s Y W M l Q z M l Q T l l P C 9 J d G V t U G F 0 a D 4 8 L 0 l 0 Z W 1 M b 2 N h d G l v b j 4 8 U 3 R h Y m x l R W 5 0 c m l l c y A v P j w v S X R l b T 4 8 S X R l b T 4 8 S X R l b U x v Y 2 F 0 a W 9 u P j x J d G V t V H l w Z T 5 G b 3 J t d W x h P C 9 J d G V t V H l w Z T 4 8 S X R l b V B h d G g + U 2 V j d G l v b j E v T G l z d G U l M j B 2 Y W x l d X I v U 2 9 1 c m N l P C 9 J d G V t U G F 0 a D 4 8 L 0 l 0 Z W 1 M b 2 N h d G l v b j 4 8 U 3 R h Y m x l R W 5 0 c m l l c y A v P j w v S X R l b T 4 8 S X R l b T 4 8 S X R l b U x v Y 2 F 0 a W 9 u P j x J d G V t V H l w Z T 5 G b 3 J t d W x h P C 9 J d G V t V H l w Z T 4 8 S X R l b V B h d G g + U 2 V j d G l v b j E v V G F i b G U l M j B 2 Y W x l d X I v U 2 9 1 c m N l P C 9 J d G V t U G F 0 a D 4 8 L 0 l 0 Z W 1 M b 2 N h d G l v b j 4 8 U 3 R h Y m x l R W 5 0 c m l l c y A v P j w v S X R l b T 4 8 S X R l b T 4 8 S X R l b U x v Y 2 F 0 a W 9 u P j x J d G V t V H l w Z T 5 G b 3 J t d W x h P C 9 J d G V t V H l w Z T 4 8 S X R l b V B h d G g + U 2 V j d G l v b j E v V G F i b G U l M j B 2 Y W x l d X I v Q 2 9 u d m V y d G k l M j B l b i U y M H R h Y m x l P C 9 J d G V t U G F 0 a D 4 8 L 0 l 0 Z W 1 M b 2 N h d G l v b j 4 8 U 3 R h Y m x l R W 5 0 c m l l c y A v P j w v S X R l b T 4 8 S X R l b T 4 8 S X R l b U x v Y 2 F 0 a W 9 u P j x J d G V t V H l w Z T 5 G b 3 J t d W x h P C 9 J d G V t V H l w Z T 4 8 S X R l b V B h d G g + U 2 V j d G l v b j E v V G F i b G U l M j B 2 Y W x l d X I v Q 2 9 s b 2 5 u Z X M l M j B y Z W 5 v b W 0 l Q z M l Q T l l c z w v S X R l b V B h d G g + P C 9 J d G V t T G 9 j Y X R p b 2 4 + P F N 0 Y W J s Z U V u d H J p Z X M g L z 4 8 L 0 l 0 Z W 0 + P E l 0 Z W 0 + P E l 0 Z W 1 M b 2 N h d G l v b j 4 8 S X R l b V R 5 c G U + R m 9 y b X V s Y T w v S X R l b V R 5 c G U + P E l 0 Z W 1 Q Y X R o P l N l Y 3 R p b 2 4 x L 0 Z y b 2 1 C b 3 V y c 2 9 y Y W 1 h L 1 N v d X J j Z T w v S X R l b V B h d G g + P C 9 J d G V t T G 9 j Y X R p b 2 4 + P F N 0 Y W J s Z U V u d H J p Z X M g L z 4 8 L 0 l 0 Z W 0 + P E l 0 Z W 0 + P E l 0 Z W 1 M b 2 N h d G l v b j 4 8 S X R l b V R 5 c G U + R m 9 y b X V s Y T w v S X R l b V R 5 c G U + P E l 0 Z W 1 Q Y X R o P l N l Y 3 R p b 2 4 x L 1 R h Y m x l J T I w d m F s Z X V y L 0 Z v b m N 0 a W 9 u J T I w c G V y c 2 9 u b m F s a X M l Q z M l Q T l l J T I w Y X B w Z W w l Q z M l Q T l l P C 9 J d G V t U G F 0 a D 4 8 L 0 l 0 Z W 1 M b 2 N h d G l v b j 4 8 U 3 R h Y m x l R W 5 0 c m l l c y A v P j w v S X R l b T 4 8 S X R l b T 4 8 S X R l b U x v Y 2 F 0 a W 9 u P j x J d G V t V H l w Z T 5 G b 3 J t d W x h P C 9 J d G V t V H l w Z T 4 8 S X R l b V B h d G g + U 2 V j d G l v b j E v V G F i b G U l M j B 2 Y W x l d X I v R C V D M y V B O X R h a W x z J T I w Z C V D M y V B O X Z l b G 9 w c C V D M y V B O T w v S X R l b V B h d G g + P C 9 J d G V t T G 9 j Y X R p b 2 4 + P F N 0 Y W J s Z U V u d H J p Z X M g L z 4 8 L 0 l 0 Z W 0 + P E l 0 Z W 0 + P E l 0 Z W 1 M b 2 N h d G l v b j 4 8 S X R l b V R 5 c G U + R m 9 y b X V s Y T w v S X R l b V R 5 c G U + P E l 0 Z W 1 Q Y X R o P l N l Y 3 R p b 2 4 x L 1 N l Y 3 R l d X I l M j B w Y X I l M j B t Y X J n Z S U y M C g y K S 9 T b 3 V y Y 2 U 8 L 0 l 0 Z W 1 Q Y X R o P j w v S X R l b U x v Y 2 F 0 a W 9 u P j x T d G F i b G V F b n R y a W V z I C 8 + P C 9 J d G V t P j x J d G V t P j x J d G V t T G 9 j Y X R p b 2 4 + P E l 0 Z W 1 U e X B l P k Z v c m 1 1 b G E 8 L 0 l 0 Z W 1 U e X B l P j x J d G V t U G F 0 a D 5 T Z W N 0 a W 9 u M S 9 T Z W N 0 Z X V y J T I w c G F y J T I w b W F y Z 2 U l M j A o M i k v V H l w Z S U y M G 1 v Z G l m a S V D M y V B O T w v S X R l b V B h d G g + P C 9 J d G V t T G 9 j Y X R p b 2 4 + P F N 0 Y W J s Z U V u d H J p Z X M g L z 4 8 L 0 l 0 Z W 0 + P E l 0 Z W 0 + P E l 0 Z W 1 M b 2 N h d G l v b j 4 8 S X R l b V R 5 c G U + R m 9 y b X V s Y T w v S X R l b V R 5 c G U + P E l 0 Z W 1 Q Y X R o P l N l Y 3 R p b 2 4 x L 1 N l Y 3 R l d X I l M j B w Y X I l M j B t Y X J n Z S U y M C g y K S 9 D b 2 x v b m 5 l c y U y M H N 1 c H B y a W 0 l Q z M l Q T l l c z w v S X R l b V B h d G g + P C 9 J d G V t T G 9 j Y X R p b 2 4 + P F N 0 Y W J s Z U V u d H J p Z X M g L z 4 8 L 0 l 0 Z W 0 + P E l 0 Z W 0 + P E l 0 Z W 1 M b 2 N h d G l v b j 4 8 S X R l b V R 5 c G U + R m 9 y b X V s Y T w v S X R l b V R 5 c G U + P E l 0 Z W 1 Q Y X R o P l N l Y 3 R p b 2 4 x L 1 N l Y 3 R l d X I l M j B w Y X I l M j B t Y X J n Z S U y M C g y K S 9 D b 2 x v b m 5 l c y U y M H B l c m 1 1 d C V D M y V B O W V z P C 9 J d G V t U G F 0 a D 4 8 L 0 l 0 Z W 1 M b 2 N h d G l v b j 4 8 U 3 R h Y m x l R W 5 0 c m l l c y A v P j w v S X R l b T 4 8 S X R l b T 4 8 S X R l b U x v Y 2 F 0 a W 9 u P j x J d G V t V H l w Z T 5 G b 3 J t d W x h P C 9 J d G V t V H l w Z T 4 8 S X R l b V B h d G g + U 2 V j d G l v b j E v U 2 V j d G V 1 c i U y M H B h c i U y M G 1 h c m d l J T I w K D I p L 0 N v b G 9 u b m U l M j B j b 2 5 k a X R p b 2 5 u Z W x s Z S U y M G F q b 3 V 0 J U M z J U E 5 Z T w v S X R l b V B h d G g + P C 9 J d G V t T G 9 j Y X R p b 2 4 + P F N 0 Y W J s Z U V u d H J p Z X M g L z 4 8 L 0 l 0 Z W 0 + P E l 0 Z W 0 + P E l 0 Z W 1 M b 2 N h d G l v b j 4 8 S X R l b V R 5 c G U + R m 9 y b X V s Y T w v S X R l b V R 5 c G U + P E l 0 Z W 1 Q Y X R o P l N l Y 3 R p b 2 4 x L 1 N l Y 3 R l d X I l M j B w Y X I l M j B t Y X J n Z S U y M C g y K S 9 D b 2 x v b m 5 l c y U y M H N 1 c H B y a W 0 l Q z M l Q T l l c z I 8 L 0 l 0 Z W 1 Q Y X R o P j w v S X R l b U x v Y 2 F 0 a W 9 u P j x T d G F i b G V F b n R y a W V z I C 8 + P C 9 J d G V t P j x J d G V t P j x J d G V t T G 9 j Y X R p b 2 4 + P E l 0 Z W 1 U e X B l P k Z v c m 1 1 b G E 8 L 0 l 0 Z W 1 U e X B l P j x J d G V t U G F 0 a D 5 T Z W N 0 a W 9 u M S 9 T Z W N 0 Z X V y J T I w c G F y J T I w b W F y Z 2 U l M j A o M i k v Q 2 9 s b 2 5 u Z X M l M j B w Z X J t d X Q l Q z M l Q T l l c z E 8 L 0 l 0 Z W 1 Q Y X R o P j w v S X R l b U x v Y 2 F 0 a W 9 u P j x T d G F i b G V F b n R y a W V z I C 8 + P C 9 J d G V t P j x J d G V t P j x J d G V t T G 9 j Y X R p b 2 4 + P E l 0 Z W 1 U e X B l P k Z v c m 1 1 b G E 8 L 0 l 0 Z W 1 U e X B l P j x J d G V t U G F 0 a D 5 T Z W N 0 a W 9 u M S 9 T Z W N 0 Z X V y J T I w c G F y J T I w b W F y Z 2 U l M j A o M i k v T G l n b m V z J T I w Z m l s d H I l Q z M l Q T l l c z w v S X R l b V B h d G g + P C 9 J d G V t T G 9 j Y X R p b 2 4 + P F N 0 Y W J s Z U V u d H J p Z X M g L z 4 8 L 0 l 0 Z W 0 + P E l 0 Z W 0 + P E l 0 Z W 1 M b 2 N h d G l v b j 4 8 S X R l b V R 5 c G U + R m 9 y b X V s Y T w v S X R l b V R 5 c G U + P E l 0 Z W 1 Q Y X R o P l N l Y 3 R p b 2 4 x L 1 N l Y 3 R l d X I l M j B w Y X I l M j B t Y X J n Z S U y M C g y K S 9 M a W d u Z X M l M j B 0 c m k l Q z M l Q T l l c z w v S X R l b V B h d G g + P C 9 J d G V t T G 9 j Y X R p b 2 4 + P F N 0 Y W J s Z U V u d H J p Z X M g L z 4 8 L 0 l 0 Z W 0 + P E l 0 Z W 0 + P E l 0 Z W 1 M b 2 N h d G l v b j 4 8 S X R l b V R 5 c G U + R m 9 y b X V s Y T w v S X R l b V R 5 c G U + P E l 0 Z W 1 Q Y X R o P l N l Y 3 R p b 2 4 x L 1 N l Y 3 R l d X I l M j B w Y X I l M j B t Y X J n Z S U y M C g y K S 9 D b 2 x v b m 5 l c y U y M H B l c m 1 1 d C V D M y V B O W V z M j w v S X R l b V B h d G g + P C 9 J d G V t T G 9 j Y X R p b 2 4 + P F N 0 Y W J s Z U V u d H J p Z X M g L z 4 8 L 0 l 0 Z W 0 + P E l 0 Z W 0 + P E l 0 Z W 1 M b 2 N h d G l v b j 4 8 S X R l b V R 5 c G U + R m 9 y b X V s Y T w v S X R l b V R 5 c G U + P E l 0 Z W 1 Q Y X R o P l N l Y 3 R p b 2 4 x L 1 N l Y 3 R l d X I l M j B w Y X I l M j B t Y X J n Z S U y M C g y K S 9 W Y W x l d X I l M j B y Z W 1 w b G F j J U M z J U E 5 Z T w v S X R l b V B h d G g + P C 9 J d G V t T G 9 j Y X R p b 2 4 + P F N 0 Y W J s Z U V u d H J p Z X M g L z 4 8 L 0 l 0 Z W 0 + P E l 0 Z W 0 + P E l 0 Z W 1 M b 2 N h d G l v b j 4 8 S X R l b V R 5 c G U + Q W x s R m 9 y b X V s Y X M 8 L 0 l 0 Z W 1 U e X B l P j x J d G V t U G F 0 a C A v P j w v S X R l b U x v Y 2 F 0 a W 9 u P j x T d G F i b G V F b n R y a W V z P j x F b n R y e S B U e X B l P S J R d W V y e U d y b 3 V w c y I g V m F s d W U 9 I n N B U U F B Q U F B Q U F B Q V N Z e k l k b 1 F M V l N h e D Z U N 3 B Z Y j R x N 0 R r W n l i M j F D Y j N W e W M y O X l Z V z F o Q U F B Q U F B Q U E i I C 8 + P E V u d H J 5 I F R 5 c G U 9 I l J l b G F 0 a W 9 u c 2 h p c H M i I F Z h b H V l P S J z Q U F B Q U F B P T 0 i I C 8 + P C 9 T d G F i b G V F b n R y a W V z P j w v S X R l b T 4 8 S X R l b T 4 8 S X R l b U x v Y 2 F 0 a W 9 u P j x J d G V t V H l w Z T 5 G b 3 J t d W x h P C 9 J d G V t V H l w Z T 4 8 S X R l b V B h d G g + U 2 V j d G l v b j E v T G l z d G U l M j B 1 b m l x d W U l M j B T b 2 N p J U M z J U E 5 d C V D M y V B O T w v S X R l b V B h d G g + P C 9 J d G V t T G 9 j Y X R p b 2 4 + P F N 0 Y W J s Z U V u d H J p Z X M + P E V u d H J 5 I F R 5 c G U 9 I k l z U H J p d m F 0 Z S I g V m F s d W U 9 I m w w I i A v P j x F b n R y e S B U e X B l P S J G a W x s V G F y Z 2 V 0 I i B W Y W x 1 Z T 0 i c 0 x p c 3 R l X 3 V u a X F 1 Z V 9 T b 2 N p w 6 l 0 w 6 k i I C 8 + P E V u d H J 5 I F R 5 c G U 9 I k x v Y W R l Z F R v Q W 5 h b H l z a X N T Z X J 2 a W N l c y 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R d W V y e U l E I i B W Y W x 1 Z T 0 i c z A 0 Y j I y O T k w L T Q y Y T M t N D U 4 O S 1 i Z T I 2 L T Z k Y 2 M 3 O G Q y N T d h Y i I g L z 4 8 R W 5 0 c n k g V H l w Z T 0 i R m l s b E V y c m 9 y Q 2 9 1 b n Q i I F Z h b H V l P S J s N D Q i I C 8 + P E V u d H J 5 I F R 5 c G U 9 I k Z p b G x M Y X N 0 V X B k Y X R l Z C I g V m F s d W U 9 I m Q y M D I z L T A 5 L T I x V D E z O j M 3 O j A 1 L j M 2 O T E x N T B a I i A v P j x F b n R y e S B U e X B l P S J G a W x s R X J y b 3 J D b 2 R l I i B W Y W x 1 Z T 0 i c 1 V u a 2 5 v d 2 4 i I C 8 + P E V u d H J 5 I F R 5 c G U 9 I k Z p b G x D b 2 x 1 b W 5 U e X B l c y I g V m F s d W U 9 I n N B Q V l H Q U F B Q U F B Q U F B Q U F B Q U F B Q U F B Q U F B Q U F B Q U F B Q U F B Q U F B Q T 0 9 I i A v P j x F b n R y e S B U e X B l P S J G a W x s Q 2 9 s d W 1 u T m F t Z X M i I F Z h b H V l P S J z W y Z x d W 9 0 O 0 5 v d G F 0 a W 9 u I H B h c i B h Z 2 V u Y 2 U g J n F 1 b 3 Q 7 L C Z x d W 9 0 O 0 x p c 3 R l I G R l c y B z b 2 N p w 6 l 0 w 6 l z J n F 1 b 3 Q 7 L C Z x d W 9 0 O 0 l z a W 4 m c X V v d D s s J n F 1 b 3 Q 7 R U J F I D I w M j I m c X V v d D s s J n F 1 b 3 Q 7 U k 4 g R 3 J v d X B l I D I w M j M m c X V v d D s s J n F 1 b 3 Q 7 U k 4 g R 3 J v d X B l I D I w M j I m c X V v d D s s J n F 1 b 3 Q 7 U k 4 g R 3 J v d X B l I D I w M j J c b k 1 h b n V l b C Z x d W 9 0 O y w m c X V v d D t S T i B H c m 9 1 c G U g M j A y M S Z x d W 9 0 O y w m c X V v d D t S T i B H c m 9 1 c G U g M j A y M V x u T W F u d W V s J n F 1 b 3 Q 7 L C Z x d W 9 0 O 1 J O I E d y b 3 V w Z S A y M D I w J n F 1 b 3 Q 7 L C Z x d W 9 0 O 1 J O I E d y b 3 V w Z S A y M D E 5 J n F 1 b 3 Q 7 L C Z x d W 9 0 O 1 J O I E d y b 3 V w Z S A y M D E 4 J n F 1 b 3 Q 7 L C Z x d W 9 0 O 1 J O I E d y b 3 V w Z S A y M D E 3 J n F 1 b 3 Q 7 L C Z x d W 9 0 O 1 J O I E d y b 3 V w Z S A y M D E 2 J n F 1 b 3 Q 7 L C Z x d W 9 0 O 1 B F U i A y M D I x J n F 1 b 3 Q 7 L C Z x d W 9 0 O 1 N v d X M g c 2 V j d G V 1 c i Z x d W 9 0 O y w m c X V v d D t J b m R p Y 2 U m c X V v d D s s J n F 1 b 3 Q 7 Q 2 F w a X R h b G l z Y X R p b 2 4 g M j A x N i Z x d W 9 0 O y w m c X V v d D t D Y X B p d G F s a X N h d G l v b i A y M D E 3 J n F 1 b 3 Q 7 L C Z x d W 9 0 O 0 N h c G l 0 Y W x p c 2 F 0 a W 9 u I D I w M T g m c X V v d D s s J n F 1 b 3 Q 7 Q 2 F w a X R h b G l z Y X R p b 2 4 g M j A x O S Z x d W 9 0 O y w m c X V v d D t D Y X B p d G F s a X N h d G l v b i A y M D I w J n F 1 b 3 Q 7 L C Z x d W 9 0 O 0 N h c G l 0 Y W x p c 2 F 0 a W 9 u I D I w M j E m c X V v d D s s J n F 1 b 3 Q 7 Q 2 F w a X R h b G l z Y X R p b 2 4 g M j A y M V x u T W F u d W V s J n F 1 b 3 Q 7 L C Z x d W 9 0 O 0 N h c G l 0 Y W x p c 2 F 0 a W 9 u I D I w M j I m c X V v d D s s J n F 1 b 3 Q 7 Q 2 F w a X R h b G l z Y X R p b 2 4 g M j A y M l x u T W F u d W V s J n F 1 b 3 Q 7 L C Z x d W 9 0 O 0 N h c G l 0 Y W x p c 2 F 0 a W 9 u I D I w M j M m c X V v d D s s J n F 1 b 3 Q 7 R G V z Y 3 J p c H R p b 2 4 m c X V v d D t d I i A v P j x F b n R y e S B U e X B l P S J G a W x s Q 2 9 1 b n Q i I F Z h b H V l P S J s M z I 4 I i A v P j x F b n R y e S B U e X B l P S J G a W x s U 3 R h d H V z I i B W Y W x 1 Z T 0 i c 0 N v b X B s Z X R l I i A v P j x F b n R y e S B U e X B l P S J B Z G R l Z F R v R G F 0 Y U 1 v Z G V s I i B W Y W x 1 Z T 0 i b D A i I C 8 + P E V u d H J 5 I F R 5 c G U 9 I l J l b G F 0 a W 9 u c 2 h p c E l u Z m 9 D b 2 5 0 Y W l u Z X I i I F Z h b H V l P S J z e y Z x d W 9 0 O 2 N v b H V t b k N v d W 5 0 J n F 1 b 3 Q 7 O j I 4 L C Z x d W 9 0 O 2 t l e U N v b H V t b k 5 h b W V z J n F 1 b 3 Q 7 O l t d L C Z x d W 9 0 O 3 F 1 Z X J 5 U m V s Y X R p b 2 5 z a G l w c y Z x d W 9 0 O z p b X S w m c X V v d D t j b 2 x 1 b W 5 J Z G V u d G l 0 a W V z J n F 1 b 3 Q 7 O l s m c X V v d D t T Z W N 0 a W 9 u M S 9 M a X N 0 Z S B 1 b m l x d W U g U 2 9 j a c O p d M O p L 0 F 1 d G 9 S Z W 1 v d m V k Q 2 9 s d W 1 u c z E u e 0 5 v d G F 0 a W 9 u I H B h c i B h Z 2 V u Y 2 U g L D B 9 J n F 1 b 3 Q 7 L C Z x d W 9 0 O 1 N l Y 3 R p b 2 4 x L 0 x p c 3 R l I H V u a X F 1 Z S B T b 2 N p w 6 l 0 w 6 k v Q X V 0 b 1 J l b W 9 2 Z W R D b 2 x 1 b W 5 z M S 5 7 T G l z d G U g Z G V z I H N v Y 2 n D q X T D q X M s M X 0 m c X V v d D s s J n F 1 b 3 Q 7 U 2 V j d G l v b j E v T G l z d G U g d W 5 p c X V l I F N v Y 2 n D q X T D q S 9 B d X R v U m V t b 3 Z l Z E N v b H V t b n M x L n t J c 2 l u L D J 9 J n F 1 b 3 Q 7 L C Z x d W 9 0 O 1 N l Y 3 R p b 2 4 x L 0 x p c 3 R l I H V u a X F 1 Z S B T b 2 N p w 6 l 0 w 6 k v Q X V 0 b 1 J l b W 9 2 Z W R D b 2 x 1 b W 5 z M S 5 7 R U J F I D I w M j I s M 3 0 m c X V v d D s s J n F 1 b 3 Q 7 U 2 V j d G l v b j E v T G l z d G U g d W 5 p c X V l I F N v Y 2 n D q X T D q S 9 B d X R v U m V t b 3 Z l Z E N v b H V t b n M x L n t S T i B H c m 9 1 c G U g M j A y M y w 0 f S Z x d W 9 0 O y w m c X V v d D t T Z W N 0 a W 9 u M S 9 M a X N 0 Z S B 1 b m l x d W U g U 2 9 j a c O p d M O p L 0 F 1 d G 9 S Z W 1 v d m V k Q 2 9 s d W 1 u c z E u e 1 J O I E d y b 3 V w Z S A y M D I y L D V 9 J n F 1 b 3 Q 7 L C Z x d W 9 0 O 1 N l Y 3 R p b 2 4 x L 0 x p c 3 R l I H V u a X F 1 Z S B T b 2 N p w 6 l 0 w 6 k v Q X V 0 b 1 J l b W 9 2 Z W R D b 2 x 1 b W 5 z M S 5 7 U k 4 g R 3 J v d X B l I D I w M j J c b k 1 h b n V l b C w 2 f S Z x d W 9 0 O y w m c X V v d D t T Z W N 0 a W 9 u M S 9 M a X N 0 Z S B 1 b m l x d W U g U 2 9 j a c O p d M O p L 0 F 1 d G 9 S Z W 1 v d m V k Q 2 9 s d W 1 u c z E u e 1 J O I E d y b 3 V w Z S A y M D I x L D d 9 J n F 1 b 3 Q 7 L C Z x d W 9 0 O 1 N l Y 3 R p b 2 4 x L 0 x p c 3 R l I H V u a X F 1 Z S B T b 2 N p w 6 l 0 w 6 k v Q X V 0 b 1 J l b W 9 2 Z W R D b 2 x 1 b W 5 z M S 5 7 U k 4 g R 3 J v d X B l I D I w M j F c b k 1 h b n V l b C w 4 f S Z x d W 9 0 O y w m c X V v d D t T Z W N 0 a W 9 u M S 9 M a X N 0 Z S B 1 b m l x d W U g U 2 9 j a c O p d M O p L 0 F 1 d G 9 S Z W 1 v d m V k Q 2 9 s d W 1 u c z E u e 1 J O I E d y b 3 V w Z S A y M D I w L D l 9 J n F 1 b 3 Q 7 L C Z x d W 9 0 O 1 N l Y 3 R p b 2 4 x L 0 x p c 3 R l I H V u a X F 1 Z S B T b 2 N p w 6 l 0 w 6 k v Q X V 0 b 1 J l b W 9 2 Z W R D b 2 x 1 b W 5 z M S 5 7 U k 4 g R 3 J v d X B l I D I w M T k s M T B 9 J n F 1 b 3 Q 7 L C Z x d W 9 0 O 1 N l Y 3 R p b 2 4 x L 0 x p c 3 R l I H V u a X F 1 Z S B T b 2 N p w 6 l 0 w 6 k v Q X V 0 b 1 J l b W 9 2 Z W R D b 2 x 1 b W 5 z M S 5 7 U k 4 g R 3 J v d X B l I D I w M T g s M T F 9 J n F 1 b 3 Q 7 L C Z x d W 9 0 O 1 N l Y 3 R p b 2 4 x L 0 x p c 3 R l I H V u a X F 1 Z S B T b 2 N p w 6 l 0 w 6 k v Q X V 0 b 1 J l b W 9 2 Z W R D b 2 x 1 b W 5 z M S 5 7 U k 4 g R 3 J v d X B l I D I w M T c s M T J 9 J n F 1 b 3 Q 7 L C Z x d W 9 0 O 1 N l Y 3 R p b 2 4 x L 0 x p c 3 R l I H V u a X F 1 Z S B T b 2 N p w 6 l 0 w 6 k v Q X V 0 b 1 J l b W 9 2 Z W R D b 2 x 1 b W 5 z M S 5 7 U k 4 g R 3 J v d X B l I D I w M T Y s M T N 9 J n F 1 b 3 Q 7 L C Z x d W 9 0 O 1 N l Y 3 R p b 2 4 x L 0 x p c 3 R l I H V u a X F 1 Z S B T b 2 N p w 6 l 0 w 6 k v Q X V 0 b 1 J l b W 9 2 Z W R D b 2 x 1 b W 5 z M S 5 7 U E V S I D I w M j E s M T R 9 J n F 1 b 3 Q 7 L C Z x d W 9 0 O 1 N l Y 3 R p b 2 4 x L 0 x p c 3 R l I H V u a X F 1 Z S B T b 2 N p w 6 l 0 w 6 k v Q X V 0 b 1 J l b W 9 2 Z W R D b 2 x 1 b W 5 z M S 5 7 U 2 9 1 c y B z Z W N 0 Z X V y L D E 1 f S Z x d W 9 0 O y w m c X V v d D t T Z W N 0 a W 9 u M S 9 M a X N 0 Z S B 1 b m l x d W U g U 2 9 j a c O p d M O p L 0 F 1 d G 9 S Z W 1 v d m V k Q 2 9 s d W 1 u c z E u e 0 l u Z G l j Z S w x N n 0 m c X V v d D s s J n F 1 b 3 Q 7 U 2 V j d G l v b j E v T G l z d G U g d W 5 p c X V l I F N v Y 2 n D q X T D q S 9 B d X R v U m V t b 3 Z l Z E N v b H V t b n M x L n t D Y X B p d G F s a X N h d G l v b i A y M D E 2 L D E 3 f S Z x d W 9 0 O y w m c X V v d D t T Z W N 0 a W 9 u M S 9 M a X N 0 Z S B 1 b m l x d W U g U 2 9 j a c O p d M O p L 0 F 1 d G 9 S Z W 1 v d m V k Q 2 9 s d W 1 u c z E u e 0 N h c G l 0 Y W x p c 2 F 0 a W 9 u I D I w M T c s M T h 9 J n F 1 b 3 Q 7 L C Z x d W 9 0 O 1 N l Y 3 R p b 2 4 x L 0 x p c 3 R l I H V u a X F 1 Z S B T b 2 N p w 6 l 0 w 6 k v Q X V 0 b 1 J l b W 9 2 Z W R D b 2 x 1 b W 5 z M S 5 7 Q 2 F w a X R h b G l z Y X R p b 2 4 g M j A x O C w x O X 0 m c X V v d D s s J n F 1 b 3 Q 7 U 2 V j d G l v b j E v T G l z d G U g d W 5 p c X V l I F N v Y 2 n D q X T D q S 9 B d X R v U m V t b 3 Z l Z E N v b H V t b n M x L n t D Y X B p d G F s a X N h d G l v b i A y M D E 5 L D I w f S Z x d W 9 0 O y w m c X V v d D t T Z W N 0 a W 9 u M S 9 M a X N 0 Z S B 1 b m l x d W U g U 2 9 j a c O p d M O p L 0 F 1 d G 9 S Z W 1 v d m V k Q 2 9 s d W 1 u c z E u e 0 N h c G l 0 Y W x p c 2 F 0 a W 9 u I D I w M j A s M j F 9 J n F 1 b 3 Q 7 L C Z x d W 9 0 O 1 N l Y 3 R p b 2 4 x L 0 x p c 3 R l I H V u a X F 1 Z S B T b 2 N p w 6 l 0 w 6 k v Q X V 0 b 1 J l b W 9 2 Z W R D b 2 x 1 b W 5 z M S 5 7 Q 2 F w a X R h b G l z Y X R p b 2 4 g M j A y M S w y M n 0 m c X V v d D s s J n F 1 b 3 Q 7 U 2 V j d G l v b j E v T G l z d G U g d W 5 p c X V l I F N v Y 2 n D q X T D q S 9 B d X R v U m V t b 3 Z l Z E N v b H V t b n M x L n t D Y X B p d G F s a X N h d G l v b i A y M D I x X G 5 N Y W 5 1 Z W w s M j N 9 J n F 1 b 3 Q 7 L C Z x d W 9 0 O 1 N l Y 3 R p b 2 4 x L 0 x p c 3 R l I H V u a X F 1 Z S B T b 2 N p w 6 l 0 w 6 k v Q X V 0 b 1 J l b W 9 2 Z W R D b 2 x 1 b W 5 z M S 5 7 Q 2 F w a X R h b G l z Y X R p b 2 4 g M j A y M i w y N H 0 m c X V v d D s s J n F 1 b 3 Q 7 U 2 V j d G l v b j E v T G l z d G U g d W 5 p c X V l I F N v Y 2 n D q X T D q S 9 B d X R v U m V t b 3 Z l Z E N v b H V t b n M x L n t D Y X B p d G F s a X N h d G l v b i A y M D I y X G 5 N Y W 5 1 Z W w s M j V 9 J n F 1 b 3 Q 7 L C Z x d W 9 0 O 1 N l Y 3 R p b 2 4 x L 0 x p c 3 R l I H V u a X F 1 Z S B T b 2 N p w 6 l 0 w 6 k v Q X V 0 b 1 J l b W 9 2 Z W R D b 2 x 1 b W 5 z M S 5 7 Q 2 F w a X R h b G l z Y X R p b 2 4 g M j A y M y w y N n 0 m c X V v d D s s J n F 1 b 3 Q 7 U 2 V j d G l v b j E v T G l z d G U g d W 5 p c X V l I F N v Y 2 n D q X T D q S 9 B d X R v U m V t b 3 Z l Z E N v b H V t b n M x L n t E Z X N j c m l w d G l v b i w y N 3 0 m c X V v d D t d L C Z x d W 9 0 O 0 N v b H V t b k N v d W 5 0 J n F 1 b 3 Q 7 O j I 4 L C Z x d W 9 0 O 0 t l e U N v b H V t b k 5 h b W V z J n F 1 b 3 Q 7 O l t d L C Z x d W 9 0 O 0 N v b H V t b k l k Z W 5 0 a X R p Z X M m c X V v d D s 6 W y Z x d W 9 0 O 1 N l Y 3 R p b 2 4 x L 0 x p c 3 R l I H V u a X F 1 Z S B T b 2 N p w 6 l 0 w 6 k v Q X V 0 b 1 J l b W 9 2 Z W R D b 2 x 1 b W 5 z M S 5 7 T m 9 0 Y X R p b 2 4 g c G F y I G F n Z W 5 j Z S A s M H 0 m c X V v d D s s J n F 1 b 3 Q 7 U 2 V j d G l v b j E v T G l z d G U g d W 5 p c X V l I F N v Y 2 n D q X T D q S 9 B d X R v U m V t b 3 Z l Z E N v b H V t b n M x L n t M a X N 0 Z S B k Z X M g c 2 9 j a c O p d M O p c y w x f S Z x d W 9 0 O y w m c X V v d D t T Z W N 0 a W 9 u M S 9 M a X N 0 Z S B 1 b m l x d W U g U 2 9 j a c O p d M O p L 0 F 1 d G 9 S Z W 1 v d m V k Q 2 9 s d W 1 u c z E u e 0 l z a W 4 s M n 0 m c X V v d D s s J n F 1 b 3 Q 7 U 2 V j d G l v b j E v T G l z d G U g d W 5 p c X V l I F N v Y 2 n D q X T D q S 9 B d X R v U m V t b 3 Z l Z E N v b H V t b n M x L n t F Q k U g M j A y M i w z f S Z x d W 9 0 O y w m c X V v d D t T Z W N 0 a W 9 u M S 9 M a X N 0 Z S B 1 b m l x d W U g U 2 9 j a c O p d M O p L 0 F 1 d G 9 S Z W 1 v d m V k Q 2 9 s d W 1 u c z E u e 1 J O I E d y b 3 V w Z S A y M D I z L D R 9 J n F 1 b 3 Q 7 L C Z x d W 9 0 O 1 N l Y 3 R p b 2 4 x L 0 x p c 3 R l I H V u a X F 1 Z S B T b 2 N p w 6 l 0 w 6 k v Q X V 0 b 1 J l b W 9 2 Z W R D b 2 x 1 b W 5 z M S 5 7 U k 4 g R 3 J v d X B l I D I w M j I s N X 0 m c X V v d D s s J n F 1 b 3 Q 7 U 2 V j d G l v b j E v T G l z d G U g d W 5 p c X V l I F N v Y 2 n D q X T D q S 9 B d X R v U m V t b 3 Z l Z E N v b H V t b n M x L n t S T i B H c m 9 1 c G U g M j A y M l x u T W F u d W V s L D Z 9 J n F 1 b 3 Q 7 L C Z x d W 9 0 O 1 N l Y 3 R p b 2 4 x L 0 x p c 3 R l I H V u a X F 1 Z S B T b 2 N p w 6 l 0 w 6 k v Q X V 0 b 1 J l b W 9 2 Z W R D b 2 x 1 b W 5 z M S 5 7 U k 4 g R 3 J v d X B l I D I w M j E s N 3 0 m c X V v d D s s J n F 1 b 3 Q 7 U 2 V j d G l v b j E v T G l z d G U g d W 5 p c X V l I F N v Y 2 n D q X T D q S 9 B d X R v U m V t b 3 Z l Z E N v b H V t b n M x L n t S T i B H c m 9 1 c G U g M j A y M V x u T W F u d W V s L D h 9 J n F 1 b 3 Q 7 L C Z x d W 9 0 O 1 N l Y 3 R p b 2 4 x L 0 x p c 3 R l I H V u a X F 1 Z S B T b 2 N p w 6 l 0 w 6 k v Q X V 0 b 1 J l b W 9 2 Z W R D b 2 x 1 b W 5 z M S 5 7 U k 4 g R 3 J v d X B l I D I w M j A s O X 0 m c X V v d D s s J n F 1 b 3 Q 7 U 2 V j d G l v b j E v T G l z d G U g d W 5 p c X V l I F N v Y 2 n D q X T D q S 9 B d X R v U m V t b 3 Z l Z E N v b H V t b n M x L n t S T i B H c m 9 1 c G U g M j A x O S w x M H 0 m c X V v d D s s J n F 1 b 3 Q 7 U 2 V j d G l v b j E v T G l z d G U g d W 5 p c X V l I F N v Y 2 n D q X T D q S 9 B d X R v U m V t b 3 Z l Z E N v b H V t b n M x L n t S T i B H c m 9 1 c G U g M j A x O C w x M X 0 m c X V v d D s s J n F 1 b 3 Q 7 U 2 V j d G l v b j E v T G l z d G U g d W 5 p c X V l I F N v Y 2 n D q X T D q S 9 B d X R v U m V t b 3 Z l Z E N v b H V t b n M x L n t S T i B H c m 9 1 c G U g M j A x N y w x M n 0 m c X V v d D s s J n F 1 b 3 Q 7 U 2 V j d G l v b j E v T G l z d G U g d W 5 p c X V l I F N v Y 2 n D q X T D q S 9 B d X R v U m V t b 3 Z l Z E N v b H V t b n M x L n t S T i B H c m 9 1 c G U g M j A x N i w x M 3 0 m c X V v d D s s J n F 1 b 3 Q 7 U 2 V j d G l v b j E v T G l z d G U g d W 5 p c X V l I F N v Y 2 n D q X T D q S 9 B d X R v U m V t b 3 Z l Z E N v b H V t b n M x L n t Q R V I g M j A y M S w x N H 0 m c X V v d D s s J n F 1 b 3 Q 7 U 2 V j d G l v b j E v T G l z d G U g d W 5 p c X V l I F N v Y 2 n D q X T D q S 9 B d X R v U m V t b 3 Z l Z E N v b H V t b n M x L n t T b 3 V z I H N l Y 3 R l d X I s M T V 9 J n F 1 b 3 Q 7 L C Z x d W 9 0 O 1 N l Y 3 R p b 2 4 x L 0 x p c 3 R l I H V u a X F 1 Z S B T b 2 N p w 6 l 0 w 6 k v Q X V 0 b 1 J l b W 9 2 Z W R D b 2 x 1 b W 5 z M S 5 7 S W 5 k a W N l L D E 2 f S Z x d W 9 0 O y w m c X V v d D t T Z W N 0 a W 9 u M S 9 M a X N 0 Z S B 1 b m l x d W U g U 2 9 j a c O p d M O p L 0 F 1 d G 9 S Z W 1 v d m V k Q 2 9 s d W 1 u c z E u e 0 N h c G l 0 Y W x p c 2 F 0 a W 9 u I D I w M T Y s M T d 9 J n F 1 b 3 Q 7 L C Z x d W 9 0 O 1 N l Y 3 R p b 2 4 x L 0 x p c 3 R l I H V u a X F 1 Z S B T b 2 N p w 6 l 0 w 6 k v Q X V 0 b 1 J l b W 9 2 Z W R D b 2 x 1 b W 5 z M S 5 7 Q 2 F w a X R h b G l z Y X R p b 2 4 g M j A x N y w x O H 0 m c X V v d D s s J n F 1 b 3 Q 7 U 2 V j d G l v b j E v T G l z d G U g d W 5 p c X V l I F N v Y 2 n D q X T D q S 9 B d X R v U m V t b 3 Z l Z E N v b H V t b n M x L n t D Y X B p d G F s a X N h d G l v b i A y M D E 4 L D E 5 f S Z x d W 9 0 O y w m c X V v d D t T Z W N 0 a W 9 u M S 9 M a X N 0 Z S B 1 b m l x d W U g U 2 9 j a c O p d M O p L 0 F 1 d G 9 S Z W 1 v d m V k Q 2 9 s d W 1 u c z E u e 0 N h c G l 0 Y W x p c 2 F 0 a W 9 u I D I w M T k s M j B 9 J n F 1 b 3 Q 7 L C Z x d W 9 0 O 1 N l Y 3 R p b 2 4 x L 0 x p c 3 R l I H V u a X F 1 Z S B T b 2 N p w 6 l 0 w 6 k v Q X V 0 b 1 J l b W 9 2 Z W R D b 2 x 1 b W 5 z M S 5 7 Q 2 F w a X R h b G l z Y X R p b 2 4 g M j A y M C w y M X 0 m c X V v d D s s J n F 1 b 3 Q 7 U 2 V j d G l v b j E v T G l z d G U g d W 5 p c X V l I F N v Y 2 n D q X T D q S 9 B d X R v U m V t b 3 Z l Z E N v b H V t b n M x L n t D Y X B p d G F s a X N h d G l v b i A y M D I x L D I y f S Z x d W 9 0 O y w m c X V v d D t T Z W N 0 a W 9 u M S 9 M a X N 0 Z S B 1 b m l x d W U g U 2 9 j a c O p d M O p L 0 F 1 d G 9 S Z W 1 v d m V k Q 2 9 s d W 1 u c z E u e 0 N h c G l 0 Y W x p c 2 F 0 a W 9 u I D I w M j F c b k 1 h b n V l b C w y M 3 0 m c X V v d D s s J n F 1 b 3 Q 7 U 2 V j d G l v b j E v T G l z d G U g d W 5 p c X V l I F N v Y 2 n D q X T D q S 9 B d X R v U m V t b 3 Z l Z E N v b H V t b n M x L n t D Y X B p d G F s a X N h d G l v b i A y M D I y L D I 0 f S Z x d W 9 0 O y w m c X V v d D t T Z W N 0 a W 9 u M S 9 M a X N 0 Z S B 1 b m l x d W U g U 2 9 j a c O p d M O p L 0 F 1 d G 9 S Z W 1 v d m V k Q 2 9 s d W 1 u c z E u e 0 N h c G l 0 Y W x p c 2 F 0 a W 9 u I D I w M j J c b k 1 h b n V l b C w y N X 0 m c X V v d D s s J n F 1 b 3 Q 7 U 2 V j d G l v b j E v T G l z d G U g d W 5 p c X V l I F N v Y 2 n D q X T D q S 9 B d X R v U m V t b 3 Z l Z E N v b H V t b n M x L n t D Y X B p d G F s a X N h d G l v b i A y M D I z L D I 2 f S Z x d W 9 0 O y w m c X V v d D t T Z W N 0 a W 9 u M S 9 M a X N 0 Z S B 1 b m l x d W U g U 2 9 j a c O p d M O p L 0 F 1 d G 9 S Z W 1 v d m V k Q 2 9 s d W 1 u c z E u e 0 R l c 2 N y a X B 0 a W 9 u L D I 3 f S Z x d W 9 0 O 1 0 s J n F 1 b 3 Q 7 U m V s Y X R p b 2 5 z a G l w S W 5 m b y Z x d W 9 0 O z p b X X 0 i I C 8 + P C 9 T d G F i b G V F b n R y a W V z P j w v S X R l b T 4 8 S X R l b T 4 8 S X R l b U x v Y 2 F 0 a W 9 u P j x J d G V t V H l w Z T 5 G b 3 J t d W x h P C 9 J d G V t V H l w Z T 4 8 S X R l b V B h d G g + U 2 V j d G l v b j E v T G l z d G U l M j B 1 b m l x d W U l M j B T b 2 N p J U M z J U E 5 d C V D M y V B O S 9 T b 3 V y Y 2 U 8 L 0 l 0 Z W 1 Q Y X R o P j w v S X R l b U x v Y 2 F 0 a W 9 u P j x T d G F i b G V F b n R y a W V z I C 8 + P C 9 J d G V t P j x J d G V t P j x J d G V t T G 9 j Y X R p b 2 4 + P E l 0 Z W 1 U e X B l P k Z v c m 1 1 b G E 8 L 0 l 0 Z W 1 U e X B l P j x J d G V t U G F 0 a D 5 T Z W N 0 a W 9 u M S 9 M a X N 0 Z S U y M H V u a X F 1 Z S U y M F N v Y 2 k l Q z M l Q T l 0 J U M z J U E 5 L 1 R 5 c G U l M j B t b 2 R p Z m k l Q z M l Q T k 8 L 0 l 0 Z W 1 Q Y X R o P j w v S X R l b U x v Y 2 F 0 a W 9 u P j x T d G F i b G V F b n R y a W V z I C 8 + P C 9 J d G V t P j x J d G V t P j x J d G V t T G 9 j Y X R p b 2 4 + P E l 0 Z W 1 U e X B l P k Z v c m 1 1 b G E 8 L 0 l 0 Z W 1 U e X B l P j x J d G V t U G F 0 a D 5 T Z W N 0 a W 9 u M S 9 M a X N 0 Z S U y M H V u a X F 1 Z S U y M F N v Y 2 k l Q z M l Q T l 0 J U M z J U E 5 L 0 N v b G 9 u b m V z J T I w c 3 V w c H J p b S V D M y V B O W V z P C 9 J d G V t U G F 0 a D 4 8 L 0 l 0 Z W 1 M b 2 N h d G l v b j 4 8 U 3 R h Y m x l R W 5 0 c m l l c y A v P j w v S X R l b T 4 8 S X R l b T 4 8 S X R l b U x v Y 2 F 0 a W 9 u P j x J d G V t V H l w Z T 5 G b 3 J t d W x h P C 9 J d G V t V H l w Z T 4 8 S X R l b V B h d G g + U 2 V j d G l v b j E v T G l z d G U l M j B 1 b m l x d W U l M j B T b 2 N p J U M z J U E 5 d C V D M y V B O S 9 E b 3 V i b G 9 u c y U y M H N 1 c H B y a W 0 l Q z M l Q T l z P C 9 J d G V t U G F 0 a D 4 8 L 0 l 0 Z W 1 M b 2 N h d G l v b j 4 8 U 3 R h Y m x l R W 5 0 c m l l c y A v P j w v S X R l b T 4 8 S X R l b T 4 8 S X R l b U x v Y 2 F 0 a W 9 u P j x J d G V t V H l w Z T 5 G b 3 J t d W x h P C 9 J d G V t V H l w Z T 4 8 S X R l b V B h d G g + U 2 V j d G l v b j E v T G l z d G U l M j B 1 b m l x d W U l M j B T b 2 N p J U M z J U E 5 d C V D M y V B O S 9 M a W d u Z X M l M j B m a W x 0 c i V D M y V B O W V z P C 9 J d G V t U G F 0 a D 4 8 L 0 l 0 Z W 1 M b 2 N h d G l v b j 4 8 U 3 R h Y m x l R W 5 0 c m l l c y A v P j w v S X R l b T 4 8 S X R l b T 4 8 S X R l b U x v Y 2 F 0 a W 9 u P j x J d G V t V H l w Z T 5 G b 3 J t d W x h P C 9 J d G V t V H l w Z T 4 8 S X R l b V B h d G g + U 2 V j d G l v b j E v U 2 V j d G V 1 c i U y M H B h c i U y M G 1 h c m d l J T I w K D I p L 1 R 5 c G U l M j B t b 2 R p Z m k l Q z M l Q T k x P C 9 J d G V t U G F 0 a D 4 8 L 0 l 0 Z W 1 M b 2 N h d G l v b j 4 8 U 3 R h Y m x l R W 5 0 c m l l c y A v P j w v S X R l b T 4 8 S X R l b T 4 8 S X R l b U x v Y 2 F 0 a W 9 u P j x J d G V t V H l w Z T 5 G b 3 J t d W x h P C 9 J d G V t V H l w Z T 4 8 S X R l b V B h d G g + U 2 V j d G l v b j E v V G F i b G V h d T E 0 P C 9 J d G V t U G F 0 a D 4 8 L 0 l 0 Z W 1 M b 2 N h d G l v b j 4 8 U 3 R h Y m x l R W 5 0 c m l l c z 4 8 R W 5 0 c n k g V H l w Z T 0 i S X N Q c m l 2 Y X R l I i B W Y W x 1 Z T 0 i b D A i I C 8 + P E V u d H J 5 I F R 5 c G U 9 I l F 1 Z X J 5 S U Q i I F Z h b H V l P S J z M m U 5 N W M 5 O D I t N D N j N i 0 0 M j g 5 L W F h Y W I t Z D g 0 Z m Z h M j c x Z D Z l 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m V s Y X R p b 2 5 z a G l w S W 5 m b 0 N v b n R h a W 5 l c i I g V m F s d W U 9 I n N 7 J n F 1 b 3 Q 7 Y 2 9 s d W 1 u Q 2 9 1 b n Q m c X V v d D s 6 O S w m c X V v d D t r Z X l D b 2 x 1 b W 5 O Y W 1 l c y Z x d W 9 0 O z p b X S w m c X V v d D t x d W V y e V J l b G F 0 a W 9 u c 2 h p c H M m c X V v d D s 6 W 1 0 s J n F 1 b 3 Q 7 Y 2 9 s d W 1 u S W R l b n R p d G l l c y Z x d W 9 0 O z p b J n F 1 b 3 Q 7 U 2 V j d G l v b j E v V G F i b G V h d T E 0 L 0 F 1 d G 9 S Z W 1 v d m V k Q 2 9 s d W 1 u c z E u e 0 N v b G 9 u b m U x L D B 9 J n F 1 b 3 Q 7 L C Z x d W 9 0 O 1 N l Y 3 R p b 2 4 x L 1 R h Y m x l Y X U x N C 9 B d X R v U m V t b 3 Z l Z E N v b H V t b n M x L n t D b 2 x v b m 5 l M i w x f S Z x d W 9 0 O y w m c X V v d D t T Z W N 0 a W 9 u M S 9 U Y W J s Z W F 1 M T Q v Q X V 0 b 1 J l b W 9 2 Z W R D b 2 x 1 b W 5 z M S 5 7 Q 2 9 s b 2 5 u Z T M s M n 0 m c X V v d D s s J n F 1 b 3 Q 7 U 2 V j d G l v b j E v V G F i b G V h d T E 0 L 0 F 1 d G 9 S Z W 1 v d m V k Q 2 9 s d W 1 u c z E u e 0 N v b G 9 u b m U 0 L D N 9 J n F 1 b 3 Q 7 L C Z x d W 9 0 O 1 N l Y 3 R p b 2 4 x L 1 R h Y m x l Y X U x N C 9 B d X R v U m V t b 3 Z l Z E N v b H V t b n M x L n t D b 2 x v b m 5 l N S w 0 f S Z x d W 9 0 O y w m c X V v d D t T Z W N 0 a W 9 u M S 9 U Y W J s Z W F 1 M T Q v Q X V 0 b 1 J l b W 9 2 Z W R D b 2 x 1 b W 5 z M S 5 7 Q 2 9 s b 2 5 u Z T Y s N X 0 m c X V v d D s s J n F 1 b 3 Q 7 U 2 V j d G l v b j E v V G F i b G V h d T E 0 L 0 F 1 d G 9 S Z W 1 v d m V k Q 2 9 s d W 1 u c z E u e 0 N v b G 9 u b m U 3 L D Z 9 J n F 1 b 3 Q 7 L C Z x d W 9 0 O 1 N l Y 3 R p b 2 4 x L 1 R h Y m x l Y X U x N C 9 B d X R v U m V t b 3 Z l Z E N v b H V t b n M x L n t D b 2 x v b m 5 l O C w 3 f S Z x d W 9 0 O y w m c X V v d D t T Z W N 0 a W 9 u M S 9 U Y W J s Z W F 1 M T Q v Q X V 0 b 1 J l b W 9 2 Z W R D b 2 x 1 b W 5 z M S 5 7 Q 2 9 s b 2 5 u Z T k s O H 0 m c X V v d D t d L C Z x d W 9 0 O 0 N v b H V t b k N v d W 5 0 J n F 1 b 3 Q 7 O j k s J n F 1 b 3 Q 7 S 2 V 5 Q 2 9 s d W 1 u T m F t Z X M m c X V v d D s 6 W 1 0 s J n F 1 b 3 Q 7 Q 2 9 s d W 1 u S W R l b n R p d G l l c y Z x d W 9 0 O z p b J n F 1 b 3 Q 7 U 2 V j d G l v b j E v V G F i b G V h d T E 0 L 0 F 1 d G 9 S Z W 1 v d m V k Q 2 9 s d W 1 u c z E u e 0 N v b G 9 u b m U x L D B 9 J n F 1 b 3 Q 7 L C Z x d W 9 0 O 1 N l Y 3 R p b 2 4 x L 1 R h Y m x l Y X U x N C 9 B d X R v U m V t b 3 Z l Z E N v b H V t b n M x L n t D b 2 x v b m 5 l M i w x f S Z x d W 9 0 O y w m c X V v d D t T Z W N 0 a W 9 u M S 9 U Y W J s Z W F 1 M T Q v Q X V 0 b 1 J l b W 9 2 Z W R D b 2 x 1 b W 5 z M S 5 7 Q 2 9 s b 2 5 u Z T M s M n 0 m c X V v d D s s J n F 1 b 3 Q 7 U 2 V j d G l v b j E v V G F i b G V h d T E 0 L 0 F 1 d G 9 S Z W 1 v d m V k Q 2 9 s d W 1 u c z E u e 0 N v b G 9 u b m U 0 L D N 9 J n F 1 b 3 Q 7 L C Z x d W 9 0 O 1 N l Y 3 R p b 2 4 x L 1 R h Y m x l Y X U x N C 9 B d X R v U m V t b 3 Z l Z E N v b H V t b n M x L n t D b 2 x v b m 5 l N S w 0 f S Z x d W 9 0 O y w m c X V v d D t T Z W N 0 a W 9 u M S 9 U Y W J s Z W F 1 M T Q v Q X V 0 b 1 J l b W 9 2 Z W R D b 2 x 1 b W 5 z M S 5 7 Q 2 9 s b 2 5 u Z T Y s N X 0 m c X V v d D s s J n F 1 b 3 Q 7 U 2 V j d G l v b j E v V G F i b G V h d T E 0 L 0 F 1 d G 9 S Z W 1 v d m V k Q 2 9 s d W 1 u c z E u e 0 N v b G 9 u b m U 3 L D Z 9 J n F 1 b 3 Q 7 L C Z x d W 9 0 O 1 N l Y 3 R p b 2 4 x L 1 R h Y m x l Y X U x N C 9 B d X R v U m V t b 3 Z l Z E N v b H V t b n M x L n t D b 2 x v b m 5 l O C w 3 f S Z x d W 9 0 O y w m c X V v d D t T Z W N 0 a W 9 u M S 9 U Y W J s Z W F 1 M T Q v Q X V 0 b 1 J l b W 9 2 Z W R D b 2 x 1 b W 5 z M S 5 7 Q 2 9 s b 2 5 u Z T k s O H 0 m c X V v d D t d L C Z x d W 9 0 O 1 J l b G F 0 a W 9 u c 2 h p c E l u Z m 8 m c X V v d D s 6 W 1 1 9 I i A v P j x F b n R y e S B U e X B l P S J G a W x s U 3 R h d H V z I i B W Y W x 1 Z T 0 i c 0 N v b X B s Z X R l I i A v P j x F b n R y e S B U e X B l P S J G a W x s Q 2 9 s d W 1 u T m F t Z X M i I F Z h b H V l P S J z W y Z x d W 9 0 O 0 N v b G 9 u b m U x J n F 1 b 3 Q 7 L C Z x d W 9 0 O 0 N v b G 9 u b m U y J n F 1 b 3 Q 7 L C Z x d W 9 0 O 0 N v b G 9 u b m U z J n F 1 b 3 Q 7 L C Z x d W 9 0 O 0 N v b G 9 u b m U 0 J n F 1 b 3 Q 7 L C Z x d W 9 0 O 0 N v b G 9 u b m U 1 J n F 1 b 3 Q 7 L C Z x d W 9 0 O 0 N v b G 9 u b m U 2 J n F 1 b 3 Q 7 L C Z x d W 9 0 O 0 N v b G 9 u b m U 3 J n F 1 b 3 Q 7 L C Z x d W 9 0 O 0 N v b G 9 u b m U 4 J n F 1 b 3 Q 7 L C Z x d W 9 0 O 0 N v b G 9 u b m U 5 J n F 1 b 3 Q 7 X S I g L z 4 8 R W 5 0 c n k g V H l w Z T 0 i R m l s b E N v b H V t b l R 5 c G V z I i B W Y W x 1 Z T 0 i c 0 V S R V J F U k V S R V J F U i I g L z 4 8 R W 5 0 c n k g V H l w Z T 0 i R m l s b E x h c 3 R V c G R h d G V k I i B W Y W x 1 Z T 0 i Z D I w M j Q t M D U t M z F U M T A 6 M j g 6 M z M u N j A w M D Q y N l o i I C 8 + P E V u d H J 5 I F R 5 c G U 9 I k Z p b G x F c n J v c k N v d W 5 0 I i B W Y W x 1 Z T 0 i b D A i I C 8 + P E V u d H J 5 I F R 5 c G U 9 I k Z p b G x F c n J v c k N v Z G U i I F Z h b H V l P S J z V W 5 r b m 9 3 b i I g L z 4 8 R W 5 0 c n k g V H l w Z T 0 i R m l s b E N v d W 5 0 I i B W Y W x 1 Z T 0 i b D I 4 I i A v P j x F b n R y e S B U e X B l P S J B Z G R l Z F R v R G F 0 Y U 1 v Z G V s I i B W Y W x 1 Z T 0 i b D A i I C 8 + P C 9 T d G F i b G V F b n R y a W V z P j w v S X R l b T 4 8 S X R l b T 4 8 S X R l b U x v Y 2 F 0 a W 9 u P j x J d G V t V H l w Z T 5 G b 3 J t d W x h P C 9 J d G V t V H l w Z T 4 8 S X R l b V B h d G g + U 2 V j d G l v b j E v V G F i b G V h d T E 0 L 1 N v d X J j Z T w v S X R l b V B h d G g + P C 9 J d G V t T G 9 j Y X R p b 2 4 + P F N 0 Y W J s Z U V u d H J p Z X M g L z 4 8 L 0 l 0 Z W 0 + P E l 0 Z W 0 + P E l 0 Z W 1 M b 2 N h d G l v b j 4 8 S X R l b V R 5 c G U + R m 9 y b X V s Y T w v S X R l b V R 5 c G U + P E l 0 Z W 1 Q Y X R o P l N l Y 3 R p b 2 4 x L 1 R h Y m x l Y X U x N C 9 U e X B l J T I w b W 9 k a W Z p J U M z J U E 5 P C 9 J d G V t U G F 0 a D 4 8 L 0 l 0 Z W 1 M b 2 N h d G l v b j 4 8 U 3 R h Y m x l R W 5 0 c m l l c y A v P j w v S X R l b T 4 8 S X R l b T 4 8 S X R l b U x v Y 2 F 0 a W 9 u P j x J d G V t V H l w Z T 5 G b 3 J t d W x h P C 9 J d G V t V H l w Z T 4 8 S X R l b V B h d G g + U 2 V j d G l v b j E v V G F i b G V h d T E 0 L 1 Z h b G V 1 c i U y M H J l b X B s Y W M l Q z M l Q T l l P C 9 J d G V t U G F 0 a D 4 8 L 0 l 0 Z W 1 M b 2 N h d G l v b j 4 8 U 3 R h Y m x l R W 5 0 c m l l c y A v P j w v S X R l b T 4 8 S X R l b T 4 8 S X R l b U x v Y 2 F 0 a W 9 u P j x J d G V t V H l w Z T 5 G b 3 J t d W x h P C 9 J d G V t V H l w Z T 4 8 S X R l b V B h d G g + U 2 V j d G l v b j E v V G F i b G V h d T E 0 L 0 V z c G F j Z X M l M j B z d X B w c m l t J U M z J U E 5 c z w v S X R l b V B h d G g + P C 9 J d G V t T G 9 j Y X R p b 2 4 + P F N 0 Y W J s Z U V u d H J p Z X M g L z 4 8 L 0 l 0 Z W 0 + P E l 0 Z W 0 + P E l 0 Z W 1 M b 2 N h d G l v b j 4 8 S X R l b V R 5 c G U + R m 9 y b X V s Y T w v S X R l b V R 5 c G U + P E l 0 Z W 1 Q Y X R o P l N l Y 3 R p b 2 4 x L 1 R h Y m x l Y X U x N C 9 W Y W x l d X I l M j B y Z W 1 w b G F j J U M z J U E 5 Z T E 8 L 0 l 0 Z W 1 Q Y X R o P j w v S X R l b U x v Y 2 F 0 a W 9 u P j x T d G F i b G V F b n R y a W V z I C 8 + P C 9 J d G V t P j x J d G V t P j x J d G V t T G 9 j Y X R p b 2 4 + P E l 0 Z W 1 U e X B l P k Z v c m 1 1 b G E 8 L 0 l 0 Z W 1 U e X B l P j x J d G V t U G F 0 a D 5 T Z W N 0 a W 9 u M S 9 U Y W J s Z W F 1 M T Q v V H l w Z S U y M G 1 v Z G l m a S V D M y V B O T E 8 L 0 l 0 Z W 1 Q Y X R o P j w v S X R l b U x v Y 2 F 0 a W 9 u P j x T d G F i b G V F b n R y a W V z I C 8 + P C 9 J d G V t P j w v S X R l b X M + P C 9 M b 2 N h b F B h Y 2 t h Z 2 V N Z X R h Z G F 0 Y U Z p b G U + F g A A A F B L B Q Y A A A A A A A A A A A A A A A A A A A A A A A A m A Q A A A Q A A A N C M n d 8 B F d E R j H o A w E / C l + s B A A A A t r L N 0 B U g f U e m x X 5 n O h e Z / A A A A A A C A A A A A A A Q Z g A A A A E A A C A A A A B J T Q m M x U A 1 J 0 m Q l 8 0 9 u l F r A L b / H p 7 a A 6 T P d L L y C Z i h 5 A A A A A A O g A A A A A I A A C A A A A B o 9 w e w N B Z C M 6 8 o y U k M N A p k B H F j z b e a 2 V k P G B u V Z p o N D l A A A A D D 7 P r q y O v / 1 Q p J O y v R r y S s 1 T 3 V J 4 Z T t n 9 d n R I k S m n j 6 g 4 X d o E K x s n I q 0 r J X D G Z 3 6 Y o n G r J E K g d D 2 v i s k 5 s u G I U f D E E x h D O 8 a f v q B K 1 4 z W L e 0 A A A A B w x p k h l V m w R M b s Q 5 w E q n g a C 2 c W 0 J / R v k p A M e q 9 Y y i H u 3 8 M Y b + i g 2 P A M u b M V R b C q T J m M j v p 6 H S D F s n u 2 I 2 p I / u 4 < / D a t a M a s h u p > 
</file>

<file path=customXml/itemProps1.xml><?xml version="1.0" encoding="utf-8"?>
<ds:datastoreItem xmlns:ds="http://schemas.openxmlformats.org/officeDocument/2006/customXml" ds:itemID="{E37AD3ED-DABE-438D-81A3-B2FFC491FC4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10</vt:i4>
      </vt:variant>
      <vt:variant>
        <vt:lpstr>Plages nommées</vt:lpstr>
      </vt:variant>
      <vt:variant>
        <vt:i4>1</vt:i4>
      </vt:variant>
    </vt:vector>
  </HeadingPairs>
  <TitlesOfParts>
    <vt:vector size="11" baseType="lpstr">
      <vt:lpstr>Tab Dyn CA et EBE</vt:lpstr>
      <vt:lpstr>Tab Dyn Productivité</vt:lpstr>
      <vt:lpstr>Seg Société sélectionnée</vt:lpstr>
      <vt:lpstr>Base de données</vt:lpstr>
      <vt:lpstr>Réf cellules RB</vt:lpstr>
      <vt:lpstr>Dirigeants</vt:lpstr>
      <vt:lpstr>Synthèse</vt:lpstr>
      <vt:lpstr>Liste unique Société</vt:lpstr>
      <vt:lpstr>Liste des sociétés</vt:lpstr>
      <vt:lpstr>Secteur</vt:lpstr>
      <vt:lpstr>MmExcelLinker_4442AF60_EF3F_4BBC_ACF1_397AF8C015C0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Delaroque</dc:creator>
  <cp:keywords/>
  <dc:description/>
  <cp:lastModifiedBy>Patrick Delaroque</cp:lastModifiedBy>
  <cp:revision/>
  <dcterms:created xsi:type="dcterms:W3CDTF">2016-10-06T08:18:55Z</dcterms:created>
  <dcterms:modified xsi:type="dcterms:W3CDTF">2025-03-31T14:29:53Z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mExcelLinker_4442AF60_EF3F_4BBC_ACF1_397AF8C015C0">
    <vt:lpwstr>0</vt:lpwstr>
  </property>
</Properties>
</file>